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Saidus_work\Desktop\"/>
    </mc:Choice>
  </mc:AlternateContent>
  <bookViews>
    <workbookView xWindow="0" yWindow="0" windowWidth="28800" windowHeight="12315" activeTab="1"/>
  </bookViews>
  <sheets>
    <sheet name="свод" sheetId="53" r:id="rId1"/>
    <sheet name="muddati otgan" sheetId="52" r:id="rId2"/>
    <sheet name="jami 1-20 kunlik arizalar" sheetId="55" r:id="rId3"/>
    <sheet name="Ходим" sheetId="56"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__top1" localSheetId="2">{30,140,350,160,"",""}</definedName>
    <definedName name="_____top1" localSheetId="1">{30,140,350,160,"",""}</definedName>
    <definedName name="_____top1" localSheetId="0">{30,140,350,160,"",""}</definedName>
    <definedName name="_____top1">{30,140,350,160,"",""}</definedName>
    <definedName name="____C65537" localSheetId="2">#REF!</definedName>
    <definedName name="____C65537" localSheetId="0">#REF!</definedName>
    <definedName name="____C65537">#REF!</definedName>
    <definedName name="____top1" localSheetId="2">{30,140,350,160,"",""}</definedName>
    <definedName name="____top1" localSheetId="1">{30,140,350,160,"",""}</definedName>
    <definedName name="____top1" localSheetId="0">{30,140,350,160,"",""}</definedName>
    <definedName name="____top1">{30,140,350,160,"",""}</definedName>
    <definedName name="___C65537" localSheetId="2">#REF!</definedName>
    <definedName name="___C65537" localSheetId="0">#REF!</definedName>
    <definedName name="___C65537">#REF!</definedName>
    <definedName name="___top1" localSheetId="2">{30,140,350,160,"",""}</definedName>
    <definedName name="___top1" localSheetId="1">{30,140,350,160,"",""}</definedName>
    <definedName name="___top1" localSheetId="0">{30,140,350,160,"",""}</definedName>
    <definedName name="___top1">{30,140,350,160,"",""}</definedName>
    <definedName name="__C65537" localSheetId="2">#REF!</definedName>
    <definedName name="__C65537" localSheetId="0">#REF!</definedName>
    <definedName name="__C65537">#REF!</definedName>
    <definedName name="__I______AU__E" localSheetId="2">#REF!</definedName>
    <definedName name="__I______AU__E" localSheetId="0">#REF!</definedName>
    <definedName name="__I______AU__E">#REF!</definedName>
    <definedName name="__top1" localSheetId="2">{30,140,350,160,"",""}</definedName>
    <definedName name="__top1" localSheetId="1">{30,140,350,160,"",""}</definedName>
    <definedName name="__top1" localSheetId="0">{30,140,350,160,"",""}</definedName>
    <definedName name="__top1">{30,140,350,160,"",""}</definedName>
    <definedName name="_08" localSheetId="2">#REF!</definedName>
    <definedName name="_08" localSheetId="0">#REF!</definedName>
    <definedName name="_08">#REF!</definedName>
    <definedName name="_C65537" localSheetId="2">#REF!</definedName>
    <definedName name="_C65537" localSheetId="0">#REF!</definedName>
    <definedName name="_C65537">#REF!</definedName>
    <definedName name="_top1" localSheetId="2">{30,140,350,160,"",""}</definedName>
    <definedName name="_top1" localSheetId="1">{30,140,350,160,"",""}</definedName>
    <definedName name="_top1" localSheetId="0">{30,140,350,160,"",""}</definedName>
    <definedName name="_top1">{30,140,350,160,"",""}</definedName>
    <definedName name="_xlnm._FilterDatabase" localSheetId="2" hidden="1">'jami 1-20 kunlik arizalar'!$A$1:$AA$3128</definedName>
    <definedName name="_xlnm._FilterDatabase" localSheetId="1" hidden="1">'muddati otgan'!$A$1:$AC$277</definedName>
    <definedName name="_xlnm._FilterDatabase" localSheetId="0" hidden="1">свод!$A$5:$DK$246</definedName>
    <definedName name="_xlnm._FilterDatabase" localSheetId="3" hidden="1">Ходим!$A$3:$E$234</definedName>
    <definedName name="_xlnm._FilterDatabase" hidden="1">#REF!</definedName>
    <definedName name="a" localSheetId="2">{30,140,350,160,"",""}</definedName>
    <definedName name="a" localSheetId="1">{30,140,350,160,"",""}</definedName>
    <definedName name="a" localSheetId="0">{30,140,350,160,"",""}</definedName>
    <definedName name="a">{30,140,350,160,"",""}</definedName>
    <definedName name="AccessDatabase" hidden="1">"C:\Windows\Рабочий стол\ПК-17-2002\Шурчи.xls"</definedName>
    <definedName name="ad" localSheetId="2">{30,140,350,160,"",""}</definedName>
    <definedName name="ad" localSheetId="1">{30,140,350,160,"",""}</definedName>
    <definedName name="ad" localSheetId="0">{30,140,350,160,"",""}</definedName>
    <definedName name="ad">{30,140,350,160,"",""}</definedName>
    <definedName name="AE1148677" localSheetId="2">'[1]Жиззах янги раз'!#REF!</definedName>
    <definedName name="AE1148677">'[1]Жиззах янги раз'!#REF!</definedName>
    <definedName name="af" localSheetId="2">{30,140,350,160,"",""}</definedName>
    <definedName name="af" localSheetId="1">{30,140,350,160,"",""}</definedName>
    <definedName name="af" localSheetId="0">{30,140,350,160,"",""}</definedName>
    <definedName name="af">{30,140,350,160,"",""}</definedName>
    <definedName name="ag" localSheetId="2">#REF!</definedName>
    <definedName name="ag" localSheetId="0">#REF!</definedName>
    <definedName name="ag">#REF!</definedName>
    <definedName name="ah" localSheetId="2">{30,140,350,160,"",""}</definedName>
    <definedName name="ah" localSheetId="1">{30,140,350,160,"",""}</definedName>
    <definedName name="ah" localSheetId="0">{30,140,350,160,"",""}</definedName>
    <definedName name="ah">{30,140,350,160,"",""}</definedName>
    <definedName name="aj" localSheetId="2">{30,140,350,160,"",""}</definedName>
    <definedName name="aj" localSheetId="1">{30,140,350,160,"",""}</definedName>
    <definedName name="aj" localSheetId="0">{30,140,350,160,"",""}</definedName>
    <definedName name="aj">{30,140,350,160,"",""}</definedName>
    <definedName name="ak" localSheetId="2">{30,140,350,160,"",""}</definedName>
    <definedName name="ak" localSheetId="1">{30,140,350,160,"",""}</definedName>
    <definedName name="ak" localSheetId="0">{30,140,350,160,"",""}</definedName>
    <definedName name="ak">{30,140,350,160,"",""}</definedName>
    <definedName name="aq" localSheetId="2">{30,140,350,160,"",""}</definedName>
    <definedName name="aq" localSheetId="1">{30,140,350,160,"",""}</definedName>
    <definedName name="aq" localSheetId="0">{30,140,350,160,"",""}</definedName>
    <definedName name="aq">{30,140,350,160,"",""}</definedName>
    <definedName name="as" localSheetId="2">{30,140,350,160,"",""}</definedName>
    <definedName name="as" localSheetId="1">{30,140,350,160,"",""}</definedName>
    <definedName name="as" localSheetId="0">{30,140,350,160,"",""}</definedName>
    <definedName name="as">{30,140,350,160,"",""}</definedName>
    <definedName name="asd" localSheetId="2">{30,140,350,160,"",""}</definedName>
    <definedName name="asd" localSheetId="1">{30,140,350,160,"",""}</definedName>
    <definedName name="asd" localSheetId="0">{30,140,350,160,"",""}</definedName>
    <definedName name="asd">{30,140,350,160,"",""}</definedName>
    <definedName name="asdasdawedwqd" localSheetId="2">{30,140,350,160,"",""}</definedName>
    <definedName name="asdasdawedwqd" localSheetId="1">{30,140,350,160,"",""}</definedName>
    <definedName name="asdasdawedwqd" localSheetId="0">{30,140,350,160,"",""}</definedName>
    <definedName name="asdasdawedwqd">{30,140,350,160,"",""}</definedName>
    <definedName name="az" localSheetId="2">{30,140,350,160,"",""}</definedName>
    <definedName name="az" localSheetId="1">{30,140,350,160,"",""}</definedName>
    <definedName name="az" localSheetId="0">{30,140,350,160,"",""}</definedName>
    <definedName name="az">{30,140,350,160,"",""}</definedName>
    <definedName name="b" localSheetId="2">{30,140,350,160,"",""}</definedName>
    <definedName name="b" localSheetId="1">{30,140,350,160,"",""}</definedName>
    <definedName name="b" localSheetId="0">{30,140,350,160,"",""}</definedName>
    <definedName name="b">{30,140,350,160,"",""}</definedName>
    <definedName name="bn" localSheetId="2">{30,140,350,160,"",""}</definedName>
    <definedName name="bn" localSheetId="1">{30,140,350,160,"",""}</definedName>
    <definedName name="bn" localSheetId="0">{30,140,350,160,"",""}</definedName>
    <definedName name="bn">{30,140,350,160,"",""}</definedName>
    <definedName name="BU" localSheetId="2">#REF!</definedName>
    <definedName name="BU" localSheetId="0">#REF!</definedName>
    <definedName name="BU">#REF!</definedName>
    <definedName name="bvc" localSheetId="2">{30,140,350,160,"",""}</definedName>
    <definedName name="bvc" localSheetId="1">{30,140,350,160,"",""}</definedName>
    <definedName name="bvc" localSheetId="0">{30,140,350,160,"",""}</definedName>
    <definedName name="bvc">{30,140,350,160,"",""}</definedName>
    <definedName name="curday">36934</definedName>
    <definedName name="cvb" localSheetId="2">{30,140,350,160,"",""}</definedName>
    <definedName name="cvb" localSheetId="1">{30,140,350,160,"",""}</definedName>
    <definedName name="cvb" localSheetId="0">{30,140,350,160,"",""}</definedName>
    <definedName name="cvb">{30,140,350,160,"",""}</definedName>
    <definedName name="cy">2001</definedName>
    <definedName name="d">3</definedName>
    <definedName name="ddddd" localSheetId="2">#REF!</definedName>
    <definedName name="ddddd" localSheetId="0">#REF!</definedName>
    <definedName name="ddddd">#REF!</definedName>
    <definedName name="df" localSheetId="2">{30,140,350,160,"",""}</definedName>
    <definedName name="df" localSheetId="1">{30,140,350,160,"",""}</definedName>
    <definedName name="df" localSheetId="0">{30,140,350,160,"",""}</definedName>
    <definedName name="df">{30,140,350,160,"",""}</definedName>
    <definedName name="dse" localSheetId="2">{30,140,350,160,"",""}</definedName>
    <definedName name="dse" localSheetId="1">{30,140,350,160,"",""}</definedName>
    <definedName name="dse" localSheetId="0">{30,140,350,160,"",""}</definedName>
    <definedName name="dse">{30,140,350,160,"",""}</definedName>
    <definedName name="e" localSheetId="2">{30,140,350,160,"",""}</definedName>
    <definedName name="e" localSheetId="1">{30,140,350,160,"",""}</definedName>
    <definedName name="e" localSheetId="0">{30,140,350,160,"",""}</definedName>
    <definedName name="e">{30,140,350,160,"",""}</definedName>
    <definedName name="ew" localSheetId="2">{30,140,350,160,"",""}</definedName>
    <definedName name="ew" localSheetId="1">{30,140,350,160,"",""}</definedName>
    <definedName name="ew" localSheetId="0">{30,140,350,160,"",""}</definedName>
    <definedName name="ew">{30,140,350,160,"",""}</definedName>
    <definedName name="ey" localSheetId="2">{30,140,350,160,"",""}</definedName>
    <definedName name="ey" localSheetId="1">{30,140,350,160,"",""}</definedName>
    <definedName name="ey" localSheetId="0">{30,140,350,160,"",""}</definedName>
    <definedName name="ey">{30,140,350,160,"",""}</definedName>
    <definedName name="gf" localSheetId="2">{30,140,350,160,"",""}</definedName>
    <definedName name="gf" localSheetId="1">{30,140,350,160,"",""}</definedName>
    <definedName name="gf" localSheetId="0">{30,140,350,160,"",""}</definedName>
    <definedName name="gf">{30,140,350,160,"",""}</definedName>
    <definedName name="h" localSheetId="2">{30,140,350,160,"",""}</definedName>
    <definedName name="h" localSheetId="1">{30,140,350,160,"",""}</definedName>
    <definedName name="h" localSheetId="0">{30,140,350,160,"",""}</definedName>
    <definedName name="h">{30,140,350,160,"",""}</definedName>
    <definedName name="hf" localSheetId="2">{30,140,350,160,"",""}</definedName>
    <definedName name="hf" localSheetId="1">{30,140,350,160,"",""}</definedName>
    <definedName name="hf" localSheetId="0">{30,140,350,160,"",""}</definedName>
    <definedName name="hf">{30,140,350,160,"",""}</definedName>
    <definedName name="hgh" localSheetId="2">{30,140,350,160,"",""}</definedName>
    <definedName name="hgh" localSheetId="1">{30,140,350,160,"",""}</definedName>
    <definedName name="hgh" localSheetId="0">{30,140,350,160,"",""}</definedName>
    <definedName name="hgh">{30,140,350,160,"",""}</definedName>
    <definedName name="i" localSheetId="2">{30,140,350,160,"",""}</definedName>
    <definedName name="i" localSheetId="1">{30,140,350,160,"",""}</definedName>
    <definedName name="i" localSheetId="0">{30,140,350,160,"",""}</definedName>
    <definedName name="i">{30,140,350,160,"",""}</definedName>
    <definedName name="io" localSheetId="2">{30,140,350,160,"",""}</definedName>
    <definedName name="io" localSheetId="1">{30,140,350,160,"",""}</definedName>
    <definedName name="io" localSheetId="0">{30,140,350,160,"",""}</definedName>
    <definedName name="io">{30,140,350,160,"",""}</definedName>
    <definedName name="iu" localSheetId="2">{30,140,350,160,"",""}</definedName>
    <definedName name="iu" localSheetId="1">{30,140,350,160,"",""}</definedName>
    <definedName name="iu" localSheetId="0">{30,140,350,160,"",""}</definedName>
    <definedName name="iu">{30,140,350,160,"",""}</definedName>
    <definedName name="iuy" localSheetId="2">{30,140,350,160,"",""}</definedName>
    <definedName name="iuy" localSheetId="1">{30,140,350,160,"",""}</definedName>
    <definedName name="iuy" localSheetId="0">{30,140,350,160,"",""}</definedName>
    <definedName name="iuy">{30,140,350,160,"",""}</definedName>
    <definedName name="j" localSheetId="2">{30,140,350,160,"",""}</definedName>
    <definedName name="j" localSheetId="1">{30,140,350,160,"",""}</definedName>
    <definedName name="j" localSheetId="0">{30,140,350,160,"",""}</definedName>
    <definedName name="j">{30,140,350,160,"",""}</definedName>
    <definedName name="lastday">37165</definedName>
    <definedName name="list" localSheetId="2">{30,140,350,160,"",""}</definedName>
    <definedName name="list" localSheetId="1">{30,140,350,160,"",""}</definedName>
    <definedName name="list" localSheetId="0">{30,140,350,160,"",""}</definedName>
    <definedName name="list">{30,140,350,160,"",""}</definedName>
    <definedName name="mn">"Август"</definedName>
    <definedName name="n" localSheetId="2">{30,140,350,160,"",""}</definedName>
    <definedName name="n" localSheetId="1">{30,140,350,160,"",""}</definedName>
    <definedName name="n" localSheetId="0">{30,140,350,160,"",""}</definedName>
    <definedName name="n">{30,140,350,160,"",""}</definedName>
    <definedName name="nb" localSheetId="2">{30,140,350,160,"",""}</definedName>
    <definedName name="nb" localSheetId="1">{30,140,350,160,"",""}</definedName>
    <definedName name="nb" localSheetId="0">{30,140,350,160,"",""}</definedName>
    <definedName name="nb">{30,140,350,160,"",""}</definedName>
    <definedName name="nbv" localSheetId="2">{30,140,350,160,"",""}</definedName>
    <definedName name="nbv" localSheetId="1">{30,140,350,160,"",""}</definedName>
    <definedName name="nbv" localSheetId="0">{30,140,350,160,"",""}</definedName>
    <definedName name="nbv">{30,140,350,160,"",""}</definedName>
    <definedName name="nhg" localSheetId="2">{30,140,350,160,"",""}</definedName>
    <definedName name="nhg" localSheetId="1">{30,140,350,160,"",""}</definedName>
    <definedName name="nhg" localSheetId="0">{30,140,350,160,"",""}</definedName>
    <definedName name="nhg">{30,140,350,160,"",""}</definedName>
    <definedName name="o" localSheetId="2">{30,140,350,160,"",""}</definedName>
    <definedName name="o" localSheetId="1">{30,140,350,160,"",""}</definedName>
    <definedName name="o" localSheetId="0">{30,140,350,160,"",""}</definedName>
    <definedName name="o">{30,140,350,160,"",""}</definedName>
    <definedName name="oiu" localSheetId="2">{30,140,350,160,"",""}</definedName>
    <definedName name="oiu" localSheetId="1">{30,140,350,160,"",""}</definedName>
    <definedName name="oiu" localSheetId="0">{30,140,350,160,"",""}</definedName>
    <definedName name="oiu">{30,140,350,160,"",""}</definedName>
    <definedName name="p" localSheetId="2">{30,140,350,160,"",""}</definedName>
    <definedName name="p" localSheetId="1">{30,140,350,160,"",""}</definedName>
    <definedName name="p" localSheetId="0">{30,140,350,160,"",""}</definedName>
    <definedName name="p">{30,140,350,160,"",""}</definedName>
    <definedName name="Pfujkjdrb_lkz_gtxfnb" localSheetId="2">'[2]б 6-и'!#REF!</definedName>
    <definedName name="Pfujkjdrb_lkz_gtxfnb">'[2]б 6-и'!#REF!</definedName>
    <definedName name="pjv" localSheetId="2">#REF!</definedName>
    <definedName name="pjv" localSheetId="0">#REF!</definedName>
    <definedName name="pjv">#REF!</definedName>
    <definedName name="po" localSheetId="2">{30,140,350,160,"",""}</definedName>
    <definedName name="po" localSheetId="1">{30,140,350,160,"",""}</definedName>
    <definedName name="po" localSheetId="0">{30,140,350,160,"",""}</definedName>
    <definedName name="po">{30,140,350,160,"",""}</definedName>
    <definedName name="q" localSheetId="2">{30,140,350,160,"",""}</definedName>
    <definedName name="q" localSheetId="1">{30,140,350,160,"",""}</definedName>
    <definedName name="q" localSheetId="0">{30,140,350,160,"",""}</definedName>
    <definedName name="q">{30,140,350,160,"",""}</definedName>
    <definedName name="qw" localSheetId="2">{30,140,350,160,"",""}</definedName>
    <definedName name="qw" localSheetId="1">{30,140,350,160,"",""}</definedName>
    <definedName name="qw" localSheetId="0">{30,140,350,160,"",""}</definedName>
    <definedName name="qw">{30,140,350,160,"",""}</definedName>
    <definedName name="qwe" localSheetId="2">{30,140,350,160,"",""}</definedName>
    <definedName name="qwe" localSheetId="1">{30,140,350,160,"",""}</definedName>
    <definedName name="qwe" localSheetId="0">{30,140,350,160,"",""}</definedName>
    <definedName name="qwe">{30,140,350,160,"",""}</definedName>
    <definedName name="re" localSheetId="2">{30,140,350,160,"",""}</definedName>
    <definedName name="re" localSheetId="1">{30,140,350,160,"",""}</definedName>
    <definedName name="re" localSheetId="0">{30,140,350,160,"",""}</definedName>
    <definedName name="re">{30,140,350,160,"",""}</definedName>
    <definedName name="Results" localSheetId="2">[3]Results!#REF!</definedName>
    <definedName name="Results">[3]Results!#REF!</definedName>
    <definedName name="rew" localSheetId="2">{30,140,350,160,"",""}</definedName>
    <definedName name="rew" localSheetId="1">{30,140,350,160,"",""}</definedName>
    <definedName name="rew" localSheetId="0">{30,140,350,160,"",""}</definedName>
    <definedName name="rew">{30,140,350,160,"",""}</definedName>
    <definedName name="rtew" localSheetId="2">{30,140,350,160,"",""}</definedName>
    <definedName name="rtew" localSheetId="1">{30,140,350,160,"",""}</definedName>
    <definedName name="rtew" localSheetId="0">{30,140,350,160,"",""}</definedName>
    <definedName name="rtew">{30,140,350,160,"",""}</definedName>
    <definedName name="sa" localSheetId="2">{30,140,350,160,"",""}</definedName>
    <definedName name="sa" localSheetId="1">{30,140,350,160,"",""}</definedName>
    <definedName name="sa" localSheetId="0">{30,140,350,160,"",""}</definedName>
    <definedName name="sa">{30,140,350,160,"",""}</definedName>
    <definedName name="sd" localSheetId="2">{30,140,350,160,"",""}</definedName>
    <definedName name="sd" localSheetId="1">{30,140,350,160,"",""}</definedName>
    <definedName name="sd" localSheetId="0">{30,140,350,160,"",""}</definedName>
    <definedName name="sd">{30,140,350,160,"",""}</definedName>
    <definedName name="se" localSheetId="2">{30,140,350,160,"",""}</definedName>
    <definedName name="se" localSheetId="1">{30,140,350,160,"",""}</definedName>
    <definedName name="se" localSheetId="0">{30,140,350,160,"",""}</definedName>
    <definedName name="se">{30,140,350,160,"",""}</definedName>
    <definedName name="sf" localSheetId="2">{30,140,350,160,"",""}</definedName>
    <definedName name="sf" localSheetId="1">{30,140,350,160,"",""}</definedName>
    <definedName name="sf" localSheetId="0">{30,140,350,160,"",""}</definedName>
    <definedName name="sf">{30,140,350,160,"",""}</definedName>
    <definedName name="ss" localSheetId="2">{30,140,350,160,"",""}</definedName>
    <definedName name="ss" localSheetId="1">{30,140,350,160,"",""}</definedName>
    <definedName name="ss" localSheetId="0">{30,140,350,160,"",""}</definedName>
    <definedName name="ss">{30,140,350,160,"",""}</definedName>
    <definedName name="t" localSheetId="2">{30,140,350,160,"",""}</definedName>
    <definedName name="t" localSheetId="1">{30,140,350,160,"",""}</definedName>
    <definedName name="t" localSheetId="0">{30,140,350,160,"",""}</definedName>
    <definedName name="t">{30,140,350,160,"",""}</definedName>
    <definedName name="tr" localSheetId="2">{30,140,350,160,"",""}</definedName>
    <definedName name="tr" localSheetId="1">{30,140,350,160,"",""}</definedName>
    <definedName name="tr" localSheetId="0">{30,140,350,160,"",""}</definedName>
    <definedName name="tr">{30,140,350,160,"",""}</definedName>
    <definedName name="tre" localSheetId="2">{30,140,350,160,"",""}</definedName>
    <definedName name="tre" localSheetId="1">{30,140,350,160,"",""}</definedName>
    <definedName name="tre" localSheetId="0">{30,140,350,160,"",""}</definedName>
    <definedName name="tre">{30,140,350,160,"",""}</definedName>
    <definedName name="ty" localSheetId="2">{30,140,350,160,"",""}</definedName>
    <definedName name="ty" localSheetId="1">{30,140,350,160,"",""}</definedName>
    <definedName name="ty" localSheetId="0">{30,140,350,160,"",""}</definedName>
    <definedName name="ty">{30,140,350,160,"",""}</definedName>
    <definedName name="tyu" localSheetId="2">{30,140,350,160,"",""}</definedName>
    <definedName name="tyu" localSheetId="1">{30,140,350,160,"",""}</definedName>
    <definedName name="tyu" localSheetId="0">{30,140,350,160,"",""}</definedName>
    <definedName name="tyu">{30,140,350,160,"",""}</definedName>
    <definedName name="u" localSheetId="2">{30,140,350,160,"",""}</definedName>
    <definedName name="u" localSheetId="1">{30,140,350,160,"",""}</definedName>
    <definedName name="u" localSheetId="0">{30,140,350,160,"",""}</definedName>
    <definedName name="u">{30,140,350,160,"",""}</definedName>
    <definedName name="uiy" localSheetId="2">{30,140,350,160,"",""}</definedName>
    <definedName name="uiy" localSheetId="1">{30,140,350,160,"",""}</definedName>
    <definedName name="uiy" localSheetId="0">{30,140,350,160,"",""}</definedName>
    <definedName name="uiy">{30,140,350,160,"",""}</definedName>
    <definedName name="uy" localSheetId="2">{30,140,350,160,"",""}</definedName>
    <definedName name="uy" localSheetId="1">{30,140,350,160,"",""}</definedName>
    <definedName name="uy" localSheetId="0">{30,140,350,160,"",""}</definedName>
    <definedName name="uy">{30,140,350,160,"",""}</definedName>
    <definedName name="uyjh" localSheetId="2">{30,140,350,160,"",""}</definedName>
    <definedName name="uyjh" localSheetId="1">{30,140,350,160,"",""}</definedName>
    <definedName name="uyjh" localSheetId="0">{30,140,350,160,"",""}</definedName>
    <definedName name="uyjh">{30,140,350,160,"",""}</definedName>
    <definedName name="uyt" localSheetId="2">{30,140,350,160,"",""}</definedName>
    <definedName name="uyt" localSheetId="1">{30,140,350,160,"",""}</definedName>
    <definedName name="uyt" localSheetId="0">{30,140,350,160,"",""}</definedName>
    <definedName name="uyt">{30,140,350,160,"",""}</definedName>
    <definedName name="v" localSheetId="2">{30,140,350,160,"",""}</definedName>
    <definedName name="v" localSheetId="1">{30,140,350,160,"",""}</definedName>
    <definedName name="v" localSheetId="0">{30,140,350,160,"",""}</definedName>
    <definedName name="v">{30,140,350,160,"",""}</definedName>
    <definedName name="vcx" localSheetId="2">{30,140,350,160,"",""}</definedName>
    <definedName name="vcx" localSheetId="1">{30,140,350,160,"",""}</definedName>
    <definedName name="vcx" localSheetId="0">{30,140,350,160,"",""}</definedName>
    <definedName name="vcx">{30,140,350,160,"",""}</definedName>
    <definedName name="w" localSheetId="2">{30,140,350,160,"",""}</definedName>
    <definedName name="w" localSheetId="1">{30,140,350,160,"",""}</definedName>
    <definedName name="w" localSheetId="0">{30,140,350,160,"",""}</definedName>
    <definedName name="w">{30,140,350,160,"",""}</definedName>
    <definedName name="wa" localSheetId="2">#REF!</definedName>
    <definedName name="wa" localSheetId="0">#REF!</definedName>
    <definedName name="wa">#REF!</definedName>
    <definedName name="we" localSheetId="2">{30,140,350,160,"",""}</definedName>
    <definedName name="we" localSheetId="1">{30,140,350,160,"",""}</definedName>
    <definedName name="we" localSheetId="0">{30,140,350,160,"",""}</definedName>
    <definedName name="we">{30,140,350,160,"",""}</definedName>
    <definedName name="wer" localSheetId="2">{30,140,350,160,"",""}</definedName>
    <definedName name="wer" localSheetId="1">{30,140,350,160,"",""}</definedName>
    <definedName name="wer" localSheetId="0">{30,140,350,160,"",""}</definedName>
    <definedName name="wer">{30,140,350,160,"",""}</definedName>
    <definedName name="wf" localSheetId="2">{30,140,350,160,"",""}</definedName>
    <definedName name="wf" localSheetId="1">{30,140,350,160,"",""}</definedName>
    <definedName name="wf" localSheetId="0">{30,140,350,160,"",""}</definedName>
    <definedName name="wf">{30,140,350,160,"",""}</definedName>
    <definedName name="wq" localSheetId="2">#REF!</definedName>
    <definedName name="wq" localSheetId="0">#REF!</definedName>
    <definedName name="wq">#REF!</definedName>
    <definedName name="wqe" localSheetId="2">{30,140,350,160,"",""}</definedName>
    <definedName name="wqe" localSheetId="1">{30,140,350,160,"",""}</definedName>
    <definedName name="wqe" localSheetId="0">{30,140,350,160,"",""}</definedName>
    <definedName name="wqe">{30,140,350,160,"",""}</definedName>
    <definedName name="wr" localSheetId="2" hidden="1">#REF!</definedName>
    <definedName name="wr" localSheetId="0" hidden="1">#REF!</definedName>
    <definedName name="wr" hidden="1">#REF!</definedName>
    <definedName name="ws" localSheetId="2">{30,140,350,160,"",""}</definedName>
    <definedName name="ws" localSheetId="1">{30,140,350,160,"",""}</definedName>
    <definedName name="ws" localSheetId="0">{30,140,350,160,"",""}</definedName>
    <definedName name="ws">{30,140,350,160,"",""}</definedName>
    <definedName name="wt" localSheetId="2">{30,140,350,160,"",""}</definedName>
    <definedName name="wt" localSheetId="1">{30,140,350,160,"",""}</definedName>
    <definedName name="wt" localSheetId="0">{30,140,350,160,"",""}</definedName>
    <definedName name="wt">{30,140,350,160,"",""}</definedName>
    <definedName name="wv" localSheetId="2">{30,140,350,160,"",""}</definedName>
    <definedName name="wv" localSheetId="1">{30,140,350,160,"",""}</definedName>
    <definedName name="wv" localSheetId="0">{30,140,350,160,"",""}</definedName>
    <definedName name="wv">{30,140,350,160,"",""}</definedName>
    <definedName name="wx" localSheetId="2">{30,140,350,160,"",""}</definedName>
    <definedName name="wx" localSheetId="1">{30,140,350,160,"",""}</definedName>
    <definedName name="wx" localSheetId="0">{30,140,350,160,"",""}</definedName>
    <definedName name="wx">{30,140,350,160,"",""}</definedName>
    <definedName name="wy" localSheetId="2">{30,140,350,160,"",""}</definedName>
    <definedName name="wy" localSheetId="1">{30,140,350,160,"",""}</definedName>
    <definedName name="wy" localSheetId="0">{30,140,350,160,"",""}</definedName>
    <definedName name="wy">{30,140,350,160,"",""}</definedName>
    <definedName name="wz" localSheetId="2">#REF!</definedName>
    <definedName name="wz" localSheetId="0">#REF!</definedName>
    <definedName name="wz">#REF!</definedName>
    <definedName name="x" localSheetId="2">{30,140,350,160,"",""}</definedName>
    <definedName name="x" localSheetId="1">{30,140,350,160,"",""}</definedName>
    <definedName name="x" localSheetId="0">{30,140,350,160,"",""}</definedName>
    <definedName name="x">{30,140,350,160,"",""}</definedName>
    <definedName name="xcv" localSheetId="2">{30,140,350,160,"",""}</definedName>
    <definedName name="xcv" localSheetId="1">{30,140,350,160,"",""}</definedName>
    <definedName name="xcv" localSheetId="0">{30,140,350,160,"",""}</definedName>
    <definedName name="xcv">{30,140,350,160,"",""}</definedName>
    <definedName name="xczx" localSheetId="2">{30,140,350,160,"",""}</definedName>
    <definedName name="xczx" localSheetId="1">{30,140,350,160,"",""}</definedName>
    <definedName name="xczx" localSheetId="0">{30,140,350,160,"",""}</definedName>
    <definedName name="xczx">{30,140,350,160,"",""}</definedName>
    <definedName name="xvcvcxzdsfs" localSheetId="2">#REF!</definedName>
    <definedName name="xvcvcxzdsfs" localSheetId="0">#REF!</definedName>
    <definedName name="xvcvcxzdsfs">#REF!</definedName>
    <definedName name="y" localSheetId="2">{30,140,350,160,"",""}</definedName>
    <definedName name="y" localSheetId="1">{30,140,350,160,"",""}</definedName>
    <definedName name="y" localSheetId="0">{30,140,350,160,"",""}</definedName>
    <definedName name="y">{30,140,350,160,"",""}</definedName>
    <definedName name="yt" localSheetId="2">{30,140,350,160,"",""}</definedName>
    <definedName name="yt" localSheetId="1">{30,140,350,160,"",""}</definedName>
    <definedName name="yt" localSheetId="0">{30,140,350,160,"",""}</definedName>
    <definedName name="yt">{30,140,350,160,"",""}</definedName>
    <definedName name="ytr" localSheetId="2">{30,140,350,160,"",""}</definedName>
    <definedName name="ytr" localSheetId="1">{30,140,350,160,"",""}</definedName>
    <definedName name="ytr" localSheetId="0">{30,140,350,160,"",""}</definedName>
    <definedName name="ytr">{30,140,350,160,"",""}</definedName>
    <definedName name="ytu" localSheetId="2">{30,140,350,160,"",""}</definedName>
    <definedName name="ytu" localSheetId="1">{30,140,350,160,"",""}</definedName>
    <definedName name="ytu" localSheetId="0">{30,140,350,160,"",""}</definedName>
    <definedName name="ytu">{30,140,350,160,"",""}</definedName>
    <definedName name="z" localSheetId="2">{30,140,350,160,"",""}</definedName>
    <definedName name="z" localSheetId="1">{30,140,350,160,"",""}</definedName>
    <definedName name="z" localSheetId="0">{30,140,350,160,"",""}</definedName>
    <definedName name="z">{30,140,350,160,"",""}</definedName>
    <definedName name="Z_3A9B8CE0_90FE_45F7_B16A_6C9B6CFEF69B_.wvu.PrintTitles" hidden="1">[4]оборот!$A$1:$B$65536,[4]оборот!$A$1:$IV$1</definedName>
    <definedName name="za" localSheetId="2">{30,140,350,160,"",""}</definedName>
    <definedName name="za" localSheetId="1">{30,140,350,160,"",""}</definedName>
    <definedName name="za" localSheetId="0">{30,140,350,160,"",""}</definedName>
    <definedName name="za">{30,140,350,160,"",""}</definedName>
    <definedName name="zx" localSheetId="2">{30,140,350,160,"",""}</definedName>
    <definedName name="zx" localSheetId="1">{30,140,350,160,"",""}</definedName>
    <definedName name="zx" localSheetId="0">{30,140,350,160,"",""}</definedName>
    <definedName name="zx">{30,140,350,160,"",""}</definedName>
    <definedName name="а" localSheetId="2">#REF!</definedName>
    <definedName name="а" localSheetId="0">#REF!</definedName>
    <definedName name="а">#REF!</definedName>
    <definedName name="А10" localSheetId="2">#REF!</definedName>
    <definedName name="А10" localSheetId="0">#REF!</definedName>
    <definedName name="А10">#REF!</definedName>
    <definedName name="А2" localSheetId="2">#REF!</definedName>
    <definedName name="А2" localSheetId="0">#REF!</definedName>
    <definedName name="А2">#REF!</definedName>
    <definedName name="А9" localSheetId="2">#REF!</definedName>
    <definedName name="А9">#REF!</definedName>
    <definedName name="аа" localSheetId="2" hidden="1">#REF!</definedName>
    <definedName name="аа" hidden="1">#REF!</definedName>
    <definedName name="ааа">'[5]Фориш 2003'!$O$4</definedName>
    <definedName name="аааа" localSheetId="2">#REF!</definedName>
    <definedName name="аааа" localSheetId="0">#REF!</definedName>
    <definedName name="аааа">#REF!</definedName>
    <definedName name="ааав" localSheetId="2">#REF!</definedName>
    <definedName name="ааав" localSheetId="0">#REF!</definedName>
    <definedName name="ааав">#REF!</definedName>
    <definedName name="абду" localSheetId="2">#REF!</definedName>
    <definedName name="абду" localSheetId="0">#REF!</definedName>
    <definedName name="абду">#REF!</definedName>
    <definedName name="ав" localSheetId="2">#REF!</definedName>
    <definedName name="ав">#REF!</definedName>
    <definedName name="аваав" localSheetId="2">{30,140,350,160,"",""}</definedName>
    <definedName name="аваав" localSheetId="1">{30,140,350,160,"",""}</definedName>
    <definedName name="аваав" localSheetId="0">{30,140,350,160,"",""}</definedName>
    <definedName name="аваав">{30,140,350,160,"",""}</definedName>
    <definedName name="ававпаррпор" localSheetId="2">{30,140,350,160,"",""}</definedName>
    <definedName name="ававпаррпор" localSheetId="1">{30,140,350,160,"",""}</definedName>
    <definedName name="ававпаррпор" localSheetId="0">{30,140,350,160,"",""}</definedName>
    <definedName name="ававпаррпор">{30,140,350,160,"",""}</definedName>
    <definedName name="авлб" localSheetId="2">#REF!</definedName>
    <definedName name="авлб" localSheetId="0">#REF!</definedName>
    <definedName name="авлб">#REF!</definedName>
    <definedName name="адр">"$A$3"</definedName>
    <definedName name="АЕН" localSheetId="2">#REF!</definedName>
    <definedName name="АЕН" localSheetId="0">#REF!</definedName>
    <definedName name="АЕН">#REF!</definedName>
    <definedName name="Албина" localSheetId="2">#REF!</definedName>
    <definedName name="Албина" localSheetId="0">#REF!</definedName>
    <definedName name="Албина">#REF!</definedName>
    <definedName name="Амударья" localSheetId="2">#REF!</definedName>
    <definedName name="Амударья" localSheetId="0">#REF!</definedName>
    <definedName name="Амударья">#REF!</definedName>
    <definedName name="ап" localSheetId="2">#REF!</definedName>
    <definedName name="ап">#REF!</definedName>
    <definedName name="апавлпо" localSheetId="2">{30,140,350,160,"",""}</definedName>
    <definedName name="апавлпо" localSheetId="1">{30,140,350,160,"",""}</definedName>
    <definedName name="апавлпо" localSheetId="0">{30,140,350,160,"",""}</definedName>
    <definedName name="апавлпо">{30,140,350,160,"",""}</definedName>
    <definedName name="апп" localSheetId="2">{30,140,350,160,"",""}</definedName>
    <definedName name="апп" localSheetId="1">{30,140,350,160,"",""}</definedName>
    <definedName name="апп" localSheetId="0">{30,140,350,160,"",""}</definedName>
    <definedName name="апп">{30,140,350,160,"",""}</definedName>
    <definedName name="апр" localSheetId="2">{30,140,350,160,"",""}</definedName>
    <definedName name="апр" localSheetId="1">{30,140,350,160,"",""}</definedName>
    <definedName name="апр" localSheetId="0">{30,140,350,160,"",""}</definedName>
    <definedName name="апр">{30,140,350,160,"",""}</definedName>
    <definedName name="апрол" localSheetId="2">#REF!</definedName>
    <definedName name="апрол" localSheetId="0">#REF!</definedName>
    <definedName name="апрол">#REF!</definedName>
    <definedName name="Ахмад" localSheetId="2">{30,140,350,160,"",""}</definedName>
    <definedName name="Ахмад" localSheetId="1">{30,140,350,160,"",""}</definedName>
    <definedName name="Ахмад" localSheetId="0">{30,140,350,160,"",""}</definedName>
    <definedName name="Ахмад">{30,140,350,160,"",""}</definedName>
    <definedName name="б" localSheetId="2">{30,140,350,160,"",""}</definedName>
    <definedName name="б" localSheetId="1">{30,140,350,160,"",""}</definedName>
    <definedName name="б" localSheetId="0">{30,140,350,160,"",""}</definedName>
    <definedName name="б">{30,140,350,160,"",""}</definedName>
    <definedName name="_xlnm.Database" localSheetId="2">#REF!</definedName>
    <definedName name="_xlnm.Database" localSheetId="0">#REF!</definedName>
    <definedName name="_xlnm.Database">#REF!</definedName>
    <definedName name="Бахмал" localSheetId="2">#REF!</definedName>
    <definedName name="Бахмал" localSheetId="0">#REF!</definedName>
    <definedName name="Бахмал">#REF!</definedName>
    <definedName name="бахром" localSheetId="2">{30,140,350,160,"",""}</definedName>
    <definedName name="бахром" localSheetId="1">{30,140,350,160,"",""}</definedName>
    <definedName name="бахром" localSheetId="0">{30,140,350,160,"",""}</definedName>
    <definedName name="бахром">{30,140,350,160,"",""}</definedName>
    <definedName name="бббб" localSheetId="2">#REF!</definedName>
    <definedName name="бббб" localSheetId="0">#REF!</definedName>
    <definedName name="бббб">#REF!</definedName>
    <definedName name="беенок" localSheetId="2">{30,140,350,160,"",""}</definedName>
    <definedName name="беенок" localSheetId="1">{30,140,350,160,"",""}</definedName>
    <definedName name="беенок" localSheetId="0">{30,140,350,160,"",""}</definedName>
    <definedName name="беенок">{30,140,350,160,"",""}</definedName>
    <definedName name="Беруний" localSheetId="2">#REF!</definedName>
    <definedName name="Беруний" localSheetId="0">#REF!</definedName>
    <definedName name="Беруний">#REF!</definedName>
    <definedName name="бир" localSheetId="2">'[6]Ер Ресурс'!#REF!</definedName>
    <definedName name="бир" localSheetId="0">'[6]Ер Ресурс'!#REF!</definedName>
    <definedName name="бир">'[6]Ер Ресурс'!#REF!</definedName>
    <definedName name="бь" localSheetId="2">{30,140,350,160,"",""}</definedName>
    <definedName name="бь" localSheetId="1">{30,140,350,160,"",""}</definedName>
    <definedName name="бь" localSheetId="0">{30,140,350,160,"",""}</definedName>
    <definedName name="бь">{30,140,350,160,"",""}</definedName>
    <definedName name="бю" localSheetId="2">{30,140,350,160,"",""}</definedName>
    <definedName name="бю" localSheetId="1">{30,140,350,160,"",""}</definedName>
    <definedName name="бю" localSheetId="0">{30,140,350,160,"",""}</definedName>
    <definedName name="бю">{30,140,350,160,"",""}</definedName>
    <definedName name="В5" localSheetId="2">#REF!</definedName>
    <definedName name="В5" localSheetId="0">#REF!</definedName>
    <definedName name="В5">#REF!</definedName>
    <definedName name="ва" localSheetId="2">#REF!</definedName>
    <definedName name="ва" localSheetId="0">#REF!</definedName>
    <definedName name="ва">#REF!</definedName>
    <definedName name="вава" localSheetId="2" hidden="1">#REF!</definedName>
    <definedName name="вава" localSheetId="0" hidden="1">#REF!</definedName>
    <definedName name="вава" hidden="1">#REF!</definedName>
    <definedName name="вв" localSheetId="2">#REF!</definedName>
    <definedName name="вв">#REF!</definedName>
    <definedName name="вва" localSheetId="2">{30,140,350,160,"",""}</definedName>
    <definedName name="вва" localSheetId="1">{30,140,350,160,"",""}</definedName>
    <definedName name="вва" localSheetId="0">{30,140,350,160,"",""}</definedName>
    <definedName name="вва">{30,140,350,160,"",""}</definedName>
    <definedName name="ввв" localSheetId="2">{30,140,350,160,"",""}</definedName>
    <definedName name="ввв" localSheetId="1">{30,140,350,160,"",""}</definedName>
    <definedName name="ввв" localSheetId="0">{30,140,350,160,"",""}</definedName>
    <definedName name="ввв">{30,140,350,160,"",""}</definedName>
    <definedName name="вввввв" localSheetId="2">#REF!</definedName>
    <definedName name="вввввв" localSheetId="0">#REF!</definedName>
    <definedName name="вввввв">#REF!</definedName>
    <definedName name="вмм" localSheetId="2">{30,140,350,160,"",""}</definedName>
    <definedName name="вмм" localSheetId="1">{30,140,350,160,"",""}</definedName>
    <definedName name="вмм" localSheetId="0">{30,140,350,160,"",""}</definedName>
    <definedName name="вмм">{30,140,350,160,"",""}</definedName>
    <definedName name="вова" localSheetId="2">#REF!</definedName>
    <definedName name="вова" localSheetId="0">#REF!</definedName>
    <definedName name="вова">#REF!</definedName>
    <definedName name="врпороро" localSheetId="2">#REF!</definedName>
    <definedName name="врпороро" localSheetId="0">#REF!</definedName>
    <definedName name="врпороро">#REF!</definedName>
    <definedName name="вфывфыв" localSheetId="2">#REF!</definedName>
    <definedName name="вфывфыв" localSheetId="0">#REF!</definedName>
    <definedName name="вфывфыв">#REF!</definedName>
    <definedName name="вы" localSheetId="2">{30,140,350,160,"",""}</definedName>
    <definedName name="вы" localSheetId="1">{30,140,350,160,"",""}</definedName>
    <definedName name="вы" localSheetId="0">{30,140,350,160,"",""}</definedName>
    <definedName name="вы">{30,140,350,160,"",""}</definedName>
    <definedName name="выбыло">0</definedName>
    <definedName name="вывывыв" localSheetId="2">{30,140,350,160,"",""}</definedName>
    <definedName name="вывывыв" localSheetId="1">{30,140,350,160,"",""}</definedName>
    <definedName name="вывывыв" localSheetId="0">{30,140,350,160,"",""}</definedName>
    <definedName name="вывывыв">{30,140,350,160,"",""}</definedName>
    <definedName name="вып">[7]режа!$A$1:$R$862</definedName>
    <definedName name="г" localSheetId="2">{30,140,350,160,"",""}</definedName>
    <definedName name="г" localSheetId="1">{30,140,350,160,"",""}</definedName>
    <definedName name="г" localSheetId="0">{30,140,350,160,"",""}</definedName>
    <definedName name="г">{30,140,350,160,"",""}</definedName>
    <definedName name="галла_нархи">'[8]Фориш 2003'!$O$4</definedName>
    <definedName name="галлаааа">'[9]Фориш 2003'!$O$4</definedName>
    <definedName name="гн" localSheetId="2">{30,140,350,160,"",""}</definedName>
    <definedName name="гн" localSheetId="1">{30,140,350,160,"",""}</definedName>
    <definedName name="гн" localSheetId="0">{30,140,350,160,"",""}</definedName>
    <definedName name="гн">{30,140,350,160,"",""}</definedName>
    <definedName name="гне" localSheetId="2">{30,140,350,160,"",""}</definedName>
    <definedName name="гне" localSheetId="1">{30,140,350,160,"",""}</definedName>
    <definedName name="гне" localSheetId="0">{30,140,350,160,"",""}</definedName>
    <definedName name="гне">{30,140,350,160,"",""}</definedName>
    <definedName name="д" localSheetId="2">#REF!</definedName>
    <definedName name="д" localSheetId="0">#REF!</definedName>
    <definedName name="д">#REF!</definedName>
    <definedName name="да" localSheetId="2">{30,140,350,160,"",""}</definedName>
    <definedName name="да" localSheetId="1">{30,140,350,160,"",""}</definedName>
    <definedName name="да" localSheetId="0">{30,140,350,160,"",""}</definedName>
    <definedName name="да">{30,140,350,160,"",""}</definedName>
    <definedName name="ддд" localSheetId="2">#REF!</definedName>
    <definedName name="ддд" localSheetId="0">#REF!</definedName>
    <definedName name="ддд">#REF!</definedName>
    <definedName name="диёр" localSheetId="2">{30,140,350,160,"",""}</definedName>
    <definedName name="диёр" localSheetId="1">{30,140,350,160,"",""}</definedName>
    <definedName name="диёр" localSheetId="0">{30,140,350,160,"",""}</definedName>
    <definedName name="диёр">{30,140,350,160,"",""}</definedName>
    <definedName name="доллар">[10]c!$C$1</definedName>
    <definedName name="дустл" localSheetId="2">{30,140,350,160,"",""}</definedName>
    <definedName name="дустл" localSheetId="1">{30,140,350,160,"",""}</definedName>
    <definedName name="дустл" localSheetId="0">{30,140,350,160,"",""}</definedName>
    <definedName name="дустл">{30,140,350,160,"",""}</definedName>
    <definedName name="ек" localSheetId="2">{30,140,350,160,"",""}</definedName>
    <definedName name="ек" localSheetId="1">{30,140,350,160,"",""}</definedName>
    <definedName name="ек" localSheetId="0">{30,140,350,160,"",""}</definedName>
    <definedName name="ек">{30,140,350,160,"",""}</definedName>
    <definedName name="еке" localSheetId="2">{30,140,350,160,"",""}</definedName>
    <definedName name="еке" localSheetId="1">{30,140,350,160,"",""}</definedName>
    <definedName name="еке" localSheetId="0">{30,140,350,160,"",""}</definedName>
    <definedName name="еке">{30,140,350,160,"",""}</definedName>
    <definedName name="ен" localSheetId="2">{30,140,350,160,"",""}</definedName>
    <definedName name="ен" localSheetId="1">{30,140,350,160,"",""}</definedName>
    <definedName name="ен" localSheetId="0">{30,140,350,160,"",""}</definedName>
    <definedName name="ен">{30,140,350,160,"",""}</definedName>
    <definedName name="жадваллар" localSheetId="2">#REF!</definedName>
    <definedName name="жадваллар" localSheetId="0">#REF!</definedName>
    <definedName name="жадваллар">#REF!</definedName>
    <definedName name="жалаб" localSheetId="2">#REF!</definedName>
    <definedName name="жалаб" localSheetId="0">#REF!</definedName>
    <definedName name="жалаб">#REF!</definedName>
    <definedName name="жами" localSheetId="2">#REF!</definedName>
    <definedName name="жами" localSheetId="0">#REF!</definedName>
    <definedName name="жами">#REF!</definedName>
    <definedName name="жамол" localSheetId="2">#REF!</definedName>
    <definedName name="жамол">#REF!</definedName>
    <definedName name="жиз" localSheetId="2">#REF!</definedName>
    <definedName name="жиз">#REF!</definedName>
    <definedName name="Жиззах" localSheetId="2">{30,140,350,160,"",""}</definedName>
    <definedName name="Жиззах" localSheetId="1">{30,140,350,160,"",""}</definedName>
    <definedName name="Жиззах" localSheetId="0">{30,140,350,160,"",""}</definedName>
    <definedName name="Жиззах">{30,140,350,160,"",""}</definedName>
    <definedName name="жиззсвод" localSheetId="2">#REF!</definedName>
    <definedName name="жиззсвод" localSheetId="0">#REF!</definedName>
    <definedName name="жиззсвод">#REF!</definedName>
    <definedName name="жора" localSheetId="2">[11]Results!#REF!</definedName>
    <definedName name="жора" localSheetId="0">[11]Results!#REF!</definedName>
    <definedName name="жора">[11]Results!#REF!</definedName>
    <definedName name="жура" localSheetId="2">#REF!</definedName>
    <definedName name="жура" localSheetId="0">#REF!</definedName>
    <definedName name="жура">#REF!</definedName>
    <definedName name="з" localSheetId="2">#REF!</definedName>
    <definedName name="з" localSheetId="0">#REF!</definedName>
    <definedName name="з">#REF!</definedName>
    <definedName name="Загаловки_для_печати" localSheetId="2">#REF!</definedName>
    <definedName name="Загаловки_для_печати" localSheetId="0">#REF!</definedName>
    <definedName name="Загаловки_для_печати">#REF!</definedName>
    <definedName name="Загловки_для_печати" localSheetId="2">#REF!</definedName>
    <definedName name="Загловки_для_печати">#REF!</definedName>
    <definedName name="Заголвки_для_печати" localSheetId="2">#REF!</definedName>
    <definedName name="Заголвки_для_печати">#REF!</definedName>
    <definedName name="Заголовка_для_печати" localSheetId="2">#REF!</definedName>
    <definedName name="Заголовка_для_печати">#REF!</definedName>
    <definedName name="_xlnm.Print_Titles" localSheetId="2">#REF!</definedName>
    <definedName name="_xlnm.Print_Titles" localSheetId="0">свод!$1:$4</definedName>
    <definedName name="_xlnm.Print_Titles">#REF!</definedName>
    <definedName name="ЗаголовкиҒдляҒпечати" localSheetId="2">'[2]б 6-и'!#REF!</definedName>
    <definedName name="ЗаголовкиҒдляҒпечати" localSheetId="0">'[2]б 6-и'!#REF!</definedName>
    <definedName name="ЗаголовкиҒдляҒпечати">'[2]б 6-и'!#REF!</definedName>
    <definedName name="зал" localSheetId="2">{30,140,350,160,"",""}</definedName>
    <definedName name="зал" localSheetId="1">{30,140,350,160,"",""}</definedName>
    <definedName name="зал" localSheetId="0">{30,140,350,160,"",""}</definedName>
    <definedName name="зал">{30,140,350,160,"",""}</definedName>
    <definedName name="Заноловки_для_печати" localSheetId="2">#REF!</definedName>
    <definedName name="Заноловки_для_печати" localSheetId="0">#REF!</definedName>
    <definedName name="Заноловки_для_печати">#REF!</definedName>
    <definedName name="Запрос1" localSheetId="2">#REF!</definedName>
    <definedName name="Запрос1" localSheetId="0">#REF!</definedName>
    <definedName name="Запрос1">#REF!</definedName>
    <definedName name="зафар" localSheetId="2">{30,140,350,160,"",""}</definedName>
    <definedName name="зафар" localSheetId="1">{30,140,350,160,"",""}</definedName>
    <definedName name="зафар" localSheetId="0">{30,140,350,160,"",""}</definedName>
    <definedName name="зафар">{30,140,350,160,"",""}</definedName>
    <definedName name="зж" localSheetId="2">{30,140,350,160,"",""}</definedName>
    <definedName name="зж" localSheetId="1">{30,140,350,160,"",""}</definedName>
    <definedName name="зж" localSheetId="0">{30,140,350,160,"",""}</definedName>
    <definedName name="зж">{30,140,350,160,"",""}</definedName>
    <definedName name="зщ" localSheetId="2">{30,140,350,160,"",""}</definedName>
    <definedName name="зщ" localSheetId="1">{30,140,350,160,"",""}</definedName>
    <definedName name="зщ" localSheetId="0">{30,140,350,160,"",""}</definedName>
    <definedName name="зщ">{30,140,350,160,"",""}</definedName>
    <definedName name="и" localSheetId="2">#REF!</definedName>
    <definedName name="и" localSheetId="0">#REF!</definedName>
    <definedName name="и">#REF!</definedName>
    <definedName name="иепр" localSheetId="2">#REF!</definedName>
    <definedName name="иепр" localSheetId="0">#REF!</definedName>
    <definedName name="иепр">#REF!</definedName>
    <definedName name="ИЗН">460</definedName>
    <definedName name="износом">43508</definedName>
    <definedName name="иииииитт" localSheetId="2">{30,140,350,160,"",""}</definedName>
    <definedName name="иииииитт" localSheetId="1">{30,140,350,160,"",""}</definedName>
    <definedName name="иииииитт" localSheetId="0">{30,140,350,160,"",""}</definedName>
    <definedName name="иииииитт">{30,140,350,160,"",""}</definedName>
    <definedName name="икки" localSheetId="2">'[6]Ер Ресурс'!#REF!</definedName>
    <definedName name="икки">'[6]Ер Ресурс'!#REF!</definedName>
    <definedName name="илхом" localSheetId="2">#REF!</definedName>
    <definedName name="илхом" localSheetId="0">#REF!</definedName>
    <definedName name="илхом">#REF!</definedName>
    <definedName name="ИЛЬЯС" localSheetId="2">#REF!</definedName>
    <definedName name="ИЛЬЯС" localSheetId="0">#REF!</definedName>
    <definedName name="ИЛЬЯС">#REF!</definedName>
    <definedName name="имиттампа" localSheetId="2">{30,140,350,160,"",""}</definedName>
    <definedName name="имиттампа" localSheetId="1">{30,140,350,160,"",""}</definedName>
    <definedName name="имиттампа" localSheetId="0">{30,140,350,160,"",""}</definedName>
    <definedName name="имиттампа">{30,140,350,160,"",""}</definedName>
    <definedName name="инвентаризация" localSheetId="2">#REF!</definedName>
    <definedName name="инвентаризация" localSheetId="0">#REF!</definedName>
    <definedName name="инвентаризация">#REF!</definedName>
    <definedName name="инкасса" localSheetId="2">{30,140,350,160,"",""}</definedName>
    <definedName name="инкасса" localSheetId="1">{30,140,350,160,"",""}</definedName>
    <definedName name="инкасса" localSheetId="0">{30,140,350,160,"",""}</definedName>
    <definedName name="инкасса">{30,140,350,160,"",""}</definedName>
    <definedName name="ипр" localSheetId="2">{30,140,350,160,"",""}</definedName>
    <definedName name="ипр" localSheetId="1">{30,140,350,160,"",""}</definedName>
    <definedName name="ипр" localSheetId="0">{30,140,350,160,"",""}</definedName>
    <definedName name="ипр">{30,140,350,160,"",""}</definedName>
    <definedName name="ислом" localSheetId="2">{30,140,350,160,"",""}</definedName>
    <definedName name="ислом" localSheetId="1">{30,140,350,160,"",""}</definedName>
    <definedName name="ислом" localSheetId="0">{30,140,350,160,"",""}</definedName>
    <definedName name="ислом">{30,140,350,160,"",""}</definedName>
    <definedName name="исм" localSheetId="2">{30,140,350,160,"",""}</definedName>
    <definedName name="исм" localSheetId="1">{30,140,350,160,"",""}</definedName>
    <definedName name="исм" localSheetId="0">{30,140,350,160,"",""}</definedName>
    <definedName name="исм">{30,140,350,160,"",""}</definedName>
    <definedName name="ишлаш_учун" localSheetId="2">#REF!</definedName>
    <definedName name="ишлаш_учун" localSheetId="0">#REF!</definedName>
    <definedName name="ишлаш_учун">#REF!</definedName>
    <definedName name="йй" localSheetId="2">#REF!</definedName>
    <definedName name="йй" localSheetId="0">#REF!</definedName>
    <definedName name="йй">#REF!</definedName>
    <definedName name="Йуклама" localSheetId="2">{30,140,350,160,"",""}</definedName>
    <definedName name="Йуклама" localSheetId="1">{30,140,350,160,"",""}</definedName>
    <definedName name="Йуклама" localSheetId="0">{30,140,350,160,"",""}</definedName>
    <definedName name="Йуклама">{30,140,350,160,"",""}</definedName>
    <definedName name="йц" localSheetId="2">{30,140,350,160,"",""}</definedName>
    <definedName name="йц" localSheetId="1">{30,140,350,160,"",""}</definedName>
    <definedName name="йц" localSheetId="0">{30,140,350,160,"",""}</definedName>
    <definedName name="йц">{30,140,350,160,"",""}</definedName>
    <definedName name="кахрамон" localSheetId="2">#REF!</definedName>
    <definedName name="кахрамон" localSheetId="0">#REF!</definedName>
    <definedName name="кахрамон">#REF!</definedName>
    <definedName name="кацуац" localSheetId="2">{30,140,350,160,"",""}</definedName>
    <definedName name="кацуац" localSheetId="1">{30,140,350,160,"",""}</definedName>
    <definedName name="кацуац" localSheetId="0">{30,140,350,160,"",""}</definedName>
    <definedName name="кацуац">{30,140,350,160,"",""}</definedName>
    <definedName name="ке" localSheetId="2">{30,140,350,160,"",""}</definedName>
    <definedName name="ке" localSheetId="1">{30,140,350,160,"",""}</definedName>
    <definedName name="ке" localSheetId="0">{30,140,350,160,"",""}</definedName>
    <definedName name="ке">{30,140,350,160,"",""}</definedName>
    <definedName name="кейс" localSheetId="2">#REF!</definedName>
    <definedName name="кейс" localSheetId="0">#REF!</definedName>
    <definedName name="кейс">#REF!</definedName>
    <definedName name="кен" localSheetId="2">{30,140,350,160,"",""}</definedName>
    <definedName name="кен" localSheetId="1">{30,140,350,160,"",""}</definedName>
    <definedName name="кен" localSheetId="0">{30,140,350,160,"",""}</definedName>
    <definedName name="кен">{30,140,350,160,"",""}</definedName>
    <definedName name="кк" localSheetId="2">{30,140,350,160,"",""}</definedName>
    <definedName name="кк" localSheetId="1">{30,140,350,160,"",""}</definedName>
    <definedName name="кк" localSheetId="0">{30,140,350,160,"",""}</definedName>
    <definedName name="кк">{30,140,350,160,"",""}</definedName>
    <definedName name="коха" localSheetId="2">#REF!</definedName>
    <definedName name="коха" localSheetId="0">#REF!</definedName>
    <definedName name="коха">#REF!</definedName>
    <definedName name="ку" localSheetId="2">{30,140,350,160,"",""}</definedName>
    <definedName name="ку" localSheetId="1">{30,140,350,160,"",""}</definedName>
    <definedName name="ку" localSheetId="0">{30,140,350,160,"",""}</definedName>
    <definedName name="ку">{30,140,350,160,"",""}</definedName>
    <definedName name="кул" localSheetId="2">#REF!</definedName>
    <definedName name="кул" localSheetId="0">#REF!</definedName>
    <definedName name="кул">#REF!</definedName>
    <definedName name="Кулок" localSheetId="2">{30,140,350,160,"",""}</definedName>
    <definedName name="Кулок" localSheetId="1">{30,140,350,160,"",""}</definedName>
    <definedName name="Кулок" localSheetId="0">{30,140,350,160,"",""}</definedName>
    <definedName name="Кулок">{30,140,350,160,"",""}</definedName>
    <definedName name="култивация" localSheetId="2">#REF!</definedName>
    <definedName name="култивация" localSheetId="0">#REF!</definedName>
    <definedName name="култивация">#REF!</definedName>
    <definedName name="культи">'[8]Фориш 2003'!$O$4</definedName>
    <definedName name="кутча" localSheetId="2">{30,140,350,160,"",""}</definedName>
    <definedName name="кутча" localSheetId="1">{30,140,350,160,"",""}</definedName>
    <definedName name="кутча" localSheetId="0">{30,140,350,160,"",""}</definedName>
    <definedName name="кутча">{30,140,350,160,"",""}</definedName>
    <definedName name="лвлл" localSheetId="2">#REF!</definedName>
    <definedName name="лвлл" localSheetId="0">#REF!</definedName>
    <definedName name="лвлл">#REF!</definedName>
    <definedName name="лджрпж" localSheetId="2">#REF!</definedName>
    <definedName name="лджрпж" localSheetId="0">#REF!</definedName>
    <definedName name="лджрпж">#REF!</definedName>
    <definedName name="лит" localSheetId="2">{30,140,350,160,"",""}</definedName>
    <definedName name="лит" localSheetId="1">{30,140,350,160,"",""}</definedName>
    <definedName name="лит" localSheetId="0">{30,140,350,160,"",""}</definedName>
    <definedName name="лит">{30,140,350,160,"",""}</definedName>
    <definedName name="ло" localSheetId="2">{30,140,350,160,"",""}</definedName>
    <definedName name="ло" localSheetId="1">{30,140,350,160,"",""}</definedName>
    <definedName name="ло" localSheetId="0">{30,140,350,160,"",""}</definedName>
    <definedName name="ло">{30,140,350,160,"",""}</definedName>
    <definedName name="м" localSheetId="2">#REF!</definedName>
    <definedName name="м" localSheetId="0">#REF!</definedName>
    <definedName name="м">#REF!</definedName>
    <definedName name="Массив_обл">[12]Массив!$B$9:$C$21</definedName>
    <definedName name="машина" localSheetId="2">{30,140,350,160,"",""}</definedName>
    <definedName name="машина" localSheetId="1">{30,140,350,160,"",""}</definedName>
    <definedName name="машина" localSheetId="0">{30,140,350,160,"",""}</definedName>
    <definedName name="машина">{30,140,350,160,"",""}</definedName>
    <definedName name="мирз" localSheetId="2">{30,140,350,160,"",""}</definedName>
    <definedName name="мирз" localSheetId="1">{30,140,350,160,"",""}</definedName>
    <definedName name="мирз" localSheetId="0">{30,140,350,160,"",""}</definedName>
    <definedName name="мирз">{30,140,350,160,"",""}</definedName>
    <definedName name="Мирзачул">'[13]Фориш 2003'!$O$4</definedName>
    <definedName name="мссиииисс" localSheetId="2">{30,140,350,160,"",""}</definedName>
    <definedName name="мссиииисс" localSheetId="1">{30,140,350,160,"",""}</definedName>
    <definedName name="мссиииисс" localSheetId="0">{30,140,350,160,"",""}</definedName>
    <definedName name="мссиииисс">{30,140,350,160,"",""}</definedName>
    <definedName name="МССЯВВАВВФФ" localSheetId="2">{30,140,350,160,"",""}</definedName>
    <definedName name="МССЯВВАВВФФ" localSheetId="1">{30,140,350,160,"",""}</definedName>
    <definedName name="МССЯВВАВВФФ" localSheetId="0">{30,140,350,160,"",""}</definedName>
    <definedName name="МССЯВВАВВФФ">{30,140,350,160,"",""}</definedName>
    <definedName name="мухабат" localSheetId="2">#REF!</definedName>
    <definedName name="мухабат" localSheetId="0">#REF!</definedName>
    <definedName name="мухабат">#REF!</definedName>
    <definedName name="н" localSheetId="2">[14]Results!#REF!</definedName>
    <definedName name="н" localSheetId="0">[14]Results!#REF!</definedName>
    <definedName name="н">[14]Results!#REF!</definedName>
    <definedName name="не" localSheetId="2">{30,140,350,160,"",""}</definedName>
    <definedName name="не" localSheetId="1">{30,140,350,160,"",""}</definedName>
    <definedName name="не" localSheetId="0">{30,140,350,160,"",""}</definedName>
    <definedName name="не">{30,140,350,160,"",""}</definedName>
    <definedName name="нилуфа" localSheetId="2">#REF!</definedName>
    <definedName name="нилуфа" localSheetId="0">#REF!</definedName>
    <definedName name="нилуфа">#REF!</definedName>
    <definedName name="нилуфар" localSheetId="2">#REF!</definedName>
    <definedName name="нилуфар" localSheetId="0">#REF!</definedName>
    <definedName name="нилуфар">#REF!</definedName>
    <definedName name="нк" localSheetId="2">{30,140,350,160,"",""}</definedName>
    <definedName name="нк" localSheetId="1">{30,140,350,160,"",""}</definedName>
    <definedName name="нк" localSheetId="0">{30,140,350,160,"",""}</definedName>
    <definedName name="нк">{30,140,350,160,"",""}</definedName>
    <definedName name="Нови" localSheetId="2">{30,140,350,160,"",""}</definedName>
    <definedName name="Нови" localSheetId="1">{30,140,350,160,"",""}</definedName>
    <definedName name="Нови" localSheetId="0">{30,140,350,160,"",""}</definedName>
    <definedName name="Нови">{30,140,350,160,"",""}</definedName>
    <definedName name="Норма">[15]Нарх!$A$1:$P$248</definedName>
    <definedName name="о" localSheetId="2">{30,140,350,160,"",""}</definedName>
    <definedName name="о" localSheetId="1">{30,140,350,160,"",""}</definedName>
    <definedName name="о" localSheetId="0">{30,140,350,160,"",""}</definedName>
    <definedName name="о">{30,140,350,160,"",""}</definedName>
    <definedName name="_xlnm.Print_Area" localSheetId="2">#REF!</definedName>
    <definedName name="_xlnm.Print_Area" localSheetId="1">#REF!</definedName>
    <definedName name="_xlnm.Print_Area" localSheetId="0">свод!$B$1:$DJ$246</definedName>
    <definedName name="_xlnm.Print_Area">#REF!</definedName>
    <definedName name="Оболожка" localSheetId="2">{30,140,350,160,"",""}</definedName>
    <definedName name="Оболожка" localSheetId="1">{30,140,350,160,"",""}</definedName>
    <definedName name="Оболожка" localSheetId="0">{30,140,350,160,"",""}</definedName>
    <definedName name="Оболожка">{30,140,350,160,"",""}</definedName>
    <definedName name="овкей" localSheetId="2">#REF!</definedName>
    <definedName name="овкей" localSheetId="0">#REF!</definedName>
    <definedName name="овкей">#REF!</definedName>
    <definedName name="ол" localSheetId="2">{30,140,350,160,"",""}</definedName>
    <definedName name="ол" localSheetId="1">{30,140,350,160,"",""}</definedName>
    <definedName name="ол" localSheetId="0">{30,140,350,160,"",""}</definedName>
    <definedName name="ол">{30,140,350,160,"",""}</definedName>
    <definedName name="ола" localSheetId="2">'[16]Гай пахта'!#REF!</definedName>
    <definedName name="ола">'[16]Гай пахта'!#REF!</definedName>
    <definedName name="олг" localSheetId="2">#REF!</definedName>
    <definedName name="олг" localSheetId="1">#REF!</definedName>
    <definedName name="олг" localSheetId="0">#REF!</definedName>
    <definedName name="олг">#REF!</definedName>
    <definedName name="олмос" localSheetId="2">'[16]Гай пахта'!#REF!</definedName>
    <definedName name="олмос" localSheetId="1">'[16]Гай пахта'!#REF!</definedName>
    <definedName name="олмос" localSheetId="0">'[16]Гай пахта'!#REF!</definedName>
    <definedName name="олмос">'[16]Гай пахта'!#REF!</definedName>
    <definedName name="олтин_дала" localSheetId="2">#REF!</definedName>
    <definedName name="олтин_дала" localSheetId="1">#REF!</definedName>
    <definedName name="олтин_дала" localSheetId="0">#REF!</definedName>
    <definedName name="олтин_дала">#REF!</definedName>
    <definedName name="оля" localSheetId="2">#REF!</definedName>
    <definedName name="оля" localSheetId="0">#REF!</definedName>
    <definedName name="оля">#REF!</definedName>
    <definedName name="ор" localSheetId="2">#REF!</definedName>
    <definedName name="ор" localSheetId="0">#REF!</definedName>
    <definedName name="ор">#REF!</definedName>
    <definedName name="ОСТ">0</definedName>
    <definedName name="п">[17]Массив!$B$9:$C$21</definedName>
    <definedName name="пап" localSheetId="2">#REF!</definedName>
    <definedName name="пап" localSheetId="1">#REF!</definedName>
    <definedName name="пап" localSheetId="0">#REF!</definedName>
    <definedName name="пап">#REF!</definedName>
    <definedName name="паур" localSheetId="2">#REF!</definedName>
    <definedName name="паур" localSheetId="0">#REF!</definedName>
    <definedName name="паур">#REF!</definedName>
    <definedName name="пахта" localSheetId="2">{30,140,350,160,"",""}</definedName>
    <definedName name="пахта" localSheetId="1">{30,140,350,160,"",""}</definedName>
    <definedName name="пахта" localSheetId="0">{30,140,350,160,"",""}</definedName>
    <definedName name="пахта">{30,140,350,160,"",""}</definedName>
    <definedName name="пахта2" localSheetId="2">{30,140,350,160,"",""}</definedName>
    <definedName name="пахта2" localSheetId="1">{30,140,350,160,"",""}</definedName>
    <definedName name="пахта2" localSheetId="0">{30,140,350,160,"",""}</definedName>
    <definedName name="пахта2">{30,140,350,160,"",""}</definedName>
    <definedName name="период">1</definedName>
    <definedName name="пор" localSheetId="2">#REF!</definedName>
    <definedName name="пор" localSheetId="0">#REF!</definedName>
    <definedName name="пор">#REF!</definedName>
    <definedName name="поступило">36525</definedName>
    <definedName name="пренгш" localSheetId="2">#REF!</definedName>
    <definedName name="пренгш" localSheetId="0">#REF!</definedName>
    <definedName name="пренгш">#REF!</definedName>
    <definedName name="ПРИХ">35000</definedName>
    <definedName name="про" localSheetId="2">'[18]уюшмага10,09 холатига'!#REF!</definedName>
    <definedName name="про" localSheetId="0">'[18]уюшмага10,09 холатига'!#REF!</definedName>
    <definedName name="про">'[18]уюшмага10,09 холатига'!#REF!</definedName>
    <definedName name="прок" localSheetId="2">#REF!</definedName>
    <definedName name="прок" localSheetId="1">#REF!</definedName>
    <definedName name="прок" localSheetId="0">#REF!</definedName>
    <definedName name="прок">#REF!</definedName>
    <definedName name="прпрпрпр" localSheetId="2">#REF!</definedName>
    <definedName name="прпрпрпр" localSheetId="0">#REF!</definedName>
    <definedName name="прпрпрпр">#REF!</definedName>
    <definedName name="пункт">[15]Пункт!$A$1:$B$9</definedName>
    <definedName name="пх" localSheetId="2">#REF!</definedName>
    <definedName name="пх" localSheetId="1">#REF!</definedName>
    <definedName name="пх" localSheetId="0">#REF!</definedName>
    <definedName name="пх">#REF!</definedName>
    <definedName name="р" localSheetId="2">{30,140,350,160,"",""}</definedName>
    <definedName name="р" localSheetId="1">{30,140,350,160,"",""}</definedName>
    <definedName name="р" localSheetId="0">{30,140,350,160,"",""}</definedName>
    <definedName name="р">{30,140,350,160,"",""}</definedName>
    <definedName name="район" localSheetId="2">{30,140,350,160,"",""}</definedName>
    <definedName name="район" localSheetId="1">{30,140,350,160,"",""}</definedName>
    <definedName name="район" localSheetId="0">{30,140,350,160,"",""}</definedName>
    <definedName name="район">{30,140,350,160,"",""}</definedName>
    <definedName name="РАСХ">0</definedName>
    <definedName name="расчета">36465</definedName>
    <definedName name="роол" localSheetId="2">#REF!</definedName>
    <definedName name="роол" localSheetId="0">#REF!</definedName>
    <definedName name="роол">#REF!</definedName>
    <definedName name="ропо" localSheetId="2">{30,140,350,160,"",""}</definedName>
    <definedName name="ропо" localSheetId="1">{30,140,350,160,"",""}</definedName>
    <definedName name="ропо" localSheetId="0">{30,140,350,160,"",""}</definedName>
    <definedName name="ропо">{30,140,350,160,"",""}</definedName>
    <definedName name="рпаврпаравравр" localSheetId="2">#REF!</definedName>
    <definedName name="рпаврпаравравр" localSheetId="0">#REF!</definedName>
    <definedName name="рпаврпаравравр">#REF!</definedName>
    <definedName name="рполпролпол" localSheetId="2">#REF!</definedName>
    <definedName name="рполпролпол" localSheetId="0">#REF!</definedName>
    <definedName name="рполпролпол">#REF!</definedName>
    <definedName name="рпп" localSheetId="2">[11]Results!#REF!</definedName>
    <definedName name="рпп" localSheetId="0">[11]Results!#REF!</definedName>
    <definedName name="рпп">[11]Results!#REF!</definedName>
    <definedName name="РПРПРРПР" localSheetId="2">#REF!</definedName>
    <definedName name="РПРПРРПР" localSheetId="0">#REF!</definedName>
    <definedName name="РПРПРРПР">#REF!</definedName>
    <definedName name="с" localSheetId="2" hidden="1">#REF!</definedName>
    <definedName name="с" localSheetId="0" hidden="1">#REF!</definedName>
    <definedName name="с" hidden="1">#REF!</definedName>
    <definedName name="С.Шерозий" localSheetId="2">#REF!</definedName>
    <definedName name="С.Шерозий" localSheetId="0">#REF!</definedName>
    <definedName name="С.Шерозий">#REF!</definedName>
    <definedName name="сам" localSheetId="2">{30,140,350,160,"",""}</definedName>
    <definedName name="сам" localSheetId="1">{30,140,350,160,"",""}</definedName>
    <definedName name="сам" localSheetId="0">{30,140,350,160,"",""}</definedName>
    <definedName name="сам">{30,140,350,160,"",""}</definedName>
    <definedName name="сводка" localSheetId="2">{30,140,350,160,"",""}</definedName>
    <definedName name="сводка" localSheetId="1">{30,140,350,160,"",""}</definedName>
    <definedName name="сводка" localSheetId="0">{30,140,350,160,"",""}</definedName>
    <definedName name="сводка">{30,140,350,160,"",""}</definedName>
    <definedName name="свока" localSheetId="2">#REF!</definedName>
    <definedName name="свока" localSheetId="0">#REF!</definedName>
    <definedName name="свока">#REF!</definedName>
    <definedName name="сел" localSheetId="2">#REF!</definedName>
    <definedName name="сел" localSheetId="0">#REF!</definedName>
    <definedName name="сел">#REF!</definedName>
    <definedName name="смавввсмсм" localSheetId="2">{30,140,350,160,"",""}</definedName>
    <definedName name="смавввсмсм" localSheetId="1">{30,140,350,160,"",""}</definedName>
    <definedName name="смавввсмсм" localSheetId="0">{30,140,350,160,"",""}</definedName>
    <definedName name="смавввсмсм">{30,140,350,160,"",""}</definedName>
    <definedName name="смимими" localSheetId="2">{30,140,350,160,"",""}</definedName>
    <definedName name="смимими" localSheetId="1">{30,140,350,160,"",""}</definedName>
    <definedName name="смимими" localSheetId="0">{30,140,350,160,"",""}</definedName>
    <definedName name="смимими">{30,140,350,160,"",""}</definedName>
    <definedName name="ссмсмва" localSheetId="2">{30,140,350,160,"",""}</definedName>
    <definedName name="ссмсмва" localSheetId="1">{30,140,350,160,"",""}</definedName>
    <definedName name="ссмсмва" localSheetId="0">{30,140,350,160,"",""}</definedName>
    <definedName name="ссмсмва">{30,140,350,160,"",""}</definedName>
    <definedName name="ссмсчисисисим" localSheetId="2">{30,140,350,160,"",""}</definedName>
    <definedName name="ссмсчисисисим" localSheetId="1">{30,140,350,160,"",""}</definedName>
    <definedName name="ссмсчисисисим" localSheetId="0">{30,140,350,160,"",""}</definedName>
    <definedName name="ссмсчисисисим">{30,140,350,160,"",""}</definedName>
    <definedName name="стоимость">43508</definedName>
    <definedName name="сув" localSheetId="2">{30,140,350,160,"",""}</definedName>
    <definedName name="сув" localSheetId="1">{30,140,350,160,"",""}</definedName>
    <definedName name="сув" localSheetId="0">{30,140,350,160,"",""}</definedName>
    <definedName name="сув">{30,140,350,160,"",""}</definedName>
    <definedName name="Сурхон_тажриба_станцияси" localSheetId="2">#REF!</definedName>
    <definedName name="Сурхон_тажриба_станцияси" localSheetId="0">#REF!</definedName>
    <definedName name="Сурхон_тажриба_станцияси">#REF!</definedName>
    <definedName name="сФЙЧВФвчыфсч" localSheetId="2">{30,140,350,160,"",""}</definedName>
    <definedName name="сФЙЧВФвчыфсч" localSheetId="1">{30,140,350,160,"",""}</definedName>
    <definedName name="сФЙЧВФвчыфсч" localSheetId="0">{30,140,350,160,"",""}</definedName>
    <definedName name="сФЙЧВФвчыфсч">{30,140,350,160,"",""}</definedName>
    <definedName name="тара" localSheetId="2">{30,140,350,160,"",""}</definedName>
    <definedName name="тара" localSheetId="1">{30,140,350,160,"",""}</definedName>
    <definedName name="тара" localSheetId="0">{30,140,350,160,"",""}</definedName>
    <definedName name="тара">{30,140,350,160,"",""}</definedName>
    <definedName name="тахлил" localSheetId="2">{30,140,350,160,"",""}</definedName>
    <definedName name="тахлил" localSheetId="1">{30,140,350,160,"",""}</definedName>
    <definedName name="тахлил" localSheetId="0">{30,140,350,160,"",""}</definedName>
    <definedName name="тахлил">{30,140,350,160,"",""}</definedName>
    <definedName name="ти" localSheetId="2">{30,140,350,160,"",""}</definedName>
    <definedName name="ти" localSheetId="1">{30,140,350,160,"",""}</definedName>
    <definedName name="ти" localSheetId="0">{30,140,350,160,"",""}</definedName>
    <definedName name="ти">{30,140,350,160,"",""}</definedName>
    <definedName name="тога" localSheetId="2">#REF!</definedName>
    <definedName name="тога" localSheetId="0">#REF!</definedName>
    <definedName name="тога">#REF!</definedName>
    <definedName name="томорка" localSheetId="2">#REF!</definedName>
    <definedName name="томорка" localSheetId="0">#REF!</definedName>
    <definedName name="томорка">#REF!</definedName>
    <definedName name="Турткуль" localSheetId="2">#REF!</definedName>
    <definedName name="Турткуль" localSheetId="0">#REF!</definedName>
    <definedName name="Турткуль">#REF!</definedName>
    <definedName name="у" localSheetId="2">#REF!</definedName>
    <definedName name="у">#REF!</definedName>
    <definedName name="уапукпаа" localSheetId="2">{30,140,350,160,"",""}</definedName>
    <definedName name="уапукпаа" localSheetId="1">{30,140,350,160,"",""}</definedName>
    <definedName name="уапукпаа" localSheetId="0">{30,140,350,160,"",""}</definedName>
    <definedName name="уапукпаа">{30,140,350,160,"",""}</definedName>
    <definedName name="узи" localSheetId="2">{30,140,350,160,"",""}</definedName>
    <definedName name="узи" localSheetId="1">{30,140,350,160,"",""}</definedName>
    <definedName name="узи" localSheetId="0">{30,140,350,160,"",""}</definedName>
    <definedName name="узи">{30,140,350,160,"",""}</definedName>
    <definedName name="ук" localSheetId="2">{30,140,350,160,"",""}</definedName>
    <definedName name="ук" localSheetId="1">{30,140,350,160,"",""}</definedName>
    <definedName name="ук" localSheetId="0">{30,140,350,160,"",""}</definedName>
    <definedName name="ук">{30,140,350,160,"",""}</definedName>
    <definedName name="укц" localSheetId="2">{30,140,350,160,"",""}</definedName>
    <definedName name="укц" localSheetId="1">{30,140,350,160,"",""}</definedName>
    <definedName name="укц" localSheetId="0">{30,140,350,160,"",""}</definedName>
    <definedName name="укц">{30,140,350,160,"",""}</definedName>
    <definedName name="улм" localSheetId="2">{30,140,350,160,"",""}</definedName>
    <definedName name="улм" localSheetId="1">{30,140,350,160,"",""}</definedName>
    <definedName name="улм" localSheetId="0">{30,140,350,160,"",""}</definedName>
    <definedName name="улм">{30,140,350,160,"",""}</definedName>
    <definedName name="улмас" localSheetId="2">{30,140,350,160,"",""}</definedName>
    <definedName name="улмас" localSheetId="1">{30,140,350,160,"",""}</definedName>
    <definedName name="улмас" localSheetId="0">{30,140,350,160,"",""}</definedName>
    <definedName name="улмас">{30,140,350,160,"",""}</definedName>
    <definedName name="улу" localSheetId="2">{30,140,350,160,"",""}</definedName>
    <definedName name="улу" localSheetId="1">{30,140,350,160,"",""}</definedName>
    <definedName name="улу" localSheetId="0">{30,140,350,160,"",""}</definedName>
    <definedName name="улу">{30,140,350,160,"",""}</definedName>
    <definedName name="Уткир" localSheetId="2">{30,140,350,160,"",""}</definedName>
    <definedName name="Уткир" localSheetId="1">{30,140,350,160,"",""}</definedName>
    <definedName name="Уткир" localSheetId="0">{30,140,350,160,"",""}</definedName>
    <definedName name="Уткир">{30,140,350,160,"",""}</definedName>
    <definedName name="уууу" localSheetId="2">{30,140,350,160,"",""}</definedName>
    <definedName name="уууу" localSheetId="1">{30,140,350,160,"",""}</definedName>
    <definedName name="уууу" localSheetId="0">{30,140,350,160,"",""}</definedName>
    <definedName name="уууу">{30,140,350,160,"",""}</definedName>
    <definedName name="фвыавп" localSheetId="2">{30,140,350,160,"",""}</definedName>
    <definedName name="фвыавп" localSheetId="1">{30,140,350,160,"",""}</definedName>
    <definedName name="фвыавп" localSheetId="0">{30,140,350,160,"",""}</definedName>
    <definedName name="фвыавп">{30,140,350,160,"",""}</definedName>
    <definedName name="ФФФФФФ" localSheetId="2">#REF!</definedName>
    <definedName name="ФФФФФФ" localSheetId="0">#REF!</definedName>
    <definedName name="ФФФФФФ">#REF!</definedName>
    <definedName name="фы">'[19]Фориш 2003'!$O$4</definedName>
    <definedName name="фывчыйывчйы" localSheetId="2">{30,140,350,160,"",""}</definedName>
    <definedName name="фывчыйывчйы" localSheetId="1">{30,140,350,160,"",""}</definedName>
    <definedName name="фывчыйывчйы" localSheetId="0">{30,140,350,160,"",""}</definedName>
    <definedName name="фывчыйывчйы">{30,140,350,160,"",""}</definedName>
    <definedName name="фяфчфчфч" localSheetId="2">{30,140,350,160,"",""}</definedName>
    <definedName name="фяфчфчфч" localSheetId="1">{30,140,350,160,"",""}</definedName>
    <definedName name="фяфчфчфч" localSheetId="0">{30,140,350,160,"",""}</definedName>
    <definedName name="фяфчфчфч">{30,140,350,160,"",""}</definedName>
    <definedName name="хат" localSheetId="2">'[2]б 6-и'!#REF!</definedName>
    <definedName name="хат">'[2]б 6-и'!#REF!</definedName>
    <definedName name="хатлов" localSheetId="2">#REF!</definedName>
    <definedName name="хатлов" localSheetId="0">#REF!</definedName>
    <definedName name="хатлов">#REF!</definedName>
    <definedName name="хз" localSheetId="2">{30,140,350,160,"",""}</definedName>
    <definedName name="хз" localSheetId="1">{30,140,350,160,"",""}</definedName>
    <definedName name="хз" localSheetId="0">{30,140,350,160,"",""}</definedName>
    <definedName name="хз">{30,140,350,160,"",""}</definedName>
    <definedName name="Ходжейли" localSheetId="2">#REF!</definedName>
    <definedName name="Ходжейли" localSheetId="0">#REF!</definedName>
    <definedName name="Ходжейли">#REF!</definedName>
    <definedName name="Хужайли1" localSheetId="2">{30,140,350,160,"",""}</definedName>
    <definedName name="Хужайли1" localSheetId="1">{30,140,350,160,"",""}</definedName>
    <definedName name="Хужайли1" localSheetId="0">{30,140,350,160,"",""}</definedName>
    <definedName name="Хужайли1">{30,140,350,160,"",""}</definedName>
    <definedName name="ц" localSheetId="2">{30,140,350,160,"",""}</definedName>
    <definedName name="ц" localSheetId="1">{30,140,350,160,"",""}</definedName>
    <definedName name="ц" localSheetId="0">{30,140,350,160,"",""}</definedName>
    <definedName name="ц">{30,140,350,160,"",""}</definedName>
    <definedName name="цй" localSheetId="2">{30,140,350,160,"",""}</definedName>
    <definedName name="цй" localSheetId="1">{30,140,350,160,"",""}</definedName>
    <definedName name="цй" localSheetId="0">{30,140,350,160,"",""}</definedName>
    <definedName name="цй">{30,140,350,160,"",""}</definedName>
    <definedName name="цук2" localSheetId="2">{30,140,350,160,"",""}</definedName>
    <definedName name="цук2" localSheetId="1">{30,140,350,160,"",""}</definedName>
    <definedName name="цук2" localSheetId="0">{30,140,350,160,"",""}</definedName>
    <definedName name="цук2">{30,140,350,160,"",""}</definedName>
    <definedName name="цукцкцк" localSheetId="2" hidden="1">#REF!</definedName>
    <definedName name="цукцкцк" localSheetId="0" hidden="1">#REF!</definedName>
    <definedName name="цукцкцк" hidden="1">#REF!</definedName>
    <definedName name="чмсмичтмит" localSheetId="2">{30,140,350,160,"",""}</definedName>
    <definedName name="чмсмичтмит" localSheetId="1">{30,140,350,160,"",""}</definedName>
    <definedName name="чмсмичтмит" localSheetId="0">{30,140,350,160,"",""}</definedName>
    <definedName name="чмсмичтмит">{30,140,350,160,"",""}</definedName>
    <definedName name="чс" localSheetId="2">{30,140,350,160,"",""}</definedName>
    <definedName name="чс" localSheetId="1">{30,140,350,160,"",""}</definedName>
    <definedName name="чс" localSheetId="0">{30,140,350,160,"",""}</definedName>
    <definedName name="чс">{30,140,350,160,"",""}</definedName>
    <definedName name="ш" localSheetId="2">{30,140,350,160,"",""}</definedName>
    <definedName name="ш" localSheetId="1">{30,140,350,160,"",""}</definedName>
    <definedName name="ш" localSheetId="0">{30,140,350,160,"",""}</definedName>
    <definedName name="ш">{30,140,350,160,"",""}</definedName>
    <definedName name="шгн" localSheetId="2">{30,140,350,160,"",""}</definedName>
    <definedName name="шгн" localSheetId="1">{30,140,350,160,"",""}</definedName>
    <definedName name="шгн" localSheetId="0">{30,140,350,160,"",""}</definedName>
    <definedName name="шгн">{30,140,350,160,"",""}</definedName>
    <definedName name="шурик" localSheetId="2">#REF!</definedName>
    <definedName name="шурик" localSheetId="0">#REF!</definedName>
    <definedName name="шурик">#REF!</definedName>
    <definedName name="шухрат" localSheetId="2">#REF!</definedName>
    <definedName name="шухрат" localSheetId="0">#REF!</definedName>
    <definedName name="шухрат">#REF!</definedName>
    <definedName name="ы" localSheetId="2">{30,140,350,160,"",""}</definedName>
    <definedName name="ы" localSheetId="1">{30,140,350,160,"",""}</definedName>
    <definedName name="ы" localSheetId="0">{30,140,350,160,"",""}</definedName>
    <definedName name="ы">{30,140,350,160,"",""}</definedName>
    <definedName name="ыв" localSheetId="2">{30,140,350,160,"",""}</definedName>
    <definedName name="ыв" localSheetId="1">{30,140,350,160,"",""}</definedName>
    <definedName name="ыв" localSheetId="0">{30,140,350,160,"",""}</definedName>
    <definedName name="ыв">{30,140,350,160,"",""}</definedName>
    <definedName name="ыва" localSheetId="2">{30,140,350,160,"",""}</definedName>
    <definedName name="ыва" localSheetId="1">{30,140,350,160,"",""}</definedName>
    <definedName name="ыва" localSheetId="0">{30,140,350,160,"",""}</definedName>
    <definedName name="ыва">{30,140,350,160,"",""}</definedName>
    <definedName name="ывапролд" localSheetId="2">#REF!</definedName>
    <definedName name="ывапролд" localSheetId="0">#REF!</definedName>
    <definedName name="ывапролд">#REF!</definedName>
    <definedName name="ывсвапть" localSheetId="2">{30,140,350,160,"",""}</definedName>
    <definedName name="ывсвапть" localSheetId="1">{30,140,350,160,"",""}</definedName>
    <definedName name="ывсвапть" localSheetId="0">{30,140,350,160,"",""}</definedName>
    <definedName name="ывсвапть">{30,140,350,160,"",""}</definedName>
    <definedName name="ывывавававав" localSheetId="2">#REF!</definedName>
    <definedName name="ывывавававав" localSheetId="0">#REF!</definedName>
    <definedName name="ывывавававав">#REF!</definedName>
    <definedName name="ЫСЫСЫС" localSheetId="2">{30,140,350,160,"",""}</definedName>
    <definedName name="ЫСЫСЫС" localSheetId="1">{30,140,350,160,"",""}</definedName>
    <definedName name="ЫСЫСЫС" localSheetId="0">{30,140,350,160,"",""}</definedName>
    <definedName name="ЫСЫСЫС">{30,140,350,160,"",""}</definedName>
    <definedName name="ыфв" localSheetId="2">{30,140,350,160,"",""}</definedName>
    <definedName name="ыфв" localSheetId="1">{30,140,350,160,"",""}</definedName>
    <definedName name="ыфв" localSheetId="0">{30,140,350,160,"",""}</definedName>
    <definedName name="ыфв">{30,140,350,160,"",""}</definedName>
    <definedName name="ыцвуц" localSheetId="2">#REF!</definedName>
    <definedName name="ыцвуц" localSheetId="0">#REF!</definedName>
    <definedName name="ыцвуц">#REF!</definedName>
    <definedName name="ЫЫЫЫ" localSheetId="2">#REF!</definedName>
    <definedName name="ЫЫЫЫ" localSheetId="0">#REF!</definedName>
    <definedName name="ЫЫЫЫ">#REF!</definedName>
    <definedName name="ь" localSheetId="2">{30,140,350,160,"",""}</definedName>
    <definedName name="ь" localSheetId="1">{30,140,350,160,"",""}</definedName>
    <definedName name="ь" localSheetId="0">{30,140,350,160,"",""}</definedName>
    <definedName name="ь">{30,140,350,160,"",""}</definedName>
    <definedName name="Элликкала" localSheetId="2">#REF!</definedName>
    <definedName name="Элликкала" localSheetId="0">#REF!</definedName>
    <definedName name="Элликкала">#REF!</definedName>
    <definedName name="юб" localSheetId="2">#REF!</definedName>
    <definedName name="юб" localSheetId="0">#REF!</definedName>
    <definedName name="юб">#REF!</definedName>
    <definedName name="юод" localSheetId="2">{30,140,350,160,"",""}</definedName>
    <definedName name="юод" localSheetId="1">{30,140,350,160,"",""}</definedName>
    <definedName name="юод" localSheetId="0">{30,140,350,160,"",""}</definedName>
    <definedName name="юод">{30,140,350,160,"",""}</definedName>
    <definedName name="юю" localSheetId="2">#REF!</definedName>
    <definedName name="юю" localSheetId="0">#REF!</definedName>
    <definedName name="юю">#REF!</definedName>
    <definedName name="я" localSheetId="2">{30,140,350,160,"",""}</definedName>
    <definedName name="я" localSheetId="1">{30,140,350,160,"",""}</definedName>
    <definedName name="я" localSheetId="0">{30,140,350,160,"",""}</definedName>
    <definedName name="я">{30,140,350,160,"",""}</definedName>
    <definedName name="ягана" localSheetId="2">{30,140,350,160,"",""}</definedName>
    <definedName name="ягана" localSheetId="1">{30,140,350,160,"",""}</definedName>
    <definedName name="ягана" localSheetId="0">{30,140,350,160,"",""}</definedName>
    <definedName name="ягана">{30,140,350,160,"",""}</definedName>
    <definedName name="янгиааа" localSheetId="2">{30,140,350,160,"",""}</definedName>
    <definedName name="янгиааа" localSheetId="1">{30,140,350,160,"",""}</definedName>
    <definedName name="янгиааа" localSheetId="0">{30,140,350,160,"",""}</definedName>
    <definedName name="янгиааа">{30,140,350,160,"",""}</definedName>
    <definedName name="янгиаааа" localSheetId="2">{30,140,350,160,"",""}</definedName>
    <definedName name="янгиаааа" localSheetId="1">{30,140,350,160,"",""}</definedName>
    <definedName name="янгиаааа" localSheetId="0">{30,140,350,160,"",""}</definedName>
    <definedName name="янгиаааа">{30,140,350,160,"",""}</definedName>
    <definedName name="ячфячфф" localSheetId="2">{30,140,350,160,"",""}</definedName>
    <definedName name="ячфячфф" localSheetId="1">{30,140,350,160,"",""}</definedName>
    <definedName name="ячфячфф" localSheetId="0">{30,140,350,160,"",""}</definedName>
    <definedName name="ячфячфф">{30,140,350,160,"",""}</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77" i="52" l="1"/>
  <c r="Z277" i="52"/>
  <c r="Y277" i="52"/>
  <c r="X277" i="52"/>
  <c r="AA276" i="52"/>
  <c r="Z276" i="52"/>
  <c r="Y276" i="52"/>
  <c r="X276" i="52"/>
  <c r="AA275" i="52"/>
  <c r="Z275" i="52"/>
  <c r="Y275" i="52"/>
  <c r="X275" i="52"/>
  <c r="AA274" i="52"/>
  <c r="Z274" i="52"/>
  <c r="Y274" i="52"/>
  <c r="X274" i="52"/>
  <c r="AA273" i="52"/>
  <c r="Z273" i="52"/>
  <c r="Y273" i="52"/>
  <c r="X273" i="52"/>
  <c r="AA272" i="52"/>
  <c r="Z272" i="52"/>
  <c r="Y272" i="52"/>
  <c r="X272" i="52"/>
  <c r="AA271" i="52"/>
  <c r="Z271" i="52"/>
  <c r="Y271" i="52"/>
  <c r="X271" i="52"/>
  <c r="AA270" i="52"/>
  <c r="Z270" i="52"/>
  <c r="Y270" i="52"/>
  <c r="X270" i="52"/>
  <c r="AA269" i="52"/>
  <c r="Z269" i="52"/>
  <c r="Y269" i="52"/>
  <c r="X269" i="52"/>
  <c r="AA268" i="52"/>
  <c r="Z268" i="52"/>
  <c r="Y268" i="52"/>
  <c r="X268" i="52"/>
  <c r="AA267" i="52"/>
  <c r="Z267" i="52"/>
  <c r="Y267" i="52"/>
  <c r="X267" i="52"/>
  <c r="AA266" i="52"/>
  <c r="Z266" i="52"/>
  <c r="Y266" i="52"/>
  <c r="X266" i="52"/>
  <c r="AA265" i="52"/>
  <c r="Z265" i="52"/>
  <c r="Y265" i="52"/>
  <c r="X265" i="52"/>
  <c r="AA264" i="52"/>
  <c r="Z264" i="52"/>
  <c r="Y264" i="52"/>
  <c r="X264" i="52"/>
  <c r="AA263" i="52"/>
  <c r="Z263" i="52"/>
  <c r="Y263" i="52"/>
  <c r="X263" i="52"/>
  <c r="AA262" i="52"/>
  <c r="Z262" i="52"/>
  <c r="Y262" i="52"/>
  <c r="X262" i="52"/>
  <c r="AA261" i="52"/>
  <c r="Z261" i="52"/>
  <c r="Y261" i="52"/>
  <c r="X261" i="52"/>
  <c r="AA260" i="52"/>
  <c r="Z260" i="52"/>
  <c r="Y260" i="52"/>
  <c r="X260" i="52"/>
  <c r="AA259" i="52"/>
  <c r="Z259" i="52"/>
  <c r="Y259" i="52"/>
  <c r="X259" i="52"/>
  <c r="AA258" i="52"/>
  <c r="Z258" i="52"/>
  <c r="Y258" i="52"/>
  <c r="X258" i="52"/>
  <c r="AA257" i="52"/>
  <c r="Z257" i="52"/>
  <c r="Y257" i="52"/>
  <c r="X257" i="52"/>
  <c r="AA256" i="52"/>
  <c r="Z256" i="52"/>
  <c r="Y256" i="52"/>
  <c r="X256" i="52"/>
  <c r="AA255" i="52"/>
  <c r="Z255" i="52"/>
  <c r="Y255" i="52"/>
  <c r="X255" i="52"/>
  <c r="AA254" i="52"/>
  <c r="Z254" i="52"/>
  <c r="Y254" i="52"/>
  <c r="X254" i="52"/>
  <c r="AA253" i="52"/>
  <c r="Z253" i="52"/>
  <c r="Y253" i="52"/>
  <c r="X253" i="52"/>
  <c r="AA252" i="52"/>
  <c r="Z252" i="52"/>
  <c r="Y252" i="52"/>
  <c r="X252" i="52"/>
  <c r="AA251" i="52"/>
  <c r="Z251" i="52"/>
  <c r="Y251" i="52"/>
  <c r="X251" i="52"/>
  <c r="AA250" i="52"/>
  <c r="Z250" i="52"/>
  <c r="Y250" i="52"/>
  <c r="X250" i="52"/>
  <c r="AA249" i="52"/>
  <c r="Z249" i="52"/>
  <c r="Y249" i="52"/>
  <c r="X249" i="52"/>
  <c r="AA248" i="52"/>
  <c r="Z248" i="52"/>
  <c r="Y248" i="52"/>
  <c r="X248" i="52"/>
  <c r="AA247" i="52"/>
  <c r="Z247" i="52"/>
  <c r="Y247" i="52"/>
  <c r="X247" i="52"/>
  <c r="AA246" i="52"/>
  <c r="Z246" i="52"/>
  <c r="Y246" i="52"/>
  <c r="X246" i="52"/>
  <c r="AA245" i="52"/>
  <c r="Z245" i="52"/>
  <c r="Y245" i="52"/>
  <c r="X245" i="52"/>
  <c r="AA244" i="52"/>
  <c r="Z244" i="52"/>
  <c r="Y244" i="52"/>
  <c r="X244" i="52"/>
  <c r="AA243" i="52"/>
  <c r="Z243" i="52"/>
  <c r="Y243" i="52"/>
  <c r="X243" i="52"/>
  <c r="AA242" i="52"/>
  <c r="Z242" i="52"/>
  <c r="Y242" i="52"/>
  <c r="X242" i="52"/>
  <c r="AA241" i="52"/>
  <c r="Z241" i="52"/>
  <c r="Y241" i="52"/>
  <c r="X241" i="52"/>
  <c r="AA240" i="52"/>
  <c r="Z240" i="52"/>
  <c r="Y240" i="52"/>
  <c r="X240" i="52"/>
  <c r="AA239" i="52"/>
  <c r="Z239" i="52"/>
  <c r="Y239" i="52"/>
  <c r="X239" i="52"/>
  <c r="AA238" i="52"/>
  <c r="Z238" i="52"/>
  <c r="Y238" i="52"/>
  <c r="X238" i="52"/>
  <c r="AA237" i="52"/>
  <c r="Z237" i="52"/>
  <c r="Y237" i="52"/>
  <c r="X237" i="52"/>
  <c r="AA236" i="52"/>
  <c r="Z236" i="52"/>
  <c r="Y236" i="52"/>
  <c r="X236" i="52"/>
  <c r="AA235" i="52"/>
  <c r="Z235" i="52"/>
  <c r="Y235" i="52"/>
  <c r="X235" i="52"/>
  <c r="AA234" i="52"/>
  <c r="Z234" i="52"/>
  <c r="Y234" i="52"/>
  <c r="X234" i="52"/>
  <c r="AA233" i="52"/>
  <c r="Z233" i="52"/>
  <c r="Y233" i="52"/>
  <c r="X233" i="52"/>
  <c r="AA232" i="52"/>
  <c r="Z232" i="52"/>
  <c r="Y232" i="52"/>
  <c r="X232" i="52"/>
  <c r="AA231" i="52"/>
  <c r="Z231" i="52"/>
  <c r="Y231" i="52"/>
  <c r="X231" i="52"/>
  <c r="AA230" i="52"/>
  <c r="Z230" i="52"/>
  <c r="Y230" i="52"/>
  <c r="X230" i="52"/>
  <c r="AA229" i="52"/>
  <c r="Z229" i="52"/>
  <c r="Y229" i="52"/>
  <c r="X229" i="52"/>
  <c r="AA228" i="52"/>
  <c r="Z228" i="52"/>
  <c r="Y228" i="52"/>
  <c r="X228" i="52"/>
  <c r="AA227" i="52"/>
  <c r="Z227" i="52"/>
  <c r="Y227" i="52"/>
  <c r="X227" i="52"/>
  <c r="AA226" i="52"/>
  <c r="Z226" i="52"/>
  <c r="Y226" i="52"/>
  <c r="X226" i="52"/>
  <c r="C277" i="52"/>
  <c r="B277" i="52"/>
  <c r="D277" i="52" s="1"/>
  <c r="C276" i="52"/>
  <c r="B276" i="52"/>
  <c r="D276" i="52" s="1"/>
  <c r="C275" i="52"/>
  <c r="B275" i="52"/>
  <c r="D275" i="52" s="1"/>
  <c r="C274" i="52"/>
  <c r="B274" i="52"/>
  <c r="D274" i="52" s="1"/>
  <c r="C273" i="52"/>
  <c r="B273" i="52"/>
  <c r="D273" i="52" s="1"/>
  <c r="C272" i="52"/>
  <c r="B272" i="52"/>
  <c r="D272" i="52" s="1"/>
  <c r="C271" i="52"/>
  <c r="B271" i="52"/>
  <c r="D271" i="52" s="1"/>
  <c r="C270" i="52"/>
  <c r="B270" i="52"/>
  <c r="D270" i="52" s="1"/>
  <c r="C269" i="52"/>
  <c r="B269" i="52"/>
  <c r="D269" i="52" s="1"/>
  <c r="C268" i="52"/>
  <c r="B268" i="52"/>
  <c r="D268" i="52" s="1"/>
  <c r="C267" i="52"/>
  <c r="B267" i="52"/>
  <c r="D267" i="52" s="1"/>
  <c r="C266" i="52"/>
  <c r="B266" i="52"/>
  <c r="D266" i="52" s="1"/>
  <c r="C265" i="52"/>
  <c r="B265" i="52"/>
  <c r="D265" i="52" s="1"/>
  <c r="C264" i="52"/>
  <c r="B264" i="52"/>
  <c r="D264" i="52" s="1"/>
  <c r="C263" i="52"/>
  <c r="B263" i="52"/>
  <c r="D263" i="52" s="1"/>
  <c r="C262" i="52"/>
  <c r="B262" i="52"/>
  <c r="D262" i="52" s="1"/>
  <c r="C261" i="52"/>
  <c r="B261" i="52"/>
  <c r="D261" i="52" s="1"/>
  <c r="C260" i="52"/>
  <c r="B260" i="52"/>
  <c r="D260" i="52" s="1"/>
  <c r="C259" i="52"/>
  <c r="B259" i="52"/>
  <c r="D259" i="52" s="1"/>
  <c r="C258" i="52"/>
  <c r="B258" i="52"/>
  <c r="D258" i="52" s="1"/>
  <c r="C257" i="52"/>
  <c r="B257" i="52"/>
  <c r="D257" i="52" s="1"/>
  <c r="C256" i="52"/>
  <c r="B256" i="52"/>
  <c r="D256" i="52" s="1"/>
  <c r="C255" i="52"/>
  <c r="B255" i="52"/>
  <c r="D255" i="52" s="1"/>
  <c r="C254" i="52"/>
  <c r="B254" i="52"/>
  <c r="D254" i="52" s="1"/>
  <c r="C253" i="52"/>
  <c r="B253" i="52"/>
  <c r="D253" i="52" s="1"/>
  <c r="C252" i="52"/>
  <c r="B252" i="52"/>
  <c r="D252" i="52" s="1"/>
  <c r="C251" i="52"/>
  <c r="B251" i="52"/>
  <c r="D251" i="52" s="1"/>
  <c r="C250" i="52"/>
  <c r="B250" i="52"/>
  <c r="D250" i="52" s="1"/>
  <c r="C249" i="52"/>
  <c r="B249" i="52"/>
  <c r="D249" i="52" s="1"/>
  <c r="C248" i="52"/>
  <c r="B248" i="52"/>
  <c r="D248" i="52" s="1"/>
  <c r="C247" i="52"/>
  <c r="B247" i="52"/>
  <c r="D247" i="52" s="1"/>
  <c r="C246" i="52"/>
  <c r="B246" i="52"/>
  <c r="D246" i="52" s="1"/>
  <c r="C245" i="52"/>
  <c r="B245" i="52"/>
  <c r="D245" i="52" s="1"/>
  <c r="C244" i="52"/>
  <c r="B244" i="52"/>
  <c r="D244" i="52" s="1"/>
  <c r="C243" i="52"/>
  <c r="B243" i="52"/>
  <c r="D243" i="52" s="1"/>
  <c r="C242" i="52"/>
  <c r="B242" i="52"/>
  <c r="D242" i="52" s="1"/>
  <c r="C241" i="52"/>
  <c r="B241" i="52"/>
  <c r="D241" i="52" s="1"/>
  <c r="C240" i="52"/>
  <c r="B240" i="52"/>
  <c r="D240" i="52" s="1"/>
  <c r="C239" i="52"/>
  <c r="B239" i="52"/>
  <c r="D239" i="52" s="1"/>
  <c r="C238" i="52"/>
  <c r="B238" i="52"/>
  <c r="D238" i="52" s="1"/>
  <c r="C237" i="52"/>
  <c r="B237" i="52"/>
  <c r="D237" i="52" s="1"/>
  <c r="C236" i="52"/>
  <c r="B236" i="52"/>
  <c r="D236" i="52" s="1"/>
  <c r="C235" i="52"/>
  <c r="B235" i="52"/>
  <c r="D235" i="52" s="1"/>
  <c r="C234" i="52"/>
  <c r="B234" i="52"/>
  <c r="D234" i="52" s="1"/>
  <c r="C233" i="52"/>
  <c r="B233" i="52"/>
  <c r="D233" i="52" s="1"/>
  <c r="C232" i="52"/>
  <c r="B232" i="52"/>
  <c r="D232" i="52" s="1"/>
  <c r="C231" i="52"/>
  <c r="B231" i="52"/>
  <c r="D231" i="52" s="1"/>
  <c r="C230" i="52"/>
  <c r="B230" i="52"/>
  <c r="D230" i="52" s="1"/>
  <c r="C229" i="52"/>
  <c r="B229" i="52"/>
  <c r="D229" i="52" s="1"/>
  <c r="C228" i="52"/>
  <c r="B228" i="52"/>
  <c r="D228" i="52" s="1"/>
  <c r="C227" i="52"/>
  <c r="B227" i="52"/>
  <c r="D227" i="52" s="1"/>
  <c r="C226" i="52"/>
  <c r="B226" i="52"/>
  <c r="D226" i="52" s="1"/>
  <c r="X3128" i="55"/>
  <c r="X3127" i="55"/>
  <c r="X3126" i="55"/>
  <c r="R3126" i="55" s="1"/>
  <c r="S3126" i="55" s="1"/>
  <c r="X3125" i="55"/>
  <c r="R3125" i="55" s="1"/>
  <c r="S3125" i="55" s="1"/>
  <c r="X3124" i="55"/>
  <c r="R3124" i="55" s="1"/>
  <c r="S3124" i="55" s="1"/>
  <c r="X3123" i="55"/>
  <c r="R3123" i="55" s="1"/>
  <c r="S3123" i="55" s="1"/>
  <c r="X3122" i="55"/>
  <c r="R3122" i="55" s="1"/>
  <c r="S3122" i="55" s="1"/>
  <c r="X3121" i="55"/>
  <c r="R3121" i="55" s="1"/>
  <c r="S3121" i="55" s="1"/>
  <c r="X3120" i="55"/>
  <c r="R3120" i="55" s="1"/>
  <c r="S3120" i="55" s="1"/>
  <c r="X3119" i="55"/>
  <c r="R3119" i="55" s="1"/>
  <c r="S3119" i="55" s="1"/>
  <c r="X3118" i="55"/>
  <c r="R3118" i="55" s="1"/>
  <c r="S3118" i="55" s="1"/>
  <c r="X3117" i="55"/>
  <c r="R3117" i="55" s="1"/>
  <c r="S3117" i="55" s="1"/>
  <c r="X3116" i="55"/>
  <c r="R3116" i="55" s="1"/>
  <c r="S3116" i="55" s="1"/>
  <c r="X3115" i="55"/>
  <c r="R3115" i="55" s="1"/>
  <c r="S3115" i="55" s="1"/>
  <c r="X3114" i="55"/>
  <c r="R3114" i="55" s="1"/>
  <c r="S3114" i="55" s="1"/>
  <c r="X3113" i="55"/>
  <c r="R3113" i="55" s="1"/>
  <c r="S3113" i="55" s="1"/>
  <c r="X3112" i="55"/>
  <c r="X3111" i="55"/>
  <c r="X3110" i="55"/>
  <c r="X3109" i="55"/>
  <c r="R3109" i="55" s="1"/>
  <c r="S3109" i="55" s="1"/>
  <c r="X3108" i="55"/>
  <c r="R3108" i="55" s="1"/>
  <c r="S3108" i="55" s="1"/>
  <c r="X3107" i="55"/>
  <c r="R3107" i="55" s="1"/>
  <c r="S3107" i="55" s="1"/>
  <c r="X3106" i="55"/>
  <c r="R3106" i="55" s="1"/>
  <c r="S3106" i="55" s="1"/>
  <c r="X3105" i="55"/>
  <c r="R3105" i="55" s="1"/>
  <c r="S3105" i="55" s="1"/>
  <c r="X3104" i="55"/>
  <c r="R3104" i="55" s="1"/>
  <c r="S3104" i="55" s="1"/>
  <c r="X3103" i="55"/>
  <c r="R3103" i="55" s="1"/>
  <c r="S3103" i="55" s="1"/>
  <c r="X3102" i="55"/>
  <c r="R3102" i="55" s="1"/>
  <c r="S3102" i="55" s="1"/>
  <c r="X3101" i="55"/>
  <c r="R3101" i="55" s="1"/>
  <c r="S3101" i="55" s="1"/>
  <c r="X3100" i="55"/>
  <c r="R3100" i="55" s="1"/>
  <c r="S3100" i="55" s="1"/>
  <c r="X3099" i="55"/>
  <c r="R3099" i="55" s="1"/>
  <c r="S3099" i="55" s="1"/>
  <c r="X3098" i="55"/>
  <c r="R3098" i="55" s="1"/>
  <c r="S3098" i="55" s="1"/>
  <c r="X3097" i="55"/>
  <c r="R3097" i="55" s="1"/>
  <c r="S3097" i="55" s="1"/>
  <c r="X3096" i="55"/>
  <c r="X3095" i="55"/>
  <c r="X3094" i="55"/>
  <c r="X3093" i="55"/>
  <c r="X3092" i="55"/>
  <c r="X3091" i="55"/>
  <c r="R3091" i="55" s="1"/>
  <c r="S3091" i="55" s="1"/>
  <c r="X3090" i="55"/>
  <c r="R3090" i="55" s="1"/>
  <c r="S3090" i="55" s="1"/>
  <c r="X3089" i="55"/>
  <c r="X3088" i="55"/>
  <c r="R3088" i="55" s="1"/>
  <c r="S3088" i="55" s="1"/>
  <c r="X3087" i="55"/>
  <c r="R3087" i="55" s="1"/>
  <c r="S3087" i="55" s="1"/>
  <c r="X3086" i="55"/>
  <c r="R3086" i="55" s="1"/>
  <c r="S3086" i="55" s="1"/>
  <c r="X3085" i="55"/>
  <c r="R3085" i="55" s="1"/>
  <c r="S3085" i="55" s="1"/>
  <c r="X3084" i="55"/>
  <c r="R3084" i="55" s="1"/>
  <c r="S3084" i="55" s="1"/>
  <c r="X3083" i="55"/>
  <c r="R3083" i="55" s="1"/>
  <c r="S3083" i="55" s="1"/>
  <c r="X3082" i="55"/>
  <c r="R3082" i="55" s="1"/>
  <c r="S3082" i="55" s="1"/>
  <c r="X3081" i="55"/>
  <c r="R3081" i="55" s="1"/>
  <c r="S3081" i="55" s="1"/>
  <c r="X3080" i="55"/>
  <c r="X3079" i="55"/>
  <c r="X3078" i="55"/>
  <c r="R3078" i="55" s="1"/>
  <c r="S3078" i="55" s="1"/>
  <c r="X3077" i="55"/>
  <c r="R3077" i="55" s="1"/>
  <c r="S3077" i="55" s="1"/>
  <c r="X3076" i="55"/>
  <c r="R3076" i="55" s="1"/>
  <c r="S3076" i="55" s="1"/>
  <c r="X3075" i="55"/>
  <c r="R3075" i="55" s="1"/>
  <c r="S3075" i="55" s="1"/>
  <c r="X3074" i="55"/>
  <c r="R3074" i="55" s="1"/>
  <c r="S3074" i="55" s="1"/>
  <c r="X3073" i="55"/>
  <c r="X3072" i="55"/>
  <c r="R3072" i="55" s="1"/>
  <c r="S3072" i="55" s="1"/>
  <c r="X3071" i="55"/>
  <c r="R3071" i="55" s="1"/>
  <c r="S3071" i="55" s="1"/>
  <c r="X3070" i="55"/>
  <c r="R3070" i="55" s="1"/>
  <c r="S3070" i="55" s="1"/>
  <c r="X3069" i="55"/>
  <c r="R3069" i="55" s="1"/>
  <c r="S3069" i="55" s="1"/>
  <c r="X3068" i="55"/>
  <c r="R3068" i="55" s="1"/>
  <c r="S3068" i="55" s="1"/>
  <c r="X3067" i="55"/>
  <c r="R3067" i="55" s="1"/>
  <c r="S3067" i="55" s="1"/>
  <c r="X3066" i="55"/>
  <c r="R3066" i="55" s="1"/>
  <c r="S3066" i="55" s="1"/>
  <c r="X3065" i="55"/>
  <c r="R3065" i="55" s="1"/>
  <c r="S3065" i="55" s="1"/>
  <c r="X3064" i="55"/>
  <c r="X3063" i="55"/>
  <c r="X3062" i="55"/>
  <c r="R3062" i="55" s="1"/>
  <c r="S3062" i="55" s="1"/>
  <c r="X3061" i="55"/>
  <c r="R3061" i="55" s="1"/>
  <c r="S3061" i="55" s="1"/>
  <c r="X3060" i="55"/>
  <c r="R3060" i="55" s="1"/>
  <c r="S3060" i="55" s="1"/>
  <c r="X3059" i="55"/>
  <c r="R3059" i="55" s="1"/>
  <c r="S3059" i="55" s="1"/>
  <c r="X3058" i="55"/>
  <c r="R3058" i="55" s="1"/>
  <c r="S3058" i="55" s="1"/>
  <c r="X3057" i="55"/>
  <c r="R3057" i="55" s="1"/>
  <c r="S3057" i="55" s="1"/>
  <c r="X3056" i="55"/>
  <c r="R3056" i="55" s="1"/>
  <c r="S3056" i="55" s="1"/>
  <c r="X3055" i="55"/>
  <c r="R3055" i="55" s="1"/>
  <c r="S3055" i="55" s="1"/>
  <c r="X3054" i="55"/>
  <c r="R3054" i="55" s="1"/>
  <c r="S3054" i="55" s="1"/>
  <c r="X3053" i="55"/>
  <c r="R3053" i="55" s="1"/>
  <c r="S3053" i="55" s="1"/>
  <c r="X3052" i="55"/>
  <c r="R3052" i="55" s="1"/>
  <c r="S3052" i="55" s="1"/>
  <c r="X3051" i="55"/>
  <c r="R3051" i="55" s="1"/>
  <c r="S3051" i="55" s="1"/>
  <c r="X3050" i="55"/>
  <c r="R3050" i="55" s="1"/>
  <c r="S3050" i="55" s="1"/>
  <c r="X3049" i="55"/>
  <c r="R3049" i="55" s="1"/>
  <c r="S3049" i="55" s="1"/>
  <c r="X3048" i="55"/>
  <c r="X3047" i="55"/>
  <c r="X3046" i="55"/>
  <c r="X3045" i="55"/>
  <c r="X3044" i="55"/>
  <c r="X3043" i="55"/>
  <c r="R3043" i="55" s="1"/>
  <c r="S3043" i="55" s="1"/>
  <c r="X3042" i="55"/>
  <c r="R3042" i="55" s="1"/>
  <c r="S3042" i="55" s="1"/>
  <c r="X3041" i="55"/>
  <c r="R3041" i="55" s="1"/>
  <c r="S3041" i="55" s="1"/>
  <c r="X3040" i="55"/>
  <c r="R3040" i="55" s="1"/>
  <c r="S3040" i="55" s="1"/>
  <c r="X3039" i="55"/>
  <c r="R3039" i="55" s="1"/>
  <c r="S3039" i="55" s="1"/>
  <c r="X3038" i="55"/>
  <c r="R3038" i="55" s="1"/>
  <c r="S3038" i="55" s="1"/>
  <c r="X3037" i="55"/>
  <c r="R3037" i="55" s="1"/>
  <c r="S3037" i="55" s="1"/>
  <c r="X3036" i="55"/>
  <c r="R3036" i="55" s="1"/>
  <c r="S3036" i="55" s="1"/>
  <c r="X3035" i="55"/>
  <c r="R3035" i="55" s="1"/>
  <c r="S3035" i="55" s="1"/>
  <c r="X3034" i="55"/>
  <c r="R3034" i="55" s="1"/>
  <c r="S3034" i="55" s="1"/>
  <c r="X3033" i="55"/>
  <c r="R3033" i="55" s="1"/>
  <c r="S3033" i="55" s="1"/>
  <c r="X3032" i="55"/>
  <c r="X3031" i="55"/>
  <c r="X3030" i="55"/>
  <c r="X3029" i="55"/>
  <c r="R3029" i="55" s="1"/>
  <c r="S3029" i="55" s="1"/>
  <c r="X3028" i="55"/>
  <c r="R3028" i="55" s="1"/>
  <c r="S3028" i="55" s="1"/>
  <c r="X3027" i="55"/>
  <c r="R3027" i="55" s="1"/>
  <c r="S3027" i="55" s="1"/>
  <c r="X3026" i="55"/>
  <c r="R3026" i="55" s="1"/>
  <c r="S3026" i="55" s="1"/>
  <c r="X3025" i="55"/>
  <c r="R3025" i="55" s="1"/>
  <c r="S3025" i="55" s="1"/>
  <c r="X3024" i="55"/>
  <c r="R3024" i="55" s="1"/>
  <c r="S3024" i="55" s="1"/>
  <c r="X3023" i="55"/>
  <c r="R3023" i="55" s="1"/>
  <c r="S3023" i="55" s="1"/>
  <c r="X3022" i="55"/>
  <c r="R3022" i="55" s="1"/>
  <c r="S3022" i="55" s="1"/>
  <c r="X3021" i="55"/>
  <c r="R3021" i="55" s="1"/>
  <c r="S3021" i="55" s="1"/>
  <c r="X3020" i="55"/>
  <c r="R3020" i="55" s="1"/>
  <c r="S3020" i="55" s="1"/>
  <c r="X3019" i="55"/>
  <c r="R3019" i="55" s="1"/>
  <c r="S3019" i="55" s="1"/>
  <c r="X3018" i="55"/>
  <c r="R3018" i="55" s="1"/>
  <c r="S3018" i="55" s="1"/>
  <c r="X3017" i="55"/>
  <c r="R3017" i="55" s="1"/>
  <c r="S3017" i="55" s="1"/>
  <c r="X3016" i="55"/>
  <c r="X3015" i="55"/>
  <c r="X3014" i="55"/>
  <c r="R3014" i="55" s="1"/>
  <c r="S3014" i="55" s="1"/>
  <c r="X3013" i="55"/>
  <c r="X3012" i="55"/>
  <c r="X3011" i="55"/>
  <c r="R3011" i="55" s="1"/>
  <c r="S3011" i="55" s="1"/>
  <c r="X3010" i="55"/>
  <c r="R3010" i="55" s="1"/>
  <c r="S3010" i="55" s="1"/>
  <c r="X3009" i="55"/>
  <c r="R3009" i="55" s="1"/>
  <c r="S3009" i="55" s="1"/>
  <c r="X3008" i="55"/>
  <c r="R3008" i="55" s="1"/>
  <c r="S3008" i="55" s="1"/>
  <c r="X3007" i="55"/>
  <c r="R3007" i="55" s="1"/>
  <c r="S3007" i="55" s="1"/>
  <c r="X3006" i="55"/>
  <c r="R3006" i="55" s="1"/>
  <c r="S3006" i="55" s="1"/>
  <c r="X3005" i="55"/>
  <c r="R3005" i="55" s="1"/>
  <c r="S3005" i="55" s="1"/>
  <c r="X3004" i="55"/>
  <c r="R3004" i="55" s="1"/>
  <c r="S3004" i="55" s="1"/>
  <c r="X3003" i="55"/>
  <c r="R3003" i="55" s="1"/>
  <c r="S3003" i="55" s="1"/>
  <c r="X3002" i="55"/>
  <c r="R3002" i="55" s="1"/>
  <c r="S3002" i="55" s="1"/>
  <c r="X3001" i="55"/>
  <c r="R3001" i="55" s="1"/>
  <c r="S3001" i="55" s="1"/>
  <c r="X3000" i="55"/>
  <c r="X2999" i="55"/>
  <c r="X2998" i="55"/>
  <c r="X2997" i="55"/>
  <c r="X2996" i="55"/>
  <c r="X2995" i="55"/>
  <c r="R2995" i="55" s="1"/>
  <c r="S2995" i="55" s="1"/>
  <c r="X2994" i="55"/>
  <c r="X2993" i="55"/>
  <c r="X2992" i="55"/>
  <c r="X2991" i="55"/>
  <c r="R2991" i="55" s="1"/>
  <c r="S2991" i="55" s="1"/>
  <c r="X2990" i="55"/>
  <c r="R2990" i="55" s="1"/>
  <c r="S2990" i="55" s="1"/>
  <c r="X2989" i="55"/>
  <c r="R2989" i="55" s="1"/>
  <c r="S2989" i="55" s="1"/>
  <c r="X2988" i="55"/>
  <c r="R2988" i="55" s="1"/>
  <c r="S2988" i="55" s="1"/>
  <c r="X2987" i="55"/>
  <c r="R2987" i="55" s="1"/>
  <c r="S2987" i="55" s="1"/>
  <c r="X2986" i="55"/>
  <c r="R2986" i="55" s="1"/>
  <c r="S2986" i="55" s="1"/>
  <c r="X2985" i="55"/>
  <c r="R2985" i="55" s="1"/>
  <c r="S2985" i="55" s="1"/>
  <c r="X2984" i="55"/>
  <c r="X2983" i="55"/>
  <c r="X2982" i="55"/>
  <c r="X2981" i="55"/>
  <c r="X2980" i="55"/>
  <c r="X2979" i="55"/>
  <c r="R2979" i="55" s="1"/>
  <c r="S2979" i="55" s="1"/>
  <c r="X2978" i="55"/>
  <c r="R2978" i="55" s="1"/>
  <c r="S2978" i="55" s="1"/>
  <c r="X2977" i="55"/>
  <c r="R2977" i="55" s="1"/>
  <c r="S2977" i="55" s="1"/>
  <c r="X2976" i="55"/>
  <c r="R2976" i="55" s="1"/>
  <c r="S2976" i="55" s="1"/>
  <c r="X2975" i="55"/>
  <c r="R2975" i="55" s="1"/>
  <c r="S2975" i="55" s="1"/>
  <c r="X2974" i="55"/>
  <c r="R2974" i="55" s="1"/>
  <c r="S2974" i="55" s="1"/>
  <c r="X2973" i="55"/>
  <c r="R2973" i="55" s="1"/>
  <c r="S2973" i="55" s="1"/>
  <c r="X2972" i="55"/>
  <c r="R2972" i="55" s="1"/>
  <c r="S2972" i="55" s="1"/>
  <c r="X2971" i="55"/>
  <c r="R2971" i="55" s="1"/>
  <c r="S2971" i="55" s="1"/>
  <c r="X2970" i="55"/>
  <c r="R2970" i="55" s="1"/>
  <c r="S2970" i="55" s="1"/>
  <c r="X2969" i="55"/>
  <c r="R2969" i="55" s="1"/>
  <c r="S2969" i="55" s="1"/>
  <c r="X2968" i="55"/>
  <c r="X2967" i="55"/>
  <c r="X2966" i="55"/>
  <c r="X2965" i="55"/>
  <c r="X2964" i="55"/>
  <c r="X2963" i="55"/>
  <c r="R2963" i="55" s="1"/>
  <c r="S2963" i="55" s="1"/>
  <c r="X2962" i="55"/>
  <c r="R2962" i="55" s="1"/>
  <c r="S2962" i="55" s="1"/>
  <c r="X2961" i="55"/>
  <c r="R2961" i="55" s="1"/>
  <c r="S2961" i="55" s="1"/>
  <c r="X2960" i="55"/>
  <c r="R2960" i="55" s="1"/>
  <c r="S2960" i="55" s="1"/>
  <c r="X2959" i="55"/>
  <c r="R2959" i="55" s="1"/>
  <c r="S2959" i="55" s="1"/>
  <c r="X2958" i="55"/>
  <c r="R2958" i="55" s="1"/>
  <c r="S2958" i="55" s="1"/>
  <c r="X2957" i="55"/>
  <c r="R2957" i="55" s="1"/>
  <c r="S2957" i="55" s="1"/>
  <c r="X2956" i="55"/>
  <c r="R2956" i="55" s="1"/>
  <c r="S2956" i="55" s="1"/>
  <c r="X2955" i="55"/>
  <c r="R2955" i="55" s="1"/>
  <c r="S2955" i="55" s="1"/>
  <c r="X2954" i="55"/>
  <c r="R2954" i="55" s="1"/>
  <c r="S2954" i="55" s="1"/>
  <c r="X2953" i="55"/>
  <c r="R2953" i="55" s="1"/>
  <c r="S2953" i="55" s="1"/>
  <c r="X2952" i="55"/>
  <c r="X2951" i="55"/>
  <c r="X2950" i="55"/>
  <c r="X2949" i="55"/>
  <c r="X2948" i="55"/>
  <c r="R2948" i="55" s="1"/>
  <c r="S2948" i="55" s="1"/>
  <c r="X2947" i="55"/>
  <c r="R2947" i="55" s="1"/>
  <c r="S2947" i="55" s="1"/>
  <c r="X2946" i="55"/>
  <c r="R2946" i="55" s="1"/>
  <c r="S2946" i="55" s="1"/>
  <c r="X2945" i="55"/>
  <c r="R2945" i="55" s="1"/>
  <c r="S2945" i="55" s="1"/>
  <c r="X2944" i="55"/>
  <c r="R2944" i="55" s="1"/>
  <c r="S2944" i="55" s="1"/>
  <c r="X2943" i="55"/>
  <c r="R2943" i="55" s="1"/>
  <c r="S2943" i="55" s="1"/>
  <c r="X2942" i="55"/>
  <c r="R2942" i="55" s="1"/>
  <c r="S2942" i="55" s="1"/>
  <c r="X2941" i="55"/>
  <c r="R2941" i="55" s="1"/>
  <c r="S2941" i="55" s="1"/>
  <c r="X2940" i="55"/>
  <c r="R2940" i="55" s="1"/>
  <c r="S2940" i="55" s="1"/>
  <c r="X2939" i="55"/>
  <c r="R2939" i="55" s="1"/>
  <c r="S2939" i="55" s="1"/>
  <c r="X2938" i="55"/>
  <c r="X2937" i="55"/>
  <c r="R2937" i="55" s="1"/>
  <c r="S2937" i="55" s="1"/>
  <c r="X2936" i="55"/>
  <c r="X2935" i="55"/>
  <c r="X2934" i="55"/>
  <c r="R2934" i="55" s="1"/>
  <c r="S2934" i="55" s="1"/>
  <c r="X2933" i="55"/>
  <c r="R2933" i="55" s="1"/>
  <c r="S2933" i="55" s="1"/>
  <c r="X2932" i="55"/>
  <c r="R2932" i="55" s="1"/>
  <c r="S2932" i="55" s="1"/>
  <c r="X2931" i="55"/>
  <c r="R2931" i="55" s="1"/>
  <c r="S2931" i="55" s="1"/>
  <c r="X2930" i="55"/>
  <c r="R2930" i="55" s="1"/>
  <c r="S2930" i="55" s="1"/>
  <c r="X2929" i="55"/>
  <c r="X2928" i="55"/>
  <c r="R2928" i="55" s="1"/>
  <c r="S2928" i="55" s="1"/>
  <c r="X2927" i="55"/>
  <c r="R2927" i="55" s="1"/>
  <c r="S2927" i="55" s="1"/>
  <c r="X2926" i="55"/>
  <c r="R2926" i="55" s="1"/>
  <c r="S2926" i="55" s="1"/>
  <c r="X2925" i="55"/>
  <c r="R2925" i="55" s="1"/>
  <c r="S2925" i="55" s="1"/>
  <c r="X2924" i="55"/>
  <c r="R2924" i="55" s="1"/>
  <c r="S2924" i="55" s="1"/>
  <c r="X2923" i="55"/>
  <c r="R2923" i="55" s="1"/>
  <c r="S2923" i="55" s="1"/>
  <c r="X2922" i="55"/>
  <c r="R2922" i="55" s="1"/>
  <c r="S2922" i="55" s="1"/>
  <c r="X2921" i="55"/>
  <c r="R2921" i="55" s="1"/>
  <c r="S2921" i="55" s="1"/>
  <c r="X2920" i="55"/>
  <c r="X2919" i="55"/>
  <c r="X2918" i="55"/>
  <c r="X2917" i="55"/>
  <c r="X2916" i="55"/>
  <c r="R2916" i="55" s="1"/>
  <c r="S2916" i="55" s="1"/>
  <c r="X2915" i="55"/>
  <c r="X2914" i="55"/>
  <c r="X2913" i="55"/>
  <c r="X2912" i="55"/>
  <c r="X2911" i="55"/>
  <c r="X2910" i="55"/>
  <c r="R2910" i="55" s="1"/>
  <c r="S2910" i="55" s="1"/>
  <c r="X2909" i="55"/>
  <c r="R2909" i="55" s="1"/>
  <c r="S2909" i="55" s="1"/>
  <c r="X2908" i="55"/>
  <c r="R2908" i="55" s="1"/>
  <c r="S2908" i="55" s="1"/>
  <c r="X2907" i="55"/>
  <c r="R2907" i="55" s="1"/>
  <c r="S2907" i="55" s="1"/>
  <c r="X2906" i="55"/>
  <c r="R2906" i="55" s="1"/>
  <c r="S2906" i="55" s="1"/>
  <c r="X2905" i="55"/>
  <c r="R2905" i="55" s="1"/>
  <c r="S2905" i="55" s="1"/>
  <c r="X2904" i="55"/>
  <c r="X2903" i="55"/>
  <c r="X2902" i="55"/>
  <c r="X2901" i="55"/>
  <c r="R2901" i="55" s="1"/>
  <c r="S2901" i="55" s="1"/>
  <c r="X2900" i="55"/>
  <c r="R2900" i="55" s="1"/>
  <c r="S2900" i="55" s="1"/>
  <c r="X2899" i="55"/>
  <c r="R2899" i="55" s="1"/>
  <c r="S2899" i="55" s="1"/>
  <c r="X2898" i="55"/>
  <c r="R2898" i="55" s="1"/>
  <c r="S2898" i="55" s="1"/>
  <c r="X2897" i="55"/>
  <c r="X2896" i="55"/>
  <c r="R2896" i="55" s="1"/>
  <c r="S2896" i="55" s="1"/>
  <c r="X2895" i="55"/>
  <c r="R2895" i="55" s="1"/>
  <c r="S2895" i="55" s="1"/>
  <c r="X2894" i="55"/>
  <c r="R2894" i="55" s="1"/>
  <c r="S2894" i="55" s="1"/>
  <c r="X2893" i="55"/>
  <c r="R2893" i="55" s="1"/>
  <c r="S2893" i="55" s="1"/>
  <c r="X2892" i="55"/>
  <c r="R2892" i="55" s="1"/>
  <c r="S2892" i="55" s="1"/>
  <c r="X2891" i="55"/>
  <c r="R2891" i="55" s="1"/>
  <c r="S2891" i="55" s="1"/>
  <c r="X2890" i="55"/>
  <c r="R2890" i="55" s="1"/>
  <c r="S2890" i="55" s="1"/>
  <c r="X2889" i="55"/>
  <c r="R2889" i="55" s="1"/>
  <c r="S2889" i="55" s="1"/>
  <c r="X2888" i="55"/>
  <c r="X2887" i="55"/>
  <c r="X2886" i="55"/>
  <c r="X2885" i="55"/>
  <c r="R2885" i="55" s="1"/>
  <c r="S2885" i="55" s="1"/>
  <c r="X2884" i="55"/>
  <c r="R2884" i="55" s="1"/>
  <c r="S2884" i="55" s="1"/>
  <c r="X2883" i="55"/>
  <c r="R2883" i="55" s="1"/>
  <c r="S2883" i="55" s="1"/>
  <c r="X2882" i="55"/>
  <c r="R2882" i="55" s="1"/>
  <c r="S2882" i="55" s="1"/>
  <c r="X2881" i="55"/>
  <c r="R2881" i="55" s="1"/>
  <c r="S2881" i="55" s="1"/>
  <c r="X2880" i="55"/>
  <c r="R2880" i="55" s="1"/>
  <c r="S2880" i="55" s="1"/>
  <c r="X2879" i="55"/>
  <c r="R2879" i="55" s="1"/>
  <c r="S2879" i="55" s="1"/>
  <c r="X2878" i="55"/>
  <c r="R2878" i="55" s="1"/>
  <c r="S2878" i="55" s="1"/>
  <c r="X2877" i="55"/>
  <c r="R2877" i="55" s="1"/>
  <c r="S2877" i="55" s="1"/>
  <c r="X2876" i="55"/>
  <c r="R2876" i="55" s="1"/>
  <c r="S2876" i="55" s="1"/>
  <c r="X2875" i="55"/>
  <c r="R2875" i="55" s="1"/>
  <c r="S2875" i="55" s="1"/>
  <c r="X2874" i="55"/>
  <c r="R2874" i="55" s="1"/>
  <c r="S2874" i="55" s="1"/>
  <c r="X2873" i="55"/>
  <c r="R2873" i="55" s="1"/>
  <c r="S2873" i="55" s="1"/>
  <c r="X2872" i="55"/>
  <c r="X2871" i="55"/>
  <c r="X2870" i="55"/>
  <c r="X2869" i="55"/>
  <c r="X2868" i="55"/>
  <c r="X2867" i="55"/>
  <c r="R2867" i="55" s="1"/>
  <c r="S2867" i="55" s="1"/>
  <c r="X2866" i="55"/>
  <c r="R2866" i="55" s="1"/>
  <c r="S2866" i="55" s="1"/>
  <c r="X2865" i="55"/>
  <c r="R2865" i="55" s="1"/>
  <c r="S2865" i="55" s="1"/>
  <c r="X2864" i="55"/>
  <c r="R2864" i="55" s="1"/>
  <c r="S2864" i="55" s="1"/>
  <c r="X2863" i="55"/>
  <c r="R2863" i="55" s="1"/>
  <c r="S2863" i="55" s="1"/>
  <c r="X2862" i="55"/>
  <c r="R2862" i="55" s="1"/>
  <c r="S2862" i="55" s="1"/>
  <c r="X2861" i="55"/>
  <c r="R2861" i="55" s="1"/>
  <c r="S2861" i="55" s="1"/>
  <c r="X2860" i="55"/>
  <c r="R2860" i="55" s="1"/>
  <c r="S2860" i="55" s="1"/>
  <c r="X2859" i="55"/>
  <c r="R2859" i="55" s="1"/>
  <c r="S2859" i="55" s="1"/>
  <c r="X2858" i="55"/>
  <c r="X2857" i="55"/>
  <c r="R2857" i="55" s="1"/>
  <c r="S2857" i="55" s="1"/>
  <c r="X2856" i="55"/>
  <c r="X2855" i="55"/>
  <c r="X2854" i="55"/>
  <c r="R2854" i="55" s="1"/>
  <c r="S2854" i="55" s="1"/>
  <c r="X2853" i="55"/>
  <c r="R2853" i="55" s="1"/>
  <c r="S2853" i="55" s="1"/>
  <c r="X2852" i="55"/>
  <c r="R2852" i="55" s="1"/>
  <c r="S2852" i="55" s="1"/>
  <c r="X2851" i="55"/>
  <c r="R2851" i="55" s="1"/>
  <c r="S2851" i="55" s="1"/>
  <c r="X2850" i="55"/>
  <c r="R2850" i="55" s="1"/>
  <c r="S2850" i="55" s="1"/>
  <c r="X2849" i="55"/>
  <c r="X2848" i="55"/>
  <c r="X2847" i="55"/>
  <c r="X2846" i="55"/>
  <c r="R2846" i="55" s="1"/>
  <c r="S2846" i="55" s="1"/>
  <c r="X2845" i="55"/>
  <c r="R2845" i="55" s="1"/>
  <c r="S2845" i="55" s="1"/>
  <c r="X2844" i="55"/>
  <c r="R2844" i="55" s="1"/>
  <c r="S2844" i="55" s="1"/>
  <c r="X2843" i="55"/>
  <c r="R2843" i="55" s="1"/>
  <c r="S2843" i="55" s="1"/>
  <c r="X2842" i="55"/>
  <c r="R2842" i="55" s="1"/>
  <c r="S2842" i="55" s="1"/>
  <c r="X2841" i="55"/>
  <c r="R2841" i="55" s="1"/>
  <c r="S2841" i="55" s="1"/>
  <c r="X2840" i="55"/>
  <c r="X2839" i="55"/>
  <c r="X2838" i="55"/>
  <c r="X2837" i="55"/>
  <c r="X2836" i="55"/>
  <c r="X2835" i="55"/>
  <c r="X2834" i="55"/>
  <c r="R2834" i="55" s="1"/>
  <c r="S2834" i="55" s="1"/>
  <c r="X2833" i="55"/>
  <c r="X2832" i="55"/>
  <c r="X2831" i="55"/>
  <c r="X2830" i="55"/>
  <c r="R2830" i="55" s="1"/>
  <c r="S2830" i="55" s="1"/>
  <c r="X2829" i="55"/>
  <c r="R2829" i="55" s="1"/>
  <c r="S2829" i="55" s="1"/>
  <c r="X2828" i="55"/>
  <c r="R2828" i="55" s="1"/>
  <c r="S2828" i="55" s="1"/>
  <c r="X2827" i="55"/>
  <c r="R2827" i="55" s="1"/>
  <c r="S2827" i="55" s="1"/>
  <c r="X2826" i="55"/>
  <c r="R2826" i="55" s="1"/>
  <c r="S2826" i="55" s="1"/>
  <c r="X2825" i="55"/>
  <c r="R2825" i="55" s="1"/>
  <c r="S2825" i="55" s="1"/>
  <c r="X2824" i="55"/>
  <c r="X2823" i="55"/>
  <c r="X2822" i="55"/>
  <c r="X2821" i="55"/>
  <c r="X2820" i="55"/>
  <c r="X2819" i="55"/>
  <c r="R2819" i="55" s="1"/>
  <c r="S2819" i="55" s="1"/>
  <c r="X2818" i="55"/>
  <c r="R2818" i="55" s="1"/>
  <c r="S2818" i="55" s="1"/>
  <c r="X2817" i="55"/>
  <c r="R2817" i="55" s="1"/>
  <c r="S2817" i="55" s="1"/>
  <c r="X2816" i="55"/>
  <c r="R2816" i="55" s="1"/>
  <c r="S2816" i="55" s="1"/>
  <c r="X2815" i="55"/>
  <c r="R2815" i="55" s="1"/>
  <c r="S2815" i="55" s="1"/>
  <c r="X2814" i="55"/>
  <c r="R2814" i="55" s="1"/>
  <c r="S2814" i="55" s="1"/>
  <c r="X2813" i="55"/>
  <c r="R2813" i="55" s="1"/>
  <c r="S2813" i="55" s="1"/>
  <c r="X2812" i="55"/>
  <c r="R2812" i="55" s="1"/>
  <c r="S2812" i="55" s="1"/>
  <c r="X2811" i="55"/>
  <c r="R2811" i="55" s="1"/>
  <c r="S2811" i="55" s="1"/>
  <c r="X2810" i="55"/>
  <c r="R2810" i="55" s="1"/>
  <c r="S2810" i="55" s="1"/>
  <c r="X2809" i="55"/>
  <c r="R2809" i="55" s="1"/>
  <c r="S2809" i="55" s="1"/>
  <c r="X2808" i="55"/>
  <c r="X2807" i="55"/>
  <c r="X2806" i="55"/>
  <c r="X2805" i="55"/>
  <c r="X2804" i="55"/>
  <c r="X2803" i="55"/>
  <c r="X2802" i="55"/>
  <c r="R2802" i="55" s="1"/>
  <c r="S2802" i="55" s="1"/>
  <c r="X2801" i="55"/>
  <c r="R2801" i="55" s="1"/>
  <c r="S2801" i="55" s="1"/>
  <c r="X2800" i="55"/>
  <c r="R2800" i="55" s="1"/>
  <c r="S2800" i="55" s="1"/>
  <c r="X2799" i="55"/>
  <c r="R2799" i="55" s="1"/>
  <c r="S2799" i="55" s="1"/>
  <c r="X2798" i="55"/>
  <c r="R2798" i="55" s="1"/>
  <c r="S2798" i="55" s="1"/>
  <c r="X2797" i="55"/>
  <c r="R2797" i="55" s="1"/>
  <c r="S2797" i="55" s="1"/>
  <c r="X2796" i="55"/>
  <c r="R2796" i="55" s="1"/>
  <c r="S2796" i="55" s="1"/>
  <c r="X2795" i="55"/>
  <c r="R2795" i="55" s="1"/>
  <c r="S2795" i="55" s="1"/>
  <c r="X2794" i="55"/>
  <c r="R2794" i="55" s="1"/>
  <c r="S2794" i="55" s="1"/>
  <c r="X2793" i="55"/>
  <c r="R2793" i="55" s="1"/>
  <c r="S2793" i="55" s="1"/>
  <c r="X2792" i="55"/>
  <c r="X2791" i="55"/>
  <c r="X2790" i="55"/>
  <c r="X2789" i="55"/>
  <c r="X2788" i="55"/>
  <c r="R2788" i="55" s="1"/>
  <c r="S2788" i="55" s="1"/>
  <c r="X2787" i="55"/>
  <c r="R2787" i="55" s="1"/>
  <c r="S2787" i="55" s="1"/>
  <c r="X2786" i="55"/>
  <c r="R2786" i="55" s="1"/>
  <c r="S2786" i="55" s="1"/>
  <c r="X2785" i="55"/>
  <c r="R2785" i="55" s="1"/>
  <c r="S2785" i="55" s="1"/>
  <c r="X2784" i="55"/>
  <c r="R2784" i="55" s="1"/>
  <c r="S2784" i="55" s="1"/>
  <c r="X2783" i="55"/>
  <c r="R2783" i="55" s="1"/>
  <c r="S2783" i="55" s="1"/>
  <c r="X2782" i="55"/>
  <c r="R2782" i="55" s="1"/>
  <c r="S2782" i="55" s="1"/>
  <c r="X2781" i="55"/>
  <c r="R2781" i="55" s="1"/>
  <c r="S2781" i="55" s="1"/>
  <c r="X2780" i="55"/>
  <c r="R2780" i="55" s="1"/>
  <c r="S2780" i="55" s="1"/>
  <c r="X2779" i="55"/>
  <c r="R2779" i="55" s="1"/>
  <c r="S2779" i="55" s="1"/>
  <c r="R3128" i="55"/>
  <c r="S3128" i="55" s="1"/>
  <c r="S3127" i="55"/>
  <c r="R3127" i="55"/>
  <c r="R3112" i="55"/>
  <c r="S3112" i="55" s="1"/>
  <c r="R3111" i="55"/>
  <c r="S3111" i="55" s="1"/>
  <c r="R3110" i="55"/>
  <c r="S3110" i="55" s="1"/>
  <c r="R3096" i="55"/>
  <c r="S3096" i="55" s="1"/>
  <c r="R3095" i="55"/>
  <c r="S3095" i="55" s="1"/>
  <c r="R3094" i="55"/>
  <c r="S3094" i="55" s="1"/>
  <c r="R3093" i="55"/>
  <c r="S3093" i="55" s="1"/>
  <c r="R3092" i="55"/>
  <c r="S3092" i="55" s="1"/>
  <c r="R3089" i="55"/>
  <c r="S3089" i="55" s="1"/>
  <c r="R3080" i="55"/>
  <c r="S3080" i="55" s="1"/>
  <c r="R3079" i="55"/>
  <c r="S3079" i="55" s="1"/>
  <c r="R3073" i="55"/>
  <c r="S3073" i="55" s="1"/>
  <c r="R3064" i="55"/>
  <c r="S3064" i="55" s="1"/>
  <c r="R3063" i="55"/>
  <c r="S3063" i="55" s="1"/>
  <c r="R3048" i="55"/>
  <c r="S3048" i="55" s="1"/>
  <c r="R3047" i="55"/>
  <c r="S3047" i="55" s="1"/>
  <c r="R3046" i="55"/>
  <c r="S3046" i="55" s="1"/>
  <c r="R3045" i="55"/>
  <c r="S3045" i="55" s="1"/>
  <c r="R3044" i="55"/>
  <c r="S3044" i="55" s="1"/>
  <c r="R3032" i="55"/>
  <c r="S3032" i="55" s="1"/>
  <c r="R3031" i="55"/>
  <c r="S3031" i="55" s="1"/>
  <c r="R3030" i="55"/>
  <c r="S3030" i="55" s="1"/>
  <c r="R3016" i="55"/>
  <c r="S3016" i="55" s="1"/>
  <c r="R3015" i="55"/>
  <c r="S3015" i="55" s="1"/>
  <c r="R3013" i="55"/>
  <c r="S3013" i="55" s="1"/>
  <c r="R3012" i="55"/>
  <c r="S3012" i="55" s="1"/>
  <c r="R3000" i="55"/>
  <c r="S3000" i="55" s="1"/>
  <c r="R2999" i="55"/>
  <c r="S2999" i="55" s="1"/>
  <c r="R2998" i="55"/>
  <c r="S2998" i="55" s="1"/>
  <c r="R2997" i="55"/>
  <c r="S2997" i="55" s="1"/>
  <c r="R2996" i="55"/>
  <c r="S2996" i="55" s="1"/>
  <c r="R2994" i="55"/>
  <c r="S2994" i="55" s="1"/>
  <c r="R2993" i="55"/>
  <c r="S2993" i="55" s="1"/>
  <c r="R2992" i="55"/>
  <c r="S2992" i="55" s="1"/>
  <c r="R2984" i="55"/>
  <c r="S2984" i="55" s="1"/>
  <c r="R2983" i="55"/>
  <c r="S2983" i="55" s="1"/>
  <c r="R2982" i="55"/>
  <c r="S2982" i="55" s="1"/>
  <c r="R2981" i="55"/>
  <c r="S2981" i="55" s="1"/>
  <c r="R2980" i="55"/>
  <c r="S2980" i="55" s="1"/>
  <c r="R2968" i="55"/>
  <c r="S2968" i="55" s="1"/>
  <c r="R2967" i="55"/>
  <c r="S2967" i="55" s="1"/>
  <c r="R2966" i="55"/>
  <c r="S2966" i="55" s="1"/>
  <c r="R2965" i="55"/>
  <c r="S2965" i="55" s="1"/>
  <c r="R2964" i="55"/>
  <c r="S2964" i="55" s="1"/>
  <c r="R2952" i="55"/>
  <c r="S2952" i="55" s="1"/>
  <c r="R2951" i="55"/>
  <c r="S2951" i="55" s="1"/>
  <c r="R2950" i="55"/>
  <c r="S2950" i="55" s="1"/>
  <c r="R2949" i="55"/>
  <c r="S2949" i="55" s="1"/>
  <c r="R2938" i="55"/>
  <c r="S2938" i="55" s="1"/>
  <c r="R2936" i="55"/>
  <c r="S2936" i="55" s="1"/>
  <c r="R2935" i="55"/>
  <c r="S2935" i="55" s="1"/>
  <c r="R2929" i="55"/>
  <c r="S2929" i="55" s="1"/>
  <c r="R2920" i="55"/>
  <c r="S2920" i="55" s="1"/>
  <c r="R2919" i="55"/>
  <c r="S2919" i="55" s="1"/>
  <c r="R2918" i="55"/>
  <c r="S2918" i="55" s="1"/>
  <c r="R2917" i="55"/>
  <c r="S2917" i="55" s="1"/>
  <c r="R2915" i="55"/>
  <c r="S2915" i="55" s="1"/>
  <c r="R2914" i="55"/>
  <c r="S2914" i="55" s="1"/>
  <c r="R2913" i="55"/>
  <c r="S2913" i="55" s="1"/>
  <c r="R2912" i="55"/>
  <c r="S2912" i="55" s="1"/>
  <c r="R2911" i="55"/>
  <c r="S2911" i="55" s="1"/>
  <c r="R2904" i="55"/>
  <c r="S2904" i="55" s="1"/>
  <c r="R2903" i="55"/>
  <c r="S2903" i="55" s="1"/>
  <c r="R2902" i="55"/>
  <c r="S2902" i="55" s="1"/>
  <c r="R2897" i="55"/>
  <c r="S2897" i="55" s="1"/>
  <c r="R2888" i="55"/>
  <c r="S2888" i="55" s="1"/>
  <c r="R2887" i="55"/>
  <c r="S2887" i="55" s="1"/>
  <c r="R2886" i="55"/>
  <c r="S2886" i="55" s="1"/>
  <c r="R2872" i="55"/>
  <c r="S2872" i="55" s="1"/>
  <c r="R2871" i="55"/>
  <c r="S2871" i="55" s="1"/>
  <c r="R2870" i="55"/>
  <c r="S2870" i="55" s="1"/>
  <c r="R2869" i="55"/>
  <c r="S2869" i="55" s="1"/>
  <c r="R2868" i="55"/>
  <c r="S2868" i="55" s="1"/>
  <c r="R2858" i="55"/>
  <c r="S2858" i="55" s="1"/>
  <c r="R2856" i="55"/>
  <c r="S2856" i="55" s="1"/>
  <c r="R2855" i="55"/>
  <c r="S2855" i="55" s="1"/>
  <c r="R2849" i="55"/>
  <c r="S2849" i="55" s="1"/>
  <c r="R2848" i="55"/>
  <c r="S2848" i="55" s="1"/>
  <c r="R2847" i="55"/>
  <c r="S2847" i="55" s="1"/>
  <c r="R2840" i="55"/>
  <c r="S2840" i="55" s="1"/>
  <c r="R2839" i="55"/>
  <c r="S2839" i="55" s="1"/>
  <c r="R2838" i="55"/>
  <c r="S2838" i="55" s="1"/>
  <c r="R2837" i="55"/>
  <c r="S2837" i="55" s="1"/>
  <c r="R2836" i="55"/>
  <c r="S2836" i="55" s="1"/>
  <c r="R2835" i="55"/>
  <c r="S2835" i="55" s="1"/>
  <c r="R2833" i="55"/>
  <c r="S2833" i="55" s="1"/>
  <c r="R2832" i="55"/>
  <c r="S2832" i="55" s="1"/>
  <c r="R2831" i="55"/>
  <c r="S2831" i="55" s="1"/>
  <c r="R2824" i="55"/>
  <c r="S2824" i="55" s="1"/>
  <c r="R2823" i="55"/>
  <c r="S2823" i="55" s="1"/>
  <c r="R2822" i="55"/>
  <c r="S2822" i="55" s="1"/>
  <c r="R2821" i="55"/>
  <c r="S2821" i="55" s="1"/>
  <c r="R2820" i="55"/>
  <c r="S2820" i="55" s="1"/>
  <c r="R2808" i="55"/>
  <c r="S2808" i="55" s="1"/>
  <c r="R2807" i="55"/>
  <c r="S2807" i="55" s="1"/>
  <c r="R2806" i="55"/>
  <c r="S2806" i="55" s="1"/>
  <c r="R2805" i="55"/>
  <c r="S2805" i="55" s="1"/>
  <c r="R2804" i="55"/>
  <c r="S2804" i="55" s="1"/>
  <c r="R2803" i="55"/>
  <c r="S2803" i="55" s="1"/>
  <c r="R2792" i="55"/>
  <c r="S2792" i="55" s="1"/>
  <c r="R2791" i="55"/>
  <c r="S2791" i="55" s="1"/>
  <c r="R2790" i="55"/>
  <c r="S2790" i="55" s="1"/>
  <c r="R2789" i="55"/>
  <c r="S2789" i="55" s="1"/>
  <c r="H3128" i="55"/>
  <c r="G3128" i="55"/>
  <c r="H3127" i="55"/>
  <c r="G3127" i="55"/>
  <c r="H3126" i="55"/>
  <c r="G3126" i="55"/>
  <c r="H3125" i="55"/>
  <c r="G3125" i="55"/>
  <c r="H3124" i="55"/>
  <c r="G3124" i="55"/>
  <c r="H3123" i="55"/>
  <c r="G3123" i="55"/>
  <c r="H3122" i="55"/>
  <c r="G3122" i="55"/>
  <c r="H3121" i="55"/>
  <c r="G3121" i="55"/>
  <c r="H3120" i="55"/>
  <c r="G3120" i="55"/>
  <c r="H3119" i="55"/>
  <c r="G3119" i="55"/>
  <c r="H3118" i="55"/>
  <c r="G3118" i="55"/>
  <c r="H3117" i="55"/>
  <c r="G3117" i="55"/>
  <c r="H3116" i="55"/>
  <c r="G3116" i="55"/>
  <c r="H3115" i="55"/>
  <c r="G3115" i="55"/>
  <c r="H3114" i="55"/>
  <c r="G3114" i="55"/>
  <c r="H3113" i="55"/>
  <c r="G3113" i="55"/>
  <c r="H3112" i="55"/>
  <c r="G3112" i="55"/>
  <c r="H3111" i="55"/>
  <c r="G3111" i="55"/>
  <c r="H3110" i="55"/>
  <c r="G3110" i="55"/>
  <c r="H3109" i="55"/>
  <c r="G3109" i="55"/>
  <c r="H3108" i="55"/>
  <c r="G3108" i="55"/>
  <c r="H3107" i="55"/>
  <c r="G3107" i="55"/>
  <c r="H3106" i="55"/>
  <c r="G3106" i="55"/>
  <c r="H3105" i="55"/>
  <c r="G3105" i="55"/>
  <c r="H3104" i="55"/>
  <c r="G3104" i="55"/>
  <c r="H3103" i="55"/>
  <c r="G3103" i="55"/>
  <c r="H3102" i="55"/>
  <c r="G3102" i="55"/>
  <c r="H3101" i="55"/>
  <c r="G3101" i="55"/>
  <c r="H3100" i="55"/>
  <c r="G3100" i="55"/>
  <c r="H3099" i="55"/>
  <c r="G3099" i="55"/>
  <c r="H3098" i="55"/>
  <c r="G3098" i="55"/>
  <c r="H3097" i="55"/>
  <c r="G3097" i="55"/>
  <c r="H3096" i="55"/>
  <c r="G3096" i="55"/>
  <c r="H3095" i="55"/>
  <c r="G3095" i="55"/>
  <c r="H3094" i="55"/>
  <c r="G3094" i="55"/>
  <c r="H3093" i="55"/>
  <c r="G3093" i="55"/>
  <c r="H3092" i="55"/>
  <c r="G3092" i="55"/>
  <c r="H3091" i="55"/>
  <c r="G3091" i="55"/>
  <c r="H3090" i="55"/>
  <c r="G3090" i="55"/>
  <c r="H3089" i="55"/>
  <c r="G3089" i="55"/>
  <c r="H3088" i="55"/>
  <c r="G3088" i="55"/>
  <c r="H3087" i="55"/>
  <c r="G3087" i="55"/>
  <c r="H3086" i="55"/>
  <c r="G3086" i="55"/>
  <c r="H3085" i="55"/>
  <c r="G3085" i="55"/>
  <c r="H3084" i="55"/>
  <c r="G3084" i="55"/>
  <c r="H3083" i="55"/>
  <c r="G3083" i="55"/>
  <c r="H3082" i="55"/>
  <c r="G3082" i="55"/>
  <c r="H3081" i="55"/>
  <c r="G3081" i="55"/>
  <c r="H3080" i="55"/>
  <c r="G3080" i="55"/>
  <c r="H3079" i="55"/>
  <c r="G3079" i="55"/>
  <c r="H3078" i="55"/>
  <c r="G3078" i="55"/>
  <c r="H3077" i="55"/>
  <c r="G3077" i="55"/>
  <c r="H3076" i="55"/>
  <c r="G3076" i="55"/>
  <c r="H3075" i="55"/>
  <c r="G3075" i="55"/>
  <c r="H3074" i="55"/>
  <c r="G3074" i="55"/>
  <c r="H3073" i="55"/>
  <c r="G3073" i="55"/>
  <c r="H3072" i="55"/>
  <c r="G3072" i="55"/>
  <c r="H3071" i="55"/>
  <c r="G3071" i="55"/>
  <c r="H3070" i="55"/>
  <c r="G3070" i="55"/>
  <c r="H3069" i="55"/>
  <c r="G3069" i="55"/>
  <c r="H3068" i="55"/>
  <c r="G3068" i="55"/>
  <c r="H3067" i="55"/>
  <c r="G3067" i="55"/>
  <c r="H3066" i="55"/>
  <c r="G3066" i="55"/>
  <c r="H3065" i="55"/>
  <c r="G3065" i="55"/>
  <c r="H3064" i="55"/>
  <c r="G3064" i="55"/>
  <c r="H3063" i="55"/>
  <c r="G3063" i="55"/>
  <c r="H3062" i="55"/>
  <c r="G3062" i="55"/>
  <c r="H3061" i="55"/>
  <c r="G3061" i="55"/>
  <c r="H3060" i="55"/>
  <c r="G3060" i="55"/>
  <c r="H3059" i="55"/>
  <c r="G3059" i="55"/>
  <c r="H3058" i="55"/>
  <c r="G3058" i="55"/>
  <c r="H3057" i="55"/>
  <c r="G3057" i="55"/>
  <c r="H3056" i="55"/>
  <c r="G3056" i="55"/>
  <c r="H3055" i="55"/>
  <c r="G3055" i="55"/>
  <c r="H3054" i="55"/>
  <c r="G3054" i="55"/>
  <c r="H3053" i="55"/>
  <c r="G3053" i="55"/>
  <c r="H3052" i="55"/>
  <c r="G3052" i="55"/>
  <c r="H3051" i="55"/>
  <c r="G3051" i="55"/>
  <c r="H3050" i="55"/>
  <c r="G3050" i="55"/>
  <c r="H3049" i="55"/>
  <c r="G3049" i="55"/>
  <c r="H3048" i="55"/>
  <c r="G3048" i="55"/>
  <c r="H3047" i="55"/>
  <c r="G3047" i="55"/>
  <c r="H3046" i="55"/>
  <c r="G3046" i="55"/>
  <c r="H3045" i="55"/>
  <c r="G3045" i="55"/>
  <c r="H3044" i="55"/>
  <c r="G3044" i="55"/>
  <c r="H3043" i="55"/>
  <c r="G3043" i="55"/>
  <c r="H3042" i="55"/>
  <c r="G3042" i="55"/>
  <c r="H3041" i="55"/>
  <c r="G3041" i="55"/>
  <c r="H3040" i="55"/>
  <c r="G3040" i="55"/>
  <c r="H3039" i="55"/>
  <c r="G3039" i="55"/>
  <c r="H3038" i="55"/>
  <c r="G3038" i="55"/>
  <c r="H3037" i="55"/>
  <c r="G3037" i="55"/>
  <c r="H3036" i="55"/>
  <c r="G3036" i="55"/>
  <c r="H3035" i="55"/>
  <c r="G3035" i="55"/>
  <c r="H3034" i="55"/>
  <c r="G3034" i="55"/>
  <c r="H3033" i="55"/>
  <c r="G3033" i="55"/>
  <c r="H3032" i="55"/>
  <c r="G3032" i="55"/>
  <c r="H3031" i="55"/>
  <c r="G3031" i="55"/>
  <c r="H3030" i="55"/>
  <c r="G3030" i="55"/>
  <c r="H3029" i="55"/>
  <c r="G3029" i="55"/>
  <c r="H3028" i="55"/>
  <c r="G3028" i="55"/>
  <c r="H3027" i="55"/>
  <c r="G3027" i="55"/>
  <c r="H3026" i="55"/>
  <c r="G3026" i="55"/>
  <c r="H3025" i="55"/>
  <c r="G3025" i="55"/>
  <c r="H3024" i="55"/>
  <c r="G3024" i="55"/>
  <c r="H3023" i="55"/>
  <c r="G3023" i="55"/>
  <c r="H3022" i="55"/>
  <c r="G3022" i="55"/>
  <c r="H3021" i="55"/>
  <c r="G3021" i="55"/>
  <c r="H3020" i="55"/>
  <c r="G3020" i="55"/>
  <c r="H3019" i="55"/>
  <c r="G3019" i="55"/>
  <c r="H3018" i="55"/>
  <c r="G3018" i="55"/>
  <c r="H3017" i="55"/>
  <c r="G3017" i="55"/>
  <c r="H3016" i="55"/>
  <c r="G3016" i="55"/>
  <c r="H3015" i="55"/>
  <c r="G3015" i="55"/>
  <c r="H3014" i="55"/>
  <c r="G3014" i="55"/>
  <c r="H3013" i="55"/>
  <c r="G3013" i="55"/>
  <c r="H3012" i="55"/>
  <c r="G3012" i="55"/>
  <c r="H3011" i="55"/>
  <c r="G3011" i="55"/>
  <c r="H3010" i="55"/>
  <c r="G3010" i="55"/>
  <c r="H3009" i="55"/>
  <c r="G3009" i="55"/>
  <c r="H3008" i="55"/>
  <c r="G3008" i="55"/>
  <c r="H3007" i="55"/>
  <c r="G3007" i="55"/>
  <c r="H3006" i="55"/>
  <c r="G3006" i="55"/>
  <c r="H3005" i="55"/>
  <c r="G3005" i="55"/>
  <c r="H3004" i="55"/>
  <c r="G3004" i="55"/>
  <c r="H3003" i="55"/>
  <c r="G3003" i="55"/>
  <c r="H3002" i="55"/>
  <c r="G3002" i="55"/>
  <c r="H3001" i="55"/>
  <c r="G3001" i="55"/>
  <c r="H3000" i="55"/>
  <c r="G3000" i="55"/>
  <c r="H2999" i="55"/>
  <c r="G2999" i="55"/>
  <c r="H2998" i="55"/>
  <c r="G2998" i="55"/>
  <c r="H2997" i="55"/>
  <c r="G2997" i="55"/>
  <c r="H2996" i="55"/>
  <c r="G2996" i="55"/>
  <c r="H2995" i="55"/>
  <c r="G2995" i="55"/>
  <c r="H2994" i="55"/>
  <c r="G2994" i="55"/>
  <c r="H2993" i="55"/>
  <c r="G2993" i="55"/>
  <c r="H2992" i="55"/>
  <c r="G2992" i="55"/>
  <c r="H2991" i="55"/>
  <c r="G2991" i="55"/>
  <c r="H2990" i="55"/>
  <c r="G2990" i="55"/>
  <c r="H2989" i="55"/>
  <c r="G2989" i="55"/>
  <c r="H2988" i="55"/>
  <c r="G2988" i="55"/>
  <c r="H2987" i="55"/>
  <c r="G2987" i="55"/>
  <c r="H2986" i="55"/>
  <c r="G2986" i="55"/>
  <c r="H2985" i="55"/>
  <c r="G2985" i="55"/>
  <c r="H2984" i="55"/>
  <c r="G2984" i="55"/>
  <c r="H2983" i="55"/>
  <c r="G2983" i="55"/>
  <c r="H2982" i="55"/>
  <c r="G2982" i="55"/>
  <c r="H2981" i="55"/>
  <c r="G2981" i="55"/>
  <c r="H2980" i="55"/>
  <c r="G2980" i="55"/>
  <c r="H2979" i="55"/>
  <c r="G2979" i="55"/>
  <c r="H2978" i="55"/>
  <c r="G2978" i="55"/>
  <c r="H2977" i="55"/>
  <c r="G2977" i="55"/>
  <c r="H2976" i="55"/>
  <c r="G2976" i="55"/>
  <c r="H2975" i="55"/>
  <c r="G2975" i="55"/>
  <c r="H2974" i="55"/>
  <c r="G2974" i="55"/>
  <c r="H2973" i="55"/>
  <c r="G2973" i="55"/>
  <c r="H2972" i="55"/>
  <c r="G2972" i="55"/>
  <c r="H2971" i="55"/>
  <c r="G2971" i="55"/>
  <c r="H2970" i="55"/>
  <c r="G2970" i="55"/>
  <c r="H2969" i="55"/>
  <c r="G2969" i="55"/>
  <c r="H2968" i="55"/>
  <c r="G2968" i="55"/>
  <c r="H2967" i="55"/>
  <c r="G2967" i="55"/>
  <c r="H2966" i="55"/>
  <c r="G2966" i="55"/>
  <c r="H2965" i="55"/>
  <c r="G2965" i="55"/>
  <c r="H2964" i="55"/>
  <c r="G2964" i="55"/>
  <c r="H2963" i="55"/>
  <c r="G2963" i="55"/>
  <c r="H2962" i="55"/>
  <c r="G2962" i="55"/>
  <c r="H2961" i="55"/>
  <c r="G2961" i="55"/>
  <c r="H2960" i="55"/>
  <c r="G2960" i="55"/>
  <c r="H2959" i="55"/>
  <c r="G2959" i="55"/>
  <c r="H2958" i="55"/>
  <c r="G2958" i="55"/>
  <c r="H2957" i="55"/>
  <c r="G2957" i="55"/>
  <c r="H2956" i="55"/>
  <c r="G2956" i="55"/>
  <c r="H2955" i="55"/>
  <c r="G2955" i="55"/>
  <c r="H2954" i="55"/>
  <c r="G2954" i="55"/>
  <c r="H2953" i="55"/>
  <c r="G2953" i="55"/>
  <c r="H2952" i="55"/>
  <c r="G2952" i="55"/>
  <c r="H2951" i="55"/>
  <c r="G2951" i="55"/>
  <c r="H2950" i="55"/>
  <c r="G2950" i="55"/>
  <c r="H2949" i="55"/>
  <c r="G2949" i="55"/>
  <c r="H2948" i="55"/>
  <c r="G2948" i="55"/>
  <c r="H2947" i="55"/>
  <c r="G2947" i="55"/>
  <c r="H2946" i="55"/>
  <c r="G2946" i="55"/>
  <c r="H2945" i="55"/>
  <c r="G2945" i="55"/>
  <c r="H2944" i="55"/>
  <c r="G2944" i="55"/>
  <c r="H2943" i="55"/>
  <c r="G2943" i="55"/>
  <c r="H2942" i="55"/>
  <c r="G2942" i="55"/>
  <c r="H2941" i="55"/>
  <c r="G2941" i="55"/>
  <c r="H2940" i="55"/>
  <c r="G2940" i="55"/>
  <c r="H2939" i="55"/>
  <c r="G2939" i="55"/>
  <c r="H2938" i="55"/>
  <c r="G2938" i="55"/>
  <c r="H2937" i="55"/>
  <c r="G2937" i="55"/>
  <c r="H2936" i="55"/>
  <c r="G2936" i="55"/>
  <c r="H2935" i="55"/>
  <c r="G2935" i="55"/>
  <c r="H2934" i="55"/>
  <c r="G2934" i="55"/>
  <c r="H2933" i="55"/>
  <c r="G2933" i="55"/>
  <c r="H2932" i="55"/>
  <c r="G2932" i="55"/>
  <c r="H2931" i="55"/>
  <c r="G2931" i="55"/>
  <c r="H2930" i="55"/>
  <c r="G2930" i="55"/>
  <c r="H2929" i="55"/>
  <c r="G2929" i="55"/>
  <c r="H2928" i="55"/>
  <c r="G2928" i="55"/>
  <c r="H2927" i="55"/>
  <c r="G2927" i="55"/>
  <c r="H2926" i="55"/>
  <c r="G2926" i="55"/>
  <c r="H2925" i="55"/>
  <c r="G2925" i="55"/>
  <c r="H2924" i="55"/>
  <c r="G2924" i="55"/>
  <c r="H2923" i="55"/>
  <c r="G2923" i="55"/>
  <c r="H2922" i="55"/>
  <c r="G2922" i="55"/>
  <c r="H2921" i="55"/>
  <c r="G2921" i="55"/>
  <c r="H2920" i="55"/>
  <c r="G2920" i="55"/>
  <c r="H2919" i="55"/>
  <c r="G2919" i="55"/>
  <c r="H2918" i="55"/>
  <c r="G2918" i="55"/>
  <c r="H2917" i="55"/>
  <c r="G2917" i="55"/>
  <c r="H2916" i="55"/>
  <c r="G2916" i="55"/>
  <c r="H2915" i="55"/>
  <c r="G2915" i="55"/>
  <c r="H2914" i="55"/>
  <c r="G2914" i="55"/>
  <c r="H2913" i="55"/>
  <c r="G2913" i="55"/>
  <c r="H2912" i="55"/>
  <c r="G2912" i="55"/>
  <c r="H2911" i="55"/>
  <c r="G2911" i="55"/>
  <c r="H2910" i="55"/>
  <c r="G2910" i="55"/>
  <c r="H2909" i="55"/>
  <c r="G2909" i="55"/>
  <c r="H2908" i="55"/>
  <c r="G2908" i="55"/>
  <c r="H2907" i="55"/>
  <c r="G2907" i="55"/>
  <c r="H2906" i="55"/>
  <c r="G2906" i="55"/>
  <c r="H2905" i="55"/>
  <c r="G2905" i="55"/>
  <c r="H2904" i="55"/>
  <c r="G2904" i="55"/>
  <c r="H2903" i="55"/>
  <c r="G2903" i="55"/>
  <c r="H2902" i="55"/>
  <c r="G2902" i="55"/>
  <c r="H2901" i="55"/>
  <c r="G2901" i="55"/>
  <c r="H2900" i="55"/>
  <c r="G2900" i="55"/>
  <c r="H2899" i="55"/>
  <c r="G2899" i="55"/>
  <c r="H2898" i="55"/>
  <c r="G2898" i="55"/>
  <c r="H2897" i="55"/>
  <c r="G2897" i="55"/>
  <c r="H2896" i="55"/>
  <c r="G2896" i="55"/>
  <c r="H2895" i="55"/>
  <c r="G2895" i="55"/>
  <c r="H2894" i="55"/>
  <c r="G2894" i="55"/>
  <c r="H2893" i="55"/>
  <c r="G2893" i="55"/>
  <c r="H2892" i="55"/>
  <c r="G2892" i="55"/>
  <c r="H2891" i="55"/>
  <c r="G2891" i="55"/>
  <c r="H2890" i="55"/>
  <c r="G2890" i="55"/>
  <c r="H2889" i="55"/>
  <c r="G2889" i="55"/>
  <c r="H2888" i="55"/>
  <c r="G2888" i="55"/>
  <c r="H2887" i="55"/>
  <c r="G2887" i="55"/>
  <c r="H2886" i="55"/>
  <c r="G2886" i="55"/>
  <c r="H2885" i="55"/>
  <c r="G2885" i="55"/>
  <c r="H2884" i="55"/>
  <c r="G2884" i="55"/>
  <c r="H2883" i="55"/>
  <c r="G2883" i="55"/>
  <c r="H2882" i="55"/>
  <c r="G2882" i="55"/>
  <c r="H2881" i="55"/>
  <c r="G2881" i="55"/>
  <c r="H2880" i="55"/>
  <c r="G2880" i="55"/>
  <c r="H2879" i="55"/>
  <c r="G2879" i="55"/>
  <c r="H2878" i="55"/>
  <c r="G2878" i="55"/>
  <c r="H2877" i="55"/>
  <c r="G2877" i="55"/>
  <c r="H2876" i="55"/>
  <c r="G2876" i="55"/>
  <c r="H2875" i="55"/>
  <c r="G2875" i="55"/>
  <c r="H2874" i="55"/>
  <c r="G2874" i="55"/>
  <c r="H2873" i="55"/>
  <c r="G2873" i="55"/>
  <c r="H2872" i="55"/>
  <c r="G2872" i="55"/>
  <c r="H2871" i="55"/>
  <c r="G2871" i="55"/>
  <c r="H2870" i="55"/>
  <c r="G2870" i="55"/>
  <c r="H2869" i="55"/>
  <c r="G2869" i="55"/>
  <c r="H2868" i="55"/>
  <c r="G2868" i="55"/>
  <c r="H2867" i="55"/>
  <c r="G2867" i="55"/>
  <c r="H2866" i="55"/>
  <c r="G2866" i="55"/>
  <c r="H2865" i="55"/>
  <c r="G2865" i="55"/>
  <c r="H2864" i="55"/>
  <c r="G2864" i="55"/>
  <c r="H2863" i="55"/>
  <c r="G2863" i="55"/>
  <c r="H2862" i="55"/>
  <c r="G2862" i="55"/>
  <c r="H2861" i="55"/>
  <c r="G2861" i="55"/>
  <c r="H2860" i="55"/>
  <c r="G2860" i="55"/>
  <c r="H2859" i="55"/>
  <c r="G2859" i="55"/>
  <c r="H2858" i="55"/>
  <c r="G2858" i="55"/>
  <c r="H2857" i="55"/>
  <c r="G2857" i="55"/>
  <c r="H2856" i="55"/>
  <c r="G2856" i="55"/>
  <c r="H2855" i="55"/>
  <c r="G2855" i="55"/>
  <c r="H2854" i="55"/>
  <c r="G2854" i="55"/>
  <c r="H2853" i="55"/>
  <c r="G2853" i="55"/>
  <c r="H2852" i="55"/>
  <c r="G2852" i="55"/>
  <c r="H2851" i="55"/>
  <c r="G2851" i="55"/>
  <c r="H2850" i="55"/>
  <c r="G2850" i="55"/>
  <c r="H2849" i="55"/>
  <c r="G2849" i="55"/>
  <c r="H2848" i="55"/>
  <c r="G2848" i="55"/>
  <c r="H2847" i="55"/>
  <c r="G2847" i="55"/>
  <c r="H2846" i="55"/>
  <c r="G2846" i="55"/>
  <c r="H2845" i="55"/>
  <c r="G2845" i="55"/>
  <c r="H2844" i="55"/>
  <c r="G2844" i="55"/>
  <c r="H2843" i="55"/>
  <c r="G2843" i="55"/>
  <c r="H2842" i="55"/>
  <c r="G2842" i="55"/>
  <c r="H2841" i="55"/>
  <c r="G2841" i="55"/>
  <c r="H2840" i="55"/>
  <c r="G2840" i="55"/>
  <c r="H2839" i="55"/>
  <c r="G2839" i="55"/>
  <c r="H2838" i="55"/>
  <c r="G2838" i="55"/>
  <c r="H2837" i="55"/>
  <c r="G2837" i="55"/>
  <c r="H2836" i="55"/>
  <c r="G2836" i="55"/>
  <c r="H2835" i="55"/>
  <c r="G2835" i="55"/>
  <c r="H2834" i="55"/>
  <c r="G2834" i="55"/>
  <c r="H2833" i="55"/>
  <c r="G2833" i="55"/>
  <c r="H2832" i="55"/>
  <c r="G2832" i="55"/>
  <c r="H2831" i="55"/>
  <c r="G2831" i="55"/>
  <c r="H2830" i="55"/>
  <c r="G2830" i="55"/>
  <c r="H2829" i="55"/>
  <c r="G2829" i="55"/>
  <c r="H2828" i="55"/>
  <c r="G2828" i="55"/>
  <c r="H2827" i="55"/>
  <c r="G2827" i="55"/>
  <c r="H2826" i="55"/>
  <c r="G2826" i="55"/>
  <c r="H2825" i="55"/>
  <c r="G2825" i="55"/>
  <c r="H2824" i="55"/>
  <c r="G2824" i="55"/>
  <c r="H2823" i="55"/>
  <c r="G2823" i="55"/>
  <c r="H2822" i="55"/>
  <c r="G2822" i="55"/>
  <c r="H2821" i="55"/>
  <c r="G2821" i="55"/>
  <c r="H2820" i="55"/>
  <c r="G2820" i="55"/>
  <c r="H2819" i="55"/>
  <c r="G2819" i="55"/>
  <c r="H2818" i="55"/>
  <c r="G2818" i="55"/>
  <c r="H2817" i="55"/>
  <c r="G2817" i="55"/>
  <c r="H2816" i="55"/>
  <c r="G2816" i="55"/>
  <c r="H2815" i="55"/>
  <c r="G2815" i="55"/>
  <c r="H2814" i="55"/>
  <c r="G2814" i="55"/>
  <c r="H2813" i="55"/>
  <c r="G2813" i="55"/>
  <c r="H2812" i="55"/>
  <c r="G2812" i="55"/>
  <c r="H2811" i="55"/>
  <c r="G2811" i="55"/>
  <c r="H2810" i="55"/>
  <c r="G2810" i="55"/>
  <c r="H2809" i="55"/>
  <c r="G2809" i="55"/>
  <c r="H2808" i="55"/>
  <c r="G2808" i="55"/>
  <c r="H2807" i="55"/>
  <c r="G2807" i="55"/>
  <c r="H2806" i="55"/>
  <c r="G2806" i="55"/>
  <c r="H2805" i="55"/>
  <c r="G2805" i="55"/>
  <c r="H2804" i="55"/>
  <c r="G2804" i="55"/>
  <c r="H2803" i="55"/>
  <c r="G2803" i="55"/>
  <c r="H2802" i="55"/>
  <c r="G2802" i="55"/>
  <c r="H2801" i="55"/>
  <c r="G2801" i="55"/>
  <c r="H2800" i="55"/>
  <c r="G2800" i="55"/>
  <c r="H2799" i="55"/>
  <c r="G2799" i="55"/>
  <c r="H2798" i="55"/>
  <c r="G2798" i="55"/>
  <c r="H2797" i="55"/>
  <c r="G2797" i="55"/>
  <c r="H2796" i="55"/>
  <c r="G2796" i="55"/>
  <c r="H2795" i="55"/>
  <c r="G2795" i="55"/>
  <c r="H2794" i="55"/>
  <c r="G2794" i="55"/>
  <c r="H2793" i="55"/>
  <c r="G2793" i="55"/>
  <c r="H2792" i="55"/>
  <c r="G2792" i="55"/>
  <c r="H2791" i="55"/>
  <c r="G2791" i="55"/>
  <c r="H2790" i="55"/>
  <c r="G2790" i="55"/>
  <c r="H2789" i="55"/>
  <c r="G2789" i="55"/>
  <c r="H2788" i="55"/>
  <c r="G2788" i="55"/>
  <c r="H2787" i="55"/>
  <c r="G2787" i="55"/>
  <c r="H2786" i="55"/>
  <c r="G2786" i="55"/>
  <c r="H2785" i="55"/>
  <c r="G2785" i="55"/>
  <c r="H2784" i="55"/>
  <c r="G2784" i="55"/>
  <c r="H2783" i="55"/>
  <c r="G2783" i="55"/>
  <c r="H2782" i="55"/>
  <c r="G2782" i="55"/>
  <c r="H2781" i="55"/>
  <c r="G2781" i="55"/>
  <c r="H2780" i="55"/>
  <c r="G2780" i="55"/>
  <c r="H2779" i="55"/>
  <c r="G2779" i="55"/>
  <c r="C3128" i="55"/>
  <c r="B3128" i="55"/>
  <c r="D3128" i="55" s="1"/>
  <c r="C3127" i="55"/>
  <c r="B3127" i="55"/>
  <c r="D3127" i="55" s="1"/>
  <c r="C3126" i="55"/>
  <c r="B3126" i="55"/>
  <c r="D3126" i="55" s="1"/>
  <c r="C3125" i="55"/>
  <c r="B3125" i="55"/>
  <c r="D3125" i="55" s="1"/>
  <c r="C3124" i="55"/>
  <c r="B3124" i="55"/>
  <c r="D3124" i="55" s="1"/>
  <c r="C3123" i="55"/>
  <c r="B3123" i="55"/>
  <c r="D3123" i="55" s="1"/>
  <c r="C3122" i="55"/>
  <c r="B3122" i="55"/>
  <c r="D3122" i="55" s="1"/>
  <c r="C3121" i="55"/>
  <c r="B3121" i="55"/>
  <c r="D3121" i="55" s="1"/>
  <c r="C3120" i="55"/>
  <c r="B3120" i="55"/>
  <c r="D3120" i="55" s="1"/>
  <c r="C3119" i="55"/>
  <c r="B3119" i="55"/>
  <c r="D3119" i="55" s="1"/>
  <c r="C3118" i="55"/>
  <c r="B3118" i="55"/>
  <c r="D3118" i="55" s="1"/>
  <c r="C3117" i="55"/>
  <c r="B3117" i="55"/>
  <c r="D3117" i="55" s="1"/>
  <c r="C3116" i="55"/>
  <c r="B3116" i="55"/>
  <c r="D3116" i="55" s="1"/>
  <c r="C3115" i="55"/>
  <c r="B3115" i="55"/>
  <c r="D3115" i="55" s="1"/>
  <c r="C3114" i="55"/>
  <c r="B3114" i="55"/>
  <c r="D3114" i="55" s="1"/>
  <c r="C3113" i="55"/>
  <c r="B3113" i="55"/>
  <c r="D3113" i="55" s="1"/>
  <c r="C3112" i="55"/>
  <c r="B3112" i="55"/>
  <c r="D3112" i="55" s="1"/>
  <c r="C3111" i="55"/>
  <c r="B3111" i="55"/>
  <c r="D3111" i="55" s="1"/>
  <c r="C3110" i="55"/>
  <c r="B3110" i="55"/>
  <c r="D3110" i="55" s="1"/>
  <c r="C3109" i="55"/>
  <c r="B3109" i="55"/>
  <c r="D3109" i="55" s="1"/>
  <c r="C3108" i="55"/>
  <c r="B3108" i="55"/>
  <c r="D3108" i="55" s="1"/>
  <c r="C3107" i="55"/>
  <c r="B3107" i="55"/>
  <c r="D3107" i="55" s="1"/>
  <c r="C3106" i="55"/>
  <c r="B3106" i="55"/>
  <c r="D3106" i="55" s="1"/>
  <c r="C3105" i="55"/>
  <c r="B3105" i="55"/>
  <c r="D3105" i="55" s="1"/>
  <c r="C3104" i="55"/>
  <c r="B3104" i="55"/>
  <c r="D3104" i="55" s="1"/>
  <c r="C3103" i="55"/>
  <c r="B3103" i="55"/>
  <c r="D3103" i="55" s="1"/>
  <c r="C3102" i="55"/>
  <c r="B3102" i="55"/>
  <c r="D3102" i="55" s="1"/>
  <c r="C3101" i="55"/>
  <c r="B3101" i="55"/>
  <c r="D3101" i="55" s="1"/>
  <c r="C3100" i="55"/>
  <c r="B3100" i="55"/>
  <c r="D3100" i="55" s="1"/>
  <c r="C3099" i="55"/>
  <c r="B3099" i="55"/>
  <c r="D3099" i="55" s="1"/>
  <c r="C3098" i="55"/>
  <c r="B3098" i="55"/>
  <c r="D3098" i="55" s="1"/>
  <c r="C3097" i="55"/>
  <c r="B3097" i="55"/>
  <c r="D3097" i="55" s="1"/>
  <c r="C3096" i="55"/>
  <c r="B3096" i="55"/>
  <c r="D3096" i="55" s="1"/>
  <c r="C3095" i="55"/>
  <c r="B3095" i="55"/>
  <c r="D3095" i="55" s="1"/>
  <c r="C3094" i="55"/>
  <c r="B3094" i="55"/>
  <c r="D3094" i="55" s="1"/>
  <c r="C3093" i="55"/>
  <c r="B3093" i="55"/>
  <c r="D3093" i="55" s="1"/>
  <c r="C3092" i="55"/>
  <c r="B3092" i="55"/>
  <c r="D3092" i="55" s="1"/>
  <c r="C3091" i="55"/>
  <c r="B3091" i="55"/>
  <c r="D3091" i="55" s="1"/>
  <c r="C3090" i="55"/>
  <c r="B3090" i="55"/>
  <c r="D3090" i="55" s="1"/>
  <c r="C3089" i="55"/>
  <c r="B3089" i="55"/>
  <c r="D3089" i="55" s="1"/>
  <c r="C3088" i="55"/>
  <c r="B3088" i="55"/>
  <c r="D3088" i="55" s="1"/>
  <c r="C3087" i="55"/>
  <c r="B3087" i="55"/>
  <c r="D3087" i="55" s="1"/>
  <c r="C3086" i="55"/>
  <c r="B3086" i="55"/>
  <c r="D3086" i="55" s="1"/>
  <c r="C3085" i="55"/>
  <c r="B3085" i="55"/>
  <c r="D3085" i="55" s="1"/>
  <c r="C3084" i="55"/>
  <c r="B3084" i="55"/>
  <c r="D3084" i="55" s="1"/>
  <c r="C3083" i="55"/>
  <c r="B3083" i="55"/>
  <c r="D3083" i="55" s="1"/>
  <c r="C3082" i="55"/>
  <c r="B3082" i="55"/>
  <c r="D3082" i="55" s="1"/>
  <c r="C3081" i="55"/>
  <c r="B3081" i="55"/>
  <c r="D3081" i="55" s="1"/>
  <c r="C3080" i="55"/>
  <c r="B3080" i="55"/>
  <c r="D3080" i="55" s="1"/>
  <c r="C3079" i="55"/>
  <c r="B3079" i="55"/>
  <c r="D3079" i="55" s="1"/>
  <c r="C3078" i="55"/>
  <c r="B3078" i="55"/>
  <c r="D3078" i="55" s="1"/>
  <c r="C3077" i="55"/>
  <c r="B3077" i="55"/>
  <c r="D3077" i="55" s="1"/>
  <c r="C3076" i="55"/>
  <c r="B3076" i="55"/>
  <c r="D3076" i="55" s="1"/>
  <c r="C3075" i="55"/>
  <c r="B3075" i="55"/>
  <c r="D3075" i="55" s="1"/>
  <c r="C3074" i="55"/>
  <c r="B3074" i="55"/>
  <c r="D3074" i="55" s="1"/>
  <c r="C3073" i="55"/>
  <c r="B3073" i="55"/>
  <c r="D3073" i="55" s="1"/>
  <c r="C3072" i="55"/>
  <c r="B3072" i="55"/>
  <c r="D3072" i="55" s="1"/>
  <c r="C3071" i="55"/>
  <c r="B3071" i="55"/>
  <c r="D3071" i="55" s="1"/>
  <c r="C3070" i="55"/>
  <c r="B3070" i="55"/>
  <c r="D3070" i="55" s="1"/>
  <c r="C3069" i="55"/>
  <c r="B3069" i="55"/>
  <c r="D3069" i="55" s="1"/>
  <c r="C3068" i="55"/>
  <c r="B3068" i="55"/>
  <c r="D3068" i="55" s="1"/>
  <c r="C3067" i="55"/>
  <c r="B3067" i="55"/>
  <c r="D3067" i="55" s="1"/>
  <c r="C3066" i="55"/>
  <c r="B3066" i="55"/>
  <c r="D3066" i="55" s="1"/>
  <c r="C3065" i="55"/>
  <c r="B3065" i="55"/>
  <c r="D3065" i="55" s="1"/>
  <c r="C3064" i="55"/>
  <c r="B3064" i="55"/>
  <c r="D3064" i="55" s="1"/>
  <c r="C3063" i="55"/>
  <c r="B3063" i="55"/>
  <c r="D3063" i="55" s="1"/>
  <c r="C3062" i="55"/>
  <c r="B3062" i="55"/>
  <c r="D3062" i="55" s="1"/>
  <c r="C3061" i="55"/>
  <c r="B3061" i="55"/>
  <c r="D3061" i="55" s="1"/>
  <c r="C3060" i="55"/>
  <c r="B3060" i="55"/>
  <c r="D3060" i="55" s="1"/>
  <c r="C3059" i="55"/>
  <c r="B3059" i="55"/>
  <c r="D3059" i="55" s="1"/>
  <c r="C3058" i="55"/>
  <c r="B3058" i="55"/>
  <c r="D3058" i="55" s="1"/>
  <c r="C3057" i="55"/>
  <c r="B3057" i="55"/>
  <c r="D3057" i="55" s="1"/>
  <c r="C3056" i="55"/>
  <c r="B3056" i="55"/>
  <c r="D3056" i="55" s="1"/>
  <c r="C3055" i="55"/>
  <c r="B3055" i="55"/>
  <c r="D3055" i="55" s="1"/>
  <c r="D3054" i="55"/>
  <c r="C3054" i="55"/>
  <c r="B3054" i="55"/>
  <c r="C3053" i="55"/>
  <c r="B3053" i="55"/>
  <c r="D3053" i="55" s="1"/>
  <c r="C3052" i="55"/>
  <c r="B3052" i="55"/>
  <c r="D3052" i="55" s="1"/>
  <c r="C3051" i="55"/>
  <c r="B3051" i="55"/>
  <c r="D3051" i="55" s="1"/>
  <c r="C3050" i="55"/>
  <c r="B3050" i="55"/>
  <c r="D3050" i="55" s="1"/>
  <c r="C3049" i="55"/>
  <c r="B3049" i="55"/>
  <c r="D3049" i="55" s="1"/>
  <c r="C3048" i="55"/>
  <c r="B3048" i="55"/>
  <c r="D3048" i="55" s="1"/>
  <c r="C3047" i="55"/>
  <c r="B3047" i="55"/>
  <c r="D3047" i="55" s="1"/>
  <c r="C3046" i="55"/>
  <c r="B3046" i="55"/>
  <c r="D3046" i="55" s="1"/>
  <c r="C3045" i="55"/>
  <c r="B3045" i="55"/>
  <c r="D3045" i="55" s="1"/>
  <c r="C3044" i="55"/>
  <c r="B3044" i="55"/>
  <c r="D3044" i="55" s="1"/>
  <c r="C3043" i="55"/>
  <c r="B3043" i="55"/>
  <c r="D3043" i="55" s="1"/>
  <c r="C3042" i="55"/>
  <c r="B3042" i="55"/>
  <c r="D3042" i="55" s="1"/>
  <c r="C3041" i="55"/>
  <c r="B3041" i="55"/>
  <c r="D3041" i="55" s="1"/>
  <c r="C3040" i="55"/>
  <c r="B3040" i="55"/>
  <c r="D3040" i="55" s="1"/>
  <c r="C3039" i="55"/>
  <c r="B3039" i="55"/>
  <c r="D3039" i="55" s="1"/>
  <c r="C3038" i="55"/>
  <c r="B3038" i="55"/>
  <c r="D3038" i="55" s="1"/>
  <c r="C3037" i="55"/>
  <c r="B3037" i="55"/>
  <c r="D3037" i="55" s="1"/>
  <c r="C3036" i="55"/>
  <c r="B3036" i="55"/>
  <c r="D3036" i="55" s="1"/>
  <c r="C3035" i="55"/>
  <c r="B3035" i="55"/>
  <c r="D3035" i="55" s="1"/>
  <c r="C3034" i="55"/>
  <c r="B3034" i="55"/>
  <c r="D3034" i="55" s="1"/>
  <c r="C3033" i="55"/>
  <c r="B3033" i="55"/>
  <c r="D3033" i="55" s="1"/>
  <c r="C3032" i="55"/>
  <c r="B3032" i="55"/>
  <c r="D3032" i="55" s="1"/>
  <c r="C3031" i="55"/>
  <c r="B3031" i="55"/>
  <c r="D3031" i="55" s="1"/>
  <c r="C3030" i="55"/>
  <c r="B3030" i="55"/>
  <c r="D3030" i="55" s="1"/>
  <c r="C3029" i="55"/>
  <c r="B3029" i="55"/>
  <c r="D3029" i="55" s="1"/>
  <c r="C3028" i="55"/>
  <c r="B3028" i="55"/>
  <c r="D3028" i="55" s="1"/>
  <c r="C3027" i="55"/>
  <c r="B3027" i="55"/>
  <c r="D3027" i="55" s="1"/>
  <c r="C3026" i="55"/>
  <c r="B3026" i="55"/>
  <c r="D3026" i="55" s="1"/>
  <c r="C3025" i="55"/>
  <c r="B3025" i="55"/>
  <c r="D3025" i="55" s="1"/>
  <c r="C3024" i="55"/>
  <c r="B3024" i="55"/>
  <c r="D3024" i="55" s="1"/>
  <c r="C3023" i="55"/>
  <c r="B3023" i="55"/>
  <c r="D3023" i="55" s="1"/>
  <c r="C3022" i="55"/>
  <c r="B3022" i="55"/>
  <c r="D3022" i="55" s="1"/>
  <c r="C3021" i="55"/>
  <c r="B3021" i="55"/>
  <c r="D3021" i="55" s="1"/>
  <c r="C3020" i="55"/>
  <c r="B3020" i="55"/>
  <c r="D3020" i="55" s="1"/>
  <c r="C3019" i="55"/>
  <c r="B3019" i="55"/>
  <c r="D3019" i="55" s="1"/>
  <c r="C3018" i="55"/>
  <c r="B3018" i="55"/>
  <c r="D3018" i="55" s="1"/>
  <c r="C3017" i="55"/>
  <c r="B3017" i="55"/>
  <c r="D3017" i="55" s="1"/>
  <c r="C3016" i="55"/>
  <c r="B3016" i="55"/>
  <c r="D3016" i="55" s="1"/>
  <c r="C3015" i="55"/>
  <c r="B3015" i="55"/>
  <c r="D3015" i="55" s="1"/>
  <c r="C3014" i="55"/>
  <c r="B3014" i="55"/>
  <c r="D3014" i="55" s="1"/>
  <c r="C3013" i="55"/>
  <c r="B3013" i="55"/>
  <c r="D3013" i="55" s="1"/>
  <c r="C3012" i="55"/>
  <c r="B3012" i="55"/>
  <c r="D3012" i="55" s="1"/>
  <c r="D3011" i="55"/>
  <c r="C3011" i="55"/>
  <c r="B3011" i="55"/>
  <c r="C3010" i="55"/>
  <c r="B3010" i="55"/>
  <c r="D3010" i="55" s="1"/>
  <c r="C3009" i="55"/>
  <c r="B3009" i="55"/>
  <c r="D3009" i="55" s="1"/>
  <c r="C3008" i="55"/>
  <c r="B3008" i="55"/>
  <c r="D3008" i="55" s="1"/>
  <c r="C3007" i="55"/>
  <c r="B3007" i="55"/>
  <c r="D3007" i="55" s="1"/>
  <c r="C3006" i="55"/>
  <c r="B3006" i="55"/>
  <c r="D3006" i="55" s="1"/>
  <c r="C3005" i="55"/>
  <c r="B3005" i="55"/>
  <c r="D3005" i="55" s="1"/>
  <c r="C3004" i="55"/>
  <c r="B3004" i="55"/>
  <c r="D3004" i="55" s="1"/>
  <c r="C3003" i="55"/>
  <c r="B3003" i="55"/>
  <c r="D3003" i="55" s="1"/>
  <c r="C3002" i="55"/>
  <c r="B3002" i="55"/>
  <c r="D3002" i="55" s="1"/>
  <c r="C3001" i="55"/>
  <c r="B3001" i="55"/>
  <c r="D3001" i="55" s="1"/>
  <c r="C3000" i="55"/>
  <c r="B3000" i="55"/>
  <c r="D3000" i="55" s="1"/>
  <c r="C2999" i="55"/>
  <c r="B2999" i="55"/>
  <c r="D2999" i="55" s="1"/>
  <c r="C2998" i="55"/>
  <c r="B2998" i="55"/>
  <c r="D2998" i="55" s="1"/>
  <c r="C2997" i="55"/>
  <c r="B2997" i="55"/>
  <c r="D2997" i="55" s="1"/>
  <c r="C2996" i="55"/>
  <c r="B2996" i="55"/>
  <c r="D2996" i="55" s="1"/>
  <c r="C2995" i="55"/>
  <c r="B2995" i="55"/>
  <c r="D2995" i="55" s="1"/>
  <c r="C2994" i="55"/>
  <c r="B2994" i="55"/>
  <c r="D2994" i="55" s="1"/>
  <c r="C2993" i="55"/>
  <c r="B2993" i="55"/>
  <c r="D2993" i="55" s="1"/>
  <c r="C2992" i="55"/>
  <c r="B2992" i="55"/>
  <c r="D2992" i="55" s="1"/>
  <c r="C2991" i="55"/>
  <c r="B2991" i="55"/>
  <c r="D2991" i="55" s="1"/>
  <c r="C2990" i="55"/>
  <c r="B2990" i="55"/>
  <c r="D2990" i="55" s="1"/>
  <c r="C2989" i="55"/>
  <c r="B2989" i="55"/>
  <c r="D2989" i="55" s="1"/>
  <c r="C2988" i="55"/>
  <c r="B2988" i="55"/>
  <c r="D2988" i="55" s="1"/>
  <c r="C2987" i="55"/>
  <c r="B2987" i="55"/>
  <c r="D2987" i="55" s="1"/>
  <c r="C2986" i="55"/>
  <c r="B2986" i="55"/>
  <c r="D2986" i="55" s="1"/>
  <c r="C2985" i="55"/>
  <c r="B2985" i="55"/>
  <c r="D2985" i="55" s="1"/>
  <c r="C2984" i="55"/>
  <c r="B2984" i="55"/>
  <c r="D2984" i="55" s="1"/>
  <c r="C2983" i="55"/>
  <c r="B2983" i="55"/>
  <c r="D2983" i="55" s="1"/>
  <c r="C2982" i="55"/>
  <c r="B2982" i="55"/>
  <c r="D2982" i="55" s="1"/>
  <c r="C2981" i="55"/>
  <c r="B2981" i="55"/>
  <c r="D2981" i="55" s="1"/>
  <c r="C2980" i="55"/>
  <c r="B2980" i="55"/>
  <c r="D2980" i="55" s="1"/>
  <c r="C2979" i="55"/>
  <c r="B2979" i="55"/>
  <c r="D2979" i="55" s="1"/>
  <c r="C2978" i="55"/>
  <c r="B2978" i="55"/>
  <c r="D2978" i="55" s="1"/>
  <c r="C2977" i="55"/>
  <c r="B2977" i="55"/>
  <c r="D2977" i="55" s="1"/>
  <c r="C2976" i="55"/>
  <c r="B2976" i="55"/>
  <c r="D2976" i="55" s="1"/>
  <c r="C2975" i="55"/>
  <c r="B2975" i="55"/>
  <c r="D2975" i="55" s="1"/>
  <c r="C2974" i="55"/>
  <c r="B2974" i="55"/>
  <c r="D2974" i="55" s="1"/>
  <c r="C2973" i="55"/>
  <c r="B2973" i="55"/>
  <c r="D2973" i="55" s="1"/>
  <c r="C2972" i="55"/>
  <c r="B2972" i="55"/>
  <c r="D2972" i="55" s="1"/>
  <c r="C2971" i="55"/>
  <c r="B2971" i="55"/>
  <c r="D2971" i="55" s="1"/>
  <c r="C2970" i="55"/>
  <c r="B2970" i="55"/>
  <c r="D2970" i="55" s="1"/>
  <c r="C2969" i="55"/>
  <c r="B2969" i="55"/>
  <c r="D2969" i="55" s="1"/>
  <c r="C2968" i="55"/>
  <c r="B2968" i="55"/>
  <c r="D2968" i="55" s="1"/>
  <c r="C2967" i="55"/>
  <c r="B2967" i="55"/>
  <c r="D2967" i="55" s="1"/>
  <c r="C2966" i="55"/>
  <c r="B2966" i="55"/>
  <c r="D2966" i="55" s="1"/>
  <c r="C2965" i="55"/>
  <c r="B2965" i="55"/>
  <c r="D2965" i="55" s="1"/>
  <c r="C2964" i="55"/>
  <c r="B2964" i="55"/>
  <c r="D2964" i="55" s="1"/>
  <c r="C2963" i="55"/>
  <c r="B2963" i="55"/>
  <c r="D2963" i="55" s="1"/>
  <c r="C2962" i="55"/>
  <c r="B2962" i="55"/>
  <c r="D2962" i="55" s="1"/>
  <c r="C2961" i="55"/>
  <c r="B2961" i="55"/>
  <c r="D2961" i="55" s="1"/>
  <c r="C2960" i="55"/>
  <c r="B2960" i="55"/>
  <c r="D2960" i="55" s="1"/>
  <c r="C2959" i="55"/>
  <c r="B2959" i="55"/>
  <c r="D2959" i="55" s="1"/>
  <c r="C2958" i="55"/>
  <c r="B2958" i="55"/>
  <c r="D2958" i="55" s="1"/>
  <c r="C2957" i="55"/>
  <c r="B2957" i="55"/>
  <c r="D2957" i="55" s="1"/>
  <c r="C2956" i="55"/>
  <c r="B2956" i="55"/>
  <c r="D2956" i="55" s="1"/>
  <c r="C2955" i="55"/>
  <c r="B2955" i="55"/>
  <c r="D2955" i="55" s="1"/>
  <c r="C2954" i="55"/>
  <c r="B2954" i="55"/>
  <c r="D2954" i="55" s="1"/>
  <c r="C2953" i="55"/>
  <c r="B2953" i="55"/>
  <c r="D2953" i="55" s="1"/>
  <c r="C2952" i="55"/>
  <c r="B2952" i="55"/>
  <c r="D2952" i="55" s="1"/>
  <c r="C2951" i="55"/>
  <c r="B2951" i="55"/>
  <c r="D2951" i="55" s="1"/>
  <c r="C2950" i="55"/>
  <c r="B2950" i="55"/>
  <c r="D2950" i="55" s="1"/>
  <c r="C2949" i="55"/>
  <c r="B2949" i="55"/>
  <c r="D2949" i="55" s="1"/>
  <c r="C2948" i="55"/>
  <c r="B2948" i="55"/>
  <c r="D2948" i="55" s="1"/>
  <c r="C2947" i="55"/>
  <c r="B2947" i="55"/>
  <c r="D2947" i="55" s="1"/>
  <c r="C2946" i="55"/>
  <c r="B2946" i="55"/>
  <c r="D2946" i="55" s="1"/>
  <c r="C2945" i="55"/>
  <c r="B2945" i="55"/>
  <c r="D2945" i="55" s="1"/>
  <c r="C2944" i="55"/>
  <c r="B2944" i="55"/>
  <c r="D2944" i="55" s="1"/>
  <c r="C2943" i="55"/>
  <c r="B2943" i="55"/>
  <c r="D2943" i="55" s="1"/>
  <c r="C2942" i="55"/>
  <c r="B2942" i="55"/>
  <c r="D2942" i="55" s="1"/>
  <c r="C2941" i="55"/>
  <c r="B2941" i="55"/>
  <c r="D2941" i="55" s="1"/>
  <c r="C2940" i="55"/>
  <c r="B2940" i="55"/>
  <c r="D2940" i="55" s="1"/>
  <c r="C2939" i="55"/>
  <c r="B2939" i="55"/>
  <c r="D2939" i="55" s="1"/>
  <c r="C2938" i="55"/>
  <c r="B2938" i="55"/>
  <c r="D2938" i="55" s="1"/>
  <c r="C2937" i="55"/>
  <c r="B2937" i="55"/>
  <c r="D2937" i="55" s="1"/>
  <c r="C2936" i="55"/>
  <c r="B2936" i="55"/>
  <c r="D2936" i="55" s="1"/>
  <c r="C2935" i="55"/>
  <c r="B2935" i="55"/>
  <c r="D2935" i="55" s="1"/>
  <c r="C2934" i="55"/>
  <c r="B2934" i="55"/>
  <c r="D2934" i="55" s="1"/>
  <c r="C2933" i="55"/>
  <c r="B2933" i="55"/>
  <c r="D2933" i="55" s="1"/>
  <c r="C2932" i="55"/>
  <c r="B2932" i="55"/>
  <c r="D2932" i="55" s="1"/>
  <c r="C2931" i="55"/>
  <c r="B2931" i="55"/>
  <c r="D2931" i="55" s="1"/>
  <c r="C2930" i="55"/>
  <c r="B2930" i="55"/>
  <c r="D2930" i="55" s="1"/>
  <c r="C2929" i="55"/>
  <c r="B2929" i="55"/>
  <c r="D2929" i="55" s="1"/>
  <c r="C2928" i="55"/>
  <c r="B2928" i="55"/>
  <c r="D2928" i="55" s="1"/>
  <c r="C2927" i="55"/>
  <c r="B2927" i="55"/>
  <c r="D2927" i="55" s="1"/>
  <c r="C2926" i="55"/>
  <c r="B2926" i="55"/>
  <c r="D2926" i="55" s="1"/>
  <c r="C2925" i="55"/>
  <c r="B2925" i="55"/>
  <c r="D2925" i="55" s="1"/>
  <c r="C2924" i="55"/>
  <c r="B2924" i="55"/>
  <c r="D2924" i="55" s="1"/>
  <c r="C2923" i="55"/>
  <c r="B2923" i="55"/>
  <c r="D2923" i="55" s="1"/>
  <c r="C2922" i="55"/>
  <c r="B2922" i="55"/>
  <c r="D2922" i="55" s="1"/>
  <c r="C2921" i="55"/>
  <c r="B2921" i="55"/>
  <c r="D2921" i="55" s="1"/>
  <c r="C2920" i="55"/>
  <c r="B2920" i="55"/>
  <c r="D2920" i="55" s="1"/>
  <c r="C2919" i="55"/>
  <c r="B2919" i="55"/>
  <c r="D2919" i="55" s="1"/>
  <c r="C2918" i="55"/>
  <c r="B2918" i="55"/>
  <c r="D2918" i="55" s="1"/>
  <c r="C2917" i="55"/>
  <c r="B2917" i="55"/>
  <c r="D2917" i="55" s="1"/>
  <c r="C2916" i="55"/>
  <c r="B2916" i="55"/>
  <c r="D2916" i="55" s="1"/>
  <c r="C2915" i="55"/>
  <c r="B2915" i="55"/>
  <c r="D2915" i="55" s="1"/>
  <c r="C2914" i="55"/>
  <c r="B2914" i="55"/>
  <c r="D2914" i="55" s="1"/>
  <c r="C2913" i="55"/>
  <c r="B2913" i="55"/>
  <c r="D2913" i="55" s="1"/>
  <c r="C2912" i="55"/>
  <c r="B2912" i="55"/>
  <c r="D2912" i="55" s="1"/>
  <c r="C2911" i="55"/>
  <c r="B2911" i="55"/>
  <c r="D2911" i="55" s="1"/>
  <c r="C2910" i="55"/>
  <c r="B2910" i="55"/>
  <c r="D2910" i="55" s="1"/>
  <c r="C2909" i="55"/>
  <c r="B2909" i="55"/>
  <c r="D2909" i="55" s="1"/>
  <c r="C2908" i="55"/>
  <c r="B2908" i="55"/>
  <c r="D2908" i="55" s="1"/>
  <c r="C2907" i="55"/>
  <c r="B2907" i="55"/>
  <c r="D2907" i="55" s="1"/>
  <c r="C2906" i="55"/>
  <c r="B2906" i="55"/>
  <c r="D2906" i="55" s="1"/>
  <c r="C2905" i="55"/>
  <c r="B2905" i="55"/>
  <c r="D2905" i="55" s="1"/>
  <c r="C2904" i="55"/>
  <c r="B2904" i="55"/>
  <c r="D2904" i="55" s="1"/>
  <c r="C2903" i="55"/>
  <c r="B2903" i="55"/>
  <c r="D2903" i="55" s="1"/>
  <c r="C2902" i="55"/>
  <c r="B2902" i="55"/>
  <c r="D2902" i="55" s="1"/>
  <c r="C2901" i="55"/>
  <c r="B2901" i="55"/>
  <c r="D2901" i="55" s="1"/>
  <c r="C2900" i="55"/>
  <c r="B2900" i="55"/>
  <c r="D2900" i="55" s="1"/>
  <c r="C2899" i="55"/>
  <c r="B2899" i="55"/>
  <c r="D2899" i="55" s="1"/>
  <c r="C2898" i="55"/>
  <c r="B2898" i="55"/>
  <c r="D2898" i="55" s="1"/>
  <c r="C2897" i="55"/>
  <c r="B2897" i="55"/>
  <c r="D2897" i="55" s="1"/>
  <c r="C2896" i="55"/>
  <c r="B2896" i="55"/>
  <c r="D2896" i="55" s="1"/>
  <c r="C2895" i="55"/>
  <c r="B2895" i="55"/>
  <c r="D2895" i="55" s="1"/>
  <c r="C2894" i="55"/>
  <c r="B2894" i="55"/>
  <c r="D2894" i="55" s="1"/>
  <c r="C2893" i="55"/>
  <c r="B2893" i="55"/>
  <c r="D2893" i="55" s="1"/>
  <c r="C2892" i="55"/>
  <c r="B2892" i="55"/>
  <c r="D2892" i="55" s="1"/>
  <c r="C2891" i="55"/>
  <c r="B2891" i="55"/>
  <c r="D2891" i="55" s="1"/>
  <c r="C2890" i="55"/>
  <c r="B2890" i="55"/>
  <c r="D2890" i="55" s="1"/>
  <c r="C2889" i="55"/>
  <c r="B2889" i="55"/>
  <c r="D2889" i="55" s="1"/>
  <c r="C2888" i="55"/>
  <c r="B2888" i="55"/>
  <c r="D2888" i="55" s="1"/>
  <c r="C2887" i="55"/>
  <c r="B2887" i="55"/>
  <c r="D2887" i="55" s="1"/>
  <c r="C2886" i="55"/>
  <c r="B2886" i="55"/>
  <c r="D2886" i="55" s="1"/>
  <c r="C2885" i="55"/>
  <c r="B2885" i="55"/>
  <c r="D2885" i="55" s="1"/>
  <c r="C2884" i="55"/>
  <c r="B2884" i="55"/>
  <c r="D2884" i="55" s="1"/>
  <c r="C2883" i="55"/>
  <c r="B2883" i="55"/>
  <c r="D2883" i="55" s="1"/>
  <c r="C2882" i="55"/>
  <c r="B2882" i="55"/>
  <c r="D2882" i="55" s="1"/>
  <c r="C2881" i="55"/>
  <c r="B2881" i="55"/>
  <c r="D2881" i="55" s="1"/>
  <c r="C2880" i="55"/>
  <c r="B2880" i="55"/>
  <c r="D2880" i="55" s="1"/>
  <c r="C2879" i="55"/>
  <c r="B2879" i="55"/>
  <c r="D2879" i="55" s="1"/>
  <c r="C2878" i="55"/>
  <c r="B2878" i="55"/>
  <c r="D2878" i="55" s="1"/>
  <c r="C2877" i="55"/>
  <c r="B2877" i="55"/>
  <c r="D2877" i="55" s="1"/>
  <c r="C2876" i="55"/>
  <c r="B2876" i="55"/>
  <c r="D2876" i="55" s="1"/>
  <c r="C2875" i="55"/>
  <c r="B2875" i="55"/>
  <c r="D2875" i="55" s="1"/>
  <c r="C2874" i="55"/>
  <c r="B2874" i="55"/>
  <c r="D2874" i="55" s="1"/>
  <c r="C2873" i="55"/>
  <c r="B2873" i="55"/>
  <c r="D2873" i="55" s="1"/>
  <c r="C2872" i="55"/>
  <c r="B2872" i="55"/>
  <c r="D2872" i="55" s="1"/>
  <c r="C2871" i="55"/>
  <c r="B2871" i="55"/>
  <c r="D2871" i="55" s="1"/>
  <c r="C2870" i="55"/>
  <c r="B2870" i="55"/>
  <c r="D2870" i="55" s="1"/>
  <c r="C2869" i="55"/>
  <c r="B2869" i="55"/>
  <c r="D2869" i="55" s="1"/>
  <c r="C2868" i="55"/>
  <c r="B2868" i="55"/>
  <c r="D2868" i="55" s="1"/>
  <c r="C2867" i="55"/>
  <c r="B2867" i="55"/>
  <c r="D2867" i="55" s="1"/>
  <c r="C2866" i="55"/>
  <c r="B2866" i="55"/>
  <c r="D2866" i="55" s="1"/>
  <c r="C2865" i="55"/>
  <c r="B2865" i="55"/>
  <c r="D2865" i="55" s="1"/>
  <c r="C2864" i="55"/>
  <c r="B2864" i="55"/>
  <c r="D2864" i="55" s="1"/>
  <c r="C2863" i="55"/>
  <c r="B2863" i="55"/>
  <c r="D2863" i="55" s="1"/>
  <c r="C2862" i="55"/>
  <c r="B2862" i="55"/>
  <c r="D2862" i="55" s="1"/>
  <c r="C2861" i="55"/>
  <c r="B2861" i="55"/>
  <c r="D2861" i="55" s="1"/>
  <c r="C2860" i="55"/>
  <c r="B2860" i="55"/>
  <c r="D2860" i="55" s="1"/>
  <c r="C2859" i="55"/>
  <c r="B2859" i="55"/>
  <c r="D2859" i="55" s="1"/>
  <c r="C2858" i="55"/>
  <c r="B2858" i="55"/>
  <c r="D2858" i="55" s="1"/>
  <c r="C2857" i="55"/>
  <c r="B2857" i="55"/>
  <c r="D2857" i="55" s="1"/>
  <c r="C2856" i="55"/>
  <c r="B2856" i="55"/>
  <c r="D2856" i="55" s="1"/>
  <c r="C2855" i="55"/>
  <c r="B2855" i="55"/>
  <c r="D2855" i="55" s="1"/>
  <c r="C2854" i="55"/>
  <c r="B2854" i="55"/>
  <c r="D2854" i="55" s="1"/>
  <c r="C2853" i="55"/>
  <c r="B2853" i="55"/>
  <c r="D2853" i="55" s="1"/>
  <c r="C2852" i="55"/>
  <c r="B2852" i="55"/>
  <c r="D2852" i="55" s="1"/>
  <c r="D2851" i="55"/>
  <c r="C2851" i="55"/>
  <c r="B2851" i="55"/>
  <c r="C2850" i="55"/>
  <c r="B2850" i="55"/>
  <c r="D2850" i="55" s="1"/>
  <c r="C2849" i="55"/>
  <c r="B2849" i="55"/>
  <c r="D2849" i="55" s="1"/>
  <c r="C2848" i="55"/>
  <c r="B2848" i="55"/>
  <c r="D2848" i="55" s="1"/>
  <c r="C2847" i="55"/>
  <c r="B2847" i="55"/>
  <c r="D2847" i="55" s="1"/>
  <c r="C2846" i="55"/>
  <c r="B2846" i="55"/>
  <c r="D2846" i="55" s="1"/>
  <c r="C2845" i="55"/>
  <c r="B2845" i="55"/>
  <c r="D2845" i="55" s="1"/>
  <c r="C2844" i="55"/>
  <c r="B2844" i="55"/>
  <c r="D2844" i="55" s="1"/>
  <c r="C2843" i="55"/>
  <c r="B2843" i="55"/>
  <c r="D2843" i="55" s="1"/>
  <c r="C2842" i="55"/>
  <c r="B2842" i="55"/>
  <c r="D2842" i="55" s="1"/>
  <c r="C2841" i="55"/>
  <c r="B2841" i="55"/>
  <c r="D2841" i="55" s="1"/>
  <c r="C2840" i="55"/>
  <c r="B2840" i="55"/>
  <c r="D2840" i="55" s="1"/>
  <c r="C2839" i="55"/>
  <c r="B2839" i="55"/>
  <c r="D2839" i="55" s="1"/>
  <c r="C2838" i="55"/>
  <c r="B2838" i="55"/>
  <c r="D2838" i="55" s="1"/>
  <c r="C2837" i="55"/>
  <c r="B2837" i="55"/>
  <c r="D2837" i="55" s="1"/>
  <c r="D2836" i="55"/>
  <c r="C2836" i="55"/>
  <c r="B2836" i="55"/>
  <c r="C2835" i="55"/>
  <c r="B2835" i="55"/>
  <c r="D2835" i="55" s="1"/>
  <c r="C2834" i="55"/>
  <c r="B2834" i="55"/>
  <c r="D2834" i="55" s="1"/>
  <c r="C2833" i="55"/>
  <c r="B2833" i="55"/>
  <c r="D2833" i="55" s="1"/>
  <c r="C2832" i="55"/>
  <c r="B2832" i="55"/>
  <c r="D2832" i="55" s="1"/>
  <c r="C2831" i="55"/>
  <c r="B2831" i="55"/>
  <c r="D2831" i="55" s="1"/>
  <c r="C2830" i="55"/>
  <c r="B2830" i="55"/>
  <c r="D2830" i="55" s="1"/>
  <c r="C2829" i="55"/>
  <c r="B2829" i="55"/>
  <c r="D2829" i="55" s="1"/>
  <c r="C2828" i="55"/>
  <c r="B2828" i="55"/>
  <c r="D2828" i="55" s="1"/>
  <c r="C2827" i="55"/>
  <c r="B2827" i="55"/>
  <c r="D2827" i="55" s="1"/>
  <c r="C2826" i="55"/>
  <c r="B2826" i="55"/>
  <c r="D2826" i="55" s="1"/>
  <c r="C2825" i="55"/>
  <c r="B2825" i="55"/>
  <c r="D2825" i="55" s="1"/>
  <c r="C2824" i="55"/>
  <c r="B2824" i="55"/>
  <c r="D2824" i="55" s="1"/>
  <c r="C2823" i="55"/>
  <c r="B2823" i="55"/>
  <c r="D2823" i="55" s="1"/>
  <c r="C2822" i="55"/>
  <c r="B2822" i="55"/>
  <c r="D2822" i="55" s="1"/>
  <c r="C2821" i="55"/>
  <c r="B2821" i="55"/>
  <c r="D2821" i="55" s="1"/>
  <c r="C2820" i="55"/>
  <c r="B2820" i="55"/>
  <c r="D2820" i="55" s="1"/>
  <c r="C2819" i="55"/>
  <c r="B2819" i="55"/>
  <c r="D2819" i="55" s="1"/>
  <c r="C2818" i="55"/>
  <c r="B2818" i="55"/>
  <c r="D2818" i="55" s="1"/>
  <c r="C2817" i="55"/>
  <c r="B2817" i="55"/>
  <c r="D2817" i="55" s="1"/>
  <c r="C2816" i="55"/>
  <c r="B2816" i="55"/>
  <c r="D2816" i="55" s="1"/>
  <c r="C2815" i="55"/>
  <c r="B2815" i="55"/>
  <c r="D2815" i="55" s="1"/>
  <c r="D2814" i="55"/>
  <c r="C2814" i="55"/>
  <c r="B2814" i="55"/>
  <c r="C2813" i="55"/>
  <c r="B2813" i="55"/>
  <c r="D2813" i="55" s="1"/>
  <c r="C2812" i="55"/>
  <c r="B2812" i="55"/>
  <c r="D2812" i="55" s="1"/>
  <c r="C2811" i="55"/>
  <c r="B2811" i="55"/>
  <c r="D2811" i="55" s="1"/>
  <c r="C2810" i="55"/>
  <c r="B2810" i="55"/>
  <c r="D2810" i="55" s="1"/>
  <c r="C2809" i="55"/>
  <c r="B2809" i="55"/>
  <c r="D2809" i="55" s="1"/>
  <c r="C2808" i="55"/>
  <c r="B2808" i="55"/>
  <c r="D2808" i="55" s="1"/>
  <c r="C2807" i="55"/>
  <c r="B2807" i="55"/>
  <c r="D2807" i="55" s="1"/>
  <c r="C2806" i="55"/>
  <c r="B2806" i="55"/>
  <c r="D2806" i="55" s="1"/>
  <c r="C2805" i="55"/>
  <c r="B2805" i="55"/>
  <c r="D2805" i="55" s="1"/>
  <c r="C2804" i="55"/>
  <c r="B2804" i="55"/>
  <c r="D2804" i="55" s="1"/>
  <c r="C2803" i="55"/>
  <c r="B2803" i="55"/>
  <c r="D2803" i="55" s="1"/>
  <c r="C2802" i="55"/>
  <c r="B2802" i="55"/>
  <c r="D2802" i="55" s="1"/>
  <c r="C2801" i="55"/>
  <c r="B2801" i="55"/>
  <c r="D2801" i="55" s="1"/>
  <c r="C2800" i="55"/>
  <c r="B2800" i="55"/>
  <c r="D2800" i="55" s="1"/>
  <c r="C2799" i="55"/>
  <c r="B2799" i="55"/>
  <c r="D2799" i="55" s="1"/>
  <c r="C2798" i="55"/>
  <c r="B2798" i="55"/>
  <c r="D2798" i="55" s="1"/>
  <c r="C2797" i="55"/>
  <c r="B2797" i="55"/>
  <c r="D2797" i="55" s="1"/>
  <c r="C2796" i="55"/>
  <c r="B2796" i="55"/>
  <c r="D2796" i="55" s="1"/>
  <c r="C2795" i="55"/>
  <c r="B2795" i="55"/>
  <c r="D2795" i="55" s="1"/>
  <c r="C2794" i="55"/>
  <c r="B2794" i="55"/>
  <c r="D2794" i="55" s="1"/>
  <c r="C2793" i="55"/>
  <c r="B2793" i="55"/>
  <c r="D2793" i="55" s="1"/>
  <c r="C2792" i="55"/>
  <c r="B2792" i="55"/>
  <c r="D2792" i="55" s="1"/>
  <c r="C2791" i="55"/>
  <c r="B2791" i="55"/>
  <c r="D2791" i="55" s="1"/>
  <c r="C2790" i="55"/>
  <c r="B2790" i="55"/>
  <c r="D2790" i="55" s="1"/>
  <c r="C2789" i="55"/>
  <c r="B2789" i="55"/>
  <c r="D2789" i="55" s="1"/>
  <c r="C2788" i="55"/>
  <c r="B2788" i="55"/>
  <c r="D2788" i="55" s="1"/>
  <c r="C2787" i="55"/>
  <c r="B2787" i="55"/>
  <c r="D2787" i="55" s="1"/>
  <c r="D2786" i="55"/>
  <c r="C2786" i="55"/>
  <c r="B2786" i="55"/>
  <c r="C2785" i="55"/>
  <c r="B2785" i="55"/>
  <c r="D2785" i="55" s="1"/>
  <c r="C2784" i="55"/>
  <c r="B2784" i="55"/>
  <c r="D2784" i="55" s="1"/>
  <c r="C2783" i="55"/>
  <c r="B2783" i="55"/>
  <c r="D2783" i="55" s="1"/>
  <c r="C2782" i="55"/>
  <c r="B2782" i="55"/>
  <c r="D2782" i="55" s="1"/>
  <c r="C2781" i="55"/>
  <c r="B2781" i="55"/>
  <c r="D2781" i="55" s="1"/>
  <c r="C2780" i="55"/>
  <c r="B2780" i="55"/>
  <c r="D2780" i="55" s="1"/>
  <c r="C2779" i="55"/>
  <c r="B2779" i="55"/>
  <c r="D2779" i="55" s="1"/>
  <c r="AA225" i="52" l="1"/>
  <c r="Z225" i="52"/>
  <c r="Y225" i="52"/>
  <c r="X225" i="52"/>
  <c r="AA224" i="52"/>
  <c r="Z224" i="52"/>
  <c r="Y224" i="52"/>
  <c r="X224" i="52"/>
  <c r="AA223" i="52"/>
  <c r="Z223" i="52"/>
  <c r="Y223" i="52"/>
  <c r="X223" i="52"/>
  <c r="AA222" i="52"/>
  <c r="Z222" i="52"/>
  <c r="Y222" i="52"/>
  <c r="X222" i="52"/>
  <c r="AA221" i="52"/>
  <c r="Z221" i="52"/>
  <c r="Y221" i="52"/>
  <c r="X221" i="52"/>
  <c r="AA220" i="52"/>
  <c r="Z220" i="52"/>
  <c r="Y220" i="52"/>
  <c r="X220" i="52"/>
  <c r="AA219" i="52"/>
  <c r="Z219" i="52"/>
  <c r="Y219" i="52"/>
  <c r="X219" i="52"/>
  <c r="AA218" i="52"/>
  <c r="Z218" i="52"/>
  <c r="Y218" i="52"/>
  <c r="X218" i="52"/>
  <c r="AA217" i="52"/>
  <c r="Z217" i="52"/>
  <c r="Y217" i="52"/>
  <c r="X217" i="52"/>
  <c r="AA216" i="52"/>
  <c r="Z216" i="52"/>
  <c r="Y216" i="52"/>
  <c r="X216" i="52"/>
  <c r="AA215" i="52"/>
  <c r="Z215" i="52"/>
  <c r="Y215" i="52"/>
  <c r="X215" i="52"/>
  <c r="AA214" i="52"/>
  <c r="Z214" i="52"/>
  <c r="Y214" i="52"/>
  <c r="X214" i="52"/>
  <c r="AA213" i="52"/>
  <c r="Z213" i="52"/>
  <c r="Y213" i="52"/>
  <c r="X213" i="52"/>
  <c r="AA212" i="52"/>
  <c r="Z212" i="52"/>
  <c r="Y212" i="52"/>
  <c r="X212" i="52"/>
  <c r="AA211" i="52"/>
  <c r="Z211" i="52"/>
  <c r="Y211" i="52"/>
  <c r="X211" i="52"/>
  <c r="AA210" i="52"/>
  <c r="Z210" i="52"/>
  <c r="Y210" i="52"/>
  <c r="X210" i="52"/>
  <c r="AA209" i="52"/>
  <c r="Z209" i="52"/>
  <c r="Y209" i="52"/>
  <c r="X209" i="52"/>
  <c r="AA208" i="52"/>
  <c r="Z208" i="52"/>
  <c r="Y208" i="52"/>
  <c r="X208" i="52"/>
  <c r="AA207" i="52"/>
  <c r="Z207" i="52"/>
  <c r="Y207" i="52"/>
  <c r="X207" i="52"/>
  <c r="AA206" i="52"/>
  <c r="Z206" i="52"/>
  <c r="Y206" i="52"/>
  <c r="X206" i="52"/>
  <c r="AA205" i="52"/>
  <c r="Z205" i="52"/>
  <c r="Y205" i="52"/>
  <c r="X205" i="52"/>
  <c r="AA204" i="52"/>
  <c r="Z204" i="52"/>
  <c r="Y204" i="52"/>
  <c r="X204" i="52"/>
  <c r="AA203" i="52"/>
  <c r="Z203" i="52"/>
  <c r="Y203" i="52"/>
  <c r="X203" i="52"/>
  <c r="AA202" i="52"/>
  <c r="Z202" i="52"/>
  <c r="Y202" i="52"/>
  <c r="X202" i="52"/>
  <c r="AA201" i="52"/>
  <c r="Z201" i="52"/>
  <c r="Y201" i="52"/>
  <c r="X201" i="52"/>
  <c r="AA200" i="52"/>
  <c r="Z200" i="52"/>
  <c r="Y200" i="52"/>
  <c r="X200" i="52"/>
  <c r="AA199" i="52"/>
  <c r="Z199" i="52"/>
  <c r="Y199" i="52"/>
  <c r="X199" i="52"/>
  <c r="AA198" i="52"/>
  <c r="Z198" i="52"/>
  <c r="Y198" i="52"/>
  <c r="X198" i="52"/>
  <c r="AA197" i="52"/>
  <c r="Z197" i="52"/>
  <c r="Y197" i="52"/>
  <c r="X197" i="52"/>
  <c r="AA196" i="52"/>
  <c r="Z196" i="52"/>
  <c r="Y196" i="52"/>
  <c r="X196" i="52"/>
  <c r="AA195" i="52"/>
  <c r="Z195" i="52"/>
  <c r="Y195" i="52"/>
  <c r="X195" i="52"/>
  <c r="AA194" i="52"/>
  <c r="Z194" i="52"/>
  <c r="Y194" i="52"/>
  <c r="X194" i="52"/>
  <c r="AA193" i="52"/>
  <c r="Z193" i="52"/>
  <c r="Y193" i="52"/>
  <c r="X193" i="52"/>
  <c r="AA192" i="52"/>
  <c r="Z192" i="52"/>
  <c r="Y192" i="52"/>
  <c r="X192" i="52"/>
  <c r="AA191" i="52"/>
  <c r="Z191" i="52"/>
  <c r="Y191" i="52"/>
  <c r="X191" i="52"/>
  <c r="AA190" i="52"/>
  <c r="Z190" i="52"/>
  <c r="Y190" i="52"/>
  <c r="X190" i="52"/>
  <c r="AA189" i="52"/>
  <c r="Z189" i="52"/>
  <c r="Y189" i="52"/>
  <c r="X189" i="52"/>
  <c r="AA188" i="52"/>
  <c r="Z188" i="52"/>
  <c r="Y188" i="52"/>
  <c r="X188" i="52"/>
  <c r="AA187" i="52"/>
  <c r="Z187" i="52"/>
  <c r="Y187" i="52"/>
  <c r="X187" i="52"/>
  <c r="AA186" i="52"/>
  <c r="Z186" i="52"/>
  <c r="Y186" i="52"/>
  <c r="X186" i="52"/>
  <c r="AA185" i="52"/>
  <c r="Z185" i="52"/>
  <c r="Y185" i="52"/>
  <c r="X185" i="52"/>
  <c r="AA184" i="52"/>
  <c r="Z184" i="52"/>
  <c r="Y184" i="52"/>
  <c r="X184" i="52"/>
  <c r="AA183" i="52"/>
  <c r="Z183" i="52"/>
  <c r="Y183" i="52"/>
  <c r="X183" i="52"/>
  <c r="AA182" i="52"/>
  <c r="Z182" i="52"/>
  <c r="Y182" i="52"/>
  <c r="X182" i="52"/>
  <c r="AA181" i="52"/>
  <c r="Z181" i="52"/>
  <c r="Y181" i="52"/>
  <c r="X181" i="52"/>
  <c r="AA180" i="52"/>
  <c r="Z180" i="52"/>
  <c r="Y180" i="52"/>
  <c r="X180" i="52"/>
  <c r="AA179" i="52"/>
  <c r="Z179" i="52"/>
  <c r="Y179" i="52"/>
  <c r="X179" i="52"/>
  <c r="AA178" i="52"/>
  <c r="Z178" i="52"/>
  <c r="Y178" i="52"/>
  <c r="X178" i="52"/>
  <c r="AA177" i="52"/>
  <c r="Z177" i="52"/>
  <c r="Y177" i="52"/>
  <c r="X177" i="52"/>
  <c r="AA176" i="52"/>
  <c r="Z176" i="52"/>
  <c r="Y176" i="52"/>
  <c r="X176" i="52"/>
  <c r="AA175" i="52"/>
  <c r="Z175" i="52"/>
  <c r="Y175" i="52"/>
  <c r="X175" i="52"/>
  <c r="AA174" i="52"/>
  <c r="Z174" i="52"/>
  <c r="Y174" i="52"/>
  <c r="X174" i="52"/>
  <c r="AA173" i="52"/>
  <c r="Z173" i="52"/>
  <c r="Y173" i="52"/>
  <c r="X173" i="52"/>
  <c r="AA172" i="52"/>
  <c r="Z172" i="52"/>
  <c r="Y172" i="52"/>
  <c r="X172" i="52"/>
  <c r="AA171" i="52"/>
  <c r="Z171" i="52"/>
  <c r="Y171" i="52"/>
  <c r="X171" i="52"/>
  <c r="AA170" i="52"/>
  <c r="Z170" i="52"/>
  <c r="Y170" i="52"/>
  <c r="X170" i="52"/>
  <c r="AA169" i="52"/>
  <c r="Z169" i="52"/>
  <c r="Y169" i="52"/>
  <c r="X169" i="52"/>
  <c r="AA168" i="52"/>
  <c r="Z168" i="52"/>
  <c r="Y168" i="52"/>
  <c r="X168" i="52"/>
  <c r="AA167" i="52"/>
  <c r="Z167" i="52"/>
  <c r="Y167" i="52"/>
  <c r="X167" i="52"/>
  <c r="AA166" i="52"/>
  <c r="Z166" i="52"/>
  <c r="Y166" i="52"/>
  <c r="X166" i="52"/>
  <c r="AA165" i="52"/>
  <c r="Z165" i="52"/>
  <c r="Y165" i="52"/>
  <c r="X165" i="52"/>
  <c r="AA164" i="52"/>
  <c r="Z164" i="52"/>
  <c r="Y164" i="52"/>
  <c r="X164" i="52"/>
  <c r="AA163" i="52"/>
  <c r="Z163" i="52"/>
  <c r="Y163" i="52"/>
  <c r="X163" i="52"/>
  <c r="AA162" i="52"/>
  <c r="Z162" i="52"/>
  <c r="Y162" i="52"/>
  <c r="X162" i="52"/>
  <c r="AA161" i="52"/>
  <c r="Z161" i="52"/>
  <c r="Y161" i="52"/>
  <c r="X161" i="52"/>
  <c r="AA160" i="52"/>
  <c r="Z160" i="52"/>
  <c r="Y160" i="52"/>
  <c r="X160" i="52"/>
  <c r="AA159" i="52"/>
  <c r="Z159" i="52"/>
  <c r="Y159" i="52"/>
  <c r="X159" i="52"/>
  <c r="AA158" i="52"/>
  <c r="Z158" i="52"/>
  <c r="Y158" i="52"/>
  <c r="X158" i="52"/>
  <c r="AA157" i="52"/>
  <c r="Z157" i="52"/>
  <c r="Y157" i="52"/>
  <c r="X157" i="52"/>
  <c r="AA156" i="52"/>
  <c r="Z156" i="52"/>
  <c r="Y156" i="52"/>
  <c r="X156" i="52"/>
  <c r="Y155" i="52"/>
  <c r="X155" i="52"/>
  <c r="Z155" i="52" s="1"/>
  <c r="AA155" i="52" s="1"/>
  <c r="AA154" i="52"/>
  <c r="Z154" i="52"/>
  <c r="Y154" i="52"/>
  <c r="X154" i="52"/>
  <c r="AA153" i="52"/>
  <c r="Z153" i="52"/>
  <c r="Y153" i="52"/>
  <c r="X153" i="52"/>
  <c r="AA152" i="52"/>
  <c r="Z152" i="52"/>
  <c r="Y152" i="52"/>
  <c r="X152" i="52"/>
  <c r="AA151" i="52"/>
  <c r="Z151" i="52"/>
  <c r="Y151" i="52"/>
  <c r="X151" i="52"/>
  <c r="AA150" i="52"/>
  <c r="Z150" i="52"/>
  <c r="Y150" i="52"/>
  <c r="X150" i="52"/>
  <c r="AA149" i="52"/>
  <c r="Z149" i="52"/>
  <c r="Y149" i="52"/>
  <c r="X149" i="52"/>
  <c r="AA148" i="52"/>
  <c r="Z148" i="52"/>
  <c r="Y148" i="52"/>
  <c r="X148" i="52"/>
  <c r="AA147" i="52"/>
  <c r="Z147" i="52"/>
  <c r="Y147" i="52"/>
  <c r="X147" i="52"/>
  <c r="AA146" i="52"/>
  <c r="Z146" i="52"/>
  <c r="Y146" i="52"/>
  <c r="X146" i="52"/>
  <c r="AA145" i="52"/>
  <c r="Z145" i="52"/>
  <c r="Y145" i="52"/>
  <c r="X145" i="52"/>
  <c r="AA144" i="52"/>
  <c r="Z144" i="52"/>
  <c r="Y144" i="52"/>
  <c r="X144" i="52"/>
  <c r="AA143" i="52"/>
  <c r="Z143" i="52"/>
  <c r="Y143" i="52"/>
  <c r="X143" i="52"/>
  <c r="AA142" i="52"/>
  <c r="Z142" i="52"/>
  <c r="Y142" i="52"/>
  <c r="X142" i="52"/>
  <c r="AA141" i="52"/>
  <c r="Z141" i="52"/>
  <c r="Y141" i="52"/>
  <c r="X141" i="52"/>
  <c r="AA140" i="52"/>
  <c r="Z140" i="52"/>
  <c r="Y140" i="52"/>
  <c r="X140" i="52"/>
  <c r="AA139" i="52"/>
  <c r="Z139" i="52"/>
  <c r="Y139" i="52"/>
  <c r="X139" i="52"/>
  <c r="AA138" i="52"/>
  <c r="Z138" i="52"/>
  <c r="Y138" i="52"/>
  <c r="X138" i="52"/>
  <c r="AA137" i="52"/>
  <c r="Z137" i="52"/>
  <c r="Y137" i="52"/>
  <c r="X137" i="52"/>
  <c r="AA136" i="52"/>
  <c r="Z136" i="52"/>
  <c r="Y136" i="52"/>
  <c r="X136" i="52"/>
  <c r="AA135" i="52"/>
  <c r="Z135" i="52"/>
  <c r="Y135" i="52"/>
  <c r="X135" i="52"/>
  <c r="AA134" i="52"/>
  <c r="Z134" i="52"/>
  <c r="Y134" i="52"/>
  <c r="X134" i="52"/>
  <c r="AA133" i="52"/>
  <c r="Z133" i="52"/>
  <c r="Y133" i="52"/>
  <c r="X133" i="52"/>
  <c r="AA132" i="52"/>
  <c r="Z132" i="52"/>
  <c r="Y132" i="52"/>
  <c r="X132" i="52"/>
  <c r="AA131" i="52"/>
  <c r="Z131" i="52"/>
  <c r="Y131" i="52"/>
  <c r="X131" i="52"/>
  <c r="AA130" i="52"/>
  <c r="Z130" i="52"/>
  <c r="Y130" i="52"/>
  <c r="X130" i="52"/>
  <c r="AA129" i="52"/>
  <c r="Z129" i="52"/>
  <c r="Y129" i="52"/>
  <c r="X129" i="52"/>
  <c r="AA128" i="52"/>
  <c r="Z128" i="52"/>
  <c r="Y128" i="52"/>
  <c r="X128" i="52"/>
  <c r="AA127" i="52"/>
  <c r="Z127" i="52"/>
  <c r="Y127" i="52"/>
  <c r="X127" i="52"/>
  <c r="AA126" i="52"/>
  <c r="Z126" i="52"/>
  <c r="Y126" i="52"/>
  <c r="X126" i="52"/>
  <c r="Z125" i="52"/>
  <c r="X125" i="52"/>
  <c r="Y125" i="52" s="1"/>
  <c r="AA125" i="52" s="1"/>
  <c r="AA124" i="52"/>
  <c r="Z124" i="52"/>
  <c r="Y124" i="52"/>
  <c r="X124" i="52"/>
  <c r="AA123" i="52"/>
  <c r="Z123" i="52"/>
  <c r="Y123" i="52"/>
  <c r="X123" i="52"/>
  <c r="AA122" i="52"/>
  <c r="Z122" i="52"/>
  <c r="Y122" i="52"/>
  <c r="X122" i="52"/>
  <c r="C225" i="52"/>
  <c r="B225" i="52"/>
  <c r="D225" i="52" s="1"/>
  <c r="C224" i="52"/>
  <c r="B224" i="52"/>
  <c r="D224" i="52" s="1"/>
  <c r="C223" i="52"/>
  <c r="B223" i="52"/>
  <c r="D223" i="52" s="1"/>
  <c r="C222" i="52"/>
  <c r="B222" i="52"/>
  <c r="D222" i="52" s="1"/>
  <c r="C221" i="52"/>
  <c r="B221" i="52"/>
  <c r="D221" i="52" s="1"/>
  <c r="C220" i="52"/>
  <c r="B220" i="52"/>
  <c r="D220" i="52" s="1"/>
  <c r="C219" i="52"/>
  <c r="B219" i="52"/>
  <c r="D219" i="52" s="1"/>
  <c r="C218" i="52"/>
  <c r="B218" i="52"/>
  <c r="D218" i="52" s="1"/>
  <c r="C217" i="52"/>
  <c r="B217" i="52"/>
  <c r="D217" i="52" s="1"/>
  <c r="C216" i="52"/>
  <c r="B216" i="52"/>
  <c r="D216" i="52" s="1"/>
  <c r="C215" i="52"/>
  <c r="B215" i="52"/>
  <c r="D215" i="52" s="1"/>
  <c r="C214" i="52"/>
  <c r="B214" i="52"/>
  <c r="D214" i="52" s="1"/>
  <c r="C213" i="52"/>
  <c r="B213" i="52"/>
  <c r="D213" i="52" s="1"/>
  <c r="C212" i="52"/>
  <c r="B212" i="52"/>
  <c r="D212" i="52" s="1"/>
  <c r="C211" i="52"/>
  <c r="B211" i="52"/>
  <c r="D211" i="52" s="1"/>
  <c r="C210" i="52"/>
  <c r="B210" i="52"/>
  <c r="D210" i="52" s="1"/>
  <c r="C209" i="52"/>
  <c r="B209" i="52"/>
  <c r="D209" i="52" s="1"/>
  <c r="C208" i="52"/>
  <c r="B208" i="52"/>
  <c r="D208" i="52" s="1"/>
  <c r="C207" i="52"/>
  <c r="B207" i="52"/>
  <c r="D207" i="52" s="1"/>
  <c r="C206" i="52"/>
  <c r="B206" i="52"/>
  <c r="D206" i="52" s="1"/>
  <c r="C205" i="52"/>
  <c r="B205" i="52"/>
  <c r="D205" i="52" s="1"/>
  <c r="C204" i="52"/>
  <c r="B204" i="52"/>
  <c r="D204" i="52" s="1"/>
  <c r="C203" i="52"/>
  <c r="B203" i="52"/>
  <c r="D203" i="52" s="1"/>
  <c r="C202" i="52"/>
  <c r="B202" i="52"/>
  <c r="D202" i="52" s="1"/>
  <c r="C201" i="52"/>
  <c r="B201" i="52"/>
  <c r="D201" i="52" s="1"/>
  <c r="C200" i="52"/>
  <c r="B200" i="52"/>
  <c r="D200" i="52" s="1"/>
  <c r="C199" i="52"/>
  <c r="B199" i="52"/>
  <c r="D199" i="52" s="1"/>
  <c r="C198" i="52"/>
  <c r="B198" i="52"/>
  <c r="D198" i="52" s="1"/>
  <c r="C197" i="52"/>
  <c r="B197" i="52"/>
  <c r="D197" i="52" s="1"/>
  <c r="C196" i="52"/>
  <c r="B196" i="52"/>
  <c r="D196" i="52" s="1"/>
  <c r="C195" i="52"/>
  <c r="B195" i="52"/>
  <c r="D195" i="52" s="1"/>
  <c r="C194" i="52"/>
  <c r="B194" i="52"/>
  <c r="D194" i="52" s="1"/>
  <c r="C193" i="52"/>
  <c r="B193" i="52"/>
  <c r="D193" i="52" s="1"/>
  <c r="C192" i="52"/>
  <c r="B192" i="52"/>
  <c r="D192" i="52" s="1"/>
  <c r="C191" i="52"/>
  <c r="B191" i="52"/>
  <c r="D191" i="52" s="1"/>
  <c r="C190" i="52"/>
  <c r="B190" i="52"/>
  <c r="D190" i="52" s="1"/>
  <c r="C189" i="52"/>
  <c r="B189" i="52"/>
  <c r="D189" i="52" s="1"/>
  <c r="C188" i="52"/>
  <c r="B188" i="52"/>
  <c r="D188" i="52" s="1"/>
  <c r="C187" i="52"/>
  <c r="B187" i="52"/>
  <c r="D187" i="52" s="1"/>
  <c r="C186" i="52"/>
  <c r="B186" i="52"/>
  <c r="D186" i="52" s="1"/>
  <c r="C185" i="52"/>
  <c r="B185" i="52"/>
  <c r="D185" i="52" s="1"/>
  <c r="C184" i="52"/>
  <c r="B184" i="52"/>
  <c r="D184" i="52" s="1"/>
  <c r="C183" i="52"/>
  <c r="B183" i="52"/>
  <c r="D183" i="52" s="1"/>
  <c r="C182" i="52"/>
  <c r="B182" i="52"/>
  <c r="D182" i="52" s="1"/>
  <c r="C181" i="52"/>
  <c r="B181" i="52"/>
  <c r="D181" i="52" s="1"/>
  <c r="C180" i="52"/>
  <c r="B180" i="52"/>
  <c r="D180" i="52" s="1"/>
  <c r="C179" i="52"/>
  <c r="B179" i="52"/>
  <c r="D179" i="52" s="1"/>
  <c r="C178" i="52"/>
  <c r="B178" i="52"/>
  <c r="D178" i="52" s="1"/>
  <c r="C177" i="52"/>
  <c r="B177" i="52"/>
  <c r="D177" i="52" s="1"/>
  <c r="C176" i="52"/>
  <c r="B176" i="52"/>
  <c r="D176" i="52" s="1"/>
  <c r="C175" i="52"/>
  <c r="B175" i="52"/>
  <c r="D175" i="52" s="1"/>
  <c r="C174" i="52"/>
  <c r="B174" i="52"/>
  <c r="D174" i="52" s="1"/>
  <c r="C173" i="52"/>
  <c r="B173" i="52"/>
  <c r="D173" i="52" s="1"/>
  <c r="C172" i="52"/>
  <c r="B172" i="52"/>
  <c r="D172" i="52" s="1"/>
  <c r="C171" i="52"/>
  <c r="B171" i="52"/>
  <c r="D171" i="52" s="1"/>
  <c r="C170" i="52"/>
  <c r="B170" i="52"/>
  <c r="D170" i="52" s="1"/>
  <c r="C169" i="52"/>
  <c r="B169" i="52"/>
  <c r="D169" i="52" s="1"/>
  <c r="C168" i="52"/>
  <c r="B168" i="52"/>
  <c r="D168" i="52" s="1"/>
  <c r="C167" i="52"/>
  <c r="B167" i="52"/>
  <c r="D167" i="52" s="1"/>
  <c r="C166" i="52"/>
  <c r="B166" i="52"/>
  <c r="D166" i="52" s="1"/>
  <c r="C165" i="52"/>
  <c r="B165" i="52"/>
  <c r="D165" i="52" s="1"/>
  <c r="C164" i="52"/>
  <c r="B164" i="52"/>
  <c r="D164" i="52" s="1"/>
  <c r="C163" i="52"/>
  <c r="B163" i="52"/>
  <c r="D163" i="52" s="1"/>
  <c r="C162" i="52"/>
  <c r="B162" i="52"/>
  <c r="D162" i="52" s="1"/>
  <c r="C161" i="52"/>
  <c r="B161" i="52"/>
  <c r="D161" i="52" s="1"/>
  <c r="C160" i="52"/>
  <c r="B160" i="52"/>
  <c r="D160" i="52" s="1"/>
  <c r="C159" i="52"/>
  <c r="B159" i="52"/>
  <c r="D159" i="52" s="1"/>
  <c r="C158" i="52"/>
  <c r="B158" i="52"/>
  <c r="D158" i="52" s="1"/>
  <c r="C157" i="52"/>
  <c r="B157" i="52"/>
  <c r="D157" i="52" s="1"/>
  <c r="C156" i="52"/>
  <c r="B156" i="52"/>
  <c r="D156" i="52" s="1"/>
  <c r="C155" i="52"/>
  <c r="B155" i="52"/>
  <c r="D155" i="52" s="1"/>
  <c r="C154" i="52"/>
  <c r="B154" i="52"/>
  <c r="D154" i="52" s="1"/>
  <c r="C153" i="52"/>
  <c r="B153" i="52"/>
  <c r="D153" i="52" s="1"/>
  <c r="C152" i="52"/>
  <c r="B152" i="52"/>
  <c r="D152" i="52" s="1"/>
  <c r="C151" i="52"/>
  <c r="B151" i="52"/>
  <c r="D151" i="52" s="1"/>
  <c r="C150" i="52"/>
  <c r="B150" i="52"/>
  <c r="D150" i="52" s="1"/>
  <c r="C149" i="52"/>
  <c r="B149" i="52"/>
  <c r="D149" i="52" s="1"/>
  <c r="C148" i="52"/>
  <c r="B148" i="52"/>
  <c r="D148" i="52" s="1"/>
  <c r="C147" i="52"/>
  <c r="B147" i="52"/>
  <c r="D147" i="52" s="1"/>
  <c r="C146" i="52"/>
  <c r="B146" i="52"/>
  <c r="D146" i="52" s="1"/>
  <c r="C145" i="52"/>
  <c r="B145" i="52"/>
  <c r="D145" i="52" s="1"/>
  <c r="C144" i="52"/>
  <c r="B144" i="52"/>
  <c r="D144" i="52" s="1"/>
  <c r="C143" i="52"/>
  <c r="B143" i="52"/>
  <c r="D143" i="52" s="1"/>
  <c r="C142" i="52"/>
  <c r="B142" i="52"/>
  <c r="D142" i="52" s="1"/>
  <c r="C141" i="52"/>
  <c r="B141" i="52"/>
  <c r="D141" i="52" s="1"/>
  <c r="C140" i="52"/>
  <c r="B140" i="52"/>
  <c r="D140" i="52" s="1"/>
  <c r="C139" i="52"/>
  <c r="B139" i="52"/>
  <c r="D139" i="52" s="1"/>
  <c r="C138" i="52"/>
  <c r="B138" i="52"/>
  <c r="D138" i="52" s="1"/>
  <c r="C137" i="52"/>
  <c r="B137" i="52"/>
  <c r="D137" i="52" s="1"/>
  <c r="C136" i="52"/>
  <c r="B136" i="52"/>
  <c r="D136" i="52" s="1"/>
  <c r="C135" i="52"/>
  <c r="B135" i="52"/>
  <c r="D135" i="52" s="1"/>
  <c r="C134" i="52"/>
  <c r="B134" i="52"/>
  <c r="D134" i="52" s="1"/>
  <c r="C133" i="52"/>
  <c r="B133" i="52"/>
  <c r="D133" i="52" s="1"/>
  <c r="C132" i="52"/>
  <c r="B132" i="52"/>
  <c r="D132" i="52" s="1"/>
  <c r="C131" i="52"/>
  <c r="B131" i="52"/>
  <c r="D131" i="52" s="1"/>
  <c r="C130" i="52"/>
  <c r="B130" i="52"/>
  <c r="D130" i="52" s="1"/>
  <c r="C129" i="52"/>
  <c r="B129" i="52"/>
  <c r="D129" i="52" s="1"/>
  <c r="C128" i="52"/>
  <c r="B128" i="52"/>
  <c r="D128" i="52" s="1"/>
  <c r="C127" i="52"/>
  <c r="B127" i="52"/>
  <c r="D127" i="52" s="1"/>
  <c r="C126" i="52"/>
  <c r="B126" i="52"/>
  <c r="D126" i="52" s="1"/>
  <c r="C125" i="52"/>
  <c r="B125" i="52"/>
  <c r="D125" i="52" s="1"/>
  <c r="C124" i="52"/>
  <c r="B124" i="52"/>
  <c r="D124" i="52" s="1"/>
  <c r="C123" i="52"/>
  <c r="B123" i="52"/>
  <c r="D123" i="52" s="1"/>
  <c r="C122" i="52"/>
  <c r="B122" i="52"/>
  <c r="D122" i="52" s="1"/>
  <c r="H2778" i="55"/>
  <c r="G2778" i="55"/>
  <c r="H2777" i="55"/>
  <c r="G2777" i="55"/>
  <c r="H2776" i="55"/>
  <c r="G2776" i="55"/>
  <c r="H2775" i="55"/>
  <c r="G2775" i="55"/>
  <c r="H2774" i="55"/>
  <c r="G2774" i="55"/>
  <c r="H2773" i="55"/>
  <c r="G2773" i="55"/>
  <c r="H2772" i="55"/>
  <c r="G2772" i="55"/>
  <c r="H2771" i="55"/>
  <c r="G2771" i="55"/>
  <c r="H2770" i="55"/>
  <c r="G2770" i="55"/>
  <c r="H2769" i="55"/>
  <c r="G2769" i="55"/>
  <c r="H2768" i="55"/>
  <c r="G2768" i="55"/>
  <c r="H2767" i="55"/>
  <c r="G2767" i="55"/>
  <c r="H2766" i="55"/>
  <c r="G2766" i="55"/>
  <c r="H2765" i="55"/>
  <c r="G2765" i="55"/>
  <c r="H2764" i="55"/>
  <c r="G2764" i="55"/>
  <c r="H2763" i="55"/>
  <c r="G2763" i="55"/>
  <c r="H2762" i="55"/>
  <c r="G2762" i="55"/>
  <c r="H2761" i="55"/>
  <c r="G2761" i="55"/>
  <c r="H2760" i="55"/>
  <c r="G2760" i="55"/>
  <c r="H2759" i="55"/>
  <c r="G2759" i="55"/>
  <c r="H2758" i="55"/>
  <c r="G2758" i="55"/>
  <c r="H2757" i="55"/>
  <c r="G2757" i="55"/>
  <c r="H2756" i="55"/>
  <c r="G2756" i="55"/>
  <c r="H2755" i="55"/>
  <c r="G2755" i="55"/>
  <c r="H2754" i="55"/>
  <c r="G2754" i="55"/>
  <c r="H2753" i="55"/>
  <c r="G2753" i="55"/>
  <c r="H2752" i="55"/>
  <c r="G2752" i="55"/>
  <c r="H2751" i="55"/>
  <c r="G2751" i="55"/>
  <c r="H2750" i="55"/>
  <c r="G2750" i="55"/>
  <c r="H2749" i="55"/>
  <c r="G2749" i="55"/>
  <c r="H2748" i="55"/>
  <c r="G2748" i="55"/>
  <c r="H2747" i="55"/>
  <c r="G2747" i="55"/>
  <c r="H2746" i="55"/>
  <c r="G2746" i="55"/>
  <c r="H2745" i="55"/>
  <c r="G2745" i="55"/>
  <c r="H2744" i="55"/>
  <c r="G2744" i="55"/>
  <c r="H2743" i="55"/>
  <c r="G2743" i="55"/>
  <c r="H2742" i="55"/>
  <c r="G2742" i="55"/>
  <c r="H2741" i="55"/>
  <c r="G2741" i="55"/>
  <c r="H2740" i="55"/>
  <c r="G2740" i="55"/>
  <c r="H2739" i="55"/>
  <c r="G2739" i="55"/>
  <c r="H2738" i="55"/>
  <c r="G2738" i="55"/>
  <c r="H2737" i="55"/>
  <c r="G2737" i="55"/>
  <c r="H2736" i="55"/>
  <c r="G2736" i="55"/>
  <c r="H2735" i="55"/>
  <c r="G2735" i="55"/>
  <c r="H2734" i="55"/>
  <c r="G2734" i="55"/>
  <c r="H2733" i="55"/>
  <c r="G2733" i="55"/>
  <c r="H2732" i="55"/>
  <c r="G2732" i="55"/>
  <c r="H2731" i="55"/>
  <c r="G2731" i="55"/>
  <c r="H2730" i="55"/>
  <c r="G2730" i="55"/>
  <c r="H2729" i="55"/>
  <c r="G2729" i="55"/>
  <c r="H2728" i="55"/>
  <c r="G2728" i="55"/>
  <c r="H2727" i="55"/>
  <c r="G2727" i="55"/>
  <c r="H2726" i="55"/>
  <c r="G2726" i="55"/>
  <c r="H2725" i="55"/>
  <c r="G2725" i="55"/>
  <c r="H2724" i="55"/>
  <c r="G2724" i="55"/>
  <c r="H2723" i="55"/>
  <c r="G2723" i="55"/>
  <c r="H2722" i="55"/>
  <c r="G2722" i="55"/>
  <c r="H2721" i="55"/>
  <c r="G2721" i="55"/>
  <c r="H2720" i="55"/>
  <c r="G2720" i="55"/>
  <c r="H2719" i="55"/>
  <c r="G2719" i="55"/>
  <c r="H2718" i="55"/>
  <c r="G2718" i="55"/>
  <c r="H2717" i="55"/>
  <c r="G2717" i="55"/>
  <c r="H2716" i="55"/>
  <c r="G2716" i="55"/>
  <c r="H2715" i="55"/>
  <c r="G2715" i="55"/>
  <c r="H2714" i="55"/>
  <c r="G2714" i="55"/>
  <c r="H2713" i="55"/>
  <c r="G2713" i="55"/>
  <c r="H2712" i="55"/>
  <c r="G2712" i="55"/>
  <c r="H2711" i="55"/>
  <c r="G2711" i="55"/>
  <c r="H2710" i="55"/>
  <c r="G2710" i="55"/>
  <c r="H2709" i="55"/>
  <c r="G2709" i="55"/>
  <c r="H2708" i="55"/>
  <c r="G2708" i="55"/>
  <c r="H2707" i="55"/>
  <c r="G2707" i="55"/>
  <c r="H2706" i="55"/>
  <c r="G2706" i="55"/>
  <c r="H2705" i="55"/>
  <c r="G2705" i="55"/>
  <c r="H2704" i="55"/>
  <c r="G2704" i="55"/>
  <c r="H2703" i="55"/>
  <c r="G2703" i="55"/>
  <c r="H2702" i="55"/>
  <c r="G2702" i="55"/>
  <c r="H2701" i="55"/>
  <c r="G2701" i="55"/>
  <c r="H2700" i="55"/>
  <c r="G2700" i="55"/>
  <c r="H2699" i="55"/>
  <c r="G2699" i="55"/>
  <c r="H2698" i="55"/>
  <c r="G2698" i="55"/>
  <c r="H2697" i="55"/>
  <c r="G2697" i="55"/>
  <c r="H2696" i="55"/>
  <c r="G2696" i="55"/>
  <c r="H2695" i="55"/>
  <c r="G2695" i="55"/>
  <c r="H2694" i="55"/>
  <c r="G2694" i="55"/>
  <c r="H2693" i="55"/>
  <c r="G2693" i="55"/>
  <c r="H2692" i="55"/>
  <c r="G2692" i="55"/>
  <c r="H2691" i="55"/>
  <c r="G2691" i="55"/>
  <c r="H2690" i="55"/>
  <c r="G2690" i="55"/>
  <c r="H2689" i="55"/>
  <c r="G2689" i="55"/>
  <c r="H2688" i="55"/>
  <c r="G2688" i="55"/>
  <c r="H2687" i="55"/>
  <c r="G2687" i="55"/>
  <c r="H2686" i="55"/>
  <c r="G2686" i="55"/>
  <c r="H2685" i="55"/>
  <c r="G2685" i="55"/>
  <c r="H2684" i="55"/>
  <c r="G2684" i="55"/>
  <c r="H2683" i="55"/>
  <c r="G2683" i="55"/>
  <c r="H2682" i="55"/>
  <c r="G2682" i="55"/>
  <c r="H2681" i="55"/>
  <c r="G2681" i="55"/>
  <c r="H2680" i="55"/>
  <c r="G2680" i="55"/>
  <c r="H2679" i="55"/>
  <c r="G2679" i="55"/>
  <c r="H2678" i="55"/>
  <c r="G2678" i="55"/>
  <c r="H2677" i="55"/>
  <c r="G2677" i="55"/>
  <c r="H2676" i="55"/>
  <c r="G2676" i="55"/>
  <c r="H2675" i="55"/>
  <c r="G2675" i="55"/>
  <c r="H2674" i="55"/>
  <c r="G2674" i="55"/>
  <c r="H2673" i="55"/>
  <c r="G2673" i="55"/>
  <c r="H2672" i="55"/>
  <c r="G2672" i="55"/>
  <c r="H2671" i="55"/>
  <c r="G2671" i="55"/>
  <c r="H2670" i="55"/>
  <c r="G2670" i="55"/>
  <c r="H2669" i="55"/>
  <c r="G2669" i="55"/>
  <c r="H2668" i="55"/>
  <c r="G2668" i="55"/>
  <c r="H2667" i="55"/>
  <c r="G2667" i="55"/>
  <c r="H2666" i="55"/>
  <c r="G2666" i="55"/>
  <c r="H2665" i="55"/>
  <c r="G2665" i="55"/>
  <c r="H2664" i="55"/>
  <c r="G2664" i="55"/>
  <c r="H2663" i="55"/>
  <c r="G2663" i="55"/>
  <c r="H2662" i="55"/>
  <c r="G2662" i="55"/>
  <c r="H2661" i="55"/>
  <c r="G2661" i="55"/>
  <c r="H2660" i="55"/>
  <c r="G2660" i="55"/>
  <c r="H2659" i="55"/>
  <c r="G2659" i="55"/>
  <c r="H2658" i="55"/>
  <c r="G2658" i="55"/>
  <c r="H2657" i="55"/>
  <c r="G2657" i="55"/>
  <c r="H2656" i="55"/>
  <c r="G2656" i="55"/>
  <c r="H2655" i="55"/>
  <c r="G2655" i="55"/>
  <c r="H2654" i="55"/>
  <c r="G2654" i="55"/>
  <c r="H2653" i="55"/>
  <c r="G2653" i="55"/>
  <c r="H2652" i="55"/>
  <c r="G2652" i="55"/>
  <c r="H2651" i="55"/>
  <c r="G2651" i="55"/>
  <c r="H2650" i="55"/>
  <c r="G2650" i="55"/>
  <c r="H2649" i="55"/>
  <c r="G2649" i="55"/>
  <c r="H2648" i="55"/>
  <c r="G2648" i="55"/>
  <c r="H2647" i="55"/>
  <c r="G2647" i="55"/>
  <c r="H2646" i="55"/>
  <c r="G2646" i="55"/>
  <c r="H2645" i="55"/>
  <c r="G2645" i="55"/>
  <c r="H2644" i="55"/>
  <c r="G2644" i="55"/>
  <c r="H2643" i="55"/>
  <c r="G2643" i="55"/>
  <c r="H2642" i="55"/>
  <c r="G2642" i="55"/>
  <c r="H2641" i="55"/>
  <c r="G2641" i="55"/>
  <c r="H2640" i="55"/>
  <c r="G2640" i="55"/>
  <c r="H2639" i="55"/>
  <c r="G2639" i="55"/>
  <c r="H2638" i="55"/>
  <c r="G2638" i="55"/>
  <c r="H2637" i="55"/>
  <c r="G2637" i="55"/>
  <c r="H2636" i="55"/>
  <c r="G2636" i="55"/>
  <c r="H2635" i="55"/>
  <c r="G2635" i="55"/>
  <c r="H2634" i="55"/>
  <c r="G2634" i="55"/>
  <c r="H2633" i="55"/>
  <c r="G2633" i="55"/>
  <c r="H2632" i="55"/>
  <c r="G2632" i="55"/>
  <c r="H2631" i="55"/>
  <c r="G2631" i="55"/>
  <c r="H2630" i="55"/>
  <c r="G2630" i="55"/>
  <c r="H2629" i="55"/>
  <c r="G2629" i="55"/>
  <c r="H2628" i="55"/>
  <c r="G2628" i="55"/>
  <c r="H2627" i="55"/>
  <c r="G2627" i="55"/>
  <c r="H2626" i="55"/>
  <c r="G2626" i="55"/>
  <c r="H2625" i="55"/>
  <c r="G2625" i="55"/>
  <c r="H2624" i="55"/>
  <c r="G2624" i="55"/>
  <c r="H2623" i="55"/>
  <c r="G2623" i="55"/>
  <c r="H2622" i="55"/>
  <c r="G2622" i="55"/>
  <c r="H2621" i="55"/>
  <c r="G2621" i="55"/>
  <c r="H2620" i="55"/>
  <c r="G2620" i="55"/>
  <c r="H2619" i="55"/>
  <c r="G2619" i="55"/>
  <c r="H2618" i="55"/>
  <c r="G2618" i="55"/>
  <c r="H2617" i="55"/>
  <c r="G2617" i="55"/>
  <c r="H2616" i="55"/>
  <c r="G2616" i="55"/>
  <c r="H2615" i="55"/>
  <c r="G2615" i="55"/>
  <c r="H2614" i="55"/>
  <c r="G2614" i="55"/>
  <c r="H2613" i="55"/>
  <c r="G2613" i="55"/>
  <c r="H2612" i="55"/>
  <c r="G2612" i="55"/>
  <c r="H2611" i="55"/>
  <c r="G2611" i="55"/>
  <c r="H2610" i="55"/>
  <c r="G2610" i="55"/>
  <c r="H2609" i="55"/>
  <c r="G2609" i="55"/>
  <c r="H2608" i="55"/>
  <c r="G2608" i="55"/>
  <c r="H2607" i="55"/>
  <c r="G2607" i="55"/>
  <c r="H2606" i="55"/>
  <c r="G2606" i="55"/>
  <c r="H2605" i="55"/>
  <c r="G2605" i="55"/>
  <c r="H2604" i="55"/>
  <c r="G2604" i="55"/>
  <c r="H2603" i="55"/>
  <c r="G2603" i="55"/>
  <c r="H2602" i="55"/>
  <c r="G2602" i="55"/>
  <c r="H2601" i="55"/>
  <c r="G2601" i="55"/>
  <c r="H2600" i="55"/>
  <c r="G2600" i="55"/>
  <c r="H2599" i="55"/>
  <c r="G2599" i="55"/>
  <c r="H2598" i="55"/>
  <c r="G2598" i="55"/>
  <c r="H2597" i="55"/>
  <c r="G2597" i="55"/>
  <c r="H2596" i="55"/>
  <c r="G2596" i="55"/>
  <c r="H2595" i="55"/>
  <c r="G2595" i="55"/>
  <c r="H2594" i="55"/>
  <c r="G2594" i="55"/>
  <c r="H2593" i="55"/>
  <c r="G2593" i="55"/>
  <c r="H2592" i="55"/>
  <c r="G2592" i="55"/>
  <c r="H2591" i="55"/>
  <c r="G2591" i="55"/>
  <c r="H2590" i="55"/>
  <c r="G2590" i="55"/>
  <c r="H2589" i="55"/>
  <c r="G2589" i="55"/>
  <c r="H2588" i="55"/>
  <c r="G2588" i="55"/>
  <c r="H2587" i="55"/>
  <c r="G2587" i="55"/>
  <c r="H2586" i="55"/>
  <c r="G2586" i="55"/>
  <c r="H2585" i="55"/>
  <c r="G2585" i="55"/>
  <c r="H2584" i="55"/>
  <c r="G2584" i="55"/>
  <c r="H2583" i="55"/>
  <c r="G2583" i="55"/>
  <c r="H2582" i="55"/>
  <c r="G2582" i="55"/>
  <c r="H2581" i="55"/>
  <c r="G2581" i="55"/>
  <c r="H2580" i="55"/>
  <c r="G2580" i="55"/>
  <c r="H2579" i="55"/>
  <c r="G2579" i="55"/>
  <c r="H2578" i="55"/>
  <c r="G2578" i="55"/>
  <c r="H2577" i="55"/>
  <c r="G2577" i="55"/>
  <c r="H2576" i="55"/>
  <c r="G2576" i="55"/>
  <c r="H2575" i="55"/>
  <c r="G2575" i="55"/>
  <c r="H2574" i="55"/>
  <c r="G2574" i="55"/>
  <c r="H2573" i="55"/>
  <c r="G2573" i="55"/>
  <c r="H2572" i="55"/>
  <c r="G2572" i="55"/>
  <c r="H2571" i="55"/>
  <c r="G2571" i="55"/>
  <c r="H2570" i="55"/>
  <c r="G2570" i="55"/>
  <c r="H2569" i="55"/>
  <c r="G2569" i="55"/>
  <c r="H2568" i="55"/>
  <c r="G2568" i="55"/>
  <c r="H2567" i="55"/>
  <c r="G2567" i="55"/>
  <c r="H2566" i="55"/>
  <c r="G2566" i="55"/>
  <c r="H2565" i="55"/>
  <c r="G2565" i="55"/>
  <c r="H2564" i="55"/>
  <c r="G2564" i="55"/>
  <c r="H2563" i="55"/>
  <c r="G2563" i="55"/>
  <c r="H2562" i="55"/>
  <c r="G2562" i="55"/>
  <c r="H2561" i="55"/>
  <c r="G2561" i="55"/>
  <c r="H2560" i="55"/>
  <c r="G2560" i="55"/>
  <c r="H2559" i="55"/>
  <c r="G2559" i="55"/>
  <c r="H2558" i="55"/>
  <c r="G2558" i="55"/>
  <c r="H2557" i="55"/>
  <c r="G2557" i="55"/>
  <c r="H2556" i="55"/>
  <c r="G2556" i="55"/>
  <c r="H2555" i="55"/>
  <c r="G2555" i="55"/>
  <c r="H2554" i="55"/>
  <c r="G2554" i="55"/>
  <c r="H2553" i="55"/>
  <c r="G2553" i="55"/>
  <c r="H2552" i="55"/>
  <c r="G2552" i="55"/>
  <c r="H2551" i="55"/>
  <c r="G2551" i="55"/>
  <c r="H2550" i="55"/>
  <c r="G2550" i="55"/>
  <c r="H2549" i="55"/>
  <c r="G2549" i="55"/>
  <c r="H2548" i="55"/>
  <c r="G2548" i="55"/>
  <c r="H2547" i="55"/>
  <c r="G2547" i="55"/>
  <c r="H2546" i="55"/>
  <c r="G2546" i="55"/>
  <c r="H2545" i="55"/>
  <c r="G2545" i="55"/>
  <c r="H2544" i="55"/>
  <c r="G2544" i="55"/>
  <c r="H2543" i="55"/>
  <c r="G2543" i="55"/>
  <c r="H2542" i="55"/>
  <c r="G2542" i="55"/>
  <c r="H2541" i="55"/>
  <c r="G2541" i="55"/>
  <c r="H2540" i="55"/>
  <c r="G2540" i="55"/>
  <c r="H2539" i="55"/>
  <c r="G2539" i="55"/>
  <c r="H2538" i="55"/>
  <c r="G2538" i="55"/>
  <c r="H2537" i="55"/>
  <c r="G2537" i="55"/>
  <c r="H2536" i="55"/>
  <c r="G2536" i="55"/>
  <c r="H2535" i="55"/>
  <c r="G2535" i="55"/>
  <c r="H2534" i="55"/>
  <c r="G2534" i="55"/>
  <c r="H2533" i="55"/>
  <c r="G2533" i="55"/>
  <c r="H2532" i="55"/>
  <c r="G2532" i="55"/>
  <c r="H2531" i="55"/>
  <c r="G2531" i="55"/>
  <c r="H2530" i="55"/>
  <c r="G2530" i="55"/>
  <c r="H2529" i="55"/>
  <c r="G2529" i="55"/>
  <c r="H2528" i="55"/>
  <c r="G2528" i="55"/>
  <c r="H2527" i="55"/>
  <c r="G2527" i="55"/>
  <c r="H2526" i="55"/>
  <c r="G2526" i="55"/>
  <c r="H2525" i="55"/>
  <c r="G2525" i="55"/>
  <c r="H2524" i="55"/>
  <c r="G2524" i="55"/>
  <c r="H2523" i="55"/>
  <c r="G2523" i="55"/>
  <c r="H2522" i="55"/>
  <c r="G2522" i="55"/>
  <c r="H2521" i="55"/>
  <c r="G2521" i="55"/>
  <c r="H2520" i="55"/>
  <c r="G2520" i="55"/>
  <c r="H2519" i="55"/>
  <c r="G2519" i="55"/>
  <c r="H2518" i="55"/>
  <c r="G2518" i="55"/>
  <c r="H2517" i="55"/>
  <c r="G2517" i="55"/>
  <c r="H2516" i="55"/>
  <c r="G2516" i="55"/>
  <c r="H2515" i="55"/>
  <c r="G2515" i="55"/>
  <c r="H2514" i="55"/>
  <c r="G2514" i="55"/>
  <c r="H2513" i="55"/>
  <c r="G2513" i="55"/>
  <c r="H2512" i="55"/>
  <c r="G2512" i="55"/>
  <c r="H2511" i="55"/>
  <c r="G2511" i="55"/>
  <c r="H2510" i="55"/>
  <c r="G2510" i="55"/>
  <c r="H2509" i="55"/>
  <c r="G2509" i="55"/>
  <c r="H2508" i="55"/>
  <c r="G2508" i="55"/>
  <c r="H2507" i="55"/>
  <c r="G2507" i="55"/>
  <c r="H2506" i="55"/>
  <c r="G2506" i="55"/>
  <c r="H2505" i="55"/>
  <c r="G2505" i="55"/>
  <c r="H2504" i="55"/>
  <c r="G2504" i="55"/>
  <c r="H2503" i="55"/>
  <c r="G2503" i="55"/>
  <c r="H2502" i="55"/>
  <c r="G2502" i="55"/>
  <c r="H2501" i="55"/>
  <c r="G2501" i="55"/>
  <c r="H2500" i="55"/>
  <c r="G2500" i="55"/>
  <c r="H2499" i="55"/>
  <c r="G2499" i="55"/>
  <c r="H2498" i="55"/>
  <c r="G2498" i="55"/>
  <c r="H2497" i="55"/>
  <c r="G2497" i="55"/>
  <c r="H2496" i="55"/>
  <c r="G2496" i="55"/>
  <c r="H2495" i="55"/>
  <c r="G2495" i="55"/>
  <c r="H2494" i="55"/>
  <c r="G2494" i="55"/>
  <c r="H2493" i="55"/>
  <c r="G2493" i="55"/>
  <c r="H2492" i="55"/>
  <c r="G2492" i="55"/>
  <c r="H2491" i="55"/>
  <c r="G2491" i="55"/>
  <c r="H2490" i="55"/>
  <c r="G2490" i="55"/>
  <c r="H2489" i="55"/>
  <c r="G2489" i="55"/>
  <c r="H2488" i="55"/>
  <c r="G2488" i="55"/>
  <c r="H2487" i="55"/>
  <c r="G2487" i="55"/>
  <c r="H2486" i="55"/>
  <c r="G2486" i="55"/>
  <c r="H2485" i="55"/>
  <c r="G2485" i="55"/>
  <c r="H2484" i="55"/>
  <c r="G2484" i="55"/>
  <c r="H2483" i="55"/>
  <c r="G2483" i="55"/>
  <c r="H2482" i="55"/>
  <c r="G2482" i="55"/>
  <c r="H2481" i="55"/>
  <c r="G2481" i="55"/>
  <c r="H2480" i="55"/>
  <c r="G2480" i="55"/>
  <c r="H2479" i="55"/>
  <c r="G2479" i="55"/>
  <c r="H2478" i="55"/>
  <c r="G2478" i="55"/>
  <c r="H2477" i="55"/>
  <c r="G2477" i="55"/>
  <c r="H2476" i="55"/>
  <c r="G2476" i="55"/>
  <c r="H2475" i="55"/>
  <c r="G2475" i="55"/>
  <c r="H2474" i="55"/>
  <c r="G2474" i="55"/>
  <c r="H2473" i="55"/>
  <c r="G2473" i="55"/>
  <c r="H2472" i="55"/>
  <c r="G2472" i="55"/>
  <c r="H2471" i="55"/>
  <c r="G2471" i="55"/>
  <c r="H2470" i="55"/>
  <c r="G2470" i="55"/>
  <c r="H2469" i="55"/>
  <c r="G2469" i="55"/>
  <c r="H2468" i="55"/>
  <c r="G2468" i="55"/>
  <c r="H2467" i="55"/>
  <c r="G2467" i="55"/>
  <c r="H2466" i="55"/>
  <c r="G2466" i="55"/>
  <c r="H2465" i="55"/>
  <c r="G2465" i="55"/>
  <c r="H2464" i="55"/>
  <c r="G2464" i="55"/>
  <c r="H2463" i="55"/>
  <c r="G2463" i="55"/>
  <c r="H2462" i="55"/>
  <c r="G2462" i="55"/>
  <c r="H2461" i="55"/>
  <c r="G2461" i="55"/>
  <c r="H2460" i="55"/>
  <c r="G2460" i="55"/>
  <c r="H2459" i="55"/>
  <c r="G2459" i="55"/>
  <c r="H2458" i="55"/>
  <c r="G2458" i="55"/>
  <c r="H2457" i="55"/>
  <c r="G2457" i="55"/>
  <c r="H2456" i="55"/>
  <c r="G2456" i="55"/>
  <c r="H2455" i="55"/>
  <c r="G2455" i="55"/>
  <c r="H2454" i="55"/>
  <c r="G2454" i="55"/>
  <c r="H2453" i="55"/>
  <c r="G2453" i="55"/>
  <c r="H2452" i="55"/>
  <c r="G2452" i="55"/>
  <c r="H2451" i="55"/>
  <c r="G2451" i="55"/>
  <c r="H2450" i="55"/>
  <c r="G2450" i="55"/>
  <c r="H2449" i="55"/>
  <c r="G2449" i="55"/>
  <c r="H2448" i="55"/>
  <c r="G2448" i="55"/>
  <c r="H2447" i="55"/>
  <c r="G2447" i="55"/>
  <c r="H2446" i="55"/>
  <c r="G2446" i="55"/>
  <c r="H2445" i="55"/>
  <c r="G2445" i="55"/>
  <c r="H2444" i="55"/>
  <c r="G2444" i="55"/>
  <c r="H2443" i="55"/>
  <c r="G2443" i="55"/>
  <c r="H2442" i="55"/>
  <c r="G2442" i="55"/>
  <c r="H2441" i="55"/>
  <c r="G2441" i="55"/>
  <c r="H2440" i="55"/>
  <c r="G2440" i="55"/>
  <c r="H2439" i="55"/>
  <c r="G2439" i="55"/>
  <c r="H2438" i="55"/>
  <c r="G2438" i="55"/>
  <c r="H2437" i="55"/>
  <c r="G2437" i="55"/>
  <c r="H2436" i="55"/>
  <c r="G2436" i="55"/>
  <c r="H2435" i="55"/>
  <c r="G2435" i="55"/>
  <c r="H2434" i="55"/>
  <c r="G2434" i="55"/>
  <c r="H2433" i="55"/>
  <c r="G2433" i="55"/>
  <c r="H2432" i="55"/>
  <c r="G2432" i="55"/>
  <c r="H2431" i="55"/>
  <c r="G2431" i="55"/>
  <c r="H2430" i="55"/>
  <c r="G2430" i="55"/>
  <c r="H2429" i="55"/>
  <c r="G2429" i="55"/>
  <c r="H2428" i="55"/>
  <c r="G2428" i="55"/>
  <c r="H2427" i="55"/>
  <c r="G2427" i="55"/>
  <c r="H2426" i="55"/>
  <c r="G2426" i="55"/>
  <c r="H2425" i="55"/>
  <c r="G2425" i="55"/>
  <c r="H2424" i="55"/>
  <c r="G2424" i="55"/>
  <c r="H2423" i="55"/>
  <c r="G2423" i="55"/>
  <c r="H2422" i="55"/>
  <c r="G2422" i="55"/>
  <c r="H2421" i="55"/>
  <c r="G2421" i="55"/>
  <c r="H2420" i="55"/>
  <c r="G2420" i="55"/>
  <c r="H2419" i="55"/>
  <c r="G2419" i="55"/>
  <c r="H2418" i="55"/>
  <c r="G2418" i="55"/>
  <c r="H2417" i="55"/>
  <c r="G2417" i="55"/>
  <c r="H2416" i="55"/>
  <c r="G2416" i="55"/>
  <c r="H2415" i="55"/>
  <c r="G2415" i="55"/>
  <c r="H2414" i="55"/>
  <c r="G2414" i="55"/>
  <c r="H2413" i="55"/>
  <c r="G2413" i="55"/>
  <c r="H2412" i="55"/>
  <c r="G2412" i="55"/>
  <c r="H2411" i="55"/>
  <c r="G2411" i="55"/>
  <c r="H2410" i="55"/>
  <c r="G2410" i="55"/>
  <c r="H2409" i="55"/>
  <c r="G2409" i="55"/>
  <c r="H2408" i="55"/>
  <c r="G2408" i="55"/>
  <c r="H2407" i="55"/>
  <c r="G2407" i="55"/>
  <c r="H2406" i="55"/>
  <c r="G2406" i="55"/>
  <c r="H2405" i="55"/>
  <c r="G2405" i="55"/>
  <c r="H2404" i="55"/>
  <c r="G2404" i="55"/>
  <c r="H2403" i="55"/>
  <c r="G2403" i="55"/>
  <c r="H2402" i="55"/>
  <c r="G2402" i="55"/>
  <c r="H2401" i="55"/>
  <c r="G2401" i="55"/>
  <c r="H2400" i="55"/>
  <c r="G2400" i="55"/>
  <c r="H2399" i="55"/>
  <c r="G2399" i="55"/>
  <c r="H2398" i="55"/>
  <c r="G2398" i="55"/>
  <c r="H2397" i="55"/>
  <c r="G2397" i="55"/>
  <c r="H2396" i="55"/>
  <c r="G2396" i="55"/>
  <c r="H2395" i="55"/>
  <c r="G2395" i="55"/>
  <c r="H2394" i="55"/>
  <c r="G2394" i="55"/>
  <c r="H2393" i="55"/>
  <c r="G2393" i="55"/>
  <c r="H2392" i="55"/>
  <c r="G2392" i="55"/>
  <c r="H2391" i="55"/>
  <c r="G2391" i="55"/>
  <c r="H2390" i="55"/>
  <c r="G2390" i="55"/>
  <c r="H2389" i="55"/>
  <c r="G2389" i="55"/>
  <c r="H2388" i="55"/>
  <c r="G2388" i="55"/>
  <c r="H2387" i="55"/>
  <c r="G2387" i="55"/>
  <c r="H2386" i="55"/>
  <c r="G2386" i="55"/>
  <c r="H2385" i="55"/>
  <c r="G2385" i="55"/>
  <c r="H2384" i="55"/>
  <c r="G2384" i="55"/>
  <c r="H2383" i="55"/>
  <c r="G2383" i="55"/>
  <c r="H2382" i="55"/>
  <c r="G2382" i="55"/>
  <c r="H2381" i="55"/>
  <c r="G2381" i="55"/>
  <c r="H2380" i="55"/>
  <c r="G2380" i="55"/>
  <c r="H2379" i="55"/>
  <c r="G2379" i="55"/>
  <c r="H2378" i="55"/>
  <c r="G2378" i="55"/>
  <c r="H2377" i="55"/>
  <c r="G2377" i="55"/>
  <c r="H2376" i="55"/>
  <c r="G2376" i="55"/>
  <c r="H2375" i="55"/>
  <c r="G2375" i="55"/>
  <c r="H2374" i="55"/>
  <c r="G2374" i="55"/>
  <c r="H2373" i="55"/>
  <c r="G2373" i="55"/>
  <c r="H2372" i="55"/>
  <c r="G2372" i="55"/>
  <c r="H2371" i="55"/>
  <c r="G2371" i="55"/>
  <c r="H2370" i="55"/>
  <c r="G2370" i="55"/>
  <c r="H2369" i="55"/>
  <c r="G2369" i="55"/>
  <c r="H2368" i="55"/>
  <c r="G2368" i="55"/>
  <c r="H2367" i="55"/>
  <c r="G2367" i="55"/>
  <c r="H2366" i="55"/>
  <c r="G2366" i="55"/>
  <c r="H2365" i="55"/>
  <c r="G2365" i="55"/>
  <c r="H2364" i="55"/>
  <c r="G2364" i="55"/>
  <c r="H2363" i="55"/>
  <c r="G2363" i="55"/>
  <c r="H2362" i="55"/>
  <c r="G2362" i="55"/>
  <c r="H2361" i="55"/>
  <c r="G2361" i="55"/>
  <c r="H2360" i="55"/>
  <c r="G2360" i="55"/>
  <c r="H2359" i="55"/>
  <c r="G2359" i="55"/>
  <c r="H2358" i="55"/>
  <c r="G2358" i="55"/>
  <c r="H2357" i="55"/>
  <c r="G2357" i="55"/>
  <c r="H2356" i="55"/>
  <c r="G2356" i="55"/>
  <c r="H2355" i="55"/>
  <c r="G2355" i="55"/>
  <c r="H2354" i="55"/>
  <c r="G2354" i="55"/>
  <c r="H2353" i="55"/>
  <c r="G2353" i="55"/>
  <c r="H2352" i="55"/>
  <c r="G2352" i="55"/>
  <c r="H2351" i="55"/>
  <c r="G2351" i="55"/>
  <c r="H2350" i="55"/>
  <c r="G2350" i="55"/>
  <c r="H2349" i="55"/>
  <c r="G2349" i="55"/>
  <c r="H2348" i="55"/>
  <c r="G2348" i="55"/>
  <c r="H2347" i="55"/>
  <c r="G2347" i="55"/>
  <c r="H2346" i="55"/>
  <c r="G2346" i="55"/>
  <c r="H2345" i="55"/>
  <c r="G2345" i="55"/>
  <c r="H2344" i="55"/>
  <c r="G2344" i="55"/>
  <c r="H2343" i="55"/>
  <c r="G2343" i="55"/>
  <c r="H2342" i="55"/>
  <c r="G2342" i="55"/>
  <c r="H2341" i="55"/>
  <c r="G2341" i="55"/>
  <c r="H2340" i="55"/>
  <c r="G2340" i="55"/>
  <c r="H2339" i="55"/>
  <c r="G2339" i="55"/>
  <c r="H2338" i="55"/>
  <c r="G2338" i="55"/>
  <c r="H2337" i="55"/>
  <c r="G2337" i="55"/>
  <c r="H2336" i="55"/>
  <c r="G2336" i="55"/>
  <c r="H2335" i="55"/>
  <c r="G2335" i="55"/>
  <c r="H2334" i="55"/>
  <c r="G2334" i="55"/>
  <c r="H2333" i="55"/>
  <c r="G2333" i="55"/>
  <c r="H2332" i="55"/>
  <c r="G2332" i="55"/>
  <c r="H2331" i="55"/>
  <c r="G2331" i="55"/>
  <c r="H2330" i="55"/>
  <c r="G2330" i="55"/>
  <c r="H2329" i="55"/>
  <c r="G2329" i="55"/>
  <c r="H2328" i="55"/>
  <c r="G2328" i="55"/>
  <c r="H2327" i="55"/>
  <c r="G2327" i="55"/>
  <c r="H2326" i="55"/>
  <c r="G2326" i="55"/>
  <c r="H2325" i="55"/>
  <c r="G2325" i="55"/>
  <c r="H2324" i="55"/>
  <c r="G2324" i="55"/>
  <c r="H2323" i="55"/>
  <c r="G2323" i="55"/>
  <c r="H2322" i="55"/>
  <c r="G2322" i="55"/>
  <c r="H2321" i="55"/>
  <c r="G2321" i="55"/>
  <c r="H2320" i="55"/>
  <c r="G2320" i="55"/>
  <c r="H2319" i="55"/>
  <c r="G2319" i="55"/>
  <c r="H2318" i="55"/>
  <c r="G2318" i="55"/>
  <c r="H2317" i="55"/>
  <c r="G2317" i="55"/>
  <c r="H2316" i="55"/>
  <c r="G2316" i="55"/>
  <c r="H2315" i="55"/>
  <c r="G2315" i="55"/>
  <c r="H2314" i="55"/>
  <c r="G2314" i="55"/>
  <c r="H2313" i="55"/>
  <c r="G2313" i="55"/>
  <c r="H2312" i="55"/>
  <c r="G2312" i="55"/>
  <c r="H2311" i="55"/>
  <c r="G2311" i="55"/>
  <c r="H2310" i="55"/>
  <c r="G2310" i="55"/>
  <c r="H2309" i="55"/>
  <c r="G2309" i="55"/>
  <c r="H2308" i="55"/>
  <c r="G2308" i="55"/>
  <c r="H2307" i="55"/>
  <c r="G2307" i="55"/>
  <c r="H2306" i="55"/>
  <c r="G2306" i="55"/>
  <c r="H2305" i="55"/>
  <c r="G2305" i="55"/>
  <c r="H2304" i="55"/>
  <c r="G2304" i="55"/>
  <c r="H2303" i="55"/>
  <c r="G2303" i="55"/>
  <c r="H2302" i="55"/>
  <c r="G2302" i="55"/>
  <c r="H2301" i="55"/>
  <c r="G2301" i="55"/>
  <c r="H2300" i="55"/>
  <c r="G2300" i="55"/>
  <c r="H2299" i="55"/>
  <c r="G2299" i="55"/>
  <c r="H2298" i="55"/>
  <c r="G2298" i="55"/>
  <c r="H2297" i="55"/>
  <c r="G2297" i="55"/>
  <c r="H2296" i="55"/>
  <c r="G2296" i="55"/>
  <c r="H2295" i="55"/>
  <c r="G2295" i="55"/>
  <c r="H2294" i="55"/>
  <c r="G2294" i="55"/>
  <c r="H2293" i="55"/>
  <c r="G2293" i="55"/>
  <c r="H2292" i="55"/>
  <c r="G2292" i="55"/>
  <c r="H2291" i="55"/>
  <c r="G2291" i="55"/>
  <c r="H2290" i="55"/>
  <c r="G2290" i="55"/>
  <c r="H2289" i="55"/>
  <c r="G2289" i="55"/>
  <c r="H2288" i="55"/>
  <c r="G2288" i="55"/>
  <c r="H2287" i="55"/>
  <c r="G2287" i="55"/>
  <c r="H2286" i="55"/>
  <c r="G2286" i="55"/>
  <c r="H2285" i="55"/>
  <c r="G2285" i="55"/>
  <c r="H2284" i="55"/>
  <c r="G2284" i="55"/>
  <c r="H2283" i="55"/>
  <c r="G2283" i="55"/>
  <c r="H2282" i="55"/>
  <c r="G2282" i="55"/>
  <c r="H2281" i="55"/>
  <c r="G2281" i="55"/>
  <c r="H2280" i="55"/>
  <c r="G2280" i="55"/>
  <c r="H2279" i="55"/>
  <c r="G2279" i="55"/>
  <c r="H2278" i="55"/>
  <c r="G2278" i="55"/>
  <c r="H2277" i="55"/>
  <c r="G2277" i="55"/>
  <c r="H2276" i="55"/>
  <c r="G2276" i="55"/>
  <c r="H2275" i="55"/>
  <c r="G2275" i="55"/>
  <c r="H2274" i="55"/>
  <c r="G2274" i="55"/>
  <c r="H2273" i="55"/>
  <c r="G2273" i="55"/>
  <c r="H2272" i="55"/>
  <c r="G2272" i="55"/>
  <c r="H2271" i="55"/>
  <c r="G2271" i="55"/>
  <c r="H2270" i="55"/>
  <c r="G2270" i="55"/>
  <c r="H2269" i="55"/>
  <c r="G2269" i="55"/>
  <c r="H2268" i="55"/>
  <c r="G2268" i="55"/>
  <c r="H2267" i="55"/>
  <c r="G2267" i="55"/>
  <c r="H2266" i="55"/>
  <c r="G2266" i="55"/>
  <c r="H2265" i="55"/>
  <c r="G2265" i="55"/>
  <c r="H2264" i="55"/>
  <c r="G2264" i="55"/>
  <c r="H2263" i="55"/>
  <c r="G2263" i="55"/>
  <c r="H2262" i="55"/>
  <c r="G2262" i="55"/>
  <c r="H2261" i="55"/>
  <c r="G2261" i="55"/>
  <c r="H2260" i="55"/>
  <c r="G2260" i="55"/>
  <c r="H2259" i="55"/>
  <c r="G2259" i="55"/>
  <c r="H2258" i="55"/>
  <c r="G2258" i="55"/>
  <c r="H2257" i="55"/>
  <c r="G2257" i="55"/>
  <c r="H2256" i="55"/>
  <c r="G2256" i="55"/>
  <c r="H2255" i="55"/>
  <c r="G2255" i="55"/>
  <c r="H2254" i="55"/>
  <c r="G2254" i="55"/>
  <c r="H2253" i="55"/>
  <c r="G2253" i="55"/>
  <c r="H2252" i="55"/>
  <c r="G2252" i="55"/>
  <c r="H2251" i="55"/>
  <c r="G2251" i="55"/>
  <c r="H2250" i="55"/>
  <c r="G2250" i="55"/>
  <c r="H2249" i="55"/>
  <c r="G2249" i="55"/>
  <c r="H2248" i="55"/>
  <c r="G2248" i="55"/>
  <c r="H2247" i="55"/>
  <c r="G2247" i="55"/>
  <c r="H2246" i="55"/>
  <c r="G2246" i="55"/>
  <c r="H2245" i="55"/>
  <c r="G2245" i="55"/>
  <c r="H2244" i="55"/>
  <c r="G2244" i="55"/>
  <c r="H2243" i="55"/>
  <c r="G2243" i="55"/>
  <c r="H2242" i="55"/>
  <c r="G2242" i="55"/>
  <c r="H2241" i="55"/>
  <c r="G2241" i="55"/>
  <c r="H2240" i="55"/>
  <c r="G2240" i="55"/>
  <c r="H2239" i="55"/>
  <c r="G2239" i="55"/>
  <c r="H2238" i="55"/>
  <c r="G2238" i="55"/>
  <c r="H2237" i="55"/>
  <c r="G2237" i="55"/>
  <c r="H2236" i="55"/>
  <c r="G2236" i="55"/>
  <c r="H2235" i="55"/>
  <c r="G2235" i="55"/>
  <c r="H2234" i="55"/>
  <c r="G2234" i="55"/>
  <c r="H2233" i="55"/>
  <c r="G2233" i="55"/>
  <c r="H2232" i="55"/>
  <c r="G2232" i="55"/>
  <c r="H2231" i="55"/>
  <c r="G2231" i="55"/>
  <c r="H2230" i="55"/>
  <c r="G2230" i="55"/>
  <c r="H2229" i="55"/>
  <c r="G2229" i="55"/>
  <c r="H2228" i="55"/>
  <c r="G2228" i="55"/>
  <c r="H2227" i="55"/>
  <c r="G2227" i="55"/>
  <c r="H2226" i="55"/>
  <c r="G2226" i="55"/>
  <c r="H2225" i="55"/>
  <c r="G2225" i="55"/>
  <c r="H2224" i="55"/>
  <c r="G2224" i="55"/>
  <c r="H2223" i="55"/>
  <c r="G2223" i="55"/>
  <c r="H2222" i="55"/>
  <c r="G2222" i="55"/>
  <c r="H2221" i="55"/>
  <c r="G2221" i="55"/>
  <c r="H2220" i="55"/>
  <c r="G2220" i="55"/>
  <c r="H2219" i="55"/>
  <c r="G2219" i="55"/>
  <c r="H2218" i="55"/>
  <c r="G2218" i="55"/>
  <c r="H2217" i="55"/>
  <c r="G2217" i="55"/>
  <c r="H2216" i="55"/>
  <c r="G2216" i="55"/>
  <c r="H2215" i="55"/>
  <c r="G2215" i="55"/>
  <c r="H2214" i="55"/>
  <c r="G2214" i="55"/>
  <c r="H2213" i="55"/>
  <c r="G2213" i="55"/>
  <c r="H2212" i="55"/>
  <c r="G2212" i="55"/>
  <c r="H2211" i="55"/>
  <c r="G2211" i="55"/>
  <c r="H2210" i="55"/>
  <c r="G2210" i="55"/>
  <c r="H2209" i="55"/>
  <c r="G2209" i="55"/>
  <c r="H2208" i="55"/>
  <c r="G2208" i="55"/>
  <c r="H2207" i="55"/>
  <c r="G2207" i="55"/>
  <c r="H2206" i="55"/>
  <c r="G2206" i="55"/>
  <c r="H2205" i="55"/>
  <c r="G2205" i="55"/>
  <c r="H2204" i="55"/>
  <c r="G2204" i="55"/>
  <c r="H2203" i="55"/>
  <c r="G2203" i="55"/>
  <c r="H2202" i="55"/>
  <c r="G2202" i="55"/>
  <c r="H2201" i="55"/>
  <c r="G2201" i="55"/>
  <c r="H2200" i="55"/>
  <c r="G2200" i="55"/>
  <c r="H2199" i="55"/>
  <c r="G2199" i="55"/>
  <c r="H2198" i="55"/>
  <c r="G2198" i="55"/>
  <c r="H2197" i="55"/>
  <c r="G2197" i="55"/>
  <c r="H2196" i="55"/>
  <c r="G2196" i="55"/>
  <c r="H2195" i="55"/>
  <c r="G2195" i="55"/>
  <c r="H2194" i="55"/>
  <c r="G2194" i="55"/>
  <c r="H2193" i="55"/>
  <c r="G2193" i="55"/>
  <c r="H2192" i="55"/>
  <c r="G2192" i="55"/>
  <c r="H2191" i="55"/>
  <c r="G2191" i="55"/>
  <c r="H2190" i="55"/>
  <c r="G2190" i="55"/>
  <c r="H2189" i="55"/>
  <c r="G2189" i="55"/>
  <c r="H2188" i="55"/>
  <c r="G2188" i="55"/>
  <c r="H2187" i="55"/>
  <c r="G2187" i="55"/>
  <c r="H2186" i="55"/>
  <c r="G2186" i="55"/>
  <c r="H2185" i="55"/>
  <c r="G2185" i="55"/>
  <c r="H2184" i="55"/>
  <c r="G2184" i="55"/>
  <c r="H2183" i="55"/>
  <c r="G2183" i="55"/>
  <c r="H2182" i="55"/>
  <c r="G2182" i="55"/>
  <c r="H2181" i="55"/>
  <c r="G2181" i="55"/>
  <c r="H2180" i="55"/>
  <c r="G2180" i="55"/>
  <c r="H2179" i="55"/>
  <c r="G2179" i="55"/>
  <c r="H2178" i="55"/>
  <c r="G2178" i="55"/>
  <c r="H2177" i="55"/>
  <c r="G2177" i="55"/>
  <c r="H2176" i="55"/>
  <c r="G2176" i="55"/>
  <c r="H2175" i="55"/>
  <c r="G2175" i="55"/>
  <c r="H2174" i="55"/>
  <c r="G2174" i="55"/>
  <c r="H2173" i="55"/>
  <c r="G2173" i="55"/>
  <c r="H2172" i="55"/>
  <c r="G2172" i="55"/>
  <c r="H2171" i="55"/>
  <c r="G2171" i="55"/>
  <c r="H2170" i="55"/>
  <c r="G2170" i="55"/>
  <c r="H2169" i="55"/>
  <c r="G2169" i="55"/>
  <c r="H2168" i="55"/>
  <c r="G2168" i="55"/>
  <c r="H2167" i="55"/>
  <c r="G2167" i="55"/>
  <c r="H2166" i="55"/>
  <c r="G2166" i="55"/>
  <c r="H2165" i="55"/>
  <c r="G2165" i="55"/>
  <c r="H2164" i="55"/>
  <c r="G2164" i="55"/>
  <c r="H2163" i="55"/>
  <c r="G2163" i="55"/>
  <c r="H2162" i="55"/>
  <c r="G2162" i="55"/>
  <c r="H2161" i="55"/>
  <c r="G2161" i="55"/>
  <c r="H2160" i="55"/>
  <c r="G2160" i="55"/>
  <c r="H2159" i="55"/>
  <c r="G2159" i="55"/>
  <c r="H2158" i="55"/>
  <c r="G2158" i="55"/>
  <c r="H2157" i="55"/>
  <c r="G2157" i="55"/>
  <c r="H2156" i="55"/>
  <c r="G2156" i="55"/>
  <c r="H2155" i="55"/>
  <c r="G2155" i="55"/>
  <c r="H2154" i="55"/>
  <c r="G2154" i="55"/>
  <c r="H2153" i="55"/>
  <c r="G2153" i="55"/>
  <c r="H2152" i="55"/>
  <c r="G2152" i="55"/>
  <c r="H2151" i="55"/>
  <c r="G2151" i="55"/>
  <c r="H2150" i="55"/>
  <c r="G2150" i="55"/>
  <c r="H2149" i="55"/>
  <c r="G2149" i="55"/>
  <c r="H2148" i="55"/>
  <c r="G2148" i="55"/>
  <c r="H2147" i="55"/>
  <c r="G2147" i="55"/>
  <c r="H2146" i="55"/>
  <c r="G2146" i="55"/>
  <c r="H2145" i="55"/>
  <c r="G2145" i="55"/>
  <c r="H2144" i="55"/>
  <c r="G2144" i="55"/>
  <c r="H2143" i="55"/>
  <c r="G2143" i="55"/>
  <c r="H2142" i="55"/>
  <c r="G2142" i="55"/>
  <c r="H2141" i="55"/>
  <c r="G2141" i="55"/>
  <c r="H2140" i="55"/>
  <c r="G2140" i="55"/>
  <c r="H2139" i="55"/>
  <c r="G2139" i="55"/>
  <c r="H2138" i="55"/>
  <c r="G2138" i="55"/>
  <c r="H2137" i="55"/>
  <c r="G2137" i="55"/>
  <c r="H2136" i="55"/>
  <c r="G2136" i="55"/>
  <c r="H2135" i="55"/>
  <c r="G2135" i="55"/>
  <c r="H2134" i="55"/>
  <c r="G2134" i="55"/>
  <c r="H2133" i="55"/>
  <c r="G2133" i="55"/>
  <c r="H2132" i="55"/>
  <c r="G2132" i="55"/>
  <c r="H2131" i="55"/>
  <c r="G2131" i="55"/>
  <c r="H2130" i="55"/>
  <c r="G2130" i="55"/>
  <c r="H2129" i="55"/>
  <c r="G2129" i="55"/>
  <c r="H2128" i="55"/>
  <c r="G2128" i="55"/>
  <c r="H2127" i="55"/>
  <c r="G2127" i="55"/>
  <c r="H2126" i="55"/>
  <c r="G2126" i="55"/>
  <c r="H2125" i="55"/>
  <c r="G2125" i="55"/>
  <c r="H2124" i="55"/>
  <c r="G2124" i="55"/>
  <c r="H2123" i="55"/>
  <c r="G2123" i="55"/>
  <c r="H2122" i="55"/>
  <c r="G2122" i="55"/>
  <c r="H2121" i="55"/>
  <c r="G2121" i="55"/>
  <c r="H2120" i="55"/>
  <c r="G2120" i="55"/>
  <c r="H2119" i="55"/>
  <c r="G2119" i="55"/>
  <c r="H2118" i="55"/>
  <c r="G2118" i="55"/>
  <c r="H2117" i="55"/>
  <c r="G2117" i="55"/>
  <c r="H2116" i="55"/>
  <c r="G2116" i="55"/>
  <c r="H2115" i="55"/>
  <c r="G2115" i="55"/>
  <c r="H2114" i="55"/>
  <c r="G2114" i="55"/>
  <c r="H2113" i="55"/>
  <c r="G2113" i="55"/>
  <c r="H2112" i="55"/>
  <c r="G2112" i="55"/>
  <c r="H2111" i="55"/>
  <c r="G2111" i="55"/>
  <c r="H2110" i="55"/>
  <c r="G2110" i="55"/>
  <c r="H2109" i="55"/>
  <c r="G2109" i="55"/>
  <c r="H2108" i="55"/>
  <c r="G2108" i="55"/>
  <c r="H2107" i="55"/>
  <c r="G2107" i="55"/>
  <c r="H2106" i="55"/>
  <c r="G2106" i="55"/>
  <c r="H2105" i="55"/>
  <c r="G2105" i="55"/>
  <c r="H2104" i="55"/>
  <c r="G2104" i="55"/>
  <c r="H2103" i="55"/>
  <c r="G2103" i="55"/>
  <c r="H2102" i="55"/>
  <c r="G2102" i="55"/>
  <c r="H2101" i="55"/>
  <c r="G2101" i="55"/>
  <c r="H2100" i="55"/>
  <c r="G2100" i="55"/>
  <c r="H2099" i="55"/>
  <c r="G2099" i="55"/>
  <c r="H2098" i="55"/>
  <c r="G2098" i="55"/>
  <c r="H2097" i="55"/>
  <c r="G2097" i="55"/>
  <c r="H2096" i="55"/>
  <c r="G2096" i="55"/>
  <c r="H2095" i="55"/>
  <c r="G2095" i="55"/>
  <c r="H2094" i="55"/>
  <c r="G2094" i="55"/>
  <c r="H2093" i="55"/>
  <c r="G2093" i="55"/>
  <c r="H2092" i="55"/>
  <c r="G2092" i="55"/>
  <c r="H2091" i="55"/>
  <c r="G2091" i="55"/>
  <c r="H2090" i="55"/>
  <c r="G2090" i="55"/>
  <c r="H2089" i="55"/>
  <c r="G2089" i="55"/>
  <c r="H2088" i="55"/>
  <c r="G2088" i="55"/>
  <c r="H2087" i="55"/>
  <c r="G2087" i="55"/>
  <c r="H2086" i="55"/>
  <c r="G2086" i="55"/>
  <c r="H2085" i="55"/>
  <c r="G2085" i="55"/>
  <c r="H2084" i="55"/>
  <c r="G2084" i="55"/>
  <c r="H2083" i="55"/>
  <c r="G2083" i="55"/>
  <c r="H2082" i="55"/>
  <c r="G2082" i="55"/>
  <c r="H2081" i="55"/>
  <c r="G2081" i="55"/>
  <c r="H2080" i="55"/>
  <c r="G2080" i="55"/>
  <c r="H2079" i="55"/>
  <c r="G2079" i="55"/>
  <c r="H2078" i="55"/>
  <c r="G2078" i="55"/>
  <c r="H2077" i="55"/>
  <c r="G2077" i="55"/>
  <c r="H2076" i="55"/>
  <c r="G2076" i="55"/>
  <c r="H2075" i="55"/>
  <c r="G2075" i="55"/>
  <c r="H2074" i="55"/>
  <c r="G2074" i="55"/>
  <c r="H2073" i="55"/>
  <c r="G2073" i="55"/>
  <c r="H2072" i="55"/>
  <c r="G2072" i="55"/>
  <c r="H2071" i="55"/>
  <c r="G2071" i="55"/>
  <c r="H2070" i="55"/>
  <c r="G2070" i="55"/>
  <c r="H2069" i="55"/>
  <c r="G2069" i="55"/>
  <c r="H2068" i="55"/>
  <c r="G2068" i="55"/>
  <c r="H2067" i="55"/>
  <c r="G2067" i="55"/>
  <c r="H2066" i="55"/>
  <c r="G2066" i="55"/>
  <c r="H2065" i="55"/>
  <c r="G2065" i="55"/>
  <c r="H2064" i="55"/>
  <c r="G2064" i="55"/>
  <c r="H2063" i="55"/>
  <c r="G2063" i="55"/>
  <c r="H2062" i="55"/>
  <c r="G2062" i="55"/>
  <c r="H2061" i="55"/>
  <c r="G2061" i="55"/>
  <c r="H2060" i="55"/>
  <c r="G2060" i="55"/>
  <c r="H2059" i="55"/>
  <c r="G2059" i="55"/>
  <c r="H2058" i="55"/>
  <c r="G2058" i="55"/>
  <c r="H2057" i="55"/>
  <c r="G2057" i="55"/>
  <c r="H2056" i="55"/>
  <c r="G2056" i="55"/>
  <c r="H2055" i="55"/>
  <c r="G2055" i="55"/>
  <c r="H2054" i="55"/>
  <c r="G2054" i="55"/>
  <c r="H2053" i="55"/>
  <c r="G2053" i="55"/>
  <c r="H2052" i="55"/>
  <c r="G2052" i="55"/>
  <c r="H2051" i="55"/>
  <c r="G2051" i="55"/>
  <c r="H2050" i="55"/>
  <c r="G2050" i="55"/>
  <c r="H2049" i="55"/>
  <c r="G2049" i="55"/>
  <c r="H2048" i="55"/>
  <c r="G2048" i="55"/>
  <c r="H2047" i="55"/>
  <c r="G2047" i="55"/>
  <c r="H2046" i="55"/>
  <c r="G2046" i="55"/>
  <c r="H2045" i="55"/>
  <c r="G2045" i="55"/>
  <c r="H2044" i="55"/>
  <c r="G2044" i="55"/>
  <c r="H2043" i="55"/>
  <c r="G2043" i="55"/>
  <c r="H2042" i="55"/>
  <c r="G2042" i="55"/>
  <c r="H2041" i="55"/>
  <c r="G2041" i="55"/>
  <c r="H2040" i="55"/>
  <c r="G2040" i="55"/>
  <c r="H2039" i="55"/>
  <c r="G2039" i="55"/>
  <c r="H2038" i="55"/>
  <c r="G2038" i="55"/>
  <c r="H2037" i="55"/>
  <c r="G2037" i="55"/>
  <c r="H2036" i="55"/>
  <c r="G2036" i="55"/>
  <c r="H2035" i="55"/>
  <c r="G2035" i="55"/>
  <c r="H2034" i="55"/>
  <c r="G2034" i="55"/>
  <c r="H2033" i="55"/>
  <c r="G2033" i="55"/>
  <c r="H2032" i="55"/>
  <c r="G2032" i="55"/>
  <c r="H2031" i="55"/>
  <c r="G2031" i="55"/>
  <c r="H2030" i="55"/>
  <c r="G2030" i="55"/>
  <c r="H2029" i="55"/>
  <c r="G2029" i="55"/>
  <c r="H2028" i="55"/>
  <c r="G2028" i="55"/>
  <c r="H2027" i="55"/>
  <c r="G2027" i="55"/>
  <c r="H2026" i="55"/>
  <c r="G2026" i="55"/>
  <c r="H2025" i="55"/>
  <c r="G2025" i="55"/>
  <c r="H2024" i="55"/>
  <c r="G2024" i="55"/>
  <c r="H2023" i="55"/>
  <c r="G2023" i="55"/>
  <c r="H2022" i="55"/>
  <c r="G2022" i="55"/>
  <c r="H2021" i="55"/>
  <c r="G2021" i="55"/>
  <c r="H2020" i="55"/>
  <c r="G2020" i="55"/>
  <c r="H2019" i="55"/>
  <c r="G2019" i="55"/>
  <c r="H2018" i="55"/>
  <c r="G2018" i="55"/>
  <c r="H2017" i="55"/>
  <c r="G2017" i="55"/>
  <c r="H2016" i="55"/>
  <c r="G2016" i="55"/>
  <c r="H2015" i="55"/>
  <c r="G2015" i="55"/>
  <c r="H2014" i="55"/>
  <c r="G2014" i="55"/>
  <c r="H2013" i="55"/>
  <c r="G2013" i="55"/>
  <c r="H2012" i="55"/>
  <c r="G2012" i="55"/>
  <c r="H2011" i="55"/>
  <c r="G2011" i="55"/>
  <c r="H2010" i="55"/>
  <c r="G2010" i="55"/>
  <c r="H2009" i="55"/>
  <c r="G2009" i="55"/>
  <c r="H2008" i="55"/>
  <c r="G2008" i="55"/>
  <c r="H2007" i="55"/>
  <c r="G2007" i="55"/>
  <c r="H2006" i="55"/>
  <c r="G2006" i="55"/>
  <c r="H2005" i="55"/>
  <c r="G2005" i="55"/>
  <c r="H2004" i="55"/>
  <c r="G2004" i="55"/>
  <c r="H2003" i="55"/>
  <c r="G2003" i="55"/>
  <c r="H2002" i="55"/>
  <c r="G2002" i="55"/>
  <c r="H2001" i="55"/>
  <c r="G2001" i="55"/>
  <c r="H2000" i="55"/>
  <c r="G2000" i="55"/>
  <c r="H1999" i="55"/>
  <c r="G1999" i="55"/>
  <c r="H1998" i="55"/>
  <c r="G1998" i="55"/>
  <c r="H1997" i="55"/>
  <c r="G1997" i="55"/>
  <c r="H1996" i="55"/>
  <c r="G1996" i="55"/>
  <c r="H1995" i="55"/>
  <c r="G1995" i="55"/>
  <c r="H1994" i="55"/>
  <c r="G1994" i="55"/>
  <c r="H1993" i="55"/>
  <c r="G1993" i="55"/>
  <c r="H1992" i="55"/>
  <c r="G1992" i="55"/>
  <c r="H1991" i="55"/>
  <c r="G1991" i="55"/>
  <c r="H1990" i="55"/>
  <c r="G1990" i="55"/>
  <c r="H1989" i="55"/>
  <c r="G1989" i="55"/>
  <c r="H1988" i="55"/>
  <c r="G1988" i="55"/>
  <c r="H1987" i="55"/>
  <c r="G1987" i="55"/>
  <c r="H1986" i="55"/>
  <c r="G1986" i="55"/>
  <c r="H1985" i="55"/>
  <c r="G1985" i="55"/>
  <c r="H1984" i="55"/>
  <c r="G1984" i="55"/>
  <c r="H1983" i="55"/>
  <c r="G1983" i="55"/>
  <c r="H1982" i="55"/>
  <c r="G1982" i="55"/>
  <c r="H1981" i="55"/>
  <c r="G1981" i="55"/>
  <c r="H1980" i="55"/>
  <c r="G1980" i="55"/>
  <c r="H1979" i="55"/>
  <c r="G1979" i="55"/>
  <c r="H1978" i="55"/>
  <c r="G1978" i="55"/>
  <c r="H1977" i="55"/>
  <c r="G1977" i="55"/>
  <c r="H1976" i="55"/>
  <c r="G1976" i="55"/>
  <c r="H1975" i="55"/>
  <c r="G1975" i="55"/>
  <c r="H1974" i="55"/>
  <c r="G1974" i="55"/>
  <c r="H1973" i="55"/>
  <c r="G1973" i="55"/>
  <c r="H1972" i="55"/>
  <c r="G1972" i="55"/>
  <c r="H1971" i="55"/>
  <c r="G1971" i="55"/>
  <c r="H1970" i="55"/>
  <c r="G1970" i="55"/>
  <c r="H1969" i="55"/>
  <c r="G1969" i="55"/>
  <c r="H1968" i="55"/>
  <c r="G1968" i="55"/>
  <c r="H1967" i="55"/>
  <c r="G1967" i="55"/>
  <c r="H1966" i="55"/>
  <c r="G1966" i="55"/>
  <c r="H1965" i="55"/>
  <c r="G1965" i="55"/>
  <c r="H1964" i="55"/>
  <c r="G1964" i="55"/>
  <c r="H1963" i="55"/>
  <c r="G1963" i="55"/>
  <c r="H1962" i="55"/>
  <c r="G1962" i="55"/>
  <c r="H1961" i="55"/>
  <c r="G1961" i="55"/>
  <c r="H1960" i="55"/>
  <c r="G1960" i="55"/>
  <c r="H1959" i="55"/>
  <c r="G1959" i="55"/>
  <c r="H1958" i="55"/>
  <c r="G1958" i="55"/>
  <c r="H1957" i="55"/>
  <c r="G1957" i="55"/>
  <c r="H1956" i="55"/>
  <c r="G1956" i="55"/>
  <c r="H1955" i="55"/>
  <c r="G1955" i="55"/>
  <c r="H1954" i="55"/>
  <c r="G1954" i="55"/>
  <c r="H1953" i="55"/>
  <c r="G1953" i="55"/>
  <c r="H1952" i="55"/>
  <c r="G1952" i="55"/>
  <c r="H1951" i="55"/>
  <c r="G1951" i="55"/>
  <c r="H1950" i="55"/>
  <c r="G1950" i="55"/>
  <c r="H1949" i="55"/>
  <c r="G1949" i="55"/>
  <c r="H1948" i="55"/>
  <c r="G1948" i="55"/>
  <c r="H1947" i="55"/>
  <c r="G1947" i="55"/>
  <c r="H1946" i="55"/>
  <c r="G1946" i="55"/>
  <c r="H1945" i="55"/>
  <c r="G1945" i="55"/>
  <c r="H1944" i="55"/>
  <c r="G1944" i="55"/>
  <c r="H1943" i="55"/>
  <c r="G1943" i="55"/>
  <c r="H1942" i="55"/>
  <c r="G1942" i="55"/>
  <c r="H1941" i="55"/>
  <c r="G1941" i="55"/>
  <c r="H1940" i="55"/>
  <c r="G1940" i="55"/>
  <c r="H1939" i="55"/>
  <c r="G1939" i="55"/>
  <c r="H1938" i="55"/>
  <c r="G1938" i="55"/>
  <c r="H1937" i="55"/>
  <c r="G1937" i="55"/>
  <c r="H1936" i="55"/>
  <c r="G1936" i="55"/>
  <c r="H1935" i="55"/>
  <c r="G1935" i="55"/>
  <c r="H1934" i="55"/>
  <c r="G1934" i="55"/>
  <c r="H1933" i="55"/>
  <c r="G1933" i="55"/>
  <c r="H1932" i="55"/>
  <c r="G1932" i="55"/>
  <c r="H1931" i="55"/>
  <c r="G1931" i="55"/>
  <c r="H1930" i="55"/>
  <c r="G1930" i="55"/>
  <c r="H1929" i="55"/>
  <c r="G1929" i="55"/>
  <c r="H1928" i="55"/>
  <c r="G1928" i="55"/>
  <c r="H1927" i="55"/>
  <c r="G1927" i="55"/>
  <c r="H1926" i="55"/>
  <c r="G1926" i="55"/>
  <c r="H1925" i="55"/>
  <c r="G1925" i="55"/>
  <c r="H1924" i="55"/>
  <c r="G1924" i="55"/>
  <c r="H1923" i="55"/>
  <c r="G1923" i="55"/>
  <c r="H1922" i="55"/>
  <c r="G1922" i="55"/>
  <c r="H1921" i="55"/>
  <c r="G1921" i="55"/>
  <c r="H1920" i="55"/>
  <c r="G1920" i="55"/>
  <c r="H1919" i="55"/>
  <c r="G1919" i="55"/>
  <c r="H1918" i="55"/>
  <c r="G1918" i="55"/>
  <c r="H1917" i="55"/>
  <c r="G1917" i="55"/>
  <c r="H1916" i="55"/>
  <c r="G1916" i="55"/>
  <c r="H1915" i="55"/>
  <c r="G1915" i="55"/>
  <c r="H1914" i="55"/>
  <c r="G1914" i="55"/>
  <c r="H1913" i="55"/>
  <c r="G1913" i="55"/>
  <c r="H1912" i="55"/>
  <c r="G1912" i="55"/>
  <c r="H1911" i="55"/>
  <c r="G1911" i="55"/>
  <c r="H1910" i="55"/>
  <c r="G1910" i="55"/>
  <c r="H1909" i="55"/>
  <c r="G1909" i="55"/>
  <c r="H1908" i="55"/>
  <c r="G1908" i="55"/>
  <c r="H1907" i="55"/>
  <c r="G1907" i="55"/>
  <c r="H1906" i="55"/>
  <c r="G1906" i="55"/>
  <c r="H1905" i="55"/>
  <c r="G1905" i="55"/>
  <c r="H1904" i="55"/>
  <c r="G1904" i="55"/>
  <c r="H1903" i="55"/>
  <c r="G1903" i="55"/>
  <c r="H1902" i="55"/>
  <c r="G1902" i="55"/>
  <c r="H1901" i="55"/>
  <c r="G1901" i="55"/>
  <c r="H1900" i="55"/>
  <c r="G1900" i="55"/>
  <c r="H1899" i="55"/>
  <c r="G1899" i="55"/>
  <c r="H1898" i="55"/>
  <c r="G1898" i="55"/>
  <c r="H1897" i="55"/>
  <c r="G1897" i="55"/>
  <c r="H1896" i="55"/>
  <c r="G1896" i="55"/>
  <c r="H1895" i="55"/>
  <c r="G1895" i="55"/>
  <c r="H1894" i="55"/>
  <c r="G1894" i="55"/>
  <c r="H1893" i="55"/>
  <c r="G1893" i="55"/>
  <c r="H1892" i="55"/>
  <c r="G1892" i="55"/>
  <c r="H1891" i="55"/>
  <c r="G1891" i="55"/>
  <c r="H1890" i="55"/>
  <c r="G1890" i="55"/>
  <c r="H1889" i="55"/>
  <c r="G1889" i="55"/>
  <c r="H1888" i="55"/>
  <c r="G1888" i="55"/>
  <c r="H1887" i="55"/>
  <c r="G1887" i="55"/>
  <c r="H1886" i="55"/>
  <c r="G1886" i="55"/>
  <c r="H1885" i="55"/>
  <c r="G1885" i="55"/>
  <c r="H1884" i="55"/>
  <c r="G1884" i="55"/>
  <c r="H1883" i="55"/>
  <c r="G1883" i="55"/>
  <c r="H1882" i="55"/>
  <c r="G1882" i="55"/>
  <c r="H1881" i="55"/>
  <c r="G1881" i="55"/>
  <c r="H1880" i="55"/>
  <c r="G1880" i="55"/>
  <c r="H1879" i="55"/>
  <c r="G1879" i="55"/>
  <c r="H1878" i="55"/>
  <c r="G1878" i="55"/>
  <c r="H1877" i="55"/>
  <c r="G1877" i="55"/>
  <c r="H1876" i="55"/>
  <c r="G1876" i="55"/>
  <c r="H1875" i="55"/>
  <c r="G1875" i="55"/>
  <c r="H1874" i="55"/>
  <c r="G1874" i="55"/>
  <c r="H1873" i="55"/>
  <c r="G1873" i="55"/>
  <c r="H1872" i="55"/>
  <c r="G1872" i="55"/>
  <c r="H1871" i="55"/>
  <c r="G1871" i="55"/>
  <c r="H1870" i="55"/>
  <c r="G1870" i="55"/>
  <c r="H1869" i="55"/>
  <c r="G1869" i="55"/>
  <c r="H1868" i="55"/>
  <c r="G1868" i="55"/>
  <c r="H1867" i="55"/>
  <c r="G1867" i="55"/>
  <c r="H1866" i="55"/>
  <c r="G1866" i="55"/>
  <c r="H1865" i="55"/>
  <c r="G1865" i="55"/>
  <c r="H1864" i="55"/>
  <c r="G1864" i="55"/>
  <c r="H1863" i="55"/>
  <c r="G1863" i="55"/>
  <c r="H1862" i="55"/>
  <c r="G1862" i="55"/>
  <c r="H1861" i="55"/>
  <c r="G1861" i="55"/>
  <c r="H1860" i="55"/>
  <c r="G1860" i="55"/>
  <c r="H1859" i="55"/>
  <c r="G1859" i="55"/>
  <c r="H1858" i="55"/>
  <c r="G1858" i="55"/>
  <c r="H1857" i="55"/>
  <c r="G1857" i="55"/>
  <c r="H1856" i="55"/>
  <c r="G1856" i="55"/>
  <c r="H1855" i="55"/>
  <c r="G1855" i="55"/>
  <c r="H1854" i="55"/>
  <c r="G1854" i="55"/>
  <c r="H1853" i="55"/>
  <c r="G1853" i="55"/>
  <c r="H1852" i="55"/>
  <c r="G1852" i="55"/>
  <c r="H1851" i="55"/>
  <c r="G1851" i="55"/>
  <c r="H1850" i="55"/>
  <c r="G1850" i="55"/>
  <c r="H1849" i="55"/>
  <c r="G1849" i="55"/>
  <c r="H1848" i="55"/>
  <c r="G1848" i="55"/>
  <c r="H1847" i="55"/>
  <c r="G1847" i="55"/>
  <c r="H1846" i="55"/>
  <c r="G1846" i="55"/>
  <c r="H1845" i="55"/>
  <c r="G1845" i="55"/>
  <c r="H1844" i="55"/>
  <c r="G1844" i="55"/>
  <c r="H1843" i="55"/>
  <c r="G1843" i="55"/>
  <c r="H1842" i="55"/>
  <c r="G1842" i="55"/>
  <c r="H1841" i="55"/>
  <c r="G1841" i="55"/>
  <c r="H1840" i="55"/>
  <c r="G1840" i="55"/>
  <c r="H1839" i="55"/>
  <c r="G1839" i="55"/>
  <c r="H1838" i="55"/>
  <c r="G1838" i="55"/>
  <c r="H1837" i="55"/>
  <c r="G1837" i="55"/>
  <c r="H1836" i="55"/>
  <c r="G1836" i="55"/>
  <c r="H1835" i="55"/>
  <c r="G1835" i="55"/>
  <c r="H1834" i="55"/>
  <c r="G1834" i="55"/>
  <c r="H1833" i="55"/>
  <c r="G1833" i="55"/>
  <c r="H1832" i="55"/>
  <c r="G1832" i="55"/>
  <c r="H1831" i="55"/>
  <c r="G1831" i="55"/>
  <c r="H1830" i="55"/>
  <c r="G1830" i="55"/>
  <c r="H1829" i="55"/>
  <c r="G1829" i="55"/>
  <c r="H1828" i="55"/>
  <c r="G1828" i="55"/>
  <c r="H1827" i="55"/>
  <c r="G1827" i="55"/>
  <c r="H1826" i="55"/>
  <c r="G1826" i="55"/>
  <c r="H1825" i="55"/>
  <c r="G1825" i="55"/>
  <c r="H1824" i="55"/>
  <c r="G1824" i="55"/>
  <c r="H1823" i="55"/>
  <c r="G1823" i="55"/>
  <c r="H1822" i="55"/>
  <c r="G1822" i="55"/>
  <c r="H1821" i="55"/>
  <c r="G1821" i="55"/>
  <c r="H1820" i="55"/>
  <c r="G1820" i="55"/>
  <c r="H1819" i="55"/>
  <c r="G1819" i="55"/>
  <c r="H1818" i="55"/>
  <c r="G1818" i="55"/>
  <c r="H1817" i="55"/>
  <c r="G1817" i="55"/>
  <c r="H1816" i="55"/>
  <c r="G1816" i="55"/>
  <c r="H1815" i="55"/>
  <c r="G1815" i="55"/>
  <c r="H1814" i="55"/>
  <c r="G1814" i="55"/>
  <c r="H1813" i="55"/>
  <c r="G1813" i="55"/>
  <c r="H1812" i="55"/>
  <c r="G1812" i="55"/>
  <c r="H1811" i="55"/>
  <c r="G1811" i="55"/>
  <c r="H1810" i="55"/>
  <c r="G1810" i="55"/>
  <c r="H1809" i="55"/>
  <c r="G1809" i="55"/>
  <c r="H1808" i="55"/>
  <c r="G1808" i="55"/>
  <c r="H1807" i="55"/>
  <c r="G1807" i="55"/>
  <c r="H1806" i="55"/>
  <c r="G1806" i="55"/>
  <c r="H1805" i="55"/>
  <c r="G1805" i="55"/>
  <c r="H1804" i="55"/>
  <c r="G1804" i="55"/>
  <c r="H1803" i="55"/>
  <c r="G1803" i="55"/>
  <c r="H1802" i="55"/>
  <c r="G1802" i="55"/>
  <c r="H1801" i="55"/>
  <c r="G1801" i="55"/>
  <c r="H1800" i="55"/>
  <c r="G1800" i="55"/>
  <c r="H1799" i="55"/>
  <c r="G1799" i="55"/>
  <c r="H1798" i="55"/>
  <c r="G1798" i="55"/>
  <c r="H1797" i="55"/>
  <c r="G1797" i="55"/>
  <c r="H1796" i="55"/>
  <c r="G1796" i="55"/>
  <c r="H1795" i="55"/>
  <c r="G1795" i="55"/>
  <c r="H1794" i="55"/>
  <c r="G1794" i="55"/>
  <c r="H1793" i="55"/>
  <c r="G1793" i="55"/>
  <c r="H1792" i="55"/>
  <c r="G1792" i="55"/>
  <c r="H1791" i="55"/>
  <c r="G1791" i="55"/>
  <c r="H1790" i="55"/>
  <c r="G1790" i="55"/>
  <c r="H1789" i="55"/>
  <c r="G1789" i="55"/>
  <c r="H1788" i="55"/>
  <c r="G1788" i="55"/>
  <c r="H1787" i="55"/>
  <c r="G1787" i="55"/>
  <c r="H1786" i="55"/>
  <c r="G1786" i="55"/>
  <c r="H1785" i="55"/>
  <c r="G1785" i="55"/>
  <c r="H1784" i="55"/>
  <c r="G1784" i="55"/>
  <c r="H1783" i="55"/>
  <c r="G1783" i="55"/>
  <c r="H1782" i="55"/>
  <c r="G1782" i="55"/>
  <c r="H1781" i="55"/>
  <c r="G1781" i="55"/>
  <c r="H1780" i="55"/>
  <c r="G1780" i="55"/>
  <c r="H1779" i="55"/>
  <c r="G1779" i="55"/>
  <c r="H1778" i="55"/>
  <c r="G1778" i="55"/>
  <c r="H1777" i="55"/>
  <c r="G1777" i="55"/>
  <c r="H1776" i="55"/>
  <c r="G1776" i="55"/>
  <c r="H1775" i="55"/>
  <c r="G1775" i="55"/>
  <c r="H1774" i="55"/>
  <c r="G1774" i="55"/>
  <c r="H1773" i="55"/>
  <c r="G1773" i="55"/>
  <c r="H1772" i="55"/>
  <c r="G1772" i="55"/>
  <c r="H1771" i="55"/>
  <c r="G1771" i="55"/>
  <c r="H1770" i="55"/>
  <c r="G1770" i="55"/>
  <c r="H1769" i="55"/>
  <c r="G1769" i="55"/>
  <c r="H1768" i="55"/>
  <c r="G1768" i="55"/>
  <c r="H1767" i="55"/>
  <c r="G1767" i="55"/>
  <c r="H1766" i="55"/>
  <c r="G1766" i="55"/>
  <c r="H1765" i="55"/>
  <c r="G1765" i="55"/>
  <c r="H1764" i="55"/>
  <c r="G1764" i="55"/>
  <c r="H1763" i="55"/>
  <c r="G1763" i="55"/>
  <c r="H1762" i="55"/>
  <c r="G1762" i="55"/>
  <c r="H1761" i="55"/>
  <c r="G1761" i="55"/>
  <c r="H1760" i="55"/>
  <c r="G1760" i="55"/>
  <c r="H1759" i="55"/>
  <c r="G1759" i="55"/>
  <c r="H1758" i="55"/>
  <c r="G1758" i="55"/>
  <c r="H1757" i="55"/>
  <c r="G1757" i="55"/>
  <c r="H1756" i="55"/>
  <c r="G1756" i="55"/>
  <c r="H1755" i="55"/>
  <c r="G1755" i="55"/>
  <c r="H1754" i="55"/>
  <c r="G1754" i="55"/>
  <c r="H1753" i="55"/>
  <c r="G1753" i="55"/>
  <c r="H1752" i="55"/>
  <c r="G1752" i="55"/>
  <c r="H1751" i="55"/>
  <c r="G1751" i="55"/>
  <c r="H1750" i="55"/>
  <c r="G1750" i="55"/>
  <c r="H1749" i="55"/>
  <c r="G1749" i="55"/>
  <c r="H1748" i="55"/>
  <c r="G1748" i="55"/>
  <c r="H1747" i="55"/>
  <c r="G1747" i="55"/>
  <c r="H1746" i="55"/>
  <c r="G1746" i="55"/>
  <c r="H1745" i="55"/>
  <c r="G1745" i="55"/>
  <c r="H1744" i="55"/>
  <c r="G1744" i="55"/>
  <c r="H1743" i="55"/>
  <c r="G1743" i="55"/>
  <c r="H1742" i="55"/>
  <c r="G1742" i="55"/>
  <c r="H1741" i="55"/>
  <c r="G1741" i="55"/>
  <c r="H1740" i="55"/>
  <c r="G1740" i="55"/>
  <c r="H1739" i="55"/>
  <c r="G1739" i="55"/>
  <c r="H1738" i="55"/>
  <c r="G1738" i="55"/>
  <c r="H1737" i="55"/>
  <c r="G1737" i="55"/>
  <c r="H1736" i="55"/>
  <c r="G1736" i="55"/>
  <c r="H1735" i="55"/>
  <c r="G1735" i="55"/>
  <c r="H1734" i="55"/>
  <c r="G1734" i="55"/>
  <c r="H1733" i="55"/>
  <c r="G1733" i="55"/>
  <c r="H1732" i="55"/>
  <c r="G1732" i="55"/>
  <c r="H1731" i="55"/>
  <c r="G1731" i="55"/>
  <c r="H1730" i="55"/>
  <c r="G1730" i="55"/>
  <c r="H1729" i="55"/>
  <c r="G1729" i="55"/>
  <c r="H1728" i="55"/>
  <c r="G1728" i="55"/>
  <c r="H1727" i="55"/>
  <c r="G1727" i="55"/>
  <c r="H1726" i="55"/>
  <c r="G1726" i="55"/>
  <c r="H1725" i="55"/>
  <c r="G1725" i="55"/>
  <c r="H1724" i="55"/>
  <c r="G1724" i="55"/>
  <c r="H1723" i="55"/>
  <c r="G1723" i="55"/>
  <c r="H1722" i="55"/>
  <c r="G1722" i="55"/>
  <c r="H1721" i="55"/>
  <c r="G1721" i="55"/>
  <c r="H1720" i="55"/>
  <c r="G1720" i="55"/>
  <c r="H1719" i="55"/>
  <c r="G1719" i="55"/>
  <c r="H1718" i="55"/>
  <c r="G1718" i="55"/>
  <c r="H1717" i="55"/>
  <c r="G1717" i="55"/>
  <c r="H1716" i="55"/>
  <c r="G1716" i="55"/>
  <c r="H1715" i="55"/>
  <c r="G1715" i="55"/>
  <c r="H1714" i="55"/>
  <c r="G1714" i="55"/>
  <c r="H1713" i="55"/>
  <c r="G1713" i="55"/>
  <c r="H1712" i="55"/>
  <c r="G1712" i="55"/>
  <c r="H1711" i="55"/>
  <c r="G1711" i="55"/>
  <c r="H1710" i="55"/>
  <c r="G1710" i="55"/>
  <c r="H1709" i="55"/>
  <c r="G1709" i="55"/>
  <c r="H1708" i="55"/>
  <c r="G1708" i="55"/>
  <c r="H1707" i="55"/>
  <c r="G1707" i="55"/>
  <c r="H1706" i="55"/>
  <c r="G1706" i="55"/>
  <c r="H1705" i="55"/>
  <c r="G1705" i="55"/>
  <c r="H1704" i="55"/>
  <c r="G1704" i="55"/>
  <c r="H1703" i="55"/>
  <c r="G1703" i="55"/>
  <c r="H1702" i="55"/>
  <c r="G1702" i="55"/>
  <c r="H1701" i="55"/>
  <c r="G1701" i="55"/>
  <c r="H1700" i="55"/>
  <c r="G1700" i="55"/>
  <c r="H1699" i="55"/>
  <c r="G1699" i="55"/>
  <c r="H1698" i="55"/>
  <c r="G1698" i="55"/>
  <c r="H1697" i="55"/>
  <c r="G1697" i="55"/>
  <c r="H1696" i="55"/>
  <c r="G1696" i="55"/>
  <c r="H1695" i="55"/>
  <c r="G1695" i="55"/>
  <c r="H1694" i="55"/>
  <c r="G1694" i="55"/>
  <c r="H1693" i="55"/>
  <c r="G1693" i="55"/>
  <c r="H1692" i="55"/>
  <c r="G1692" i="55"/>
  <c r="H1691" i="55"/>
  <c r="G1691" i="55"/>
  <c r="H1690" i="55"/>
  <c r="G1690" i="55"/>
  <c r="H1689" i="55"/>
  <c r="G1689" i="55"/>
  <c r="H1688" i="55"/>
  <c r="G1688" i="55"/>
  <c r="H1687" i="55"/>
  <c r="G1687" i="55"/>
  <c r="H1686" i="55"/>
  <c r="G1686" i="55"/>
  <c r="H1685" i="55"/>
  <c r="G1685" i="55"/>
  <c r="H1684" i="55"/>
  <c r="G1684" i="55"/>
  <c r="H1683" i="55"/>
  <c r="G1683" i="55"/>
  <c r="H1682" i="55"/>
  <c r="G1682" i="55"/>
  <c r="H1681" i="55"/>
  <c r="G1681" i="55"/>
  <c r="H1680" i="55"/>
  <c r="G1680" i="55"/>
  <c r="H1679" i="55"/>
  <c r="G1679" i="55"/>
  <c r="H1678" i="55"/>
  <c r="G1678" i="55"/>
  <c r="H1677" i="55"/>
  <c r="G1677" i="55"/>
  <c r="H1676" i="55"/>
  <c r="G1676" i="55"/>
  <c r="H1675" i="55"/>
  <c r="G1675" i="55"/>
  <c r="H1674" i="55"/>
  <c r="G1674" i="55"/>
  <c r="H1673" i="55"/>
  <c r="G1673" i="55"/>
  <c r="H1672" i="55"/>
  <c r="G1672" i="55"/>
  <c r="H1671" i="55"/>
  <c r="G1671" i="55"/>
  <c r="H1670" i="55"/>
  <c r="G1670" i="55"/>
  <c r="H1669" i="55"/>
  <c r="G1669" i="55"/>
  <c r="H1668" i="55"/>
  <c r="G1668" i="55"/>
  <c r="H1667" i="55"/>
  <c r="G1667" i="55"/>
  <c r="H1666" i="55"/>
  <c r="G1666" i="55"/>
  <c r="H1665" i="55"/>
  <c r="G1665" i="55"/>
  <c r="H1664" i="55"/>
  <c r="G1664" i="55"/>
  <c r="H1663" i="55"/>
  <c r="G1663" i="55"/>
  <c r="H1662" i="55"/>
  <c r="G1662" i="55"/>
  <c r="H1661" i="55"/>
  <c r="G1661" i="55"/>
  <c r="H1660" i="55"/>
  <c r="G1660" i="55"/>
  <c r="H1659" i="55"/>
  <c r="G1659" i="55"/>
  <c r="H1658" i="55"/>
  <c r="G1658" i="55"/>
  <c r="H1657" i="55"/>
  <c r="G1657" i="55"/>
  <c r="H1656" i="55"/>
  <c r="G1656" i="55"/>
  <c r="H1655" i="55"/>
  <c r="G1655" i="55"/>
  <c r="H1654" i="55"/>
  <c r="G1654" i="55"/>
  <c r="H1653" i="55"/>
  <c r="G1653" i="55"/>
  <c r="H1652" i="55"/>
  <c r="G1652" i="55"/>
  <c r="H1651" i="55"/>
  <c r="G1651" i="55"/>
  <c r="H1650" i="55"/>
  <c r="G1650" i="55"/>
  <c r="H1649" i="55"/>
  <c r="G1649" i="55"/>
  <c r="H1648" i="55"/>
  <c r="G1648" i="55"/>
  <c r="H1647" i="55"/>
  <c r="G1647" i="55"/>
  <c r="H1646" i="55"/>
  <c r="G1646" i="55"/>
  <c r="H1645" i="55"/>
  <c r="G1645" i="55"/>
  <c r="H1644" i="55"/>
  <c r="G1644" i="55"/>
  <c r="H1643" i="55"/>
  <c r="G1643" i="55"/>
  <c r="H1642" i="55"/>
  <c r="G1642" i="55"/>
  <c r="H1641" i="55"/>
  <c r="G1641" i="55"/>
  <c r="H1640" i="55"/>
  <c r="G1640" i="55"/>
  <c r="H1639" i="55"/>
  <c r="G1639" i="55"/>
  <c r="H1638" i="55"/>
  <c r="G1638" i="55"/>
  <c r="H1637" i="55"/>
  <c r="G1637" i="55"/>
  <c r="H1636" i="55"/>
  <c r="G1636" i="55"/>
  <c r="H1635" i="55"/>
  <c r="G1635" i="55"/>
  <c r="H1634" i="55"/>
  <c r="G1634" i="55"/>
  <c r="H1633" i="55"/>
  <c r="G1633" i="55"/>
  <c r="H1632" i="55"/>
  <c r="G1632" i="55"/>
  <c r="H1631" i="55"/>
  <c r="G1631" i="55"/>
  <c r="H1630" i="55"/>
  <c r="G1630" i="55"/>
  <c r="H1629" i="55"/>
  <c r="G1629" i="55"/>
  <c r="H1628" i="55"/>
  <c r="G1628" i="55"/>
  <c r="H1627" i="55"/>
  <c r="G1627" i="55"/>
  <c r="H1626" i="55"/>
  <c r="G1626" i="55"/>
  <c r="H1625" i="55"/>
  <c r="G1625" i="55"/>
  <c r="H1624" i="55"/>
  <c r="G1624" i="55"/>
  <c r="H1623" i="55"/>
  <c r="G1623" i="55"/>
  <c r="H1622" i="55"/>
  <c r="G1622" i="55"/>
  <c r="H1621" i="55"/>
  <c r="G1621" i="55"/>
  <c r="H1620" i="55"/>
  <c r="G1620" i="55"/>
  <c r="H1619" i="55"/>
  <c r="G1619" i="55"/>
  <c r="H1618" i="55"/>
  <c r="G1618" i="55"/>
  <c r="H1617" i="55"/>
  <c r="G1617" i="55"/>
  <c r="H1616" i="55"/>
  <c r="G1616" i="55"/>
  <c r="H1615" i="55"/>
  <c r="G1615" i="55"/>
  <c r="H1614" i="55"/>
  <c r="G1614" i="55"/>
  <c r="H1613" i="55"/>
  <c r="G1613" i="55"/>
  <c r="H1612" i="55"/>
  <c r="G1612" i="55"/>
  <c r="H1611" i="55"/>
  <c r="G1611" i="55"/>
  <c r="H1610" i="55"/>
  <c r="G1610" i="55"/>
  <c r="H1609" i="55"/>
  <c r="G1609" i="55"/>
  <c r="H1608" i="55"/>
  <c r="G1608" i="55"/>
  <c r="H1607" i="55"/>
  <c r="G1607" i="55"/>
  <c r="H1606" i="55"/>
  <c r="G1606" i="55"/>
  <c r="H1605" i="55"/>
  <c r="G1605" i="55"/>
  <c r="H1604" i="55"/>
  <c r="G1604" i="55"/>
  <c r="H1603" i="55"/>
  <c r="G1603" i="55"/>
  <c r="H1602" i="55"/>
  <c r="G1602" i="55"/>
  <c r="H1601" i="55"/>
  <c r="G1601" i="55"/>
  <c r="H1600" i="55"/>
  <c r="G1600" i="55"/>
  <c r="H1599" i="55"/>
  <c r="G1599" i="55"/>
  <c r="H1598" i="55"/>
  <c r="G1598" i="55"/>
  <c r="H1597" i="55"/>
  <c r="G1597" i="55"/>
  <c r="H1596" i="55"/>
  <c r="G1596" i="55"/>
  <c r="H1595" i="55"/>
  <c r="G1595" i="55"/>
  <c r="H1594" i="55"/>
  <c r="G1594" i="55"/>
  <c r="H1593" i="55"/>
  <c r="G1593" i="55"/>
  <c r="H1592" i="55"/>
  <c r="G1592" i="55"/>
  <c r="H1591" i="55"/>
  <c r="G1591" i="55"/>
  <c r="H1590" i="55"/>
  <c r="G1590" i="55"/>
  <c r="H1589" i="55"/>
  <c r="G1589" i="55"/>
  <c r="H1588" i="55"/>
  <c r="G1588" i="55"/>
  <c r="H1587" i="55"/>
  <c r="G1587" i="55"/>
  <c r="H1586" i="55"/>
  <c r="G1586" i="55"/>
  <c r="H1585" i="55"/>
  <c r="G1585" i="55"/>
  <c r="H1584" i="55"/>
  <c r="G1584" i="55"/>
  <c r="H1583" i="55"/>
  <c r="G1583" i="55"/>
  <c r="H1582" i="55"/>
  <c r="G1582" i="55"/>
  <c r="H1581" i="55"/>
  <c r="G1581" i="55"/>
  <c r="H1580" i="55"/>
  <c r="G1580" i="55"/>
  <c r="H1579" i="55"/>
  <c r="G1579" i="55"/>
  <c r="H1578" i="55"/>
  <c r="G1578" i="55"/>
  <c r="H1577" i="55"/>
  <c r="G1577" i="55"/>
  <c r="H1576" i="55"/>
  <c r="G1576" i="55"/>
  <c r="H1575" i="55"/>
  <c r="G1575" i="55"/>
  <c r="H1574" i="55"/>
  <c r="G1574" i="55"/>
  <c r="H1573" i="55"/>
  <c r="G1573" i="55"/>
  <c r="H1572" i="55"/>
  <c r="G1572" i="55"/>
  <c r="H1571" i="55"/>
  <c r="G1571" i="55"/>
  <c r="H1570" i="55"/>
  <c r="G1570" i="55"/>
  <c r="H1569" i="55"/>
  <c r="G1569" i="55"/>
  <c r="H1568" i="55"/>
  <c r="G1568" i="55"/>
  <c r="H1567" i="55"/>
  <c r="G1567" i="55"/>
  <c r="H1566" i="55"/>
  <c r="G1566" i="55"/>
  <c r="H1565" i="55"/>
  <c r="G1565" i="55"/>
  <c r="H1564" i="55"/>
  <c r="G1564" i="55"/>
  <c r="H1563" i="55"/>
  <c r="G1563" i="55"/>
  <c r="H1562" i="55"/>
  <c r="G1562" i="55"/>
  <c r="H1561" i="55"/>
  <c r="G1561" i="55"/>
  <c r="H1560" i="55"/>
  <c r="G1560" i="55"/>
  <c r="H1559" i="55"/>
  <c r="G1559" i="55"/>
  <c r="H1558" i="55"/>
  <c r="G1558" i="55"/>
  <c r="H1557" i="55"/>
  <c r="G1557" i="55"/>
  <c r="H1556" i="55"/>
  <c r="G1556" i="55"/>
  <c r="H1555" i="55"/>
  <c r="G1555" i="55"/>
  <c r="H1554" i="55"/>
  <c r="G1554" i="55"/>
  <c r="H1553" i="55"/>
  <c r="G1553" i="55"/>
  <c r="H1552" i="55"/>
  <c r="G1552" i="55"/>
  <c r="H1551" i="55"/>
  <c r="G1551" i="55"/>
  <c r="H1550" i="55"/>
  <c r="G1550" i="55"/>
  <c r="H1549" i="55"/>
  <c r="G1549" i="55"/>
  <c r="H1548" i="55"/>
  <c r="G1548" i="55"/>
  <c r="H1547" i="55"/>
  <c r="G1547" i="55"/>
  <c r="H1546" i="55"/>
  <c r="G1546" i="55"/>
  <c r="H1545" i="55"/>
  <c r="G1545" i="55"/>
  <c r="H1544" i="55"/>
  <c r="G1544" i="55"/>
  <c r="H1543" i="55"/>
  <c r="G1543" i="55"/>
  <c r="H1542" i="55"/>
  <c r="G1542" i="55"/>
  <c r="H1541" i="55"/>
  <c r="G1541" i="55"/>
  <c r="H1540" i="55"/>
  <c r="G1540" i="55"/>
  <c r="H1539" i="55"/>
  <c r="G1539" i="55"/>
  <c r="H1538" i="55"/>
  <c r="G1538" i="55"/>
  <c r="H1537" i="55"/>
  <c r="G1537" i="55"/>
  <c r="H1536" i="55"/>
  <c r="G1536" i="55"/>
  <c r="H1535" i="55"/>
  <c r="G1535" i="55"/>
  <c r="H1534" i="55"/>
  <c r="G1534" i="55"/>
  <c r="H1533" i="55"/>
  <c r="G1533" i="55"/>
  <c r="H1532" i="55"/>
  <c r="G1532" i="55"/>
  <c r="H1531" i="55"/>
  <c r="G1531" i="55"/>
  <c r="H1530" i="55"/>
  <c r="G1530" i="55"/>
  <c r="H1529" i="55"/>
  <c r="G1529" i="55"/>
  <c r="H1528" i="55"/>
  <c r="G1528" i="55"/>
  <c r="H1527" i="55"/>
  <c r="G1527" i="55"/>
  <c r="H1526" i="55"/>
  <c r="G1526" i="55"/>
  <c r="H1525" i="55"/>
  <c r="G1525" i="55"/>
  <c r="H1524" i="55"/>
  <c r="G1524" i="55"/>
  <c r="H1523" i="55"/>
  <c r="G1523" i="55"/>
  <c r="H1522" i="55"/>
  <c r="G1522" i="55"/>
  <c r="H1521" i="55"/>
  <c r="G1521" i="55"/>
  <c r="H1520" i="55"/>
  <c r="G1520" i="55"/>
  <c r="H1519" i="55"/>
  <c r="G1519" i="55"/>
  <c r="H1518" i="55"/>
  <c r="G1518" i="55"/>
  <c r="H1517" i="55"/>
  <c r="G1517" i="55"/>
  <c r="H1516" i="55"/>
  <c r="G1516" i="55"/>
  <c r="H1515" i="55"/>
  <c r="G1515" i="55"/>
  <c r="H1514" i="55"/>
  <c r="G1514" i="55"/>
  <c r="H1513" i="55"/>
  <c r="G1513" i="55"/>
  <c r="H1512" i="55"/>
  <c r="G1512" i="55"/>
  <c r="H1511" i="55"/>
  <c r="G1511" i="55"/>
  <c r="H1510" i="55"/>
  <c r="G1510" i="55"/>
  <c r="H1509" i="55"/>
  <c r="G1509" i="55"/>
  <c r="H1508" i="55"/>
  <c r="G1508" i="55"/>
  <c r="H1507" i="55"/>
  <c r="G1507" i="55"/>
  <c r="H1506" i="55"/>
  <c r="G1506" i="55"/>
  <c r="H1505" i="55"/>
  <c r="G1505" i="55"/>
  <c r="H1504" i="55"/>
  <c r="G1504" i="55"/>
  <c r="H1503" i="55"/>
  <c r="G1503" i="55"/>
  <c r="H1502" i="55"/>
  <c r="G1502" i="55"/>
  <c r="H1501" i="55"/>
  <c r="G1501" i="55"/>
  <c r="H1500" i="55"/>
  <c r="G1500" i="55"/>
  <c r="H1499" i="55"/>
  <c r="G1499" i="55"/>
  <c r="H1498" i="55"/>
  <c r="G1498" i="55"/>
  <c r="H1497" i="55"/>
  <c r="G1497" i="55"/>
  <c r="H1496" i="55"/>
  <c r="G1496" i="55"/>
  <c r="H1495" i="55"/>
  <c r="G1495" i="55"/>
  <c r="H1494" i="55"/>
  <c r="G1494" i="55"/>
  <c r="H1493" i="55"/>
  <c r="G1493" i="55"/>
  <c r="H1492" i="55"/>
  <c r="G1492" i="55"/>
  <c r="H1491" i="55"/>
  <c r="G1491" i="55"/>
  <c r="H1490" i="55"/>
  <c r="G1490" i="55"/>
  <c r="H1489" i="55"/>
  <c r="G1489" i="55"/>
  <c r="H1488" i="55"/>
  <c r="G1488" i="55"/>
  <c r="H1487" i="55"/>
  <c r="G1487" i="55"/>
  <c r="H1486" i="55"/>
  <c r="G1486" i="55"/>
  <c r="H1485" i="55"/>
  <c r="G1485" i="55"/>
  <c r="H1484" i="55"/>
  <c r="G1484" i="55"/>
  <c r="H1483" i="55"/>
  <c r="G1483" i="55"/>
  <c r="H1482" i="55"/>
  <c r="G1482" i="55"/>
  <c r="H1481" i="55"/>
  <c r="G1481" i="55"/>
  <c r="H1480" i="55"/>
  <c r="G1480" i="55"/>
  <c r="H1479" i="55"/>
  <c r="G1479" i="55"/>
  <c r="H1478" i="55"/>
  <c r="G1478" i="55"/>
  <c r="H1477" i="55"/>
  <c r="G1477" i="55"/>
  <c r="H1476" i="55"/>
  <c r="G1476" i="55"/>
  <c r="H1475" i="55"/>
  <c r="G1475" i="55"/>
  <c r="H1474" i="55"/>
  <c r="G1474" i="55"/>
  <c r="H1473" i="55"/>
  <c r="G1473" i="55"/>
  <c r="H1472" i="55"/>
  <c r="G1472" i="55"/>
  <c r="H1471" i="55"/>
  <c r="G1471" i="55"/>
  <c r="H1470" i="55"/>
  <c r="G1470" i="55"/>
  <c r="H1469" i="55"/>
  <c r="G1469" i="55"/>
  <c r="H1468" i="55"/>
  <c r="G1468" i="55"/>
  <c r="H1467" i="55"/>
  <c r="G1467" i="55"/>
  <c r="H1466" i="55"/>
  <c r="G1466" i="55"/>
  <c r="H1465" i="55"/>
  <c r="G1465" i="55"/>
  <c r="H1464" i="55"/>
  <c r="G1464" i="55"/>
  <c r="H1463" i="55"/>
  <c r="G1463" i="55"/>
  <c r="H1462" i="55"/>
  <c r="G1462" i="55"/>
  <c r="H1461" i="55"/>
  <c r="G1461" i="55"/>
  <c r="H1460" i="55"/>
  <c r="G1460" i="55"/>
  <c r="H1459" i="55"/>
  <c r="G1459" i="55"/>
  <c r="H1458" i="55"/>
  <c r="G1458" i="55"/>
  <c r="H1457" i="55"/>
  <c r="G1457" i="55"/>
  <c r="H1456" i="55"/>
  <c r="G1456" i="55"/>
  <c r="H1455" i="55"/>
  <c r="G1455" i="55"/>
  <c r="H1454" i="55"/>
  <c r="G1454" i="55"/>
  <c r="H1453" i="55"/>
  <c r="G1453" i="55"/>
  <c r="H1452" i="55"/>
  <c r="G1452" i="55"/>
  <c r="H1451" i="55"/>
  <c r="G1451" i="55"/>
  <c r="H1450" i="55"/>
  <c r="G1450" i="55"/>
  <c r="H1449" i="55"/>
  <c r="G1449" i="55"/>
  <c r="H1448" i="55"/>
  <c r="G1448" i="55"/>
  <c r="H1447" i="55"/>
  <c r="G1447" i="55"/>
  <c r="H1446" i="55"/>
  <c r="G1446" i="55"/>
  <c r="H1445" i="55"/>
  <c r="G1445" i="55"/>
  <c r="H1444" i="55"/>
  <c r="G1444" i="55"/>
  <c r="H1443" i="55"/>
  <c r="G1443" i="55"/>
  <c r="H1442" i="55"/>
  <c r="G1442" i="55"/>
  <c r="H1441" i="55"/>
  <c r="G1441" i="55"/>
  <c r="H1440" i="55"/>
  <c r="G1440" i="55"/>
  <c r="H1439" i="55"/>
  <c r="G1439" i="55"/>
  <c r="H1438" i="55"/>
  <c r="G1438" i="55"/>
  <c r="H1437" i="55"/>
  <c r="G1437" i="55"/>
  <c r="H1436" i="55"/>
  <c r="G1436" i="55"/>
  <c r="H1435" i="55"/>
  <c r="G1435" i="55"/>
  <c r="H1434" i="55"/>
  <c r="G1434" i="55"/>
  <c r="H1433" i="55"/>
  <c r="G1433" i="55"/>
  <c r="H1432" i="55"/>
  <c r="G1432" i="55"/>
  <c r="H1431" i="55"/>
  <c r="G1431" i="55"/>
  <c r="H1430" i="55"/>
  <c r="G1430" i="55"/>
  <c r="H1429" i="55"/>
  <c r="G1429" i="55"/>
  <c r="H1428" i="55"/>
  <c r="G1428" i="55"/>
  <c r="H1427" i="55"/>
  <c r="G1427" i="55"/>
  <c r="H1426" i="55"/>
  <c r="G1426" i="55"/>
  <c r="H1425" i="55"/>
  <c r="G1425" i="55"/>
  <c r="H1424" i="55"/>
  <c r="G1424" i="55"/>
  <c r="H1423" i="55"/>
  <c r="G1423" i="55"/>
  <c r="H1422" i="55"/>
  <c r="G1422" i="55"/>
  <c r="H1421" i="55"/>
  <c r="G1421" i="55"/>
  <c r="H1420" i="55"/>
  <c r="G1420" i="55"/>
  <c r="H1419" i="55"/>
  <c r="G1419" i="55"/>
  <c r="H1418" i="55"/>
  <c r="G1418" i="55"/>
  <c r="H1417" i="55"/>
  <c r="G1417" i="55"/>
  <c r="H1416" i="55"/>
  <c r="G1416" i="55"/>
  <c r="H1415" i="55"/>
  <c r="G1415" i="55"/>
  <c r="H1414" i="55"/>
  <c r="G1414" i="55"/>
  <c r="H1413" i="55"/>
  <c r="G1413" i="55"/>
  <c r="H1412" i="55"/>
  <c r="G1412" i="55"/>
  <c r="H1411" i="55"/>
  <c r="G1411" i="55"/>
  <c r="H1410" i="55"/>
  <c r="G1410" i="55"/>
  <c r="H1409" i="55"/>
  <c r="G1409" i="55"/>
  <c r="H1408" i="55"/>
  <c r="G1408" i="55"/>
  <c r="H1407" i="55"/>
  <c r="G1407" i="55"/>
  <c r="H1406" i="55"/>
  <c r="G1406" i="55"/>
  <c r="H1405" i="55"/>
  <c r="G1405" i="55"/>
  <c r="H1404" i="55"/>
  <c r="G1404" i="55"/>
  <c r="H1403" i="55"/>
  <c r="G1403" i="55"/>
  <c r="H1402" i="55"/>
  <c r="G1402" i="55"/>
  <c r="H1401" i="55"/>
  <c r="G1401" i="55"/>
  <c r="H1400" i="55"/>
  <c r="G1400" i="55"/>
  <c r="H1399" i="55"/>
  <c r="G1399" i="55"/>
  <c r="H1398" i="55"/>
  <c r="G1398" i="55"/>
  <c r="H1397" i="55"/>
  <c r="G1397" i="55"/>
  <c r="H1396" i="55"/>
  <c r="G1396" i="55"/>
  <c r="H1395" i="55"/>
  <c r="G1395" i="55"/>
  <c r="H1394" i="55"/>
  <c r="G1394" i="55"/>
  <c r="H1393" i="55"/>
  <c r="G1393" i="55"/>
  <c r="H1392" i="55"/>
  <c r="G1392" i="55"/>
  <c r="H1391" i="55"/>
  <c r="G1391" i="55"/>
  <c r="H1390" i="55"/>
  <c r="G1390" i="55"/>
  <c r="H1389" i="55"/>
  <c r="G1389" i="55"/>
  <c r="H1388" i="55"/>
  <c r="G1388" i="55"/>
  <c r="H1387" i="55"/>
  <c r="G1387" i="55"/>
  <c r="H1386" i="55"/>
  <c r="G1386" i="55"/>
  <c r="H1385" i="55"/>
  <c r="G1385" i="55"/>
  <c r="H1384" i="55"/>
  <c r="G1384" i="55"/>
  <c r="H1383" i="55"/>
  <c r="G1383" i="55"/>
  <c r="H1382" i="55"/>
  <c r="G1382" i="55"/>
  <c r="H1381" i="55"/>
  <c r="G1381" i="55"/>
  <c r="H1380" i="55"/>
  <c r="G1380" i="55"/>
  <c r="H1379" i="55"/>
  <c r="G1379" i="55"/>
  <c r="H1378" i="55"/>
  <c r="G1378" i="55"/>
  <c r="H1377" i="55"/>
  <c r="G1377" i="55"/>
  <c r="H1376" i="55"/>
  <c r="G1376" i="55"/>
  <c r="H1375" i="55"/>
  <c r="G1375" i="55"/>
  <c r="H1374" i="55"/>
  <c r="G1374" i="55"/>
  <c r="H1373" i="55"/>
  <c r="G1373" i="55"/>
  <c r="H1372" i="55"/>
  <c r="G1372" i="55"/>
  <c r="H1371" i="55"/>
  <c r="G1371" i="55"/>
  <c r="H1370" i="55"/>
  <c r="G1370" i="55"/>
  <c r="H1369" i="55"/>
  <c r="G1369" i="55"/>
  <c r="H1368" i="55"/>
  <c r="G1368" i="55"/>
  <c r="H1367" i="55"/>
  <c r="G1367" i="55"/>
  <c r="H1366" i="55"/>
  <c r="G1366" i="55"/>
  <c r="H1365" i="55"/>
  <c r="G1365" i="55"/>
  <c r="H1364" i="55"/>
  <c r="G1364" i="55"/>
  <c r="H1363" i="55"/>
  <c r="G1363" i="55"/>
  <c r="H1362" i="55"/>
  <c r="G1362" i="55"/>
  <c r="H1361" i="55"/>
  <c r="G1361" i="55"/>
  <c r="H1360" i="55"/>
  <c r="G1360" i="55"/>
  <c r="H1359" i="55"/>
  <c r="G1359" i="55"/>
  <c r="H1358" i="55"/>
  <c r="G1358" i="55"/>
  <c r="H1357" i="55"/>
  <c r="G1357" i="55"/>
  <c r="H1356" i="55"/>
  <c r="G1356" i="55"/>
  <c r="H1355" i="55"/>
  <c r="G1355" i="55"/>
  <c r="H1354" i="55"/>
  <c r="G1354" i="55"/>
  <c r="H1353" i="55"/>
  <c r="G1353" i="55"/>
  <c r="H1352" i="55"/>
  <c r="G1352" i="55"/>
  <c r="H1351" i="55"/>
  <c r="G1351" i="55"/>
  <c r="H1350" i="55"/>
  <c r="G1350" i="55"/>
  <c r="H1349" i="55"/>
  <c r="G1349" i="55"/>
  <c r="H1348" i="55"/>
  <c r="G1348" i="55"/>
  <c r="H1347" i="55"/>
  <c r="G1347" i="55"/>
  <c r="H1346" i="55"/>
  <c r="G1346" i="55"/>
  <c r="H1345" i="55"/>
  <c r="G1345" i="55"/>
  <c r="H1344" i="55"/>
  <c r="G1344" i="55"/>
  <c r="H1343" i="55"/>
  <c r="G1343" i="55"/>
  <c r="H1342" i="55"/>
  <c r="G1342" i="55"/>
  <c r="H1341" i="55"/>
  <c r="G1341" i="55"/>
  <c r="H1340" i="55"/>
  <c r="G1340" i="55"/>
  <c r="H1339" i="55"/>
  <c r="G1339" i="55"/>
  <c r="H1338" i="55"/>
  <c r="G1338" i="55"/>
  <c r="H1337" i="55"/>
  <c r="G1337" i="55"/>
  <c r="H1336" i="55"/>
  <c r="G1336" i="55"/>
  <c r="H1335" i="55"/>
  <c r="G1335" i="55"/>
  <c r="H1334" i="55"/>
  <c r="G1334" i="55"/>
  <c r="H1333" i="55"/>
  <c r="G1333" i="55"/>
  <c r="H1332" i="55"/>
  <c r="G1332" i="55"/>
  <c r="H1331" i="55"/>
  <c r="G1331" i="55"/>
  <c r="H1330" i="55"/>
  <c r="G1330" i="55"/>
  <c r="H1329" i="55"/>
  <c r="G1329" i="55"/>
  <c r="H1328" i="55"/>
  <c r="G1328" i="55"/>
  <c r="H1327" i="55"/>
  <c r="G1327" i="55"/>
  <c r="H1326" i="55"/>
  <c r="G1326" i="55"/>
  <c r="H1325" i="55"/>
  <c r="G1325" i="55"/>
  <c r="H1324" i="55"/>
  <c r="G1324" i="55"/>
  <c r="H1323" i="55"/>
  <c r="G1323" i="55"/>
  <c r="H1322" i="55"/>
  <c r="G1322" i="55"/>
  <c r="H1321" i="55"/>
  <c r="G1321" i="55"/>
  <c r="H1320" i="55"/>
  <c r="G1320" i="55"/>
  <c r="H1319" i="55"/>
  <c r="G1319" i="55"/>
  <c r="H1318" i="55"/>
  <c r="G1318" i="55"/>
  <c r="H1317" i="55"/>
  <c r="G1317" i="55"/>
  <c r="H1316" i="55"/>
  <c r="G1316" i="55"/>
  <c r="H1315" i="55"/>
  <c r="G1315" i="55"/>
  <c r="H1314" i="55"/>
  <c r="G1314" i="55"/>
  <c r="H1313" i="55"/>
  <c r="G1313" i="55"/>
  <c r="H1312" i="55"/>
  <c r="G1312" i="55"/>
  <c r="H1311" i="55"/>
  <c r="G1311" i="55"/>
  <c r="H1310" i="55"/>
  <c r="G1310" i="55"/>
  <c r="H1309" i="55"/>
  <c r="G1309" i="55"/>
  <c r="H1308" i="55"/>
  <c r="G1308" i="55"/>
  <c r="H1307" i="55"/>
  <c r="G1307" i="55"/>
  <c r="H1306" i="55"/>
  <c r="G1306" i="55"/>
  <c r="H1305" i="55"/>
  <c r="G1305" i="55"/>
  <c r="H1304" i="55"/>
  <c r="G1304" i="55"/>
  <c r="H1303" i="55"/>
  <c r="G1303" i="55"/>
  <c r="H1302" i="55"/>
  <c r="G1302" i="55"/>
  <c r="H1301" i="55"/>
  <c r="G1301" i="55"/>
  <c r="H1300" i="55"/>
  <c r="G1300" i="55"/>
  <c r="H1299" i="55"/>
  <c r="G1299" i="55"/>
  <c r="H1298" i="55"/>
  <c r="G1298" i="55"/>
  <c r="H1297" i="55"/>
  <c r="G1297" i="55"/>
  <c r="H1296" i="55"/>
  <c r="G1296" i="55"/>
  <c r="H1295" i="55"/>
  <c r="G1295" i="55"/>
  <c r="H1294" i="55"/>
  <c r="G1294" i="55"/>
  <c r="H1293" i="55"/>
  <c r="G1293" i="55"/>
  <c r="H1292" i="55"/>
  <c r="G1292" i="55"/>
  <c r="H1291" i="55"/>
  <c r="G1291" i="55"/>
  <c r="H1290" i="55"/>
  <c r="G1290" i="55"/>
  <c r="H1289" i="55"/>
  <c r="G1289" i="55"/>
  <c r="H1288" i="55"/>
  <c r="G1288" i="55"/>
  <c r="H1287" i="55"/>
  <c r="G1287" i="55"/>
  <c r="H1286" i="55"/>
  <c r="G1286" i="55"/>
  <c r="H1285" i="55"/>
  <c r="G1285" i="55"/>
  <c r="H1284" i="55"/>
  <c r="G1284" i="55"/>
  <c r="H1283" i="55"/>
  <c r="G1283" i="55"/>
  <c r="H1282" i="55"/>
  <c r="G1282" i="55"/>
  <c r="H1281" i="55"/>
  <c r="G1281" i="55"/>
  <c r="H1280" i="55"/>
  <c r="G1280" i="55"/>
  <c r="H1279" i="55"/>
  <c r="G1279" i="55"/>
  <c r="H1278" i="55"/>
  <c r="G1278" i="55"/>
  <c r="H1277" i="55"/>
  <c r="G1277" i="55"/>
  <c r="H1276" i="55"/>
  <c r="G1276" i="55"/>
  <c r="H1275" i="55"/>
  <c r="G1275" i="55"/>
  <c r="H1274" i="55"/>
  <c r="G1274" i="55"/>
  <c r="H1273" i="55"/>
  <c r="G1273" i="55"/>
  <c r="H1272" i="55"/>
  <c r="G1272" i="55"/>
  <c r="H1271" i="55"/>
  <c r="G1271" i="55"/>
  <c r="H1270" i="55"/>
  <c r="G1270" i="55"/>
  <c r="H1269" i="55"/>
  <c r="G1269" i="55"/>
  <c r="H1268" i="55"/>
  <c r="G1268" i="55"/>
  <c r="H1267" i="55"/>
  <c r="G1267" i="55"/>
  <c r="H1266" i="55"/>
  <c r="G1266" i="55"/>
  <c r="H1265" i="55"/>
  <c r="G1265" i="55"/>
  <c r="H1264" i="55"/>
  <c r="G1264" i="55"/>
  <c r="H1263" i="55"/>
  <c r="G1263" i="55"/>
  <c r="H1262" i="55"/>
  <c r="G1262" i="55"/>
  <c r="H1261" i="55"/>
  <c r="G1261" i="55"/>
  <c r="H1260" i="55"/>
  <c r="G1260" i="55"/>
  <c r="H1259" i="55"/>
  <c r="G1259" i="55"/>
  <c r="H1258" i="55"/>
  <c r="G1258" i="55"/>
  <c r="H1257" i="55"/>
  <c r="G1257" i="55"/>
  <c r="H1256" i="55"/>
  <c r="G1256" i="55"/>
  <c r="H1255" i="55"/>
  <c r="G1255" i="55"/>
  <c r="H1254" i="55"/>
  <c r="G1254" i="55"/>
  <c r="H1253" i="55"/>
  <c r="G1253" i="55"/>
  <c r="H1252" i="55"/>
  <c r="G1252" i="55"/>
  <c r="H1251" i="55"/>
  <c r="G1251" i="55"/>
  <c r="H1250" i="55"/>
  <c r="G1250" i="55"/>
  <c r="H1249" i="55"/>
  <c r="G1249" i="55"/>
  <c r="H1248" i="55"/>
  <c r="G1248" i="55"/>
  <c r="H1247" i="55"/>
  <c r="G1247" i="55"/>
  <c r="H1246" i="55"/>
  <c r="G1246" i="55"/>
  <c r="H1245" i="55"/>
  <c r="G1245" i="55"/>
  <c r="H1244" i="55"/>
  <c r="G1244" i="55"/>
  <c r="H1243" i="55"/>
  <c r="G1243" i="55"/>
  <c r="H1242" i="55"/>
  <c r="G1242" i="55"/>
  <c r="H1241" i="55"/>
  <c r="G1241" i="55"/>
  <c r="H1240" i="55"/>
  <c r="G1240" i="55"/>
  <c r="H1239" i="55"/>
  <c r="G1239" i="55"/>
  <c r="H1238" i="55"/>
  <c r="G1238" i="55"/>
  <c r="H1237" i="55"/>
  <c r="G1237" i="55"/>
  <c r="H1236" i="55"/>
  <c r="G1236" i="55"/>
  <c r="H1235" i="55"/>
  <c r="G1235" i="55"/>
  <c r="H1234" i="55"/>
  <c r="G1234" i="55"/>
  <c r="H1233" i="55"/>
  <c r="G1233" i="55"/>
  <c r="H1232" i="55"/>
  <c r="G1232" i="55"/>
  <c r="H1231" i="55"/>
  <c r="G1231" i="55"/>
  <c r="H1230" i="55"/>
  <c r="G1230" i="55"/>
  <c r="H1229" i="55"/>
  <c r="G1229" i="55"/>
  <c r="H1228" i="55"/>
  <c r="G1228" i="55"/>
  <c r="H1227" i="55"/>
  <c r="G1227" i="55"/>
  <c r="H1226" i="55"/>
  <c r="G1226" i="55"/>
  <c r="H1225" i="55"/>
  <c r="G1225" i="55"/>
  <c r="H1224" i="55"/>
  <c r="G1224" i="55"/>
  <c r="H1223" i="55"/>
  <c r="G1223" i="55"/>
  <c r="H1222" i="55"/>
  <c r="G1222" i="55"/>
  <c r="H1221" i="55"/>
  <c r="G1221" i="55"/>
  <c r="H1220" i="55"/>
  <c r="G1220" i="55"/>
  <c r="H1219" i="55"/>
  <c r="G1219" i="55"/>
  <c r="H1218" i="55"/>
  <c r="G1218" i="55"/>
  <c r="H1217" i="55"/>
  <c r="G1217" i="55"/>
  <c r="H1216" i="55"/>
  <c r="G1216" i="55"/>
  <c r="H1215" i="55"/>
  <c r="G1215" i="55"/>
  <c r="H1214" i="55"/>
  <c r="G1214" i="55"/>
  <c r="H1213" i="55"/>
  <c r="G1213" i="55"/>
  <c r="H1212" i="55"/>
  <c r="G1212" i="55"/>
  <c r="H1211" i="55"/>
  <c r="G1211" i="55"/>
  <c r="H1210" i="55"/>
  <c r="G1210" i="55"/>
  <c r="H1209" i="55"/>
  <c r="G1209" i="55"/>
  <c r="H1208" i="55"/>
  <c r="G1208" i="55"/>
  <c r="H1207" i="55"/>
  <c r="G1207" i="55"/>
  <c r="H1206" i="55"/>
  <c r="G1206" i="55"/>
  <c r="H1205" i="55"/>
  <c r="G1205" i="55"/>
  <c r="H1204" i="55"/>
  <c r="G1204" i="55"/>
  <c r="H1203" i="55"/>
  <c r="G1203" i="55"/>
  <c r="H1202" i="55"/>
  <c r="G1202" i="55"/>
  <c r="H1201" i="55"/>
  <c r="G1201" i="55"/>
  <c r="H1200" i="55"/>
  <c r="G1200" i="55"/>
  <c r="H1199" i="55"/>
  <c r="G1199" i="55"/>
  <c r="H1198" i="55"/>
  <c r="G1198" i="55"/>
  <c r="H1197" i="55"/>
  <c r="G1197" i="55"/>
  <c r="H1196" i="55"/>
  <c r="G1196" i="55"/>
  <c r="H1195" i="55"/>
  <c r="G1195" i="55"/>
  <c r="H1194" i="55"/>
  <c r="G1194" i="55"/>
  <c r="H1193" i="55"/>
  <c r="G1193" i="55"/>
  <c r="H1192" i="55"/>
  <c r="G1192" i="55"/>
  <c r="H1191" i="55"/>
  <c r="G1191" i="55"/>
  <c r="H1190" i="55"/>
  <c r="G1190" i="55"/>
  <c r="H1189" i="55"/>
  <c r="G1189" i="55"/>
  <c r="H1188" i="55"/>
  <c r="G1188" i="55"/>
  <c r="H1187" i="55"/>
  <c r="G1187" i="55"/>
  <c r="H1186" i="55"/>
  <c r="G1186" i="55"/>
  <c r="H1185" i="55"/>
  <c r="G1185" i="55"/>
  <c r="H1184" i="55"/>
  <c r="G1184" i="55"/>
  <c r="H1183" i="55"/>
  <c r="G1183" i="55"/>
  <c r="H1182" i="55"/>
  <c r="G1182" i="55"/>
  <c r="H1181" i="55"/>
  <c r="G1181" i="55"/>
  <c r="H1180" i="55"/>
  <c r="G1180" i="55"/>
  <c r="H1179" i="55"/>
  <c r="G1179" i="55"/>
  <c r="H1178" i="55"/>
  <c r="G1178" i="55"/>
  <c r="H1177" i="55"/>
  <c r="G1177" i="55"/>
  <c r="H1176" i="55"/>
  <c r="G1176" i="55"/>
  <c r="H1175" i="55"/>
  <c r="G1175" i="55"/>
  <c r="H1174" i="55"/>
  <c r="G1174" i="55"/>
  <c r="H1173" i="55"/>
  <c r="G1173" i="55"/>
  <c r="H1172" i="55"/>
  <c r="G1172" i="55"/>
  <c r="H1171" i="55"/>
  <c r="G1171" i="55"/>
  <c r="H1170" i="55"/>
  <c r="G1170" i="55"/>
  <c r="H1169" i="55"/>
  <c r="G1169" i="55"/>
  <c r="H1168" i="55"/>
  <c r="G1168" i="55"/>
  <c r="H1167" i="55"/>
  <c r="G1167" i="55"/>
  <c r="H1166" i="55"/>
  <c r="G1166" i="55"/>
  <c r="H1165" i="55"/>
  <c r="G1165" i="55"/>
  <c r="H1164" i="55"/>
  <c r="G1164" i="55"/>
  <c r="H1163" i="55"/>
  <c r="G1163" i="55"/>
  <c r="H1162" i="55"/>
  <c r="G1162" i="55"/>
  <c r="H1161" i="55"/>
  <c r="G1161" i="55"/>
  <c r="H1160" i="55"/>
  <c r="G1160" i="55"/>
  <c r="H1159" i="55"/>
  <c r="G1159" i="55"/>
  <c r="H1158" i="55"/>
  <c r="G1158" i="55"/>
  <c r="H1157" i="55"/>
  <c r="G1157" i="55"/>
  <c r="H1156" i="55"/>
  <c r="G1156" i="55"/>
  <c r="H1155" i="55"/>
  <c r="G1155" i="55"/>
  <c r="H1154" i="55"/>
  <c r="G1154" i="55"/>
  <c r="H1153" i="55"/>
  <c r="G1153" i="55"/>
  <c r="H1152" i="55"/>
  <c r="G1152" i="55"/>
  <c r="H1151" i="55"/>
  <c r="G1151" i="55"/>
  <c r="H1150" i="55"/>
  <c r="G1150" i="55"/>
  <c r="H1149" i="55"/>
  <c r="G1149" i="55"/>
  <c r="H1148" i="55"/>
  <c r="G1148" i="55"/>
  <c r="H1147" i="55"/>
  <c r="G1147" i="55"/>
  <c r="H1146" i="55"/>
  <c r="G1146" i="55"/>
  <c r="H1145" i="55"/>
  <c r="G1145" i="55"/>
  <c r="H1144" i="55"/>
  <c r="G1144" i="55"/>
  <c r="H1143" i="55"/>
  <c r="G1143" i="55"/>
  <c r="H1142" i="55"/>
  <c r="G1142" i="55"/>
  <c r="H1141" i="55"/>
  <c r="G1141" i="55"/>
  <c r="H1140" i="55"/>
  <c r="G1140" i="55"/>
  <c r="H1139" i="55"/>
  <c r="G1139" i="55"/>
  <c r="H1138" i="55"/>
  <c r="G1138" i="55"/>
  <c r="H1137" i="55"/>
  <c r="G1137" i="55"/>
  <c r="H1136" i="55"/>
  <c r="G1136" i="55"/>
  <c r="H1135" i="55"/>
  <c r="G1135" i="55"/>
  <c r="H1134" i="55"/>
  <c r="G1134" i="55"/>
  <c r="H1133" i="55"/>
  <c r="G1133" i="55"/>
  <c r="H1132" i="55"/>
  <c r="G1132" i="55"/>
  <c r="H1131" i="55"/>
  <c r="G1131" i="55"/>
  <c r="H1130" i="55"/>
  <c r="G1130" i="55"/>
  <c r="H1129" i="55"/>
  <c r="G1129" i="55"/>
  <c r="H1128" i="55"/>
  <c r="G1128" i="55"/>
  <c r="H1127" i="55"/>
  <c r="G1127" i="55"/>
  <c r="H1126" i="55"/>
  <c r="G1126" i="55"/>
  <c r="H1125" i="55"/>
  <c r="G1125" i="55"/>
  <c r="H1124" i="55"/>
  <c r="G1124" i="55"/>
  <c r="H1123" i="55"/>
  <c r="G1123" i="55"/>
  <c r="H1122" i="55"/>
  <c r="G1122" i="55"/>
  <c r="H1121" i="55"/>
  <c r="G1121" i="55"/>
  <c r="H1120" i="55"/>
  <c r="G1120" i="55"/>
  <c r="H1119" i="55"/>
  <c r="G1119" i="55"/>
  <c r="H1118" i="55"/>
  <c r="G1118" i="55"/>
  <c r="H1117" i="55"/>
  <c r="G1117" i="55"/>
  <c r="H1116" i="55"/>
  <c r="G1116" i="55"/>
  <c r="H1115" i="55"/>
  <c r="G1115" i="55"/>
  <c r="H1114" i="55"/>
  <c r="G1114" i="55"/>
  <c r="H1113" i="55"/>
  <c r="G1113" i="55"/>
  <c r="H1112" i="55"/>
  <c r="G1112" i="55"/>
  <c r="H1111" i="55"/>
  <c r="G1111" i="55"/>
  <c r="H1110" i="55"/>
  <c r="G1110" i="55"/>
  <c r="H1109" i="55"/>
  <c r="G1109" i="55"/>
  <c r="H1108" i="55"/>
  <c r="G1108" i="55"/>
  <c r="H1107" i="55"/>
  <c r="G1107" i="55"/>
  <c r="H1106" i="55"/>
  <c r="G1106" i="55"/>
  <c r="H1105" i="55"/>
  <c r="G1105" i="55"/>
  <c r="H1104" i="55"/>
  <c r="G1104" i="55"/>
  <c r="H1103" i="55"/>
  <c r="G1103" i="55"/>
  <c r="H1102" i="55"/>
  <c r="G1102" i="55"/>
  <c r="H1101" i="55"/>
  <c r="G1101" i="55"/>
  <c r="H1100" i="55"/>
  <c r="G1100" i="55"/>
  <c r="H1099" i="55"/>
  <c r="G1099" i="55"/>
  <c r="H1098" i="55"/>
  <c r="G1098" i="55"/>
  <c r="H1097" i="55"/>
  <c r="G1097" i="55"/>
  <c r="H1096" i="55"/>
  <c r="G1096" i="55"/>
  <c r="H1095" i="55"/>
  <c r="G1095" i="55"/>
  <c r="H1094" i="55"/>
  <c r="G1094" i="55"/>
  <c r="H1093" i="55"/>
  <c r="G1093" i="55"/>
  <c r="H1092" i="55"/>
  <c r="G1092" i="55"/>
  <c r="H1091" i="55"/>
  <c r="G1091" i="55"/>
  <c r="H1090" i="55"/>
  <c r="G1090" i="55"/>
  <c r="H1089" i="55"/>
  <c r="G1089" i="55"/>
  <c r="H1088" i="55"/>
  <c r="G1088" i="55"/>
  <c r="H1087" i="55"/>
  <c r="G1087" i="55"/>
  <c r="H1086" i="55"/>
  <c r="G1086" i="55"/>
  <c r="H1085" i="55"/>
  <c r="G1085" i="55"/>
  <c r="H1084" i="55"/>
  <c r="G1084" i="55"/>
  <c r="H1083" i="55"/>
  <c r="G1083" i="55"/>
  <c r="H1082" i="55"/>
  <c r="G1082" i="55"/>
  <c r="H1081" i="55"/>
  <c r="G1081" i="55"/>
  <c r="H1080" i="55"/>
  <c r="G1080" i="55"/>
  <c r="H1079" i="55"/>
  <c r="G1079" i="55"/>
  <c r="H1078" i="55"/>
  <c r="G1078" i="55"/>
  <c r="H1077" i="55"/>
  <c r="G1077" i="55"/>
  <c r="H1076" i="55"/>
  <c r="G1076" i="55"/>
  <c r="H1075" i="55"/>
  <c r="G1075" i="55"/>
  <c r="H1074" i="55"/>
  <c r="G1074" i="55"/>
  <c r="H1073" i="55"/>
  <c r="G1073" i="55"/>
  <c r="H1072" i="55"/>
  <c r="G1072" i="55"/>
  <c r="H1071" i="55"/>
  <c r="G1071" i="55"/>
  <c r="H1070" i="55"/>
  <c r="G1070" i="55"/>
  <c r="H1069" i="55"/>
  <c r="G1069" i="55"/>
  <c r="H1068" i="55"/>
  <c r="G1068" i="55"/>
  <c r="H1067" i="55"/>
  <c r="G1067" i="55"/>
  <c r="H1066" i="55"/>
  <c r="G1066" i="55"/>
  <c r="H1065" i="55"/>
  <c r="G1065" i="55"/>
  <c r="H1064" i="55"/>
  <c r="G1064" i="55"/>
  <c r="H1063" i="55"/>
  <c r="G1063" i="55"/>
  <c r="H1062" i="55"/>
  <c r="G1062" i="55"/>
  <c r="H1061" i="55"/>
  <c r="G1061" i="55"/>
  <c r="H1060" i="55"/>
  <c r="G1060" i="55"/>
  <c r="H1059" i="55"/>
  <c r="G1059" i="55"/>
  <c r="H1058" i="55"/>
  <c r="G1058" i="55"/>
  <c r="H1057" i="55"/>
  <c r="G1057" i="55"/>
  <c r="H1056" i="55"/>
  <c r="G1056" i="55"/>
  <c r="H1055" i="55"/>
  <c r="G1055" i="55"/>
  <c r="H1054" i="55"/>
  <c r="G1054" i="55"/>
  <c r="H1053" i="55"/>
  <c r="G1053" i="55"/>
  <c r="H1052" i="55"/>
  <c r="G1052" i="55"/>
  <c r="H1051" i="55"/>
  <c r="G1051" i="55"/>
  <c r="H1050" i="55"/>
  <c r="G1050" i="55"/>
  <c r="H1049" i="55"/>
  <c r="G1049" i="55"/>
  <c r="H1048" i="55"/>
  <c r="G1048" i="55"/>
  <c r="H1047" i="55"/>
  <c r="G1047" i="55"/>
  <c r="H1046" i="55"/>
  <c r="G1046" i="55"/>
  <c r="H1045" i="55"/>
  <c r="G1045" i="55"/>
  <c r="H1044" i="55"/>
  <c r="G1044" i="55"/>
  <c r="H1043" i="55"/>
  <c r="G1043" i="55"/>
  <c r="H1042" i="55"/>
  <c r="G1042" i="55"/>
  <c r="H1041" i="55"/>
  <c r="G1041" i="55"/>
  <c r="H1040" i="55"/>
  <c r="G1040" i="55"/>
  <c r="H1039" i="55"/>
  <c r="G1039" i="55"/>
  <c r="H1038" i="55"/>
  <c r="G1038" i="55"/>
  <c r="H1037" i="55"/>
  <c r="G1037" i="55"/>
  <c r="H1036" i="55"/>
  <c r="G1036" i="55"/>
  <c r="H1035" i="55"/>
  <c r="G1035" i="55"/>
  <c r="H1034" i="55"/>
  <c r="G1034" i="55"/>
  <c r="H1033" i="55"/>
  <c r="G1033" i="55"/>
  <c r="H1032" i="55"/>
  <c r="G1032" i="55"/>
  <c r="H1031" i="55"/>
  <c r="G1031" i="55"/>
  <c r="H1030" i="55"/>
  <c r="G1030" i="55"/>
  <c r="H1029" i="55"/>
  <c r="G1029" i="55"/>
  <c r="H1028" i="55"/>
  <c r="G1028" i="55"/>
  <c r="H1027" i="55"/>
  <c r="G1027" i="55"/>
  <c r="H1026" i="55"/>
  <c r="G1026" i="55"/>
  <c r="H1025" i="55"/>
  <c r="G1025" i="55"/>
  <c r="H1024" i="55"/>
  <c r="G1024" i="55"/>
  <c r="H1023" i="55"/>
  <c r="G1023" i="55"/>
  <c r="H1022" i="55"/>
  <c r="G1022" i="55"/>
  <c r="H1021" i="55"/>
  <c r="G1021" i="55"/>
  <c r="H1020" i="55"/>
  <c r="G1020" i="55"/>
  <c r="H1019" i="55"/>
  <c r="G1019" i="55"/>
  <c r="H1018" i="55"/>
  <c r="G1018" i="55"/>
  <c r="H1017" i="55"/>
  <c r="G1017" i="55"/>
  <c r="H1016" i="55"/>
  <c r="G1016" i="55"/>
  <c r="H1015" i="55"/>
  <c r="G1015" i="55"/>
  <c r="H1014" i="55"/>
  <c r="G1014" i="55"/>
  <c r="H1013" i="55"/>
  <c r="G1013" i="55"/>
  <c r="H1012" i="55"/>
  <c r="G1012" i="55"/>
  <c r="H1011" i="55"/>
  <c r="G1011" i="55"/>
  <c r="H1010" i="55"/>
  <c r="G1010" i="55"/>
  <c r="H1009" i="55"/>
  <c r="G1009" i="55"/>
  <c r="H1008" i="55"/>
  <c r="G1008" i="55"/>
  <c r="H1007" i="55"/>
  <c r="G1007" i="55"/>
  <c r="H1006" i="55"/>
  <c r="G1006" i="55"/>
  <c r="H1005" i="55"/>
  <c r="G1005" i="55"/>
  <c r="H1004" i="55"/>
  <c r="G1004" i="55"/>
  <c r="H1003" i="55"/>
  <c r="G1003" i="55"/>
  <c r="H1002" i="55"/>
  <c r="G1002" i="55"/>
  <c r="H1001" i="55"/>
  <c r="G1001" i="55"/>
  <c r="H1000" i="55"/>
  <c r="G1000" i="55"/>
  <c r="H999" i="55"/>
  <c r="G999" i="55"/>
  <c r="H998" i="55"/>
  <c r="G998" i="55"/>
  <c r="H997" i="55"/>
  <c r="G997" i="55"/>
  <c r="H996" i="55"/>
  <c r="G996" i="55"/>
  <c r="H995" i="55"/>
  <c r="G995" i="55"/>
  <c r="H994" i="55"/>
  <c r="G994" i="55"/>
  <c r="H993" i="55"/>
  <c r="G993" i="55"/>
  <c r="H992" i="55"/>
  <c r="G992" i="55"/>
  <c r="H991" i="55"/>
  <c r="G991" i="55"/>
  <c r="H990" i="55"/>
  <c r="G990" i="55"/>
  <c r="H989" i="55"/>
  <c r="G989" i="55"/>
  <c r="H988" i="55"/>
  <c r="G988" i="55"/>
  <c r="H987" i="55"/>
  <c r="G987" i="55"/>
  <c r="H986" i="55"/>
  <c r="G986" i="55"/>
  <c r="H985" i="55"/>
  <c r="G985" i="55"/>
  <c r="H984" i="55"/>
  <c r="G984" i="55"/>
  <c r="H983" i="55"/>
  <c r="G983" i="55"/>
  <c r="H982" i="55"/>
  <c r="G982" i="55"/>
  <c r="H981" i="55"/>
  <c r="G981" i="55"/>
  <c r="H980" i="55"/>
  <c r="G980" i="55"/>
  <c r="H979" i="55"/>
  <c r="G979" i="55"/>
  <c r="H978" i="55"/>
  <c r="G978" i="55"/>
  <c r="H977" i="55"/>
  <c r="G977" i="55"/>
  <c r="H976" i="55"/>
  <c r="G976" i="55"/>
  <c r="H975" i="55"/>
  <c r="G975" i="55"/>
  <c r="H974" i="55"/>
  <c r="G974" i="55"/>
  <c r="H973" i="55"/>
  <c r="G973" i="55"/>
  <c r="H972" i="55"/>
  <c r="G972" i="55"/>
  <c r="H971" i="55"/>
  <c r="G971" i="55"/>
  <c r="H970" i="55"/>
  <c r="G970" i="55"/>
  <c r="H969" i="55"/>
  <c r="G969" i="55"/>
  <c r="H968" i="55"/>
  <c r="G968" i="55"/>
  <c r="H967" i="55"/>
  <c r="G967" i="55"/>
  <c r="H966" i="55"/>
  <c r="G966" i="55"/>
  <c r="H965" i="55"/>
  <c r="G965" i="55"/>
  <c r="H964" i="55"/>
  <c r="G964" i="55"/>
  <c r="H963" i="55"/>
  <c r="G963" i="55"/>
  <c r="H962" i="55"/>
  <c r="G962" i="55"/>
  <c r="H961" i="55"/>
  <c r="G961" i="55"/>
  <c r="H960" i="55"/>
  <c r="G960" i="55"/>
  <c r="H959" i="55"/>
  <c r="G959" i="55"/>
  <c r="H958" i="55"/>
  <c r="G958" i="55"/>
  <c r="H957" i="55"/>
  <c r="G957" i="55"/>
  <c r="H956" i="55"/>
  <c r="G956" i="55"/>
  <c r="H955" i="55"/>
  <c r="G955" i="55"/>
  <c r="H954" i="55"/>
  <c r="G954" i="55"/>
  <c r="H953" i="55"/>
  <c r="G953" i="55"/>
  <c r="H952" i="55"/>
  <c r="G952" i="55"/>
  <c r="H951" i="55"/>
  <c r="G951" i="55"/>
  <c r="H950" i="55"/>
  <c r="G950" i="55"/>
  <c r="H949" i="55"/>
  <c r="G949" i="55"/>
  <c r="H948" i="55"/>
  <c r="G948" i="55"/>
  <c r="H947" i="55"/>
  <c r="G947" i="55"/>
  <c r="H946" i="55"/>
  <c r="G946" i="55"/>
  <c r="H945" i="55"/>
  <c r="G945" i="55"/>
  <c r="H944" i="55"/>
  <c r="G944" i="55"/>
  <c r="H943" i="55"/>
  <c r="G943" i="55"/>
  <c r="H942" i="55"/>
  <c r="G942" i="55"/>
  <c r="H941" i="55"/>
  <c r="G941" i="55"/>
  <c r="H940" i="55"/>
  <c r="G940" i="55"/>
  <c r="H939" i="55"/>
  <c r="G939" i="55"/>
  <c r="H938" i="55"/>
  <c r="G938" i="55"/>
  <c r="H937" i="55"/>
  <c r="G937" i="55"/>
  <c r="H936" i="55"/>
  <c r="G936" i="55"/>
  <c r="H935" i="55"/>
  <c r="G935" i="55"/>
  <c r="H934" i="55"/>
  <c r="G934" i="55"/>
  <c r="H933" i="55"/>
  <c r="G933" i="55"/>
  <c r="H932" i="55"/>
  <c r="G932" i="55"/>
  <c r="H931" i="55"/>
  <c r="G931" i="55"/>
  <c r="H930" i="55"/>
  <c r="G930" i="55"/>
  <c r="H929" i="55"/>
  <c r="G929" i="55"/>
  <c r="H928" i="55"/>
  <c r="G928" i="55"/>
  <c r="H927" i="55"/>
  <c r="G927" i="55"/>
  <c r="H926" i="55"/>
  <c r="G926" i="55"/>
  <c r="H925" i="55"/>
  <c r="G925" i="55"/>
  <c r="H924" i="55"/>
  <c r="G924" i="55"/>
  <c r="H923" i="55"/>
  <c r="G923" i="55"/>
  <c r="H922" i="55"/>
  <c r="G922" i="55"/>
  <c r="H921" i="55"/>
  <c r="G921" i="55"/>
  <c r="H920" i="55"/>
  <c r="G920" i="55"/>
  <c r="H919" i="55"/>
  <c r="G919" i="55"/>
  <c r="H918" i="55"/>
  <c r="G918" i="55"/>
  <c r="H917" i="55"/>
  <c r="G917" i="55"/>
  <c r="H916" i="55"/>
  <c r="G916" i="55"/>
  <c r="H915" i="55"/>
  <c r="G915" i="55"/>
  <c r="H914" i="55"/>
  <c r="G914" i="55"/>
  <c r="H913" i="55"/>
  <c r="G913" i="55"/>
  <c r="H912" i="55"/>
  <c r="G912" i="55"/>
  <c r="H911" i="55"/>
  <c r="G911" i="55"/>
  <c r="H910" i="55"/>
  <c r="G910" i="55"/>
  <c r="H909" i="55"/>
  <c r="G909" i="55"/>
  <c r="H908" i="55"/>
  <c r="G908" i="55"/>
  <c r="H907" i="55"/>
  <c r="G907" i="55"/>
  <c r="H906" i="55"/>
  <c r="G906" i="55"/>
  <c r="H905" i="55"/>
  <c r="G905" i="55"/>
  <c r="H904" i="55"/>
  <c r="G904" i="55"/>
  <c r="H903" i="55"/>
  <c r="G903" i="55"/>
  <c r="H902" i="55"/>
  <c r="G902" i="55"/>
  <c r="H901" i="55"/>
  <c r="G901" i="55"/>
  <c r="H900" i="55"/>
  <c r="G900" i="55"/>
  <c r="H899" i="55"/>
  <c r="G899" i="55"/>
  <c r="H898" i="55"/>
  <c r="G898" i="55"/>
  <c r="H897" i="55"/>
  <c r="G897" i="55"/>
  <c r="H896" i="55"/>
  <c r="G896" i="55"/>
  <c r="H895" i="55"/>
  <c r="G895" i="55"/>
  <c r="H894" i="55"/>
  <c r="G894" i="55"/>
  <c r="H893" i="55"/>
  <c r="G893" i="55"/>
  <c r="H892" i="55"/>
  <c r="G892" i="55"/>
  <c r="H891" i="55"/>
  <c r="G891" i="55"/>
  <c r="H890" i="55"/>
  <c r="G890" i="55"/>
  <c r="H889" i="55"/>
  <c r="G889" i="55"/>
  <c r="H888" i="55"/>
  <c r="G888" i="55"/>
  <c r="H887" i="55"/>
  <c r="G887" i="55"/>
  <c r="H886" i="55"/>
  <c r="G886" i="55"/>
  <c r="H885" i="55"/>
  <c r="G885" i="55"/>
  <c r="H884" i="55"/>
  <c r="G884" i="55"/>
  <c r="H883" i="55"/>
  <c r="G883" i="55"/>
  <c r="H882" i="55"/>
  <c r="G882" i="55"/>
  <c r="H881" i="55"/>
  <c r="G881" i="55"/>
  <c r="H880" i="55"/>
  <c r="G880" i="55"/>
  <c r="H879" i="55"/>
  <c r="G879" i="55"/>
  <c r="H878" i="55"/>
  <c r="G878" i="55"/>
  <c r="H877" i="55"/>
  <c r="G877" i="55"/>
  <c r="H876" i="55"/>
  <c r="G876" i="55"/>
  <c r="H875" i="55"/>
  <c r="G875" i="55"/>
  <c r="H874" i="55"/>
  <c r="G874" i="55"/>
  <c r="H873" i="55"/>
  <c r="G873" i="55"/>
  <c r="H872" i="55"/>
  <c r="G872" i="55"/>
  <c r="H871" i="55"/>
  <c r="G871" i="55"/>
  <c r="H870" i="55"/>
  <c r="G870" i="55"/>
  <c r="H869" i="55"/>
  <c r="G869" i="55"/>
  <c r="H868" i="55"/>
  <c r="G868" i="55"/>
  <c r="H867" i="55"/>
  <c r="G867" i="55"/>
  <c r="H866" i="55"/>
  <c r="G866" i="55"/>
  <c r="H865" i="55"/>
  <c r="G865" i="55"/>
  <c r="H864" i="55"/>
  <c r="G864" i="55"/>
  <c r="H863" i="55"/>
  <c r="G863" i="55"/>
  <c r="H862" i="55"/>
  <c r="G862" i="55"/>
  <c r="H861" i="55"/>
  <c r="G861" i="55"/>
  <c r="H860" i="55"/>
  <c r="G860" i="55"/>
  <c r="H859" i="55"/>
  <c r="G859" i="55"/>
  <c r="H858" i="55"/>
  <c r="G858" i="55"/>
  <c r="H857" i="55"/>
  <c r="G857" i="55"/>
  <c r="H856" i="55"/>
  <c r="G856" i="55"/>
  <c r="H855" i="55"/>
  <c r="G855" i="55"/>
  <c r="H854" i="55"/>
  <c r="G854" i="55"/>
  <c r="H853" i="55"/>
  <c r="G853" i="55"/>
  <c r="H852" i="55"/>
  <c r="G852" i="55"/>
  <c r="H851" i="55"/>
  <c r="G851" i="55"/>
  <c r="H850" i="55"/>
  <c r="G850" i="55"/>
  <c r="H849" i="55"/>
  <c r="G849" i="55"/>
  <c r="H848" i="55"/>
  <c r="G848" i="55"/>
  <c r="H847" i="55"/>
  <c r="G847" i="55"/>
  <c r="H846" i="55"/>
  <c r="G846" i="55"/>
  <c r="H845" i="55"/>
  <c r="G845" i="55"/>
  <c r="H844" i="55"/>
  <c r="G844" i="55"/>
  <c r="H843" i="55"/>
  <c r="G843" i="55"/>
  <c r="H842" i="55"/>
  <c r="G842" i="55"/>
  <c r="H841" i="55"/>
  <c r="G841" i="55"/>
  <c r="H840" i="55"/>
  <c r="G840" i="55"/>
  <c r="H839" i="55"/>
  <c r="G839" i="55"/>
  <c r="H838" i="55"/>
  <c r="G838" i="55"/>
  <c r="H837" i="55"/>
  <c r="G837" i="55"/>
  <c r="H836" i="55"/>
  <c r="G836" i="55"/>
  <c r="H835" i="55"/>
  <c r="G835" i="55"/>
  <c r="H834" i="55"/>
  <c r="G834" i="55"/>
  <c r="H833" i="55"/>
  <c r="G833" i="55"/>
  <c r="H832" i="55"/>
  <c r="G832" i="55"/>
  <c r="H831" i="55"/>
  <c r="G831" i="55"/>
  <c r="H830" i="55"/>
  <c r="G830" i="55"/>
  <c r="H829" i="55"/>
  <c r="G829" i="55"/>
  <c r="H828" i="55"/>
  <c r="G828" i="55"/>
  <c r="H827" i="55"/>
  <c r="G827" i="55"/>
  <c r="H826" i="55"/>
  <c r="G826" i="55"/>
  <c r="H825" i="55"/>
  <c r="G825" i="55"/>
  <c r="H824" i="55"/>
  <c r="G824" i="55"/>
  <c r="H823" i="55"/>
  <c r="G823" i="55"/>
  <c r="H822" i="55"/>
  <c r="G822" i="55"/>
  <c r="H821" i="55"/>
  <c r="G821" i="55"/>
  <c r="H820" i="55"/>
  <c r="G820" i="55"/>
  <c r="H819" i="55"/>
  <c r="G819" i="55"/>
  <c r="H818" i="55"/>
  <c r="G818" i="55"/>
  <c r="H817" i="55"/>
  <c r="G817" i="55"/>
  <c r="H816" i="55"/>
  <c r="G816" i="55"/>
  <c r="H815" i="55"/>
  <c r="G815" i="55"/>
  <c r="H814" i="55"/>
  <c r="G814" i="55"/>
  <c r="H813" i="55"/>
  <c r="G813" i="55"/>
  <c r="H812" i="55"/>
  <c r="G812" i="55"/>
  <c r="H811" i="55"/>
  <c r="G811" i="55"/>
  <c r="H810" i="55"/>
  <c r="G810" i="55"/>
  <c r="H809" i="55"/>
  <c r="G809" i="55"/>
  <c r="H808" i="55"/>
  <c r="G808" i="55"/>
  <c r="H807" i="55"/>
  <c r="G807" i="55"/>
  <c r="H806" i="55"/>
  <c r="G806" i="55"/>
  <c r="H805" i="55"/>
  <c r="G805" i="55"/>
  <c r="H804" i="55"/>
  <c r="G804" i="55"/>
  <c r="H803" i="55"/>
  <c r="G803" i="55"/>
  <c r="H802" i="55"/>
  <c r="G802" i="55"/>
  <c r="H801" i="55"/>
  <c r="G801" i="55"/>
  <c r="H800" i="55"/>
  <c r="G800" i="55"/>
  <c r="H799" i="55"/>
  <c r="G799" i="55"/>
  <c r="H798" i="55"/>
  <c r="G798" i="55"/>
  <c r="H797" i="55"/>
  <c r="G797" i="55"/>
  <c r="H796" i="55"/>
  <c r="G796" i="55"/>
  <c r="H795" i="55"/>
  <c r="G795" i="55"/>
  <c r="H794" i="55"/>
  <c r="G794" i="55"/>
  <c r="H793" i="55"/>
  <c r="G793" i="55"/>
  <c r="H792" i="55"/>
  <c r="G792" i="55"/>
  <c r="H791" i="55"/>
  <c r="G791" i="55"/>
  <c r="H790" i="55"/>
  <c r="G790" i="55"/>
  <c r="H789" i="55"/>
  <c r="G789" i="55"/>
  <c r="H788" i="55"/>
  <c r="G788" i="55"/>
  <c r="H787" i="55"/>
  <c r="G787" i="55"/>
  <c r="H786" i="55"/>
  <c r="G786" i="55"/>
  <c r="H785" i="55"/>
  <c r="G785" i="55"/>
  <c r="H784" i="55"/>
  <c r="G784" i="55"/>
  <c r="H783" i="55"/>
  <c r="G783" i="55"/>
  <c r="H782" i="55"/>
  <c r="G782" i="55"/>
  <c r="H781" i="55"/>
  <c r="G781" i="55"/>
  <c r="H780" i="55"/>
  <c r="G780" i="55"/>
  <c r="H779" i="55"/>
  <c r="G779" i="55"/>
  <c r="H778" i="55"/>
  <c r="G778" i="55"/>
  <c r="H777" i="55"/>
  <c r="G777" i="55"/>
  <c r="H776" i="55"/>
  <c r="G776" i="55"/>
  <c r="H775" i="55"/>
  <c r="G775" i="55"/>
  <c r="H774" i="55"/>
  <c r="G774" i="55"/>
  <c r="H773" i="55"/>
  <c r="G773" i="55"/>
  <c r="H772" i="55"/>
  <c r="G772" i="55"/>
  <c r="H771" i="55"/>
  <c r="G771" i="55"/>
  <c r="H770" i="55"/>
  <c r="G770" i="55"/>
  <c r="H769" i="55"/>
  <c r="G769" i="55"/>
  <c r="H768" i="55"/>
  <c r="G768" i="55"/>
  <c r="H767" i="55"/>
  <c r="G767" i="55"/>
  <c r="H766" i="55"/>
  <c r="G766" i="55"/>
  <c r="H765" i="55"/>
  <c r="G765" i="55"/>
  <c r="H764" i="55"/>
  <c r="G764" i="55"/>
  <c r="H763" i="55"/>
  <c r="G763" i="55"/>
  <c r="H762" i="55"/>
  <c r="G762" i="55"/>
  <c r="H761" i="55"/>
  <c r="G761" i="55"/>
  <c r="H760" i="55"/>
  <c r="G760" i="55"/>
  <c r="H759" i="55"/>
  <c r="G759" i="55"/>
  <c r="H758" i="55"/>
  <c r="G758" i="55"/>
  <c r="H757" i="55"/>
  <c r="G757" i="55"/>
  <c r="H756" i="55"/>
  <c r="G756" i="55"/>
  <c r="H755" i="55"/>
  <c r="G755" i="55"/>
  <c r="H754" i="55"/>
  <c r="G754" i="55"/>
  <c r="H753" i="55"/>
  <c r="G753" i="55"/>
  <c r="H752" i="55"/>
  <c r="G752" i="55"/>
  <c r="H751" i="55"/>
  <c r="G751" i="55"/>
  <c r="H750" i="55"/>
  <c r="G750" i="55"/>
  <c r="H749" i="55"/>
  <c r="G749" i="55"/>
  <c r="H748" i="55"/>
  <c r="G748" i="55"/>
  <c r="H747" i="55"/>
  <c r="G747" i="55"/>
  <c r="H746" i="55"/>
  <c r="G746" i="55"/>
  <c r="H745" i="55"/>
  <c r="G745" i="55"/>
  <c r="H744" i="55"/>
  <c r="G744" i="55"/>
  <c r="H743" i="55"/>
  <c r="G743" i="55"/>
  <c r="H742" i="55"/>
  <c r="G742" i="55"/>
  <c r="H741" i="55"/>
  <c r="G741" i="55"/>
  <c r="H740" i="55"/>
  <c r="G740" i="55"/>
  <c r="H739" i="55"/>
  <c r="G739" i="55"/>
  <c r="H738" i="55"/>
  <c r="G738" i="55"/>
  <c r="H737" i="55"/>
  <c r="G737" i="55"/>
  <c r="H736" i="55"/>
  <c r="G736" i="55"/>
  <c r="H735" i="55"/>
  <c r="G735" i="55"/>
  <c r="H734" i="55"/>
  <c r="G734" i="55"/>
  <c r="H733" i="55"/>
  <c r="G733" i="55"/>
  <c r="H732" i="55"/>
  <c r="G732" i="55"/>
  <c r="H731" i="55"/>
  <c r="G731" i="55"/>
  <c r="H730" i="55"/>
  <c r="G730" i="55"/>
  <c r="H729" i="55"/>
  <c r="G729" i="55"/>
  <c r="H728" i="55"/>
  <c r="G728" i="55"/>
  <c r="H727" i="55"/>
  <c r="G727" i="55"/>
  <c r="H726" i="55"/>
  <c r="G726" i="55"/>
  <c r="H725" i="55"/>
  <c r="G725" i="55"/>
  <c r="H724" i="55"/>
  <c r="G724" i="55"/>
  <c r="H723" i="55"/>
  <c r="G723" i="55"/>
  <c r="H722" i="55"/>
  <c r="G722" i="55"/>
  <c r="H721" i="55"/>
  <c r="G721" i="55"/>
  <c r="H720" i="55"/>
  <c r="G720" i="55"/>
  <c r="H719" i="55"/>
  <c r="G719" i="55"/>
  <c r="H718" i="55"/>
  <c r="G718" i="55"/>
  <c r="H717" i="55"/>
  <c r="G717" i="55"/>
  <c r="H716" i="55"/>
  <c r="G716" i="55"/>
  <c r="H715" i="55"/>
  <c r="G715" i="55"/>
  <c r="H714" i="55"/>
  <c r="G714" i="55"/>
  <c r="H713" i="55"/>
  <c r="G713" i="55"/>
  <c r="H712" i="55"/>
  <c r="G712" i="55"/>
  <c r="H711" i="55"/>
  <c r="G711" i="55"/>
  <c r="H710" i="55"/>
  <c r="G710" i="55"/>
  <c r="H709" i="55"/>
  <c r="G709" i="55"/>
  <c r="H708" i="55"/>
  <c r="G708" i="55"/>
  <c r="H707" i="55"/>
  <c r="G707" i="55"/>
  <c r="H706" i="55"/>
  <c r="G706" i="55"/>
  <c r="H705" i="55"/>
  <c r="G705" i="55"/>
  <c r="H704" i="55"/>
  <c r="G704" i="55"/>
  <c r="H703" i="55"/>
  <c r="G703" i="55"/>
  <c r="H702" i="55"/>
  <c r="G702" i="55"/>
  <c r="H701" i="55"/>
  <c r="G701" i="55"/>
  <c r="H700" i="55"/>
  <c r="G700" i="55"/>
  <c r="H699" i="55"/>
  <c r="G699" i="55"/>
  <c r="H698" i="55"/>
  <c r="G698" i="55"/>
  <c r="H697" i="55"/>
  <c r="G697" i="55"/>
  <c r="H696" i="55"/>
  <c r="G696" i="55"/>
  <c r="H695" i="55"/>
  <c r="G695" i="55"/>
  <c r="H694" i="55"/>
  <c r="G694" i="55"/>
  <c r="H693" i="55"/>
  <c r="G693" i="55"/>
  <c r="H692" i="55"/>
  <c r="G692" i="55"/>
  <c r="H691" i="55"/>
  <c r="G691" i="55"/>
  <c r="H690" i="55"/>
  <c r="G690" i="55"/>
  <c r="H689" i="55"/>
  <c r="G689" i="55"/>
  <c r="H688" i="55"/>
  <c r="G688" i="55"/>
  <c r="H687" i="55"/>
  <c r="G687" i="55"/>
  <c r="H686" i="55"/>
  <c r="G686" i="55"/>
  <c r="H685" i="55"/>
  <c r="G685" i="55"/>
  <c r="H684" i="55"/>
  <c r="G684" i="55"/>
  <c r="H683" i="55"/>
  <c r="G683" i="55"/>
  <c r="H682" i="55"/>
  <c r="G682" i="55"/>
  <c r="H681" i="55"/>
  <c r="G681" i="55"/>
  <c r="H680" i="55"/>
  <c r="G680" i="55"/>
  <c r="H679" i="55"/>
  <c r="G679" i="55"/>
  <c r="H678" i="55"/>
  <c r="G678" i="55"/>
  <c r="H677" i="55"/>
  <c r="G677" i="55"/>
  <c r="H676" i="55"/>
  <c r="G676" i="55"/>
  <c r="H675" i="55"/>
  <c r="G675" i="55"/>
  <c r="H674" i="55"/>
  <c r="G674" i="55"/>
  <c r="H673" i="55"/>
  <c r="G673" i="55"/>
  <c r="H672" i="55"/>
  <c r="G672" i="55"/>
  <c r="H671" i="55"/>
  <c r="G671" i="55"/>
  <c r="H670" i="55"/>
  <c r="G670" i="55"/>
  <c r="H669" i="55"/>
  <c r="G669" i="55"/>
  <c r="H668" i="55"/>
  <c r="G668" i="55"/>
  <c r="H667" i="55"/>
  <c r="G667" i="55"/>
  <c r="H666" i="55"/>
  <c r="G666" i="55"/>
  <c r="H665" i="55"/>
  <c r="G665" i="55"/>
  <c r="H664" i="55"/>
  <c r="G664" i="55"/>
  <c r="H663" i="55"/>
  <c r="G663" i="55"/>
  <c r="H662" i="55"/>
  <c r="G662" i="55"/>
  <c r="H661" i="55"/>
  <c r="G661" i="55"/>
  <c r="H660" i="55"/>
  <c r="G660" i="55"/>
  <c r="H659" i="55"/>
  <c r="G659" i="55"/>
  <c r="H658" i="55"/>
  <c r="G658" i="55"/>
  <c r="H657" i="55"/>
  <c r="G657" i="55"/>
  <c r="H656" i="55"/>
  <c r="G656" i="55"/>
  <c r="H655" i="55"/>
  <c r="G655" i="55"/>
  <c r="H654" i="55"/>
  <c r="G654" i="55"/>
  <c r="H653" i="55"/>
  <c r="G653" i="55"/>
  <c r="H652" i="55"/>
  <c r="G652" i="55"/>
  <c r="H651" i="55"/>
  <c r="G651" i="55"/>
  <c r="H650" i="55"/>
  <c r="G650" i="55"/>
  <c r="H649" i="55"/>
  <c r="G649" i="55"/>
  <c r="H648" i="55"/>
  <c r="G648" i="55"/>
  <c r="H647" i="55"/>
  <c r="G647" i="55"/>
  <c r="H646" i="55"/>
  <c r="G646" i="55"/>
  <c r="H645" i="55"/>
  <c r="G645" i="55"/>
  <c r="H644" i="55"/>
  <c r="G644" i="55"/>
  <c r="H643" i="55"/>
  <c r="G643" i="55"/>
  <c r="H642" i="55"/>
  <c r="G642" i="55"/>
  <c r="H641" i="55"/>
  <c r="G641" i="55"/>
  <c r="H640" i="55"/>
  <c r="G640" i="55"/>
  <c r="H639" i="55"/>
  <c r="G639" i="55"/>
  <c r="H638" i="55"/>
  <c r="G638" i="55"/>
  <c r="H637" i="55"/>
  <c r="G637" i="55"/>
  <c r="H636" i="55"/>
  <c r="G636" i="55"/>
  <c r="H635" i="55"/>
  <c r="G635" i="55"/>
  <c r="H634" i="55"/>
  <c r="G634" i="55"/>
  <c r="H633" i="55"/>
  <c r="G633" i="55"/>
  <c r="H632" i="55"/>
  <c r="G632" i="55"/>
  <c r="H631" i="55"/>
  <c r="G631" i="55"/>
  <c r="H630" i="55"/>
  <c r="G630" i="55"/>
  <c r="H629" i="55"/>
  <c r="G629" i="55"/>
  <c r="H628" i="55"/>
  <c r="G628" i="55"/>
  <c r="H627" i="55"/>
  <c r="G627" i="55"/>
  <c r="H626" i="55"/>
  <c r="G626" i="55"/>
  <c r="H625" i="55"/>
  <c r="G625" i="55"/>
  <c r="H624" i="55"/>
  <c r="G624" i="55"/>
  <c r="H623" i="55"/>
  <c r="G623" i="55"/>
  <c r="H622" i="55"/>
  <c r="G622" i="55"/>
  <c r="H621" i="55"/>
  <c r="G621" i="55"/>
  <c r="H620" i="55"/>
  <c r="G620" i="55"/>
  <c r="H619" i="55"/>
  <c r="G619" i="55"/>
  <c r="H618" i="55"/>
  <c r="G618" i="55"/>
  <c r="H617" i="55"/>
  <c r="G617" i="55"/>
  <c r="H616" i="55"/>
  <c r="G616" i="55"/>
  <c r="H615" i="55"/>
  <c r="G615" i="55"/>
  <c r="H614" i="55"/>
  <c r="G614" i="55"/>
  <c r="H613" i="55"/>
  <c r="G613" i="55"/>
  <c r="H612" i="55"/>
  <c r="G612" i="55"/>
  <c r="H611" i="55"/>
  <c r="G611" i="55"/>
  <c r="H610" i="55"/>
  <c r="G610" i="55"/>
  <c r="H609" i="55"/>
  <c r="G609" i="55"/>
  <c r="H608" i="55"/>
  <c r="G608" i="55"/>
  <c r="H607" i="55"/>
  <c r="G607" i="55"/>
  <c r="H606" i="55"/>
  <c r="G606" i="55"/>
  <c r="H605" i="55"/>
  <c r="G605" i="55"/>
  <c r="H604" i="55"/>
  <c r="G604" i="55"/>
  <c r="H603" i="55"/>
  <c r="G603" i="55"/>
  <c r="H602" i="55"/>
  <c r="G602" i="55"/>
  <c r="H601" i="55"/>
  <c r="G601" i="55"/>
  <c r="H600" i="55"/>
  <c r="G600" i="55"/>
  <c r="H599" i="55"/>
  <c r="G599" i="55"/>
  <c r="H598" i="55"/>
  <c r="G598" i="55"/>
  <c r="H597" i="55"/>
  <c r="G597" i="55"/>
  <c r="H596" i="55"/>
  <c r="G596" i="55"/>
  <c r="H595" i="55"/>
  <c r="G595" i="55"/>
  <c r="H594" i="55"/>
  <c r="G594" i="55"/>
  <c r="H593" i="55"/>
  <c r="G593" i="55"/>
  <c r="H592" i="55"/>
  <c r="G592" i="55"/>
  <c r="H591" i="55"/>
  <c r="G591" i="55"/>
  <c r="H590" i="55"/>
  <c r="G590" i="55"/>
  <c r="H589" i="55"/>
  <c r="G589" i="55"/>
  <c r="H588" i="55"/>
  <c r="G588" i="55"/>
  <c r="H587" i="55"/>
  <c r="G587" i="55"/>
  <c r="H586" i="55"/>
  <c r="G586" i="55"/>
  <c r="H585" i="55"/>
  <c r="G585" i="55"/>
  <c r="H584" i="55"/>
  <c r="G584" i="55"/>
  <c r="H583" i="55"/>
  <c r="G583" i="55"/>
  <c r="H582" i="55"/>
  <c r="G582" i="55"/>
  <c r="H581" i="55"/>
  <c r="G581" i="55"/>
  <c r="H580" i="55"/>
  <c r="G580" i="55"/>
  <c r="H579" i="55"/>
  <c r="G579" i="55"/>
  <c r="H578" i="55"/>
  <c r="G578" i="55"/>
  <c r="H577" i="55"/>
  <c r="G577" i="55"/>
  <c r="H576" i="55"/>
  <c r="G576" i="55"/>
  <c r="H575" i="55"/>
  <c r="G575" i="55"/>
  <c r="H574" i="55"/>
  <c r="G574" i="55"/>
  <c r="H573" i="55"/>
  <c r="G573" i="55"/>
  <c r="H572" i="55"/>
  <c r="G572" i="55"/>
  <c r="H571" i="55"/>
  <c r="G571" i="55"/>
  <c r="H570" i="55"/>
  <c r="G570" i="55"/>
  <c r="H569" i="55"/>
  <c r="G569" i="55"/>
  <c r="H568" i="55"/>
  <c r="G568" i="55"/>
  <c r="H567" i="55"/>
  <c r="G567" i="55"/>
  <c r="H566" i="55"/>
  <c r="G566" i="55"/>
  <c r="H565" i="55"/>
  <c r="G565" i="55"/>
  <c r="H564" i="55"/>
  <c r="G564" i="55"/>
  <c r="H563" i="55"/>
  <c r="G563" i="55"/>
  <c r="H562" i="55"/>
  <c r="G562" i="55"/>
  <c r="H561" i="55"/>
  <c r="G561" i="55"/>
  <c r="H560" i="55"/>
  <c r="G560" i="55"/>
  <c r="H559" i="55"/>
  <c r="G559" i="55"/>
  <c r="H558" i="55"/>
  <c r="G558" i="55"/>
  <c r="H557" i="55"/>
  <c r="G557" i="55"/>
  <c r="H556" i="55"/>
  <c r="G556" i="55"/>
  <c r="H555" i="55"/>
  <c r="G555" i="55"/>
  <c r="H554" i="55"/>
  <c r="G554" i="55"/>
  <c r="H553" i="55"/>
  <c r="G553" i="55"/>
  <c r="H552" i="55"/>
  <c r="G552" i="55"/>
  <c r="H551" i="55"/>
  <c r="G551" i="55"/>
  <c r="H550" i="55"/>
  <c r="G550" i="55"/>
  <c r="H549" i="55"/>
  <c r="G549" i="55"/>
  <c r="H548" i="55"/>
  <c r="G548" i="55"/>
  <c r="H547" i="55"/>
  <c r="G547" i="55"/>
  <c r="H546" i="55"/>
  <c r="G546" i="55"/>
  <c r="H545" i="55"/>
  <c r="G545" i="55"/>
  <c r="H544" i="55"/>
  <c r="G544" i="55"/>
  <c r="H543" i="55"/>
  <c r="G543" i="55"/>
  <c r="H542" i="55"/>
  <c r="G542" i="55"/>
  <c r="H541" i="55"/>
  <c r="G541" i="55"/>
  <c r="H540" i="55"/>
  <c r="G540" i="55"/>
  <c r="H539" i="55"/>
  <c r="G539" i="55"/>
  <c r="H538" i="55"/>
  <c r="G538" i="55"/>
  <c r="H537" i="55"/>
  <c r="G537" i="55"/>
  <c r="H536" i="55"/>
  <c r="G536" i="55"/>
  <c r="H535" i="55"/>
  <c r="G535" i="55"/>
  <c r="H534" i="55"/>
  <c r="G534" i="55"/>
  <c r="H533" i="55"/>
  <c r="G533" i="55"/>
  <c r="H532" i="55"/>
  <c r="G532" i="55"/>
  <c r="H531" i="55"/>
  <c r="G531" i="55"/>
  <c r="H530" i="55"/>
  <c r="G530" i="55"/>
  <c r="H529" i="55"/>
  <c r="G529" i="55"/>
  <c r="H528" i="55"/>
  <c r="G528" i="55"/>
  <c r="H527" i="55"/>
  <c r="G527" i="55"/>
  <c r="H526" i="55"/>
  <c r="G526" i="55"/>
  <c r="H525" i="55"/>
  <c r="G525" i="55"/>
  <c r="H524" i="55"/>
  <c r="G524" i="55"/>
  <c r="H523" i="55"/>
  <c r="G523" i="55"/>
  <c r="H522" i="55"/>
  <c r="G522" i="55"/>
  <c r="H521" i="55"/>
  <c r="G521" i="55"/>
  <c r="H520" i="55"/>
  <c r="G520" i="55"/>
  <c r="H519" i="55"/>
  <c r="G519" i="55"/>
  <c r="H518" i="55"/>
  <c r="G518" i="55"/>
  <c r="H517" i="55"/>
  <c r="G517" i="55"/>
  <c r="H516" i="55"/>
  <c r="G516" i="55"/>
  <c r="H515" i="55"/>
  <c r="G515" i="55"/>
  <c r="H514" i="55"/>
  <c r="G514" i="55"/>
  <c r="H513" i="55"/>
  <c r="G513" i="55"/>
  <c r="H512" i="55"/>
  <c r="G512" i="55"/>
  <c r="H511" i="55"/>
  <c r="G511" i="55"/>
  <c r="H510" i="55"/>
  <c r="G510" i="55"/>
  <c r="H509" i="55"/>
  <c r="G509" i="55"/>
  <c r="H508" i="55"/>
  <c r="G508" i="55"/>
  <c r="H507" i="55"/>
  <c r="G507" i="55"/>
  <c r="H506" i="55"/>
  <c r="G506" i="55"/>
  <c r="H505" i="55"/>
  <c r="G505" i="55"/>
  <c r="H504" i="55"/>
  <c r="G504" i="55"/>
  <c r="H503" i="55"/>
  <c r="G503" i="55"/>
  <c r="H502" i="55"/>
  <c r="G502" i="55"/>
  <c r="H501" i="55"/>
  <c r="G501" i="55"/>
  <c r="H500" i="55"/>
  <c r="G500" i="55"/>
  <c r="H499" i="55"/>
  <c r="G499" i="55"/>
  <c r="H498" i="55"/>
  <c r="G498" i="55"/>
  <c r="H497" i="55"/>
  <c r="G497" i="55"/>
  <c r="H496" i="55"/>
  <c r="G496" i="55"/>
  <c r="H495" i="55"/>
  <c r="G495" i="55"/>
  <c r="H494" i="55"/>
  <c r="G494" i="55"/>
  <c r="H493" i="55"/>
  <c r="G493" i="55"/>
  <c r="H492" i="55"/>
  <c r="G492" i="55"/>
  <c r="H491" i="55"/>
  <c r="G491" i="55"/>
  <c r="H490" i="55"/>
  <c r="G490" i="55"/>
  <c r="H489" i="55"/>
  <c r="G489" i="55"/>
  <c r="H488" i="55"/>
  <c r="G488" i="55"/>
  <c r="H487" i="55"/>
  <c r="G487" i="55"/>
  <c r="H486" i="55"/>
  <c r="G486" i="55"/>
  <c r="H485" i="55"/>
  <c r="G485" i="55"/>
  <c r="H484" i="55"/>
  <c r="G484" i="55"/>
  <c r="H483" i="55"/>
  <c r="G483" i="55"/>
  <c r="H482" i="55"/>
  <c r="G482" i="55"/>
  <c r="H481" i="55"/>
  <c r="G481" i="55"/>
  <c r="H480" i="55"/>
  <c r="G480" i="55"/>
  <c r="H479" i="55"/>
  <c r="G479" i="55"/>
  <c r="H478" i="55"/>
  <c r="G478" i="55"/>
  <c r="H477" i="55"/>
  <c r="G477" i="55"/>
  <c r="H476" i="55"/>
  <c r="G476" i="55"/>
  <c r="H475" i="55"/>
  <c r="G475" i="55"/>
  <c r="H474" i="55"/>
  <c r="G474" i="55"/>
  <c r="H473" i="55"/>
  <c r="G473" i="55"/>
  <c r="H472" i="55"/>
  <c r="G472" i="55"/>
  <c r="H471" i="55"/>
  <c r="G471" i="55"/>
  <c r="H470" i="55"/>
  <c r="G470" i="55"/>
  <c r="H469" i="55"/>
  <c r="G469" i="55"/>
  <c r="H468" i="55"/>
  <c r="G468" i="55"/>
  <c r="H467" i="55"/>
  <c r="G467" i="55"/>
  <c r="H466" i="55"/>
  <c r="G466" i="55"/>
  <c r="H465" i="55"/>
  <c r="G465" i="55"/>
  <c r="H464" i="55"/>
  <c r="G464" i="55"/>
  <c r="H463" i="55"/>
  <c r="G463" i="55"/>
  <c r="H462" i="55"/>
  <c r="G462" i="55"/>
  <c r="H461" i="55"/>
  <c r="G461" i="55"/>
  <c r="H460" i="55"/>
  <c r="G460" i="55"/>
  <c r="H459" i="55"/>
  <c r="G459" i="55"/>
  <c r="H458" i="55"/>
  <c r="G458" i="55"/>
  <c r="H457" i="55"/>
  <c r="G457" i="55"/>
  <c r="H456" i="55"/>
  <c r="G456" i="55"/>
  <c r="H455" i="55"/>
  <c r="G455" i="55"/>
  <c r="H454" i="55"/>
  <c r="G454" i="55"/>
  <c r="H453" i="55"/>
  <c r="G453" i="55"/>
  <c r="H452" i="55"/>
  <c r="G452" i="55"/>
  <c r="H451" i="55"/>
  <c r="G451" i="55"/>
  <c r="H450" i="55"/>
  <c r="G450" i="55"/>
  <c r="H449" i="55"/>
  <c r="G449" i="55"/>
  <c r="H448" i="55"/>
  <c r="G448" i="55"/>
  <c r="H447" i="55"/>
  <c r="G447" i="55"/>
  <c r="H446" i="55"/>
  <c r="G446" i="55"/>
  <c r="H445" i="55"/>
  <c r="G445" i="55"/>
  <c r="H444" i="55"/>
  <c r="G444" i="55"/>
  <c r="H443" i="55"/>
  <c r="G443" i="55"/>
  <c r="H442" i="55"/>
  <c r="G442" i="55"/>
  <c r="H441" i="55"/>
  <c r="G441" i="55"/>
  <c r="H440" i="55"/>
  <c r="G440" i="55"/>
  <c r="H439" i="55"/>
  <c r="G439" i="55"/>
  <c r="H438" i="55"/>
  <c r="G438" i="55"/>
  <c r="H437" i="55"/>
  <c r="G437" i="55"/>
  <c r="H436" i="55"/>
  <c r="G436" i="55"/>
  <c r="H435" i="55"/>
  <c r="G435" i="55"/>
  <c r="H434" i="55"/>
  <c r="G434" i="55"/>
  <c r="H433" i="55"/>
  <c r="G433" i="55"/>
  <c r="H432" i="55"/>
  <c r="G432" i="55"/>
  <c r="H431" i="55"/>
  <c r="G431" i="55"/>
  <c r="H430" i="55"/>
  <c r="G430" i="55"/>
  <c r="H429" i="55"/>
  <c r="G429" i="55"/>
  <c r="H428" i="55"/>
  <c r="G428" i="55"/>
  <c r="H427" i="55"/>
  <c r="G427" i="55"/>
  <c r="H426" i="55"/>
  <c r="G426" i="55"/>
  <c r="H425" i="55"/>
  <c r="G425" i="55"/>
  <c r="H424" i="55"/>
  <c r="G424" i="55"/>
  <c r="H423" i="55"/>
  <c r="G423" i="55"/>
  <c r="H422" i="55"/>
  <c r="G422" i="55"/>
  <c r="H421" i="55"/>
  <c r="G421" i="55"/>
  <c r="H420" i="55"/>
  <c r="G420" i="55"/>
  <c r="H419" i="55"/>
  <c r="G419" i="55"/>
  <c r="H418" i="55"/>
  <c r="G418" i="55"/>
  <c r="H417" i="55"/>
  <c r="G417" i="55"/>
  <c r="H416" i="55"/>
  <c r="G416" i="55"/>
  <c r="H415" i="55"/>
  <c r="G415" i="55"/>
  <c r="H414" i="55"/>
  <c r="G414" i="55"/>
  <c r="H413" i="55"/>
  <c r="G413" i="55"/>
  <c r="H412" i="55"/>
  <c r="G412" i="55"/>
  <c r="H411" i="55"/>
  <c r="G411" i="55"/>
  <c r="H410" i="55"/>
  <c r="G410" i="55"/>
  <c r="H409" i="55"/>
  <c r="G409" i="55"/>
  <c r="H408" i="55"/>
  <c r="G408" i="55"/>
  <c r="H407" i="55"/>
  <c r="G407" i="55"/>
  <c r="H406" i="55"/>
  <c r="G406" i="55"/>
  <c r="H405" i="55"/>
  <c r="G405" i="55"/>
  <c r="H404" i="55"/>
  <c r="G404" i="55"/>
  <c r="H403" i="55"/>
  <c r="G403" i="55"/>
  <c r="H402" i="55"/>
  <c r="G402" i="55"/>
  <c r="H401" i="55"/>
  <c r="G401" i="55"/>
  <c r="H400" i="55"/>
  <c r="G400" i="55"/>
  <c r="H399" i="55"/>
  <c r="G399" i="55"/>
  <c r="H398" i="55"/>
  <c r="G398" i="55"/>
  <c r="H397" i="55"/>
  <c r="G397" i="55"/>
  <c r="H396" i="55"/>
  <c r="G396" i="55"/>
  <c r="H395" i="55"/>
  <c r="G395" i="55"/>
  <c r="H394" i="55"/>
  <c r="G394" i="55"/>
  <c r="H393" i="55"/>
  <c r="G393" i="55"/>
  <c r="H392" i="55"/>
  <c r="G392" i="55"/>
  <c r="H391" i="55"/>
  <c r="G391" i="55"/>
  <c r="H390" i="55"/>
  <c r="G390" i="55"/>
  <c r="H389" i="55"/>
  <c r="G389" i="55"/>
  <c r="H388" i="55"/>
  <c r="G388" i="55"/>
  <c r="H387" i="55"/>
  <c r="G387" i="55"/>
  <c r="H386" i="55"/>
  <c r="G386" i="55"/>
  <c r="H385" i="55"/>
  <c r="G385" i="55"/>
  <c r="H384" i="55"/>
  <c r="G384" i="55"/>
  <c r="H383" i="55"/>
  <c r="G383" i="55"/>
  <c r="H382" i="55"/>
  <c r="G382" i="55"/>
  <c r="H381" i="55"/>
  <c r="G381" i="55"/>
  <c r="H380" i="55"/>
  <c r="G380" i="55"/>
  <c r="H379" i="55"/>
  <c r="G379" i="55"/>
  <c r="H378" i="55"/>
  <c r="G378" i="55"/>
  <c r="H377" i="55"/>
  <c r="G377" i="55"/>
  <c r="H376" i="55"/>
  <c r="G376" i="55"/>
  <c r="H375" i="55"/>
  <c r="G375" i="55"/>
  <c r="H374" i="55"/>
  <c r="G374" i="55"/>
  <c r="H373" i="55"/>
  <c r="G373" i="55"/>
  <c r="H372" i="55"/>
  <c r="G372" i="55"/>
  <c r="H371" i="55"/>
  <c r="G371" i="55"/>
  <c r="H370" i="55"/>
  <c r="G370" i="55"/>
  <c r="H369" i="55"/>
  <c r="G369" i="55"/>
  <c r="H368" i="55"/>
  <c r="G368" i="55"/>
  <c r="H367" i="55"/>
  <c r="G367" i="55"/>
  <c r="H366" i="55"/>
  <c r="G366" i="55"/>
  <c r="H365" i="55"/>
  <c r="G365" i="55"/>
  <c r="H364" i="55"/>
  <c r="G364" i="55"/>
  <c r="H363" i="55"/>
  <c r="G363" i="55"/>
  <c r="H362" i="55"/>
  <c r="G362" i="55"/>
  <c r="H361" i="55"/>
  <c r="G361" i="55"/>
  <c r="H360" i="55"/>
  <c r="G360" i="55"/>
  <c r="H359" i="55"/>
  <c r="G359" i="55"/>
  <c r="H358" i="55"/>
  <c r="G358" i="55"/>
  <c r="H357" i="55"/>
  <c r="G357" i="55"/>
  <c r="H356" i="55"/>
  <c r="G356" i="55"/>
  <c r="H355" i="55"/>
  <c r="G355" i="55"/>
  <c r="H354" i="55"/>
  <c r="G354" i="55"/>
  <c r="H353" i="55"/>
  <c r="G353" i="55"/>
  <c r="H352" i="55"/>
  <c r="G352" i="55"/>
  <c r="H351" i="55"/>
  <c r="G351" i="55"/>
  <c r="H350" i="55"/>
  <c r="G350" i="55"/>
  <c r="H349" i="55"/>
  <c r="G349" i="55"/>
  <c r="H348" i="55"/>
  <c r="G348" i="55"/>
  <c r="H347" i="55"/>
  <c r="G347" i="55"/>
  <c r="H346" i="55"/>
  <c r="G346" i="55"/>
  <c r="H345" i="55"/>
  <c r="G345" i="55"/>
  <c r="H344" i="55"/>
  <c r="G344" i="55"/>
  <c r="H343" i="55"/>
  <c r="G343" i="55"/>
  <c r="H342" i="55"/>
  <c r="G342" i="55"/>
  <c r="H341" i="55"/>
  <c r="G341" i="55"/>
  <c r="H340" i="55"/>
  <c r="G340" i="55"/>
  <c r="H339" i="55"/>
  <c r="G339" i="55"/>
  <c r="H338" i="55"/>
  <c r="G338" i="55"/>
  <c r="H337" i="55"/>
  <c r="G337" i="55"/>
  <c r="H336" i="55"/>
  <c r="G336" i="55"/>
  <c r="H335" i="55"/>
  <c r="G335" i="55"/>
  <c r="H334" i="55"/>
  <c r="G334" i="55"/>
  <c r="H333" i="55"/>
  <c r="G333" i="55"/>
  <c r="H332" i="55"/>
  <c r="G332" i="55"/>
  <c r="H331" i="55"/>
  <c r="G331" i="55"/>
  <c r="H330" i="55"/>
  <c r="G330" i="55"/>
  <c r="H329" i="55"/>
  <c r="G329" i="55"/>
  <c r="H328" i="55"/>
  <c r="G328" i="55"/>
  <c r="H327" i="55"/>
  <c r="G327" i="55"/>
  <c r="H326" i="55"/>
  <c r="G326" i="55"/>
  <c r="H325" i="55"/>
  <c r="G325" i="55"/>
  <c r="H324" i="55"/>
  <c r="G324" i="55"/>
  <c r="H323" i="55"/>
  <c r="G323" i="55"/>
  <c r="H322" i="55"/>
  <c r="G322" i="55"/>
  <c r="H321" i="55"/>
  <c r="G321" i="55"/>
  <c r="H320" i="55"/>
  <c r="G320" i="55"/>
  <c r="H319" i="55"/>
  <c r="G319" i="55"/>
  <c r="H318" i="55"/>
  <c r="G318" i="55"/>
  <c r="H317" i="55"/>
  <c r="G317" i="55"/>
  <c r="H316" i="55"/>
  <c r="G316" i="55"/>
  <c r="H315" i="55"/>
  <c r="G315" i="55"/>
  <c r="H314" i="55"/>
  <c r="G314" i="55"/>
  <c r="H313" i="55"/>
  <c r="G313" i="55"/>
  <c r="H312" i="55"/>
  <c r="G312" i="55"/>
  <c r="H311" i="55"/>
  <c r="G311" i="55"/>
  <c r="H310" i="55"/>
  <c r="G310" i="55"/>
  <c r="H309" i="55"/>
  <c r="G309" i="55"/>
  <c r="H308" i="55"/>
  <c r="G308" i="55"/>
  <c r="H307" i="55"/>
  <c r="G307" i="55"/>
  <c r="H306" i="55"/>
  <c r="G306" i="55"/>
  <c r="H305" i="55"/>
  <c r="G305" i="55"/>
  <c r="H304" i="55"/>
  <c r="G304" i="55"/>
  <c r="H303" i="55"/>
  <c r="G303" i="55"/>
  <c r="H302" i="55"/>
  <c r="G302" i="55"/>
  <c r="H301" i="55"/>
  <c r="G301" i="55"/>
  <c r="H300" i="55"/>
  <c r="G300" i="55"/>
  <c r="H299" i="55"/>
  <c r="G299" i="55"/>
  <c r="H298" i="55"/>
  <c r="G298" i="55"/>
  <c r="H297" i="55"/>
  <c r="G297" i="55"/>
  <c r="H296" i="55"/>
  <c r="G296" i="55"/>
  <c r="H295" i="55"/>
  <c r="G295" i="55"/>
  <c r="H294" i="55"/>
  <c r="G294" i="55"/>
  <c r="H293" i="55"/>
  <c r="G293" i="55"/>
  <c r="H292" i="55"/>
  <c r="G292" i="55"/>
  <c r="H291" i="55"/>
  <c r="G291" i="55"/>
  <c r="H290" i="55"/>
  <c r="G290" i="55"/>
  <c r="H289" i="55"/>
  <c r="G289" i="55"/>
  <c r="H288" i="55"/>
  <c r="G288" i="55"/>
  <c r="H287" i="55"/>
  <c r="G287" i="55"/>
  <c r="H286" i="55"/>
  <c r="G286" i="55"/>
  <c r="H285" i="55"/>
  <c r="G285" i="55"/>
  <c r="H284" i="55"/>
  <c r="G284" i="55"/>
  <c r="H283" i="55"/>
  <c r="G283" i="55"/>
  <c r="H282" i="55"/>
  <c r="G282" i="55"/>
  <c r="H281" i="55"/>
  <c r="G281" i="55"/>
  <c r="H280" i="55"/>
  <c r="G280" i="55"/>
  <c r="H279" i="55"/>
  <c r="G279" i="55"/>
  <c r="H278" i="55"/>
  <c r="G278" i="55"/>
  <c r="H277" i="55"/>
  <c r="G277" i="55"/>
  <c r="H276" i="55"/>
  <c r="G276" i="55"/>
  <c r="H275" i="55"/>
  <c r="G275" i="55"/>
  <c r="H274" i="55"/>
  <c r="G274" i="55"/>
  <c r="H273" i="55"/>
  <c r="G273" i="55"/>
  <c r="H272" i="55"/>
  <c r="G272" i="55"/>
  <c r="H271" i="55"/>
  <c r="G271" i="55"/>
  <c r="H270" i="55"/>
  <c r="G270" i="55"/>
  <c r="H269" i="55"/>
  <c r="G269" i="55"/>
  <c r="H268" i="55"/>
  <c r="G268" i="55"/>
  <c r="H267" i="55"/>
  <c r="G267" i="55"/>
  <c r="H266" i="55"/>
  <c r="G266" i="55"/>
  <c r="H265" i="55"/>
  <c r="G265" i="55"/>
  <c r="H264" i="55"/>
  <c r="G264" i="55"/>
  <c r="H263" i="55"/>
  <c r="G263" i="55"/>
  <c r="H262" i="55"/>
  <c r="G262" i="55"/>
  <c r="H261" i="55"/>
  <c r="G261" i="55"/>
  <c r="H260" i="55"/>
  <c r="G260" i="55"/>
  <c r="H259" i="55"/>
  <c r="G259" i="55"/>
  <c r="H258" i="55"/>
  <c r="G258" i="55"/>
  <c r="H257" i="55"/>
  <c r="G257" i="55"/>
  <c r="H256" i="55"/>
  <c r="G256" i="55"/>
  <c r="H255" i="55"/>
  <c r="G255" i="55"/>
  <c r="H254" i="55"/>
  <c r="G254" i="55"/>
  <c r="H253" i="55"/>
  <c r="G253" i="55"/>
  <c r="H252" i="55"/>
  <c r="G252" i="55"/>
  <c r="H251" i="55"/>
  <c r="G251" i="55"/>
  <c r="H250" i="55"/>
  <c r="G250" i="55"/>
  <c r="H249" i="55"/>
  <c r="G249" i="55"/>
  <c r="H248" i="55"/>
  <c r="G248" i="55"/>
  <c r="H247" i="55"/>
  <c r="G247" i="55"/>
  <c r="H246" i="55"/>
  <c r="G246" i="55"/>
  <c r="H245" i="55"/>
  <c r="G245" i="55"/>
  <c r="H244" i="55"/>
  <c r="G244" i="55"/>
  <c r="H243" i="55"/>
  <c r="G243" i="55"/>
  <c r="H242" i="55"/>
  <c r="G242" i="55"/>
  <c r="H241" i="55"/>
  <c r="G241" i="55"/>
  <c r="H240" i="55"/>
  <c r="G240" i="55"/>
  <c r="H239" i="55"/>
  <c r="G239" i="55"/>
  <c r="H238" i="55"/>
  <c r="G238" i="55"/>
  <c r="H237" i="55"/>
  <c r="G237" i="55"/>
  <c r="H236" i="55"/>
  <c r="G236" i="55"/>
  <c r="H235" i="55"/>
  <c r="G235" i="55"/>
  <c r="H234" i="55"/>
  <c r="G234" i="55"/>
  <c r="H233" i="55"/>
  <c r="G233" i="55"/>
  <c r="H232" i="55"/>
  <c r="G232" i="55"/>
  <c r="H231" i="55"/>
  <c r="G231" i="55"/>
  <c r="H230" i="55"/>
  <c r="G230" i="55"/>
  <c r="H229" i="55"/>
  <c r="G229" i="55"/>
  <c r="H228" i="55"/>
  <c r="G228" i="55"/>
  <c r="H227" i="55"/>
  <c r="G227" i="55"/>
  <c r="H226" i="55"/>
  <c r="G226" i="55"/>
  <c r="H225" i="55"/>
  <c r="G225" i="55"/>
  <c r="H224" i="55"/>
  <c r="G224" i="55"/>
  <c r="H223" i="55"/>
  <c r="G223" i="55"/>
  <c r="H222" i="55"/>
  <c r="G222" i="55"/>
  <c r="H221" i="55"/>
  <c r="G221" i="55"/>
  <c r="H220" i="55"/>
  <c r="G220" i="55"/>
  <c r="H219" i="55"/>
  <c r="G219" i="55"/>
  <c r="H218" i="55"/>
  <c r="G218" i="55"/>
  <c r="H217" i="55"/>
  <c r="G217" i="55"/>
  <c r="H216" i="55"/>
  <c r="G216" i="55"/>
  <c r="H215" i="55"/>
  <c r="G215" i="55"/>
  <c r="H214" i="55"/>
  <c r="G214" i="55"/>
  <c r="H213" i="55"/>
  <c r="G213" i="55"/>
  <c r="H212" i="55"/>
  <c r="G212" i="55"/>
  <c r="H211" i="55"/>
  <c r="G211" i="55"/>
  <c r="H210" i="55"/>
  <c r="G210" i="55"/>
  <c r="H209" i="55"/>
  <c r="G209" i="55"/>
  <c r="H208" i="55"/>
  <c r="G208" i="55"/>
  <c r="H207" i="55"/>
  <c r="G207" i="55"/>
  <c r="H206" i="55"/>
  <c r="G206" i="55"/>
  <c r="H205" i="55"/>
  <c r="G205" i="55"/>
  <c r="H204" i="55"/>
  <c r="G204" i="55"/>
  <c r="H203" i="55"/>
  <c r="G203" i="55"/>
  <c r="H202" i="55"/>
  <c r="G202" i="55"/>
  <c r="H201" i="55"/>
  <c r="G201" i="55"/>
  <c r="H200" i="55"/>
  <c r="G200" i="55"/>
  <c r="H199" i="55"/>
  <c r="G199" i="55"/>
  <c r="H198" i="55"/>
  <c r="G198" i="55"/>
  <c r="H197" i="55"/>
  <c r="G197" i="55"/>
  <c r="H196" i="55"/>
  <c r="G196" i="55"/>
  <c r="H195" i="55"/>
  <c r="G195" i="55"/>
  <c r="H194" i="55"/>
  <c r="G194" i="55"/>
  <c r="H193" i="55"/>
  <c r="G193" i="55"/>
  <c r="H192" i="55"/>
  <c r="G192" i="55"/>
  <c r="H191" i="55"/>
  <c r="G191" i="55"/>
  <c r="H190" i="55"/>
  <c r="G190" i="55"/>
  <c r="H189" i="55"/>
  <c r="G189" i="55"/>
  <c r="H188" i="55"/>
  <c r="G188" i="55"/>
  <c r="H187" i="55"/>
  <c r="G187" i="55"/>
  <c r="H186" i="55"/>
  <c r="G186" i="55"/>
  <c r="H185" i="55"/>
  <c r="G185" i="55"/>
  <c r="H184" i="55"/>
  <c r="G184" i="55"/>
  <c r="H183" i="55"/>
  <c r="G183" i="55"/>
  <c r="H182" i="55"/>
  <c r="G182" i="55"/>
  <c r="H181" i="55"/>
  <c r="G181" i="55"/>
  <c r="H180" i="55"/>
  <c r="G180" i="55"/>
  <c r="H179" i="55"/>
  <c r="G179" i="55"/>
  <c r="H178" i="55"/>
  <c r="G178" i="55"/>
  <c r="H177" i="55"/>
  <c r="G177" i="55"/>
  <c r="H176" i="55"/>
  <c r="G176" i="55"/>
  <c r="H175" i="55"/>
  <c r="G175" i="55"/>
  <c r="H174" i="55"/>
  <c r="G174" i="55"/>
  <c r="H173" i="55"/>
  <c r="G173" i="55"/>
  <c r="H172" i="55"/>
  <c r="G172" i="55"/>
  <c r="H171" i="55"/>
  <c r="G171" i="55"/>
  <c r="H170" i="55"/>
  <c r="G170" i="55"/>
  <c r="H169" i="55"/>
  <c r="G169" i="55"/>
  <c r="H168" i="55"/>
  <c r="G168" i="55"/>
  <c r="H167" i="55"/>
  <c r="G167" i="55"/>
  <c r="H166" i="55"/>
  <c r="G166" i="55"/>
  <c r="H165" i="55"/>
  <c r="G165" i="55"/>
  <c r="H164" i="55"/>
  <c r="G164" i="55"/>
  <c r="H163" i="55"/>
  <c r="G163" i="55"/>
  <c r="H162" i="55"/>
  <c r="G162" i="55"/>
  <c r="H161" i="55"/>
  <c r="G161" i="55"/>
  <c r="H160" i="55"/>
  <c r="G160" i="55"/>
  <c r="H159" i="55"/>
  <c r="G159" i="55"/>
  <c r="H158" i="55"/>
  <c r="G158" i="55"/>
  <c r="H157" i="55"/>
  <c r="G157" i="55"/>
  <c r="H156" i="55"/>
  <c r="G156" i="55"/>
  <c r="H155" i="55"/>
  <c r="G155" i="55"/>
  <c r="H154" i="55"/>
  <c r="G154" i="55"/>
  <c r="H153" i="55"/>
  <c r="G153" i="55"/>
  <c r="H152" i="55"/>
  <c r="G152" i="55"/>
  <c r="H151" i="55"/>
  <c r="G151" i="55"/>
  <c r="H150" i="55"/>
  <c r="G150" i="55"/>
  <c r="H149" i="55"/>
  <c r="G149" i="55"/>
  <c r="H148" i="55"/>
  <c r="G148" i="55"/>
  <c r="H147" i="55"/>
  <c r="G147" i="55"/>
  <c r="H146" i="55"/>
  <c r="G146" i="55"/>
  <c r="H145" i="55"/>
  <c r="G145" i="55"/>
  <c r="H144" i="55"/>
  <c r="G144" i="55"/>
  <c r="H143" i="55"/>
  <c r="G143" i="55"/>
  <c r="H142" i="55"/>
  <c r="G142" i="55"/>
  <c r="H141" i="55"/>
  <c r="G141" i="55"/>
  <c r="H140" i="55"/>
  <c r="G140" i="55"/>
  <c r="H139" i="55"/>
  <c r="G139" i="55"/>
  <c r="H138" i="55"/>
  <c r="G138" i="55"/>
  <c r="H137" i="55"/>
  <c r="G137" i="55"/>
  <c r="H136" i="55"/>
  <c r="G136" i="55"/>
  <c r="H135" i="55"/>
  <c r="G135" i="55"/>
  <c r="H134" i="55"/>
  <c r="G134" i="55"/>
  <c r="H133" i="55"/>
  <c r="G133" i="55"/>
  <c r="H132" i="55"/>
  <c r="G132" i="55"/>
  <c r="H131" i="55"/>
  <c r="G131" i="55"/>
  <c r="H130" i="55"/>
  <c r="G130" i="55"/>
  <c r="H129" i="55"/>
  <c r="G129" i="55"/>
  <c r="H128" i="55"/>
  <c r="G128" i="55"/>
  <c r="H127" i="55"/>
  <c r="G127" i="55"/>
  <c r="H126" i="55"/>
  <c r="G126" i="55"/>
  <c r="H125" i="55"/>
  <c r="G125" i="55"/>
  <c r="H124" i="55"/>
  <c r="G124" i="55"/>
  <c r="H123" i="55"/>
  <c r="G123" i="55"/>
  <c r="H122" i="55"/>
  <c r="G122" i="55"/>
  <c r="H121" i="55"/>
  <c r="G121" i="55"/>
  <c r="H120" i="55"/>
  <c r="G120" i="55"/>
  <c r="H119" i="55"/>
  <c r="G119" i="55"/>
  <c r="H118" i="55"/>
  <c r="G118" i="55"/>
  <c r="H117" i="55"/>
  <c r="G117" i="55"/>
  <c r="H116" i="55"/>
  <c r="G116" i="55"/>
  <c r="H115" i="55"/>
  <c r="G115" i="55"/>
  <c r="H114" i="55"/>
  <c r="G114" i="55"/>
  <c r="H113" i="55"/>
  <c r="G113" i="55"/>
  <c r="H112" i="55"/>
  <c r="G112" i="55"/>
  <c r="H111" i="55"/>
  <c r="G111" i="55"/>
  <c r="H110" i="55"/>
  <c r="G110" i="55"/>
  <c r="H109" i="55"/>
  <c r="G109" i="55"/>
  <c r="H108" i="55"/>
  <c r="G108" i="55"/>
  <c r="H107" i="55"/>
  <c r="G107" i="55"/>
  <c r="H106" i="55"/>
  <c r="G106" i="55"/>
  <c r="H105" i="55"/>
  <c r="G105" i="55"/>
  <c r="H104" i="55"/>
  <c r="G104" i="55"/>
  <c r="H103" i="55"/>
  <c r="G103" i="55"/>
  <c r="H102" i="55"/>
  <c r="G102" i="55"/>
  <c r="H101" i="55"/>
  <c r="G101" i="55"/>
  <c r="H100" i="55"/>
  <c r="G100" i="55"/>
  <c r="H99" i="55"/>
  <c r="G99" i="55"/>
  <c r="H98" i="55"/>
  <c r="G98" i="55"/>
  <c r="H97" i="55"/>
  <c r="G97" i="55"/>
  <c r="H96" i="55"/>
  <c r="G96" i="55"/>
  <c r="H95" i="55"/>
  <c r="G95" i="55"/>
  <c r="H94" i="55"/>
  <c r="G94" i="55"/>
  <c r="H93" i="55"/>
  <c r="G93" i="55"/>
  <c r="H92" i="55"/>
  <c r="G92" i="55"/>
  <c r="H91" i="55"/>
  <c r="G91" i="55"/>
  <c r="H90" i="55"/>
  <c r="G90" i="55"/>
  <c r="H89" i="55"/>
  <c r="G89" i="55"/>
  <c r="H88" i="55"/>
  <c r="G88" i="55"/>
  <c r="H87" i="55"/>
  <c r="G87" i="55"/>
  <c r="H86" i="55"/>
  <c r="G86" i="55"/>
  <c r="H85" i="55"/>
  <c r="G85" i="55"/>
  <c r="H84" i="55"/>
  <c r="G84" i="55"/>
  <c r="H83" i="55"/>
  <c r="G83" i="55"/>
  <c r="H82" i="55"/>
  <c r="G82" i="55"/>
  <c r="H81" i="55"/>
  <c r="G81" i="55"/>
  <c r="H80" i="55"/>
  <c r="G80" i="55"/>
  <c r="H79" i="55"/>
  <c r="G79" i="55"/>
  <c r="H78" i="55"/>
  <c r="G78" i="55"/>
  <c r="H77" i="55"/>
  <c r="G77" i="55"/>
  <c r="H76" i="55"/>
  <c r="G76" i="55"/>
  <c r="H75" i="55"/>
  <c r="G75" i="55"/>
  <c r="H74" i="55"/>
  <c r="G74" i="55"/>
  <c r="H73" i="55"/>
  <c r="G73" i="55"/>
  <c r="H72" i="55"/>
  <c r="G72" i="55"/>
  <c r="H71" i="55"/>
  <c r="G71" i="55"/>
  <c r="H70" i="55"/>
  <c r="G70" i="55"/>
  <c r="H69" i="55"/>
  <c r="G69" i="55"/>
  <c r="H68" i="55"/>
  <c r="G68" i="55"/>
  <c r="H67" i="55"/>
  <c r="G67" i="55"/>
  <c r="H66" i="55"/>
  <c r="G66" i="55"/>
  <c r="H65" i="55"/>
  <c r="G65" i="55"/>
  <c r="H64" i="55"/>
  <c r="G64" i="55"/>
  <c r="H63" i="55"/>
  <c r="G63" i="55"/>
  <c r="H62" i="55"/>
  <c r="G62" i="55"/>
  <c r="H61" i="55"/>
  <c r="G61" i="55"/>
  <c r="H60" i="55"/>
  <c r="G60" i="55"/>
  <c r="H59" i="55"/>
  <c r="G59" i="55"/>
  <c r="H58" i="55"/>
  <c r="G58" i="55"/>
  <c r="H57" i="55"/>
  <c r="G57" i="55"/>
  <c r="H56" i="55"/>
  <c r="G56" i="55"/>
  <c r="H55" i="55"/>
  <c r="G55" i="55"/>
  <c r="H54" i="55"/>
  <c r="G54" i="55"/>
  <c r="H53" i="55"/>
  <c r="G53" i="55"/>
  <c r="H52" i="55"/>
  <c r="G52" i="55"/>
  <c r="H51" i="55"/>
  <c r="G51" i="55"/>
  <c r="H50" i="55"/>
  <c r="G50" i="55"/>
  <c r="H49" i="55"/>
  <c r="G49" i="55"/>
  <c r="H48" i="55"/>
  <c r="G48" i="55"/>
  <c r="H47" i="55"/>
  <c r="G47" i="55"/>
  <c r="H46" i="55"/>
  <c r="G46" i="55"/>
  <c r="H45" i="55"/>
  <c r="G45" i="55"/>
  <c r="H44" i="55"/>
  <c r="G44" i="55"/>
  <c r="H43" i="55"/>
  <c r="G43" i="55"/>
  <c r="H42" i="55"/>
  <c r="G42" i="55"/>
  <c r="H41" i="55"/>
  <c r="G41" i="55"/>
  <c r="H40" i="55"/>
  <c r="G40" i="55"/>
  <c r="H39" i="55"/>
  <c r="G39" i="55"/>
  <c r="H38" i="55"/>
  <c r="G38" i="55"/>
  <c r="H37" i="55"/>
  <c r="G37" i="55"/>
  <c r="H36" i="55"/>
  <c r="G36" i="55"/>
  <c r="H35" i="55"/>
  <c r="G35" i="55"/>
  <c r="H34" i="55"/>
  <c r="G34" i="55"/>
  <c r="H33" i="55"/>
  <c r="G33" i="55"/>
  <c r="H32" i="55"/>
  <c r="G32" i="55"/>
  <c r="H31" i="55"/>
  <c r="G31" i="55"/>
  <c r="H30" i="55"/>
  <c r="G30" i="55"/>
  <c r="H29" i="55"/>
  <c r="G29" i="55"/>
  <c r="H28" i="55"/>
  <c r="G28" i="55"/>
  <c r="H27" i="55"/>
  <c r="G27" i="55"/>
  <c r="H26" i="55"/>
  <c r="G26" i="55"/>
  <c r="H25" i="55"/>
  <c r="G25" i="55"/>
  <c r="H24" i="55"/>
  <c r="G24" i="55"/>
  <c r="H23" i="55"/>
  <c r="G23" i="55"/>
  <c r="H22" i="55"/>
  <c r="G22" i="55"/>
  <c r="H21" i="55"/>
  <c r="G21" i="55"/>
  <c r="H20" i="55"/>
  <c r="G20" i="55"/>
  <c r="H19" i="55"/>
  <c r="G19" i="55"/>
  <c r="H18" i="55"/>
  <c r="G18" i="55"/>
  <c r="H17" i="55"/>
  <c r="G17" i="55"/>
  <c r="H16" i="55"/>
  <c r="G16" i="55"/>
  <c r="H15" i="55"/>
  <c r="G15" i="55"/>
  <c r="H14" i="55"/>
  <c r="G14" i="55"/>
  <c r="H13" i="55"/>
  <c r="G13" i="55"/>
  <c r="H12" i="55"/>
  <c r="G12" i="55"/>
  <c r="H11" i="55"/>
  <c r="G11" i="55"/>
  <c r="H10" i="55"/>
  <c r="G10" i="55"/>
  <c r="H9" i="55"/>
  <c r="G9" i="55"/>
  <c r="H8" i="55"/>
  <c r="G8" i="55"/>
  <c r="H7" i="55"/>
  <c r="G7" i="55"/>
  <c r="H6" i="55"/>
  <c r="G6" i="55"/>
  <c r="X2778" i="55" l="1"/>
  <c r="X2777" i="55"/>
  <c r="X2776" i="55"/>
  <c r="X2775" i="55"/>
  <c r="X2774" i="55"/>
  <c r="X2773" i="55"/>
  <c r="X2772" i="55"/>
  <c r="X2771" i="55"/>
  <c r="X2770" i="55"/>
  <c r="X2769" i="55"/>
  <c r="R2769" i="55" s="1"/>
  <c r="S2769" i="55" s="1"/>
  <c r="X2768" i="55"/>
  <c r="X2767" i="55"/>
  <c r="X2766" i="55"/>
  <c r="X2765" i="55"/>
  <c r="X2764" i="55"/>
  <c r="X2763" i="55"/>
  <c r="X2762" i="55"/>
  <c r="X2761" i="55"/>
  <c r="X2760" i="55"/>
  <c r="X2759" i="55"/>
  <c r="X2758" i="55"/>
  <c r="X2757" i="55"/>
  <c r="X2756" i="55"/>
  <c r="X2755" i="55"/>
  <c r="X2754" i="55"/>
  <c r="R2754" i="55" s="1"/>
  <c r="S2754" i="55" s="1"/>
  <c r="X2753" i="55"/>
  <c r="X2752" i="55"/>
  <c r="R2752" i="55" s="1"/>
  <c r="S2752" i="55" s="1"/>
  <c r="X2751" i="55"/>
  <c r="X2750" i="55"/>
  <c r="X2749" i="55"/>
  <c r="X2748" i="55"/>
  <c r="X2747" i="55"/>
  <c r="X2746" i="55"/>
  <c r="X2745" i="55"/>
  <c r="X2744" i="55"/>
  <c r="X2743" i="55"/>
  <c r="X2742" i="55"/>
  <c r="X2741" i="55"/>
  <c r="X2740" i="55"/>
  <c r="X2739" i="55"/>
  <c r="X2738" i="55"/>
  <c r="R2738" i="55" s="1"/>
  <c r="S2738" i="55" s="1"/>
  <c r="X2737" i="55"/>
  <c r="X2736" i="55"/>
  <c r="X2735" i="55"/>
  <c r="X2734" i="55"/>
  <c r="X2733" i="55"/>
  <c r="X2732" i="55"/>
  <c r="X2731" i="55"/>
  <c r="X2730" i="55"/>
  <c r="X2729" i="55"/>
  <c r="X2728" i="55"/>
  <c r="X2727" i="55"/>
  <c r="X2726" i="55"/>
  <c r="X2725" i="55"/>
  <c r="X2724" i="55"/>
  <c r="X2723" i="55"/>
  <c r="X2722" i="55"/>
  <c r="X2721" i="55"/>
  <c r="X2720" i="55"/>
  <c r="X2719" i="55"/>
  <c r="X2718" i="55"/>
  <c r="X2717" i="55"/>
  <c r="X2716" i="55"/>
  <c r="X2715" i="55"/>
  <c r="X2714" i="55"/>
  <c r="X2713" i="55"/>
  <c r="X2712" i="55"/>
  <c r="X2711" i="55"/>
  <c r="X2710" i="55"/>
  <c r="X2709" i="55"/>
  <c r="X2708" i="55"/>
  <c r="X2707" i="55"/>
  <c r="X2706" i="55"/>
  <c r="X2705" i="55"/>
  <c r="R2705" i="55" s="1"/>
  <c r="S2705" i="55" s="1"/>
  <c r="X2704" i="55"/>
  <c r="R2704" i="55" s="1"/>
  <c r="S2704" i="55" s="1"/>
  <c r="X2703" i="55"/>
  <c r="X2702" i="55"/>
  <c r="X2701" i="55"/>
  <c r="X2700" i="55"/>
  <c r="X2699" i="55"/>
  <c r="X2698" i="55"/>
  <c r="X2697" i="55"/>
  <c r="X2696" i="55"/>
  <c r="X2695" i="55"/>
  <c r="X2694" i="55"/>
  <c r="X2693" i="55"/>
  <c r="X2692" i="55"/>
  <c r="X2691" i="55"/>
  <c r="X2690" i="55"/>
  <c r="X2689" i="55"/>
  <c r="R2689" i="55" s="1"/>
  <c r="S2689" i="55" s="1"/>
  <c r="X2688" i="55"/>
  <c r="X2687" i="55"/>
  <c r="X2686" i="55"/>
  <c r="X2685" i="55"/>
  <c r="X2684" i="55"/>
  <c r="X2683" i="55"/>
  <c r="X2682" i="55"/>
  <c r="X2681" i="55"/>
  <c r="X2680" i="55"/>
  <c r="X2679" i="55"/>
  <c r="X2678" i="55"/>
  <c r="X2677" i="55"/>
  <c r="X2676" i="55"/>
  <c r="X2675" i="55"/>
  <c r="X2674" i="55"/>
  <c r="X2673" i="55"/>
  <c r="R2673" i="55" s="1"/>
  <c r="S2673" i="55" s="1"/>
  <c r="X2672" i="55"/>
  <c r="X2671" i="55"/>
  <c r="X2670" i="55"/>
  <c r="X2669" i="55"/>
  <c r="X2668" i="55"/>
  <c r="X2667" i="55"/>
  <c r="X2666" i="55"/>
  <c r="X2665" i="55"/>
  <c r="X2664" i="55"/>
  <c r="X2663" i="55"/>
  <c r="X2662" i="55"/>
  <c r="X2661" i="55"/>
  <c r="X2660" i="55"/>
  <c r="X2659" i="55"/>
  <c r="X2658" i="55"/>
  <c r="X2657" i="55"/>
  <c r="R2657" i="55" s="1"/>
  <c r="S2657" i="55" s="1"/>
  <c r="X2656" i="55"/>
  <c r="X2655" i="55"/>
  <c r="X2654" i="55"/>
  <c r="X2653" i="55"/>
  <c r="X2652" i="55"/>
  <c r="X2651" i="55"/>
  <c r="X2650" i="55"/>
  <c r="X2649" i="55"/>
  <c r="X2648" i="55"/>
  <c r="X2647" i="55"/>
  <c r="X2646" i="55"/>
  <c r="X2645" i="55"/>
  <c r="X2644" i="55"/>
  <c r="X2643" i="55"/>
  <c r="X2642" i="55"/>
  <c r="X2641" i="55"/>
  <c r="R2641" i="55" s="1"/>
  <c r="S2641" i="55" s="1"/>
  <c r="X2640" i="55"/>
  <c r="X2639" i="55"/>
  <c r="X2638" i="55"/>
  <c r="X2637" i="55"/>
  <c r="X2636" i="55"/>
  <c r="X2635" i="55"/>
  <c r="X2634" i="55"/>
  <c r="X2633" i="55"/>
  <c r="X2632" i="55"/>
  <c r="X2631" i="55"/>
  <c r="X2630" i="55"/>
  <c r="X2629" i="55"/>
  <c r="X2628" i="55"/>
  <c r="X2627" i="55"/>
  <c r="X2626" i="55"/>
  <c r="X2625" i="55"/>
  <c r="R2625" i="55" s="1"/>
  <c r="S2625" i="55" s="1"/>
  <c r="X2624" i="55"/>
  <c r="X2623" i="55"/>
  <c r="X2622" i="55"/>
  <c r="X2621" i="55"/>
  <c r="X2620" i="55"/>
  <c r="X2619" i="55"/>
  <c r="X2618" i="55"/>
  <c r="X2617" i="55"/>
  <c r="X2616" i="55"/>
  <c r="X2615" i="55"/>
  <c r="X2614" i="55"/>
  <c r="X2613" i="55"/>
  <c r="X2612" i="55"/>
  <c r="X2611" i="55"/>
  <c r="X2610" i="55"/>
  <c r="X2609" i="55"/>
  <c r="X2608" i="55"/>
  <c r="X2607" i="55"/>
  <c r="X2606" i="55"/>
  <c r="X2605" i="55"/>
  <c r="X2604" i="55"/>
  <c r="X2603" i="55"/>
  <c r="X2602" i="55"/>
  <c r="X2601" i="55"/>
  <c r="X2600" i="55"/>
  <c r="X2599" i="55"/>
  <c r="X2598" i="55"/>
  <c r="X2597" i="55"/>
  <c r="X2596" i="55"/>
  <c r="X2595" i="55"/>
  <c r="R2595" i="55" s="1"/>
  <c r="S2595" i="55" s="1"/>
  <c r="X2594" i="55"/>
  <c r="X2593" i="55"/>
  <c r="X2592" i="55"/>
  <c r="X2591" i="55"/>
  <c r="X2590" i="55"/>
  <c r="X2589" i="55"/>
  <c r="X2588" i="55"/>
  <c r="X2587" i="55"/>
  <c r="X2586" i="55"/>
  <c r="X2585" i="55"/>
  <c r="X2584" i="55"/>
  <c r="X2583" i="55"/>
  <c r="X2582" i="55"/>
  <c r="X2581" i="55"/>
  <c r="X2580" i="55"/>
  <c r="X2579" i="55"/>
  <c r="X2578" i="55"/>
  <c r="R2578" i="55" s="1"/>
  <c r="S2578" i="55" s="1"/>
  <c r="X2577" i="55"/>
  <c r="X2576" i="55"/>
  <c r="X2575" i="55"/>
  <c r="X2574" i="55"/>
  <c r="X2573" i="55"/>
  <c r="X2572" i="55"/>
  <c r="X2571" i="55"/>
  <c r="X2570" i="55"/>
  <c r="X2569" i="55"/>
  <c r="X2568" i="55"/>
  <c r="X2567" i="55"/>
  <c r="X2566" i="55"/>
  <c r="X2565" i="55"/>
  <c r="X2564" i="55"/>
  <c r="X2563" i="55"/>
  <c r="R2563" i="55" s="1"/>
  <c r="S2563" i="55" s="1"/>
  <c r="X2562" i="55"/>
  <c r="X2561" i="55"/>
  <c r="X2560" i="55"/>
  <c r="X2559" i="55"/>
  <c r="X2558" i="55"/>
  <c r="X2557" i="55"/>
  <c r="X2556" i="55"/>
  <c r="X2555" i="55"/>
  <c r="X2554" i="55"/>
  <c r="X2553" i="55"/>
  <c r="X2552" i="55"/>
  <c r="X2551" i="55"/>
  <c r="X2550" i="55"/>
  <c r="X2549" i="55"/>
  <c r="X2548" i="55"/>
  <c r="X2547" i="55"/>
  <c r="R2547" i="55" s="1"/>
  <c r="S2547" i="55" s="1"/>
  <c r="X2546" i="55"/>
  <c r="X2545" i="55"/>
  <c r="X2544" i="55"/>
  <c r="X2543" i="55"/>
  <c r="X2542" i="55"/>
  <c r="X2541" i="55"/>
  <c r="X2540" i="55"/>
  <c r="X2539" i="55"/>
  <c r="X2538" i="55"/>
  <c r="X2537" i="55"/>
  <c r="X2536" i="55"/>
  <c r="X2535" i="55"/>
  <c r="X2534" i="55"/>
  <c r="X2533" i="55"/>
  <c r="X2532" i="55"/>
  <c r="R2532" i="55" s="1"/>
  <c r="S2532" i="55" s="1"/>
  <c r="X2531" i="55"/>
  <c r="R2531" i="55" s="1"/>
  <c r="S2531" i="55" s="1"/>
  <c r="X2530" i="55"/>
  <c r="X2529" i="55"/>
  <c r="X2528" i="55"/>
  <c r="X2527" i="55"/>
  <c r="X2526" i="55"/>
  <c r="X2525" i="55"/>
  <c r="X2524" i="55"/>
  <c r="X2523" i="55"/>
  <c r="X2522" i="55"/>
  <c r="X2521" i="55"/>
  <c r="X2520" i="55"/>
  <c r="X2519" i="55"/>
  <c r="X2518" i="55"/>
  <c r="X2517" i="55"/>
  <c r="X2516" i="55"/>
  <c r="X2515" i="55"/>
  <c r="X2514" i="55"/>
  <c r="X2513" i="55"/>
  <c r="X2512" i="55"/>
  <c r="X2511" i="55"/>
  <c r="X2510" i="55"/>
  <c r="X2509" i="55"/>
  <c r="X2508" i="55"/>
  <c r="X2507" i="55"/>
  <c r="X2506" i="55"/>
  <c r="X2505" i="55"/>
  <c r="X2504" i="55"/>
  <c r="X2503" i="55"/>
  <c r="X2502" i="55"/>
  <c r="X2501" i="55"/>
  <c r="X2500" i="55"/>
  <c r="R2500" i="55" s="1"/>
  <c r="S2500" i="55" s="1"/>
  <c r="X2499" i="55"/>
  <c r="X2498" i="55"/>
  <c r="X2497" i="55"/>
  <c r="X2496" i="55"/>
  <c r="X2495" i="55"/>
  <c r="X2494" i="55"/>
  <c r="X2493" i="55"/>
  <c r="X2492" i="55"/>
  <c r="X2491" i="55"/>
  <c r="X2490" i="55"/>
  <c r="X2489" i="55"/>
  <c r="X2488" i="55"/>
  <c r="X2487" i="55"/>
  <c r="X2486" i="55"/>
  <c r="X2485" i="55"/>
  <c r="X2484" i="55"/>
  <c r="R2484" i="55" s="1"/>
  <c r="S2484" i="55" s="1"/>
  <c r="X2483" i="55"/>
  <c r="X2482" i="55"/>
  <c r="X2481" i="55"/>
  <c r="X2480" i="55"/>
  <c r="X2479" i="55"/>
  <c r="X2478" i="55"/>
  <c r="X2477" i="55"/>
  <c r="X2476" i="55"/>
  <c r="X2475" i="55"/>
  <c r="X2474" i="55"/>
  <c r="X2473" i="55"/>
  <c r="X2472" i="55"/>
  <c r="X2471" i="55"/>
  <c r="R2471" i="55" s="1"/>
  <c r="S2471" i="55" s="1"/>
  <c r="X2470" i="55"/>
  <c r="R2470" i="55" s="1"/>
  <c r="S2470" i="55" s="1"/>
  <c r="X2469" i="55"/>
  <c r="X2468" i="55"/>
  <c r="X2467" i="55"/>
  <c r="X2466" i="55"/>
  <c r="X2465" i="55"/>
  <c r="X2464" i="55"/>
  <c r="X2463" i="55"/>
  <c r="X2462" i="55"/>
  <c r="X2461" i="55"/>
  <c r="X2460" i="55"/>
  <c r="X2459" i="55"/>
  <c r="X2458" i="55"/>
  <c r="X2457" i="55"/>
  <c r="X2456" i="55"/>
  <c r="X2455" i="55"/>
  <c r="X2454" i="55"/>
  <c r="X2453" i="55"/>
  <c r="X2452" i="55"/>
  <c r="X2451" i="55"/>
  <c r="X2450" i="55"/>
  <c r="X2449" i="55"/>
  <c r="X2448" i="55"/>
  <c r="X2447" i="55"/>
  <c r="X2446" i="55"/>
  <c r="X2445" i="55"/>
  <c r="X2444" i="55"/>
  <c r="X2443" i="55"/>
  <c r="X2442" i="55"/>
  <c r="X2441" i="55"/>
  <c r="X2440" i="55"/>
  <c r="X2439" i="55"/>
  <c r="R2439" i="55" s="1"/>
  <c r="S2439" i="55" s="1"/>
  <c r="X2438" i="55"/>
  <c r="X2437" i="55"/>
  <c r="R2437" i="55" s="1"/>
  <c r="S2437" i="55" s="1"/>
  <c r="X2436" i="55"/>
  <c r="X2435" i="55"/>
  <c r="X2434" i="55"/>
  <c r="X2433" i="55"/>
  <c r="X2432" i="55"/>
  <c r="X2431" i="55"/>
  <c r="X2430" i="55"/>
  <c r="X2429" i="55"/>
  <c r="X2428" i="55"/>
  <c r="X2427" i="55"/>
  <c r="X2426" i="55"/>
  <c r="X2425" i="55"/>
  <c r="X2424" i="55"/>
  <c r="X2423" i="55"/>
  <c r="X2422" i="55"/>
  <c r="R2422" i="55" s="1"/>
  <c r="S2422" i="55" s="1"/>
  <c r="X2421" i="55"/>
  <c r="X2420" i="55"/>
  <c r="X2419" i="55"/>
  <c r="X2418" i="55"/>
  <c r="X2417" i="55"/>
  <c r="X2416" i="55"/>
  <c r="X2415" i="55"/>
  <c r="X2414" i="55"/>
  <c r="X2413" i="55"/>
  <c r="X2412" i="55"/>
  <c r="X2411" i="55"/>
  <c r="X2410" i="55"/>
  <c r="X2409" i="55"/>
  <c r="X2408" i="55"/>
  <c r="X2407" i="55"/>
  <c r="R2407" i="55" s="1"/>
  <c r="S2407" i="55" s="1"/>
  <c r="C2778" i="55"/>
  <c r="B2778" i="55"/>
  <c r="D2778" i="55" s="1"/>
  <c r="C2777" i="55"/>
  <c r="B2777" i="55"/>
  <c r="D2777" i="55" s="1"/>
  <c r="C2776" i="55"/>
  <c r="B2776" i="55"/>
  <c r="D2776" i="55" s="1"/>
  <c r="C2775" i="55"/>
  <c r="B2775" i="55"/>
  <c r="D2775" i="55" s="1"/>
  <c r="C2774" i="55"/>
  <c r="B2774" i="55"/>
  <c r="D2774" i="55" s="1"/>
  <c r="C2773" i="55"/>
  <c r="B2773" i="55"/>
  <c r="D2773" i="55" s="1"/>
  <c r="C2772" i="55"/>
  <c r="B2772" i="55"/>
  <c r="D2772" i="55" s="1"/>
  <c r="C2771" i="55"/>
  <c r="B2771" i="55"/>
  <c r="D2771" i="55" s="1"/>
  <c r="C2770" i="55"/>
  <c r="B2770" i="55"/>
  <c r="D2770" i="55" s="1"/>
  <c r="C2769" i="55"/>
  <c r="B2769" i="55"/>
  <c r="D2769" i="55" s="1"/>
  <c r="C2768" i="55"/>
  <c r="B2768" i="55"/>
  <c r="D2768" i="55" s="1"/>
  <c r="C2767" i="55"/>
  <c r="B2767" i="55"/>
  <c r="D2767" i="55" s="1"/>
  <c r="C2766" i="55"/>
  <c r="B2766" i="55"/>
  <c r="D2766" i="55" s="1"/>
  <c r="C2765" i="55"/>
  <c r="B2765" i="55"/>
  <c r="D2765" i="55" s="1"/>
  <c r="C2764" i="55"/>
  <c r="B2764" i="55"/>
  <c r="D2764" i="55" s="1"/>
  <c r="C2763" i="55"/>
  <c r="B2763" i="55"/>
  <c r="D2763" i="55" s="1"/>
  <c r="C2762" i="55"/>
  <c r="B2762" i="55"/>
  <c r="D2762" i="55" s="1"/>
  <c r="C2761" i="55"/>
  <c r="B2761" i="55"/>
  <c r="D2761" i="55" s="1"/>
  <c r="C2760" i="55"/>
  <c r="B2760" i="55"/>
  <c r="D2760" i="55" s="1"/>
  <c r="C2759" i="55"/>
  <c r="B2759" i="55"/>
  <c r="D2759" i="55" s="1"/>
  <c r="C2758" i="55"/>
  <c r="B2758" i="55"/>
  <c r="D2758" i="55" s="1"/>
  <c r="C2757" i="55"/>
  <c r="B2757" i="55"/>
  <c r="D2757" i="55" s="1"/>
  <c r="C2756" i="55"/>
  <c r="B2756" i="55"/>
  <c r="D2756" i="55" s="1"/>
  <c r="C2755" i="55"/>
  <c r="B2755" i="55"/>
  <c r="D2755" i="55" s="1"/>
  <c r="C2754" i="55"/>
  <c r="B2754" i="55"/>
  <c r="D2754" i="55" s="1"/>
  <c r="C2753" i="55"/>
  <c r="B2753" i="55"/>
  <c r="D2753" i="55" s="1"/>
  <c r="C2752" i="55"/>
  <c r="B2752" i="55"/>
  <c r="D2752" i="55" s="1"/>
  <c r="C2751" i="55"/>
  <c r="B2751" i="55"/>
  <c r="D2751" i="55" s="1"/>
  <c r="C2750" i="55"/>
  <c r="B2750" i="55"/>
  <c r="D2750" i="55" s="1"/>
  <c r="C2749" i="55"/>
  <c r="B2749" i="55"/>
  <c r="D2749" i="55" s="1"/>
  <c r="C2748" i="55"/>
  <c r="B2748" i="55"/>
  <c r="D2748" i="55" s="1"/>
  <c r="C2747" i="55"/>
  <c r="B2747" i="55"/>
  <c r="D2747" i="55" s="1"/>
  <c r="C2746" i="55"/>
  <c r="B2746" i="55"/>
  <c r="D2746" i="55" s="1"/>
  <c r="C2745" i="55"/>
  <c r="B2745" i="55"/>
  <c r="D2745" i="55" s="1"/>
  <c r="C2744" i="55"/>
  <c r="B2744" i="55"/>
  <c r="D2744" i="55" s="1"/>
  <c r="C2743" i="55"/>
  <c r="B2743" i="55"/>
  <c r="D2743" i="55" s="1"/>
  <c r="C2742" i="55"/>
  <c r="B2742" i="55"/>
  <c r="D2742" i="55" s="1"/>
  <c r="C2741" i="55"/>
  <c r="B2741" i="55"/>
  <c r="D2741" i="55" s="1"/>
  <c r="C2740" i="55"/>
  <c r="B2740" i="55"/>
  <c r="D2740" i="55" s="1"/>
  <c r="C2739" i="55"/>
  <c r="B2739" i="55"/>
  <c r="D2739" i="55" s="1"/>
  <c r="C2738" i="55"/>
  <c r="B2738" i="55"/>
  <c r="D2738" i="55" s="1"/>
  <c r="C2737" i="55"/>
  <c r="B2737" i="55"/>
  <c r="D2737" i="55" s="1"/>
  <c r="C2736" i="55"/>
  <c r="B2736" i="55"/>
  <c r="D2736" i="55" s="1"/>
  <c r="C2735" i="55"/>
  <c r="B2735" i="55"/>
  <c r="D2735" i="55" s="1"/>
  <c r="C2734" i="55"/>
  <c r="B2734" i="55"/>
  <c r="D2734" i="55" s="1"/>
  <c r="C2733" i="55"/>
  <c r="B2733" i="55"/>
  <c r="D2733" i="55" s="1"/>
  <c r="C2732" i="55"/>
  <c r="B2732" i="55"/>
  <c r="D2732" i="55" s="1"/>
  <c r="C2731" i="55"/>
  <c r="B2731" i="55"/>
  <c r="D2731" i="55" s="1"/>
  <c r="C2730" i="55"/>
  <c r="B2730" i="55"/>
  <c r="D2730" i="55" s="1"/>
  <c r="C2729" i="55"/>
  <c r="B2729" i="55"/>
  <c r="D2729" i="55" s="1"/>
  <c r="C2728" i="55"/>
  <c r="B2728" i="55"/>
  <c r="D2728" i="55" s="1"/>
  <c r="C2727" i="55"/>
  <c r="B2727" i="55"/>
  <c r="D2727" i="55" s="1"/>
  <c r="C2726" i="55"/>
  <c r="B2726" i="55"/>
  <c r="D2726" i="55" s="1"/>
  <c r="C2725" i="55"/>
  <c r="B2725" i="55"/>
  <c r="D2725" i="55" s="1"/>
  <c r="C2724" i="55"/>
  <c r="B2724" i="55"/>
  <c r="D2724" i="55" s="1"/>
  <c r="C2723" i="55"/>
  <c r="B2723" i="55"/>
  <c r="D2723" i="55" s="1"/>
  <c r="C2722" i="55"/>
  <c r="B2722" i="55"/>
  <c r="D2722" i="55" s="1"/>
  <c r="C2721" i="55"/>
  <c r="B2721" i="55"/>
  <c r="D2721" i="55" s="1"/>
  <c r="C2720" i="55"/>
  <c r="B2720" i="55"/>
  <c r="D2720" i="55" s="1"/>
  <c r="C2719" i="55"/>
  <c r="B2719" i="55"/>
  <c r="D2719" i="55" s="1"/>
  <c r="C2718" i="55"/>
  <c r="B2718" i="55"/>
  <c r="D2718" i="55" s="1"/>
  <c r="C2717" i="55"/>
  <c r="B2717" i="55"/>
  <c r="D2717" i="55" s="1"/>
  <c r="C2716" i="55"/>
  <c r="B2716" i="55"/>
  <c r="D2716" i="55" s="1"/>
  <c r="C2715" i="55"/>
  <c r="B2715" i="55"/>
  <c r="D2715" i="55" s="1"/>
  <c r="C2714" i="55"/>
  <c r="B2714" i="55"/>
  <c r="D2714" i="55" s="1"/>
  <c r="C2713" i="55"/>
  <c r="B2713" i="55"/>
  <c r="D2713" i="55" s="1"/>
  <c r="C2712" i="55"/>
  <c r="B2712" i="55"/>
  <c r="D2712" i="55" s="1"/>
  <c r="C2711" i="55"/>
  <c r="B2711" i="55"/>
  <c r="D2711" i="55" s="1"/>
  <c r="C2710" i="55"/>
  <c r="B2710" i="55"/>
  <c r="D2710" i="55" s="1"/>
  <c r="C2709" i="55"/>
  <c r="B2709" i="55"/>
  <c r="D2709" i="55" s="1"/>
  <c r="C2708" i="55"/>
  <c r="B2708" i="55"/>
  <c r="D2708" i="55" s="1"/>
  <c r="C2707" i="55"/>
  <c r="B2707" i="55"/>
  <c r="D2707" i="55" s="1"/>
  <c r="C2706" i="55"/>
  <c r="B2706" i="55"/>
  <c r="D2706" i="55" s="1"/>
  <c r="C2705" i="55"/>
  <c r="B2705" i="55"/>
  <c r="D2705" i="55" s="1"/>
  <c r="C2704" i="55"/>
  <c r="B2704" i="55"/>
  <c r="D2704" i="55" s="1"/>
  <c r="C2703" i="55"/>
  <c r="B2703" i="55"/>
  <c r="D2703" i="55" s="1"/>
  <c r="C2702" i="55"/>
  <c r="B2702" i="55"/>
  <c r="D2702" i="55" s="1"/>
  <c r="C2701" i="55"/>
  <c r="B2701" i="55"/>
  <c r="D2701" i="55" s="1"/>
  <c r="C2700" i="55"/>
  <c r="B2700" i="55"/>
  <c r="D2700" i="55" s="1"/>
  <c r="C2699" i="55"/>
  <c r="B2699" i="55"/>
  <c r="D2699" i="55" s="1"/>
  <c r="C2698" i="55"/>
  <c r="B2698" i="55"/>
  <c r="D2698" i="55" s="1"/>
  <c r="C2697" i="55"/>
  <c r="B2697" i="55"/>
  <c r="D2697" i="55" s="1"/>
  <c r="C2696" i="55"/>
  <c r="B2696" i="55"/>
  <c r="D2696" i="55" s="1"/>
  <c r="C2695" i="55"/>
  <c r="B2695" i="55"/>
  <c r="D2695" i="55" s="1"/>
  <c r="C2694" i="55"/>
  <c r="B2694" i="55"/>
  <c r="D2694" i="55" s="1"/>
  <c r="C2693" i="55"/>
  <c r="B2693" i="55"/>
  <c r="D2693" i="55" s="1"/>
  <c r="C2692" i="55"/>
  <c r="B2692" i="55"/>
  <c r="D2692" i="55" s="1"/>
  <c r="C2691" i="55"/>
  <c r="B2691" i="55"/>
  <c r="D2691" i="55" s="1"/>
  <c r="C2690" i="55"/>
  <c r="B2690" i="55"/>
  <c r="D2690" i="55" s="1"/>
  <c r="C2689" i="55"/>
  <c r="B2689" i="55"/>
  <c r="D2689" i="55" s="1"/>
  <c r="C2688" i="55"/>
  <c r="B2688" i="55"/>
  <c r="D2688" i="55" s="1"/>
  <c r="C2687" i="55"/>
  <c r="B2687" i="55"/>
  <c r="D2687" i="55" s="1"/>
  <c r="C2686" i="55"/>
  <c r="B2686" i="55"/>
  <c r="D2686" i="55" s="1"/>
  <c r="C2685" i="55"/>
  <c r="B2685" i="55"/>
  <c r="D2685" i="55" s="1"/>
  <c r="C2684" i="55"/>
  <c r="B2684" i="55"/>
  <c r="D2684" i="55" s="1"/>
  <c r="C2683" i="55"/>
  <c r="B2683" i="55"/>
  <c r="D2683" i="55" s="1"/>
  <c r="C2682" i="55"/>
  <c r="B2682" i="55"/>
  <c r="D2682" i="55" s="1"/>
  <c r="C2681" i="55"/>
  <c r="B2681" i="55"/>
  <c r="D2681" i="55" s="1"/>
  <c r="C2680" i="55"/>
  <c r="B2680" i="55"/>
  <c r="D2680" i="55" s="1"/>
  <c r="C2679" i="55"/>
  <c r="B2679" i="55"/>
  <c r="D2679" i="55" s="1"/>
  <c r="C2678" i="55"/>
  <c r="B2678" i="55"/>
  <c r="D2678" i="55" s="1"/>
  <c r="C2677" i="55"/>
  <c r="B2677" i="55"/>
  <c r="D2677" i="55" s="1"/>
  <c r="C2676" i="55"/>
  <c r="B2676" i="55"/>
  <c r="D2676" i="55" s="1"/>
  <c r="C2675" i="55"/>
  <c r="B2675" i="55"/>
  <c r="D2675" i="55" s="1"/>
  <c r="C2674" i="55"/>
  <c r="B2674" i="55"/>
  <c r="D2674" i="55" s="1"/>
  <c r="C2673" i="55"/>
  <c r="B2673" i="55"/>
  <c r="D2673" i="55" s="1"/>
  <c r="C2672" i="55"/>
  <c r="B2672" i="55"/>
  <c r="D2672" i="55" s="1"/>
  <c r="C2671" i="55"/>
  <c r="B2671" i="55"/>
  <c r="D2671" i="55" s="1"/>
  <c r="C2670" i="55"/>
  <c r="B2670" i="55"/>
  <c r="D2670" i="55" s="1"/>
  <c r="C2669" i="55"/>
  <c r="B2669" i="55"/>
  <c r="D2669" i="55" s="1"/>
  <c r="C2668" i="55"/>
  <c r="B2668" i="55"/>
  <c r="D2668" i="55" s="1"/>
  <c r="C2667" i="55"/>
  <c r="B2667" i="55"/>
  <c r="D2667" i="55" s="1"/>
  <c r="C2666" i="55"/>
  <c r="B2666" i="55"/>
  <c r="D2666" i="55" s="1"/>
  <c r="C2665" i="55"/>
  <c r="B2665" i="55"/>
  <c r="D2665" i="55" s="1"/>
  <c r="C2664" i="55"/>
  <c r="B2664" i="55"/>
  <c r="D2664" i="55" s="1"/>
  <c r="C2663" i="55"/>
  <c r="B2663" i="55"/>
  <c r="D2663" i="55" s="1"/>
  <c r="C2662" i="55"/>
  <c r="B2662" i="55"/>
  <c r="D2662" i="55" s="1"/>
  <c r="C2661" i="55"/>
  <c r="B2661" i="55"/>
  <c r="D2661" i="55" s="1"/>
  <c r="C2660" i="55"/>
  <c r="B2660" i="55"/>
  <c r="D2660" i="55" s="1"/>
  <c r="C2659" i="55"/>
  <c r="B2659" i="55"/>
  <c r="D2659" i="55" s="1"/>
  <c r="C2658" i="55"/>
  <c r="B2658" i="55"/>
  <c r="D2658" i="55" s="1"/>
  <c r="C2657" i="55"/>
  <c r="B2657" i="55"/>
  <c r="D2657" i="55" s="1"/>
  <c r="C2656" i="55"/>
  <c r="B2656" i="55"/>
  <c r="D2656" i="55" s="1"/>
  <c r="C2655" i="55"/>
  <c r="B2655" i="55"/>
  <c r="D2655" i="55" s="1"/>
  <c r="C2654" i="55"/>
  <c r="B2654" i="55"/>
  <c r="D2654" i="55" s="1"/>
  <c r="C2653" i="55"/>
  <c r="B2653" i="55"/>
  <c r="D2653" i="55" s="1"/>
  <c r="C2652" i="55"/>
  <c r="B2652" i="55"/>
  <c r="D2652" i="55" s="1"/>
  <c r="C2651" i="55"/>
  <c r="B2651" i="55"/>
  <c r="D2651" i="55" s="1"/>
  <c r="C2650" i="55"/>
  <c r="B2650" i="55"/>
  <c r="D2650" i="55" s="1"/>
  <c r="C2649" i="55"/>
  <c r="B2649" i="55"/>
  <c r="D2649" i="55" s="1"/>
  <c r="C2648" i="55"/>
  <c r="B2648" i="55"/>
  <c r="D2648" i="55" s="1"/>
  <c r="C2647" i="55"/>
  <c r="B2647" i="55"/>
  <c r="D2647" i="55" s="1"/>
  <c r="C2646" i="55"/>
  <c r="B2646" i="55"/>
  <c r="D2646" i="55" s="1"/>
  <c r="C2645" i="55"/>
  <c r="B2645" i="55"/>
  <c r="D2645" i="55" s="1"/>
  <c r="C2644" i="55"/>
  <c r="B2644" i="55"/>
  <c r="D2644" i="55" s="1"/>
  <c r="C2643" i="55"/>
  <c r="B2643" i="55"/>
  <c r="D2643" i="55" s="1"/>
  <c r="C2642" i="55"/>
  <c r="B2642" i="55"/>
  <c r="D2642" i="55" s="1"/>
  <c r="C2641" i="55"/>
  <c r="B2641" i="55"/>
  <c r="D2641" i="55" s="1"/>
  <c r="C2640" i="55"/>
  <c r="B2640" i="55"/>
  <c r="D2640" i="55" s="1"/>
  <c r="C2639" i="55"/>
  <c r="B2639" i="55"/>
  <c r="D2639" i="55" s="1"/>
  <c r="C2638" i="55"/>
  <c r="B2638" i="55"/>
  <c r="D2638" i="55" s="1"/>
  <c r="C2637" i="55"/>
  <c r="B2637" i="55"/>
  <c r="D2637" i="55" s="1"/>
  <c r="C2636" i="55"/>
  <c r="B2636" i="55"/>
  <c r="D2636" i="55" s="1"/>
  <c r="C2635" i="55"/>
  <c r="B2635" i="55"/>
  <c r="D2635" i="55" s="1"/>
  <c r="C2634" i="55"/>
  <c r="B2634" i="55"/>
  <c r="D2634" i="55" s="1"/>
  <c r="C2633" i="55"/>
  <c r="B2633" i="55"/>
  <c r="D2633" i="55" s="1"/>
  <c r="C2632" i="55"/>
  <c r="B2632" i="55"/>
  <c r="D2632" i="55" s="1"/>
  <c r="C2631" i="55"/>
  <c r="B2631" i="55"/>
  <c r="D2631" i="55" s="1"/>
  <c r="C2630" i="55"/>
  <c r="B2630" i="55"/>
  <c r="D2630" i="55" s="1"/>
  <c r="C2629" i="55"/>
  <c r="B2629" i="55"/>
  <c r="D2629" i="55" s="1"/>
  <c r="C2628" i="55"/>
  <c r="B2628" i="55"/>
  <c r="D2628" i="55" s="1"/>
  <c r="C2627" i="55"/>
  <c r="B2627" i="55"/>
  <c r="D2627" i="55" s="1"/>
  <c r="C2626" i="55"/>
  <c r="B2626" i="55"/>
  <c r="D2626" i="55" s="1"/>
  <c r="C2625" i="55"/>
  <c r="B2625" i="55"/>
  <c r="D2625" i="55" s="1"/>
  <c r="C2624" i="55"/>
  <c r="B2624" i="55"/>
  <c r="D2624" i="55" s="1"/>
  <c r="C2623" i="55"/>
  <c r="B2623" i="55"/>
  <c r="D2623" i="55" s="1"/>
  <c r="C2622" i="55"/>
  <c r="B2622" i="55"/>
  <c r="D2622" i="55" s="1"/>
  <c r="C2621" i="55"/>
  <c r="B2621" i="55"/>
  <c r="D2621" i="55" s="1"/>
  <c r="C2620" i="55"/>
  <c r="B2620" i="55"/>
  <c r="D2620" i="55" s="1"/>
  <c r="C2619" i="55"/>
  <c r="B2619" i="55"/>
  <c r="D2619" i="55" s="1"/>
  <c r="C2618" i="55"/>
  <c r="B2618" i="55"/>
  <c r="D2618" i="55" s="1"/>
  <c r="C2617" i="55"/>
  <c r="B2617" i="55"/>
  <c r="D2617" i="55" s="1"/>
  <c r="C2616" i="55"/>
  <c r="B2616" i="55"/>
  <c r="D2616" i="55" s="1"/>
  <c r="C2615" i="55"/>
  <c r="B2615" i="55"/>
  <c r="D2615" i="55" s="1"/>
  <c r="C2614" i="55"/>
  <c r="B2614" i="55"/>
  <c r="D2614" i="55" s="1"/>
  <c r="C2613" i="55"/>
  <c r="B2613" i="55"/>
  <c r="D2613" i="55" s="1"/>
  <c r="C2612" i="55"/>
  <c r="B2612" i="55"/>
  <c r="D2612" i="55" s="1"/>
  <c r="C2611" i="55"/>
  <c r="B2611" i="55"/>
  <c r="D2611" i="55" s="1"/>
  <c r="C2610" i="55"/>
  <c r="B2610" i="55"/>
  <c r="D2610" i="55" s="1"/>
  <c r="C2609" i="55"/>
  <c r="B2609" i="55"/>
  <c r="D2609" i="55" s="1"/>
  <c r="C2608" i="55"/>
  <c r="B2608" i="55"/>
  <c r="D2608" i="55" s="1"/>
  <c r="C2607" i="55"/>
  <c r="B2607" i="55"/>
  <c r="D2607" i="55" s="1"/>
  <c r="C2606" i="55"/>
  <c r="B2606" i="55"/>
  <c r="D2606" i="55" s="1"/>
  <c r="C2605" i="55"/>
  <c r="B2605" i="55"/>
  <c r="D2605" i="55" s="1"/>
  <c r="C2604" i="55"/>
  <c r="B2604" i="55"/>
  <c r="D2604" i="55" s="1"/>
  <c r="C2603" i="55"/>
  <c r="B2603" i="55"/>
  <c r="D2603" i="55" s="1"/>
  <c r="C2602" i="55"/>
  <c r="B2602" i="55"/>
  <c r="D2602" i="55" s="1"/>
  <c r="C2601" i="55"/>
  <c r="B2601" i="55"/>
  <c r="D2601" i="55" s="1"/>
  <c r="C2600" i="55"/>
  <c r="B2600" i="55"/>
  <c r="D2600" i="55" s="1"/>
  <c r="C2599" i="55"/>
  <c r="B2599" i="55"/>
  <c r="D2599" i="55" s="1"/>
  <c r="C2598" i="55"/>
  <c r="B2598" i="55"/>
  <c r="D2598" i="55" s="1"/>
  <c r="C2597" i="55"/>
  <c r="B2597" i="55"/>
  <c r="D2597" i="55" s="1"/>
  <c r="C2596" i="55"/>
  <c r="B2596" i="55"/>
  <c r="D2596" i="55" s="1"/>
  <c r="C2595" i="55"/>
  <c r="B2595" i="55"/>
  <c r="D2595" i="55" s="1"/>
  <c r="C2594" i="55"/>
  <c r="B2594" i="55"/>
  <c r="D2594" i="55" s="1"/>
  <c r="C2593" i="55"/>
  <c r="B2593" i="55"/>
  <c r="D2593" i="55" s="1"/>
  <c r="C2592" i="55"/>
  <c r="B2592" i="55"/>
  <c r="D2592" i="55" s="1"/>
  <c r="C2591" i="55"/>
  <c r="B2591" i="55"/>
  <c r="D2591" i="55" s="1"/>
  <c r="C2590" i="55"/>
  <c r="B2590" i="55"/>
  <c r="D2590" i="55" s="1"/>
  <c r="C2589" i="55"/>
  <c r="B2589" i="55"/>
  <c r="D2589" i="55" s="1"/>
  <c r="C2588" i="55"/>
  <c r="B2588" i="55"/>
  <c r="D2588" i="55" s="1"/>
  <c r="C2587" i="55"/>
  <c r="B2587" i="55"/>
  <c r="D2587" i="55" s="1"/>
  <c r="C2586" i="55"/>
  <c r="B2586" i="55"/>
  <c r="D2586" i="55" s="1"/>
  <c r="C2585" i="55"/>
  <c r="B2585" i="55"/>
  <c r="D2585" i="55" s="1"/>
  <c r="C2584" i="55"/>
  <c r="B2584" i="55"/>
  <c r="D2584" i="55" s="1"/>
  <c r="C2583" i="55"/>
  <c r="B2583" i="55"/>
  <c r="D2583" i="55" s="1"/>
  <c r="C2582" i="55"/>
  <c r="B2582" i="55"/>
  <c r="D2582" i="55" s="1"/>
  <c r="C2581" i="55"/>
  <c r="B2581" i="55"/>
  <c r="D2581" i="55" s="1"/>
  <c r="C2580" i="55"/>
  <c r="B2580" i="55"/>
  <c r="D2580" i="55" s="1"/>
  <c r="C2579" i="55"/>
  <c r="B2579" i="55"/>
  <c r="D2579" i="55" s="1"/>
  <c r="C2578" i="55"/>
  <c r="B2578" i="55"/>
  <c r="D2578" i="55" s="1"/>
  <c r="C2577" i="55"/>
  <c r="B2577" i="55"/>
  <c r="D2577" i="55" s="1"/>
  <c r="C2576" i="55"/>
  <c r="B2576" i="55"/>
  <c r="D2576" i="55" s="1"/>
  <c r="C2575" i="55"/>
  <c r="B2575" i="55"/>
  <c r="D2575" i="55" s="1"/>
  <c r="C2574" i="55"/>
  <c r="B2574" i="55"/>
  <c r="D2574" i="55" s="1"/>
  <c r="C2573" i="55"/>
  <c r="B2573" i="55"/>
  <c r="D2573" i="55" s="1"/>
  <c r="C2572" i="55"/>
  <c r="B2572" i="55"/>
  <c r="D2572" i="55" s="1"/>
  <c r="C2571" i="55"/>
  <c r="B2571" i="55"/>
  <c r="D2571" i="55" s="1"/>
  <c r="C2570" i="55"/>
  <c r="B2570" i="55"/>
  <c r="D2570" i="55" s="1"/>
  <c r="C2569" i="55"/>
  <c r="B2569" i="55"/>
  <c r="D2569" i="55" s="1"/>
  <c r="C2568" i="55"/>
  <c r="B2568" i="55"/>
  <c r="D2568" i="55" s="1"/>
  <c r="C2567" i="55"/>
  <c r="B2567" i="55"/>
  <c r="D2567" i="55" s="1"/>
  <c r="C2566" i="55"/>
  <c r="B2566" i="55"/>
  <c r="D2566" i="55" s="1"/>
  <c r="C2565" i="55"/>
  <c r="B2565" i="55"/>
  <c r="D2565" i="55" s="1"/>
  <c r="C2564" i="55"/>
  <c r="B2564" i="55"/>
  <c r="D2564" i="55" s="1"/>
  <c r="C2563" i="55"/>
  <c r="B2563" i="55"/>
  <c r="D2563" i="55" s="1"/>
  <c r="C2562" i="55"/>
  <c r="B2562" i="55"/>
  <c r="D2562" i="55" s="1"/>
  <c r="C2561" i="55"/>
  <c r="B2561" i="55"/>
  <c r="D2561" i="55" s="1"/>
  <c r="C2560" i="55"/>
  <c r="B2560" i="55"/>
  <c r="D2560" i="55" s="1"/>
  <c r="C2559" i="55"/>
  <c r="B2559" i="55"/>
  <c r="D2559" i="55" s="1"/>
  <c r="C2558" i="55"/>
  <c r="B2558" i="55"/>
  <c r="D2558" i="55" s="1"/>
  <c r="C2557" i="55"/>
  <c r="B2557" i="55"/>
  <c r="D2557" i="55" s="1"/>
  <c r="C2556" i="55"/>
  <c r="B2556" i="55"/>
  <c r="D2556" i="55" s="1"/>
  <c r="C2555" i="55"/>
  <c r="B2555" i="55"/>
  <c r="D2555" i="55" s="1"/>
  <c r="C2554" i="55"/>
  <c r="B2554" i="55"/>
  <c r="D2554" i="55" s="1"/>
  <c r="C2553" i="55"/>
  <c r="B2553" i="55"/>
  <c r="D2553" i="55" s="1"/>
  <c r="C2552" i="55"/>
  <c r="B2552" i="55"/>
  <c r="D2552" i="55" s="1"/>
  <c r="C2551" i="55"/>
  <c r="B2551" i="55"/>
  <c r="D2551" i="55" s="1"/>
  <c r="C2550" i="55"/>
  <c r="B2550" i="55"/>
  <c r="D2550" i="55" s="1"/>
  <c r="C2549" i="55"/>
  <c r="B2549" i="55"/>
  <c r="D2549" i="55" s="1"/>
  <c r="C2548" i="55"/>
  <c r="B2548" i="55"/>
  <c r="D2548" i="55" s="1"/>
  <c r="C2547" i="55"/>
  <c r="B2547" i="55"/>
  <c r="D2547" i="55" s="1"/>
  <c r="C2546" i="55"/>
  <c r="B2546" i="55"/>
  <c r="D2546" i="55" s="1"/>
  <c r="C2545" i="55"/>
  <c r="B2545" i="55"/>
  <c r="D2545" i="55" s="1"/>
  <c r="C2544" i="55"/>
  <c r="B2544" i="55"/>
  <c r="D2544" i="55" s="1"/>
  <c r="C2543" i="55"/>
  <c r="B2543" i="55"/>
  <c r="D2543" i="55" s="1"/>
  <c r="C2542" i="55"/>
  <c r="B2542" i="55"/>
  <c r="D2542" i="55" s="1"/>
  <c r="C2541" i="55"/>
  <c r="B2541" i="55"/>
  <c r="D2541" i="55" s="1"/>
  <c r="C2540" i="55"/>
  <c r="B2540" i="55"/>
  <c r="D2540" i="55" s="1"/>
  <c r="C2539" i="55"/>
  <c r="B2539" i="55"/>
  <c r="D2539" i="55" s="1"/>
  <c r="C2538" i="55"/>
  <c r="B2538" i="55"/>
  <c r="D2538" i="55" s="1"/>
  <c r="C2537" i="55"/>
  <c r="B2537" i="55"/>
  <c r="D2537" i="55" s="1"/>
  <c r="C2536" i="55"/>
  <c r="B2536" i="55"/>
  <c r="D2536" i="55" s="1"/>
  <c r="C2535" i="55"/>
  <c r="B2535" i="55"/>
  <c r="D2535" i="55" s="1"/>
  <c r="C2534" i="55"/>
  <c r="B2534" i="55"/>
  <c r="D2534" i="55" s="1"/>
  <c r="C2533" i="55"/>
  <c r="B2533" i="55"/>
  <c r="D2533" i="55" s="1"/>
  <c r="C2532" i="55"/>
  <c r="B2532" i="55"/>
  <c r="D2532" i="55" s="1"/>
  <c r="C2531" i="55"/>
  <c r="B2531" i="55"/>
  <c r="D2531" i="55" s="1"/>
  <c r="C2530" i="55"/>
  <c r="B2530" i="55"/>
  <c r="D2530" i="55" s="1"/>
  <c r="C2529" i="55"/>
  <c r="B2529" i="55"/>
  <c r="D2529" i="55" s="1"/>
  <c r="C2528" i="55"/>
  <c r="B2528" i="55"/>
  <c r="D2528" i="55" s="1"/>
  <c r="C2527" i="55"/>
  <c r="B2527" i="55"/>
  <c r="D2527" i="55" s="1"/>
  <c r="C2526" i="55"/>
  <c r="B2526" i="55"/>
  <c r="D2526" i="55" s="1"/>
  <c r="C2525" i="55"/>
  <c r="B2525" i="55"/>
  <c r="D2525" i="55" s="1"/>
  <c r="C2524" i="55"/>
  <c r="B2524" i="55"/>
  <c r="D2524" i="55" s="1"/>
  <c r="C2523" i="55"/>
  <c r="B2523" i="55"/>
  <c r="D2523" i="55" s="1"/>
  <c r="C2522" i="55"/>
  <c r="B2522" i="55"/>
  <c r="D2522" i="55" s="1"/>
  <c r="C2521" i="55"/>
  <c r="B2521" i="55"/>
  <c r="D2521" i="55" s="1"/>
  <c r="C2520" i="55"/>
  <c r="B2520" i="55"/>
  <c r="D2520" i="55" s="1"/>
  <c r="C2519" i="55"/>
  <c r="B2519" i="55"/>
  <c r="D2519" i="55" s="1"/>
  <c r="C2518" i="55"/>
  <c r="B2518" i="55"/>
  <c r="D2518" i="55" s="1"/>
  <c r="C2517" i="55"/>
  <c r="B2517" i="55"/>
  <c r="D2517" i="55" s="1"/>
  <c r="C2516" i="55"/>
  <c r="B2516" i="55"/>
  <c r="D2516" i="55" s="1"/>
  <c r="C2515" i="55"/>
  <c r="B2515" i="55"/>
  <c r="D2515" i="55" s="1"/>
  <c r="C2514" i="55"/>
  <c r="B2514" i="55"/>
  <c r="D2514" i="55" s="1"/>
  <c r="C2513" i="55"/>
  <c r="B2513" i="55"/>
  <c r="D2513" i="55" s="1"/>
  <c r="C2512" i="55"/>
  <c r="B2512" i="55"/>
  <c r="D2512" i="55" s="1"/>
  <c r="C2511" i="55"/>
  <c r="B2511" i="55"/>
  <c r="D2511" i="55" s="1"/>
  <c r="C2510" i="55"/>
  <c r="B2510" i="55"/>
  <c r="D2510" i="55" s="1"/>
  <c r="C2509" i="55"/>
  <c r="B2509" i="55"/>
  <c r="D2509" i="55" s="1"/>
  <c r="C2508" i="55"/>
  <c r="B2508" i="55"/>
  <c r="D2508" i="55" s="1"/>
  <c r="C2507" i="55"/>
  <c r="B2507" i="55"/>
  <c r="D2507" i="55" s="1"/>
  <c r="C2506" i="55"/>
  <c r="B2506" i="55"/>
  <c r="D2506" i="55" s="1"/>
  <c r="C2505" i="55"/>
  <c r="B2505" i="55"/>
  <c r="D2505" i="55" s="1"/>
  <c r="C2504" i="55"/>
  <c r="B2504" i="55"/>
  <c r="D2504" i="55" s="1"/>
  <c r="C2503" i="55"/>
  <c r="B2503" i="55"/>
  <c r="D2503" i="55" s="1"/>
  <c r="C2502" i="55"/>
  <c r="B2502" i="55"/>
  <c r="D2502" i="55" s="1"/>
  <c r="C2501" i="55"/>
  <c r="B2501" i="55"/>
  <c r="D2501" i="55" s="1"/>
  <c r="C2500" i="55"/>
  <c r="B2500" i="55"/>
  <c r="D2500" i="55" s="1"/>
  <c r="C2499" i="55"/>
  <c r="B2499" i="55"/>
  <c r="D2499" i="55" s="1"/>
  <c r="C2498" i="55"/>
  <c r="B2498" i="55"/>
  <c r="D2498" i="55" s="1"/>
  <c r="C2497" i="55"/>
  <c r="B2497" i="55"/>
  <c r="D2497" i="55" s="1"/>
  <c r="C2496" i="55"/>
  <c r="B2496" i="55"/>
  <c r="D2496" i="55" s="1"/>
  <c r="C2495" i="55"/>
  <c r="B2495" i="55"/>
  <c r="D2495" i="55" s="1"/>
  <c r="C2494" i="55"/>
  <c r="B2494" i="55"/>
  <c r="D2494" i="55" s="1"/>
  <c r="C2493" i="55"/>
  <c r="B2493" i="55"/>
  <c r="D2493" i="55" s="1"/>
  <c r="C2492" i="55"/>
  <c r="B2492" i="55"/>
  <c r="D2492" i="55" s="1"/>
  <c r="C2491" i="55"/>
  <c r="B2491" i="55"/>
  <c r="D2491" i="55" s="1"/>
  <c r="C2490" i="55"/>
  <c r="B2490" i="55"/>
  <c r="D2490" i="55" s="1"/>
  <c r="C2489" i="55"/>
  <c r="B2489" i="55"/>
  <c r="D2489" i="55" s="1"/>
  <c r="C2488" i="55"/>
  <c r="B2488" i="55"/>
  <c r="D2488" i="55" s="1"/>
  <c r="C2487" i="55"/>
  <c r="B2487" i="55"/>
  <c r="D2487" i="55" s="1"/>
  <c r="C2486" i="55"/>
  <c r="B2486" i="55"/>
  <c r="D2486" i="55" s="1"/>
  <c r="C2485" i="55"/>
  <c r="B2485" i="55"/>
  <c r="D2485" i="55" s="1"/>
  <c r="C2484" i="55"/>
  <c r="B2484" i="55"/>
  <c r="D2484" i="55" s="1"/>
  <c r="C2483" i="55"/>
  <c r="B2483" i="55"/>
  <c r="D2483" i="55" s="1"/>
  <c r="C2482" i="55"/>
  <c r="B2482" i="55"/>
  <c r="D2482" i="55" s="1"/>
  <c r="C2481" i="55"/>
  <c r="B2481" i="55"/>
  <c r="D2481" i="55" s="1"/>
  <c r="C2480" i="55"/>
  <c r="B2480" i="55"/>
  <c r="D2480" i="55" s="1"/>
  <c r="C2479" i="55"/>
  <c r="B2479" i="55"/>
  <c r="D2479" i="55" s="1"/>
  <c r="C2478" i="55"/>
  <c r="B2478" i="55"/>
  <c r="D2478" i="55" s="1"/>
  <c r="C2477" i="55"/>
  <c r="B2477" i="55"/>
  <c r="D2477" i="55" s="1"/>
  <c r="C2476" i="55"/>
  <c r="B2476" i="55"/>
  <c r="D2476" i="55" s="1"/>
  <c r="C2475" i="55"/>
  <c r="B2475" i="55"/>
  <c r="D2475" i="55" s="1"/>
  <c r="C2474" i="55"/>
  <c r="B2474" i="55"/>
  <c r="D2474" i="55" s="1"/>
  <c r="C2473" i="55"/>
  <c r="B2473" i="55"/>
  <c r="D2473" i="55" s="1"/>
  <c r="C2472" i="55"/>
  <c r="B2472" i="55"/>
  <c r="D2472" i="55" s="1"/>
  <c r="C2471" i="55"/>
  <c r="B2471" i="55"/>
  <c r="D2471" i="55" s="1"/>
  <c r="C2470" i="55"/>
  <c r="B2470" i="55"/>
  <c r="D2470" i="55" s="1"/>
  <c r="C2469" i="55"/>
  <c r="B2469" i="55"/>
  <c r="D2469" i="55" s="1"/>
  <c r="C2468" i="55"/>
  <c r="B2468" i="55"/>
  <c r="D2468" i="55" s="1"/>
  <c r="C2467" i="55"/>
  <c r="B2467" i="55"/>
  <c r="D2467" i="55" s="1"/>
  <c r="C2466" i="55"/>
  <c r="B2466" i="55"/>
  <c r="D2466" i="55" s="1"/>
  <c r="C2465" i="55"/>
  <c r="B2465" i="55"/>
  <c r="D2465" i="55" s="1"/>
  <c r="C2464" i="55"/>
  <c r="B2464" i="55"/>
  <c r="D2464" i="55" s="1"/>
  <c r="C2463" i="55"/>
  <c r="B2463" i="55"/>
  <c r="D2463" i="55" s="1"/>
  <c r="C2462" i="55"/>
  <c r="B2462" i="55"/>
  <c r="D2462" i="55" s="1"/>
  <c r="C2461" i="55"/>
  <c r="B2461" i="55"/>
  <c r="D2461" i="55" s="1"/>
  <c r="C2460" i="55"/>
  <c r="B2460" i="55"/>
  <c r="D2460" i="55" s="1"/>
  <c r="C2459" i="55"/>
  <c r="B2459" i="55"/>
  <c r="D2459" i="55" s="1"/>
  <c r="C2458" i="55"/>
  <c r="B2458" i="55"/>
  <c r="D2458" i="55" s="1"/>
  <c r="C2457" i="55"/>
  <c r="B2457" i="55"/>
  <c r="D2457" i="55" s="1"/>
  <c r="C2456" i="55"/>
  <c r="B2456" i="55"/>
  <c r="D2456" i="55" s="1"/>
  <c r="C2455" i="55"/>
  <c r="B2455" i="55"/>
  <c r="D2455" i="55" s="1"/>
  <c r="C2454" i="55"/>
  <c r="B2454" i="55"/>
  <c r="D2454" i="55" s="1"/>
  <c r="C2453" i="55"/>
  <c r="B2453" i="55"/>
  <c r="D2453" i="55" s="1"/>
  <c r="C2452" i="55"/>
  <c r="B2452" i="55"/>
  <c r="D2452" i="55" s="1"/>
  <c r="C2451" i="55"/>
  <c r="B2451" i="55"/>
  <c r="D2451" i="55" s="1"/>
  <c r="C2450" i="55"/>
  <c r="B2450" i="55"/>
  <c r="D2450" i="55" s="1"/>
  <c r="C2449" i="55"/>
  <c r="B2449" i="55"/>
  <c r="D2449" i="55" s="1"/>
  <c r="C2448" i="55"/>
  <c r="B2448" i="55"/>
  <c r="D2448" i="55" s="1"/>
  <c r="C2447" i="55"/>
  <c r="B2447" i="55"/>
  <c r="D2447" i="55" s="1"/>
  <c r="C2446" i="55"/>
  <c r="B2446" i="55"/>
  <c r="D2446" i="55" s="1"/>
  <c r="C2445" i="55"/>
  <c r="B2445" i="55"/>
  <c r="D2445" i="55" s="1"/>
  <c r="C2444" i="55"/>
  <c r="B2444" i="55"/>
  <c r="D2444" i="55" s="1"/>
  <c r="C2443" i="55"/>
  <c r="B2443" i="55"/>
  <c r="D2443" i="55" s="1"/>
  <c r="C2442" i="55"/>
  <c r="B2442" i="55"/>
  <c r="D2442" i="55" s="1"/>
  <c r="C2441" i="55"/>
  <c r="B2441" i="55"/>
  <c r="D2441" i="55" s="1"/>
  <c r="C2440" i="55"/>
  <c r="B2440" i="55"/>
  <c r="D2440" i="55" s="1"/>
  <c r="C2439" i="55"/>
  <c r="B2439" i="55"/>
  <c r="D2439" i="55" s="1"/>
  <c r="C2438" i="55"/>
  <c r="B2438" i="55"/>
  <c r="D2438" i="55" s="1"/>
  <c r="C2437" i="55"/>
  <c r="B2437" i="55"/>
  <c r="D2437" i="55" s="1"/>
  <c r="C2436" i="55"/>
  <c r="B2436" i="55"/>
  <c r="D2436" i="55" s="1"/>
  <c r="C2435" i="55"/>
  <c r="B2435" i="55"/>
  <c r="D2435" i="55" s="1"/>
  <c r="C2434" i="55"/>
  <c r="B2434" i="55"/>
  <c r="D2434" i="55" s="1"/>
  <c r="C2433" i="55"/>
  <c r="B2433" i="55"/>
  <c r="D2433" i="55" s="1"/>
  <c r="C2432" i="55"/>
  <c r="B2432" i="55"/>
  <c r="D2432" i="55" s="1"/>
  <c r="C2431" i="55"/>
  <c r="B2431" i="55"/>
  <c r="D2431" i="55" s="1"/>
  <c r="C2430" i="55"/>
  <c r="B2430" i="55"/>
  <c r="D2430" i="55" s="1"/>
  <c r="C2429" i="55"/>
  <c r="B2429" i="55"/>
  <c r="D2429" i="55" s="1"/>
  <c r="C2428" i="55"/>
  <c r="B2428" i="55"/>
  <c r="D2428" i="55" s="1"/>
  <c r="C2427" i="55"/>
  <c r="B2427" i="55"/>
  <c r="D2427" i="55" s="1"/>
  <c r="C2426" i="55"/>
  <c r="B2426" i="55"/>
  <c r="D2426" i="55" s="1"/>
  <c r="C2425" i="55"/>
  <c r="B2425" i="55"/>
  <c r="D2425" i="55" s="1"/>
  <c r="C2424" i="55"/>
  <c r="B2424" i="55"/>
  <c r="D2424" i="55" s="1"/>
  <c r="C2423" i="55"/>
  <c r="B2423" i="55"/>
  <c r="D2423" i="55" s="1"/>
  <c r="C2422" i="55"/>
  <c r="B2422" i="55"/>
  <c r="D2422" i="55" s="1"/>
  <c r="C2421" i="55"/>
  <c r="B2421" i="55"/>
  <c r="D2421" i="55" s="1"/>
  <c r="C2420" i="55"/>
  <c r="B2420" i="55"/>
  <c r="D2420" i="55" s="1"/>
  <c r="C2419" i="55"/>
  <c r="B2419" i="55"/>
  <c r="D2419" i="55" s="1"/>
  <c r="C2418" i="55"/>
  <c r="B2418" i="55"/>
  <c r="D2418" i="55" s="1"/>
  <c r="C2417" i="55"/>
  <c r="B2417" i="55"/>
  <c r="D2417" i="55" s="1"/>
  <c r="C2416" i="55"/>
  <c r="B2416" i="55"/>
  <c r="D2416" i="55" s="1"/>
  <c r="C2415" i="55"/>
  <c r="B2415" i="55"/>
  <c r="D2415" i="55" s="1"/>
  <c r="C2414" i="55"/>
  <c r="B2414" i="55"/>
  <c r="D2414" i="55" s="1"/>
  <c r="C2413" i="55"/>
  <c r="B2413" i="55"/>
  <c r="D2413" i="55" s="1"/>
  <c r="C2412" i="55"/>
  <c r="B2412" i="55"/>
  <c r="D2412" i="55" s="1"/>
  <c r="C2411" i="55"/>
  <c r="B2411" i="55"/>
  <c r="D2411" i="55" s="1"/>
  <c r="C2410" i="55"/>
  <c r="B2410" i="55"/>
  <c r="D2410" i="55" s="1"/>
  <c r="C2409" i="55"/>
  <c r="B2409" i="55"/>
  <c r="D2409" i="55" s="1"/>
  <c r="C2408" i="55"/>
  <c r="B2408" i="55"/>
  <c r="D2408" i="55" s="1"/>
  <c r="C2407" i="55"/>
  <c r="B2407" i="55"/>
  <c r="D2407" i="55" s="1"/>
  <c r="R2620" i="55" l="1"/>
  <c r="S2620" i="55" s="1"/>
  <c r="R2621" i="55"/>
  <c r="S2621" i="55" s="1"/>
  <c r="R2435" i="55"/>
  <c r="S2435" i="55" s="1"/>
  <c r="R2467" i="55"/>
  <c r="S2467" i="55" s="1"/>
  <c r="R2591" i="55"/>
  <c r="S2591" i="55" s="1"/>
  <c r="R2622" i="55"/>
  <c r="S2622" i="55" s="1"/>
  <c r="R2638" i="55"/>
  <c r="S2638" i="55" s="1"/>
  <c r="R2654" i="55"/>
  <c r="S2654" i="55" s="1"/>
  <c r="R2670" i="55"/>
  <c r="S2670" i="55" s="1"/>
  <c r="R2686" i="55"/>
  <c r="S2686" i="55" s="1"/>
  <c r="R2702" i="55"/>
  <c r="S2702" i="55" s="1"/>
  <c r="R2718" i="55"/>
  <c r="S2718" i="55" s="1"/>
  <c r="R2734" i="55"/>
  <c r="S2734" i="55" s="1"/>
  <c r="R2750" i="55"/>
  <c r="S2750" i="55" s="1"/>
  <c r="R2766" i="55"/>
  <c r="S2766" i="55" s="1"/>
  <c r="R2420" i="55"/>
  <c r="S2420" i="55" s="1"/>
  <c r="R2436" i="55"/>
  <c r="S2436" i="55" s="1"/>
  <c r="R2452" i="55"/>
  <c r="S2452" i="55" s="1"/>
  <c r="R2468" i="55"/>
  <c r="S2468" i="55" s="1"/>
  <c r="R2483" i="55"/>
  <c r="S2483" i="55" s="1"/>
  <c r="R2498" i="55"/>
  <c r="S2498" i="55" s="1"/>
  <c r="R2514" i="55"/>
  <c r="S2514" i="55" s="1"/>
  <c r="R2529" i="55"/>
  <c r="S2529" i="55" s="1"/>
  <c r="R2545" i="55"/>
  <c r="S2545" i="55" s="1"/>
  <c r="R2561" i="55"/>
  <c r="S2561" i="55" s="1"/>
  <c r="R2576" i="55"/>
  <c r="S2576" i="55" s="1"/>
  <c r="R2592" i="55"/>
  <c r="S2592" i="55" s="1"/>
  <c r="R2607" i="55"/>
  <c r="S2607" i="55" s="1"/>
  <c r="R2623" i="55"/>
  <c r="S2623" i="55" s="1"/>
  <c r="R2639" i="55"/>
  <c r="S2639" i="55" s="1"/>
  <c r="R2655" i="55"/>
  <c r="S2655" i="55" s="1"/>
  <c r="R2671" i="55"/>
  <c r="S2671" i="55" s="1"/>
  <c r="R2687" i="55"/>
  <c r="S2687" i="55" s="1"/>
  <c r="R2703" i="55"/>
  <c r="S2703" i="55" s="1"/>
  <c r="R2719" i="55"/>
  <c r="S2719" i="55" s="1"/>
  <c r="R2735" i="55"/>
  <c r="S2735" i="55" s="1"/>
  <c r="R2751" i="55"/>
  <c r="S2751" i="55" s="1"/>
  <c r="R2767" i="55"/>
  <c r="S2767" i="55" s="1"/>
  <c r="R2558" i="55"/>
  <c r="S2558" i="55" s="1"/>
  <c r="R2590" i="55"/>
  <c r="S2590" i="55" s="1"/>
  <c r="R2421" i="55"/>
  <c r="S2421" i="55" s="1"/>
  <c r="R2453" i="55"/>
  <c r="S2453" i="55" s="1"/>
  <c r="R2469" i="55"/>
  <c r="S2469" i="55" s="1"/>
  <c r="R2499" i="55"/>
  <c r="S2499" i="55" s="1"/>
  <c r="R2515" i="55"/>
  <c r="S2515" i="55" s="1"/>
  <c r="R2530" i="55"/>
  <c r="S2530" i="55" s="1"/>
  <c r="R2546" i="55"/>
  <c r="S2546" i="55" s="1"/>
  <c r="R2562" i="55"/>
  <c r="S2562" i="55" s="1"/>
  <c r="R2577" i="55"/>
  <c r="S2577" i="55" s="1"/>
  <c r="R2593" i="55"/>
  <c r="S2593" i="55" s="1"/>
  <c r="R2608" i="55"/>
  <c r="S2608" i="55" s="1"/>
  <c r="R2624" i="55"/>
  <c r="S2624" i="55" s="1"/>
  <c r="R2640" i="55"/>
  <c r="S2640" i="55" s="1"/>
  <c r="R2656" i="55"/>
  <c r="S2656" i="55" s="1"/>
  <c r="R2672" i="55"/>
  <c r="S2672" i="55" s="1"/>
  <c r="R2688" i="55"/>
  <c r="S2688" i="55" s="1"/>
  <c r="R2720" i="55"/>
  <c r="S2720" i="55" s="1"/>
  <c r="R2736" i="55"/>
  <c r="S2736" i="55" s="1"/>
  <c r="R2768" i="55"/>
  <c r="S2768" i="55" s="1"/>
  <c r="R2636" i="55"/>
  <c r="S2636" i="55" s="1"/>
  <c r="R2543" i="55"/>
  <c r="S2543" i="55" s="1"/>
  <c r="R2733" i="55"/>
  <c r="S2733" i="55" s="1"/>
  <c r="R2575" i="55"/>
  <c r="S2575" i="55" s="1"/>
  <c r="R2516" i="55"/>
  <c r="S2516" i="55" s="1"/>
  <c r="R2423" i="55"/>
  <c r="S2423" i="55" s="1"/>
  <c r="R2455" i="55"/>
  <c r="S2455" i="55" s="1"/>
  <c r="R2501" i="55"/>
  <c r="S2501" i="55" s="1"/>
  <c r="R2517" i="55"/>
  <c r="S2517" i="55" s="1"/>
  <c r="R2548" i="55"/>
  <c r="S2548" i="55" s="1"/>
  <c r="R2564" i="55"/>
  <c r="S2564" i="55" s="1"/>
  <c r="R2579" i="55"/>
  <c r="S2579" i="55" s="1"/>
  <c r="R2610" i="55"/>
  <c r="S2610" i="55" s="1"/>
  <c r="R2626" i="55"/>
  <c r="S2626" i="55" s="1"/>
  <c r="R2642" i="55"/>
  <c r="S2642" i="55" s="1"/>
  <c r="R2658" i="55"/>
  <c r="S2658" i="55" s="1"/>
  <c r="R2674" i="55"/>
  <c r="S2674" i="55" s="1"/>
  <c r="R2690" i="55"/>
  <c r="S2690" i="55" s="1"/>
  <c r="R2706" i="55"/>
  <c r="S2706" i="55" s="1"/>
  <c r="R2722" i="55"/>
  <c r="S2722" i="55" s="1"/>
  <c r="R2770" i="55"/>
  <c r="S2770" i="55" s="1"/>
  <c r="R2668" i="55"/>
  <c r="S2668" i="55" s="1"/>
  <c r="R2637" i="55"/>
  <c r="S2637" i="55" s="1"/>
  <c r="R2419" i="55"/>
  <c r="S2419" i="55" s="1"/>
  <c r="R2408" i="55"/>
  <c r="S2408" i="55" s="1"/>
  <c r="R2424" i="55"/>
  <c r="S2424" i="55" s="1"/>
  <c r="R2440" i="55"/>
  <c r="S2440" i="55" s="1"/>
  <c r="R2456" i="55"/>
  <c r="S2456" i="55" s="1"/>
  <c r="R2472" i="55"/>
  <c r="S2472" i="55" s="1"/>
  <c r="R2486" i="55"/>
  <c r="S2486" i="55" s="1"/>
  <c r="R2502" i="55"/>
  <c r="S2502" i="55" s="1"/>
  <c r="R2518" i="55"/>
  <c r="S2518" i="55" s="1"/>
  <c r="R2533" i="55"/>
  <c r="S2533" i="55" s="1"/>
  <c r="R2549" i="55"/>
  <c r="S2549" i="55" s="1"/>
  <c r="R2565" i="55"/>
  <c r="S2565" i="55" s="1"/>
  <c r="R2580" i="55"/>
  <c r="S2580" i="55" s="1"/>
  <c r="R2596" i="55"/>
  <c r="S2596" i="55" s="1"/>
  <c r="R2611" i="55"/>
  <c r="S2611" i="55" s="1"/>
  <c r="R2627" i="55"/>
  <c r="S2627" i="55" s="1"/>
  <c r="R2643" i="55"/>
  <c r="S2643" i="55" s="1"/>
  <c r="R2659" i="55"/>
  <c r="S2659" i="55" s="1"/>
  <c r="R2675" i="55"/>
  <c r="S2675" i="55" s="1"/>
  <c r="R2691" i="55"/>
  <c r="S2691" i="55" s="1"/>
  <c r="R2707" i="55"/>
  <c r="S2707" i="55" s="1"/>
  <c r="R2723" i="55"/>
  <c r="S2723" i="55" s="1"/>
  <c r="R2739" i="55"/>
  <c r="S2739" i="55" s="1"/>
  <c r="R2755" i="55"/>
  <c r="S2755" i="55" s="1"/>
  <c r="R2771" i="55"/>
  <c r="S2771" i="55" s="1"/>
  <c r="R2652" i="55"/>
  <c r="S2652" i="55" s="1"/>
  <c r="R2653" i="55"/>
  <c r="S2653" i="55" s="1"/>
  <c r="R2451" i="55"/>
  <c r="S2451" i="55" s="1"/>
  <c r="R2409" i="55"/>
  <c r="S2409" i="55" s="1"/>
  <c r="R2425" i="55"/>
  <c r="S2425" i="55" s="1"/>
  <c r="R2441" i="55"/>
  <c r="S2441" i="55" s="1"/>
  <c r="R2457" i="55"/>
  <c r="S2457" i="55" s="1"/>
  <c r="R2473" i="55"/>
  <c r="S2473" i="55" s="1"/>
  <c r="R2487" i="55"/>
  <c r="S2487" i="55" s="1"/>
  <c r="R2503" i="55"/>
  <c r="S2503" i="55" s="1"/>
  <c r="R2519" i="55"/>
  <c r="S2519" i="55" s="1"/>
  <c r="R2550" i="55"/>
  <c r="S2550" i="55" s="1"/>
  <c r="R2566" i="55"/>
  <c r="S2566" i="55" s="1"/>
  <c r="R2581" i="55"/>
  <c r="S2581" i="55" s="1"/>
  <c r="R2597" i="55"/>
  <c r="S2597" i="55" s="1"/>
  <c r="R2612" i="55"/>
  <c r="S2612" i="55" s="1"/>
  <c r="R2628" i="55"/>
  <c r="S2628" i="55" s="1"/>
  <c r="R2644" i="55"/>
  <c r="S2644" i="55" s="1"/>
  <c r="R2660" i="55"/>
  <c r="S2660" i="55" s="1"/>
  <c r="R2676" i="55"/>
  <c r="S2676" i="55" s="1"/>
  <c r="R2692" i="55"/>
  <c r="S2692" i="55" s="1"/>
  <c r="R2708" i="55"/>
  <c r="S2708" i="55" s="1"/>
  <c r="R2724" i="55"/>
  <c r="S2724" i="55" s="1"/>
  <c r="R2740" i="55"/>
  <c r="S2740" i="55" s="1"/>
  <c r="R2756" i="55"/>
  <c r="S2756" i="55" s="1"/>
  <c r="R2772" i="55"/>
  <c r="S2772" i="55" s="1"/>
  <c r="R2495" i="55"/>
  <c r="S2495" i="55" s="1"/>
  <c r="R2732" i="55"/>
  <c r="S2732" i="55" s="1"/>
  <c r="R2434" i="55"/>
  <c r="S2434" i="55" s="1"/>
  <c r="R2512" i="55"/>
  <c r="S2512" i="55" s="1"/>
  <c r="R2669" i="55"/>
  <c r="S2669" i="55" s="1"/>
  <c r="R2606" i="55"/>
  <c r="S2606" i="55" s="1"/>
  <c r="R2609" i="55"/>
  <c r="S2609" i="55" s="1"/>
  <c r="R2753" i="55"/>
  <c r="S2753" i="55" s="1"/>
  <c r="R2534" i="55"/>
  <c r="S2534" i="55" s="1"/>
  <c r="R2410" i="55"/>
  <c r="S2410" i="55" s="1"/>
  <c r="R2426" i="55"/>
  <c r="S2426" i="55" s="1"/>
  <c r="R2442" i="55"/>
  <c r="S2442" i="55" s="1"/>
  <c r="R2458" i="55"/>
  <c r="S2458" i="55" s="1"/>
  <c r="R2474" i="55"/>
  <c r="S2474" i="55" s="1"/>
  <c r="R2488" i="55"/>
  <c r="S2488" i="55" s="1"/>
  <c r="R2504" i="55"/>
  <c r="S2504" i="55" s="1"/>
  <c r="R2520" i="55"/>
  <c r="S2520" i="55" s="1"/>
  <c r="R2535" i="55"/>
  <c r="S2535" i="55" s="1"/>
  <c r="R2551" i="55"/>
  <c r="S2551" i="55" s="1"/>
  <c r="R2567" i="55"/>
  <c r="S2567" i="55" s="1"/>
  <c r="R2582" i="55"/>
  <c r="S2582" i="55" s="1"/>
  <c r="R2598" i="55"/>
  <c r="S2598" i="55" s="1"/>
  <c r="R2613" i="55"/>
  <c r="S2613" i="55" s="1"/>
  <c r="R2629" i="55"/>
  <c r="S2629" i="55" s="1"/>
  <c r="R2645" i="55"/>
  <c r="S2645" i="55" s="1"/>
  <c r="R2661" i="55"/>
  <c r="S2661" i="55" s="1"/>
  <c r="R2677" i="55"/>
  <c r="S2677" i="55" s="1"/>
  <c r="R2693" i="55"/>
  <c r="S2693" i="55" s="1"/>
  <c r="R2709" i="55"/>
  <c r="S2709" i="55" s="1"/>
  <c r="R2725" i="55"/>
  <c r="S2725" i="55" s="1"/>
  <c r="R2741" i="55"/>
  <c r="S2741" i="55" s="1"/>
  <c r="R2757" i="55"/>
  <c r="S2757" i="55" s="1"/>
  <c r="R2773" i="55"/>
  <c r="S2773" i="55" s="1"/>
  <c r="R2480" i="55"/>
  <c r="S2480" i="55" s="1"/>
  <c r="R2700" i="55"/>
  <c r="S2700" i="55" s="1"/>
  <c r="R2605" i="55"/>
  <c r="S2605" i="55" s="1"/>
  <c r="R2482" i="55"/>
  <c r="S2482" i="55" s="1"/>
  <c r="R2411" i="55"/>
  <c r="S2411" i="55" s="1"/>
  <c r="R2427" i="55"/>
  <c r="S2427" i="55" s="1"/>
  <c r="R2443" i="55"/>
  <c r="S2443" i="55" s="1"/>
  <c r="R2459" i="55"/>
  <c r="S2459" i="55" s="1"/>
  <c r="R2475" i="55"/>
  <c r="S2475" i="55" s="1"/>
  <c r="R2489" i="55"/>
  <c r="S2489" i="55" s="1"/>
  <c r="R2505" i="55"/>
  <c r="S2505" i="55" s="1"/>
  <c r="R2536" i="55"/>
  <c r="S2536" i="55" s="1"/>
  <c r="R2552" i="55"/>
  <c r="S2552" i="55" s="1"/>
  <c r="R2568" i="55"/>
  <c r="S2568" i="55" s="1"/>
  <c r="R2583" i="55"/>
  <c r="S2583" i="55" s="1"/>
  <c r="R2599" i="55"/>
  <c r="S2599" i="55" s="1"/>
  <c r="R2614" i="55"/>
  <c r="S2614" i="55" s="1"/>
  <c r="R2630" i="55"/>
  <c r="S2630" i="55" s="1"/>
  <c r="R2646" i="55"/>
  <c r="S2646" i="55" s="1"/>
  <c r="R2662" i="55"/>
  <c r="S2662" i="55" s="1"/>
  <c r="R2678" i="55"/>
  <c r="S2678" i="55" s="1"/>
  <c r="R2694" i="55"/>
  <c r="S2694" i="55" s="1"/>
  <c r="R2710" i="55"/>
  <c r="S2710" i="55" s="1"/>
  <c r="R2726" i="55"/>
  <c r="S2726" i="55" s="1"/>
  <c r="R2742" i="55"/>
  <c r="S2742" i="55" s="1"/>
  <c r="R2758" i="55"/>
  <c r="S2758" i="55" s="1"/>
  <c r="R2774" i="55"/>
  <c r="S2774" i="55" s="1"/>
  <c r="R2449" i="55"/>
  <c r="S2449" i="55" s="1"/>
  <c r="R2542" i="55"/>
  <c r="S2542" i="55" s="1"/>
  <c r="R2764" i="55"/>
  <c r="S2764" i="55" s="1"/>
  <c r="R2450" i="55"/>
  <c r="S2450" i="55" s="1"/>
  <c r="R2685" i="55"/>
  <c r="S2685" i="55" s="1"/>
  <c r="R2528" i="55"/>
  <c r="S2528" i="55" s="1"/>
  <c r="R2454" i="55"/>
  <c r="S2454" i="55" s="1"/>
  <c r="R2594" i="55"/>
  <c r="S2594" i="55" s="1"/>
  <c r="R2721" i="55"/>
  <c r="S2721" i="55" s="1"/>
  <c r="R2412" i="55"/>
  <c r="S2412" i="55" s="1"/>
  <c r="R2428" i="55"/>
  <c r="S2428" i="55" s="1"/>
  <c r="R2444" i="55"/>
  <c r="S2444" i="55" s="1"/>
  <c r="R2460" i="55"/>
  <c r="S2460" i="55" s="1"/>
  <c r="R2476" i="55"/>
  <c r="S2476" i="55" s="1"/>
  <c r="R2490" i="55"/>
  <c r="S2490" i="55" s="1"/>
  <c r="R2506" i="55"/>
  <c r="S2506" i="55" s="1"/>
  <c r="R2521" i="55"/>
  <c r="S2521" i="55" s="1"/>
  <c r="R2537" i="55"/>
  <c r="S2537" i="55" s="1"/>
  <c r="R2553" i="55"/>
  <c r="S2553" i="55" s="1"/>
  <c r="R2569" i="55"/>
  <c r="S2569" i="55" s="1"/>
  <c r="R2584" i="55"/>
  <c r="S2584" i="55" s="1"/>
  <c r="R2600" i="55"/>
  <c r="S2600" i="55" s="1"/>
  <c r="R2615" i="55"/>
  <c r="S2615" i="55" s="1"/>
  <c r="R2631" i="55"/>
  <c r="S2631" i="55" s="1"/>
  <c r="R2647" i="55"/>
  <c r="S2647" i="55" s="1"/>
  <c r="R2663" i="55"/>
  <c r="S2663" i="55" s="1"/>
  <c r="R2679" i="55"/>
  <c r="S2679" i="55" s="1"/>
  <c r="R2695" i="55"/>
  <c r="S2695" i="55" s="1"/>
  <c r="R2711" i="55"/>
  <c r="S2711" i="55" s="1"/>
  <c r="R2727" i="55"/>
  <c r="S2727" i="55" s="1"/>
  <c r="R2743" i="55"/>
  <c r="S2743" i="55" s="1"/>
  <c r="R2759" i="55"/>
  <c r="S2759" i="55" s="1"/>
  <c r="R2775" i="55"/>
  <c r="S2775" i="55" s="1"/>
  <c r="R2417" i="55"/>
  <c r="S2417" i="55" s="1"/>
  <c r="R2511" i="55"/>
  <c r="S2511" i="55" s="1"/>
  <c r="R2716" i="55"/>
  <c r="S2716" i="55" s="1"/>
  <c r="R2466" i="55"/>
  <c r="S2466" i="55" s="1"/>
  <c r="R2717" i="55"/>
  <c r="S2717" i="55" s="1"/>
  <c r="R2513" i="55"/>
  <c r="S2513" i="55" s="1"/>
  <c r="R2737" i="55"/>
  <c r="S2737" i="55" s="1"/>
  <c r="R2413" i="55"/>
  <c r="S2413" i="55" s="1"/>
  <c r="R2429" i="55"/>
  <c r="S2429" i="55" s="1"/>
  <c r="R2445" i="55"/>
  <c r="S2445" i="55" s="1"/>
  <c r="R2461" i="55"/>
  <c r="S2461" i="55" s="1"/>
  <c r="R2491" i="55"/>
  <c r="S2491" i="55" s="1"/>
  <c r="R2507" i="55"/>
  <c r="S2507" i="55" s="1"/>
  <c r="R2522" i="55"/>
  <c r="S2522" i="55" s="1"/>
  <c r="R2538" i="55"/>
  <c r="S2538" i="55" s="1"/>
  <c r="R2554" i="55"/>
  <c r="S2554" i="55" s="1"/>
  <c r="R2570" i="55"/>
  <c r="S2570" i="55" s="1"/>
  <c r="R2585" i="55"/>
  <c r="S2585" i="55" s="1"/>
  <c r="R2601" i="55"/>
  <c r="S2601" i="55" s="1"/>
  <c r="R2616" i="55"/>
  <c r="S2616" i="55" s="1"/>
  <c r="R2632" i="55"/>
  <c r="S2632" i="55" s="1"/>
  <c r="R2648" i="55"/>
  <c r="S2648" i="55" s="1"/>
  <c r="R2664" i="55"/>
  <c r="S2664" i="55" s="1"/>
  <c r="R2680" i="55"/>
  <c r="S2680" i="55" s="1"/>
  <c r="R2696" i="55"/>
  <c r="S2696" i="55" s="1"/>
  <c r="R2712" i="55"/>
  <c r="S2712" i="55" s="1"/>
  <c r="R2728" i="55"/>
  <c r="S2728" i="55" s="1"/>
  <c r="R2744" i="55"/>
  <c r="S2744" i="55" s="1"/>
  <c r="R2760" i="55"/>
  <c r="S2760" i="55" s="1"/>
  <c r="R2776" i="55"/>
  <c r="S2776" i="55" s="1"/>
  <c r="R2433" i="55"/>
  <c r="S2433" i="55" s="1"/>
  <c r="R2526" i="55"/>
  <c r="S2526" i="55" s="1"/>
  <c r="R2684" i="55"/>
  <c r="S2684" i="55" s="1"/>
  <c r="R2496" i="55"/>
  <c r="S2496" i="55" s="1"/>
  <c r="R2559" i="55"/>
  <c r="S2559" i="55" s="1"/>
  <c r="R2701" i="55"/>
  <c r="S2701" i="55" s="1"/>
  <c r="R2497" i="55"/>
  <c r="S2497" i="55" s="1"/>
  <c r="R2414" i="55"/>
  <c r="S2414" i="55" s="1"/>
  <c r="R2430" i="55"/>
  <c r="S2430" i="55" s="1"/>
  <c r="R2446" i="55"/>
  <c r="S2446" i="55" s="1"/>
  <c r="R2462" i="55"/>
  <c r="S2462" i="55" s="1"/>
  <c r="R2477" i="55"/>
  <c r="S2477" i="55" s="1"/>
  <c r="R2492" i="55"/>
  <c r="S2492" i="55" s="1"/>
  <c r="R2508" i="55"/>
  <c r="S2508" i="55" s="1"/>
  <c r="R2523" i="55"/>
  <c r="S2523" i="55" s="1"/>
  <c r="R2539" i="55"/>
  <c r="S2539" i="55" s="1"/>
  <c r="R2555" i="55"/>
  <c r="S2555" i="55" s="1"/>
  <c r="R2571" i="55"/>
  <c r="S2571" i="55" s="1"/>
  <c r="R2586" i="55"/>
  <c r="S2586" i="55" s="1"/>
  <c r="R2602" i="55"/>
  <c r="S2602" i="55" s="1"/>
  <c r="R2617" i="55"/>
  <c r="S2617" i="55" s="1"/>
  <c r="R2633" i="55"/>
  <c r="S2633" i="55" s="1"/>
  <c r="R2649" i="55"/>
  <c r="S2649" i="55" s="1"/>
  <c r="R2665" i="55"/>
  <c r="S2665" i="55" s="1"/>
  <c r="R2681" i="55"/>
  <c r="S2681" i="55" s="1"/>
  <c r="R2697" i="55"/>
  <c r="S2697" i="55" s="1"/>
  <c r="R2713" i="55"/>
  <c r="S2713" i="55" s="1"/>
  <c r="R2729" i="55"/>
  <c r="S2729" i="55" s="1"/>
  <c r="R2745" i="55"/>
  <c r="S2745" i="55" s="1"/>
  <c r="R2761" i="55"/>
  <c r="S2761" i="55" s="1"/>
  <c r="R2777" i="55"/>
  <c r="S2777" i="55" s="1"/>
  <c r="R2481" i="55"/>
  <c r="S2481" i="55" s="1"/>
  <c r="R2574" i="55"/>
  <c r="S2574" i="55" s="1"/>
  <c r="R2749" i="55"/>
  <c r="S2749" i="55" s="1"/>
  <c r="R2560" i="55"/>
  <c r="S2560" i="55" s="1"/>
  <c r="R2485" i="55"/>
  <c r="S2485" i="55" s="1"/>
  <c r="R2415" i="55"/>
  <c r="S2415" i="55" s="1"/>
  <c r="R2431" i="55"/>
  <c r="S2431" i="55" s="1"/>
  <c r="R2447" i="55"/>
  <c r="S2447" i="55" s="1"/>
  <c r="R2463" i="55"/>
  <c r="S2463" i="55" s="1"/>
  <c r="R2478" i="55"/>
  <c r="S2478" i="55" s="1"/>
  <c r="R2493" i="55"/>
  <c r="S2493" i="55" s="1"/>
  <c r="R2509" i="55"/>
  <c r="S2509" i="55" s="1"/>
  <c r="R2524" i="55"/>
  <c r="S2524" i="55" s="1"/>
  <c r="R2540" i="55"/>
  <c r="S2540" i="55" s="1"/>
  <c r="R2556" i="55"/>
  <c r="S2556" i="55" s="1"/>
  <c r="R2572" i="55"/>
  <c r="S2572" i="55" s="1"/>
  <c r="R2587" i="55"/>
  <c r="S2587" i="55" s="1"/>
  <c r="R2603" i="55"/>
  <c r="S2603" i="55" s="1"/>
  <c r="R2618" i="55"/>
  <c r="S2618" i="55" s="1"/>
  <c r="R2634" i="55"/>
  <c r="S2634" i="55" s="1"/>
  <c r="R2650" i="55"/>
  <c r="S2650" i="55" s="1"/>
  <c r="R2666" i="55"/>
  <c r="S2666" i="55" s="1"/>
  <c r="R2682" i="55"/>
  <c r="S2682" i="55" s="1"/>
  <c r="R2698" i="55"/>
  <c r="S2698" i="55" s="1"/>
  <c r="R2714" i="55"/>
  <c r="S2714" i="55" s="1"/>
  <c r="R2730" i="55"/>
  <c r="S2730" i="55" s="1"/>
  <c r="R2746" i="55"/>
  <c r="S2746" i="55" s="1"/>
  <c r="R2762" i="55"/>
  <c r="S2762" i="55" s="1"/>
  <c r="R2778" i="55"/>
  <c r="S2778" i="55" s="1"/>
  <c r="R2465" i="55"/>
  <c r="S2465" i="55" s="1"/>
  <c r="R2589" i="55"/>
  <c r="S2589" i="55" s="1"/>
  <c r="R2748" i="55"/>
  <c r="S2748" i="55" s="1"/>
  <c r="R2418" i="55"/>
  <c r="S2418" i="55" s="1"/>
  <c r="R2527" i="55"/>
  <c r="S2527" i="55" s="1"/>
  <c r="R2765" i="55"/>
  <c r="S2765" i="55" s="1"/>
  <c r="R2544" i="55"/>
  <c r="S2544" i="55" s="1"/>
  <c r="R2438" i="55"/>
  <c r="S2438" i="55" s="1"/>
  <c r="R2416" i="55"/>
  <c r="S2416" i="55" s="1"/>
  <c r="R2432" i="55"/>
  <c r="S2432" i="55" s="1"/>
  <c r="R2448" i="55"/>
  <c r="S2448" i="55" s="1"/>
  <c r="R2464" i="55"/>
  <c r="S2464" i="55" s="1"/>
  <c r="R2479" i="55"/>
  <c r="S2479" i="55" s="1"/>
  <c r="R2494" i="55"/>
  <c r="S2494" i="55" s="1"/>
  <c r="R2510" i="55"/>
  <c r="S2510" i="55" s="1"/>
  <c r="R2525" i="55"/>
  <c r="S2525" i="55" s="1"/>
  <c r="R2541" i="55"/>
  <c r="S2541" i="55" s="1"/>
  <c r="R2557" i="55"/>
  <c r="S2557" i="55" s="1"/>
  <c r="R2573" i="55"/>
  <c r="S2573" i="55" s="1"/>
  <c r="R2588" i="55"/>
  <c r="S2588" i="55" s="1"/>
  <c r="R2604" i="55"/>
  <c r="S2604" i="55" s="1"/>
  <c r="R2619" i="55"/>
  <c r="S2619" i="55" s="1"/>
  <c r="R2635" i="55"/>
  <c r="S2635" i="55" s="1"/>
  <c r="R2651" i="55"/>
  <c r="S2651" i="55" s="1"/>
  <c r="R2667" i="55"/>
  <c r="S2667" i="55" s="1"/>
  <c r="R2683" i="55"/>
  <c r="S2683" i="55" s="1"/>
  <c r="R2699" i="55"/>
  <c r="S2699" i="55" s="1"/>
  <c r="R2715" i="55"/>
  <c r="S2715" i="55" s="1"/>
  <c r="R2731" i="55"/>
  <c r="S2731" i="55" s="1"/>
  <c r="R2747" i="55"/>
  <c r="S2747" i="55" s="1"/>
  <c r="R2763" i="55"/>
  <c r="S2763" i="55" s="1"/>
  <c r="C2406" i="55"/>
  <c r="B2406" i="55"/>
  <c r="D2406" i="55" s="1"/>
  <c r="C2405" i="55"/>
  <c r="B2405" i="55"/>
  <c r="D2405" i="55" s="1"/>
  <c r="C2404" i="55"/>
  <c r="B2404" i="55"/>
  <c r="D2404" i="55" s="1"/>
  <c r="C2403" i="55"/>
  <c r="B2403" i="55"/>
  <c r="D2403" i="55" s="1"/>
  <c r="C2402" i="55"/>
  <c r="B2402" i="55"/>
  <c r="D2402" i="55" s="1"/>
  <c r="C2401" i="55"/>
  <c r="B2401" i="55"/>
  <c r="D2401" i="55" s="1"/>
  <c r="C2400" i="55"/>
  <c r="B2400" i="55"/>
  <c r="D2400" i="55" s="1"/>
  <c r="C2399" i="55"/>
  <c r="B2399" i="55"/>
  <c r="D2399" i="55" s="1"/>
  <c r="C2398" i="55"/>
  <c r="B2398" i="55"/>
  <c r="D2398" i="55" s="1"/>
  <c r="C2397" i="55"/>
  <c r="B2397" i="55"/>
  <c r="D2397" i="55" s="1"/>
  <c r="C2396" i="55"/>
  <c r="B2396" i="55"/>
  <c r="D2396" i="55" s="1"/>
  <c r="C2395" i="55"/>
  <c r="B2395" i="55"/>
  <c r="D2395" i="55" s="1"/>
  <c r="C2394" i="55"/>
  <c r="B2394" i="55"/>
  <c r="D2394" i="55" s="1"/>
  <c r="C2393" i="55"/>
  <c r="B2393" i="55"/>
  <c r="D2393" i="55" s="1"/>
  <c r="C2392" i="55"/>
  <c r="B2392" i="55"/>
  <c r="D2392" i="55" s="1"/>
  <c r="C2391" i="55"/>
  <c r="B2391" i="55"/>
  <c r="D2391" i="55" s="1"/>
  <c r="C2390" i="55"/>
  <c r="B2390" i="55"/>
  <c r="D2390" i="55" s="1"/>
  <c r="C2389" i="55"/>
  <c r="B2389" i="55"/>
  <c r="D2389" i="55" s="1"/>
  <c r="C2388" i="55"/>
  <c r="B2388" i="55"/>
  <c r="D2388" i="55" s="1"/>
  <c r="C2387" i="55"/>
  <c r="B2387" i="55"/>
  <c r="D2387" i="55" s="1"/>
  <c r="C2386" i="55"/>
  <c r="B2386" i="55"/>
  <c r="D2386" i="55" s="1"/>
  <c r="C2385" i="55"/>
  <c r="B2385" i="55"/>
  <c r="D2385" i="55" s="1"/>
  <c r="C2384" i="55"/>
  <c r="B2384" i="55"/>
  <c r="D2384" i="55" s="1"/>
  <c r="C2383" i="55"/>
  <c r="B2383" i="55"/>
  <c r="D2383" i="55" s="1"/>
  <c r="C2382" i="55"/>
  <c r="B2382" i="55"/>
  <c r="D2382" i="55" s="1"/>
  <c r="C2381" i="55"/>
  <c r="B2381" i="55"/>
  <c r="D2381" i="55" s="1"/>
  <c r="C2380" i="55"/>
  <c r="B2380" i="55"/>
  <c r="D2380" i="55" s="1"/>
  <c r="C2379" i="55"/>
  <c r="B2379" i="55"/>
  <c r="D2379" i="55" s="1"/>
  <c r="C2378" i="55"/>
  <c r="B2378" i="55"/>
  <c r="D2378" i="55" s="1"/>
  <c r="C2377" i="55"/>
  <c r="B2377" i="55"/>
  <c r="D2377" i="55" s="1"/>
  <c r="C2376" i="55"/>
  <c r="B2376" i="55"/>
  <c r="D2376" i="55" s="1"/>
  <c r="C2375" i="55"/>
  <c r="B2375" i="55"/>
  <c r="D2375" i="55" s="1"/>
  <c r="C2374" i="55"/>
  <c r="B2374" i="55"/>
  <c r="D2374" i="55" s="1"/>
  <c r="C2373" i="55"/>
  <c r="B2373" i="55"/>
  <c r="D2373" i="55" s="1"/>
  <c r="C2372" i="55"/>
  <c r="B2372" i="55"/>
  <c r="D2372" i="55" s="1"/>
  <c r="C2371" i="55"/>
  <c r="B2371" i="55"/>
  <c r="D2371" i="55" s="1"/>
  <c r="C2370" i="55"/>
  <c r="B2370" i="55"/>
  <c r="D2370" i="55" s="1"/>
  <c r="C2369" i="55"/>
  <c r="B2369" i="55"/>
  <c r="D2369" i="55" s="1"/>
  <c r="C2368" i="55"/>
  <c r="B2368" i="55"/>
  <c r="D2368" i="55" s="1"/>
  <c r="C2367" i="55"/>
  <c r="B2367" i="55"/>
  <c r="D2367" i="55" s="1"/>
  <c r="C2366" i="55"/>
  <c r="B2366" i="55"/>
  <c r="D2366" i="55" s="1"/>
  <c r="C2365" i="55"/>
  <c r="B2365" i="55"/>
  <c r="D2365" i="55" s="1"/>
  <c r="C2364" i="55"/>
  <c r="B2364" i="55"/>
  <c r="D2364" i="55" s="1"/>
  <c r="C2363" i="55"/>
  <c r="B2363" i="55"/>
  <c r="D2363" i="55" s="1"/>
  <c r="C2362" i="55"/>
  <c r="B2362" i="55"/>
  <c r="D2362" i="55" s="1"/>
  <c r="C2361" i="55"/>
  <c r="B2361" i="55"/>
  <c r="D2361" i="55" s="1"/>
  <c r="C2360" i="55"/>
  <c r="B2360" i="55"/>
  <c r="D2360" i="55" s="1"/>
  <c r="C2359" i="55"/>
  <c r="B2359" i="55"/>
  <c r="D2359" i="55" s="1"/>
  <c r="C2358" i="55"/>
  <c r="B2358" i="55"/>
  <c r="D2358" i="55" s="1"/>
  <c r="C2357" i="55"/>
  <c r="B2357" i="55"/>
  <c r="D2357" i="55" s="1"/>
  <c r="C2356" i="55"/>
  <c r="B2356" i="55"/>
  <c r="D2356" i="55" s="1"/>
  <c r="C2355" i="55"/>
  <c r="B2355" i="55"/>
  <c r="D2355" i="55" s="1"/>
  <c r="C2354" i="55"/>
  <c r="B2354" i="55"/>
  <c r="D2354" i="55" s="1"/>
  <c r="C2353" i="55"/>
  <c r="B2353" i="55"/>
  <c r="D2353" i="55" s="1"/>
  <c r="C2352" i="55"/>
  <c r="B2352" i="55"/>
  <c r="D2352" i="55" s="1"/>
  <c r="C2351" i="55"/>
  <c r="B2351" i="55"/>
  <c r="D2351" i="55" s="1"/>
  <c r="C2350" i="55"/>
  <c r="B2350" i="55"/>
  <c r="D2350" i="55" s="1"/>
  <c r="C2349" i="55"/>
  <c r="B2349" i="55"/>
  <c r="D2349" i="55" s="1"/>
  <c r="C2348" i="55"/>
  <c r="B2348" i="55"/>
  <c r="D2348" i="55" s="1"/>
  <c r="C2347" i="55"/>
  <c r="B2347" i="55"/>
  <c r="D2347" i="55" s="1"/>
  <c r="C2346" i="55"/>
  <c r="B2346" i="55"/>
  <c r="D2346" i="55" s="1"/>
  <c r="C2345" i="55"/>
  <c r="B2345" i="55"/>
  <c r="D2345" i="55" s="1"/>
  <c r="C2344" i="55"/>
  <c r="B2344" i="55"/>
  <c r="D2344" i="55" s="1"/>
  <c r="C2343" i="55"/>
  <c r="B2343" i="55"/>
  <c r="D2343" i="55" s="1"/>
  <c r="C2342" i="55"/>
  <c r="B2342" i="55"/>
  <c r="D2342" i="55" s="1"/>
  <c r="C2341" i="55"/>
  <c r="B2341" i="55"/>
  <c r="D2341" i="55" s="1"/>
  <c r="C2340" i="55"/>
  <c r="B2340" i="55"/>
  <c r="D2340" i="55" s="1"/>
  <c r="C2339" i="55"/>
  <c r="B2339" i="55"/>
  <c r="D2339" i="55" s="1"/>
  <c r="C2338" i="55"/>
  <c r="B2338" i="55"/>
  <c r="D2338" i="55" s="1"/>
  <c r="C2337" i="55"/>
  <c r="B2337" i="55"/>
  <c r="D2337" i="55" s="1"/>
  <c r="C2336" i="55"/>
  <c r="B2336" i="55"/>
  <c r="D2336" i="55" s="1"/>
  <c r="C2335" i="55"/>
  <c r="B2335" i="55"/>
  <c r="D2335" i="55" s="1"/>
  <c r="C2334" i="55"/>
  <c r="B2334" i="55"/>
  <c r="D2334" i="55" s="1"/>
  <c r="C2333" i="55"/>
  <c r="B2333" i="55"/>
  <c r="D2333" i="55" s="1"/>
  <c r="C2332" i="55"/>
  <c r="B2332" i="55"/>
  <c r="D2332" i="55" s="1"/>
  <c r="C2331" i="55"/>
  <c r="B2331" i="55"/>
  <c r="D2331" i="55" s="1"/>
  <c r="C2330" i="55"/>
  <c r="B2330" i="55"/>
  <c r="D2330" i="55" s="1"/>
  <c r="C2329" i="55"/>
  <c r="B2329" i="55"/>
  <c r="D2329" i="55" s="1"/>
  <c r="C2328" i="55"/>
  <c r="B2328" i="55"/>
  <c r="D2328" i="55" s="1"/>
  <c r="C2327" i="55"/>
  <c r="B2327" i="55"/>
  <c r="D2327" i="55" s="1"/>
  <c r="C2326" i="55"/>
  <c r="B2326" i="55"/>
  <c r="D2326" i="55" s="1"/>
  <c r="C2325" i="55"/>
  <c r="B2325" i="55"/>
  <c r="D2325" i="55" s="1"/>
  <c r="C2324" i="55"/>
  <c r="B2324" i="55"/>
  <c r="D2324" i="55" s="1"/>
  <c r="C2323" i="55"/>
  <c r="B2323" i="55"/>
  <c r="D2323" i="55" s="1"/>
  <c r="C2322" i="55"/>
  <c r="B2322" i="55"/>
  <c r="D2322" i="55" s="1"/>
  <c r="C2321" i="55"/>
  <c r="B2321" i="55"/>
  <c r="D2321" i="55" s="1"/>
  <c r="C2320" i="55"/>
  <c r="B2320" i="55"/>
  <c r="D2320" i="55" s="1"/>
  <c r="C2319" i="55"/>
  <c r="B2319" i="55"/>
  <c r="D2319" i="55" s="1"/>
  <c r="C2318" i="55"/>
  <c r="B2318" i="55"/>
  <c r="D2318" i="55" s="1"/>
  <c r="C2317" i="55"/>
  <c r="B2317" i="55"/>
  <c r="D2317" i="55" s="1"/>
  <c r="C2316" i="55"/>
  <c r="B2316" i="55"/>
  <c r="D2316" i="55" s="1"/>
  <c r="C2315" i="55"/>
  <c r="B2315" i="55"/>
  <c r="D2315" i="55" s="1"/>
  <c r="C2314" i="55"/>
  <c r="B2314" i="55"/>
  <c r="D2314" i="55" s="1"/>
  <c r="C2313" i="55"/>
  <c r="B2313" i="55"/>
  <c r="D2313" i="55" s="1"/>
  <c r="C2312" i="55"/>
  <c r="B2312" i="55"/>
  <c r="D2312" i="55" s="1"/>
  <c r="C2311" i="55"/>
  <c r="B2311" i="55"/>
  <c r="D2311" i="55" s="1"/>
  <c r="C2310" i="55"/>
  <c r="B2310" i="55"/>
  <c r="D2310" i="55" s="1"/>
  <c r="C2309" i="55"/>
  <c r="B2309" i="55"/>
  <c r="D2309" i="55" s="1"/>
  <c r="C2308" i="55"/>
  <c r="B2308" i="55"/>
  <c r="D2308" i="55" s="1"/>
  <c r="C2307" i="55"/>
  <c r="B2307" i="55"/>
  <c r="D2307" i="55" s="1"/>
  <c r="C2306" i="55"/>
  <c r="B2306" i="55"/>
  <c r="D2306" i="55" s="1"/>
  <c r="C2305" i="55"/>
  <c r="B2305" i="55"/>
  <c r="D2305" i="55" s="1"/>
  <c r="C2304" i="55"/>
  <c r="B2304" i="55"/>
  <c r="D2304" i="55" s="1"/>
  <c r="C2303" i="55"/>
  <c r="B2303" i="55"/>
  <c r="D2303" i="55" s="1"/>
  <c r="C2302" i="55"/>
  <c r="B2302" i="55"/>
  <c r="D2302" i="55" s="1"/>
  <c r="C2301" i="55"/>
  <c r="B2301" i="55"/>
  <c r="D2301" i="55" s="1"/>
  <c r="C2300" i="55"/>
  <c r="B2300" i="55"/>
  <c r="D2300" i="55" s="1"/>
  <c r="C2299" i="55"/>
  <c r="B2299" i="55"/>
  <c r="D2299" i="55" s="1"/>
  <c r="C2298" i="55"/>
  <c r="B2298" i="55"/>
  <c r="D2298" i="55" s="1"/>
  <c r="C2297" i="55"/>
  <c r="B2297" i="55"/>
  <c r="D2297" i="55" s="1"/>
  <c r="C2296" i="55"/>
  <c r="B2296" i="55"/>
  <c r="D2296" i="55" s="1"/>
  <c r="C2295" i="55"/>
  <c r="B2295" i="55"/>
  <c r="D2295" i="55" s="1"/>
  <c r="C2294" i="55"/>
  <c r="B2294" i="55"/>
  <c r="D2294" i="55" s="1"/>
  <c r="C2293" i="55"/>
  <c r="B2293" i="55"/>
  <c r="D2293" i="55" s="1"/>
  <c r="C2292" i="55"/>
  <c r="B2292" i="55"/>
  <c r="D2292" i="55" s="1"/>
  <c r="C2291" i="55"/>
  <c r="B2291" i="55"/>
  <c r="D2291" i="55" s="1"/>
  <c r="C2290" i="55"/>
  <c r="B2290" i="55"/>
  <c r="D2290" i="55" s="1"/>
  <c r="C2289" i="55"/>
  <c r="B2289" i="55"/>
  <c r="D2289" i="55" s="1"/>
  <c r="C2288" i="55"/>
  <c r="B2288" i="55"/>
  <c r="D2288" i="55" s="1"/>
  <c r="C2287" i="55"/>
  <c r="B2287" i="55"/>
  <c r="D2287" i="55" s="1"/>
  <c r="C2286" i="55"/>
  <c r="B2286" i="55"/>
  <c r="D2286" i="55" s="1"/>
  <c r="C2285" i="55"/>
  <c r="B2285" i="55"/>
  <c r="D2285" i="55" s="1"/>
  <c r="C2284" i="55"/>
  <c r="B2284" i="55"/>
  <c r="D2284" i="55" s="1"/>
  <c r="C2283" i="55"/>
  <c r="B2283" i="55"/>
  <c r="D2283" i="55" s="1"/>
  <c r="C2282" i="55"/>
  <c r="B2282" i="55"/>
  <c r="D2282" i="55" s="1"/>
  <c r="C2281" i="55"/>
  <c r="B2281" i="55"/>
  <c r="D2281" i="55" s="1"/>
  <c r="C2280" i="55"/>
  <c r="B2280" i="55"/>
  <c r="D2280" i="55" s="1"/>
  <c r="C2279" i="55"/>
  <c r="B2279" i="55"/>
  <c r="D2279" i="55" s="1"/>
  <c r="C2278" i="55"/>
  <c r="B2278" i="55"/>
  <c r="D2278" i="55" s="1"/>
  <c r="C2277" i="55"/>
  <c r="B2277" i="55"/>
  <c r="D2277" i="55" s="1"/>
  <c r="C2276" i="55"/>
  <c r="B2276" i="55"/>
  <c r="D2276" i="55" s="1"/>
  <c r="C2275" i="55"/>
  <c r="B2275" i="55"/>
  <c r="D2275" i="55" s="1"/>
  <c r="C2274" i="55"/>
  <c r="B2274" i="55"/>
  <c r="D2274" i="55" s="1"/>
  <c r="C2273" i="55"/>
  <c r="B2273" i="55"/>
  <c r="D2273" i="55" s="1"/>
  <c r="C2272" i="55"/>
  <c r="B2272" i="55"/>
  <c r="D2272" i="55" s="1"/>
  <c r="C2271" i="55"/>
  <c r="B2271" i="55"/>
  <c r="D2271" i="55" s="1"/>
  <c r="C2270" i="55"/>
  <c r="B2270" i="55"/>
  <c r="D2270" i="55" s="1"/>
  <c r="C2269" i="55"/>
  <c r="B2269" i="55"/>
  <c r="D2269" i="55" s="1"/>
  <c r="C2268" i="55"/>
  <c r="B2268" i="55"/>
  <c r="D2268" i="55" s="1"/>
  <c r="C2267" i="55"/>
  <c r="B2267" i="55"/>
  <c r="D2267" i="55" s="1"/>
  <c r="C2266" i="55"/>
  <c r="B2266" i="55"/>
  <c r="D2266" i="55" s="1"/>
  <c r="C2265" i="55"/>
  <c r="B2265" i="55"/>
  <c r="D2265" i="55" s="1"/>
  <c r="C2264" i="55"/>
  <c r="B2264" i="55"/>
  <c r="D2264" i="55" s="1"/>
  <c r="C2263" i="55"/>
  <c r="B2263" i="55"/>
  <c r="D2263" i="55" s="1"/>
  <c r="C2262" i="55"/>
  <c r="B2262" i="55"/>
  <c r="D2262" i="55" s="1"/>
  <c r="C2261" i="55"/>
  <c r="B2261" i="55"/>
  <c r="D2261" i="55" s="1"/>
  <c r="C2260" i="55"/>
  <c r="B2260" i="55"/>
  <c r="D2260" i="55" s="1"/>
  <c r="C2259" i="55"/>
  <c r="B2259" i="55"/>
  <c r="D2259" i="55" s="1"/>
  <c r="C2258" i="55"/>
  <c r="B2258" i="55"/>
  <c r="D2258" i="55" s="1"/>
  <c r="C2257" i="55"/>
  <c r="B2257" i="55"/>
  <c r="D2257" i="55" s="1"/>
  <c r="C2256" i="55"/>
  <c r="B2256" i="55"/>
  <c r="D2256" i="55" s="1"/>
  <c r="C2255" i="55"/>
  <c r="B2255" i="55"/>
  <c r="D2255" i="55" s="1"/>
  <c r="C2254" i="55"/>
  <c r="B2254" i="55"/>
  <c r="D2254" i="55" s="1"/>
  <c r="C2253" i="55"/>
  <c r="B2253" i="55"/>
  <c r="D2253" i="55" s="1"/>
  <c r="C2252" i="55"/>
  <c r="B2252" i="55"/>
  <c r="D2252" i="55" s="1"/>
  <c r="C2251" i="55"/>
  <c r="B2251" i="55"/>
  <c r="D2251" i="55" s="1"/>
  <c r="C2250" i="55"/>
  <c r="B2250" i="55"/>
  <c r="D2250" i="55" s="1"/>
  <c r="C2249" i="55"/>
  <c r="B2249" i="55"/>
  <c r="D2249" i="55" s="1"/>
  <c r="C2248" i="55"/>
  <c r="B2248" i="55"/>
  <c r="D2248" i="55" s="1"/>
  <c r="C2247" i="55"/>
  <c r="B2247" i="55"/>
  <c r="D2247" i="55" s="1"/>
  <c r="C2246" i="55"/>
  <c r="B2246" i="55"/>
  <c r="D2246" i="55" s="1"/>
  <c r="C2245" i="55"/>
  <c r="B2245" i="55"/>
  <c r="D2245" i="55" s="1"/>
  <c r="C2244" i="55"/>
  <c r="B2244" i="55"/>
  <c r="D2244" i="55" s="1"/>
  <c r="C2243" i="55"/>
  <c r="B2243" i="55"/>
  <c r="D2243" i="55" s="1"/>
  <c r="C2242" i="55"/>
  <c r="B2242" i="55"/>
  <c r="D2242" i="55" s="1"/>
  <c r="C2241" i="55"/>
  <c r="B2241" i="55"/>
  <c r="D2241" i="55" s="1"/>
  <c r="C2240" i="55"/>
  <c r="B2240" i="55"/>
  <c r="D2240" i="55" s="1"/>
  <c r="C2239" i="55"/>
  <c r="B2239" i="55"/>
  <c r="D2239" i="55" s="1"/>
  <c r="C2238" i="55"/>
  <c r="B2238" i="55"/>
  <c r="D2238" i="55" s="1"/>
  <c r="C2237" i="55"/>
  <c r="B2237" i="55"/>
  <c r="D2237" i="55" s="1"/>
  <c r="C2236" i="55"/>
  <c r="B2236" i="55"/>
  <c r="D2236" i="55" s="1"/>
  <c r="C2235" i="55"/>
  <c r="B2235" i="55"/>
  <c r="D2235" i="55" s="1"/>
  <c r="C2234" i="55"/>
  <c r="B2234" i="55"/>
  <c r="D2234" i="55" s="1"/>
  <c r="C2233" i="55"/>
  <c r="B2233" i="55"/>
  <c r="D2233" i="55" s="1"/>
  <c r="C2232" i="55"/>
  <c r="B2232" i="55"/>
  <c r="D2232" i="55" s="1"/>
  <c r="C2231" i="55"/>
  <c r="B2231" i="55"/>
  <c r="D2231" i="55" s="1"/>
  <c r="C2230" i="55"/>
  <c r="B2230" i="55"/>
  <c r="D2230" i="55" s="1"/>
  <c r="C2229" i="55"/>
  <c r="B2229" i="55"/>
  <c r="D2229" i="55" s="1"/>
  <c r="C2228" i="55"/>
  <c r="B2228" i="55"/>
  <c r="D2228" i="55" s="1"/>
  <c r="C2227" i="55"/>
  <c r="B2227" i="55"/>
  <c r="D2227" i="55" s="1"/>
  <c r="C2226" i="55"/>
  <c r="B2226" i="55"/>
  <c r="D2226" i="55" s="1"/>
  <c r="C2225" i="55"/>
  <c r="B2225" i="55"/>
  <c r="D2225" i="55" s="1"/>
  <c r="C2224" i="55"/>
  <c r="B2224" i="55"/>
  <c r="D2224" i="55" s="1"/>
  <c r="C2223" i="55"/>
  <c r="B2223" i="55"/>
  <c r="D2223" i="55" s="1"/>
  <c r="C2222" i="55"/>
  <c r="B2222" i="55"/>
  <c r="D2222" i="55" s="1"/>
  <c r="C2221" i="55"/>
  <c r="B2221" i="55"/>
  <c r="D2221" i="55" s="1"/>
  <c r="C2220" i="55"/>
  <c r="B2220" i="55"/>
  <c r="D2220" i="55" s="1"/>
  <c r="C2219" i="55"/>
  <c r="B2219" i="55"/>
  <c r="D2219" i="55" s="1"/>
  <c r="C2218" i="55"/>
  <c r="B2218" i="55"/>
  <c r="D2218" i="55" s="1"/>
  <c r="C2217" i="55"/>
  <c r="B2217" i="55"/>
  <c r="D2217" i="55" s="1"/>
  <c r="C2216" i="55"/>
  <c r="B2216" i="55"/>
  <c r="D2216" i="55" s="1"/>
  <c r="C2215" i="55"/>
  <c r="B2215" i="55"/>
  <c r="D2215" i="55" s="1"/>
  <c r="C2214" i="55"/>
  <c r="B2214" i="55"/>
  <c r="D2214" i="55" s="1"/>
  <c r="C2213" i="55"/>
  <c r="B2213" i="55"/>
  <c r="D2213" i="55" s="1"/>
  <c r="C2212" i="55"/>
  <c r="B2212" i="55"/>
  <c r="D2212" i="55" s="1"/>
  <c r="C2211" i="55"/>
  <c r="B2211" i="55"/>
  <c r="D2211" i="55" s="1"/>
  <c r="C2210" i="55"/>
  <c r="B2210" i="55"/>
  <c r="D2210" i="55" s="1"/>
  <c r="C2209" i="55"/>
  <c r="B2209" i="55"/>
  <c r="D2209" i="55" s="1"/>
  <c r="C2208" i="55"/>
  <c r="B2208" i="55"/>
  <c r="D2208" i="55" s="1"/>
  <c r="C2207" i="55"/>
  <c r="B2207" i="55"/>
  <c r="D2207" i="55" s="1"/>
  <c r="C2206" i="55"/>
  <c r="B2206" i="55"/>
  <c r="D2206" i="55" s="1"/>
  <c r="C2205" i="55"/>
  <c r="B2205" i="55"/>
  <c r="D2205" i="55" s="1"/>
  <c r="C2204" i="55"/>
  <c r="B2204" i="55"/>
  <c r="D2204" i="55" s="1"/>
  <c r="C2203" i="55"/>
  <c r="B2203" i="55"/>
  <c r="D2203" i="55" s="1"/>
  <c r="C2202" i="55"/>
  <c r="B2202" i="55"/>
  <c r="D2202" i="55" s="1"/>
  <c r="C2201" i="55"/>
  <c r="B2201" i="55"/>
  <c r="D2201" i="55" s="1"/>
  <c r="C2200" i="55"/>
  <c r="B2200" i="55"/>
  <c r="D2200" i="55" s="1"/>
  <c r="C2199" i="55"/>
  <c r="B2199" i="55"/>
  <c r="D2199" i="55" s="1"/>
  <c r="C2198" i="55"/>
  <c r="B2198" i="55"/>
  <c r="D2198" i="55" s="1"/>
  <c r="C2197" i="55"/>
  <c r="B2197" i="55"/>
  <c r="D2197" i="55" s="1"/>
  <c r="C2196" i="55"/>
  <c r="B2196" i="55"/>
  <c r="D2196" i="55" s="1"/>
  <c r="C2195" i="55"/>
  <c r="B2195" i="55"/>
  <c r="D2195" i="55" s="1"/>
  <c r="C2194" i="55"/>
  <c r="B2194" i="55"/>
  <c r="D2194" i="55" s="1"/>
  <c r="C2193" i="55"/>
  <c r="B2193" i="55"/>
  <c r="D2193" i="55" s="1"/>
  <c r="C2192" i="55"/>
  <c r="B2192" i="55"/>
  <c r="D2192" i="55" s="1"/>
  <c r="C2191" i="55"/>
  <c r="B2191" i="55"/>
  <c r="D2191" i="55" s="1"/>
  <c r="C2190" i="55"/>
  <c r="B2190" i="55"/>
  <c r="D2190" i="55" s="1"/>
  <c r="C2189" i="55"/>
  <c r="B2189" i="55"/>
  <c r="D2189" i="55" s="1"/>
  <c r="C2188" i="55"/>
  <c r="B2188" i="55"/>
  <c r="D2188" i="55" s="1"/>
  <c r="C2187" i="55"/>
  <c r="B2187" i="55"/>
  <c r="D2187" i="55" s="1"/>
  <c r="C2186" i="55"/>
  <c r="B2186" i="55"/>
  <c r="D2186" i="55" s="1"/>
  <c r="C2185" i="55"/>
  <c r="B2185" i="55"/>
  <c r="D2185" i="55" s="1"/>
  <c r="C2184" i="55"/>
  <c r="B2184" i="55"/>
  <c r="D2184" i="55" s="1"/>
  <c r="C2183" i="55"/>
  <c r="B2183" i="55"/>
  <c r="D2183" i="55" s="1"/>
  <c r="C2182" i="55"/>
  <c r="B2182" i="55"/>
  <c r="D2182" i="55" s="1"/>
  <c r="C2181" i="55"/>
  <c r="B2181" i="55"/>
  <c r="D2181" i="55" s="1"/>
  <c r="C2180" i="55"/>
  <c r="B2180" i="55"/>
  <c r="D2180" i="55" s="1"/>
  <c r="C2179" i="55"/>
  <c r="B2179" i="55"/>
  <c r="D2179" i="55" s="1"/>
  <c r="C2178" i="55"/>
  <c r="B2178" i="55"/>
  <c r="D2178" i="55" s="1"/>
  <c r="C2177" i="55"/>
  <c r="B2177" i="55"/>
  <c r="D2177" i="55" s="1"/>
  <c r="C2176" i="55"/>
  <c r="B2176" i="55"/>
  <c r="D2176" i="55" s="1"/>
  <c r="C2175" i="55"/>
  <c r="B2175" i="55"/>
  <c r="D2175" i="55" s="1"/>
  <c r="C2174" i="55"/>
  <c r="B2174" i="55"/>
  <c r="D2174" i="55" s="1"/>
  <c r="C2173" i="55"/>
  <c r="B2173" i="55"/>
  <c r="D2173" i="55" s="1"/>
  <c r="C2172" i="55"/>
  <c r="B2172" i="55"/>
  <c r="D2172" i="55" s="1"/>
  <c r="C2171" i="55"/>
  <c r="B2171" i="55"/>
  <c r="D2171" i="55" s="1"/>
  <c r="C2170" i="55"/>
  <c r="B2170" i="55"/>
  <c r="D2170" i="55" s="1"/>
  <c r="C2169" i="55"/>
  <c r="B2169" i="55"/>
  <c r="D2169" i="55" s="1"/>
  <c r="C2168" i="55"/>
  <c r="B2168" i="55"/>
  <c r="D2168" i="55" s="1"/>
  <c r="C2167" i="55"/>
  <c r="B2167" i="55"/>
  <c r="D2167" i="55" s="1"/>
  <c r="C2166" i="55"/>
  <c r="B2166" i="55"/>
  <c r="D2166" i="55" s="1"/>
  <c r="C2165" i="55"/>
  <c r="B2165" i="55"/>
  <c r="D2165" i="55" s="1"/>
  <c r="C2164" i="55"/>
  <c r="B2164" i="55"/>
  <c r="D2164" i="55" s="1"/>
  <c r="C2163" i="55"/>
  <c r="B2163" i="55"/>
  <c r="D2163" i="55" s="1"/>
  <c r="C2162" i="55"/>
  <c r="B2162" i="55"/>
  <c r="D2162" i="55" s="1"/>
  <c r="C2161" i="55"/>
  <c r="B2161" i="55"/>
  <c r="D2161" i="55" s="1"/>
  <c r="C2160" i="55"/>
  <c r="B2160" i="55"/>
  <c r="D2160" i="55" s="1"/>
  <c r="C2159" i="55"/>
  <c r="B2159" i="55"/>
  <c r="D2159" i="55" s="1"/>
  <c r="C2158" i="55"/>
  <c r="B2158" i="55"/>
  <c r="D2158" i="55" s="1"/>
  <c r="C2157" i="55"/>
  <c r="B2157" i="55"/>
  <c r="D2157" i="55" s="1"/>
  <c r="C2156" i="55"/>
  <c r="B2156" i="55"/>
  <c r="D2156" i="55" s="1"/>
  <c r="C2155" i="55"/>
  <c r="B2155" i="55"/>
  <c r="D2155" i="55" s="1"/>
  <c r="C2154" i="55"/>
  <c r="B2154" i="55"/>
  <c r="D2154" i="55" s="1"/>
  <c r="C2153" i="55"/>
  <c r="B2153" i="55"/>
  <c r="D2153" i="55" s="1"/>
  <c r="C2152" i="55"/>
  <c r="B2152" i="55"/>
  <c r="D2152" i="55" s="1"/>
  <c r="C2151" i="55"/>
  <c r="B2151" i="55"/>
  <c r="D2151" i="55" s="1"/>
  <c r="C2150" i="55"/>
  <c r="B2150" i="55"/>
  <c r="D2150" i="55" s="1"/>
  <c r="C2149" i="55"/>
  <c r="B2149" i="55"/>
  <c r="D2149" i="55" s="1"/>
  <c r="C2148" i="55"/>
  <c r="B2148" i="55"/>
  <c r="D2148" i="55" s="1"/>
  <c r="C2147" i="55"/>
  <c r="B2147" i="55"/>
  <c r="D2147" i="55" s="1"/>
  <c r="C2146" i="55"/>
  <c r="B2146" i="55"/>
  <c r="D2146" i="55" s="1"/>
  <c r="C2145" i="55"/>
  <c r="B2145" i="55"/>
  <c r="D2145" i="55" s="1"/>
  <c r="C2144" i="55"/>
  <c r="B2144" i="55"/>
  <c r="D2144" i="55" s="1"/>
  <c r="C2143" i="55"/>
  <c r="B2143" i="55"/>
  <c r="D2143" i="55" s="1"/>
  <c r="C2142" i="55"/>
  <c r="B2142" i="55"/>
  <c r="D2142" i="55" s="1"/>
  <c r="C2141" i="55"/>
  <c r="B2141" i="55"/>
  <c r="D2141" i="55" s="1"/>
  <c r="C2140" i="55"/>
  <c r="B2140" i="55"/>
  <c r="D2140" i="55" s="1"/>
  <c r="C2139" i="55"/>
  <c r="B2139" i="55"/>
  <c r="D2139" i="55" s="1"/>
  <c r="C2138" i="55"/>
  <c r="B2138" i="55"/>
  <c r="D2138" i="55" s="1"/>
  <c r="C2137" i="55"/>
  <c r="B2137" i="55"/>
  <c r="D2137" i="55" s="1"/>
  <c r="C2136" i="55"/>
  <c r="B2136" i="55"/>
  <c r="D2136" i="55" s="1"/>
  <c r="C2135" i="55"/>
  <c r="B2135" i="55"/>
  <c r="D2135" i="55" s="1"/>
  <c r="C2134" i="55"/>
  <c r="B2134" i="55"/>
  <c r="D2134" i="55" s="1"/>
  <c r="C2133" i="55"/>
  <c r="B2133" i="55"/>
  <c r="D2133" i="55" s="1"/>
  <c r="C2132" i="55"/>
  <c r="B2132" i="55"/>
  <c r="D2132" i="55" s="1"/>
  <c r="C2131" i="55"/>
  <c r="B2131" i="55"/>
  <c r="D2131" i="55" s="1"/>
  <c r="C2130" i="55"/>
  <c r="B2130" i="55"/>
  <c r="D2130" i="55" s="1"/>
  <c r="C2129" i="55"/>
  <c r="B2129" i="55"/>
  <c r="D2129" i="55" s="1"/>
  <c r="C2128" i="55"/>
  <c r="B2128" i="55"/>
  <c r="D2128" i="55" s="1"/>
  <c r="C2127" i="55"/>
  <c r="B2127" i="55"/>
  <c r="D2127" i="55" s="1"/>
  <c r="C2126" i="55"/>
  <c r="B2126" i="55"/>
  <c r="D2126" i="55" s="1"/>
  <c r="C2125" i="55"/>
  <c r="B2125" i="55"/>
  <c r="D2125" i="55" s="1"/>
  <c r="C2124" i="55"/>
  <c r="B2124" i="55"/>
  <c r="D2124" i="55" s="1"/>
  <c r="C2123" i="55"/>
  <c r="B2123" i="55"/>
  <c r="D2123" i="55" s="1"/>
  <c r="C2122" i="55"/>
  <c r="B2122" i="55"/>
  <c r="D2122" i="55" s="1"/>
  <c r="C2121" i="55"/>
  <c r="B2121" i="55"/>
  <c r="D2121" i="55" s="1"/>
  <c r="C2120" i="55"/>
  <c r="B2120" i="55"/>
  <c r="D2120" i="55" s="1"/>
  <c r="C2119" i="55"/>
  <c r="B2119" i="55"/>
  <c r="D2119" i="55" s="1"/>
  <c r="C2118" i="55"/>
  <c r="B2118" i="55"/>
  <c r="D2118" i="55" s="1"/>
  <c r="C2117" i="55"/>
  <c r="B2117" i="55"/>
  <c r="D2117" i="55" s="1"/>
  <c r="C2116" i="55"/>
  <c r="B2116" i="55"/>
  <c r="D2116" i="55" s="1"/>
  <c r="C2115" i="55"/>
  <c r="B2115" i="55"/>
  <c r="D2115" i="55" s="1"/>
  <c r="C2114" i="55"/>
  <c r="B2114" i="55"/>
  <c r="D2114" i="55" s="1"/>
  <c r="C2113" i="55"/>
  <c r="B2113" i="55"/>
  <c r="D2113" i="55" s="1"/>
  <c r="C2112" i="55"/>
  <c r="B2112" i="55"/>
  <c r="D2112" i="55" s="1"/>
  <c r="C2111" i="55"/>
  <c r="B2111" i="55"/>
  <c r="D2111" i="55" s="1"/>
  <c r="C2110" i="55"/>
  <c r="B2110" i="55"/>
  <c r="D2110" i="55" s="1"/>
  <c r="C2109" i="55"/>
  <c r="B2109" i="55"/>
  <c r="D2109" i="55" s="1"/>
  <c r="C2108" i="55"/>
  <c r="B2108" i="55"/>
  <c r="D2108" i="55" s="1"/>
  <c r="C2107" i="55"/>
  <c r="B2107" i="55"/>
  <c r="D2107" i="55" s="1"/>
  <c r="C2106" i="55"/>
  <c r="B2106" i="55"/>
  <c r="D2106" i="55" s="1"/>
  <c r="C2105" i="55"/>
  <c r="B2105" i="55"/>
  <c r="D2105" i="55" s="1"/>
  <c r="C2104" i="55"/>
  <c r="B2104" i="55"/>
  <c r="D2104" i="55" s="1"/>
  <c r="C2103" i="55"/>
  <c r="B2103" i="55"/>
  <c r="D2103" i="55" s="1"/>
  <c r="C2102" i="55"/>
  <c r="B2102" i="55"/>
  <c r="D2102" i="55" s="1"/>
  <c r="C2101" i="55"/>
  <c r="B2101" i="55"/>
  <c r="D2101" i="55" s="1"/>
  <c r="C2100" i="55"/>
  <c r="B2100" i="55"/>
  <c r="D2100" i="55" s="1"/>
  <c r="C2099" i="55"/>
  <c r="B2099" i="55"/>
  <c r="D2099" i="55" s="1"/>
  <c r="C2098" i="55"/>
  <c r="B2098" i="55"/>
  <c r="D2098" i="55" s="1"/>
  <c r="C2097" i="55"/>
  <c r="B2097" i="55"/>
  <c r="D2097" i="55" s="1"/>
  <c r="C2096" i="55"/>
  <c r="B2096" i="55"/>
  <c r="D2096" i="55" s="1"/>
  <c r="C2095" i="55"/>
  <c r="B2095" i="55"/>
  <c r="D2095" i="55" s="1"/>
  <c r="C2094" i="55"/>
  <c r="B2094" i="55"/>
  <c r="D2094" i="55" s="1"/>
  <c r="C2093" i="55"/>
  <c r="B2093" i="55"/>
  <c r="D2093" i="55" s="1"/>
  <c r="C2092" i="55"/>
  <c r="B2092" i="55"/>
  <c r="D2092" i="55" s="1"/>
  <c r="C2091" i="55"/>
  <c r="B2091" i="55"/>
  <c r="D2091" i="55" s="1"/>
  <c r="C2090" i="55"/>
  <c r="B2090" i="55"/>
  <c r="D2090" i="55" s="1"/>
  <c r="C2089" i="55"/>
  <c r="B2089" i="55"/>
  <c r="D2089" i="55" s="1"/>
  <c r="C2088" i="55"/>
  <c r="B2088" i="55"/>
  <c r="D2088" i="55" s="1"/>
  <c r="C2087" i="55"/>
  <c r="B2087" i="55"/>
  <c r="D2087" i="55" s="1"/>
  <c r="C2086" i="55"/>
  <c r="B2086" i="55"/>
  <c r="D2086" i="55" s="1"/>
  <c r="C2085" i="55"/>
  <c r="B2085" i="55"/>
  <c r="D2085" i="55" s="1"/>
  <c r="C2084" i="55"/>
  <c r="B2084" i="55"/>
  <c r="D2084" i="55" s="1"/>
  <c r="C2083" i="55"/>
  <c r="B2083" i="55"/>
  <c r="D2083" i="55" s="1"/>
  <c r="C2082" i="55"/>
  <c r="B2082" i="55"/>
  <c r="D2082" i="55" s="1"/>
  <c r="C2081" i="55"/>
  <c r="B2081" i="55"/>
  <c r="D2081" i="55" s="1"/>
  <c r="C2080" i="55"/>
  <c r="B2080" i="55"/>
  <c r="D2080" i="55" s="1"/>
  <c r="C2079" i="55"/>
  <c r="B2079" i="55"/>
  <c r="D2079" i="55" s="1"/>
  <c r="C2078" i="55"/>
  <c r="B2078" i="55"/>
  <c r="D2078" i="55" s="1"/>
  <c r="C2077" i="55"/>
  <c r="B2077" i="55"/>
  <c r="D2077" i="55" s="1"/>
  <c r="C2076" i="55"/>
  <c r="B2076" i="55"/>
  <c r="D2076" i="55" s="1"/>
  <c r="C2075" i="55"/>
  <c r="B2075" i="55"/>
  <c r="D2075" i="55" s="1"/>
  <c r="C2074" i="55"/>
  <c r="B2074" i="55"/>
  <c r="D2074" i="55" s="1"/>
  <c r="C2073" i="55"/>
  <c r="B2073" i="55"/>
  <c r="D2073" i="55" s="1"/>
  <c r="C2072" i="55"/>
  <c r="B2072" i="55"/>
  <c r="D2072" i="55" s="1"/>
  <c r="C2071" i="55"/>
  <c r="B2071" i="55"/>
  <c r="D2071" i="55" s="1"/>
  <c r="C2070" i="55"/>
  <c r="B2070" i="55"/>
  <c r="D2070" i="55" s="1"/>
  <c r="C2069" i="55"/>
  <c r="B2069" i="55"/>
  <c r="D2069" i="55" s="1"/>
  <c r="C2068" i="55"/>
  <c r="B2068" i="55"/>
  <c r="D2068" i="55" s="1"/>
  <c r="C2067" i="55"/>
  <c r="B2067" i="55"/>
  <c r="D2067" i="55" s="1"/>
  <c r="C2066" i="55"/>
  <c r="B2066" i="55"/>
  <c r="D2066" i="55" s="1"/>
  <c r="C2065" i="55"/>
  <c r="B2065" i="55"/>
  <c r="D2065" i="55" s="1"/>
  <c r="C2064" i="55"/>
  <c r="B2064" i="55"/>
  <c r="D2064" i="55" s="1"/>
  <c r="C2063" i="55"/>
  <c r="B2063" i="55"/>
  <c r="D2063" i="55" s="1"/>
  <c r="C2062" i="55"/>
  <c r="B2062" i="55"/>
  <c r="D2062" i="55" s="1"/>
  <c r="C2061" i="55"/>
  <c r="B2061" i="55"/>
  <c r="D2061" i="55" s="1"/>
  <c r="C2060" i="55"/>
  <c r="B2060" i="55"/>
  <c r="D2060" i="55" s="1"/>
  <c r="C2059" i="55"/>
  <c r="B2059" i="55"/>
  <c r="D2059" i="55" s="1"/>
  <c r="C2058" i="55"/>
  <c r="B2058" i="55"/>
  <c r="D2058" i="55" s="1"/>
  <c r="C2057" i="55"/>
  <c r="B2057" i="55"/>
  <c r="D2057" i="55" s="1"/>
  <c r="C2056" i="55"/>
  <c r="B2056" i="55"/>
  <c r="D2056" i="55" s="1"/>
  <c r="C2055" i="55"/>
  <c r="B2055" i="55"/>
  <c r="D2055" i="55" s="1"/>
  <c r="C2054" i="55"/>
  <c r="B2054" i="55"/>
  <c r="D2054" i="55" s="1"/>
  <c r="C2053" i="55"/>
  <c r="B2053" i="55"/>
  <c r="D2053" i="55" s="1"/>
  <c r="C2052" i="55"/>
  <c r="B2052" i="55"/>
  <c r="D2052" i="55" s="1"/>
  <c r="C2051" i="55"/>
  <c r="B2051" i="55"/>
  <c r="D2051" i="55" s="1"/>
  <c r="C2050" i="55"/>
  <c r="B2050" i="55"/>
  <c r="D2050" i="55" s="1"/>
  <c r="C2049" i="55"/>
  <c r="B2049" i="55"/>
  <c r="D2049" i="55" s="1"/>
  <c r="C2048" i="55"/>
  <c r="B2048" i="55"/>
  <c r="D2048" i="55" s="1"/>
  <c r="C2047" i="55"/>
  <c r="B2047" i="55"/>
  <c r="D2047" i="55" s="1"/>
  <c r="C2046" i="55"/>
  <c r="B2046" i="55"/>
  <c r="D2046" i="55" s="1"/>
  <c r="C2045" i="55"/>
  <c r="B2045" i="55"/>
  <c r="D2045" i="55" s="1"/>
  <c r="C2044" i="55"/>
  <c r="B2044" i="55"/>
  <c r="D2044" i="55" s="1"/>
  <c r="C2043" i="55"/>
  <c r="B2043" i="55"/>
  <c r="D2043" i="55" s="1"/>
  <c r="C2042" i="55"/>
  <c r="B2042" i="55"/>
  <c r="D2042" i="55" s="1"/>
  <c r="C2041" i="55"/>
  <c r="B2041" i="55"/>
  <c r="D2041" i="55" s="1"/>
  <c r="C2040" i="55"/>
  <c r="B2040" i="55"/>
  <c r="D2040" i="55" s="1"/>
  <c r="C2039" i="55"/>
  <c r="B2039" i="55"/>
  <c r="D2039" i="55" s="1"/>
  <c r="C2038" i="55"/>
  <c r="B2038" i="55"/>
  <c r="D2038" i="55" s="1"/>
  <c r="C2037" i="55"/>
  <c r="B2037" i="55"/>
  <c r="D2037" i="55" s="1"/>
  <c r="C2036" i="55"/>
  <c r="B2036" i="55"/>
  <c r="D2036" i="55" s="1"/>
  <c r="C2035" i="55"/>
  <c r="B2035" i="55"/>
  <c r="D2035" i="55" s="1"/>
  <c r="C2034" i="55"/>
  <c r="B2034" i="55"/>
  <c r="D2034" i="55" s="1"/>
  <c r="C2033" i="55"/>
  <c r="B2033" i="55"/>
  <c r="D2033" i="55" s="1"/>
  <c r="C2032" i="55"/>
  <c r="B2032" i="55"/>
  <c r="D2032" i="55" s="1"/>
  <c r="C2031" i="55"/>
  <c r="B2031" i="55"/>
  <c r="D2031" i="55" s="1"/>
  <c r="C2030" i="55"/>
  <c r="B2030" i="55"/>
  <c r="D2030" i="55" s="1"/>
  <c r="C2029" i="55"/>
  <c r="B2029" i="55"/>
  <c r="D2029" i="55" s="1"/>
  <c r="C2028" i="55"/>
  <c r="B2028" i="55"/>
  <c r="D2028" i="55" s="1"/>
  <c r="C2027" i="55"/>
  <c r="B2027" i="55"/>
  <c r="D2027" i="55" s="1"/>
  <c r="C2026" i="55"/>
  <c r="B2026" i="55"/>
  <c r="D2026" i="55" s="1"/>
  <c r="C2025" i="55"/>
  <c r="B2025" i="55"/>
  <c r="D2025" i="55" s="1"/>
  <c r="C2024" i="55"/>
  <c r="B2024" i="55"/>
  <c r="D2024" i="55" s="1"/>
  <c r="C2023" i="55"/>
  <c r="B2023" i="55"/>
  <c r="D2023" i="55" s="1"/>
  <c r="C2022" i="55"/>
  <c r="B2022" i="55"/>
  <c r="D2022" i="55" s="1"/>
  <c r="C2021" i="55"/>
  <c r="B2021" i="55"/>
  <c r="D2021" i="55" s="1"/>
  <c r="C2020" i="55"/>
  <c r="B2020" i="55"/>
  <c r="D2020" i="55" s="1"/>
  <c r="C2019" i="55"/>
  <c r="B2019" i="55"/>
  <c r="D2019" i="55" s="1"/>
  <c r="C2018" i="55"/>
  <c r="B2018" i="55"/>
  <c r="D2018" i="55" s="1"/>
  <c r="C2017" i="55"/>
  <c r="B2017" i="55"/>
  <c r="D2017" i="55" s="1"/>
  <c r="C2016" i="55"/>
  <c r="B2016" i="55"/>
  <c r="D2016" i="55" s="1"/>
  <c r="C2015" i="55"/>
  <c r="B2015" i="55"/>
  <c r="D2015" i="55" s="1"/>
  <c r="C2014" i="55"/>
  <c r="B2014" i="55"/>
  <c r="D2014" i="55" s="1"/>
  <c r="C2013" i="55"/>
  <c r="B2013" i="55"/>
  <c r="D2013" i="55" s="1"/>
  <c r="C2012" i="55"/>
  <c r="B2012" i="55"/>
  <c r="D2012" i="55" s="1"/>
  <c r="C2011" i="55"/>
  <c r="B2011" i="55"/>
  <c r="D2011" i="55" s="1"/>
  <c r="C2010" i="55"/>
  <c r="B2010" i="55"/>
  <c r="D2010" i="55" s="1"/>
  <c r="C2009" i="55"/>
  <c r="B2009" i="55"/>
  <c r="D2009" i="55" s="1"/>
  <c r="C2008" i="55"/>
  <c r="B2008" i="55"/>
  <c r="D2008" i="55" s="1"/>
  <c r="C2007" i="55"/>
  <c r="B2007" i="55"/>
  <c r="D2007" i="55" s="1"/>
  <c r="C2006" i="55"/>
  <c r="B2006" i="55"/>
  <c r="D2006" i="55" s="1"/>
  <c r="C2005" i="55"/>
  <c r="B2005" i="55"/>
  <c r="D2005" i="55" s="1"/>
  <c r="C2004" i="55"/>
  <c r="B2004" i="55"/>
  <c r="D2004" i="55" s="1"/>
  <c r="C2003" i="55"/>
  <c r="B2003" i="55"/>
  <c r="D2003" i="55" s="1"/>
  <c r="C2002" i="55"/>
  <c r="B2002" i="55"/>
  <c r="D2002" i="55" s="1"/>
  <c r="C2001" i="55"/>
  <c r="B2001" i="55"/>
  <c r="D2001" i="55" s="1"/>
  <c r="C2000" i="55"/>
  <c r="B2000" i="55"/>
  <c r="D2000" i="55" s="1"/>
  <c r="C1999" i="55"/>
  <c r="B1999" i="55"/>
  <c r="D1999" i="55" s="1"/>
  <c r="C1998" i="55"/>
  <c r="B1998" i="55"/>
  <c r="D1998" i="55" s="1"/>
  <c r="C1997" i="55"/>
  <c r="B1997" i="55"/>
  <c r="D1997" i="55" s="1"/>
  <c r="C1996" i="55"/>
  <c r="B1996" i="55"/>
  <c r="D1996" i="55" s="1"/>
  <c r="C1995" i="55"/>
  <c r="B1995" i="55"/>
  <c r="D1995" i="55" s="1"/>
  <c r="C1994" i="55"/>
  <c r="B1994" i="55"/>
  <c r="D1994" i="55" s="1"/>
  <c r="C1993" i="55"/>
  <c r="B1993" i="55"/>
  <c r="D1993" i="55" s="1"/>
  <c r="C1992" i="55"/>
  <c r="B1992" i="55"/>
  <c r="D1992" i="55" s="1"/>
  <c r="C1991" i="55"/>
  <c r="B1991" i="55"/>
  <c r="D1991" i="55" s="1"/>
  <c r="C1990" i="55"/>
  <c r="B1990" i="55"/>
  <c r="D1990" i="55" s="1"/>
  <c r="C1989" i="55"/>
  <c r="B1989" i="55"/>
  <c r="D1989" i="55" s="1"/>
  <c r="C1988" i="55"/>
  <c r="B1988" i="55"/>
  <c r="D1988" i="55" s="1"/>
  <c r="C1987" i="55"/>
  <c r="B1987" i="55"/>
  <c r="D1987" i="55" s="1"/>
  <c r="C1986" i="55"/>
  <c r="B1986" i="55"/>
  <c r="D1986" i="55" s="1"/>
  <c r="C1985" i="55"/>
  <c r="B1985" i="55"/>
  <c r="D1985" i="55" s="1"/>
  <c r="C1984" i="55"/>
  <c r="B1984" i="55"/>
  <c r="D1984" i="55" s="1"/>
  <c r="C1983" i="55"/>
  <c r="B1983" i="55"/>
  <c r="D1983" i="55" s="1"/>
  <c r="C1982" i="55"/>
  <c r="B1982" i="55"/>
  <c r="D1982" i="55" s="1"/>
  <c r="C1981" i="55"/>
  <c r="B1981" i="55"/>
  <c r="D1981" i="55" s="1"/>
  <c r="C1980" i="55"/>
  <c r="B1980" i="55"/>
  <c r="D1980" i="55" s="1"/>
  <c r="C1979" i="55"/>
  <c r="B1979" i="55"/>
  <c r="D1979" i="55" s="1"/>
  <c r="C1978" i="55"/>
  <c r="B1978" i="55"/>
  <c r="D1978" i="55" s="1"/>
  <c r="C1977" i="55"/>
  <c r="B1977" i="55"/>
  <c r="D1977" i="55" s="1"/>
  <c r="C1976" i="55"/>
  <c r="B1976" i="55"/>
  <c r="D1976" i="55" s="1"/>
  <c r="C1975" i="55"/>
  <c r="B1975" i="55"/>
  <c r="D1975" i="55" s="1"/>
  <c r="C1974" i="55"/>
  <c r="B1974" i="55"/>
  <c r="D1974" i="55" s="1"/>
  <c r="C1973" i="55"/>
  <c r="B1973" i="55"/>
  <c r="D1973" i="55" s="1"/>
  <c r="C1972" i="55"/>
  <c r="B1972" i="55"/>
  <c r="D1972" i="55" s="1"/>
  <c r="C1971" i="55"/>
  <c r="B1971" i="55"/>
  <c r="D1971" i="55" s="1"/>
  <c r="C1970" i="55"/>
  <c r="B1970" i="55"/>
  <c r="D1970" i="55" s="1"/>
  <c r="C1969" i="55"/>
  <c r="B1969" i="55"/>
  <c r="D1969" i="55" s="1"/>
  <c r="C1968" i="55"/>
  <c r="B1968" i="55"/>
  <c r="D1968" i="55" s="1"/>
  <c r="C1967" i="55"/>
  <c r="B1967" i="55"/>
  <c r="D1967" i="55" s="1"/>
  <c r="C1966" i="55"/>
  <c r="B1966" i="55"/>
  <c r="D1966" i="55" s="1"/>
  <c r="C1965" i="55"/>
  <c r="B1965" i="55"/>
  <c r="D1965" i="55" s="1"/>
  <c r="C1964" i="55"/>
  <c r="B1964" i="55"/>
  <c r="D1964" i="55" s="1"/>
  <c r="C1963" i="55"/>
  <c r="B1963" i="55"/>
  <c r="D1963" i="55" s="1"/>
  <c r="C1962" i="55"/>
  <c r="B1962" i="55"/>
  <c r="D1962" i="55" s="1"/>
  <c r="C1961" i="55"/>
  <c r="B1961" i="55"/>
  <c r="D1961" i="55" s="1"/>
  <c r="C1960" i="55"/>
  <c r="B1960" i="55"/>
  <c r="D1960" i="55" s="1"/>
  <c r="C1959" i="55"/>
  <c r="B1959" i="55"/>
  <c r="D1959" i="55" s="1"/>
  <c r="C1958" i="55"/>
  <c r="B1958" i="55"/>
  <c r="D1958" i="55" s="1"/>
  <c r="C1957" i="55"/>
  <c r="B1957" i="55"/>
  <c r="D1957" i="55" s="1"/>
  <c r="C1956" i="55"/>
  <c r="B1956" i="55"/>
  <c r="D1956" i="55" s="1"/>
  <c r="C1955" i="55"/>
  <c r="B1955" i="55"/>
  <c r="D1955" i="55" s="1"/>
  <c r="C1954" i="55"/>
  <c r="B1954" i="55"/>
  <c r="D1954" i="55" s="1"/>
  <c r="C1953" i="55"/>
  <c r="B1953" i="55"/>
  <c r="D1953" i="55" s="1"/>
  <c r="C1952" i="55"/>
  <c r="B1952" i="55"/>
  <c r="D1952" i="55" s="1"/>
  <c r="C1951" i="55"/>
  <c r="B1951" i="55"/>
  <c r="D1951" i="55" s="1"/>
  <c r="C1950" i="55"/>
  <c r="B1950" i="55"/>
  <c r="D1950" i="55" s="1"/>
  <c r="C1949" i="55"/>
  <c r="B1949" i="55"/>
  <c r="D1949" i="55" s="1"/>
  <c r="C1948" i="55"/>
  <c r="B1948" i="55"/>
  <c r="D1948" i="55" s="1"/>
  <c r="C1947" i="55"/>
  <c r="B1947" i="55"/>
  <c r="D1947" i="55" s="1"/>
  <c r="C1946" i="55"/>
  <c r="B1946" i="55"/>
  <c r="D1946" i="55" s="1"/>
  <c r="C1945" i="55"/>
  <c r="B1945" i="55"/>
  <c r="D1945" i="55" s="1"/>
  <c r="C1944" i="55"/>
  <c r="B1944" i="55"/>
  <c r="D1944" i="55" s="1"/>
  <c r="C1943" i="55"/>
  <c r="B1943" i="55"/>
  <c r="D1943" i="55" s="1"/>
  <c r="C1942" i="55"/>
  <c r="B1942" i="55"/>
  <c r="D1942" i="55" s="1"/>
  <c r="C1941" i="55"/>
  <c r="B1941" i="55"/>
  <c r="D1941" i="55" s="1"/>
  <c r="C1940" i="55"/>
  <c r="B1940" i="55"/>
  <c r="D1940" i="55" s="1"/>
  <c r="C1939" i="55"/>
  <c r="B1939" i="55"/>
  <c r="D1939" i="55" s="1"/>
  <c r="C1938" i="55"/>
  <c r="B1938" i="55"/>
  <c r="D1938" i="55" s="1"/>
  <c r="C1937" i="55"/>
  <c r="B1937" i="55"/>
  <c r="D1937" i="55" s="1"/>
  <c r="C1936" i="55"/>
  <c r="B1936" i="55"/>
  <c r="D1936" i="55" s="1"/>
  <c r="C1935" i="55"/>
  <c r="B1935" i="55"/>
  <c r="D1935" i="55" s="1"/>
  <c r="C1934" i="55"/>
  <c r="B1934" i="55"/>
  <c r="D1934" i="55" s="1"/>
  <c r="C1933" i="55"/>
  <c r="B1933" i="55"/>
  <c r="D1933" i="55" s="1"/>
  <c r="C1932" i="55"/>
  <c r="B1932" i="55"/>
  <c r="D1932" i="55" s="1"/>
  <c r="C1931" i="55"/>
  <c r="B1931" i="55"/>
  <c r="D1931" i="55" s="1"/>
  <c r="C1930" i="55"/>
  <c r="B1930" i="55"/>
  <c r="D1930" i="55" s="1"/>
  <c r="C1929" i="55"/>
  <c r="B1929" i="55"/>
  <c r="D1929" i="55" s="1"/>
  <c r="C1928" i="55"/>
  <c r="B1928" i="55"/>
  <c r="D1928" i="55" s="1"/>
  <c r="C1927" i="55"/>
  <c r="B1927" i="55"/>
  <c r="D1927" i="55" s="1"/>
  <c r="C1926" i="55"/>
  <c r="B1926" i="55"/>
  <c r="D1926" i="55" s="1"/>
  <c r="C1925" i="55"/>
  <c r="B1925" i="55"/>
  <c r="D1925" i="55" s="1"/>
  <c r="C1924" i="55"/>
  <c r="B1924" i="55"/>
  <c r="D1924" i="55" s="1"/>
  <c r="C1923" i="55"/>
  <c r="B1923" i="55"/>
  <c r="D1923" i="55" s="1"/>
  <c r="C1922" i="55"/>
  <c r="B1922" i="55"/>
  <c r="D1922" i="55" s="1"/>
  <c r="C1921" i="55"/>
  <c r="B1921" i="55"/>
  <c r="D1921" i="55" s="1"/>
  <c r="C1920" i="55"/>
  <c r="B1920" i="55"/>
  <c r="D1920" i="55" s="1"/>
  <c r="C1919" i="55"/>
  <c r="B1919" i="55"/>
  <c r="D1919" i="55" s="1"/>
  <c r="C1918" i="55"/>
  <c r="B1918" i="55"/>
  <c r="D1918" i="55" s="1"/>
  <c r="C1917" i="55"/>
  <c r="B1917" i="55"/>
  <c r="D1917" i="55" s="1"/>
  <c r="C1916" i="55"/>
  <c r="B1916" i="55"/>
  <c r="D1916" i="55" s="1"/>
  <c r="C1915" i="55"/>
  <c r="B1915" i="55"/>
  <c r="D1915" i="55" s="1"/>
  <c r="C1914" i="55"/>
  <c r="B1914" i="55"/>
  <c r="D1914" i="55" s="1"/>
  <c r="C1913" i="55"/>
  <c r="B1913" i="55"/>
  <c r="D1913" i="55" s="1"/>
  <c r="C1912" i="55"/>
  <c r="B1912" i="55"/>
  <c r="D1912" i="55" s="1"/>
  <c r="C1911" i="55"/>
  <c r="B1911" i="55"/>
  <c r="D1911" i="55" s="1"/>
  <c r="C1910" i="55"/>
  <c r="B1910" i="55"/>
  <c r="D1910" i="55" s="1"/>
  <c r="C1909" i="55"/>
  <c r="B1909" i="55"/>
  <c r="D1909" i="55" s="1"/>
  <c r="C1908" i="55"/>
  <c r="B1908" i="55"/>
  <c r="D1908" i="55" s="1"/>
  <c r="C1907" i="55"/>
  <c r="B1907" i="55"/>
  <c r="D1907" i="55" s="1"/>
  <c r="C1906" i="55"/>
  <c r="B1906" i="55"/>
  <c r="D1906" i="55" s="1"/>
  <c r="C1905" i="55"/>
  <c r="B1905" i="55"/>
  <c r="D1905" i="55" s="1"/>
  <c r="C1904" i="55"/>
  <c r="B1904" i="55"/>
  <c r="D1904" i="55" s="1"/>
  <c r="C1903" i="55"/>
  <c r="B1903" i="55"/>
  <c r="D1903" i="55" s="1"/>
  <c r="C1902" i="55"/>
  <c r="B1902" i="55"/>
  <c r="D1902" i="55" s="1"/>
  <c r="C1901" i="55"/>
  <c r="B1901" i="55"/>
  <c r="D1901" i="55" s="1"/>
  <c r="C1900" i="55"/>
  <c r="B1900" i="55"/>
  <c r="D1900" i="55" s="1"/>
  <c r="C1899" i="55"/>
  <c r="B1899" i="55"/>
  <c r="D1899" i="55" s="1"/>
  <c r="C1898" i="55"/>
  <c r="B1898" i="55"/>
  <c r="D1898" i="55" s="1"/>
  <c r="C1897" i="55"/>
  <c r="B1897" i="55"/>
  <c r="D1897" i="55" s="1"/>
  <c r="C1896" i="55"/>
  <c r="B1896" i="55"/>
  <c r="D1896" i="55" s="1"/>
  <c r="C1895" i="55"/>
  <c r="B1895" i="55"/>
  <c r="D1895" i="55" s="1"/>
  <c r="C1894" i="55"/>
  <c r="B1894" i="55"/>
  <c r="D1894" i="55" s="1"/>
  <c r="C1893" i="55"/>
  <c r="B1893" i="55"/>
  <c r="D1893" i="55" s="1"/>
  <c r="C1892" i="55"/>
  <c r="B1892" i="55"/>
  <c r="D1892" i="55" s="1"/>
  <c r="C1891" i="55"/>
  <c r="B1891" i="55"/>
  <c r="D1891" i="55" s="1"/>
  <c r="C1890" i="55"/>
  <c r="B1890" i="55"/>
  <c r="D1890" i="55" s="1"/>
  <c r="C1889" i="55"/>
  <c r="B1889" i="55"/>
  <c r="D1889" i="55" s="1"/>
  <c r="C1888" i="55"/>
  <c r="B1888" i="55"/>
  <c r="D1888" i="55" s="1"/>
  <c r="C1887" i="55"/>
  <c r="B1887" i="55"/>
  <c r="D1887" i="55" s="1"/>
  <c r="C1886" i="55"/>
  <c r="B1886" i="55"/>
  <c r="D1886" i="55" s="1"/>
  <c r="C1885" i="55"/>
  <c r="B1885" i="55"/>
  <c r="D1885" i="55" s="1"/>
  <c r="C1884" i="55"/>
  <c r="B1884" i="55"/>
  <c r="D1884" i="55" s="1"/>
  <c r="C1883" i="55"/>
  <c r="B1883" i="55"/>
  <c r="D1883" i="55" s="1"/>
  <c r="C1882" i="55"/>
  <c r="B1882" i="55"/>
  <c r="D1882" i="55" s="1"/>
  <c r="C1881" i="55"/>
  <c r="B1881" i="55"/>
  <c r="D1881" i="55" s="1"/>
  <c r="C1880" i="55"/>
  <c r="B1880" i="55"/>
  <c r="D1880" i="55" s="1"/>
  <c r="C1879" i="55"/>
  <c r="B1879" i="55"/>
  <c r="D1879" i="55" s="1"/>
  <c r="C1878" i="55"/>
  <c r="B1878" i="55"/>
  <c r="D1878" i="55" s="1"/>
  <c r="C1877" i="55"/>
  <c r="B1877" i="55"/>
  <c r="D1877" i="55" s="1"/>
  <c r="C1876" i="55"/>
  <c r="B1876" i="55"/>
  <c r="D1876" i="55" s="1"/>
  <c r="C1875" i="55"/>
  <c r="B1875" i="55"/>
  <c r="D1875" i="55" s="1"/>
  <c r="C1874" i="55"/>
  <c r="B1874" i="55"/>
  <c r="D1874" i="55" s="1"/>
  <c r="C1873" i="55"/>
  <c r="B1873" i="55"/>
  <c r="D1873" i="55" s="1"/>
  <c r="C1872" i="55"/>
  <c r="B1872" i="55"/>
  <c r="D1872" i="55" s="1"/>
  <c r="C1871" i="55"/>
  <c r="B1871" i="55"/>
  <c r="D1871" i="55" s="1"/>
  <c r="C1870" i="55"/>
  <c r="B1870" i="55"/>
  <c r="D1870" i="55" s="1"/>
  <c r="C1869" i="55"/>
  <c r="B1869" i="55"/>
  <c r="D1869" i="55" s="1"/>
  <c r="C1868" i="55"/>
  <c r="B1868" i="55"/>
  <c r="D1868" i="55" s="1"/>
  <c r="C1867" i="55"/>
  <c r="B1867" i="55"/>
  <c r="D1867" i="55" s="1"/>
  <c r="C1866" i="55"/>
  <c r="B1866" i="55"/>
  <c r="D1866" i="55" s="1"/>
  <c r="C1865" i="55"/>
  <c r="B1865" i="55"/>
  <c r="D1865" i="55" s="1"/>
  <c r="C1864" i="55"/>
  <c r="B1864" i="55"/>
  <c r="D1864" i="55" s="1"/>
  <c r="C1863" i="55"/>
  <c r="B1863" i="55"/>
  <c r="D1863" i="55" s="1"/>
  <c r="C1862" i="55"/>
  <c r="B1862" i="55"/>
  <c r="D1862" i="55" s="1"/>
  <c r="C1861" i="55"/>
  <c r="B1861" i="55"/>
  <c r="D1861" i="55" s="1"/>
  <c r="C1860" i="55"/>
  <c r="B1860" i="55"/>
  <c r="D1860" i="55" s="1"/>
  <c r="C1859" i="55"/>
  <c r="B1859" i="55"/>
  <c r="D1859" i="55" s="1"/>
  <c r="C1858" i="55"/>
  <c r="B1858" i="55"/>
  <c r="D1858" i="55" s="1"/>
  <c r="C1857" i="55"/>
  <c r="B1857" i="55"/>
  <c r="D1857" i="55" s="1"/>
  <c r="C1856" i="55"/>
  <c r="B1856" i="55"/>
  <c r="D1856" i="55" s="1"/>
  <c r="C1855" i="55"/>
  <c r="B1855" i="55"/>
  <c r="D1855" i="55" s="1"/>
  <c r="C1854" i="55"/>
  <c r="B1854" i="55"/>
  <c r="D1854" i="55" s="1"/>
  <c r="C1853" i="55"/>
  <c r="B1853" i="55"/>
  <c r="D1853" i="55" s="1"/>
  <c r="C1852" i="55"/>
  <c r="B1852" i="55"/>
  <c r="D1852" i="55" s="1"/>
  <c r="C1851" i="55"/>
  <c r="B1851" i="55"/>
  <c r="D1851" i="55" s="1"/>
  <c r="C1850" i="55"/>
  <c r="B1850" i="55"/>
  <c r="D1850" i="55" s="1"/>
  <c r="C1849" i="55"/>
  <c r="B1849" i="55"/>
  <c r="D1849" i="55" s="1"/>
  <c r="C1848" i="55"/>
  <c r="B1848" i="55"/>
  <c r="D1848" i="55" s="1"/>
  <c r="C1847" i="55"/>
  <c r="B1847" i="55"/>
  <c r="D1847" i="55" s="1"/>
  <c r="C1846" i="55"/>
  <c r="B1846" i="55"/>
  <c r="D1846" i="55" s="1"/>
  <c r="C1845" i="55"/>
  <c r="B1845" i="55"/>
  <c r="D1845" i="55" s="1"/>
  <c r="C1844" i="55"/>
  <c r="B1844" i="55"/>
  <c r="D1844" i="55" s="1"/>
  <c r="C1843" i="55"/>
  <c r="B1843" i="55"/>
  <c r="D1843" i="55" s="1"/>
  <c r="C1842" i="55"/>
  <c r="B1842" i="55"/>
  <c r="D1842" i="55" s="1"/>
  <c r="C1841" i="55"/>
  <c r="B1841" i="55"/>
  <c r="D1841" i="55" s="1"/>
  <c r="C1840" i="55"/>
  <c r="B1840" i="55"/>
  <c r="D1840" i="55" s="1"/>
  <c r="C1839" i="55"/>
  <c r="B1839" i="55"/>
  <c r="D1839" i="55" s="1"/>
  <c r="C1838" i="55"/>
  <c r="B1838" i="55"/>
  <c r="D1838" i="55" s="1"/>
  <c r="C1837" i="55"/>
  <c r="B1837" i="55"/>
  <c r="D1837" i="55" s="1"/>
  <c r="C1836" i="55"/>
  <c r="B1836" i="55"/>
  <c r="D1836" i="55" s="1"/>
  <c r="C1835" i="55"/>
  <c r="B1835" i="55"/>
  <c r="D1835" i="55" s="1"/>
  <c r="C1834" i="55"/>
  <c r="B1834" i="55"/>
  <c r="D1834" i="55" s="1"/>
  <c r="C1833" i="55"/>
  <c r="B1833" i="55"/>
  <c r="D1833" i="55" s="1"/>
  <c r="C1832" i="55"/>
  <c r="B1832" i="55"/>
  <c r="D1832" i="55" s="1"/>
  <c r="C1831" i="55"/>
  <c r="B1831" i="55"/>
  <c r="D1831" i="55" s="1"/>
  <c r="C1830" i="55"/>
  <c r="B1830" i="55"/>
  <c r="D1830" i="55" s="1"/>
  <c r="C1829" i="55"/>
  <c r="B1829" i="55"/>
  <c r="D1829" i="55" s="1"/>
  <c r="C1828" i="55"/>
  <c r="B1828" i="55"/>
  <c r="D1828" i="55" s="1"/>
  <c r="C1827" i="55"/>
  <c r="B1827" i="55"/>
  <c r="D1827" i="55" s="1"/>
  <c r="C1826" i="55"/>
  <c r="B1826" i="55"/>
  <c r="D1826" i="55" s="1"/>
  <c r="C1825" i="55"/>
  <c r="B1825" i="55"/>
  <c r="D1825" i="55" s="1"/>
  <c r="C1824" i="55"/>
  <c r="B1824" i="55"/>
  <c r="D1824" i="55" s="1"/>
  <c r="C1823" i="55"/>
  <c r="B1823" i="55"/>
  <c r="D1823" i="55" s="1"/>
  <c r="C1822" i="55"/>
  <c r="B1822" i="55"/>
  <c r="D1822" i="55" s="1"/>
  <c r="C1821" i="55"/>
  <c r="B1821" i="55"/>
  <c r="D1821" i="55" s="1"/>
  <c r="C1820" i="55"/>
  <c r="B1820" i="55"/>
  <c r="D1820" i="55" s="1"/>
  <c r="C1819" i="55"/>
  <c r="B1819" i="55"/>
  <c r="D1819" i="55" s="1"/>
  <c r="C1818" i="55"/>
  <c r="B1818" i="55"/>
  <c r="D1818" i="55" s="1"/>
  <c r="C1817" i="55"/>
  <c r="B1817" i="55"/>
  <c r="D1817" i="55" s="1"/>
  <c r="C1816" i="55"/>
  <c r="B1816" i="55"/>
  <c r="D1816" i="55" s="1"/>
  <c r="C1815" i="55"/>
  <c r="B1815" i="55"/>
  <c r="D1815" i="55" s="1"/>
  <c r="C1814" i="55"/>
  <c r="B1814" i="55"/>
  <c r="D1814" i="55" s="1"/>
  <c r="C1813" i="55"/>
  <c r="B1813" i="55"/>
  <c r="D1813" i="55" s="1"/>
  <c r="C1812" i="55"/>
  <c r="B1812" i="55"/>
  <c r="D1812" i="55" s="1"/>
  <c r="C1811" i="55"/>
  <c r="B1811" i="55"/>
  <c r="D1811" i="55" s="1"/>
  <c r="C1810" i="55"/>
  <c r="B1810" i="55"/>
  <c r="D1810" i="55" s="1"/>
  <c r="C1809" i="55"/>
  <c r="B1809" i="55"/>
  <c r="D1809" i="55" s="1"/>
  <c r="C1808" i="55"/>
  <c r="B1808" i="55"/>
  <c r="D1808" i="55" s="1"/>
  <c r="C1807" i="55"/>
  <c r="B1807" i="55"/>
  <c r="D1807" i="55" s="1"/>
  <c r="C1806" i="55"/>
  <c r="B1806" i="55"/>
  <c r="D1806" i="55" s="1"/>
  <c r="C1805" i="55"/>
  <c r="B1805" i="55"/>
  <c r="D1805" i="55" s="1"/>
  <c r="C1804" i="55"/>
  <c r="B1804" i="55"/>
  <c r="D1804" i="55" s="1"/>
  <c r="C1803" i="55"/>
  <c r="B1803" i="55"/>
  <c r="D1803" i="55" s="1"/>
  <c r="C1802" i="55"/>
  <c r="B1802" i="55"/>
  <c r="D1802" i="55" s="1"/>
  <c r="C1801" i="55"/>
  <c r="B1801" i="55"/>
  <c r="D1801" i="55" s="1"/>
  <c r="C1800" i="55"/>
  <c r="B1800" i="55"/>
  <c r="D1800" i="55" s="1"/>
  <c r="C1799" i="55"/>
  <c r="B1799" i="55"/>
  <c r="D1799" i="55" s="1"/>
  <c r="C1798" i="55"/>
  <c r="B1798" i="55"/>
  <c r="D1798" i="55" s="1"/>
  <c r="C1797" i="55"/>
  <c r="B1797" i="55"/>
  <c r="D1797" i="55" s="1"/>
  <c r="C1796" i="55"/>
  <c r="B1796" i="55"/>
  <c r="D1796" i="55" s="1"/>
  <c r="C1795" i="55"/>
  <c r="B1795" i="55"/>
  <c r="D1795" i="55" s="1"/>
  <c r="C1794" i="55"/>
  <c r="B1794" i="55"/>
  <c r="D1794" i="55" s="1"/>
  <c r="C1793" i="55"/>
  <c r="B1793" i="55"/>
  <c r="D1793" i="55" s="1"/>
  <c r="C1792" i="55"/>
  <c r="B1792" i="55"/>
  <c r="D1792" i="55" s="1"/>
  <c r="C1791" i="55"/>
  <c r="B1791" i="55"/>
  <c r="D1791" i="55" s="1"/>
  <c r="C1790" i="55"/>
  <c r="B1790" i="55"/>
  <c r="D1790" i="55" s="1"/>
  <c r="C1789" i="55"/>
  <c r="B1789" i="55"/>
  <c r="D1789" i="55" s="1"/>
  <c r="C1788" i="55"/>
  <c r="B1788" i="55"/>
  <c r="D1788" i="55" s="1"/>
  <c r="C1787" i="55"/>
  <c r="B1787" i="55"/>
  <c r="D1787" i="55" s="1"/>
  <c r="C1786" i="55"/>
  <c r="B1786" i="55"/>
  <c r="D1786" i="55" s="1"/>
  <c r="C1785" i="55"/>
  <c r="B1785" i="55"/>
  <c r="D1785" i="55" s="1"/>
  <c r="C1784" i="55"/>
  <c r="B1784" i="55"/>
  <c r="D1784" i="55" s="1"/>
  <c r="C1783" i="55"/>
  <c r="B1783" i="55"/>
  <c r="D1783" i="55" s="1"/>
  <c r="C1782" i="55"/>
  <c r="B1782" i="55"/>
  <c r="D1782" i="55" s="1"/>
  <c r="C1781" i="55"/>
  <c r="B1781" i="55"/>
  <c r="D1781" i="55" s="1"/>
  <c r="C1780" i="55"/>
  <c r="B1780" i="55"/>
  <c r="D1780" i="55" s="1"/>
  <c r="C1779" i="55"/>
  <c r="B1779" i="55"/>
  <c r="D1779" i="55" s="1"/>
  <c r="C1778" i="55"/>
  <c r="B1778" i="55"/>
  <c r="D1778" i="55" s="1"/>
  <c r="C1777" i="55"/>
  <c r="B1777" i="55"/>
  <c r="D1777" i="55" s="1"/>
  <c r="C1776" i="55"/>
  <c r="B1776" i="55"/>
  <c r="D1776" i="55" s="1"/>
  <c r="C1775" i="55"/>
  <c r="B1775" i="55"/>
  <c r="D1775" i="55" s="1"/>
  <c r="C1774" i="55"/>
  <c r="B1774" i="55"/>
  <c r="D1774" i="55" s="1"/>
  <c r="C1773" i="55"/>
  <c r="B1773" i="55"/>
  <c r="D1773" i="55" s="1"/>
  <c r="C1772" i="55"/>
  <c r="B1772" i="55"/>
  <c r="D1772" i="55" s="1"/>
  <c r="C1771" i="55"/>
  <c r="B1771" i="55"/>
  <c r="D1771" i="55" s="1"/>
  <c r="C1770" i="55"/>
  <c r="B1770" i="55"/>
  <c r="D1770" i="55" s="1"/>
  <c r="C1769" i="55"/>
  <c r="B1769" i="55"/>
  <c r="D1769" i="55" s="1"/>
  <c r="C1768" i="55"/>
  <c r="B1768" i="55"/>
  <c r="D1768" i="55" s="1"/>
  <c r="C1767" i="55"/>
  <c r="B1767" i="55"/>
  <c r="D1767" i="55" s="1"/>
  <c r="C1766" i="55"/>
  <c r="B1766" i="55"/>
  <c r="D1766" i="55" s="1"/>
  <c r="C1765" i="55"/>
  <c r="B1765" i="55"/>
  <c r="D1765" i="55" s="1"/>
  <c r="C1764" i="55"/>
  <c r="B1764" i="55"/>
  <c r="D1764" i="55" s="1"/>
  <c r="C1763" i="55"/>
  <c r="B1763" i="55"/>
  <c r="D1763" i="55" s="1"/>
  <c r="C1762" i="55"/>
  <c r="B1762" i="55"/>
  <c r="D1762" i="55" s="1"/>
  <c r="C1761" i="55"/>
  <c r="B1761" i="55"/>
  <c r="D1761" i="55" s="1"/>
  <c r="C1760" i="55"/>
  <c r="B1760" i="55"/>
  <c r="D1760" i="55" s="1"/>
  <c r="C1759" i="55"/>
  <c r="B1759" i="55"/>
  <c r="D1759" i="55" s="1"/>
  <c r="C1758" i="55"/>
  <c r="B1758" i="55"/>
  <c r="D1758" i="55" s="1"/>
  <c r="C1757" i="55"/>
  <c r="B1757" i="55"/>
  <c r="D1757" i="55" s="1"/>
  <c r="C1756" i="55"/>
  <c r="B1756" i="55"/>
  <c r="D1756" i="55" s="1"/>
  <c r="C1755" i="55"/>
  <c r="B1755" i="55"/>
  <c r="D1755" i="55" s="1"/>
  <c r="C1754" i="55"/>
  <c r="B1754" i="55"/>
  <c r="D1754" i="55" s="1"/>
  <c r="C1753" i="55"/>
  <c r="B1753" i="55"/>
  <c r="D1753" i="55" s="1"/>
  <c r="C1752" i="55"/>
  <c r="B1752" i="55"/>
  <c r="D1752" i="55" s="1"/>
  <c r="C1751" i="55"/>
  <c r="B1751" i="55"/>
  <c r="D1751" i="55" s="1"/>
  <c r="C1750" i="55"/>
  <c r="B1750" i="55"/>
  <c r="D1750" i="55" s="1"/>
  <c r="C1749" i="55"/>
  <c r="B1749" i="55"/>
  <c r="D1749" i="55" s="1"/>
  <c r="C1748" i="55"/>
  <c r="B1748" i="55"/>
  <c r="D1748" i="55" s="1"/>
  <c r="C1747" i="55"/>
  <c r="B1747" i="55"/>
  <c r="D1747" i="55" s="1"/>
  <c r="C1746" i="55"/>
  <c r="B1746" i="55"/>
  <c r="D1746" i="55" s="1"/>
  <c r="C1745" i="55"/>
  <c r="B1745" i="55"/>
  <c r="D1745" i="55" s="1"/>
  <c r="C1744" i="55"/>
  <c r="B1744" i="55"/>
  <c r="D1744" i="55" s="1"/>
  <c r="C1743" i="55"/>
  <c r="B1743" i="55"/>
  <c r="D1743" i="55" s="1"/>
  <c r="C1742" i="55"/>
  <c r="B1742" i="55"/>
  <c r="D1742" i="55" s="1"/>
  <c r="C1741" i="55"/>
  <c r="B1741" i="55"/>
  <c r="D1741" i="55" s="1"/>
  <c r="C1740" i="55"/>
  <c r="B1740" i="55"/>
  <c r="D1740" i="55" s="1"/>
  <c r="C1739" i="55"/>
  <c r="B1739" i="55"/>
  <c r="D1739" i="55" s="1"/>
  <c r="C1738" i="55"/>
  <c r="B1738" i="55"/>
  <c r="D1738" i="55" s="1"/>
  <c r="C1737" i="55"/>
  <c r="B1737" i="55"/>
  <c r="D1737" i="55" s="1"/>
  <c r="C1736" i="55"/>
  <c r="B1736" i="55"/>
  <c r="D1736" i="55" s="1"/>
  <c r="C1735" i="55"/>
  <c r="B1735" i="55"/>
  <c r="D1735" i="55" s="1"/>
  <c r="C1734" i="55"/>
  <c r="B1734" i="55"/>
  <c r="D1734" i="55" s="1"/>
  <c r="C1733" i="55"/>
  <c r="B1733" i="55"/>
  <c r="D1733" i="55" s="1"/>
  <c r="C1732" i="55"/>
  <c r="B1732" i="55"/>
  <c r="D1732" i="55" s="1"/>
  <c r="C1731" i="55"/>
  <c r="B1731" i="55"/>
  <c r="D1731" i="55" s="1"/>
  <c r="C1730" i="55"/>
  <c r="B1730" i="55"/>
  <c r="D1730" i="55" s="1"/>
  <c r="C1729" i="55"/>
  <c r="B1729" i="55"/>
  <c r="D1729" i="55" s="1"/>
  <c r="C1728" i="55"/>
  <c r="B1728" i="55"/>
  <c r="D1728" i="55" s="1"/>
  <c r="C1727" i="55"/>
  <c r="B1727" i="55"/>
  <c r="D1727" i="55" s="1"/>
  <c r="C1726" i="55"/>
  <c r="B1726" i="55"/>
  <c r="D1726" i="55" s="1"/>
  <c r="C1725" i="55"/>
  <c r="B1725" i="55"/>
  <c r="D1725" i="55" s="1"/>
  <c r="C1724" i="55"/>
  <c r="B1724" i="55"/>
  <c r="D1724" i="55" s="1"/>
  <c r="C1723" i="55"/>
  <c r="B1723" i="55"/>
  <c r="D1723" i="55" s="1"/>
  <c r="C1722" i="55"/>
  <c r="B1722" i="55"/>
  <c r="D1722" i="55" s="1"/>
  <c r="C1721" i="55"/>
  <c r="B1721" i="55"/>
  <c r="D1721" i="55" s="1"/>
  <c r="C1720" i="55"/>
  <c r="B1720" i="55"/>
  <c r="D1720" i="55" s="1"/>
  <c r="C1719" i="55"/>
  <c r="B1719" i="55"/>
  <c r="D1719" i="55" s="1"/>
  <c r="C1718" i="55"/>
  <c r="B1718" i="55"/>
  <c r="D1718" i="55" s="1"/>
  <c r="C1717" i="55"/>
  <c r="B1717" i="55"/>
  <c r="D1717" i="55" s="1"/>
  <c r="C1716" i="55"/>
  <c r="B1716" i="55"/>
  <c r="D1716" i="55" s="1"/>
  <c r="C1715" i="55"/>
  <c r="B1715" i="55"/>
  <c r="D1715" i="55" s="1"/>
  <c r="C1714" i="55"/>
  <c r="B1714" i="55"/>
  <c r="D1714" i="55" s="1"/>
  <c r="C1713" i="55"/>
  <c r="B1713" i="55"/>
  <c r="D1713" i="55" s="1"/>
  <c r="C1712" i="55"/>
  <c r="B1712" i="55"/>
  <c r="D1712" i="55" s="1"/>
  <c r="C1711" i="55"/>
  <c r="B1711" i="55"/>
  <c r="D1711" i="55" s="1"/>
  <c r="C1710" i="55"/>
  <c r="B1710" i="55"/>
  <c r="D1710" i="55" s="1"/>
  <c r="C1709" i="55"/>
  <c r="B1709" i="55"/>
  <c r="D1709" i="55" s="1"/>
  <c r="C1708" i="55"/>
  <c r="B1708" i="55"/>
  <c r="D1708" i="55" s="1"/>
  <c r="C1707" i="55"/>
  <c r="B1707" i="55"/>
  <c r="D1707" i="55" s="1"/>
  <c r="C1706" i="55"/>
  <c r="B1706" i="55"/>
  <c r="D1706" i="55" s="1"/>
  <c r="C1705" i="55"/>
  <c r="B1705" i="55"/>
  <c r="D1705" i="55" s="1"/>
  <c r="C1704" i="55"/>
  <c r="B1704" i="55"/>
  <c r="D1704" i="55" s="1"/>
  <c r="C1703" i="55"/>
  <c r="B1703" i="55"/>
  <c r="D1703" i="55" s="1"/>
  <c r="C1702" i="55"/>
  <c r="B1702" i="55"/>
  <c r="D1702" i="55" s="1"/>
  <c r="C1701" i="55"/>
  <c r="B1701" i="55"/>
  <c r="D1701" i="55" s="1"/>
  <c r="C1700" i="55"/>
  <c r="B1700" i="55"/>
  <c r="D1700" i="55" s="1"/>
  <c r="C1699" i="55"/>
  <c r="B1699" i="55"/>
  <c r="D1699" i="55" s="1"/>
  <c r="C1698" i="55"/>
  <c r="B1698" i="55"/>
  <c r="D1698" i="55" s="1"/>
  <c r="C1697" i="55"/>
  <c r="B1697" i="55"/>
  <c r="D1697" i="55" s="1"/>
  <c r="C1696" i="55"/>
  <c r="B1696" i="55"/>
  <c r="D1696" i="55" s="1"/>
  <c r="C1695" i="55"/>
  <c r="B1695" i="55"/>
  <c r="D1695" i="55" s="1"/>
  <c r="C1694" i="55"/>
  <c r="B1694" i="55"/>
  <c r="D1694" i="55" s="1"/>
  <c r="C1693" i="55"/>
  <c r="B1693" i="55"/>
  <c r="D1693" i="55" s="1"/>
  <c r="C1692" i="55"/>
  <c r="B1692" i="55"/>
  <c r="D1692" i="55" s="1"/>
  <c r="C1691" i="55"/>
  <c r="B1691" i="55"/>
  <c r="D1691" i="55" s="1"/>
  <c r="C1690" i="55"/>
  <c r="B1690" i="55"/>
  <c r="D1690" i="55" s="1"/>
  <c r="C1689" i="55"/>
  <c r="B1689" i="55"/>
  <c r="D1689" i="55" s="1"/>
  <c r="C1688" i="55"/>
  <c r="B1688" i="55"/>
  <c r="D1688" i="55" s="1"/>
  <c r="C1687" i="55"/>
  <c r="B1687" i="55"/>
  <c r="D1687" i="55" s="1"/>
  <c r="C1686" i="55"/>
  <c r="B1686" i="55"/>
  <c r="D1686" i="55" s="1"/>
  <c r="C1685" i="55"/>
  <c r="B1685" i="55"/>
  <c r="D1685" i="55" s="1"/>
  <c r="C1684" i="55"/>
  <c r="B1684" i="55"/>
  <c r="D1684" i="55" s="1"/>
  <c r="C1683" i="55"/>
  <c r="B1683" i="55"/>
  <c r="D1683" i="55" s="1"/>
  <c r="C1682" i="55"/>
  <c r="B1682" i="55"/>
  <c r="D1682" i="55" s="1"/>
  <c r="C1681" i="55"/>
  <c r="B1681" i="55"/>
  <c r="D1681" i="55" s="1"/>
  <c r="C1680" i="55"/>
  <c r="B1680" i="55"/>
  <c r="D1680" i="55" s="1"/>
  <c r="C1679" i="55"/>
  <c r="B1679" i="55"/>
  <c r="D1679" i="55" s="1"/>
  <c r="C1678" i="55"/>
  <c r="B1678" i="55"/>
  <c r="D1678" i="55" s="1"/>
  <c r="C1677" i="55"/>
  <c r="B1677" i="55"/>
  <c r="D1677" i="55" s="1"/>
  <c r="C1676" i="55"/>
  <c r="B1676" i="55"/>
  <c r="D1676" i="55" s="1"/>
  <c r="C1675" i="55"/>
  <c r="B1675" i="55"/>
  <c r="D1675" i="55" s="1"/>
  <c r="C1674" i="55"/>
  <c r="B1674" i="55"/>
  <c r="D1674" i="55" s="1"/>
  <c r="C1673" i="55"/>
  <c r="B1673" i="55"/>
  <c r="D1673" i="55" s="1"/>
  <c r="C1672" i="55"/>
  <c r="B1672" i="55"/>
  <c r="D1672" i="55" s="1"/>
  <c r="C1671" i="55"/>
  <c r="B1671" i="55"/>
  <c r="D1671" i="55" s="1"/>
  <c r="C1670" i="55"/>
  <c r="B1670" i="55"/>
  <c r="D1670" i="55" s="1"/>
  <c r="C1669" i="55"/>
  <c r="B1669" i="55"/>
  <c r="D1669" i="55" s="1"/>
  <c r="C1668" i="55"/>
  <c r="B1668" i="55"/>
  <c r="D1668" i="55" s="1"/>
  <c r="C1667" i="55"/>
  <c r="B1667" i="55"/>
  <c r="D1667" i="55" s="1"/>
  <c r="C1666" i="55"/>
  <c r="B1666" i="55"/>
  <c r="D1666" i="55" s="1"/>
  <c r="C1665" i="55"/>
  <c r="B1665" i="55"/>
  <c r="D1665" i="55" s="1"/>
  <c r="C1664" i="55"/>
  <c r="B1664" i="55"/>
  <c r="D1664" i="55" s="1"/>
  <c r="C1663" i="55"/>
  <c r="B1663" i="55"/>
  <c r="D1663" i="55" s="1"/>
  <c r="C1662" i="55"/>
  <c r="B1662" i="55"/>
  <c r="D1662" i="55" s="1"/>
  <c r="C1661" i="55"/>
  <c r="B1661" i="55"/>
  <c r="D1661" i="55" s="1"/>
  <c r="C1660" i="55"/>
  <c r="B1660" i="55"/>
  <c r="D1660" i="55" s="1"/>
  <c r="C1659" i="55"/>
  <c r="B1659" i="55"/>
  <c r="D1659" i="55" s="1"/>
  <c r="C1658" i="55"/>
  <c r="B1658" i="55"/>
  <c r="D1658" i="55" s="1"/>
  <c r="C1657" i="55"/>
  <c r="B1657" i="55"/>
  <c r="D1657" i="55" s="1"/>
  <c r="C1656" i="55"/>
  <c r="B1656" i="55"/>
  <c r="D1656" i="55" s="1"/>
  <c r="C1655" i="55"/>
  <c r="B1655" i="55"/>
  <c r="D1655" i="55" s="1"/>
  <c r="C1654" i="55"/>
  <c r="B1654" i="55"/>
  <c r="D1654" i="55" s="1"/>
  <c r="C1653" i="55"/>
  <c r="B1653" i="55"/>
  <c r="D1653" i="55" s="1"/>
  <c r="C1652" i="55"/>
  <c r="B1652" i="55"/>
  <c r="D1652" i="55" s="1"/>
  <c r="C1651" i="55"/>
  <c r="B1651" i="55"/>
  <c r="D1651" i="55" s="1"/>
  <c r="C1650" i="55"/>
  <c r="B1650" i="55"/>
  <c r="D1650" i="55" s="1"/>
  <c r="C1649" i="55"/>
  <c r="B1649" i="55"/>
  <c r="D1649" i="55" s="1"/>
  <c r="C1648" i="55"/>
  <c r="B1648" i="55"/>
  <c r="D1648" i="55" s="1"/>
  <c r="C1647" i="55"/>
  <c r="B1647" i="55"/>
  <c r="D1647" i="55" s="1"/>
  <c r="C1646" i="55"/>
  <c r="B1646" i="55"/>
  <c r="D1646" i="55" s="1"/>
  <c r="C1645" i="55"/>
  <c r="B1645" i="55"/>
  <c r="D1645" i="55" s="1"/>
  <c r="C1644" i="55"/>
  <c r="B1644" i="55"/>
  <c r="D1644" i="55" s="1"/>
  <c r="C1643" i="55"/>
  <c r="B1643" i="55"/>
  <c r="D1643" i="55" s="1"/>
  <c r="C1642" i="55"/>
  <c r="B1642" i="55"/>
  <c r="D1642" i="55" s="1"/>
  <c r="C1641" i="55"/>
  <c r="B1641" i="55"/>
  <c r="D1641" i="55" s="1"/>
  <c r="C1640" i="55"/>
  <c r="B1640" i="55"/>
  <c r="D1640" i="55" s="1"/>
  <c r="C1639" i="55"/>
  <c r="B1639" i="55"/>
  <c r="D1639" i="55" s="1"/>
  <c r="C1638" i="55"/>
  <c r="B1638" i="55"/>
  <c r="D1638" i="55" s="1"/>
  <c r="C1637" i="55"/>
  <c r="B1637" i="55"/>
  <c r="D1637" i="55" s="1"/>
  <c r="C1636" i="55"/>
  <c r="B1636" i="55"/>
  <c r="D1636" i="55" s="1"/>
  <c r="C1635" i="55"/>
  <c r="B1635" i="55"/>
  <c r="D1635" i="55" s="1"/>
  <c r="C1634" i="55"/>
  <c r="B1634" i="55"/>
  <c r="D1634" i="55" s="1"/>
  <c r="C1633" i="55"/>
  <c r="B1633" i="55"/>
  <c r="D1633" i="55" s="1"/>
  <c r="C1632" i="55"/>
  <c r="B1632" i="55"/>
  <c r="D1632" i="55" s="1"/>
  <c r="C1631" i="55"/>
  <c r="B1631" i="55"/>
  <c r="D1631" i="55" s="1"/>
  <c r="C1630" i="55"/>
  <c r="B1630" i="55"/>
  <c r="D1630" i="55" s="1"/>
  <c r="C1629" i="55"/>
  <c r="B1629" i="55"/>
  <c r="D1629" i="55" s="1"/>
  <c r="C1628" i="55"/>
  <c r="B1628" i="55"/>
  <c r="D1628" i="55" s="1"/>
  <c r="C1627" i="55"/>
  <c r="B1627" i="55"/>
  <c r="D1627" i="55" s="1"/>
  <c r="C1626" i="55"/>
  <c r="B1626" i="55"/>
  <c r="D1626" i="55" s="1"/>
  <c r="C1625" i="55"/>
  <c r="B1625" i="55"/>
  <c r="D1625" i="55" s="1"/>
  <c r="C1624" i="55"/>
  <c r="B1624" i="55"/>
  <c r="D1624" i="55" s="1"/>
  <c r="C1623" i="55"/>
  <c r="B1623" i="55"/>
  <c r="D1623" i="55" s="1"/>
  <c r="C1622" i="55"/>
  <c r="B1622" i="55"/>
  <c r="D1622" i="55" s="1"/>
  <c r="C1621" i="55"/>
  <c r="B1621" i="55"/>
  <c r="D1621" i="55" s="1"/>
  <c r="C1620" i="55"/>
  <c r="B1620" i="55"/>
  <c r="D1620" i="55" s="1"/>
  <c r="C1619" i="55"/>
  <c r="B1619" i="55"/>
  <c r="D1619" i="55" s="1"/>
  <c r="C1618" i="55"/>
  <c r="B1618" i="55"/>
  <c r="D1618" i="55" s="1"/>
  <c r="C1617" i="55"/>
  <c r="B1617" i="55"/>
  <c r="D1617" i="55" s="1"/>
  <c r="C1616" i="55"/>
  <c r="B1616" i="55"/>
  <c r="D1616" i="55" s="1"/>
  <c r="C1615" i="55"/>
  <c r="B1615" i="55"/>
  <c r="D1615" i="55" s="1"/>
  <c r="C1614" i="55"/>
  <c r="B1614" i="55"/>
  <c r="D1614" i="55" s="1"/>
  <c r="C1613" i="55"/>
  <c r="B1613" i="55"/>
  <c r="D1613" i="55" s="1"/>
  <c r="C1612" i="55"/>
  <c r="B1612" i="55"/>
  <c r="D1612" i="55" s="1"/>
  <c r="C1611" i="55"/>
  <c r="B1611" i="55"/>
  <c r="D1611" i="55" s="1"/>
  <c r="C1610" i="55"/>
  <c r="B1610" i="55"/>
  <c r="D1610" i="55" s="1"/>
  <c r="C1609" i="55"/>
  <c r="B1609" i="55"/>
  <c r="D1609" i="55" s="1"/>
  <c r="C1608" i="55"/>
  <c r="B1608" i="55"/>
  <c r="D1608" i="55" s="1"/>
  <c r="C1607" i="55"/>
  <c r="B1607" i="55"/>
  <c r="D1607" i="55" s="1"/>
  <c r="C1606" i="55"/>
  <c r="B1606" i="55"/>
  <c r="D1606" i="55" s="1"/>
  <c r="C1605" i="55"/>
  <c r="B1605" i="55"/>
  <c r="D1605" i="55" s="1"/>
  <c r="C1604" i="55"/>
  <c r="B1604" i="55"/>
  <c r="D1604" i="55" s="1"/>
  <c r="C1603" i="55"/>
  <c r="B1603" i="55"/>
  <c r="D1603" i="55" s="1"/>
  <c r="C1602" i="55"/>
  <c r="B1602" i="55"/>
  <c r="D1602" i="55" s="1"/>
  <c r="C1601" i="55"/>
  <c r="B1601" i="55"/>
  <c r="D1601" i="55" s="1"/>
  <c r="C1600" i="55"/>
  <c r="B1600" i="55"/>
  <c r="D1600" i="55" s="1"/>
  <c r="C1599" i="55"/>
  <c r="B1599" i="55"/>
  <c r="D1599" i="55" s="1"/>
  <c r="C1598" i="55"/>
  <c r="B1598" i="55"/>
  <c r="D1598" i="55" s="1"/>
  <c r="C1597" i="55"/>
  <c r="B1597" i="55"/>
  <c r="D1597" i="55" s="1"/>
  <c r="C1596" i="55"/>
  <c r="B1596" i="55"/>
  <c r="D1596" i="55" s="1"/>
  <c r="C1595" i="55"/>
  <c r="B1595" i="55"/>
  <c r="D1595" i="55" s="1"/>
  <c r="C1594" i="55"/>
  <c r="B1594" i="55"/>
  <c r="D1594" i="55" s="1"/>
  <c r="C1593" i="55"/>
  <c r="B1593" i="55"/>
  <c r="D1593" i="55" s="1"/>
  <c r="C1592" i="55"/>
  <c r="B1592" i="55"/>
  <c r="D1592" i="55" s="1"/>
  <c r="C1591" i="55"/>
  <c r="B1591" i="55"/>
  <c r="D1591" i="55" s="1"/>
  <c r="C1590" i="55"/>
  <c r="B1590" i="55"/>
  <c r="D1590" i="55" s="1"/>
  <c r="C1589" i="55"/>
  <c r="B1589" i="55"/>
  <c r="D1589" i="55" s="1"/>
  <c r="C1588" i="55"/>
  <c r="B1588" i="55"/>
  <c r="D1588" i="55" s="1"/>
  <c r="C1587" i="55"/>
  <c r="B1587" i="55"/>
  <c r="D1587" i="55" s="1"/>
  <c r="C1586" i="55"/>
  <c r="B1586" i="55"/>
  <c r="D1586" i="55" s="1"/>
  <c r="C1585" i="55"/>
  <c r="B1585" i="55"/>
  <c r="D1585" i="55" s="1"/>
  <c r="C1584" i="55"/>
  <c r="B1584" i="55"/>
  <c r="D1584" i="55" s="1"/>
  <c r="C1583" i="55"/>
  <c r="B1583" i="55"/>
  <c r="D1583" i="55" s="1"/>
  <c r="C1582" i="55"/>
  <c r="B1582" i="55"/>
  <c r="D1582" i="55" s="1"/>
  <c r="C1581" i="55"/>
  <c r="B1581" i="55"/>
  <c r="D1581" i="55" s="1"/>
  <c r="C1580" i="55"/>
  <c r="B1580" i="55"/>
  <c r="D1580" i="55" s="1"/>
  <c r="C1579" i="55"/>
  <c r="B1579" i="55"/>
  <c r="D1579" i="55" s="1"/>
  <c r="C1578" i="55"/>
  <c r="B1578" i="55"/>
  <c r="D1578" i="55" s="1"/>
  <c r="C1577" i="55"/>
  <c r="B1577" i="55"/>
  <c r="D1577" i="55" s="1"/>
  <c r="C1576" i="55"/>
  <c r="B1576" i="55"/>
  <c r="D1576" i="55" s="1"/>
  <c r="C1575" i="55"/>
  <c r="B1575" i="55"/>
  <c r="D1575" i="55" s="1"/>
  <c r="C1574" i="55"/>
  <c r="B1574" i="55"/>
  <c r="D1574" i="55" s="1"/>
  <c r="C1573" i="55"/>
  <c r="B1573" i="55"/>
  <c r="D1573" i="55" s="1"/>
  <c r="C1572" i="55"/>
  <c r="B1572" i="55"/>
  <c r="D1572" i="55" s="1"/>
  <c r="C1571" i="55"/>
  <c r="B1571" i="55"/>
  <c r="D1571" i="55" s="1"/>
  <c r="C1570" i="55"/>
  <c r="B1570" i="55"/>
  <c r="D1570" i="55" s="1"/>
  <c r="C1569" i="55"/>
  <c r="B1569" i="55"/>
  <c r="D1569" i="55" s="1"/>
  <c r="C1568" i="55"/>
  <c r="B1568" i="55"/>
  <c r="D1568" i="55" s="1"/>
  <c r="C1567" i="55"/>
  <c r="B1567" i="55"/>
  <c r="D1567" i="55" s="1"/>
  <c r="C1566" i="55"/>
  <c r="B1566" i="55"/>
  <c r="D1566" i="55" s="1"/>
  <c r="C1565" i="55"/>
  <c r="B1565" i="55"/>
  <c r="D1565" i="55" s="1"/>
  <c r="C1564" i="55"/>
  <c r="B1564" i="55"/>
  <c r="D1564" i="55" s="1"/>
  <c r="C1563" i="55"/>
  <c r="B1563" i="55"/>
  <c r="D1563" i="55" s="1"/>
  <c r="C1562" i="55"/>
  <c r="B1562" i="55"/>
  <c r="D1562" i="55" s="1"/>
  <c r="C1561" i="55"/>
  <c r="B1561" i="55"/>
  <c r="D1561" i="55" s="1"/>
  <c r="C1560" i="55"/>
  <c r="B1560" i="55"/>
  <c r="D1560" i="55" s="1"/>
  <c r="C1559" i="55"/>
  <c r="B1559" i="55"/>
  <c r="D1559" i="55" s="1"/>
  <c r="C1558" i="55"/>
  <c r="B1558" i="55"/>
  <c r="D1558" i="55" s="1"/>
  <c r="C1557" i="55"/>
  <c r="B1557" i="55"/>
  <c r="D1557" i="55" s="1"/>
  <c r="C1556" i="55"/>
  <c r="B1556" i="55"/>
  <c r="D1556" i="55" s="1"/>
  <c r="C1555" i="55"/>
  <c r="B1555" i="55"/>
  <c r="D1555" i="55" s="1"/>
  <c r="C1554" i="55"/>
  <c r="B1554" i="55"/>
  <c r="D1554" i="55" s="1"/>
  <c r="C1553" i="55"/>
  <c r="B1553" i="55"/>
  <c r="D1553" i="55" s="1"/>
  <c r="C1552" i="55"/>
  <c r="B1552" i="55"/>
  <c r="D1552" i="55" s="1"/>
  <c r="C1551" i="55"/>
  <c r="B1551" i="55"/>
  <c r="D1551" i="55" s="1"/>
  <c r="C1550" i="55"/>
  <c r="B1550" i="55"/>
  <c r="D1550" i="55" s="1"/>
  <c r="C1549" i="55"/>
  <c r="B1549" i="55"/>
  <c r="D1549" i="55" s="1"/>
  <c r="C1548" i="55"/>
  <c r="B1548" i="55"/>
  <c r="D1548" i="55" s="1"/>
  <c r="C1547" i="55"/>
  <c r="B1547" i="55"/>
  <c r="D1547" i="55" s="1"/>
  <c r="C1546" i="55"/>
  <c r="B1546" i="55"/>
  <c r="D1546" i="55" s="1"/>
  <c r="C1545" i="55"/>
  <c r="B1545" i="55"/>
  <c r="D1545" i="55" s="1"/>
  <c r="C1544" i="55"/>
  <c r="B1544" i="55"/>
  <c r="D1544" i="55" s="1"/>
  <c r="C1543" i="55"/>
  <c r="B1543" i="55"/>
  <c r="D1543" i="55" s="1"/>
  <c r="C1542" i="55"/>
  <c r="B1542" i="55"/>
  <c r="D1542" i="55" s="1"/>
  <c r="C1541" i="55"/>
  <c r="B1541" i="55"/>
  <c r="D1541" i="55" s="1"/>
  <c r="C1540" i="55"/>
  <c r="B1540" i="55"/>
  <c r="D1540" i="55" s="1"/>
  <c r="C1539" i="55"/>
  <c r="B1539" i="55"/>
  <c r="D1539" i="55" s="1"/>
  <c r="C1538" i="55"/>
  <c r="B1538" i="55"/>
  <c r="D1538" i="55" s="1"/>
  <c r="C1537" i="55"/>
  <c r="B1537" i="55"/>
  <c r="D1537" i="55" s="1"/>
  <c r="C1536" i="55"/>
  <c r="B1536" i="55"/>
  <c r="D1536" i="55" s="1"/>
  <c r="C1535" i="55"/>
  <c r="B1535" i="55"/>
  <c r="D1535" i="55" s="1"/>
  <c r="C1534" i="55"/>
  <c r="B1534" i="55"/>
  <c r="D1534" i="55" s="1"/>
  <c r="C1533" i="55"/>
  <c r="B1533" i="55"/>
  <c r="D1533" i="55" s="1"/>
  <c r="C1532" i="55"/>
  <c r="B1532" i="55"/>
  <c r="D1532" i="55" s="1"/>
  <c r="C1531" i="55"/>
  <c r="B1531" i="55"/>
  <c r="D1531" i="55" s="1"/>
  <c r="C1530" i="55"/>
  <c r="B1530" i="55"/>
  <c r="D1530" i="55" s="1"/>
  <c r="C1529" i="55"/>
  <c r="B1529" i="55"/>
  <c r="D1529" i="55" s="1"/>
  <c r="C1528" i="55"/>
  <c r="B1528" i="55"/>
  <c r="D1528" i="55" s="1"/>
  <c r="C1527" i="55"/>
  <c r="B1527" i="55"/>
  <c r="D1527" i="55" s="1"/>
  <c r="C1526" i="55"/>
  <c r="B1526" i="55"/>
  <c r="D1526" i="55" s="1"/>
  <c r="C1525" i="55"/>
  <c r="B1525" i="55"/>
  <c r="D1525" i="55" s="1"/>
  <c r="C1524" i="55"/>
  <c r="B1524" i="55"/>
  <c r="D1524" i="55" s="1"/>
  <c r="C1523" i="55"/>
  <c r="B1523" i="55"/>
  <c r="D1523" i="55" s="1"/>
  <c r="C1522" i="55"/>
  <c r="B1522" i="55"/>
  <c r="D1522" i="55" s="1"/>
  <c r="C1521" i="55"/>
  <c r="B1521" i="55"/>
  <c r="D1521" i="55" s="1"/>
  <c r="C1520" i="55"/>
  <c r="B1520" i="55"/>
  <c r="D1520" i="55" s="1"/>
  <c r="C1519" i="55"/>
  <c r="B1519" i="55"/>
  <c r="D1519" i="55" s="1"/>
  <c r="C1518" i="55"/>
  <c r="B1518" i="55"/>
  <c r="D1518" i="55" s="1"/>
  <c r="C1517" i="55"/>
  <c r="B1517" i="55"/>
  <c r="D1517" i="55" s="1"/>
  <c r="C1516" i="55"/>
  <c r="B1516" i="55"/>
  <c r="D1516" i="55" s="1"/>
  <c r="C1515" i="55"/>
  <c r="B1515" i="55"/>
  <c r="D1515" i="55" s="1"/>
  <c r="C1514" i="55"/>
  <c r="B1514" i="55"/>
  <c r="D1514" i="55" s="1"/>
  <c r="C1513" i="55"/>
  <c r="B1513" i="55"/>
  <c r="D1513" i="55" s="1"/>
  <c r="C1512" i="55"/>
  <c r="B1512" i="55"/>
  <c r="D1512" i="55" s="1"/>
  <c r="C1511" i="55"/>
  <c r="B1511" i="55"/>
  <c r="D1511" i="55" s="1"/>
  <c r="C1510" i="55"/>
  <c r="B1510" i="55"/>
  <c r="D1510" i="55" s="1"/>
  <c r="C1509" i="55"/>
  <c r="B1509" i="55"/>
  <c r="D1509" i="55" s="1"/>
  <c r="C1508" i="55"/>
  <c r="B1508" i="55"/>
  <c r="D1508" i="55" s="1"/>
  <c r="C1507" i="55"/>
  <c r="B1507" i="55"/>
  <c r="D1507" i="55" s="1"/>
  <c r="C1506" i="55"/>
  <c r="B1506" i="55"/>
  <c r="D1506" i="55" s="1"/>
  <c r="C1505" i="55"/>
  <c r="B1505" i="55"/>
  <c r="D1505" i="55" s="1"/>
  <c r="C1504" i="55"/>
  <c r="B1504" i="55"/>
  <c r="D1504" i="55" s="1"/>
  <c r="C1503" i="55"/>
  <c r="B1503" i="55"/>
  <c r="D1503" i="55" s="1"/>
  <c r="C1502" i="55"/>
  <c r="B1502" i="55"/>
  <c r="D1502" i="55" s="1"/>
  <c r="C1501" i="55"/>
  <c r="B1501" i="55"/>
  <c r="D1501" i="55" s="1"/>
  <c r="C1500" i="55"/>
  <c r="B1500" i="55"/>
  <c r="D1500" i="55" s="1"/>
  <c r="C1499" i="55"/>
  <c r="B1499" i="55"/>
  <c r="D1499" i="55" s="1"/>
  <c r="C1498" i="55"/>
  <c r="B1498" i="55"/>
  <c r="D1498" i="55" s="1"/>
  <c r="C1497" i="55"/>
  <c r="B1497" i="55"/>
  <c r="D1497" i="55" s="1"/>
  <c r="C1496" i="55"/>
  <c r="B1496" i="55"/>
  <c r="D1496" i="55" s="1"/>
  <c r="C1495" i="55"/>
  <c r="B1495" i="55"/>
  <c r="D1495" i="55" s="1"/>
  <c r="C1494" i="55"/>
  <c r="B1494" i="55"/>
  <c r="D1494" i="55" s="1"/>
  <c r="C1493" i="55"/>
  <c r="B1493" i="55"/>
  <c r="D1493" i="55" s="1"/>
  <c r="C1492" i="55"/>
  <c r="B1492" i="55"/>
  <c r="D1492" i="55" s="1"/>
  <c r="C1491" i="55"/>
  <c r="B1491" i="55"/>
  <c r="D1491" i="55" s="1"/>
  <c r="C1490" i="55"/>
  <c r="B1490" i="55"/>
  <c r="D1490" i="55" s="1"/>
  <c r="C1489" i="55"/>
  <c r="B1489" i="55"/>
  <c r="D1489" i="55" s="1"/>
  <c r="C1488" i="55"/>
  <c r="B1488" i="55"/>
  <c r="D1488" i="55" s="1"/>
  <c r="C1487" i="55"/>
  <c r="B1487" i="55"/>
  <c r="D1487" i="55" s="1"/>
  <c r="C1486" i="55"/>
  <c r="B1486" i="55"/>
  <c r="D1486" i="55" s="1"/>
  <c r="C1485" i="55"/>
  <c r="B1485" i="55"/>
  <c r="D1485" i="55" s="1"/>
  <c r="C1484" i="55"/>
  <c r="B1484" i="55"/>
  <c r="D1484" i="55" s="1"/>
  <c r="C1483" i="55"/>
  <c r="B1483" i="55"/>
  <c r="D1483" i="55" s="1"/>
  <c r="C1482" i="55"/>
  <c r="B1482" i="55"/>
  <c r="D1482" i="55" s="1"/>
  <c r="C1481" i="55"/>
  <c r="B1481" i="55"/>
  <c r="D1481" i="55" s="1"/>
  <c r="C1480" i="55"/>
  <c r="B1480" i="55"/>
  <c r="D1480" i="55" s="1"/>
  <c r="C1479" i="55"/>
  <c r="B1479" i="55"/>
  <c r="D1479" i="55" s="1"/>
  <c r="C1478" i="55"/>
  <c r="B1478" i="55"/>
  <c r="D1478" i="55" s="1"/>
  <c r="C1477" i="55"/>
  <c r="B1477" i="55"/>
  <c r="D1477" i="55" s="1"/>
  <c r="C1476" i="55"/>
  <c r="B1476" i="55"/>
  <c r="D1476" i="55" s="1"/>
  <c r="C1475" i="55"/>
  <c r="B1475" i="55"/>
  <c r="D1475" i="55" s="1"/>
  <c r="C1474" i="55"/>
  <c r="B1474" i="55"/>
  <c r="D1474" i="55" s="1"/>
  <c r="C1473" i="55"/>
  <c r="B1473" i="55"/>
  <c r="D1473" i="55" s="1"/>
  <c r="C1472" i="55"/>
  <c r="B1472" i="55"/>
  <c r="D1472" i="55" s="1"/>
  <c r="C1471" i="55"/>
  <c r="B1471" i="55"/>
  <c r="D1471" i="55" s="1"/>
  <c r="C1470" i="55"/>
  <c r="B1470" i="55"/>
  <c r="D1470" i="55" s="1"/>
  <c r="C1469" i="55"/>
  <c r="B1469" i="55"/>
  <c r="D1469" i="55" s="1"/>
  <c r="C1468" i="55"/>
  <c r="B1468" i="55"/>
  <c r="D1468" i="55" s="1"/>
  <c r="C1467" i="55"/>
  <c r="B1467" i="55"/>
  <c r="D1467" i="55" s="1"/>
  <c r="C1466" i="55"/>
  <c r="B1466" i="55"/>
  <c r="D1466" i="55" s="1"/>
  <c r="C1465" i="55"/>
  <c r="B1465" i="55"/>
  <c r="D1465" i="55" s="1"/>
  <c r="C1464" i="55"/>
  <c r="B1464" i="55"/>
  <c r="D1464" i="55" s="1"/>
  <c r="C1463" i="55"/>
  <c r="B1463" i="55"/>
  <c r="D1463" i="55" s="1"/>
  <c r="C1462" i="55"/>
  <c r="B1462" i="55"/>
  <c r="D1462" i="55" s="1"/>
  <c r="C1461" i="55"/>
  <c r="B1461" i="55"/>
  <c r="D1461" i="55" s="1"/>
  <c r="C1460" i="55"/>
  <c r="B1460" i="55"/>
  <c r="D1460" i="55" s="1"/>
  <c r="C1459" i="55"/>
  <c r="B1459" i="55"/>
  <c r="D1459" i="55" s="1"/>
  <c r="C1458" i="55"/>
  <c r="B1458" i="55"/>
  <c r="D1458" i="55" s="1"/>
  <c r="C1457" i="55"/>
  <c r="B1457" i="55"/>
  <c r="D1457" i="55" s="1"/>
  <c r="C1456" i="55"/>
  <c r="B1456" i="55"/>
  <c r="D1456" i="55" s="1"/>
  <c r="C1455" i="55"/>
  <c r="B1455" i="55"/>
  <c r="D1455" i="55" s="1"/>
  <c r="C1454" i="55"/>
  <c r="B1454" i="55"/>
  <c r="D1454" i="55" s="1"/>
  <c r="C1453" i="55"/>
  <c r="B1453" i="55"/>
  <c r="D1453" i="55" s="1"/>
  <c r="C1452" i="55"/>
  <c r="B1452" i="55"/>
  <c r="D1452" i="55" s="1"/>
  <c r="C1451" i="55"/>
  <c r="B1451" i="55"/>
  <c r="D1451" i="55" s="1"/>
  <c r="C1450" i="55"/>
  <c r="B1450" i="55"/>
  <c r="D1450" i="55" s="1"/>
  <c r="C1449" i="55"/>
  <c r="B1449" i="55"/>
  <c r="D1449" i="55" s="1"/>
  <c r="C1448" i="55"/>
  <c r="B1448" i="55"/>
  <c r="D1448" i="55" s="1"/>
  <c r="C1447" i="55"/>
  <c r="B1447" i="55"/>
  <c r="D1447" i="55" s="1"/>
  <c r="C1446" i="55"/>
  <c r="B1446" i="55"/>
  <c r="D1446" i="55" s="1"/>
  <c r="C1445" i="55"/>
  <c r="B1445" i="55"/>
  <c r="D1445" i="55" s="1"/>
  <c r="C1444" i="55"/>
  <c r="B1444" i="55"/>
  <c r="D1444" i="55" s="1"/>
  <c r="C1443" i="55"/>
  <c r="B1443" i="55"/>
  <c r="D1443" i="55" s="1"/>
  <c r="C1442" i="55"/>
  <c r="B1442" i="55"/>
  <c r="D1442" i="55" s="1"/>
  <c r="C1441" i="55"/>
  <c r="B1441" i="55"/>
  <c r="D1441" i="55" s="1"/>
  <c r="C1440" i="55"/>
  <c r="B1440" i="55"/>
  <c r="D1440" i="55" s="1"/>
  <c r="C1439" i="55"/>
  <c r="B1439" i="55"/>
  <c r="D1439" i="55" s="1"/>
  <c r="C1438" i="55"/>
  <c r="B1438" i="55"/>
  <c r="D1438" i="55" s="1"/>
  <c r="C1437" i="55"/>
  <c r="B1437" i="55"/>
  <c r="D1437" i="55" s="1"/>
  <c r="C1436" i="55"/>
  <c r="B1436" i="55"/>
  <c r="D1436" i="55" s="1"/>
  <c r="C1435" i="55"/>
  <c r="B1435" i="55"/>
  <c r="D1435" i="55" s="1"/>
  <c r="C1434" i="55"/>
  <c r="B1434" i="55"/>
  <c r="D1434" i="55" s="1"/>
  <c r="C1433" i="55"/>
  <c r="B1433" i="55"/>
  <c r="D1433" i="55" s="1"/>
  <c r="C1432" i="55"/>
  <c r="B1432" i="55"/>
  <c r="D1432" i="55" s="1"/>
  <c r="C1431" i="55"/>
  <c r="B1431" i="55"/>
  <c r="D1431" i="55" s="1"/>
  <c r="C1430" i="55"/>
  <c r="B1430" i="55"/>
  <c r="D1430" i="55" s="1"/>
  <c r="C1429" i="55"/>
  <c r="B1429" i="55"/>
  <c r="D1429" i="55" s="1"/>
  <c r="C1428" i="55"/>
  <c r="B1428" i="55"/>
  <c r="D1428" i="55" s="1"/>
  <c r="C1427" i="55"/>
  <c r="B1427" i="55"/>
  <c r="D1427" i="55" s="1"/>
  <c r="C1426" i="55"/>
  <c r="B1426" i="55"/>
  <c r="D1426" i="55" s="1"/>
  <c r="C1425" i="55"/>
  <c r="B1425" i="55"/>
  <c r="D1425" i="55" s="1"/>
  <c r="C1424" i="55"/>
  <c r="B1424" i="55"/>
  <c r="D1424" i="55" s="1"/>
  <c r="C1423" i="55"/>
  <c r="B1423" i="55"/>
  <c r="D1423" i="55" s="1"/>
  <c r="C1422" i="55"/>
  <c r="B1422" i="55"/>
  <c r="D1422" i="55" s="1"/>
  <c r="C1421" i="55"/>
  <c r="B1421" i="55"/>
  <c r="D1421" i="55" s="1"/>
  <c r="C1420" i="55"/>
  <c r="B1420" i="55"/>
  <c r="D1420" i="55" s="1"/>
  <c r="C1419" i="55"/>
  <c r="B1419" i="55"/>
  <c r="D1419" i="55" s="1"/>
  <c r="C1418" i="55"/>
  <c r="B1418" i="55"/>
  <c r="D1418" i="55" s="1"/>
  <c r="C1417" i="55"/>
  <c r="B1417" i="55"/>
  <c r="D1417" i="55" s="1"/>
  <c r="C1416" i="55"/>
  <c r="B1416" i="55"/>
  <c r="D1416" i="55" s="1"/>
  <c r="C1415" i="55"/>
  <c r="B1415" i="55"/>
  <c r="D1415" i="55" s="1"/>
  <c r="C1414" i="55"/>
  <c r="B1414" i="55"/>
  <c r="D1414" i="55" s="1"/>
  <c r="C1413" i="55"/>
  <c r="B1413" i="55"/>
  <c r="D1413" i="55" s="1"/>
  <c r="C1412" i="55"/>
  <c r="B1412" i="55"/>
  <c r="D1412" i="55" s="1"/>
  <c r="C1411" i="55"/>
  <c r="B1411" i="55"/>
  <c r="D1411" i="55" s="1"/>
  <c r="C1410" i="55"/>
  <c r="B1410" i="55"/>
  <c r="D1410" i="55" s="1"/>
  <c r="C1409" i="55"/>
  <c r="B1409" i="55"/>
  <c r="D1409" i="55" s="1"/>
  <c r="C1408" i="55"/>
  <c r="B1408" i="55"/>
  <c r="D1408" i="55" s="1"/>
  <c r="C1407" i="55"/>
  <c r="B1407" i="55"/>
  <c r="D1407" i="55" s="1"/>
  <c r="C1406" i="55"/>
  <c r="B1406" i="55"/>
  <c r="D1406" i="55" s="1"/>
  <c r="C1405" i="55"/>
  <c r="B1405" i="55"/>
  <c r="D1405" i="55" s="1"/>
  <c r="C1404" i="55"/>
  <c r="B1404" i="55"/>
  <c r="D1404" i="55" s="1"/>
  <c r="C1403" i="55"/>
  <c r="B1403" i="55"/>
  <c r="D1403" i="55" s="1"/>
  <c r="C1402" i="55"/>
  <c r="B1402" i="55"/>
  <c r="D1402" i="55" s="1"/>
  <c r="C1401" i="55"/>
  <c r="B1401" i="55"/>
  <c r="D1401" i="55" s="1"/>
  <c r="C1400" i="55"/>
  <c r="B1400" i="55"/>
  <c r="D1400" i="55" s="1"/>
  <c r="C1399" i="55"/>
  <c r="B1399" i="55"/>
  <c r="D1399" i="55" s="1"/>
  <c r="C1398" i="55"/>
  <c r="B1398" i="55"/>
  <c r="D1398" i="55" s="1"/>
  <c r="C1397" i="55"/>
  <c r="B1397" i="55"/>
  <c r="D1397" i="55" s="1"/>
  <c r="C1396" i="55"/>
  <c r="B1396" i="55"/>
  <c r="D1396" i="55" s="1"/>
  <c r="C1395" i="55"/>
  <c r="B1395" i="55"/>
  <c r="D1395" i="55" s="1"/>
  <c r="C1394" i="55"/>
  <c r="B1394" i="55"/>
  <c r="D1394" i="55" s="1"/>
  <c r="C1393" i="55"/>
  <c r="B1393" i="55"/>
  <c r="D1393" i="55" s="1"/>
  <c r="C1392" i="55"/>
  <c r="B1392" i="55"/>
  <c r="D1392" i="55" s="1"/>
  <c r="C1391" i="55"/>
  <c r="B1391" i="55"/>
  <c r="D1391" i="55" s="1"/>
  <c r="C1390" i="55"/>
  <c r="B1390" i="55"/>
  <c r="D1390" i="55" s="1"/>
  <c r="C1389" i="55"/>
  <c r="B1389" i="55"/>
  <c r="D1389" i="55" s="1"/>
  <c r="C1388" i="55"/>
  <c r="B1388" i="55"/>
  <c r="D1388" i="55" s="1"/>
  <c r="C1387" i="55"/>
  <c r="B1387" i="55"/>
  <c r="D1387" i="55" s="1"/>
  <c r="C1386" i="55"/>
  <c r="B1386" i="55"/>
  <c r="D1386" i="55" s="1"/>
  <c r="C1385" i="55"/>
  <c r="B1385" i="55"/>
  <c r="D1385" i="55" s="1"/>
  <c r="C1384" i="55"/>
  <c r="B1384" i="55"/>
  <c r="D1384" i="55" s="1"/>
  <c r="C1383" i="55"/>
  <c r="B1383" i="55"/>
  <c r="D1383" i="55" s="1"/>
  <c r="C1382" i="55"/>
  <c r="B1382" i="55"/>
  <c r="D1382" i="55" s="1"/>
  <c r="C1381" i="55"/>
  <c r="B1381" i="55"/>
  <c r="D1381" i="55" s="1"/>
  <c r="C1380" i="55"/>
  <c r="B1380" i="55"/>
  <c r="D1380" i="55" s="1"/>
  <c r="C1379" i="55"/>
  <c r="B1379" i="55"/>
  <c r="D1379" i="55" s="1"/>
  <c r="C1378" i="55"/>
  <c r="B1378" i="55"/>
  <c r="D1378" i="55" s="1"/>
  <c r="C1377" i="55"/>
  <c r="B1377" i="55"/>
  <c r="D1377" i="55" s="1"/>
  <c r="C1376" i="55"/>
  <c r="B1376" i="55"/>
  <c r="D1376" i="55" s="1"/>
  <c r="C1375" i="55"/>
  <c r="B1375" i="55"/>
  <c r="D1375" i="55" s="1"/>
  <c r="C1374" i="55"/>
  <c r="B1374" i="55"/>
  <c r="D1374" i="55" s="1"/>
  <c r="C1373" i="55"/>
  <c r="B1373" i="55"/>
  <c r="D1373" i="55" s="1"/>
  <c r="C1372" i="55"/>
  <c r="B1372" i="55"/>
  <c r="D1372" i="55" s="1"/>
  <c r="C1371" i="55"/>
  <c r="B1371" i="55"/>
  <c r="D1371" i="55" s="1"/>
  <c r="C1370" i="55"/>
  <c r="B1370" i="55"/>
  <c r="D1370" i="55" s="1"/>
  <c r="C1369" i="55"/>
  <c r="B1369" i="55"/>
  <c r="D1369" i="55" s="1"/>
  <c r="C1368" i="55"/>
  <c r="B1368" i="55"/>
  <c r="D1368" i="55" s="1"/>
  <c r="C1367" i="55"/>
  <c r="B1367" i="55"/>
  <c r="D1367" i="55" s="1"/>
  <c r="C1366" i="55"/>
  <c r="B1366" i="55"/>
  <c r="D1366" i="55" s="1"/>
  <c r="C1365" i="55"/>
  <c r="B1365" i="55"/>
  <c r="D1365" i="55" s="1"/>
  <c r="C1364" i="55"/>
  <c r="B1364" i="55"/>
  <c r="D1364" i="55" s="1"/>
  <c r="C1363" i="55"/>
  <c r="B1363" i="55"/>
  <c r="D1363" i="55" s="1"/>
  <c r="C1362" i="55"/>
  <c r="B1362" i="55"/>
  <c r="D1362" i="55" s="1"/>
  <c r="C1361" i="55"/>
  <c r="B1361" i="55"/>
  <c r="D1361" i="55" s="1"/>
  <c r="C1360" i="55"/>
  <c r="B1360" i="55"/>
  <c r="D1360" i="55" s="1"/>
  <c r="C1359" i="55"/>
  <c r="B1359" i="55"/>
  <c r="D1359" i="55" s="1"/>
  <c r="C1358" i="55"/>
  <c r="B1358" i="55"/>
  <c r="D1358" i="55" s="1"/>
  <c r="C1357" i="55"/>
  <c r="B1357" i="55"/>
  <c r="D1357" i="55" s="1"/>
  <c r="C1356" i="55"/>
  <c r="B1356" i="55"/>
  <c r="D1356" i="55" s="1"/>
  <c r="C1355" i="55"/>
  <c r="B1355" i="55"/>
  <c r="D1355" i="55" s="1"/>
  <c r="C1354" i="55"/>
  <c r="B1354" i="55"/>
  <c r="D1354" i="55" s="1"/>
  <c r="C1353" i="55"/>
  <c r="B1353" i="55"/>
  <c r="D1353" i="55" s="1"/>
  <c r="C1352" i="55"/>
  <c r="B1352" i="55"/>
  <c r="D1352" i="55" s="1"/>
  <c r="C1351" i="55"/>
  <c r="B1351" i="55"/>
  <c r="D1351" i="55" s="1"/>
  <c r="C1350" i="55"/>
  <c r="B1350" i="55"/>
  <c r="D1350" i="55" s="1"/>
  <c r="C1349" i="55"/>
  <c r="B1349" i="55"/>
  <c r="D1349" i="55" s="1"/>
  <c r="C1348" i="55"/>
  <c r="B1348" i="55"/>
  <c r="D1348" i="55" s="1"/>
  <c r="C1347" i="55"/>
  <c r="B1347" i="55"/>
  <c r="D1347" i="55" s="1"/>
  <c r="C1346" i="55"/>
  <c r="B1346" i="55"/>
  <c r="D1346" i="55" s="1"/>
  <c r="C1345" i="55"/>
  <c r="B1345" i="55"/>
  <c r="D1345" i="55" s="1"/>
  <c r="C1344" i="55"/>
  <c r="B1344" i="55"/>
  <c r="D1344" i="55" s="1"/>
  <c r="C1343" i="55"/>
  <c r="B1343" i="55"/>
  <c r="D1343" i="55" s="1"/>
  <c r="C1342" i="55"/>
  <c r="B1342" i="55"/>
  <c r="D1342" i="55" s="1"/>
  <c r="C1341" i="55"/>
  <c r="B1341" i="55"/>
  <c r="D1341" i="55" s="1"/>
  <c r="C1340" i="55"/>
  <c r="B1340" i="55"/>
  <c r="D1340" i="55" s="1"/>
  <c r="C1339" i="55"/>
  <c r="B1339" i="55"/>
  <c r="D1339" i="55" s="1"/>
  <c r="C1338" i="55"/>
  <c r="B1338" i="55"/>
  <c r="D1338" i="55" s="1"/>
  <c r="C1337" i="55"/>
  <c r="B1337" i="55"/>
  <c r="D1337" i="55" s="1"/>
  <c r="C1336" i="55"/>
  <c r="B1336" i="55"/>
  <c r="D1336" i="55" s="1"/>
  <c r="C1335" i="55"/>
  <c r="B1335" i="55"/>
  <c r="D1335" i="55" s="1"/>
  <c r="C1334" i="55"/>
  <c r="B1334" i="55"/>
  <c r="D1334" i="55" s="1"/>
  <c r="C1333" i="55"/>
  <c r="B1333" i="55"/>
  <c r="D1333" i="55" s="1"/>
  <c r="C1332" i="55"/>
  <c r="B1332" i="55"/>
  <c r="D1332" i="55" s="1"/>
  <c r="C1331" i="55"/>
  <c r="B1331" i="55"/>
  <c r="D1331" i="55" s="1"/>
  <c r="C1330" i="55"/>
  <c r="B1330" i="55"/>
  <c r="D1330" i="55" s="1"/>
  <c r="C1329" i="55"/>
  <c r="B1329" i="55"/>
  <c r="D1329" i="55" s="1"/>
  <c r="C1328" i="55"/>
  <c r="B1328" i="55"/>
  <c r="D1328" i="55" s="1"/>
  <c r="C1327" i="55"/>
  <c r="B1327" i="55"/>
  <c r="D1327" i="55" s="1"/>
  <c r="C1326" i="55"/>
  <c r="B1326" i="55"/>
  <c r="D1326" i="55" s="1"/>
  <c r="C1325" i="55"/>
  <c r="B1325" i="55"/>
  <c r="D1325" i="55" s="1"/>
  <c r="C1324" i="55"/>
  <c r="B1324" i="55"/>
  <c r="D1324" i="55" s="1"/>
  <c r="C1323" i="55"/>
  <c r="B1323" i="55"/>
  <c r="D1323" i="55" s="1"/>
  <c r="C1322" i="55"/>
  <c r="B1322" i="55"/>
  <c r="D1322" i="55" s="1"/>
  <c r="C1321" i="55"/>
  <c r="B1321" i="55"/>
  <c r="D1321" i="55" s="1"/>
  <c r="C1320" i="55"/>
  <c r="B1320" i="55"/>
  <c r="D1320" i="55" s="1"/>
  <c r="C1319" i="55"/>
  <c r="B1319" i="55"/>
  <c r="D1319" i="55" s="1"/>
  <c r="C1318" i="55"/>
  <c r="B1318" i="55"/>
  <c r="D1318" i="55" s="1"/>
  <c r="C1317" i="55"/>
  <c r="B1317" i="55"/>
  <c r="D1317" i="55" s="1"/>
  <c r="C1316" i="55"/>
  <c r="B1316" i="55"/>
  <c r="D1316" i="55" s="1"/>
  <c r="C1315" i="55"/>
  <c r="B1315" i="55"/>
  <c r="D1315" i="55" s="1"/>
  <c r="C1314" i="55"/>
  <c r="B1314" i="55"/>
  <c r="D1314" i="55" s="1"/>
  <c r="C1313" i="55"/>
  <c r="B1313" i="55"/>
  <c r="D1313" i="55" s="1"/>
  <c r="C1312" i="55"/>
  <c r="B1312" i="55"/>
  <c r="D1312" i="55" s="1"/>
  <c r="C1311" i="55"/>
  <c r="B1311" i="55"/>
  <c r="D1311" i="55" s="1"/>
  <c r="C1310" i="55"/>
  <c r="B1310" i="55"/>
  <c r="D1310" i="55" s="1"/>
  <c r="C1309" i="55"/>
  <c r="B1309" i="55"/>
  <c r="D1309" i="55" s="1"/>
  <c r="C1308" i="55"/>
  <c r="B1308" i="55"/>
  <c r="D1308" i="55" s="1"/>
  <c r="C1307" i="55"/>
  <c r="B1307" i="55"/>
  <c r="D1307" i="55" s="1"/>
  <c r="C1306" i="55"/>
  <c r="B1306" i="55"/>
  <c r="D1306" i="55" s="1"/>
  <c r="C1305" i="55"/>
  <c r="B1305" i="55"/>
  <c r="D1305" i="55" s="1"/>
  <c r="C1304" i="55"/>
  <c r="B1304" i="55"/>
  <c r="D1304" i="55" s="1"/>
  <c r="C1303" i="55"/>
  <c r="B1303" i="55"/>
  <c r="D1303" i="55" s="1"/>
  <c r="C1302" i="55"/>
  <c r="B1302" i="55"/>
  <c r="D1302" i="55" s="1"/>
  <c r="C1301" i="55"/>
  <c r="B1301" i="55"/>
  <c r="D1301" i="55" s="1"/>
  <c r="C1300" i="55"/>
  <c r="B1300" i="55"/>
  <c r="D1300" i="55" s="1"/>
  <c r="C1299" i="55"/>
  <c r="B1299" i="55"/>
  <c r="D1299" i="55" s="1"/>
  <c r="C1298" i="55"/>
  <c r="B1298" i="55"/>
  <c r="D1298" i="55" s="1"/>
  <c r="C1297" i="55"/>
  <c r="B1297" i="55"/>
  <c r="D1297" i="55" s="1"/>
  <c r="C1296" i="55"/>
  <c r="B1296" i="55"/>
  <c r="D1296" i="55" s="1"/>
  <c r="C1295" i="55"/>
  <c r="B1295" i="55"/>
  <c r="D1295" i="55" s="1"/>
  <c r="C1294" i="55"/>
  <c r="B1294" i="55"/>
  <c r="D1294" i="55" s="1"/>
  <c r="C1293" i="55"/>
  <c r="B1293" i="55"/>
  <c r="D1293" i="55" s="1"/>
  <c r="C1292" i="55"/>
  <c r="B1292" i="55"/>
  <c r="D1292" i="55" s="1"/>
  <c r="C1291" i="55"/>
  <c r="B1291" i="55"/>
  <c r="D1291" i="55" s="1"/>
  <c r="C1290" i="55"/>
  <c r="B1290" i="55"/>
  <c r="D1290" i="55" s="1"/>
  <c r="C1289" i="55"/>
  <c r="B1289" i="55"/>
  <c r="D1289" i="55" s="1"/>
  <c r="C1288" i="55"/>
  <c r="B1288" i="55"/>
  <c r="D1288" i="55" s="1"/>
  <c r="C1287" i="55"/>
  <c r="B1287" i="55"/>
  <c r="D1287" i="55" s="1"/>
  <c r="C1286" i="55"/>
  <c r="B1286" i="55"/>
  <c r="D1286" i="55" s="1"/>
  <c r="C1285" i="55"/>
  <c r="B1285" i="55"/>
  <c r="D1285" i="55" s="1"/>
  <c r="C1284" i="55"/>
  <c r="B1284" i="55"/>
  <c r="D1284" i="55" s="1"/>
  <c r="C1283" i="55"/>
  <c r="B1283" i="55"/>
  <c r="D1283" i="55" s="1"/>
  <c r="C1282" i="55"/>
  <c r="B1282" i="55"/>
  <c r="D1282" i="55" s="1"/>
  <c r="C1281" i="55"/>
  <c r="B1281" i="55"/>
  <c r="D1281" i="55" s="1"/>
  <c r="C1280" i="55"/>
  <c r="B1280" i="55"/>
  <c r="D1280" i="55" s="1"/>
  <c r="C1279" i="55"/>
  <c r="B1279" i="55"/>
  <c r="D1279" i="55" s="1"/>
  <c r="C1278" i="55"/>
  <c r="B1278" i="55"/>
  <c r="D1278" i="55" s="1"/>
  <c r="C1277" i="55"/>
  <c r="B1277" i="55"/>
  <c r="D1277" i="55" s="1"/>
  <c r="C1276" i="55"/>
  <c r="B1276" i="55"/>
  <c r="D1276" i="55" s="1"/>
  <c r="C1275" i="55"/>
  <c r="B1275" i="55"/>
  <c r="D1275" i="55" s="1"/>
  <c r="C1274" i="55"/>
  <c r="B1274" i="55"/>
  <c r="D1274" i="55" s="1"/>
  <c r="C1273" i="55"/>
  <c r="B1273" i="55"/>
  <c r="D1273" i="55" s="1"/>
  <c r="C1272" i="55"/>
  <c r="B1272" i="55"/>
  <c r="D1272" i="55" s="1"/>
  <c r="C1271" i="55"/>
  <c r="B1271" i="55"/>
  <c r="D1271" i="55" s="1"/>
  <c r="C1270" i="55"/>
  <c r="B1270" i="55"/>
  <c r="D1270" i="55" s="1"/>
  <c r="C1269" i="55"/>
  <c r="B1269" i="55"/>
  <c r="D1269" i="55" s="1"/>
  <c r="C1268" i="55"/>
  <c r="B1268" i="55"/>
  <c r="D1268" i="55" s="1"/>
  <c r="C1267" i="55"/>
  <c r="B1267" i="55"/>
  <c r="D1267" i="55" s="1"/>
  <c r="C1266" i="55"/>
  <c r="B1266" i="55"/>
  <c r="D1266" i="55" s="1"/>
  <c r="C1265" i="55"/>
  <c r="B1265" i="55"/>
  <c r="D1265" i="55" s="1"/>
  <c r="C1264" i="55"/>
  <c r="B1264" i="55"/>
  <c r="D1264" i="55" s="1"/>
  <c r="C1263" i="55"/>
  <c r="B1263" i="55"/>
  <c r="D1263" i="55" s="1"/>
  <c r="C1262" i="55"/>
  <c r="B1262" i="55"/>
  <c r="D1262" i="55" s="1"/>
  <c r="C1261" i="55"/>
  <c r="B1261" i="55"/>
  <c r="D1261" i="55" s="1"/>
  <c r="C1260" i="55"/>
  <c r="B1260" i="55"/>
  <c r="D1260" i="55" s="1"/>
  <c r="C1259" i="55"/>
  <c r="B1259" i="55"/>
  <c r="D1259" i="55" s="1"/>
  <c r="C1258" i="55"/>
  <c r="B1258" i="55"/>
  <c r="D1258" i="55" s="1"/>
  <c r="C1257" i="55"/>
  <c r="B1257" i="55"/>
  <c r="D1257" i="55" s="1"/>
  <c r="C1256" i="55"/>
  <c r="B1256" i="55"/>
  <c r="D1256" i="55" s="1"/>
  <c r="C1255" i="55"/>
  <c r="B1255" i="55"/>
  <c r="D1255" i="55" s="1"/>
  <c r="C1254" i="55"/>
  <c r="B1254" i="55"/>
  <c r="D1254" i="55" s="1"/>
  <c r="C1253" i="55"/>
  <c r="B1253" i="55"/>
  <c r="D1253" i="55" s="1"/>
  <c r="C1252" i="55"/>
  <c r="B1252" i="55"/>
  <c r="D1252" i="55" s="1"/>
  <c r="C1251" i="55"/>
  <c r="B1251" i="55"/>
  <c r="D1251" i="55" s="1"/>
  <c r="C1250" i="55"/>
  <c r="B1250" i="55"/>
  <c r="D1250" i="55" s="1"/>
  <c r="C1249" i="55"/>
  <c r="B1249" i="55"/>
  <c r="D1249" i="55" s="1"/>
  <c r="C1248" i="55"/>
  <c r="B1248" i="55"/>
  <c r="D1248" i="55" s="1"/>
  <c r="C1247" i="55"/>
  <c r="B1247" i="55"/>
  <c r="D1247" i="55" s="1"/>
  <c r="C1246" i="55"/>
  <c r="B1246" i="55"/>
  <c r="D1246" i="55" s="1"/>
  <c r="C1245" i="55"/>
  <c r="B1245" i="55"/>
  <c r="D1245" i="55" s="1"/>
  <c r="C1244" i="55"/>
  <c r="B1244" i="55"/>
  <c r="D1244" i="55" s="1"/>
  <c r="C1243" i="55"/>
  <c r="B1243" i="55"/>
  <c r="D1243" i="55" s="1"/>
  <c r="C1242" i="55"/>
  <c r="B1242" i="55"/>
  <c r="D1242" i="55" s="1"/>
  <c r="C1241" i="55"/>
  <c r="B1241" i="55"/>
  <c r="D1241" i="55" s="1"/>
  <c r="C1240" i="55"/>
  <c r="B1240" i="55"/>
  <c r="D1240" i="55" s="1"/>
  <c r="C1239" i="55"/>
  <c r="B1239" i="55"/>
  <c r="D1239" i="55" s="1"/>
  <c r="C1238" i="55"/>
  <c r="B1238" i="55"/>
  <c r="D1238" i="55" s="1"/>
  <c r="C1237" i="55"/>
  <c r="B1237" i="55"/>
  <c r="D1237" i="55" s="1"/>
  <c r="C1236" i="55"/>
  <c r="B1236" i="55"/>
  <c r="D1236" i="55" s="1"/>
  <c r="C1235" i="55"/>
  <c r="B1235" i="55"/>
  <c r="D1235" i="55" s="1"/>
  <c r="C1234" i="55"/>
  <c r="B1234" i="55"/>
  <c r="D1234" i="55" s="1"/>
  <c r="C1233" i="55"/>
  <c r="B1233" i="55"/>
  <c r="D1233" i="55" s="1"/>
  <c r="C1232" i="55"/>
  <c r="B1232" i="55"/>
  <c r="D1232" i="55" s="1"/>
  <c r="C1231" i="55"/>
  <c r="B1231" i="55"/>
  <c r="D1231" i="55" s="1"/>
  <c r="C1230" i="55"/>
  <c r="B1230" i="55"/>
  <c r="D1230" i="55" s="1"/>
  <c r="C1229" i="55"/>
  <c r="B1229" i="55"/>
  <c r="D1229" i="55" s="1"/>
  <c r="C1228" i="55"/>
  <c r="B1228" i="55"/>
  <c r="D1228" i="55" s="1"/>
  <c r="C1227" i="55"/>
  <c r="B1227" i="55"/>
  <c r="D1227" i="55" s="1"/>
  <c r="C1226" i="55"/>
  <c r="B1226" i="55"/>
  <c r="D1226" i="55" s="1"/>
  <c r="C1225" i="55"/>
  <c r="B1225" i="55"/>
  <c r="D1225" i="55" s="1"/>
  <c r="C1224" i="55"/>
  <c r="B1224" i="55"/>
  <c r="D1224" i="55" s="1"/>
  <c r="C1223" i="55"/>
  <c r="B1223" i="55"/>
  <c r="D1223" i="55" s="1"/>
  <c r="C1222" i="55"/>
  <c r="B1222" i="55"/>
  <c r="D1222" i="55" s="1"/>
  <c r="C1221" i="55"/>
  <c r="B1221" i="55"/>
  <c r="D1221" i="55" s="1"/>
  <c r="C1220" i="55"/>
  <c r="B1220" i="55"/>
  <c r="D1220" i="55" s="1"/>
  <c r="C1219" i="55"/>
  <c r="B1219" i="55"/>
  <c r="D1219" i="55" s="1"/>
  <c r="C1218" i="55"/>
  <c r="B1218" i="55"/>
  <c r="D1218" i="55" s="1"/>
  <c r="C1217" i="55"/>
  <c r="B1217" i="55"/>
  <c r="D1217" i="55" s="1"/>
  <c r="C1216" i="55"/>
  <c r="B1216" i="55"/>
  <c r="D1216" i="55" s="1"/>
  <c r="C1215" i="55"/>
  <c r="B1215" i="55"/>
  <c r="D1215" i="55" s="1"/>
  <c r="C1214" i="55"/>
  <c r="B1214" i="55"/>
  <c r="D1214" i="55" s="1"/>
  <c r="C1213" i="55"/>
  <c r="B1213" i="55"/>
  <c r="D1213" i="55" s="1"/>
  <c r="C1212" i="55"/>
  <c r="B1212" i="55"/>
  <c r="D1212" i="55" s="1"/>
  <c r="C1211" i="55"/>
  <c r="B1211" i="55"/>
  <c r="D1211" i="55" s="1"/>
  <c r="C1210" i="55"/>
  <c r="B1210" i="55"/>
  <c r="D1210" i="55" s="1"/>
  <c r="C1209" i="55"/>
  <c r="B1209" i="55"/>
  <c r="D1209" i="55" s="1"/>
  <c r="C1208" i="55"/>
  <c r="B1208" i="55"/>
  <c r="D1208" i="55" s="1"/>
  <c r="C1207" i="55"/>
  <c r="B1207" i="55"/>
  <c r="D1207" i="55" s="1"/>
  <c r="C1206" i="55"/>
  <c r="B1206" i="55"/>
  <c r="D1206" i="55" s="1"/>
  <c r="C1205" i="55"/>
  <c r="B1205" i="55"/>
  <c r="D1205" i="55" s="1"/>
  <c r="C1204" i="55"/>
  <c r="B1204" i="55"/>
  <c r="D1204" i="55" s="1"/>
  <c r="C1203" i="55"/>
  <c r="B1203" i="55"/>
  <c r="D1203" i="55" s="1"/>
  <c r="C1202" i="55"/>
  <c r="B1202" i="55"/>
  <c r="D1202" i="55" s="1"/>
  <c r="C1201" i="55"/>
  <c r="B1201" i="55"/>
  <c r="D1201" i="55" s="1"/>
  <c r="C1200" i="55"/>
  <c r="B1200" i="55"/>
  <c r="D1200" i="55" s="1"/>
  <c r="C1199" i="55"/>
  <c r="B1199" i="55"/>
  <c r="D1199" i="55" s="1"/>
  <c r="C1198" i="55"/>
  <c r="B1198" i="55"/>
  <c r="D1198" i="55" s="1"/>
  <c r="C1197" i="55"/>
  <c r="B1197" i="55"/>
  <c r="D1197" i="55" s="1"/>
  <c r="C1196" i="55"/>
  <c r="B1196" i="55"/>
  <c r="D1196" i="55" s="1"/>
  <c r="C1195" i="55"/>
  <c r="B1195" i="55"/>
  <c r="D1195" i="55" s="1"/>
  <c r="C1194" i="55"/>
  <c r="B1194" i="55"/>
  <c r="D1194" i="55" s="1"/>
  <c r="C1193" i="55"/>
  <c r="B1193" i="55"/>
  <c r="D1193" i="55" s="1"/>
  <c r="C1192" i="55"/>
  <c r="B1192" i="55"/>
  <c r="D1192" i="55" s="1"/>
  <c r="C1191" i="55"/>
  <c r="B1191" i="55"/>
  <c r="D1191" i="55" s="1"/>
  <c r="C1190" i="55"/>
  <c r="B1190" i="55"/>
  <c r="D1190" i="55" s="1"/>
  <c r="C1189" i="55"/>
  <c r="B1189" i="55"/>
  <c r="D1189" i="55" s="1"/>
  <c r="C1188" i="55"/>
  <c r="B1188" i="55"/>
  <c r="D1188" i="55" s="1"/>
  <c r="C1187" i="55"/>
  <c r="B1187" i="55"/>
  <c r="D1187" i="55" s="1"/>
  <c r="C1186" i="55"/>
  <c r="B1186" i="55"/>
  <c r="D1186" i="55" s="1"/>
  <c r="C1185" i="55"/>
  <c r="B1185" i="55"/>
  <c r="D1185" i="55" s="1"/>
  <c r="C1184" i="55"/>
  <c r="B1184" i="55"/>
  <c r="D1184" i="55" s="1"/>
  <c r="C1183" i="55"/>
  <c r="B1183" i="55"/>
  <c r="D1183" i="55" s="1"/>
  <c r="C1182" i="55"/>
  <c r="B1182" i="55"/>
  <c r="D1182" i="55" s="1"/>
  <c r="C1181" i="55"/>
  <c r="B1181" i="55"/>
  <c r="D1181" i="55" s="1"/>
  <c r="C1180" i="55"/>
  <c r="B1180" i="55"/>
  <c r="D1180" i="55" s="1"/>
  <c r="C1179" i="55"/>
  <c r="B1179" i="55"/>
  <c r="D1179" i="55" s="1"/>
  <c r="C1178" i="55"/>
  <c r="B1178" i="55"/>
  <c r="D1178" i="55" s="1"/>
  <c r="C1177" i="55"/>
  <c r="B1177" i="55"/>
  <c r="D1177" i="55" s="1"/>
  <c r="C1176" i="55"/>
  <c r="B1176" i="55"/>
  <c r="D1176" i="55" s="1"/>
  <c r="C1175" i="55"/>
  <c r="B1175" i="55"/>
  <c r="D1175" i="55" s="1"/>
  <c r="C1174" i="55"/>
  <c r="B1174" i="55"/>
  <c r="D1174" i="55" s="1"/>
  <c r="C1173" i="55"/>
  <c r="B1173" i="55"/>
  <c r="D1173" i="55" s="1"/>
  <c r="C1172" i="55"/>
  <c r="B1172" i="55"/>
  <c r="D1172" i="55" s="1"/>
  <c r="C1171" i="55"/>
  <c r="B1171" i="55"/>
  <c r="D1171" i="55" s="1"/>
  <c r="C1170" i="55"/>
  <c r="B1170" i="55"/>
  <c r="D1170" i="55" s="1"/>
  <c r="C1169" i="55"/>
  <c r="B1169" i="55"/>
  <c r="D1169" i="55" s="1"/>
  <c r="C1168" i="55"/>
  <c r="B1168" i="55"/>
  <c r="D1168" i="55" s="1"/>
  <c r="C1167" i="55"/>
  <c r="B1167" i="55"/>
  <c r="D1167" i="55" s="1"/>
  <c r="C1166" i="55"/>
  <c r="B1166" i="55"/>
  <c r="D1166" i="55" s="1"/>
  <c r="C1165" i="55"/>
  <c r="B1165" i="55"/>
  <c r="D1165" i="55" s="1"/>
  <c r="C1164" i="55"/>
  <c r="B1164" i="55"/>
  <c r="D1164" i="55" s="1"/>
  <c r="C1163" i="55"/>
  <c r="B1163" i="55"/>
  <c r="D1163" i="55" s="1"/>
  <c r="C1162" i="55"/>
  <c r="B1162" i="55"/>
  <c r="D1162" i="55" s="1"/>
  <c r="C1161" i="55"/>
  <c r="B1161" i="55"/>
  <c r="D1161" i="55" s="1"/>
  <c r="C1160" i="55"/>
  <c r="B1160" i="55"/>
  <c r="D1160" i="55" s="1"/>
  <c r="C1159" i="55"/>
  <c r="B1159" i="55"/>
  <c r="D1159" i="55" s="1"/>
  <c r="C1158" i="55"/>
  <c r="B1158" i="55"/>
  <c r="D1158" i="55" s="1"/>
  <c r="C1157" i="55"/>
  <c r="B1157" i="55"/>
  <c r="D1157" i="55" s="1"/>
  <c r="C1156" i="55"/>
  <c r="B1156" i="55"/>
  <c r="D1156" i="55" s="1"/>
  <c r="C1155" i="55"/>
  <c r="B1155" i="55"/>
  <c r="D1155" i="55" s="1"/>
  <c r="C1154" i="55"/>
  <c r="B1154" i="55"/>
  <c r="D1154" i="55" s="1"/>
  <c r="C1153" i="55"/>
  <c r="B1153" i="55"/>
  <c r="D1153" i="55" s="1"/>
  <c r="C1152" i="55"/>
  <c r="B1152" i="55"/>
  <c r="D1152" i="55" s="1"/>
  <c r="C1151" i="55"/>
  <c r="B1151" i="55"/>
  <c r="D1151" i="55" s="1"/>
  <c r="C1150" i="55"/>
  <c r="B1150" i="55"/>
  <c r="D1150" i="55" s="1"/>
  <c r="C1149" i="55"/>
  <c r="B1149" i="55"/>
  <c r="D1149" i="55" s="1"/>
  <c r="C1148" i="55"/>
  <c r="B1148" i="55"/>
  <c r="D1148" i="55" s="1"/>
  <c r="C1147" i="55"/>
  <c r="B1147" i="55"/>
  <c r="D1147" i="55" s="1"/>
  <c r="C1146" i="55"/>
  <c r="B1146" i="55"/>
  <c r="D1146" i="55" s="1"/>
  <c r="C1145" i="55"/>
  <c r="B1145" i="55"/>
  <c r="D1145" i="55" s="1"/>
  <c r="C1144" i="55"/>
  <c r="B1144" i="55"/>
  <c r="D1144" i="55" s="1"/>
  <c r="C1143" i="55"/>
  <c r="B1143" i="55"/>
  <c r="D1143" i="55" s="1"/>
  <c r="C1142" i="55"/>
  <c r="B1142" i="55"/>
  <c r="D1142" i="55" s="1"/>
  <c r="C1141" i="55"/>
  <c r="B1141" i="55"/>
  <c r="D1141" i="55" s="1"/>
  <c r="C1140" i="55"/>
  <c r="B1140" i="55"/>
  <c r="D1140" i="55" s="1"/>
  <c r="C1139" i="55"/>
  <c r="B1139" i="55"/>
  <c r="D1139" i="55" s="1"/>
  <c r="C1138" i="55"/>
  <c r="B1138" i="55"/>
  <c r="D1138" i="55" s="1"/>
  <c r="C1137" i="55"/>
  <c r="B1137" i="55"/>
  <c r="D1137" i="55" s="1"/>
  <c r="C1136" i="55"/>
  <c r="B1136" i="55"/>
  <c r="D1136" i="55" s="1"/>
  <c r="C1135" i="55"/>
  <c r="B1135" i="55"/>
  <c r="D1135" i="55" s="1"/>
  <c r="C1134" i="55"/>
  <c r="B1134" i="55"/>
  <c r="D1134" i="55" s="1"/>
  <c r="C1133" i="55"/>
  <c r="B1133" i="55"/>
  <c r="D1133" i="55" s="1"/>
  <c r="C1132" i="55"/>
  <c r="B1132" i="55"/>
  <c r="D1132" i="55" s="1"/>
  <c r="C1131" i="55"/>
  <c r="B1131" i="55"/>
  <c r="D1131" i="55" s="1"/>
  <c r="C1130" i="55"/>
  <c r="B1130" i="55"/>
  <c r="D1130" i="55" s="1"/>
  <c r="C1129" i="55"/>
  <c r="B1129" i="55"/>
  <c r="D1129" i="55" s="1"/>
  <c r="C1128" i="55"/>
  <c r="B1128" i="55"/>
  <c r="D1128" i="55" s="1"/>
  <c r="C1127" i="55"/>
  <c r="B1127" i="55"/>
  <c r="D1127" i="55" s="1"/>
  <c r="C1126" i="55"/>
  <c r="B1126" i="55"/>
  <c r="D1126" i="55" s="1"/>
  <c r="C1125" i="55"/>
  <c r="B1125" i="55"/>
  <c r="D1125" i="55" s="1"/>
  <c r="C1124" i="55"/>
  <c r="B1124" i="55"/>
  <c r="D1124" i="55" s="1"/>
  <c r="C1123" i="55"/>
  <c r="B1123" i="55"/>
  <c r="D1123" i="55" s="1"/>
  <c r="C1122" i="55"/>
  <c r="B1122" i="55"/>
  <c r="D1122" i="55" s="1"/>
  <c r="C1121" i="55"/>
  <c r="B1121" i="55"/>
  <c r="D1121" i="55" s="1"/>
  <c r="C1120" i="55"/>
  <c r="B1120" i="55"/>
  <c r="D1120" i="55" s="1"/>
  <c r="C1119" i="55"/>
  <c r="B1119" i="55"/>
  <c r="D1119" i="55" s="1"/>
  <c r="C1118" i="55"/>
  <c r="B1118" i="55"/>
  <c r="D1118" i="55" s="1"/>
  <c r="C1117" i="55"/>
  <c r="B1117" i="55"/>
  <c r="D1117" i="55" s="1"/>
  <c r="C1116" i="55"/>
  <c r="B1116" i="55"/>
  <c r="D1116" i="55" s="1"/>
  <c r="C1115" i="55"/>
  <c r="B1115" i="55"/>
  <c r="D1115" i="55" s="1"/>
  <c r="C1114" i="55"/>
  <c r="B1114" i="55"/>
  <c r="D1114" i="55" s="1"/>
  <c r="C1113" i="55"/>
  <c r="B1113" i="55"/>
  <c r="D1113" i="55" s="1"/>
  <c r="C1112" i="55"/>
  <c r="B1112" i="55"/>
  <c r="D1112" i="55" s="1"/>
  <c r="C1111" i="55"/>
  <c r="B1111" i="55"/>
  <c r="D1111" i="55" s="1"/>
  <c r="C1110" i="55"/>
  <c r="B1110" i="55"/>
  <c r="D1110" i="55" s="1"/>
  <c r="C1109" i="55"/>
  <c r="B1109" i="55"/>
  <c r="D1109" i="55" s="1"/>
  <c r="C1108" i="55"/>
  <c r="B1108" i="55"/>
  <c r="D1108" i="55" s="1"/>
  <c r="C1107" i="55"/>
  <c r="B1107" i="55"/>
  <c r="D1107" i="55" s="1"/>
  <c r="C1106" i="55"/>
  <c r="B1106" i="55"/>
  <c r="D1106" i="55" s="1"/>
  <c r="C1105" i="55"/>
  <c r="B1105" i="55"/>
  <c r="D1105" i="55" s="1"/>
  <c r="C1104" i="55"/>
  <c r="B1104" i="55"/>
  <c r="D1104" i="55" s="1"/>
  <c r="C1103" i="55"/>
  <c r="B1103" i="55"/>
  <c r="D1103" i="55" s="1"/>
  <c r="C1102" i="55"/>
  <c r="B1102" i="55"/>
  <c r="D1102" i="55" s="1"/>
  <c r="C1101" i="55"/>
  <c r="B1101" i="55"/>
  <c r="D1101" i="55" s="1"/>
  <c r="C1100" i="55"/>
  <c r="B1100" i="55"/>
  <c r="D1100" i="55" s="1"/>
  <c r="C1099" i="55"/>
  <c r="B1099" i="55"/>
  <c r="D1099" i="55" s="1"/>
  <c r="C1098" i="55"/>
  <c r="B1098" i="55"/>
  <c r="D1098" i="55" s="1"/>
  <c r="C1097" i="55"/>
  <c r="B1097" i="55"/>
  <c r="D1097" i="55" s="1"/>
  <c r="C1096" i="55"/>
  <c r="B1096" i="55"/>
  <c r="D1096" i="55" s="1"/>
  <c r="C1095" i="55"/>
  <c r="B1095" i="55"/>
  <c r="D1095" i="55" s="1"/>
  <c r="C1094" i="55"/>
  <c r="B1094" i="55"/>
  <c r="D1094" i="55" s="1"/>
  <c r="C1093" i="55"/>
  <c r="B1093" i="55"/>
  <c r="D1093" i="55" s="1"/>
  <c r="C1092" i="55"/>
  <c r="B1092" i="55"/>
  <c r="D1092" i="55" s="1"/>
  <c r="C1091" i="55"/>
  <c r="B1091" i="55"/>
  <c r="D1091" i="55" s="1"/>
  <c r="C1090" i="55"/>
  <c r="B1090" i="55"/>
  <c r="D1090" i="55" s="1"/>
  <c r="C1089" i="55"/>
  <c r="B1089" i="55"/>
  <c r="D1089" i="55" s="1"/>
  <c r="C1088" i="55"/>
  <c r="B1088" i="55"/>
  <c r="D1088" i="55" s="1"/>
  <c r="C1087" i="55"/>
  <c r="B1087" i="55"/>
  <c r="D1087" i="55" s="1"/>
  <c r="C1086" i="55"/>
  <c r="B1086" i="55"/>
  <c r="D1086" i="55" s="1"/>
  <c r="C1085" i="55"/>
  <c r="B1085" i="55"/>
  <c r="D1085" i="55" s="1"/>
  <c r="C1084" i="55"/>
  <c r="B1084" i="55"/>
  <c r="D1084" i="55" s="1"/>
  <c r="C1083" i="55"/>
  <c r="B1083" i="55"/>
  <c r="D1083" i="55" s="1"/>
  <c r="C1082" i="55"/>
  <c r="B1082" i="55"/>
  <c r="D1082" i="55" s="1"/>
  <c r="C1081" i="55"/>
  <c r="B1081" i="55"/>
  <c r="D1081" i="55" s="1"/>
  <c r="C1080" i="55"/>
  <c r="B1080" i="55"/>
  <c r="D1080" i="55" s="1"/>
  <c r="C1079" i="55"/>
  <c r="B1079" i="55"/>
  <c r="D1079" i="55" s="1"/>
  <c r="C1078" i="55"/>
  <c r="B1078" i="55"/>
  <c r="D1078" i="55" s="1"/>
  <c r="C1077" i="55"/>
  <c r="B1077" i="55"/>
  <c r="D1077" i="55" s="1"/>
  <c r="C1076" i="55"/>
  <c r="B1076" i="55"/>
  <c r="D1076" i="55" s="1"/>
  <c r="C1075" i="55"/>
  <c r="B1075" i="55"/>
  <c r="D1075" i="55" s="1"/>
  <c r="C1074" i="55"/>
  <c r="B1074" i="55"/>
  <c r="D1074" i="55" s="1"/>
  <c r="C1073" i="55"/>
  <c r="B1073" i="55"/>
  <c r="D1073" i="55" s="1"/>
  <c r="C1072" i="55"/>
  <c r="B1072" i="55"/>
  <c r="D1072" i="55" s="1"/>
  <c r="C1071" i="55"/>
  <c r="B1071" i="55"/>
  <c r="D1071" i="55" s="1"/>
  <c r="C1070" i="55"/>
  <c r="B1070" i="55"/>
  <c r="D1070" i="55" s="1"/>
  <c r="C1069" i="55"/>
  <c r="B1069" i="55"/>
  <c r="D1069" i="55" s="1"/>
  <c r="C1068" i="55"/>
  <c r="B1068" i="55"/>
  <c r="D1068" i="55" s="1"/>
  <c r="C1067" i="55"/>
  <c r="B1067" i="55"/>
  <c r="D1067" i="55" s="1"/>
  <c r="C1066" i="55"/>
  <c r="B1066" i="55"/>
  <c r="D1066" i="55" s="1"/>
  <c r="C1065" i="55"/>
  <c r="B1065" i="55"/>
  <c r="D1065" i="55" s="1"/>
  <c r="C1064" i="55"/>
  <c r="B1064" i="55"/>
  <c r="D1064" i="55" s="1"/>
  <c r="C1063" i="55"/>
  <c r="B1063" i="55"/>
  <c r="D1063" i="55" s="1"/>
  <c r="C1062" i="55"/>
  <c r="B1062" i="55"/>
  <c r="D1062" i="55" s="1"/>
  <c r="C1061" i="55"/>
  <c r="B1061" i="55"/>
  <c r="D1061" i="55" s="1"/>
  <c r="C1060" i="55"/>
  <c r="B1060" i="55"/>
  <c r="D1060" i="55" s="1"/>
  <c r="C1059" i="55"/>
  <c r="B1059" i="55"/>
  <c r="D1059" i="55" s="1"/>
  <c r="C1058" i="55"/>
  <c r="B1058" i="55"/>
  <c r="D1058" i="55" s="1"/>
  <c r="C1057" i="55"/>
  <c r="B1057" i="55"/>
  <c r="D1057" i="55" s="1"/>
  <c r="C1056" i="55"/>
  <c r="B1056" i="55"/>
  <c r="D1056" i="55" s="1"/>
  <c r="C1055" i="55"/>
  <c r="B1055" i="55"/>
  <c r="D1055" i="55" s="1"/>
  <c r="C1054" i="55"/>
  <c r="B1054" i="55"/>
  <c r="D1054" i="55" s="1"/>
  <c r="C1053" i="55"/>
  <c r="B1053" i="55"/>
  <c r="D1053" i="55" s="1"/>
  <c r="C1052" i="55"/>
  <c r="B1052" i="55"/>
  <c r="D1052" i="55" s="1"/>
  <c r="C1051" i="55"/>
  <c r="B1051" i="55"/>
  <c r="D1051" i="55" s="1"/>
  <c r="C1050" i="55"/>
  <c r="B1050" i="55"/>
  <c r="D1050" i="55" s="1"/>
  <c r="C1049" i="55"/>
  <c r="B1049" i="55"/>
  <c r="D1049" i="55" s="1"/>
  <c r="C1048" i="55"/>
  <c r="B1048" i="55"/>
  <c r="D1048" i="55" s="1"/>
  <c r="C1047" i="55"/>
  <c r="B1047" i="55"/>
  <c r="D1047" i="55" s="1"/>
  <c r="C1046" i="55"/>
  <c r="B1046" i="55"/>
  <c r="D1046" i="55" s="1"/>
  <c r="C1045" i="55"/>
  <c r="B1045" i="55"/>
  <c r="D1045" i="55" s="1"/>
  <c r="C1044" i="55"/>
  <c r="B1044" i="55"/>
  <c r="D1044" i="55" s="1"/>
  <c r="C1043" i="55"/>
  <c r="B1043" i="55"/>
  <c r="D1043" i="55" s="1"/>
  <c r="C1042" i="55"/>
  <c r="B1042" i="55"/>
  <c r="D1042" i="55" s="1"/>
  <c r="C1041" i="55"/>
  <c r="B1041" i="55"/>
  <c r="D1041" i="55" s="1"/>
  <c r="C1040" i="55"/>
  <c r="B1040" i="55"/>
  <c r="D1040" i="55" s="1"/>
  <c r="C1039" i="55"/>
  <c r="B1039" i="55"/>
  <c r="D1039" i="55" s="1"/>
  <c r="C1038" i="55"/>
  <c r="B1038" i="55"/>
  <c r="D1038" i="55" s="1"/>
  <c r="C1037" i="55"/>
  <c r="B1037" i="55"/>
  <c r="D1037" i="55" s="1"/>
  <c r="C1036" i="55"/>
  <c r="B1036" i="55"/>
  <c r="D1036" i="55" s="1"/>
  <c r="C1035" i="55"/>
  <c r="B1035" i="55"/>
  <c r="D1035" i="55" s="1"/>
  <c r="C1034" i="55"/>
  <c r="B1034" i="55"/>
  <c r="D1034" i="55" s="1"/>
  <c r="C1033" i="55"/>
  <c r="B1033" i="55"/>
  <c r="D1033" i="55" s="1"/>
  <c r="C1032" i="55"/>
  <c r="B1032" i="55"/>
  <c r="D1032" i="55" s="1"/>
  <c r="C1031" i="55"/>
  <c r="B1031" i="55"/>
  <c r="D1031" i="55" s="1"/>
  <c r="C1030" i="55"/>
  <c r="B1030" i="55"/>
  <c r="D1030" i="55" s="1"/>
  <c r="C1029" i="55"/>
  <c r="B1029" i="55"/>
  <c r="D1029" i="55" s="1"/>
  <c r="C1028" i="55"/>
  <c r="B1028" i="55"/>
  <c r="D1028" i="55" s="1"/>
  <c r="C1027" i="55"/>
  <c r="B1027" i="55"/>
  <c r="D1027" i="55" s="1"/>
  <c r="C1026" i="55"/>
  <c r="B1026" i="55"/>
  <c r="D1026" i="55" s="1"/>
  <c r="C1025" i="55"/>
  <c r="B1025" i="55"/>
  <c r="D1025" i="55" s="1"/>
  <c r="C1024" i="55"/>
  <c r="B1024" i="55"/>
  <c r="D1024" i="55" s="1"/>
  <c r="C1023" i="55"/>
  <c r="B1023" i="55"/>
  <c r="D1023" i="55" s="1"/>
  <c r="C1022" i="55"/>
  <c r="B1022" i="55"/>
  <c r="D1022" i="55" s="1"/>
  <c r="C1021" i="55"/>
  <c r="B1021" i="55"/>
  <c r="D1021" i="55" s="1"/>
  <c r="C1020" i="55"/>
  <c r="B1020" i="55"/>
  <c r="D1020" i="55" s="1"/>
  <c r="C1019" i="55"/>
  <c r="B1019" i="55"/>
  <c r="D1019" i="55" s="1"/>
  <c r="C1018" i="55"/>
  <c r="B1018" i="55"/>
  <c r="D1018" i="55" s="1"/>
  <c r="C1017" i="55"/>
  <c r="B1017" i="55"/>
  <c r="D1017" i="55" s="1"/>
  <c r="C1016" i="55"/>
  <c r="B1016" i="55"/>
  <c r="D1016" i="55" s="1"/>
  <c r="C1015" i="55"/>
  <c r="B1015" i="55"/>
  <c r="D1015" i="55" s="1"/>
  <c r="C1014" i="55"/>
  <c r="B1014" i="55"/>
  <c r="D1014" i="55" s="1"/>
  <c r="C1013" i="55"/>
  <c r="B1013" i="55"/>
  <c r="D1013" i="55" s="1"/>
  <c r="C1012" i="55"/>
  <c r="B1012" i="55"/>
  <c r="D1012" i="55" s="1"/>
  <c r="C1011" i="55"/>
  <c r="B1011" i="55"/>
  <c r="D1011" i="55" s="1"/>
  <c r="C1010" i="55"/>
  <c r="B1010" i="55"/>
  <c r="D1010" i="55" s="1"/>
  <c r="C1009" i="55"/>
  <c r="B1009" i="55"/>
  <c r="D1009" i="55" s="1"/>
  <c r="C1008" i="55"/>
  <c r="B1008" i="55"/>
  <c r="D1008" i="55" s="1"/>
  <c r="C1007" i="55"/>
  <c r="B1007" i="55"/>
  <c r="D1007" i="55" s="1"/>
  <c r="C1006" i="55"/>
  <c r="B1006" i="55"/>
  <c r="D1006" i="55" s="1"/>
  <c r="C1005" i="55"/>
  <c r="B1005" i="55"/>
  <c r="D1005" i="55" s="1"/>
  <c r="C1004" i="55"/>
  <c r="B1004" i="55"/>
  <c r="D1004" i="55" s="1"/>
  <c r="C1003" i="55"/>
  <c r="B1003" i="55"/>
  <c r="D1003" i="55" s="1"/>
  <c r="C1002" i="55"/>
  <c r="B1002" i="55"/>
  <c r="D1002" i="55" s="1"/>
  <c r="C1001" i="55"/>
  <c r="B1001" i="55"/>
  <c r="D1001" i="55" s="1"/>
  <c r="C1000" i="55"/>
  <c r="B1000" i="55"/>
  <c r="D1000" i="55" s="1"/>
  <c r="C999" i="55"/>
  <c r="B999" i="55"/>
  <c r="D999" i="55" s="1"/>
  <c r="C998" i="55"/>
  <c r="B998" i="55"/>
  <c r="D998" i="55" s="1"/>
  <c r="C997" i="55"/>
  <c r="B997" i="55"/>
  <c r="D997" i="55" s="1"/>
  <c r="C996" i="55"/>
  <c r="B996" i="55"/>
  <c r="D996" i="55" s="1"/>
  <c r="C995" i="55"/>
  <c r="B995" i="55"/>
  <c r="D995" i="55" s="1"/>
  <c r="C994" i="55"/>
  <c r="B994" i="55"/>
  <c r="D994" i="55" s="1"/>
  <c r="C993" i="55"/>
  <c r="B993" i="55"/>
  <c r="D993" i="55" s="1"/>
  <c r="C992" i="55"/>
  <c r="B992" i="55"/>
  <c r="D992" i="55" s="1"/>
  <c r="C991" i="55"/>
  <c r="B991" i="55"/>
  <c r="D991" i="55" s="1"/>
  <c r="C990" i="55"/>
  <c r="B990" i="55"/>
  <c r="D990" i="55" s="1"/>
  <c r="C989" i="55"/>
  <c r="B989" i="55"/>
  <c r="D989" i="55" s="1"/>
  <c r="C988" i="55"/>
  <c r="B988" i="55"/>
  <c r="D988" i="55" s="1"/>
  <c r="C987" i="55"/>
  <c r="B987" i="55"/>
  <c r="D987" i="55" s="1"/>
  <c r="C986" i="55"/>
  <c r="B986" i="55"/>
  <c r="D986" i="55" s="1"/>
  <c r="C985" i="55"/>
  <c r="B985" i="55"/>
  <c r="D985" i="55" s="1"/>
  <c r="C984" i="55"/>
  <c r="B984" i="55"/>
  <c r="D984" i="55" s="1"/>
  <c r="C983" i="55"/>
  <c r="B983" i="55"/>
  <c r="D983" i="55" s="1"/>
  <c r="C982" i="55"/>
  <c r="B982" i="55"/>
  <c r="D982" i="55" s="1"/>
  <c r="C981" i="55"/>
  <c r="B981" i="55"/>
  <c r="D981" i="55" s="1"/>
  <c r="C980" i="55"/>
  <c r="B980" i="55"/>
  <c r="D980" i="55" s="1"/>
  <c r="C979" i="55"/>
  <c r="B979" i="55"/>
  <c r="D979" i="55" s="1"/>
  <c r="C978" i="55"/>
  <c r="B978" i="55"/>
  <c r="D978" i="55" s="1"/>
  <c r="C977" i="55"/>
  <c r="B977" i="55"/>
  <c r="D977" i="55" s="1"/>
  <c r="C976" i="55"/>
  <c r="B976" i="55"/>
  <c r="D976" i="55" s="1"/>
  <c r="C975" i="55"/>
  <c r="B975" i="55"/>
  <c r="D975" i="55" s="1"/>
  <c r="C974" i="55"/>
  <c r="B974" i="55"/>
  <c r="D974" i="55" s="1"/>
  <c r="C973" i="55"/>
  <c r="B973" i="55"/>
  <c r="D973" i="55" s="1"/>
  <c r="C972" i="55"/>
  <c r="B972" i="55"/>
  <c r="D972" i="55" s="1"/>
  <c r="C971" i="55"/>
  <c r="B971" i="55"/>
  <c r="D971" i="55" s="1"/>
  <c r="C970" i="55"/>
  <c r="B970" i="55"/>
  <c r="D970" i="55" s="1"/>
  <c r="C969" i="55"/>
  <c r="B969" i="55"/>
  <c r="D969" i="55" s="1"/>
  <c r="C968" i="55"/>
  <c r="B968" i="55"/>
  <c r="D968" i="55" s="1"/>
  <c r="C967" i="55"/>
  <c r="B967" i="55"/>
  <c r="D967" i="55" s="1"/>
  <c r="C966" i="55"/>
  <c r="B966" i="55"/>
  <c r="D966" i="55" s="1"/>
  <c r="C965" i="55"/>
  <c r="B965" i="55"/>
  <c r="D965" i="55" s="1"/>
  <c r="C964" i="55"/>
  <c r="B964" i="55"/>
  <c r="D964" i="55" s="1"/>
  <c r="C963" i="55"/>
  <c r="B963" i="55"/>
  <c r="D963" i="55" s="1"/>
  <c r="C962" i="55"/>
  <c r="B962" i="55"/>
  <c r="D962" i="55" s="1"/>
  <c r="C961" i="55"/>
  <c r="B961" i="55"/>
  <c r="D961" i="55" s="1"/>
  <c r="C960" i="55"/>
  <c r="B960" i="55"/>
  <c r="D960" i="55" s="1"/>
  <c r="C959" i="55"/>
  <c r="B959" i="55"/>
  <c r="D959" i="55" s="1"/>
  <c r="C958" i="55"/>
  <c r="B958" i="55"/>
  <c r="D958" i="55" s="1"/>
  <c r="C957" i="55"/>
  <c r="B957" i="55"/>
  <c r="D957" i="55" s="1"/>
  <c r="C956" i="55"/>
  <c r="B956" i="55"/>
  <c r="D956" i="55" s="1"/>
  <c r="C955" i="55"/>
  <c r="B955" i="55"/>
  <c r="D955" i="55" s="1"/>
  <c r="C954" i="55"/>
  <c r="B954" i="55"/>
  <c r="D954" i="55" s="1"/>
  <c r="C953" i="55"/>
  <c r="B953" i="55"/>
  <c r="D953" i="55" s="1"/>
  <c r="C952" i="55"/>
  <c r="B952" i="55"/>
  <c r="D952" i="55" s="1"/>
  <c r="C951" i="55"/>
  <c r="B951" i="55"/>
  <c r="D951" i="55" s="1"/>
  <c r="C950" i="55"/>
  <c r="B950" i="55"/>
  <c r="D950" i="55" s="1"/>
  <c r="C949" i="55"/>
  <c r="B949" i="55"/>
  <c r="D949" i="55" s="1"/>
  <c r="C948" i="55"/>
  <c r="B948" i="55"/>
  <c r="D948" i="55" s="1"/>
  <c r="C947" i="55"/>
  <c r="B947" i="55"/>
  <c r="D947" i="55" s="1"/>
  <c r="C946" i="55"/>
  <c r="B946" i="55"/>
  <c r="D946" i="55" s="1"/>
  <c r="C945" i="55"/>
  <c r="B945" i="55"/>
  <c r="D945" i="55" s="1"/>
  <c r="C944" i="55"/>
  <c r="B944" i="55"/>
  <c r="D944" i="55" s="1"/>
  <c r="C943" i="55"/>
  <c r="B943" i="55"/>
  <c r="D943" i="55" s="1"/>
  <c r="C942" i="55"/>
  <c r="B942" i="55"/>
  <c r="D942" i="55" s="1"/>
  <c r="C941" i="55"/>
  <c r="B941" i="55"/>
  <c r="D941" i="55" s="1"/>
  <c r="C940" i="55"/>
  <c r="B940" i="55"/>
  <c r="D940" i="55" s="1"/>
  <c r="C939" i="55"/>
  <c r="B939" i="55"/>
  <c r="D939" i="55" s="1"/>
  <c r="C938" i="55"/>
  <c r="B938" i="55"/>
  <c r="D938" i="55" s="1"/>
  <c r="C937" i="55"/>
  <c r="B937" i="55"/>
  <c r="D937" i="55" s="1"/>
  <c r="C936" i="55"/>
  <c r="B936" i="55"/>
  <c r="D936" i="55" s="1"/>
  <c r="C935" i="55"/>
  <c r="B935" i="55"/>
  <c r="D935" i="55" s="1"/>
  <c r="C934" i="55"/>
  <c r="B934" i="55"/>
  <c r="D934" i="55" s="1"/>
  <c r="C933" i="55"/>
  <c r="B933" i="55"/>
  <c r="D933" i="55" s="1"/>
  <c r="C932" i="55"/>
  <c r="B932" i="55"/>
  <c r="D932" i="55" s="1"/>
  <c r="C931" i="55"/>
  <c r="B931" i="55"/>
  <c r="D931" i="55" s="1"/>
  <c r="C930" i="55"/>
  <c r="B930" i="55"/>
  <c r="D930" i="55" s="1"/>
  <c r="C929" i="55"/>
  <c r="B929" i="55"/>
  <c r="D929" i="55" s="1"/>
  <c r="C928" i="55"/>
  <c r="B928" i="55"/>
  <c r="D928" i="55" s="1"/>
  <c r="C927" i="55"/>
  <c r="B927" i="55"/>
  <c r="D927" i="55" s="1"/>
  <c r="C926" i="55"/>
  <c r="B926" i="55"/>
  <c r="D926" i="55" s="1"/>
  <c r="C925" i="55"/>
  <c r="B925" i="55"/>
  <c r="D925" i="55" s="1"/>
  <c r="C924" i="55"/>
  <c r="B924" i="55"/>
  <c r="D924" i="55" s="1"/>
  <c r="C923" i="55"/>
  <c r="B923" i="55"/>
  <c r="D923" i="55" s="1"/>
  <c r="C922" i="55"/>
  <c r="B922" i="55"/>
  <c r="D922" i="55" s="1"/>
  <c r="C921" i="55"/>
  <c r="B921" i="55"/>
  <c r="D921" i="55" s="1"/>
  <c r="C920" i="55"/>
  <c r="B920" i="55"/>
  <c r="D920" i="55" s="1"/>
  <c r="C919" i="55"/>
  <c r="B919" i="55"/>
  <c r="D919" i="55" s="1"/>
  <c r="C918" i="55"/>
  <c r="B918" i="55"/>
  <c r="D918" i="55" s="1"/>
  <c r="C917" i="55"/>
  <c r="B917" i="55"/>
  <c r="D917" i="55" s="1"/>
  <c r="C916" i="55"/>
  <c r="B916" i="55"/>
  <c r="D916" i="55" s="1"/>
  <c r="C915" i="55"/>
  <c r="B915" i="55"/>
  <c r="D915" i="55" s="1"/>
  <c r="C914" i="55"/>
  <c r="B914" i="55"/>
  <c r="D914" i="55" s="1"/>
  <c r="C913" i="55"/>
  <c r="B913" i="55"/>
  <c r="D913" i="55" s="1"/>
  <c r="C912" i="55"/>
  <c r="B912" i="55"/>
  <c r="D912" i="55" s="1"/>
  <c r="C911" i="55"/>
  <c r="B911" i="55"/>
  <c r="D911" i="55" s="1"/>
  <c r="C910" i="55"/>
  <c r="B910" i="55"/>
  <c r="D910" i="55" s="1"/>
  <c r="C909" i="55"/>
  <c r="B909" i="55"/>
  <c r="D909" i="55" s="1"/>
  <c r="C908" i="55"/>
  <c r="B908" i="55"/>
  <c r="D908" i="55" s="1"/>
  <c r="C907" i="55"/>
  <c r="B907" i="55"/>
  <c r="D907" i="55" s="1"/>
  <c r="C906" i="55"/>
  <c r="B906" i="55"/>
  <c r="D906" i="55" s="1"/>
  <c r="C905" i="55"/>
  <c r="B905" i="55"/>
  <c r="D905" i="55" s="1"/>
  <c r="C904" i="55"/>
  <c r="B904" i="55"/>
  <c r="D904" i="55" s="1"/>
  <c r="C903" i="55"/>
  <c r="B903" i="55"/>
  <c r="D903" i="55" s="1"/>
  <c r="C902" i="55"/>
  <c r="B902" i="55"/>
  <c r="D902" i="55" s="1"/>
  <c r="C901" i="55"/>
  <c r="B901" i="55"/>
  <c r="D901" i="55" s="1"/>
  <c r="C900" i="55"/>
  <c r="B900" i="55"/>
  <c r="D900" i="55" s="1"/>
  <c r="C899" i="55"/>
  <c r="B899" i="55"/>
  <c r="D899" i="55" s="1"/>
  <c r="C898" i="55"/>
  <c r="B898" i="55"/>
  <c r="D898" i="55" s="1"/>
  <c r="C897" i="55"/>
  <c r="B897" i="55"/>
  <c r="D897" i="55" s="1"/>
  <c r="C896" i="55"/>
  <c r="B896" i="55"/>
  <c r="D896" i="55" s="1"/>
  <c r="C895" i="55"/>
  <c r="B895" i="55"/>
  <c r="D895" i="55" s="1"/>
  <c r="C894" i="55"/>
  <c r="B894" i="55"/>
  <c r="D894" i="55" s="1"/>
  <c r="C893" i="55"/>
  <c r="B893" i="55"/>
  <c r="D893" i="55" s="1"/>
  <c r="C892" i="55"/>
  <c r="B892" i="55"/>
  <c r="D892" i="55" s="1"/>
  <c r="C891" i="55"/>
  <c r="B891" i="55"/>
  <c r="D891" i="55" s="1"/>
  <c r="C890" i="55"/>
  <c r="B890" i="55"/>
  <c r="D890" i="55" s="1"/>
  <c r="C889" i="55"/>
  <c r="B889" i="55"/>
  <c r="D889" i="55" s="1"/>
  <c r="C888" i="55"/>
  <c r="B888" i="55"/>
  <c r="D888" i="55" s="1"/>
  <c r="C887" i="55"/>
  <c r="B887" i="55"/>
  <c r="D887" i="55" s="1"/>
  <c r="C886" i="55"/>
  <c r="B886" i="55"/>
  <c r="D886" i="55" s="1"/>
  <c r="C885" i="55"/>
  <c r="B885" i="55"/>
  <c r="D885" i="55" s="1"/>
  <c r="C884" i="55"/>
  <c r="B884" i="55"/>
  <c r="D884" i="55" s="1"/>
  <c r="C883" i="55"/>
  <c r="B883" i="55"/>
  <c r="D883" i="55" s="1"/>
  <c r="C882" i="55"/>
  <c r="B882" i="55"/>
  <c r="D882" i="55" s="1"/>
  <c r="C881" i="55"/>
  <c r="B881" i="55"/>
  <c r="D881" i="55" s="1"/>
  <c r="C880" i="55"/>
  <c r="B880" i="55"/>
  <c r="D880" i="55" s="1"/>
  <c r="C879" i="55"/>
  <c r="B879" i="55"/>
  <c r="D879" i="55" s="1"/>
  <c r="C878" i="55"/>
  <c r="B878" i="55"/>
  <c r="D878" i="55" s="1"/>
  <c r="C877" i="55"/>
  <c r="B877" i="55"/>
  <c r="D877" i="55" s="1"/>
  <c r="C876" i="55"/>
  <c r="B876" i="55"/>
  <c r="D876" i="55" s="1"/>
  <c r="C875" i="55"/>
  <c r="B875" i="55"/>
  <c r="D875" i="55" s="1"/>
  <c r="C874" i="55"/>
  <c r="B874" i="55"/>
  <c r="D874" i="55" s="1"/>
  <c r="C873" i="55"/>
  <c r="B873" i="55"/>
  <c r="D873" i="55" s="1"/>
  <c r="C872" i="55"/>
  <c r="B872" i="55"/>
  <c r="D872" i="55" s="1"/>
  <c r="C871" i="55"/>
  <c r="B871" i="55"/>
  <c r="D871" i="55" s="1"/>
  <c r="C870" i="55"/>
  <c r="B870" i="55"/>
  <c r="D870" i="55" s="1"/>
  <c r="C869" i="55"/>
  <c r="B869" i="55"/>
  <c r="D869" i="55" s="1"/>
  <c r="C868" i="55"/>
  <c r="B868" i="55"/>
  <c r="D868" i="55" s="1"/>
  <c r="C867" i="55"/>
  <c r="B867" i="55"/>
  <c r="D867" i="55" s="1"/>
  <c r="C866" i="55"/>
  <c r="B866" i="55"/>
  <c r="D866" i="55" s="1"/>
  <c r="C865" i="55"/>
  <c r="B865" i="55"/>
  <c r="D865" i="55" s="1"/>
  <c r="C864" i="55"/>
  <c r="B864" i="55"/>
  <c r="D864" i="55" s="1"/>
  <c r="C863" i="55"/>
  <c r="B863" i="55"/>
  <c r="D863" i="55" s="1"/>
  <c r="C862" i="55"/>
  <c r="B862" i="55"/>
  <c r="D862" i="55" s="1"/>
  <c r="C861" i="55"/>
  <c r="B861" i="55"/>
  <c r="D861" i="55" s="1"/>
  <c r="C860" i="55"/>
  <c r="B860" i="55"/>
  <c r="D860" i="55" s="1"/>
  <c r="C859" i="55"/>
  <c r="B859" i="55"/>
  <c r="D859" i="55" s="1"/>
  <c r="C858" i="55"/>
  <c r="B858" i="55"/>
  <c r="D858" i="55" s="1"/>
  <c r="C857" i="55"/>
  <c r="B857" i="55"/>
  <c r="D857" i="55" s="1"/>
  <c r="C856" i="55"/>
  <c r="B856" i="55"/>
  <c r="D856" i="55" s="1"/>
  <c r="C855" i="55"/>
  <c r="B855" i="55"/>
  <c r="D855" i="55" s="1"/>
  <c r="C854" i="55"/>
  <c r="B854" i="55"/>
  <c r="D854" i="55" s="1"/>
  <c r="C853" i="55"/>
  <c r="B853" i="55"/>
  <c r="D853" i="55" s="1"/>
  <c r="C852" i="55"/>
  <c r="B852" i="55"/>
  <c r="D852" i="55" s="1"/>
  <c r="C851" i="55"/>
  <c r="B851" i="55"/>
  <c r="D851" i="55" s="1"/>
  <c r="C850" i="55"/>
  <c r="B850" i="55"/>
  <c r="D850" i="55" s="1"/>
  <c r="C849" i="55"/>
  <c r="B849" i="55"/>
  <c r="D849" i="55" s="1"/>
  <c r="C848" i="55"/>
  <c r="B848" i="55"/>
  <c r="D848" i="55" s="1"/>
  <c r="C847" i="55"/>
  <c r="B847" i="55"/>
  <c r="D847" i="55" s="1"/>
  <c r="C846" i="55"/>
  <c r="B846" i="55"/>
  <c r="D846" i="55" s="1"/>
  <c r="C845" i="55"/>
  <c r="B845" i="55"/>
  <c r="D845" i="55" s="1"/>
  <c r="C844" i="55"/>
  <c r="B844" i="55"/>
  <c r="D844" i="55" s="1"/>
  <c r="C843" i="55"/>
  <c r="B843" i="55"/>
  <c r="D843" i="55" s="1"/>
  <c r="C842" i="55"/>
  <c r="B842" i="55"/>
  <c r="D842" i="55" s="1"/>
  <c r="C841" i="55"/>
  <c r="B841" i="55"/>
  <c r="D841" i="55" s="1"/>
  <c r="C840" i="55"/>
  <c r="B840" i="55"/>
  <c r="D840" i="55" s="1"/>
  <c r="C839" i="55"/>
  <c r="B839" i="55"/>
  <c r="D839" i="55" s="1"/>
  <c r="C838" i="55"/>
  <c r="B838" i="55"/>
  <c r="D838" i="55" s="1"/>
  <c r="C837" i="55"/>
  <c r="B837" i="55"/>
  <c r="D837" i="55" s="1"/>
  <c r="C836" i="55"/>
  <c r="B836" i="55"/>
  <c r="D836" i="55" s="1"/>
  <c r="C835" i="55"/>
  <c r="B835" i="55"/>
  <c r="D835" i="55" s="1"/>
  <c r="C834" i="55"/>
  <c r="B834" i="55"/>
  <c r="D834" i="55" s="1"/>
  <c r="C833" i="55"/>
  <c r="B833" i="55"/>
  <c r="D833" i="55" s="1"/>
  <c r="C832" i="55"/>
  <c r="B832" i="55"/>
  <c r="D832" i="55" s="1"/>
  <c r="C831" i="55"/>
  <c r="B831" i="55"/>
  <c r="D831" i="55" s="1"/>
  <c r="C830" i="55"/>
  <c r="B830" i="55"/>
  <c r="D830" i="55" s="1"/>
  <c r="C829" i="55"/>
  <c r="B829" i="55"/>
  <c r="D829" i="55" s="1"/>
  <c r="C828" i="55"/>
  <c r="B828" i="55"/>
  <c r="D828" i="55" s="1"/>
  <c r="C827" i="55"/>
  <c r="B827" i="55"/>
  <c r="D827" i="55" s="1"/>
  <c r="C826" i="55"/>
  <c r="B826" i="55"/>
  <c r="D826" i="55" s="1"/>
  <c r="C825" i="55"/>
  <c r="B825" i="55"/>
  <c r="D825" i="55" s="1"/>
  <c r="C824" i="55"/>
  <c r="B824" i="55"/>
  <c r="D824" i="55" s="1"/>
  <c r="C823" i="55"/>
  <c r="B823" i="55"/>
  <c r="D823" i="55" s="1"/>
  <c r="C822" i="55"/>
  <c r="B822" i="55"/>
  <c r="D822" i="55" s="1"/>
  <c r="C821" i="55"/>
  <c r="B821" i="55"/>
  <c r="D821" i="55" s="1"/>
  <c r="C820" i="55"/>
  <c r="B820" i="55"/>
  <c r="D820" i="55" s="1"/>
  <c r="C819" i="55"/>
  <c r="B819" i="55"/>
  <c r="D819" i="55" s="1"/>
  <c r="C818" i="55"/>
  <c r="B818" i="55"/>
  <c r="D818" i="55" s="1"/>
  <c r="C817" i="55"/>
  <c r="B817" i="55"/>
  <c r="D817" i="55" s="1"/>
  <c r="C816" i="55"/>
  <c r="B816" i="55"/>
  <c r="D816" i="55" s="1"/>
  <c r="C815" i="55"/>
  <c r="B815" i="55"/>
  <c r="D815" i="55" s="1"/>
  <c r="C814" i="55"/>
  <c r="B814" i="55"/>
  <c r="D814" i="55" s="1"/>
  <c r="C813" i="55"/>
  <c r="B813" i="55"/>
  <c r="D813" i="55" s="1"/>
  <c r="C812" i="55"/>
  <c r="B812" i="55"/>
  <c r="D812" i="55" s="1"/>
  <c r="C811" i="55"/>
  <c r="B811" i="55"/>
  <c r="D811" i="55" s="1"/>
  <c r="C810" i="55"/>
  <c r="B810" i="55"/>
  <c r="D810" i="55" s="1"/>
  <c r="C809" i="55"/>
  <c r="B809" i="55"/>
  <c r="D809" i="55" s="1"/>
  <c r="C808" i="55"/>
  <c r="B808" i="55"/>
  <c r="D808" i="55" s="1"/>
  <c r="C807" i="55"/>
  <c r="B807" i="55"/>
  <c r="D807" i="55" s="1"/>
  <c r="C806" i="55"/>
  <c r="B806" i="55"/>
  <c r="D806" i="55" s="1"/>
  <c r="C805" i="55"/>
  <c r="B805" i="55"/>
  <c r="D805" i="55" s="1"/>
  <c r="C804" i="55"/>
  <c r="B804" i="55"/>
  <c r="D804" i="55" s="1"/>
  <c r="C803" i="55"/>
  <c r="B803" i="55"/>
  <c r="D803" i="55" s="1"/>
  <c r="C802" i="55"/>
  <c r="B802" i="55"/>
  <c r="D802" i="55" s="1"/>
  <c r="C801" i="55"/>
  <c r="B801" i="55"/>
  <c r="D801" i="55" s="1"/>
  <c r="C800" i="55"/>
  <c r="B800" i="55"/>
  <c r="D800" i="55" s="1"/>
  <c r="C799" i="55"/>
  <c r="B799" i="55"/>
  <c r="D799" i="55" s="1"/>
  <c r="C798" i="55"/>
  <c r="B798" i="55"/>
  <c r="D798" i="55" s="1"/>
  <c r="C797" i="55"/>
  <c r="B797" i="55"/>
  <c r="D797" i="55" s="1"/>
  <c r="C796" i="55"/>
  <c r="B796" i="55"/>
  <c r="D796" i="55" s="1"/>
  <c r="C795" i="55"/>
  <c r="B795" i="55"/>
  <c r="D795" i="55" s="1"/>
  <c r="C794" i="55"/>
  <c r="B794" i="55"/>
  <c r="D794" i="55" s="1"/>
  <c r="C793" i="55"/>
  <c r="B793" i="55"/>
  <c r="D793" i="55" s="1"/>
  <c r="C792" i="55"/>
  <c r="B792" i="55"/>
  <c r="D792" i="55" s="1"/>
  <c r="C791" i="55"/>
  <c r="B791" i="55"/>
  <c r="D791" i="55" s="1"/>
  <c r="C790" i="55"/>
  <c r="B790" i="55"/>
  <c r="D790" i="55" s="1"/>
  <c r="C789" i="55"/>
  <c r="B789" i="55"/>
  <c r="D789" i="55" s="1"/>
  <c r="C788" i="55"/>
  <c r="B788" i="55"/>
  <c r="D788" i="55" s="1"/>
  <c r="C787" i="55"/>
  <c r="B787" i="55"/>
  <c r="D787" i="55" s="1"/>
  <c r="C786" i="55"/>
  <c r="B786" i="55"/>
  <c r="D786" i="55" s="1"/>
  <c r="C785" i="55"/>
  <c r="B785" i="55"/>
  <c r="D785" i="55" s="1"/>
  <c r="C784" i="55"/>
  <c r="B784" i="55"/>
  <c r="D784" i="55" s="1"/>
  <c r="C783" i="55"/>
  <c r="B783" i="55"/>
  <c r="D783" i="55" s="1"/>
  <c r="C782" i="55"/>
  <c r="B782" i="55"/>
  <c r="D782" i="55" s="1"/>
  <c r="C781" i="55"/>
  <c r="B781" i="55"/>
  <c r="D781" i="55" s="1"/>
  <c r="C780" i="55"/>
  <c r="B780" i="55"/>
  <c r="D780" i="55" s="1"/>
  <c r="C779" i="55"/>
  <c r="B779" i="55"/>
  <c r="D779" i="55" s="1"/>
  <c r="C778" i="55"/>
  <c r="B778" i="55"/>
  <c r="D778" i="55" s="1"/>
  <c r="C777" i="55"/>
  <c r="B777" i="55"/>
  <c r="D777" i="55" s="1"/>
  <c r="C776" i="55"/>
  <c r="B776" i="55"/>
  <c r="D776" i="55" s="1"/>
  <c r="C775" i="55"/>
  <c r="B775" i="55"/>
  <c r="D775" i="55" s="1"/>
  <c r="C774" i="55"/>
  <c r="B774" i="55"/>
  <c r="D774" i="55" s="1"/>
  <c r="C773" i="55"/>
  <c r="B773" i="55"/>
  <c r="D773" i="55" s="1"/>
  <c r="C772" i="55"/>
  <c r="B772" i="55"/>
  <c r="D772" i="55" s="1"/>
  <c r="C771" i="55"/>
  <c r="B771" i="55"/>
  <c r="D771" i="55" s="1"/>
  <c r="C770" i="55"/>
  <c r="B770" i="55"/>
  <c r="D770" i="55" s="1"/>
  <c r="C769" i="55"/>
  <c r="B769" i="55"/>
  <c r="D769" i="55" s="1"/>
  <c r="C768" i="55"/>
  <c r="B768" i="55"/>
  <c r="D768" i="55" s="1"/>
  <c r="C767" i="55"/>
  <c r="B767" i="55"/>
  <c r="D767" i="55" s="1"/>
  <c r="C766" i="55"/>
  <c r="B766" i="55"/>
  <c r="D766" i="55" s="1"/>
  <c r="C765" i="55"/>
  <c r="B765" i="55"/>
  <c r="D765" i="55" s="1"/>
  <c r="C764" i="55"/>
  <c r="B764" i="55"/>
  <c r="D764" i="55" s="1"/>
  <c r="C763" i="55"/>
  <c r="B763" i="55"/>
  <c r="D763" i="55" s="1"/>
  <c r="C762" i="55"/>
  <c r="B762" i="55"/>
  <c r="D762" i="55" s="1"/>
  <c r="C761" i="55"/>
  <c r="B761" i="55"/>
  <c r="D761" i="55" s="1"/>
  <c r="C760" i="55"/>
  <c r="B760" i="55"/>
  <c r="D760" i="55" s="1"/>
  <c r="C759" i="55"/>
  <c r="B759" i="55"/>
  <c r="D759" i="55" s="1"/>
  <c r="C758" i="55"/>
  <c r="B758" i="55"/>
  <c r="D758" i="55" s="1"/>
  <c r="C757" i="55"/>
  <c r="B757" i="55"/>
  <c r="D757" i="55" s="1"/>
  <c r="C756" i="55"/>
  <c r="B756" i="55"/>
  <c r="D756" i="55" s="1"/>
  <c r="C755" i="55"/>
  <c r="B755" i="55"/>
  <c r="D755" i="55" s="1"/>
  <c r="C754" i="55"/>
  <c r="B754" i="55"/>
  <c r="D754" i="55" s="1"/>
  <c r="C753" i="55"/>
  <c r="B753" i="55"/>
  <c r="D753" i="55" s="1"/>
  <c r="C752" i="55"/>
  <c r="B752" i="55"/>
  <c r="D752" i="55" s="1"/>
  <c r="C751" i="55"/>
  <c r="B751" i="55"/>
  <c r="D751" i="55" s="1"/>
  <c r="C750" i="55"/>
  <c r="B750" i="55"/>
  <c r="D750" i="55" s="1"/>
  <c r="C749" i="55"/>
  <c r="B749" i="55"/>
  <c r="D749" i="55" s="1"/>
  <c r="C748" i="55"/>
  <c r="B748" i="55"/>
  <c r="D748" i="55" s="1"/>
  <c r="C747" i="55"/>
  <c r="B747" i="55"/>
  <c r="D747" i="55" s="1"/>
  <c r="C746" i="55"/>
  <c r="B746" i="55"/>
  <c r="D746" i="55" s="1"/>
  <c r="C745" i="55"/>
  <c r="B745" i="55"/>
  <c r="D745" i="55" s="1"/>
  <c r="C744" i="55"/>
  <c r="B744" i="55"/>
  <c r="D744" i="55" s="1"/>
  <c r="C743" i="55"/>
  <c r="B743" i="55"/>
  <c r="D743" i="55" s="1"/>
  <c r="C742" i="55"/>
  <c r="B742" i="55"/>
  <c r="D742" i="55" s="1"/>
  <c r="C741" i="55"/>
  <c r="B741" i="55"/>
  <c r="D741" i="55" s="1"/>
  <c r="C740" i="55"/>
  <c r="B740" i="55"/>
  <c r="D740" i="55" s="1"/>
  <c r="C739" i="55"/>
  <c r="B739" i="55"/>
  <c r="D739" i="55" s="1"/>
  <c r="C738" i="55"/>
  <c r="B738" i="55"/>
  <c r="D738" i="55" s="1"/>
  <c r="C737" i="55"/>
  <c r="B737" i="55"/>
  <c r="D737" i="55" s="1"/>
  <c r="C736" i="55"/>
  <c r="B736" i="55"/>
  <c r="D736" i="55" s="1"/>
  <c r="C735" i="55"/>
  <c r="B735" i="55"/>
  <c r="D735" i="55" s="1"/>
  <c r="C734" i="55"/>
  <c r="B734" i="55"/>
  <c r="D734" i="55" s="1"/>
  <c r="C733" i="55"/>
  <c r="B733" i="55"/>
  <c r="D733" i="55" s="1"/>
  <c r="C732" i="55"/>
  <c r="B732" i="55"/>
  <c r="D732" i="55" s="1"/>
  <c r="C731" i="55"/>
  <c r="B731" i="55"/>
  <c r="D731" i="55" s="1"/>
  <c r="C730" i="55"/>
  <c r="B730" i="55"/>
  <c r="D730" i="55" s="1"/>
  <c r="C729" i="55"/>
  <c r="B729" i="55"/>
  <c r="D729" i="55" s="1"/>
  <c r="C728" i="55"/>
  <c r="B728" i="55"/>
  <c r="D728" i="55" s="1"/>
  <c r="C727" i="55"/>
  <c r="B727" i="55"/>
  <c r="D727" i="55" s="1"/>
  <c r="C726" i="55"/>
  <c r="B726" i="55"/>
  <c r="D726" i="55" s="1"/>
  <c r="C725" i="55"/>
  <c r="B725" i="55"/>
  <c r="D725" i="55" s="1"/>
  <c r="C724" i="55"/>
  <c r="B724" i="55"/>
  <c r="D724" i="55" s="1"/>
  <c r="C723" i="55"/>
  <c r="B723" i="55"/>
  <c r="D723" i="55" s="1"/>
  <c r="C722" i="55"/>
  <c r="B722" i="55"/>
  <c r="D722" i="55" s="1"/>
  <c r="C721" i="55"/>
  <c r="B721" i="55"/>
  <c r="D721" i="55" s="1"/>
  <c r="C720" i="55"/>
  <c r="B720" i="55"/>
  <c r="D720" i="55" s="1"/>
  <c r="C719" i="55"/>
  <c r="B719" i="55"/>
  <c r="D719" i="55" s="1"/>
  <c r="C718" i="55"/>
  <c r="B718" i="55"/>
  <c r="D718" i="55" s="1"/>
  <c r="C717" i="55"/>
  <c r="B717" i="55"/>
  <c r="D717" i="55" s="1"/>
  <c r="C716" i="55"/>
  <c r="B716" i="55"/>
  <c r="D716" i="55" s="1"/>
  <c r="C715" i="55"/>
  <c r="B715" i="55"/>
  <c r="D715" i="55" s="1"/>
  <c r="C714" i="55"/>
  <c r="B714" i="55"/>
  <c r="D714" i="55" s="1"/>
  <c r="C713" i="55"/>
  <c r="B713" i="55"/>
  <c r="D713" i="55" s="1"/>
  <c r="C712" i="55"/>
  <c r="B712" i="55"/>
  <c r="D712" i="55" s="1"/>
  <c r="C711" i="55"/>
  <c r="B711" i="55"/>
  <c r="D711" i="55" s="1"/>
  <c r="C710" i="55"/>
  <c r="B710" i="55"/>
  <c r="D710" i="55" s="1"/>
  <c r="C709" i="55"/>
  <c r="B709" i="55"/>
  <c r="D709" i="55" s="1"/>
  <c r="C708" i="55"/>
  <c r="B708" i="55"/>
  <c r="D708" i="55" s="1"/>
  <c r="C707" i="55"/>
  <c r="B707" i="55"/>
  <c r="D707" i="55" s="1"/>
  <c r="C706" i="55"/>
  <c r="B706" i="55"/>
  <c r="D706" i="55" s="1"/>
  <c r="C705" i="55"/>
  <c r="B705" i="55"/>
  <c r="D705" i="55" s="1"/>
  <c r="C704" i="55"/>
  <c r="B704" i="55"/>
  <c r="D704" i="55" s="1"/>
  <c r="C703" i="55"/>
  <c r="B703" i="55"/>
  <c r="D703" i="55" s="1"/>
  <c r="C702" i="55"/>
  <c r="B702" i="55"/>
  <c r="D702" i="55" s="1"/>
  <c r="C701" i="55"/>
  <c r="B701" i="55"/>
  <c r="D701" i="55" s="1"/>
  <c r="C700" i="55"/>
  <c r="B700" i="55"/>
  <c r="D700" i="55" s="1"/>
  <c r="C699" i="55"/>
  <c r="B699" i="55"/>
  <c r="D699" i="55" s="1"/>
  <c r="C698" i="55"/>
  <c r="B698" i="55"/>
  <c r="D698" i="55" s="1"/>
  <c r="C697" i="55"/>
  <c r="B697" i="55"/>
  <c r="D697" i="55" s="1"/>
  <c r="C696" i="55"/>
  <c r="B696" i="55"/>
  <c r="D696" i="55" s="1"/>
  <c r="C695" i="55"/>
  <c r="B695" i="55"/>
  <c r="D695" i="55" s="1"/>
  <c r="C694" i="55"/>
  <c r="B694" i="55"/>
  <c r="D694" i="55" s="1"/>
  <c r="C693" i="55"/>
  <c r="B693" i="55"/>
  <c r="D693" i="55" s="1"/>
  <c r="C692" i="55"/>
  <c r="B692" i="55"/>
  <c r="D692" i="55" s="1"/>
  <c r="C691" i="55"/>
  <c r="B691" i="55"/>
  <c r="D691" i="55" s="1"/>
  <c r="C690" i="55"/>
  <c r="B690" i="55"/>
  <c r="D690" i="55" s="1"/>
  <c r="C689" i="55"/>
  <c r="B689" i="55"/>
  <c r="D689" i="55" s="1"/>
  <c r="C688" i="55"/>
  <c r="B688" i="55"/>
  <c r="D688" i="55" s="1"/>
  <c r="C687" i="55"/>
  <c r="B687" i="55"/>
  <c r="D687" i="55" s="1"/>
  <c r="C686" i="55"/>
  <c r="B686" i="55"/>
  <c r="D686" i="55" s="1"/>
  <c r="C685" i="55"/>
  <c r="B685" i="55"/>
  <c r="D685" i="55" s="1"/>
  <c r="C684" i="55"/>
  <c r="B684" i="55"/>
  <c r="D684" i="55" s="1"/>
  <c r="C683" i="55"/>
  <c r="B683" i="55"/>
  <c r="D683" i="55" s="1"/>
  <c r="C682" i="55"/>
  <c r="B682" i="55"/>
  <c r="D682" i="55" s="1"/>
  <c r="C681" i="55"/>
  <c r="B681" i="55"/>
  <c r="D681" i="55" s="1"/>
  <c r="C680" i="55"/>
  <c r="B680" i="55"/>
  <c r="D680" i="55" s="1"/>
  <c r="C679" i="55"/>
  <c r="B679" i="55"/>
  <c r="D679" i="55" s="1"/>
  <c r="C678" i="55"/>
  <c r="B678" i="55"/>
  <c r="D678" i="55" s="1"/>
  <c r="C677" i="55"/>
  <c r="B677" i="55"/>
  <c r="D677" i="55" s="1"/>
  <c r="C676" i="55"/>
  <c r="B676" i="55"/>
  <c r="D676" i="55" s="1"/>
  <c r="C675" i="55"/>
  <c r="B675" i="55"/>
  <c r="D675" i="55" s="1"/>
  <c r="C674" i="55"/>
  <c r="B674" i="55"/>
  <c r="D674" i="55" s="1"/>
  <c r="C673" i="55"/>
  <c r="B673" i="55"/>
  <c r="D673" i="55" s="1"/>
  <c r="C672" i="55"/>
  <c r="B672" i="55"/>
  <c r="D672" i="55" s="1"/>
  <c r="C671" i="55"/>
  <c r="B671" i="55"/>
  <c r="D671" i="55" s="1"/>
  <c r="C670" i="55"/>
  <c r="B670" i="55"/>
  <c r="D670" i="55" s="1"/>
  <c r="C669" i="55"/>
  <c r="B669" i="55"/>
  <c r="D669" i="55" s="1"/>
  <c r="C668" i="55"/>
  <c r="B668" i="55"/>
  <c r="D668" i="55" s="1"/>
  <c r="C667" i="55"/>
  <c r="B667" i="55"/>
  <c r="D667" i="55" s="1"/>
  <c r="C666" i="55"/>
  <c r="B666" i="55"/>
  <c r="D666" i="55" s="1"/>
  <c r="C665" i="55"/>
  <c r="B665" i="55"/>
  <c r="D665" i="55" s="1"/>
  <c r="C664" i="55"/>
  <c r="B664" i="55"/>
  <c r="D664" i="55" s="1"/>
  <c r="C663" i="55"/>
  <c r="B663" i="55"/>
  <c r="D663" i="55" s="1"/>
  <c r="C662" i="55"/>
  <c r="B662" i="55"/>
  <c r="D662" i="55" s="1"/>
  <c r="C661" i="55"/>
  <c r="B661" i="55"/>
  <c r="D661" i="55" s="1"/>
  <c r="C660" i="55"/>
  <c r="B660" i="55"/>
  <c r="D660" i="55" s="1"/>
  <c r="C659" i="55"/>
  <c r="B659" i="55"/>
  <c r="D659" i="55" s="1"/>
  <c r="C658" i="55"/>
  <c r="B658" i="55"/>
  <c r="D658" i="55" s="1"/>
  <c r="C657" i="55"/>
  <c r="B657" i="55"/>
  <c r="D657" i="55" s="1"/>
  <c r="C656" i="55"/>
  <c r="B656" i="55"/>
  <c r="D656" i="55" s="1"/>
  <c r="C655" i="55"/>
  <c r="B655" i="55"/>
  <c r="D655" i="55" s="1"/>
  <c r="C654" i="55"/>
  <c r="B654" i="55"/>
  <c r="D654" i="55" s="1"/>
  <c r="C653" i="55"/>
  <c r="B653" i="55"/>
  <c r="D653" i="55" s="1"/>
  <c r="C652" i="55"/>
  <c r="B652" i="55"/>
  <c r="D652" i="55" s="1"/>
  <c r="C651" i="55"/>
  <c r="B651" i="55"/>
  <c r="D651" i="55" s="1"/>
  <c r="C650" i="55"/>
  <c r="B650" i="55"/>
  <c r="D650" i="55" s="1"/>
  <c r="C649" i="55"/>
  <c r="B649" i="55"/>
  <c r="D649" i="55" s="1"/>
  <c r="C648" i="55"/>
  <c r="B648" i="55"/>
  <c r="D648" i="55" s="1"/>
  <c r="C647" i="55"/>
  <c r="B647" i="55"/>
  <c r="D647" i="55" s="1"/>
  <c r="C646" i="55"/>
  <c r="B646" i="55"/>
  <c r="D646" i="55" s="1"/>
  <c r="C645" i="55"/>
  <c r="B645" i="55"/>
  <c r="D645" i="55" s="1"/>
  <c r="C644" i="55"/>
  <c r="B644" i="55"/>
  <c r="D644" i="55" s="1"/>
  <c r="C643" i="55"/>
  <c r="B643" i="55"/>
  <c r="D643" i="55" s="1"/>
  <c r="C642" i="55"/>
  <c r="B642" i="55"/>
  <c r="D642" i="55" s="1"/>
  <c r="C641" i="55"/>
  <c r="B641" i="55"/>
  <c r="D641" i="55" s="1"/>
  <c r="C640" i="55"/>
  <c r="B640" i="55"/>
  <c r="D640" i="55" s="1"/>
  <c r="C639" i="55"/>
  <c r="B639" i="55"/>
  <c r="D639" i="55" s="1"/>
  <c r="C638" i="55"/>
  <c r="B638" i="55"/>
  <c r="D638" i="55" s="1"/>
  <c r="C637" i="55"/>
  <c r="B637" i="55"/>
  <c r="D637" i="55" s="1"/>
  <c r="C636" i="55"/>
  <c r="B636" i="55"/>
  <c r="D636" i="55" s="1"/>
  <c r="C635" i="55"/>
  <c r="B635" i="55"/>
  <c r="D635" i="55" s="1"/>
  <c r="C634" i="55"/>
  <c r="B634" i="55"/>
  <c r="D634" i="55" s="1"/>
  <c r="C633" i="55"/>
  <c r="B633" i="55"/>
  <c r="D633" i="55" s="1"/>
  <c r="C632" i="55"/>
  <c r="B632" i="55"/>
  <c r="D632" i="55" s="1"/>
  <c r="C631" i="55"/>
  <c r="B631" i="55"/>
  <c r="D631" i="55" s="1"/>
  <c r="C630" i="55"/>
  <c r="B630" i="55"/>
  <c r="D630" i="55" s="1"/>
  <c r="C629" i="55"/>
  <c r="B629" i="55"/>
  <c r="D629" i="55" s="1"/>
  <c r="C628" i="55"/>
  <c r="B628" i="55"/>
  <c r="D628" i="55" s="1"/>
  <c r="C627" i="55"/>
  <c r="B627" i="55"/>
  <c r="D627" i="55" s="1"/>
  <c r="C626" i="55"/>
  <c r="B626" i="55"/>
  <c r="D626" i="55" s="1"/>
  <c r="C625" i="55"/>
  <c r="B625" i="55"/>
  <c r="D625" i="55" s="1"/>
  <c r="C624" i="55"/>
  <c r="B624" i="55"/>
  <c r="D624" i="55" s="1"/>
  <c r="C623" i="55"/>
  <c r="B623" i="55"/>
  <c r="D623" i="55" s="1"/>
  <c r="C622" i="55"/>
  <c r="B622" i="55"/>
  <c r="D622" i="55" s="1"/>
  <c r="C621" i="55"/>
  <c r="B621" i="55"/>
  <c r="D621" i="55" s="1"/>
  <c r="C620" i="55"/>
  <c r="B620" i="55"/>
  <c r="D620" i="55" s="1"/>
  <c r="C619" i="55"/>
  <c r="B619" i="55"/>
  <c r="D619" i="55" s="1"/>
  <c r="C618" i="55"/>
  <c r="B618" i="55"/>
  <c r="D618" i="55" s="1"/>
  <c r="C617" i="55"/>
  <c r="B617" i="55"/>
  <c r="D617" i="55" s="1"/>
  <c r="C616" i="55"/>
  <c r="B616" i="55"/>
  <c r="D616" i="55" s="1"/>
  <c r="C615" i="55"/>
  <c r="B615" i="55"/>
  <c r="D615" i="55" s="1"/>
  <c r="C614" i="55"/>
  <c r="B614" i="55"/>
  <c r="D614" i="55" s="1"/>
  <c r="C613" i="55"/>
  <c r="B613" i="55"/>
  <c r="D613" i="55" s="1"/>
  <c r="C612" i="55"/>
  <c r="B612" i="55"/>
  <c r="D612" i="55" s="1"/>
  <c r="C611" i="55"/>
  <c r="B611" i="55"/>
  <c r="D611" i="55" s="1"/>
  <c r="C610" i="55"/>
  <c r="B610" i="55"/>
  <c r="D610" i="55" s="1"/>
  <c r="C609" i="55"/>
  <c r="B609" i="55"/>
  <c r="D609" i="55" s="1"/>
  <c r="C608" i="55"/>
  <c r="B608" i="55"/>
  <c r="D608" i="55" s="1"/>
  <c r="C607" i="55"/>
  <c r="B607" i="55"/>
  <c r="D607" i="55" s="1"/>
  <c r="C606" i="55"/>
  <c r="B606" i="55"/>
  <c r="D606" i="55" s="1"/>
  <c r="C605" i="55"/>
  <c r="B605" i="55"/>
  <c r="D605" i="55" s="1"/>
  <c r="C604" i="55"/>
  <c r="B604" i="55"/>
  <c r="D604" i="55" s="1"/>
  <c r="C603" i="55"/>
  <c r="B603" i="55"/>
  <c r="D603" i="55" s="1"/>
  <c r="C602" i="55"/>
  <c r="B602" i="55"/>
  <c r="D602" i="55" s="1"/>
  <c r="C601" i="55"/>
  <c r="B601" i="55"/>
  <c r="D601" i="55" s="1"/>
  <c r="C600" i="55"/>
  <c r="B600" i="55"/>
  <c r="D600" i="55" s="1"/>
  <c r="C599" i="55"/>
  <c r="B599" i="55"/>
  <c r="D599" i="55" s="1"/>
  <c r="C598" i="55"/>
  <c r="B598" i="55"/>
  <c r="D598" i="55" s="1"/>
  <c r="C597" i="55"/>
  <c r="B597" i="55"/>
  <c r="D597" i="55" s="1"/>
  <c r="C596" i="55"/>
  <c r="B596" i="55"/>
  <c r="D596" i="55" s="1"/>
  <c r="C595" i="55"/>
  <c r="B595" i="55"/>
  <c r="D595" i="55" s="1"/>
  <c r="C594" i="55"/>
  <c r="B594" i="55"/>
  <c r="D594" i="55" s="1"/>
  <c r="C593" i="55"/>
  <c r="B593" i="55"/>
  <c r="D593" i="55" s="1"/>
  <c r="C592" i="55"/>
  <c r="B592" i="55"/>
  <c r="D592" i="55" s="1"/>
  <c r="C591" i="55"/>
  <c r="B591" i="55"/>
  <c r="D591" i="55" s="1"/>
  <c r="C590" i="55"/>
  <c r="B590" i="55"/>
  <c r="D590" i="55" s="1"/>
  <c r="C589" i="55"/>
  <c r="B589" i="55"/>
  <c r="D589" i="55" s="1"/>
  <c r="C588" i="55"/>
  <c r="B588" i="55"/>
  <c r="D588" i="55" s="1"/>
  <c r="C587" i="55"/>
  <c r="B587" i="55"/>
  <c r="D587" i="55" s="1"/>
  <c r="C586" i="55"/>
  <c r="B586" i="55"/>
  <c r="D586" i="55" s="1"/>
  <c r="C585" i="55"/>
  <c r="B585" i="55"/>
  <c r="D585" i="55" s="1"/>
  <c r="C584" i="55"/>
  <c r="B584" i="55"/>
  <c r="D584" i="55" s="1"/>
  <c r="C583" i="55"/>
  <c r="B583" i="55"/>
  <c r="D583" i="55" s="1"/>
  <c r="C582" i="55"/>
  <c r="B582" i="55"/>
  <c r="D582" i="55" s="1"/>
  <c r="C581" i="55"/>
  <c r="B581" i="55"/>
  <c r="D581" i="55" s="1"/>
  <c r="C580" i="55"/>
  <c r="B580" i="55"/>
  <c r="D580" i="55" s="1"/>
  <c r="C579" i="55"/>
  <c r="B579" i="55"/>
  <c r="D579" i="55" s="1"/>
  <c r="C578" i="55"/>
  <c r="B578" i="55"/>
  <c r="D578" i="55" s="1"/>
  <c r="C577" i="55"/>
  <c r="B577" i="55"/>
  <c r="D577" i="55" s="1"/>
  <c r="C576" i="55"/>
  <c r="B576" i="55"/>
  <c r="D576" i="55" s="1"/>
  <c r="C575" i="55"/>
  <c r="B575" i="55"/>
  <c r="D575" i="55" s="1"/>
  <c r="C574" i="55"/>
  <c r="B574" i="55"/>
  <c r="D574" i="55" s="1"/>
  <c r="C573" i="55"/>
  <c r="B573" i="55"/>
  <c r="D573" i="55" s="1"/>
  <c r="C572" i="55"/>
  <c r="B572" i="55"/>
  <c r="D572" i="55" s="1"/>
  <c r="C571" i="55"/>
  <c r="B571" i="55"/>
  <c r="D571" i="55" s="1"/>
  <c r="C570" i="55"/>
  <c r="B570" i="55"/>
  <c r="D570" i="55" s="1"/>
  <c r="C569" i="55"/>
  <c r="B569" i="55"/>
  <c r="D569" i="55" s="1"/>
  <c r="C568" i="55"/>
  <c r="B568" i="55"/>
  <c r="D568" i="55" s="1"/>
  <c r="C567" i="55"/>
  <c r="B567" i="55"/>
  <c r="D567" i="55" s="1"/>
  <c r="C566" i="55"/>
  <c r="B566" i="55"/>
  <c r="D566" i="55" s="1"/>
  <c r="C565" i="55"/>
  <c r="B565" i="55"/>
  <c r="D565" i="55" s="1"/>
  <c r="C564" i="55"/>
  <c r="B564" i="55"/>
  <c r="D564" i="55" s="1"/>
  <c r="C563" i="55"/>
  <c r="B563" i="55"/>
  <c r="D563" i="55" s="1"/>
  <c r="C562" i="55"/>
  <c r="B562" i="55"/>
  <c r="D562" i="55" s="1"/>
  <c r="C561" i="55"/>
  <c r="B561" i="55"/>
  <c r="D561" i="55" s="1"/>
  <c r="C560" i="55"/>
  <c r="B560" i="55"/>
  <c r="D560" i="55" s="1"/>
  <c r="C559" i="55"/>
  <c r="B559" i="55"/>
  <c r="D559" i="55" s="1"/>
  <c r="C558" i="55"/>
  <c r="B558" i="55"/>
  <c r="D558" i="55" s="1"/>
  <c r="C557" i="55"/>
  <c r="B557" i="55"/>
  <c r="D557" i="55" s="1"/>
  <c r="C556" i="55"/>
  <c r="B556" i="55"/>
  <c r="D556" i="55" s="1"/>
  <c r="C555" i="55"/>
  <c r="B555" i="55"/>
  <c r="D555" i="55" s="1"/>
  <c r="C554" i="55"/>
  <c r="B554" i="55"/>
  <c r="D554" i="55" s="1"/>
  <c r="C553" i="55"/>
  <c r="B553" i="55"/>
  <c r="D553" i="55" s="1"/>
  <c r="C552" i="55"/>
  <c r="B552" i="55"/>
  <c r="D552" i="55" s="1"/>
  <c r="C551" i="55"/>
  <c r="B551" i="55"/>
  <c r="D551" i="55" s="1"/>
  <c r="C550" i="55"/>
  <c r="B550" i="55"/>
  <c r="D550" i="55" s="1"/>
  <c r="C549" i="55"/>
  <c r="B549" i="55"/>
  <c r="D549" i="55" s="1"/>
  <c r="C548" i="55"/>
  <c r="B548" i="55"/>
  <c r="D548" i="55" s="1"/>
  <c r="C547" i="55"/>
  <c r="B547" i="55"/>
  <c r="D547" i="55" s="1"/>
  <c r="C546" i="55"/>
  <c r="B546" i="55"/>
  <c r="D546" i="55" s="1"/>
  <c r="C545" i="55"/>
  <c r="B545" i="55"/>
  <c r="D545" i="55" s="1"/>
  <c r="C544" i="55"/>
  <c r="B544" i="55"/>
  <c r="D544" i="55" s="1"/>
  <c r="C543" i="55"/>
  <c r="B543" i="55"/>
  <c r="D543" i="55" s="1"/>
  <c r="C542" i="55"/>
  <c r="B542" i="55"/>
  <c r="D542" i="55" s="1"/>
  <c r="C541" i="55"/>
  <c r="B541" i="55"/>
  <c r="D541" i="55" s="1"/>
  <c r="C540" i="55"/>
  <c r="B540" i="55"/>
  <c r="D540" i="55" s="1"/>
  <c r="C539" i="55"/>
  <c r="B539" i="55"/>
  <c r="D539" i="55" s="1"/>
  <c r="C538" i="55"/>
  <c r="B538" i="55"/>
  <c r="D538" i="55" s="1"/>
  <c r="C537" i="55"/>
  <c r="B537" i="55"/>
  <c r="D537" i="55" s="1"/>
  <c r="C536" i="55"/>
  <c r="B536" i="55"/>
  <c r="D536" i="55" s="1"/>
  <c r="C535" i="55"/>
  <c r="B535" i="55"/>
  <c r="D535" i="55" s="1"/>
  <c r="C534" i="55"/>
  <c r="B534" i="55"/>
  <c r="D534" i="55" s="1"/>
  <c r="C533" i="55"/>
  <c r="B533" i="55"/>
  <c r="D533" i="55" s="1"/>
  <c r="C532" i="55"/>
  <c r="B532" i="55"/>
  <c r="D532" i="55" s="1"/>
  <c r="C531" i="55"/>
  <c r="B531" i="55"/>
  <c r="D531" i="55" s="1"/>
  <c r="C530" i="55"/>
  <c r="B530" i="55"/>
  <c r="D530" i="55" s="1"/>
  <c r="C529" i="55"/>
  <c r="B529" i="55"/>
  <c r="D529" i="55" s="1"/>
  <c r="C528" i="55"/>
  <c r="B528" i="55"/>
  <c r="D528" i="55" s="1"/>
  <c r="C527" i="55"/>
  <c r="B527" i="55"/>
  <c r="D527" i="55" s="1"/>
  <c r="C526" i="55"/>
  <c r="B526" i="55"/>
  <c r="D526" i="55" s="1"/>
  <c r="C525" i="55"/>
  <c r="B525" i="55"/>
  <c r="D525" i="55" s="1"/>
  <c r="C524" i="55"/>
  <c r="B524" i="55"/>
  <c r="D524" i="55" s="1"/>
  <c r="C523" i="55"/>
  <c r="B523" i="55"/>
  <c r="D523" i="55" s="1"/>
  <c r="C522" i="55"/>
  <c r="B522" i="55"/>
  <c r="D522" i="55" s="1"/>
  <c r="C521" i="55"/>
  <c r="B521" i="55"/>
  <c r="D521" i="55" s="1"/>
  <c r="C520" i="55"/>
  <c r="B520" i="55"/>
  <c r="D520" i="55" s="1"/>
  <c r="C519" i="55"/>
  <c r="B519" i="55"/>
  <c r="D519" i="55" s="1"/>
  <c r="C518" i="55"/>
  <c r="B518" i="55"/>
  <c r="D518" i="55" s="1"/>
  <c r="C517" i="55"/>
  <c r="B517" i="55"/>
  <c r="D517" i="55" s="1"/>
  <c r="C516" i="55"/>
  <c r="B516" i="55"/>
  <c r="D516" i="55" s="1"/>
  <c r="C515" i="55"/>
  <c r="B515" i="55"/>
  <c r="D515" i="55" s="1"/>
  <c r="C514" i="55"/>
  <c r="B514" i="55"/>
  <c r="D514" i="55" s="1"/>
  <c r="C513" i="55"/>
  <c r="B513" i="55"/>
  <c r="D513" i="55" s="1"/>
  <c r="C512" i="55"/>
  <c r="B512" i="55"/>
  <c r="D512" i="55" s="1"/>
  <c r="C511" i="55"/>
  <c r="B511" i="55"/>
  <c r="D511" i="55" s="1"/>
  <c r="C510" i="55"/>
  <c r="B510" i="55"/>
  <c r="D510" i="55" s="1"/>
  <c r="C509" i="55"/>
  <c r="B509" i="55"/>
  <c r="D509" i="55" s="1"/>
  <c r="C508" i="55"/>
  <c r="B508" i="55"/>
  <c r="D508" i="55" s="1"/>
  <c r="C507" i="55"/>
  <c r="B507" i="55"/>
  <c r="D507" i="55" s="1"/>
  <c r="C506" i="55"/>
  <c r="B506" i="55"/>
  <c r="D506" i="55" s="1"/>
  <c r="C505" i="55"/>
  <c r="B505" i="55"/>
  <c r="D505" i="55" s="1"/>
  <c r="C504" i="55"/>
  <c r="B504" i="55"/>
  <c r="D504" i="55" s="1"/>
  <c r="C503" i="55"/>
  <c r="B503" i="55"/>
  <c r="D503" i="55" s="1"/>
  <c r="C502" i="55"/>
  <c r="B502" i="55"/>
  <c r="D502" i="55" s="1"/>
  <c r="C501" i="55"/>
  <c r="B501" i="55"/>
  <c r="D501" i="55" s="1"/>
  <c r="C500" i="55"/>
  <c r="B500" i="55"/>
  <c r="D500" i="55" s="1"/>
  <c r="C499" i="55"/>
  <c r="B499" i="55"/>
  <c r="D499" i="55" s="1"/>
  <c r="C498" i="55"/>
  <c r="B498" i="55"/>
  <c r="D498" i="55" s="1"/>
  <c r="C497" i="55"/>
  <c r="B497" i="55"/>
  <c r="D497" i="55" s="1"/>
  <c r="C496" i="55"/>
  <c r="B496" i="55"/>
  <c r="D496" i="55" s="1"/>
  <c r="C495" i="55"/>
  <c r="B495" i="55"/>
  <c r="D495" i="55" s="1"/>
  <c r="C494" i="55"/>
  <c r="B494" i="55"/>
  <c r="D494" i="55" s="1"/>
  <c r="C493" i="55"/>
  <c r="B493" i="55"/>
  <c r="D493" i="55" s="1"/>
  <c r="C492" i="55"/>
  <c r="B492" i="55"/>
  <c r="D492" i="55" s="1"/>
  <c r="C491" i="55"/>
  <c r="B491" i="55"/>
  <c r="D491" i="55" s="1"/>
  <c r="C490" i="55"/>
  <c r="B490" i="55"/>
  <c r="D490" i="55" s="1"/>
  <c r="C489" i="55"/>
  <c r="B489" i="55"/>
  <c r="D489" i="55" s="1"/>
  <c r="C488" i="55"/>
  <c r="B488" i="55"/>
  <c r="D488" i="55" s="1"/>
  <c r="C487" i="55"/>
  <c r="B487" i="55"/>
  <c r="D487" i="55" s="1"/>
  <c r="C486" i="55"/>
  <c r="B486" i="55"/>
  <c r="D486" i="55" s="1"/>
  <c r="C485" i="55"/>
  <c r="B485" i="55"/>
  <c r="D485" i="55" s="1"/>
  <c r="C484" i="55"/>
  <c r="B484" i="55"/>
  <c r="D484" i="55" s="1"/>
  <c r="C483" i="55"/>
  <c r="B483" i="55"/>
  <c r="D483" i="55" s="1"/>
  <c r="C482" i="55"/>
  <c r="B482" i="55"/>
  <c r="D482" i="55" s="1"/>
  <c r="C481" i="55"/>
  <c r="B481" i="55"/>
  <c r="D481" i="55" s="1"/>
  <c r="C480" i="55"/>
  <c r="B480" i="55"/>
  <c r="D480" i="55" s="1"/>
  <c r="C479" i="55"/>
  <c r="B479" i="55"/>
  <c r="D479" i="55" s="1"/>
  <c r="C478" i="55"/>
  <c r="B478" i="55"/>
  <c r="D478" i="55" s="1"/>
  <c r="C477" i="55"/>
  <c r="B477" i="55"/>
  <c r="D477" i="55" s="1"/>
  <c r="C476" i="55"/>
  <c r="B476" i="55"/>
  <c r="D476" i="55" s="1"/>
  <c r="C475" i="55"/>
  <c r="B475" i="55"/>
  <c r="D475" i="55" s="1"/>
  <c r="C474" i="55"/>
  <c r="B474" i="55"/>
  <c r="D474" i="55" s="1"/>
  <c r="C473" i="55"/>
  <c r="B473" i="55"/>
  <c r="D473" i="55" s="1"/>
  <c r="C472" i="55"/>
  <c r="B472" i="55"/>
  <c r="D472" i="55" s="1"/>
  <c r="C471" i="55"/>
  <c r="B471" i="55"/>
  <c r="D471" i="55" s="1"/>
  <c r="C470" i="55"/>
  <c r="B470" i="55"/>
  <c r="D470" i="55" s="1"/>
  <c r="C469" i="55"/>
  <c r="B469" i="55"/>
  <c r="D469" i="55" s="1"/>
  <c r="C468" i="55"/>
  <c r="B468" i="55"/>
  <c r="D468" i="55" s="1"/>
  <c r="C467" i="55"/>
  <c r="B467" i="55"/>
  <c r="D467" i="55" s="1"/>
  <c r="C466" i="55"/>
  <c r="B466" i="55"/>
  <c r="D466" i="55" s="1"/>
  <c r="C465" i="55"/>
  <c r="B465" i="55"/>
  <c r="D465" i="55" s="1"/>
  <c r="C464" i="55"/>
  <c r="B464" i="55"/>
  <c r="D464" i="55" s="1"/>
  <c r="C463" i="55"/>
  <c r="B463" i="55"/>
  <c r="D463" i="55" s="1"/>
  <c r="C462" i="55"/>
  <c r="B462" i="55"/>
  <c r="D462" i="55" s="1"/>
  <c r="C461" i="55"/>
  <c r="B461" i="55"/>
  <c r="D461" i="55" s="1"/>
  <c r="C460" i="55"/>
  <c r="B460" i="55"/>
  <c r="D460" i="55" s="1"/>
  <c r="C459" i="55"/>
  <c r="B459" i="55"/>
  <c r="D459" i="55" s="1"/>
  <c r="C458" i="55"/>
  <c r="B458" i="55"/>
  <c r="D458" i="55" s="1"/>
  <c r="C457" i="55"/>
  <c r="B457" i="55"/>
  <c r="D457" i="55" s="1"/>
  <c r="C456" i="55"/>
  <c r="B456" i="55"/>
  <c r="D456" i="55" s="1"/>
  <c r="C455" i="55"/>
  <c r="B455" i="55"/>
  <c r="D455" i="55" s="1"/>
  <c r="C454" i="55"/>
  <c r="B454" i="55"/>
  <c r="D454" i="55" s="1"/>
  <c r="C453" i="55"/>
  <c r="B453" i="55"/>
  <c r="D453" i="55" s="1"/>
  <c r="C452" i="55"/>
  <c r="B452" i="55"/>
  <c r="D452" i="55" s="1"/>
  <c r="C451" i="55"/>
  <c r="B451" i="55"/>
  <c r="D451" i="55" s="1"/>
  <c r="C450" i="55"/>
  <c r="B450" i="55"/>
  <c r="D450" i="55" s="1"/>
  <c r="C449" i="55"/>
  <c r="B449" i="55"/>
  <c r="D449" i="55" s="1"/>
  <c r="C448" i="55"/>
  <c r="B448" i="55"/>
  <c r="D448" i="55" s="1"/>
  <c r="C447" i="55"/>
  <c r="B447" i="55"/>
  <c r="D447" i="55" s="1"/>
  <c r="C446" i="55"/>
  <c r="B446" i="55"/>
  <c r="D446" i="55" s="1"/>
  <c r="C445" i="55"/>
  <c r="B445" i="55"/>
  <c r="D445" i="55" s="1"/>
  <c r="C444" i="55"/>
  <c r="B444" i="55"/>
  <c r="D444" i="55" s="1"/>
  <c r="C443" i="55"/>
  <c r="B443" i="55"/>
  <c r="D443" i="55" s="1"/>
  <c r="C442" i="55"/>
  <c r="B442" i="55"/>
  <c r="D442" i="55" s="1"/>
  <c r="C441" i="55"/>
  <c r="B441" i="55"/>
  <c r="D441" i="55" s="1"/>
  <c r="C440" i="55"/>
  <c r="B440" i="55"/>
  <c r="D440" i="55" s="1"/>
  <c r="C439" i="55"/>
  <c r="B439" i="55"/>
  <c r="D439" i="55" s="1"/>
  <c r="C438" i="55"/>
  <c r="B438" i="55"/>
  <c r="D438" i="55" s="1"/>
  <c r="C437" i="55"/>
  <c r="B437" i="55"/>
  <c r="D437" i="55" s="1"/>
  <c r="C436" i="55"/>
  <c r="B436" i="55"/>
  <c r="D436" i="55" s="1"/>
  <c r="C435" i="55"/>
  <c r="B435" i="55"/>
  <c r="D435" i="55" s="1"/>
  <c r="C434" i="55"/>
  <c r="B434" i="55"/>
  <c r="D434" i="55" s="1"/>
  <c r="C433" i="55"/>
  <c r="B433" i="55"/>
  <c r="D433" i="55" s="1"/>
  <c r="C432" i="55"/>
  <c r="B432" i="55"/>
  <c r="D432" i="55" s="1"/>
  <c r="C431" i="55"/>
  <c r="B431" i="55"/>
  <c r="D431" i="55" s="1"/>
  <c r="C430" i="55"/>
  <c r="B430" i="55"/>
  <c r="D430" i="55" s="1"/>
  <c r="C429" i="55"/>
  <c r="B429" i="55"/>
  <c r="D429" i="55" s="1"/>
  <c r="C428" i="55"/>
  <c r="B428" i="55"/>
  <c r="D428" i="55" s="1"/>
  <c r="C427" i="55"/>
  <c r="B427" i="55"/>
  <c r="D427" i="55" s="1"/>
  <c r="C426" i="55"/>
  <c r="B426" i="55"/>
  <c r="D426" i="55" s="1"/>
  <c r="C425" i="55"/>
  <c r="B425" i="55"/>
  <c r="D425" i="55" s="1"/>
  <c r="C424" i="55"/>
  <c r="B424" i="55"/>
  <c r="D424" i="55" s="1"/>
  <c r="C423" i="55"/>
  <c r="B423" i="55"/>
  <c r="D423" i="55" s="1"/>
  <c r="C422" i="55"/>
  <c r="B422" i="55"/>
  <c r="D422" i="55" s="1"/>
  <c r="C421" i="55"/>
  <c r="B421" i="55"/>
  <c r="D421" i="55" s="1"/>
  <c r="C420" i="55"/>
  <c r="B420" i="55"/>
  <c r="D420" i="55" s="1"/>
  <c r="C419" i="55"/>
  <c r="B419" i="55"/>
  <c r="D419" i="55" s="1"/>
  <c r="C418" i="55"/>
  <c r="B418" i="55"/>
  <c r="D418" i="55" s="1"/>
  <c r="C417" i="55"/>
  <c r="B417" i="55"/>
  <c r="D417" i="55" s="1"/>
  <c r="C416" i="55"/>
  <c r="B416" i="55"/>
  <c r="D416" i="55" s="1"/>
  <c r="C415" i="55"/>
  <c r="B415" i="55"/>
  <c r="D415" i="55" s="1"/>
  <c r="C414" i="55"/>
  <c r="B414" i="55"/>
  <c r="D414" i="55" s="1"/>
  <c r="C413" i="55"/>
  <c r="B413" i="55"/>
  <c r="D413" i="55" s="1"/>
  <c r="C412" i="55"/>
  <c r="B412" i="55"/>
  <c r="D412" i="55" s="1"/>
  <c r="C411" i="55"/>
  <c r="B411" i="55"/>
  <c r="D411" i="55" s="1"/>
  <c r="C410" i="55"/>
  <c r="B410" i="55"/>
  <c r="D410" i="55" s="1"/>
  <c r="C409" i="55"/>
  <c r="B409" i="55"/>
  <c r="D409" i="55" s="1"/>
  <c r="C408" i="55"/>
  <c r="B408" i="55"/>
  <c r="D408" i="55" s="1"/>
  <c r="C407" i="55"/>
  <c r="B407" i="55"/>
  <c r="D407" i="55" s="1"/>
  <c r="C406" i="55"/>
  <c r="B406" i="55"/>
  <c r="D406" i="55" s="1"/>
  <c r="C405" i="55"/>
  <c r="B405" i="55"/>
  <c r="D405" i="55" s="1"/>
  <c r="C404" i="55"/>
  <c r="B404" i="55"/>
  <c r="D404" i="55" s="1"/>
  <c r="C403" i="55"/>
  <c r="B403" i="55"/>
  <c r="D403" i="55" s="1"/>
  <c r="C402" i="55"/>
  <c r="B402" i="55"/>
  <c r="D402" i="55" s="1"/>
  <c r="C401" i="55"/>
  <c r="B401" i="55"/>
  <c r="D401" i="55" s="1"/>
  <c r="C400" i="55"/>
  <c r="B400" i="55"/>
  <c r="D400" i="55" s="1"/>
  <c r="C399" i="55"/>
  <c r="B399" i="55"/>
  <c r="D399" i="55" s="1"/>
  <c r="C398" i="55"/>
  <c r="B398" i="55"/>
  <c r="D398" i="55" s="1"/>
  <c r="C397" i="55"/>
  <c r="B397" i="55"/>
  <c r="D397" i="55" s="1"/>
  <c r="C396" i="55"/>
  <c r="B396" i="55"/>
  <c r="D396" i="55" s="1"/>
  <c r="C395" i="55"/>
  <c r="B395" i="55"/>
  <c r="D395" i="55" s="1"/>
  <c r="C394" i="55"/>
  <c r="B394" i="55"/>
  <c r="D394" i="55" s="1"/>
  <c r="C393" i="55"/>
  <c r="B393" i="55"/>
  <c r="D393" i="55" s="1"/>
  <c r="C392" i="55"/>
  <c r="B392" i="55"/>
  <c r="D392" i="55" s="1"/>
  <c r="C391" i="55"/>
  <c r="B391" i="55"/>
  <c r="D391" i="55" s="1"/>
  <c r="C390" i="55"/>
  <c r="B390" i="55"/>
  <c r="D390" i="55" s="1"/>
  <c r="C389" i="55"/>
  <c r="B389" i="55"/>
  <c r="D389" i="55" s="1"/>
  <c r="C388" i="55"/>
  <c r="B388" i="55"/>
  <c r="D388" i="55" s="1"/>
  <c r="C387" i="55"/>
  <c r="B387" i="55"/>
  <c r="D387" i="55" s="1"/>
  <c r="C386" i="55"/>
  <c r="B386" i="55"/>
  <c r="D386" i="55" s="1"/>
  <c r="C385" i="55"/>
  <c r="B385" i="55"/>
  <c r="D385" i="55" s="1"/>
  <c r="C384" i="55"/>
  <c r="B384" i="55"/>
  <c r="D384" i="55" s="1"/>
  <c r="C383" i="55"/>
  <c r="B383" i="55"/>
  <c r="D383" i="55" s="1"/>
  <c r="C382" i="55"/>
  <c r="B382" i="55"/>
  <c r="D382" i="55" s="1"/>
  <c r="C381" i="55"/>
  <c r="B381" i="55"/>
  <c r="D381" i="55" s="1"/>
  <c r="C380" i="55"/>
  <c r="B380" i="55"/>
  <c r="D380" i="55" s="1"/>
  <c r="C379" i="55"/>
  <c r="B379" i="55"/>
  <c r="D379" i="55" s="1"/>
  <c r="C378" i="55"/>
  <c r="B378" i="55"/>
  <c r="D378" i="55" s="1"/>
  <c r="C377" i="55"/>
  <c r="B377" i="55"/>
  <c r="D377" i="55" s="1"/>
  <c r="C376" i="55"/>
  <c r="B376" i="55"/>
  <c r="D376" i="55" s="1"/>
  <c r="C375" i="55"/>
  <c r="B375" i="55"/>
  <c r="D375" i="55" s="1"/>
  <c r="C374" i="55"/>
  <c r="B374" i="55"/>
  <c r="D374" i="55" s="1"/>
  <c r="C373" i="55"/>
  <c r="B373" i="55"/>
  <c r="D373" i="55" s="1"/>
  <c r="C372" i="55"/>
  <c r="B372" i="55"/>
  <c r="D372" i="55" s="1"/>
  <c r="C371" i="55"/>
  <c r="B371" i="55"/>
  <c r="D371" i="55" s="1"/>
  <c r="C370" i="55"/>
  <c r="B370" i="55"/>
  <c r="D370" i="55" s="1"/>
  <c r="C369" i="55"/>
  <c r="B369" i="55"/>
  <c r="D369" i="55" s="1"/>
  <c r="C368" i="55"/>
  <c r="B368" i="55"/>
  <c r="D368" i="55" s="1"/>
  <c r="C367" i="55"/>
  <c r="B367" i="55"/>
  <c r="D367" i="55" s="1"/>
  <c r="C366" i="55"/>
  <c r="B366" i="55"/>
  <c r="D366" i="55" s="1"/>
  <c r="C365" i="55"/>
  <c r="B365" i="55"/>
  <c r="D365" i="55" s="1"/>
  <c r="C364" i="55"/>
  <c r="B364" i="55"/>
  <c r="D364" i="55" s="1"/>
  <c r="C363" i="55"/>
  <c r="B363" i="55"/>
  <c r="D363" i="55" s="1"/>
  <c r="C362" i="55"/>
  <c r="B362" i="55"/>
  <c r="D362" i="55" s="1"/>
  <c r="C361" i="55"/>
  <c r="B361" i="55"/>
  <c r="D361" i="55" s="1"/>
  <c r="C360" i="55"/>
  <c r="B360" i="55"/>
  <c r="D360" i="55" s="1"/>
  <c r="C359" i="55"/>
  <c r="B359" i="55"/>
  <c r="D359" i="55" s="1"/>
  <c r="C358" i="55"/>
  <c r="B358" i="55"/>
  <c r="D358" i="55" s="1"/>
  <c r="C357" i="55"/>
  <c r="B357" i="55"/>
  <c r="D357" i="55" s="1"/>
  <c r="C356" i="55"/>
  <c r="B356" i="55"/>
  <c r="D356" i="55" s="1"/>
  <c r="C355" i="55"/>
  <c r="B355" i="55"/>
  <c r="D355" i="55" s="1"/>
  <c r="C354" i="55"/>
  <c r="B354" i="55"/>
  <c r="D354" i="55" s="1"/>
  <c r="C353" i="55"/>
  <c r="B353" i="55"/>
  <c r="D353" i="55" s="1"/>
  <c r="C352" i="55"/>
  <c r="B352" i="55"/>
  <c r="D352" i="55" s="1"/>
  <c r="C351" i="55"/>
  <c r="B351" i="55"/>
  <c r="D351" i="55" s="1"/>
  <c r="C350" i="55"/>
  <c r="B350" i="55"/>
  <c r="D350" i="55" s="1"/>
  <c r="C349" i="55"/>
  <c r="B349" i="55"/>
  <c r="D349" i="55" s="1"/>
  <c r="C348" i="55"/>
  <c r="B348" i="55"/>
  <c r="D348" i="55" s="1"/>
  <c r="C347" i="55"/>
  <c r="B347" i="55"/>
  <c r="D347" i="55" s="1"/>
  <c r="C346" i="55"/>
  <c r="B346" i="55"/>
  <c r="D346" i="55" s="1"/>
  <c r="C345" i="55"/>
  <c r="B345" i="55"/>
  <c r="D345" i="55" s="1"/>
  <c r="C344" i="55"/>
  <c r="B344" i="55"/>
  <c r="D344" i="55" s="1"/>
  <c r="C343" i="55"/>
  <c r="B343" i="55"/>
  <c r="D343" i="55" s="1"/>
  <c r="C342" i="55"/>
  <c r="B342" i="55"/>
  <c r="D342" i="55" s="1"/>
  <c r="C341" i="55"/>
  <c r="B341" i="55"/>
  <c r="D341" i="55" s="1"/>
  <c r="C340" i="55"/>
  <c r="B340" i="55"/>
  <c r="D340" i="55" s="1"/>
  <c r="C339" i="55"/>
  <c r="B339" i="55"/>
  <c r="D339" i="55" s="1"/>
  <c r="C338" i="55"/>
  <c r="B338" i="55"/>
  <c r="D338" i="55" s="1"/>
  <c r="C337" i="55"/>
  <c r="B337" i="55"/>
  <c r="D337" i="55" s="1"/>
  <c r="C336" i="55"/>
  <c r="B336" i="55"/>
  <c r="D336" i="55" s="1"/>
  <c r="C335" i="55"/>
  <c r="B335" i="55"/>
  <c r="D335" i="55" s="1"/>
  <c r="C334" i="55"/>
  <c r="B334" i="55"/>
  <c r="D334" i="55" s="1"/>
  <c r="C333" i="55"/>
  <c r="B333" i="55"/>
  <c r="D333" i="55" s="1"/>
  <c r="C332" i="55"/>
  <c r="B332" i="55"/>
  <c r="D332" i="55" s="1"/>
  <c r="C331" i="55"/>
  <c r="B331" i="55"/>
  <c r="D331" i="55" s="1"/>
  <c r="C330" i="55"/>
  <c r="B330" i="55"/>
  <c r="D330" i="55" s="1"/>
  <c r="C329" i="55"/>
  <c r="B329" i="55"/>
  <c r="D329" i="55" s="1"/>
  <c r="C328" i="55"/>
  <c r="B328" i="55"/>
  <c r="D328" i="55" s="1"/>
  <c r="C327" i="55"/>
  <c r="B327" i="55"/>
  <c r="D327" i="55" s="1"/>
  <c r="C326" i="55"/>
  <c r="B326" i="55"/>
  <c r="D326" i="55" s="1"/>
  <c r="C325" i="55"/>
  <c r="B325" i="55"/>
  <c r="D325" i="55" s="1"/>
  <c r="C324" i="55"/>
  <c r="B324" i="55"/>
  <c r="D324" i="55" s="1"/>
  <c r="C323" i="55"/>
  <c r="B323" i="55"/>
  <c r="D323" i="55" s="1"/>
  <c r="C322" i="55"/>
  <c r="B322" i="55"/>
  <c r="D322" i="55" s="1"/>
  <c r="C321" i="55"/>
  <c r="B321" i="55"/>
  <c r="D321" i="55" s="1"/>
  <c r="C320" i="55"/>
  <c r="B320" i="55"/>
  <c r="D320" i="55" s="1"/>
  <c r="C319" i="55"/>
  <c r="B319" i="55"/>
  <c r="D319" i="55" s="1"/>
  <c r="C318" i="55"/>
  <c r="B318" i="55"/>
  <c r="D318" i="55" s="1"/>
  <c r="C317" i="55"/>
  <c r="B317" i="55"/>
  <c r="D317" i="55" s="1"/>
  <c r="C316" i="55"/>
  <c r="B316" i="55"/>
  <c r="D316" i="55" s="1"/>
  <c r="C315" i="55"/>
  <c r="B315" i="55"/>
  <c r="D315" i="55" s="1"/>
  <c r="C314" i="55"/>
  <c r="B314" i="55"/>
  <c r="D314" i="55" s="1"/>
  <c r="C313" i="55"/>
  <c r="B313" i="55"/>
  <c r="D313" i="55" s="1"/>
  <c r="C312" i="55"/>
  <c r="B312" i="55"/>
  <c r="D312" i="55" s="1"/>
  <c r="C311" i="55"/>
  <c r="B311" i="55"/>
  <c r="D311" i="55" s="1"/>
  <c r="C310" i="55"/>
  <c r="B310" i="55"/>
  <c r="D310" i="55" s="1"/>
  <c r="C309" i="55"/>
  <c r="B309" i="55"/>
  <c r="D309" i="55" s="1"/>
  <c r="C308" i="55"/>
  <c r="B308" i="55"/>
  <c r="D308" i="55" s="1"/>
  <c r="C307" i="55"/>
  <c r="B307" i="55"/>
  <c r="D307" i="55" s="1"/>
  <c r="C306" i="55"/>
  <c r="B306" i="55"/>
  <c r="D306" i="55" s="1"/>
  <c r="C305" i="55"/>
  <c r="B305" i="55"/>
  <c r="D305" i="55" s="1"/>
  <c r="C304" i="55"/>
  <c r="B304" i="55"/>
  <c r="D304" i="55" s="1"/>
  <c r="C303" i="55"/>
  <c r="B303" i="55"/>
  <c r="D303" i="55" s="1"/>
  <c r="C302" i="55"/>
  <c r="B302" i="55"/>
  <c r="D302" i="55" s="1"/>
  <c r="C301" i="55"/>
  <c r="B301" i="55"/>
  <c r="D301" i="55" s="1"/>
  <c r="C300" i="55"/>
  <c r="B300" i="55"/>
  <c r="D300" i="55" s="1"/>
  <c r="C299" i="55"/>
  <c r="B299" i="55"/>
  <c r="D299" i="55" s="1"/>
  <c r="C298" i="55"/>
  <c r="B298" i="55"/>
  <c r="D298" i="55" s="1"/>
  <c r="C297" i="55"/>
  <c r="B297" i="55"/>
  <c r="D297" i="55" s="1"/>
  <c r="C296" i="55"/>
  <c r="B296" i="55"/>
  <c r="D296" i="55" s="1"/>
  <c r="C295" i="55"/>
  <c r="B295" i="55"/>
  <c r="D295" i="55" s="1"/>
  <c r="C294" i="55"/>
  <c r="B294" i="55"/>
  <c r="D294" i="55" s="1"/>
  <c r="C293" i="55"/>
  <c r="B293" i="55"/>
  <c r="D293" i="55" s="1"/>
  <c r="C292" i="55"/>
  <c r="B292" i="55"/>
  <c r="D292" i="55" s="1"/>
  <c r="C291" i="55"/>
  <c r="B291" i="55"/>
  <c r="D291" i="55" s="1"/>
  <c r="C290" i="55"/>
  <c r="B290" i="55"/>
  <c r="D290" i="55" s="1"/>
  <c r="C289" i="55"/>
  <c r="B289" i="55"/>
  <c r="D289" i="55" s="1"/>
  <c r="C288" i="55"/>
  <c r="B288" i="55"/>
  <c r="D288" i="55" s="1"/>
  <c r="C287" i="55"/>
  <c r="B287" i="55"/>
  <c r="D287" i="55" s="1"/>
  <c r="C286" i="55"/>
  <c r="B286" i="55"/>
  <c r="D286" i="55" s="1"/>
  <c r="C285" i="55"/>
  <c r="B285" i="55"/>
  <c r="D285" i="55" s="1"/>
  <c r="C284" i="55"/>
  <c r="B284" i="55"/>
  <c r="D284" i="55" s="1"/>
  <c r="C283" i="55"/>
  <c r="B283" i="55"/>
  <c r="D283" i="55" s="1"/>
  <c r="C282" i="55"/>
  <c r="B282" i="55"/>
  <c r="D282" i="55" s="1"/>
  <c r="C281" i="55"/>
  <c r="B281" i="55"/>
  <c r="D281" i="55" s="1"/>
  <c r="C280" i="55"/>
  <c r="B280" i="55"/>
  <c r="D280" i="55" s="1"/>
  <c r="C279" i="55"/>
  <c r="B279" i="55"/>
  <c r="D279" i="55" s="1"/>
  <c r="C278" i="55"/>
  <c r="B278" i="55"/>
  <c r="D278" i="55" s="1"/>
  <c r="C277" i="55"/>
  <c r="B277" i="55"/>
  <c r="D277" i="55" s="1"/>
  <c r="C276" i="55"/>
  <c r="B276" i="55"/>
  <c r="D276" i="55" s="1"/>
  <c r="C275" i="55"/>
  <c r="B275" i="55"/>
  <c r="D275" i="55" s="1"/>
  <c r="C274" i="55"/>
  <c r="B274" i="55"/>
  <c r="D274" i="55" s="1"/>
  <c r="C273" i="55"/>
  <c r="B273" i="55"/>
  <c r="D273" i="55" s="1"/>
  <c r="C272" i="55"/>
  <c r="B272" i="55"/>
  <c r="D272" i="55" s="1"/>
  <c r="C271" i="55"/>
  <c r="B271" i="55"/>
  <c r="D271" i="55" s="1"/>
  <c r="C270" i="55"/>
  <c r="B270" i="55"/>
  <c r="D270" i="55" s="1"/>
  <c r="C269" i="55"/>
  <c r="B269" i="55"/>
  <c r="D269" i="55" s="1"/>
  <c r="C268" i="55"/>
  <c r="B268" i="55"/>
  <c r="D268" i="55" s="1"/>
  <c r="C267" i="55"/>
  <c r="B267" i="55"/>
  <c r="D267" i="55" s="1"/>
  <c r="C266" i="55"/>
  <c r="B266" i="55"/>
  <c r="D266" i="55" s="1"/>
  <c r="C265" i="55"/>
  <c r="B265" i="55"/>
  <c r="D265" i="55" s="1"/>
  <c r="C264" i="55"/>
  <c r="B264" i="55"/>
  <c r="D264" i="55" s="1"/>
  <c r="C263" i="55"/>
  <c r="B263" i="55"/>
  <c r="D263" i="55" s="1"/>
  <c r="C262" i="55"/>
  <c r="B262" i="55"/>
  <c r="D262" i="55" s="1"/>
  <c r="C261" i="55"/>
  <c r="B261" i="55"/>
  <c r="D261" i="55" s="1"/>
  <c r="C260" i="55"/>
  <c r="B260" i="55"/>
  <c r="D260" i="55" s="1"/>
  <c r="C259" i="55"/>
  <c r="B259" i="55"/>
  <c r="D259" i="55" s="1"/>
  <c r="C258" i="55"/>
  <c r="B258" i="55"/>
  <c r="D258" i="55" s="1"/>
  <c r="C257" i="55"/>
  <c r="B257" i="55"/>
  <c r="D257" i="55" s="1"/>
  <c r="C256" i="55"/>
  <c r="B256" i="55"/>
  <c r="D256" i="55" s="1"/>
  <c r="C255" i="55"/>
  <c r="B255" i="55"/>
  <c r="D255" i="55" s="1"/>
  <c r="C254" i="55"/>
  <c r="B254" i="55"/>
  <c r="D254" i="55" s="1"/>
  <c r="C253" i="55"/>
  <c r="B253" i="55"/>
  <c r="D253" i="55" s="1"/>
  <c r="C252" i="55"/>
  <c r="B252" i="55"/>
  <c r="D252" i="55" s="1"/>
  <c r="C251" i="55"/>
  <c r="B251" i="55"/>
  <c r="D251" i="55" s="1"/>
  <c r="C250" i="55"/>
  <c r="B250" i="55"/>
  <c r="D250" i="55" s="1"/>
  <c r="C249" i="55"/>
  <c r="B249" i="55"/>
  <c r="D249" i="55" s="1"/>
  <c r="C248" i="55"/>
  <c r="B248" i="55"/>
  <c r="D248" i="55" s="1"/>
  <c r="C247" i="55"/>
  <c r="B247" i="55"/>
  <c r="D247" i="55" s="1"/>
  <c r="C246" i="55"/>
  <c r="B246" i="55"/>
  <c r="D246" i="55" s="1"/>
  <c r="C245" i="55"/>
  <c r="B245" i="55"/>
  <c r="D245" i="55" s="1"/>
  <c r="C244" i="55"/>
  <c r="B244" i="55"/>
  <c r="D244" i="55" s="1"/>
  <c r="C243" i="55"/>
  <c r="B243" i="55"/>
  <c r="D243" i="55" s="1"/>
  <c r="C242" i="55"/>
  <c r="B242" i="55"/>
  <c r="D242" i="55" s="1"/>
  <c r="C241" i="55"/>
  <c r="B241" i="55"/>
  <c r="D241" i="55" s="1"/>
  <c r="C240" i="55"/>
  <c r="B240" i="55"/>
  <c r="D240" i="55" s="1"/>
  <c r="C239" i="55"/>
  <c r="B239" i="55"/>
  <c r="D239" i="55" s="1"/>
  <c r="C238" i="55"/>
  <c r="B238" i="55"/>
  <c r="D238" i="55" s="1"/>
  <c r="C237" i="55"/>
  <c r="B237" i="55"/>
  <c r="D237" i="55" s="1"/>
  <c r="C236" i="55"/>
  <c r="B236" i="55"/>
  <c r="D236" i="55" s="1"/>
  <c r="C235" i="55"/>
  <c r="B235" i="55"/>
  <c r="D235" i="55" s="1"/>
  <c r="C234" i="55"/>
  <c r="B234" i="55"/>
  <c r="D234" i="55" s="1"/>
  <c r="C233" i="55"/>
  <c r="B233" i="55"/>
  <c r="D233" i="55" s="1"/>
  <c r="C232" i="55"/>
  <c r="B232" i="55"/>
  <c r="D232" i="55" s="1"/>
  <c r="C231" i="55"/>
  <c r="B231" i="55"/>
  <c r="D231" i="55" s="1"/>
  <c r="C230" i="55"/>
  <c r="B230" i="55"/>
  <c r="D230" i="55" s="1"/>
  <c r="C229" i="55"/>
  <c r="B229" i="55"/>
  <c r="D229" i="55" s="1"/>
  <c r="C228" i="55"/>
  <c r="B228" i="55"/>
  <c r="D228" i="55" s="1"/>
  <c r="C227" i="55"/>
  <c r="B227" i="55"/>
  <c r="D227" i="55" s="1"/>
  <c r="C226" i="55"/>
  <c r="B226" i="55"/>
  <c r="D226" i="55" s="1"/>
  <c r="C225" i="55"/>
  <c r="B225" i="55"/>
  <c r="D225" i="55" s="1"/>
  <c r="C224" i="55"/>
  <c r="B224" i="55"/>
  <c r="D224" i="55" s="1"/>
  <c r="C223" i="55"/>
  <c r="B223" i="55"/>
  <c r="D223" i="55" s="1"/>
  <c r="C222" i="55"/>
  <c r="B222" i="55"/>
  <c r="D222" i="55" s="1"/>
  <c r="C221" i="55"/>
  <c r="B221" i="55"/>
  <c r="D221" i="55" s="1"/>
  <c r="C220" i="55"/>
  <c r="B220" i="55"/>
  <c r="D220" i="55" s="1"/>
  <c r="C219" i="55"/>
  <c r="B219" i="55"/>
  <c r="D219" i="55" s="1"/>
  <c r="C218" i="55"/>
  <c r="B218" i="55"/>
  <c r="D218" i="55" s="1"/>
  <c r="C217" i="55"/>
  <c r="B217" i="55"/>
  <c r="D217" i="55" s="1"/>
  <c r="C216" i="55"/>
  <c r="B216" i="55"/>
  <c r="D216" i="55" s="1"/>
  <c r="C215" i="55"/>
  <c r="B215" i="55"/>
  <c r="D215" i="55" s="1"/>
  <c r="C214" i="55"/>
  <c r="B214" i="55"/>
  <c r="D214" i="55" s="1"/>
  <c r="C213" i="55"/>
  <c r="B213" i="55"/>
  <c r="D213" i="55" s="1"/>
  <c r="C212" i="55"/>
  <c r="B212" i="55"/>
  <c r="D212" i="55" s="1"/>
  <c r="C211" i="55"/>
  <c r="B211" i="55"/>
  <c r="D211" i="55" s="1"/>
  <c r="C210" i="55"/>
  <c r="B210" i="55"/>
  <c r="D210" i="55" s="1"/>
  <c r="C209" i="55"/>
  <c r="B209" i="55"/>
  <c r="D209" i="55" s="1"/>
  <c r="C208" i="55"/>
  <c r="B208" i="55"/>
  <c r="D208" i="55" s="1"/>
  <c r="C207" i="55"/>
  <c r="B207" i="55"/>
  <c r="D207" i="55" s="1"/>
  <c r="C206" i="55"/>
  <c r="B206" i="55"/>
  <c r="D206" i="55" s="1"/>
  <c r="C205" i="55"/>
  <c r="B205" i="55"/>
  <c r="D205" i="55" s="1"/>
  <c r="C204" i="55"/>
  <c r="B204" i="55"/>
  <c r="D204" i="55" s="1"/>
  <c r="C203" i="55"/>
  <c r="B203" i="55"/>
  <c r="D203" i="55" s="1"/>
  <c r="C202" i="55"/>
  <c r="B202" i="55"/>
  <c r="D202" i="55" s="1"/>
  <c r="C201" i="55"/>
  <c r="B201" i="55"/>
  <c r="D201" i="55" s="1"/>
  <c r="C200" i="55"/>
  <c r="B200" i="55"/>
  <c r="D200" i="55" s="1"/>
  <c r="C199" i="55"/>
  <c r="B199" i="55"/>
  <c r="D199" i="55" s="1"/>
  <c r="C198" i="55"/>
  <c r="B198" i="55"/>
  <c r="D198" i="55" s="1"/>
  <c r="C197" i="55"/>
  <c r="B197" i="55"/>
  <c r="D197" i="55" s="1"/>
  <c r="C196" i="55"/>
  <c r="B196" i="55"/>
  <c r="D196" i="55" s="1"/>
  <c r="C195" i="55"/>
  <c r="B195" i="55"/>
  <c r="D195" i="55" s="1"/>
  <c r="C194" i="55"/>
  <c r="B194" i="55"/>
  <c r="D194" i="55" s="1"/>
  <c r="C193" i="55"/>
  <c r="B193" i="55"/>
  <c r="D193" i="55" s="1"/>
  <c r="C192" i="55"/>
  <c r="B192" i="55"/>
  <c r="D192" i="55" s="1"/>
  <c r="C191" i="55"/>
  <c r="B191" i="55"/>
  <c r="D191" i="55" s="1"/>
  <c r="C190" i="55"/>
  <c r="B190" i="55"/>
  <c r="D190" i="55" s="1"/>
  <c r="C189" i="55"/>
  <c r="B189" i="55"/>
  <c r="D189" i="55" s="1"/>
  <c r="C188" i="55"/>
  <c r="B188" i="55"/>
  <c r="D188" i="55" s="1"/>
  <c r="C187" i="55"/>
  <c r="B187" i="55"/>
  <c r="D187" i="55" s="1"/>
  <c r="C186" i="55"/>
  <c r="B186" i="55"/>
  <c r="D186" i="55" s="1"/>
  <c r="C185" i="55"/>
  <c r="B185" i="55"/>
  <c r="D185" i="55" s="1"/>
  <c r="C184" i="55"/>
  <c r="B184" i="55"/>
  <c r="D184" i="55" s="1"/>
  <c r="C183" i="55"/>
  <c r="B183" i="55"/>
  <c r="D183" i="55" s="1"/>
  <c r="C182" i="55"/>
  <c r="B182" i="55"/>
  <c r="D182" i="55" s="1"/>
  <c r="C181" i="55"/>
  <c r="B181" i="55"/>
  <c r="D181" i="55" s="1"/>
  <c r="C180" i="55"/>
  <c r="B180" i="55"/>
  <c r="D180" i="55" s="1"/>
  <c r="C179" i="55"/>
  <c r="B179" i="55"/>
  <c r="D179" i="55" s="1"/>
  <c r="C178" i="55"/>
  <c r="B178" i="55"/>
  <c r="D178" i="55" s="1"/>
  <c r="C177" i="55"/>
  <c r="B177" i="55"/>
  <c r="D177" i="55" s="1"/>
  <c r="C176" i="55"/>
  <c r="B176" i="55"/>
  <c r="D176" i="55" s="1"/>
  <c r="C175" i="55"/>
  <c r="B175" i="55"/>
  <c r="D175" i="55" s="1"/>
  <c r="C174" i="55"/>
  <c r="B174" i="55"/>
  <c r="D174" i="55" s="1"/>
  <c r="C173" i="55"/>
  <c r="B173" i="55"/>
  <c r="D173" i="55" s="1"/>
  <c r="C172" i="55"/>
  <c r="B172" i="55"/>
  <c r="D172" i="55" s="1"/>
  <c r="C171" i="55"/>
  <c r="B171" i="55"/>
  <c r="D171" i="55" s="1"/>
  <c r="C170" i="55"/>
  <c r="B170" i="55"/>
  <c r="D170" i="55" s="1"/>
  <c r="C169" i="55"/>
  <c r="B169" i="55"/>
  <c r="D169" i="55" s="1"/>
  <c r="C168" i="55"/>
  <c r="B168" i="55"/>
  <c r="D168" i="55" s="1"/>
  <c r="C167" i="55"/>
  <c r="B167" i="55"/>
  <c r="D167" i="55" s="1"/>
  <c r="C166" i="55"/>
  <c r="B166" i="55"/>
  <c r="D166" i="55" s="1"/>
  <c r="C165" i="55"/>
  <c r="B165" i="55"/>
  <c r="D165" i="55" s="1"/>
  <c r="C164" i="55"/>
  <c r="B164" i="55"/>
  <c r="D164" i="55" s="1"/>
  <c r="C163" i="55"/>
  <c r="B163" i="55"/>
  <c r="D163" i="55" s="1"/>
  <c r="C162" i="55"/>
  <c r="B162" i="55"/>
  <c r="D162" i="55" s="1"/>
  <c r="C161" i="55"/>
  <c r="B161" i="55"/>
  <c r="D161" i="55" s="1"/>
  <c r="C160" i="55"/>
  <c r="B160" i="55"/>
  <c r="D160" i="55" s="1"/>
  <c r="C159" i="55"/>
  <c r="B159" i="55"/>
  <c r="D159" i="55" s="1"/>
  <c r="C158" i="55"/>
  <c r="B158" i="55"/>
  <c r="D158" i="55" s="1"/>
  <c r="C157" i="55"/>
  <c r="B157" i="55"/>
  <c r="D157" i="55" s="1"/>
  <c r="C156" i="55"/>
  <c r="B156" i="55"/>
  <c r="D156" i="55" s="1"/>
  <c r="C155" i="55"/>
  <c r="B155" i="55"/>
  <c r="D155" i="55" s="1"/>
  <c r="C154" i="55"/>
  <c r="B154" i="55"/>
  <c r="D154" i="55" s="1"/>
  <c r="C153" i="55"/>
  <c r="B153" i="55"/>
  <c r="D153" i="55" s="1"/>
  <c r="C152" i="55"/>
  <c r="B152" i="55"/>
  <c r="D152" i="55" s="1"/>
  <c r="C151" i="55"/>
  <c r="B151" i="55"/>
  <c r="D151" i="55" s="1"/>
  <c r="C150" i="55"/>
  <c r="B150" i="55"/>
  <c r="D150" i="55" s="1"/>
  <c r="C149" i="55"/>
  <c r="B149" i="55"/>
  <c r="D149" i="55" s="1"/>
  <c r="C148" i="55"/>
  <c r="B148" i="55"/>
  <c r="D148" i="55" s="1"/>
  <c r="C147" i="55"/>
  <c r="B147" i="55"/>
  <c r="D147" i="55" s="1"/>
  <c r="C146" i="55"/>
  <c r="B146" i="55"/>
  <c r="D146" i="55" s="1"/>
  <c r="C145" i="55"/>
  <c r="B145" i="55"/>
  <c r="D145" i="55" s="1"/>
  <c r="C144" i="55"/>
  <c r="B144" i="55"/>
  <c r="D144" i="55" s="1"/>
  <c r="C143" i="55"/>
  <c r="B143" i="55"/>
  <c r="D143" i="55" s="1"/>
  <c r="C142" i="55"/>
  <c r="B142" i="55"/>
  <c r="D142" i="55" s="1"/>
  <c r="C141" i="55"/>
  <c r="B141" i="55"/>
  <c r="D141" i="55" s="1"/>
  <c r="C140" i="55"/>
  <c r="B140" i="55"/>
  <c r="D140" i="55" s="1"/>
  <c r="C139" i="55"/>
  <c r="B139" i="55"/>
  <c r="D139" i="55" s="1"/>
  <c r="C138" i="55"/>
  <c r="B138" i="55"/>
  <c r="D138" i="55" s="1"/>
  <c r="C137" i="55"/>
  <c r="B137" i="55"/>
  <c r="D137" i="55" s="1"/>
  <c r="C136" i="55"/>
  <c r="B136" i="55"/>
  <c r="D136" i="55" s="1"/>
  <c r="C135" i="55"/>
  <c r="B135" i="55"/>
  <c r="D135" i="55" s="1"/>
  <c r="C134" i="55"/>
  <c r="B134" i="55"/>
  <c r="D134" i="55" s="1"/>
  <c r="C133" i="55"/>
  <c r="B133" i="55"/>
  <c r="D133" i="55" s="1"/>
  <c r="C132" i="55"/>
  <c r="B132" i="55"/>
  <c r="D132" i="55" s="1"/>
  <c r="C131" i="55"/>
  <c r="B131" i="55"/>
  <c r="D131" i="55" s="1"/>
  <c r="C130" i="55"/>
  <c r="B130" i="55"/>
  <c r="D130" i="55" s="1"/>
  <c r="C129" i="55"/>
  <c r="B129" i="55"/>
  <c r="D129" i="55" s="1"/>
  <c r="C128" i="55"/>
  <c r="B128" i="55"/>
  <c r="D128" i="55" s="1"/>
  <c r="C127" i="55"/>
  <c r="B127" i="55"/>
  <c r="D127" i="55" s="1"/>
  <c r="C126" i="55"/>
  <c r="B126" i="55"/>
  <c r="D126" i="55" s="1"/>
  <c r="C125" i="55"/>
  <c r="B125" i="55"/>
  <c r="D125" i="55" s="1"/>
  <c r="C124" i="55"/>
  <c r="B124" i="55"/>
  <c r="D124" i="55" s="1"/>
  <c r="C123" i="55"/>
  <c r="B123" i="55"/>
  <c r="D123" i="55" s="1"/>
  <c r="C122" i="55"/>
  <c r="B122" i="55"/>
  <c r="D122" i="55" s="1"/>
  <c r="C121" i="55"/>
  <c r="B121" i="55"/>
  <c r="D121" i="55" s="1"/>
  <c r="C120" i="55"/>
  <c r="B120" i="55"/>
  <c r="D120" i="55" s="1"/>
  <c r="C119" i="55"/>
  <c r="B119" i="55"/>
  <c r="D119" i="55" s="1"/>
  <c r="C118" i="55"/>
  <c r="B118" i="55"/>
  <c r="D118" i="55" s="1"/>
  <c r="C117" i="55"/>
  <c r="B117" i="55"/>
  <c r="D117" i="55" s="1"/>
  <c r="C116" i="55"/>
  <c r="B116" i="55"/>
  <c r="D116" i="55" s="1"/>
  <c r="C115" i="55"/>
  <c r="B115" i="55"/>
  <c r="D115" i="55" s="1"/>
  <c r="C114" i="55"/>
  <c r="B114" i="55"/>
  <c r="D114" i="55" s="1"/>
  <c r="C113" i="55"/>
  <c r="B113" i="55"/>
  <c r="D113" i="55" s="1"/>
  <c r="C112" i="55"/>
  <c r="B112" i="55"/>
  <c r="D112" i="55" s="1"/>
  <c r="C111" i="55"/>
  <c r="B111" i="55"/>
  <c r="D111" i="55" s="1"/>
  <c r="C110" i="55"/>
  <c r="B110" i="55"/>
  <c r="D110" i="55" s="1"/>
  <c r="C109" i="55"/>
  <c r="B109" i="55"/>
  <c r="D109" i="55" s="1"/>
  <c r="C108" i="55"/>
  <c r="B108" i="55"/>
  <c r="D108" i="55" s="1"/>
  <c r="C107" i="55"/>
  <c r="B107" i="55"/>
  <c r="D107" i="55" s="1"/>
  <c r="C106" i="55"/>
  <c r="B106" i="55"/>
  <c r="D106" i="55" s="1"/>
  <c r="C105" i="55"/>
  <c r="B105" i="55"/>
  <c r="D105" i="55" s="1"/>
  <c r="C104" i="55"/>
  <c r="B104" i="55"/>
  <c r="D104" i="55" s="1"/>
  <c r="C103" i="55"/>
  <c r="B103" i="55"/>
  <c r="D103" i="55" s="1"/>
  <c r="C102" i="55"/>
  <c r="B102" i="55"/>
  <c r="D102" i="55" s="1"/>
  <c r="C101" i="55"/>
  <c r="B101" i="55"/>
  <c r="D101" i="55" s="1"/>
  <c r="C100" i="55"/>
  <c r="B100" i="55"/>
  <c r="D100" i="55" s="1"/>
  <c r="C99" i="55"/>
  <c r="B99" i="55"/>
  <c r="D99" i="55" s="1"/>
  <c r="C98" i="55"/>
  <c r="B98" i="55"/>
  <c r="D98" i="55" s="1"/>
  <c r="C97" i="55"/>
  <c r="B97" i="55"/>
  <c r="D97" i="55" s="1"/>
  <c r="C96" i="55"/>
  <c r="B96" i="55"/>
  <c r="D96" i="55" s="1"/>
  <c r="C95" i="55"/>
  <c r="B95" i="55"/>
  <c r="D95" i="55" s="1"/>
  <c r="C94" i="55"/>
  <c r="B94" i="55"/>
  <c r="D94" i="55" s="1"/>
  <c r="C93" i="55"/>
  <c r="B93" i="55"/>
  <c r="D93" i="55" s="1"/>
  <c r="C92" i="55"/>
  <c r="B92" i="55"/>
  <c r="D92" i="55" s="1"/>
  <c r="C91" i="55"/>
  <c r="B91" i="55"/>
  <c r="D91" i="55" s="1"/>
  <c r="C90" i="55"/>
  <c r="B90" i="55"/>
  <c r="D90" i="55" s="1"/>
  <c r="C89" i="55"/>
  <c r="B89" i="55"/>
  <c r="D89" i="55" s="1"/>
  <c r="C88" i="55"/>
  <c r="B88" i="55"/>
  <c r="D88" i="55" s="1"/>
  <c r="C87" i="55"/>
  <c r="B87" i="55"/>
  <c r="D87" i="55" s="1"/>
  <c r="C86" i="55"/>
  <c r="B86" i="55"/>
  <c r="D86" i="55" s="1"/>
  <c r="C85" i="55"/>
  <c r="B85" i="55"/>
  <c r="D85" i="55" s="1"/>
  <c r="C84" i="55"/>
  <c r="B84" i="55"/>
  <c r="D84" i="55" s="1"/>
  <c r="C83" i="55"/>
  <c r="B83" i="55"/>
  <c r="D83" i="55" s="1"/>
  <c r="C82" i="55"/>
  <c r="B82" i="55"/>
  <c r="D82" i="55" s="1"/>
  <c r="C81" i="55"/>
  <c r="B81" i="55"/>
  <c r="D81" i="55" s="1"/>
  <c r="C80" i="55"/>
  <c r="B80" i="55"/>
  <c r="D80" i="55" s="1"/>
  <c r="C79" i="55"/>
  <c r="B79" i="55"/>
  <c r="D79" i="55" s="1"/>
  <c r="C78" i="55"/>
  <c r="B78" i="55"/>
  <c r="D78" i="55" s="1"/>
  <c r="C77" i="55"/>
  <c r="B77" i="55"/>
  <c r="D77" i="55" s="1"/>
  <c r="C76" i="55"/>
  <c r="B76" i="55"/>
  <c r="D76" i="55" s="1"/>
  <c r="C75" i="55"/>
  <c r="B75" i="55"/>
  <c r="D75" i="55" s="1"/>
  <c r="C74" i="55"/>
  <c r="B74" i="55"/>
  <c r="D74" i="55" s="1"/>
  <c r="C73" i="55"/>
  <c r="B73" i="55"/>
  <c r="D73" i="55" s="1"/>
  <c r="C72" i="55"/>
  <c r="B72" i="55"/>
  <c r="D72" i="55" s="1"/>
  <c r="C71" i="55"/>
  <c r="B71" i="55"/>
  <c r="D71" i="55" s="1"/>
  <c r="C70" i="55"/>
  <c r="B70" i="55"/>
  <c r="D70" i="55" s="1"/>
  <c r="C69" i="55"/>
  <c r="B69" i="55"/>
  <c r="D69" i="55" s="1"/>
  <c r="C68" i="55"/>
  <c r="B68" i="55"/>
  <c r="D68" i="55" s="1"/>
  <c r="C67" i="55"/>
  <c r="B67" i="55"/>
  <c r="D67" i="55" s="1"/>
  <c r="C66" i="55"/>
  <c r="B66" i="55"/>
  <c r="D66" i="55" s="1"/>
  <c r="C65" i="55"/>
  <c r="B65" i="55"/>
  <c r="D65" i="55" s="1"/>
  <c r="C64" i="55"/>
  <c r="B64" i="55"/>
  <c r="D64" i="55" s="1"/>
  <c r="C63" i="55"/>
  <c r="B63" i="55"/>
  <c r="D63" i="55" s="1"/>
  <c r="C62" i="55"/>
  <c r="B62" i="55"/>
  <c r="D62" i="55" s="1"/>
  <c r="C61" i="55"/>
  <c r="B61" i="55"/>
  <c r="D61" i="55" s="1"/>
  <c r="C60" i="55"/>
  <c r="B60" i="55"/>
  <c r="D60" i="55" s="1"/>
  <c r="C59" i="55"/>
  <c r="B59" i="55"/>
  <c r="D59" i="55" s="1"/>
  <c r="C58" i="55"/>
  <c r="B58" i="55"/>
  <c r="D58" i="55" s="1"/>
  <c r="C57" i="55"/>
  <c r="B57" i="55"/>
  <c r="D57" i="55" s="1"/>
  <c r="C56" i="55"/>
  <c r="B56" i="55"/>
  <c r="D56" i="55" s="1"/>
  <c r="C55" i="55"/>
  <c r="B55" i="55"/>
  <c r="D55" i="55" s="1"/>
  <c r="C54" i="55"/>
  <c r="B54" i="55"/>
  <c r="D54" i="55" s="1"/>
  <c r="C53" i="55"/>
  <c r="B53" i="55"/>
  <c r="D53" i="55" s="1"/>
  <c r="C52" i="55"/>
  <c r="B52" i="55"/>
  <c r="D52" i="55" s="1"/>
  <c r="C51" i="55"/>
  <c r="B51" i="55"/>
  <c r="D51" i="55" s="1"/>
  <c r="C50" i="55"/>
  <c r="B50" i="55"/>
  <c r="D50" i="55" s="1"/>
  <c r="C49" i="55"/>
  <c r="B49" i="55"/>
  <c r="D49" i="55" s="1"/>
  <c r="C48" i="55"/>
  <c r="B48" i="55"/>
  <c r="D48" i="55" s="1"/>
  <c r="C47" i="55"/>
  <c r="B47" i="55"/>
  <c r="D47" i="55" s="1"/>
  <c r="C46" i="55"/>
  <c r="B46" i="55"/>
  <c r="D46" i="55" s="1"/>
  <c r="C45" i="55"/>
  <c r="B45" i="55"/>
  <c r="D45" i="55" s="1"/>
  <c r="C44" i="55"/>
  <c r="B44" i="55"/>
  <c r="D44" i="55" s="1"/>
  <c r="C43" i="55"/>
  <c r="B43" i="55"/>
  <c r="D43" i="55" s="1"/>
  <c r="C42" i="55"/>
  <c r="B42" i="55"/>
  <c r="D42" i="55" s="1"/>
  <c r="C41" i="55"/>
  <c r="B41" i="55"/>
  <c r="D41" i="55" s="1"/>
  <c r="C40" i="55"/>
  <c r="B40" i="55"/>
  <c r="D40" i="55" s="1"/>
  <c r="C39" i="55"/>
  <c r="B39" i="55"/>
  <c r="D39" i="55" s="1"/>
  <c r="C38" i="55"/>
  <c r="B38" i="55"/>
  <c r="D38" i="55" s="1"/>
  <c r="C37" i="55"/>
  <c r="B37" i="55"/>
  <c r="D37" i="55" s="1"/>
  <c r="C36" i="55"/>
  <c r="B36" i="55"/>
  <c r="D36" i="55" s="1"/>
  <c r="C35" i="55"/>
  <c r="B35" i="55"/>
  <c r="D35" i="55" s="1"/>
  <c r="C34" i="55"/>
  <c r="B34" i="55"/>
  <c r="D34" i="55" s="1"/>
  <c r="C33" i="55"/>
  <c r="B33" i="55"/>
  <c r="D33" i="55" s="1"/>
  <c r="C32" i="55"/>
  <c r="B32" i="55"/>
  <c r="D32" i="55" s="1"/>
  <c r="C31" i="55"/>
  <c r="B31" i="55"/>
  <c r="D31" i="55" s="1"/>
  <c r="C30" i="55"/>
  <c r="B30" i="55"/>
  <c r="D30" i="55" s="1"/>
  <c r="C29" i="55"/>
  <c r="B29" i="55"/>
  <c r="D29" i="55" s="1"/>
  <c r="C28" i="55"/>
  <c r="B28" i="55"/>
  <c r="D28" i="55" s="1"/>
  <c r="C27" i="55"/>
  <c r="B27" i="55"/>
  <c r="D27" i="55" s="1"/>
  <c r="C26" i="55"/>
  <c r="B26" i="55"/>
  <c r="D26" i="55" s="1"/>
  <c r="C25" i="55"/>
  <c r="B25" i="55"/>
  <c r="D25" i="55" s="1"/>
  <c r="C24" i="55"/>
  <c r="B24" i="55"/>
  <c r="D24" i="55" s="1"/>
  <c r="C23" i="55"/>
  <c r="B23" i="55"/>
  <c r="D23" i="55" s="1"/>
  <c r="C22" i="55"/>
  <c r="B22" i="55"/>
  <c r="D22" i="55" s="1"/>
  <c r="C21" i="55"/>
  <c r="B21" i="55"/>
  <c r="D21" i="55" s="1"/>
  <c r="C20" i="55"/>
  <c r="B20" i="55"/>
  <c r="D20" i="55" s="1"/>
  <c r="C19" i="55"/>
  <c r="B19" i="55"/>
  <c r="D19" i="55" s="1"/>
  <c r="C18" i="55"/>
  <c r="B18" i="55"/>
  <c r="D18" i="55" s="1"/>
  <c r="C17" i="55"/>
  <c r="B17" i="55"/>
  <c r="D17" i="55" s="1"/>
  <c r="C16" i="55"/>
  <c r="B16" i="55"/>
  <c r="D16" i="55" s="1"/>
  <c r="C15" i="55"/>
  <c r="B15" i="55"/>
  <c r="D15" i="55" s="1"/>
  <c r="C14" i="55"/>
  <c r="B14" i="55"/>
  <c r="D14" i="55" s="1"/>
  <c r="C13" i="55"/>
  <c r="B13" i="55"/>
  <c r="D13" i="55" s="1"/>
  <c r="C12" i="55"/>
  <c r="B12" i="55"/>
  <c r="D12" i="55" s="1"/>
  <c r="C11" i="55"/>
  <c r="B11" i="55"/>
  <c r="D11" i="55" s="1"/>
  <c r="C10" i="55"/>
  <c r="B10" i="55"/>
  <c r="D10" i="55" s="1"/>
  <c r="C9" i="55"/>
  <c r="B9" i="55"/>
  <c r="D9" i="55" s="1"/>
  <c r="C8" i="55"/>
  <c r="B8" i="55"/>
  <c r="D8" i="55" s="1"/>
  <c r="C7" i="55"/>
  <c r="B7" i="55"/>
  <c r="D7" i="55" s="1"/>
  <c r="C6" i="55"/>
  <c r="B6" i="55"/>
  <c r="D6" i="55" s="1"/>
  <c r="C5" i="55"/>
  <c r="B5" i="55"/>
  <c r="D5" i="55" s="1"/>
  <c r="C4" i="55"/>
  <c r="B4" i="55"/>
  <c r="D4" i="55" s="1"/>
  <c r="C3" i="55"/>
  <c r="B3" i="55"/>
  <c r="D3" i="55" s="1"/>
  <c r="H5" i="55"/>
  <c r="G5" i="55"/>
  <c r="H4" i="55"/>
  <c r="G4" i="55"/>
  <c r="H3" i="55"/>
  <c r="G3" i="55"/>
  <c r="X2406" i="55"/>
  <c r="X2405" i="55"/>
  <c r="X2404" i="55"/>
  <c r="X2403" i="55"/>
  <c r="X2402" i="55"/>
  <c r="X2401" i="55"/>
  <c r="X2400" i="55"/>
  <c r="X2399" i="55"/>
  <c r="X2398" i="55"/>
  <c r="X2397" i="55"/>
  <c r="X2396" i="55"/>
  <c r="X2395" i="55"/>
  <c r="X2394" i="55"/>
  <c r="X2393" i="55"/>
  <c r="X2392" i="55"/>
  <c r="X2391" i="55"/>
  <c r="X2390" i="55"/>
  <c r="X2389" i="55"/>
  <c r="X2388" i="55"/>
  <c r="X2387" i="55"/>
  <c r="X2386" i="55"/>
  <c r="X2385" i="55"/>
  <c r="X2384" i="55"/>
  <c r="X2383" i="55"/>
  <c r="X2382" i="55"/>
  <c r="X2381" i="55"/>
  <c r="X2380" i="55"/>
  <c r="X2379" i="55"/>
  <c r="X2378" i="55"/>
  <c r="X2377" i="55"/>
  <c r="X2376" i="55"/>
  <c r="X2375" i="55"/>
  <c r="X2374" i="55"/>
  <c r="X2373" i="55"/>
  <c r="X2372" i="55"/>
  <c r="X2371" i="55"/>
  <c r="X2370" i="55"/>
  <c r="X2369" i="55"/>
  <c r="X2368" i="55"/>
  <c r="X2367" i="55"/>
  <c r="X2366" i="55"/>
  <c r="X2365" i="55"/>
  <c r="X2364" i="55"/>
  <c r="X2363" i="55"/>
  <c r="X2362" i="55"/>
  <c r="X2361" i="55"/>
  <c r="X2360" i="55"/>
  <c r="X2359" i="55"/>
  <c r="X2358" i="55"/>
  <c r="X2357" i="55"/>
  <c r="X2356" i="55"/>
  <c r="X2355" i="55"/>
  <c r="X2354" i="55"/>
  <c r="X2353" i="55"/>
  <c r="X2352" i="55"/>
  <c r="X2351" i="55"/>
  <c r="X2350" i="55"/>
  <c r="X2349" i="55"/>
  <c r="X2348" i="55"/>
  <c r="X2347" i="55"/>
  <c r="X2346" i="55"/>
  <c r="X2345" i="55"/>
  <c r="X2344" i="55"/>
  <c r="X2343" i="55"/>
  <c r="X2342" i="55"/>
  <c r="X2341" i="55"/>
  <c r="X2340" i="55"/>
  <c r="X2339" i="55"/>
  <c r="X2338" i="55"/>
  <c r="X2337" i="55"/>
  <c r="X2336" i="55"/>
  <c r="X2335" i="55"/>
  <c r="X2334" i="55"/>
  <c r="X2333" i="55"/>
  <c r="X2332" i="55"/>
  <c r="X2331" i="55"/>
  <c r="X2330" i="55"/>
  <c r="X2329" i="55"/>
  <c r="X2328" i="55"/>
  <c r="X2327" i="55"/>
  <c r="X2326" i="55"/>
  <c r="X2325" i="55"/>
  <c r="X2324" i="55"/>
  <c r="X2323" i="55"/>
  <c r="X2322" i="55"/>
  <c r="X2321" i="55"/>
  <c r="X2320" i="55"/>
  <c r="X2319" i="55"/>
  <c r="X2318" i="55"/>
  <c r="X2317" i="55"/>
  <c r="X2316" i="55"/>
  <c r="X2315" i="55"/>
  <c r="X2314" i="55"/>
  <c r="X2313" i="55"/>
  <c r="X2312" i="55"/>
  <c r="X2311" i="55"/>
  <c r="X2310" i="55"/>
  <c r="X2309" i="55"/>
  <c r="X2308" i="55"/>
  <c r="X2307" i="55"/>
  <c r="X2306" i="55"/>
  <c r="X2305" i="55"/>
  <c r="X2304" i="55"/>
  <c r="X2303" i="55"/>
  <c r="X2302" i="55"/>
  <c r="X2301" i="55"/>
  <c r="X2300" i="55"/>
  <c r="X2299" i="55"/>
  <c r="X2298" i="55"/>
  <c r="X2297" i="55"/>
  <c r="X2296" i="55"/>
  <c r="X2295" i="55"/>
  <c r="X2294" i="55"/>
  <c r="X2293" i="55"/>
  <c r="X2292" i="55"/>
  <c r="X2291" i="55"/>
  <c r="X2290" i="55"/>
  <c r="X2289" i="55"/>
  <c r="X2288" i="55"/>
  <c r="X2287" i="55"/>
  <c r="X2286" i="55"/>
  <c r="X2285" i="55"/>
  <c r="X2284" i="55"/>
  <c r="X2283" i="55"/>
  <c r="X2282" i="55"/>
  <c r="X2281" i="55"/>
  <c r="X2280" i="55"/>
  <c r="X2279" i="55"/>
  <c r="X2278" i="55"/>
  <c r="X2277" i="55"/>
  <c r="X2276" i="55"/>
  <c r="X2275" i="55"/>
  <c r="X2274" i="55"/>
  <c r="X2273" i="55"/>
  <c r="X2272" i="55"/>
  <c r="X2271" i="55"/>
  <c r="X2270" i="55"/>
  <c r="X2269" i="55"/>
  <c r="X2268" i="55"/>
  <c r="X2267" i="55"/>
  <c r="X2266" i="55"/>
  <c r="X2265" i="55"/>
  <c r="X2264" i="55"/>
  <c r="X2263" i="55"/>
  <c r="X2262" i="55"/>
  <c r="X2261" i="55"/>
  <c r="X2260" i="55"/>
  <c r="X2259" i="55"/>
  <c r="X2258" i="55"/>
  <c r="X2257" i="55"/>
  <c r="X2256" i="55"/>
  <c r="X2255" i="55"/>
  <c r="X2254" i="55"/>
  <c r="X2253" i="55"/>
  <c r="X2252" i="55"/>
  <c r="X2251" i="55"/>
  <c r="X2250" i="55"/>
  <c r="X2249" i="55"/>
  <c r="X2248" i="55"/>
  <c r="X2247" i="55"/>
  <c r="X2246" i="55"/>
  <c r="X2245" i="55"/>
  <c r="X2244" i="55"/>
  <c r="X2243" i="55"/>
  <c r="X2242" i="55"/>
  <c r="X2241" i="55"/>
  <c r="X2240" i="55"/>
  <c r="X2239" i="55"/>
  <c r="X2238" i="55"/>
  <c r="X2237" i="55"/>
  <c r="X2236" i="55"/>
  <c r="X2235" i="55"/>
  <c r="X2234" i="55"/>
  <c r="X2233" i="55"/>
  <c r="X2232" i="55"/>
  <c r="X2231" i="55"/>
  <c r="X2230" i="55"/>
  <c r="X2229" i="55"/>
  <c r="X2228" i="55"/>
  <c r="X2227" i="55"/>
  <c r="X2226" i="55"/>
  <c r="X2225" i="55"/>
  <c r="X2224" i="55"/>
  <c r="X2223" i="55"/>
  <c r="X2222" i="55"/>
  <c r="X2221" i="55"/>
  <c r="X2220" i="55"/>
  <c r="X2219" i="55"/>
  <c r="X2218" i="55"/>
  <c r="X2217" i="55"/>
  <c r="X2216" i="55"/>
  <c r="X2215" i="55"/>
  <c r="X2214" i="55"/>
  <c r="X2213" i="55"/>
  <c r="X2212" i="55"/>
  <c r="X2211" i="55"/>
  <c r="X2210" i="55"/>
  <c r="X2209" i="55"/>
  <c r="X2208" i="55"/>
  <c r="X2207" i="55"/>
  <c r="X2206" i="55"/>
  <c r="X2205" i="55"/>
  <c r="X2204" i="55"/>
  <c r="X2203" i="55"/>
  <c r="X2202" i="55"/>
  <c r="X2201" i="55"/>
  <c r="X2200" i="55"/>
  <c r="X2199" i="55"/>
  <c r="X2198" i="55"/>
  <c r="X2197" i="55"/>
  <c r="X2196" i="55"/>
  <c r="X2195" i="55"/>
  <c r="X2194" i="55"/>
  <c r="X2193" i="55"/>
  <c r="X2192" i="55"/>
  <c r="X2191" i="55"/>
  <c r="X2190" i="55"/>
  <c r="X2189" i="55"/>
  <c r="X2188" i="55"/>
  <c r="X2187" i="55"/>
  <c r="X2186" i="55"/>
  <c r="X2185" i="55"/>
  <c r="X2184" i="55"/>
  <c r="X2183" i="55"/>
  <c r="X2182" i="55"/>
  <c r="X2181" i="55"/>
  <c r="X2180" i="55"/>
  <c r="X2179" i="55"/>
  <c r="X2178" i="55"/>
  <c r="X2177" i="55"/>
  <c r="X2176" i="55"/>
  <c r="X2175" i="55"/>
  <c r="X2174" i="55"/>
  <c r="X2173" i="55"/>
  <c r="X2172" i="55"/>
  <c r="X2171" i="55"/>
  <c r="X2170" i="55"/>
  <c r="X2169" i="55"/>
  <c r="X2168" i="55"/>
  <c r="X2167" i="55"/>
  <c r="X2166" i="55"/>
  <c r="X2165" i="55"/>
  <c r="X2164" i="55"/>
  <c r="X2163" i="55"/>
  <c r="X2162" i="55"/>
  <c r="X2161" i="55"/>
  <c r="X2160" i="55"/>
  <c r="X2159" i="55"/>
  <c r="X2158" i="55"/>
  <c r="X2157" i="55"/>
  <c r="X2156" i="55"/>
  <c r="X2155" i="55"/>
  <c r="X2154" i="55"/>
  <c r="X2153" i="55"/>
  <c r="X2152" i="55"/>
  <c r="X2151" i="55"/>
  <c r="X2150" i="55"/>
  <c r="X2149" i="55"/>
  <c r="X2148" i="55"/>
  <c r="X2147" i="55"/>
  <c r="X2146" i="55"/>
  <c r="X2145" i="55"/>
  <c r="X2144" i="55"/>
  <c r="X2143" i="55"/>
  <c r="X2142" i="55"/>
  <c r="X2141" i="55"/>
  <c r="X2140" i="55"/>
  <c r="X2139" i="55"/>
  <c r="X2138" i="55"/>
  <c r="X2137" i="55"/>
  <c r="X2136" i="55"/>
  <c r="X2135" i="55"/>
  <c r="X2134" i="55"/>
  <c r="X2133" i="55"/>
  <c r="X2132" i="55"/>
  <c r="X2131" i="55"/>
  <c r="X2130" i="55"/>
  <c r="X2129" i="55"/>
  <c r="X2128" i="55"/>
  <c r="X2127" i="55"/>
  <c r="X2126" i="55"/>
  <c r="X2125" i="55"/>
  <c r="X2124" i="55"/>
  <c r="X2123" i="55"/>
  <c r="X2122" i="55"/>
  <c r="X2121" i="55"/>
  <c r="X2120" i="55"/>
  <c r="X2119" i="55"/>
  <c r="X2118" i="55"/>
  <c r="X2117" i="55"/>
  <c r="X2116" i="55"/>
  <c r="X2115" i="55"/>
  <c r="X2114" i="55"/>
  <c r="X2113" i="55"/>
  <c r="X2112" i="55"/>
  <c r="X2111" i="55"/>
  <c r="X2110" i="55"/>
  <c r="X2109" i="55"/>
  <c r="X2108" i="55"/>
  <c r="X2107" i="55"/>
  <c r="X2106" i="55"/>
  <c r="X2105" i="55"/>
  <c r="X2104" i="55"/>
  <c r="X2103" i="55"/>
  <c r="X2102" i="55"/>
  <c r="X2101" i="55"/>
  <c r="X2100" i="55"/>
  <c r="X2099" i="55"/>
  <c r="X2098" i="55"/>
  <c r="X2097" i="55"/>
  <c r="X2096" i="55"/>
  <c r="X2095" i="55"/>
  <c r="X2094" i="55"/>
  <c r="X2093" i="55"/>
  <c r="X2092" i="55"/>
  <c r="X2091" i="55"/>
  <c r="X2090" i="55"/>
  <c r="X2089" i="55"/>
  <c r="X2088" i="55"/>
  <c r="X2087" i="55"/>
  <c r="X2086" i="55"/>
  <c r="X2085" i="55"/>
  <c r="X2084" i="55"/>
  <c r="X2083" i="55"/>
  <c r="X2082" i="55"/>
  <c r="X2081" i="55"/>
  <c r="X2080" i="55"/>
  <c r="X2079" i="55"/>
  <c r="X2078" i="55"/>
  <c r="X2077" i="55"/>
  <c r="X2076" i="55"/>
  <c r="X2075" i="55"/>
  <c r="X2074" i="55"/>
  <c r="X2073" i="55"/>
  <c r="X2072" i="55"/>
  <c r="X2071" i="55"/>
  <c r="X2070" i="55"/>
  <c r="X2069" i="55"/>
  <c r="X2068" i="55"/>
  <c r="X2067" i="55"/>
  <c r="X2066" i="55"/>
  <c r="X2065" i="55"/>
  <c r="X2064" i="55"/>
  <c r="X2063" i="55"/>
  <c r="X2062" i="55"/>
  <c r="X2061" i="55"/>
  <c r="X2060" i="55"/>
  <c r="X2059" i="55"/>
  <c r="X2058" i="55"/>
  <c r="X2057" i="55"/>
  <c r="X2056" i="55"/>
  <c r="X2055" i="55"/>
  <c r="X2054" i="55"/>
  <c r="X2053" i="55"/>
  <c r="X2052" i="55"/>
  <c r="X2051" i="55"/>
  <c r="X2050" i="55"/>
  <c r="X2049" i="55"/>
  <c r="X2048" i="55"/>
  <c r="X2047" i="55"/>
  <c r="X2046" i="55"/>
  <c r="X2045" i="55"/>
  <c r="X2044" i="55"/>
  <c r="X2043" i="55"/>
  <c r="X2042" i="55"/>
  <c r="X2041" i="55"/>
  <c r="X2040" i="55"/>
  <c r="X2039" i="55"/>
  <c r="X2038" i="55"/>
  <c r="X2037" i="55"/>
  <c r="X2036" i="55"/>
  <c r="X2035" i="55"/>
  <c r="X2034" i="55"/>
  <c r="X2033" i="55"/>
  <c r="X2032" i="55"/>
  <c r="X2031" i="55"/>
  <c r="X2030" i="55"/>
  <c r="X2029" i="55"/>
  <c r="X2028" i="55"/>
  <c r="X2027" i="55"/>
  <c r="X2026" i="55"/>
  <c r="X2025" i="55"/>
  <c r="X2024" i="55"/>
  <c r="X2023" i="55"/>
  <c r="X2022" i="55"/>
  <c r="X2021" i="55"/>
  <c r="X2020" i="55"/>
  <c r="X2019" i="55"/>
  <c r="X2018" i="55"/>
  <c r="X2017" i="55"/>
  <c r="X2016" i="55"/>
  <c r="X2015" i="55"/>
  <c r="X2014" i="55"/>
  <c r="X2013" i="55"/>
  <c r="X2012" i="55"/>
  <c r="X2011" i="55"/>
  <c r="X2010" i="55"/>
  <c r="X2009" i="55"/>
  <c r="X2008" i="55"/>
  <c r="X2007" i="55"/>
  <c r="X2006" i="55"/>
  <c r="X2005" i="55"/>
  <c r="X2004" i="55"/>
  <c r="X2003" i="55"/>
  <c r="X2002" i="55"/>
  <c r="X2001" i="55"/>
  <c r="X2000" i="55"/>
  <c r="X1999" i="55"/>
  <c r="X1998" i="55"/>
  <c r="X1997" i="55"/>
  <c r="X1996" i="55"/>
  <c r="X1995" i="55"/>
  <c r="X1994" i="55"/>
  <c r="X1993" i="55"/>
  <c r="X1992" i="55"/>
  <c r="X1991" i="55"/>
  <c r="X1990" i="55"/>
  <c r="X1989" i="55"/>
  <c r="X1988" i="55"/>
  <c r="X1987" i="55"/>
  <c r="X1986" i="55"/>
  <c r="X1985" i="55"/>
  <c r="X1984" i="55"/>
  <c r="X1983" i="55"/>
  <c r="X1982" i="55"/>
  <c r="X1981" i="55"/>
  <c r="X1980" i="55"/>
  <c r="X1979" i="55"/>
  <c r="X1978" i="55"/>
  <c r="X1977" i="55"/>
  <c r="X1976" i="55"/>
  <c r="X1975" i="55"/>
  <c r="X1974" i="55"/>
  <c r="X1973" i="55"/>
  <c r="X1972" i="55"/>
  <c r="X1971" i="55"/>
  <c r="X1970" i="55"/>
  <c r="X1969" i="55"/>
  <c r="X1968" i="55"/>
  <c r="X1967" i="55"/>
  <c r="X1966" i="55"/>
  <c r="X1965" i="55"/>
  <c r="X1964" i="55"/>
  <c r="X1963" i="55"/>
  <c r="X1962" i="55"/>
  <c r="X1961" i="55"/>
  <c r="X1960" i="55"/>
  <c r="X1959" i="55"/>
  <c r="X1958" i="55"/>
  <c r="X1957" i="55"/>
  <c r="X1956" i="55"/>
  <c r="X1955" i="55"/>
  <c r="X1954" i="55"/>
  <c r="X1953" i="55"/>
  <c r="X1952" i="55"/>
  <c r="X1951" i="55"/>
  <c r="X1950" i="55"/>
  <c r="X1949" i="55"/>
  <c r="X1948" i="55"/>
  <c r="X1947" i="55"/>
  <c r="X1946" i="55"/>
  <c r="X1945" i="55"/>
  <c r="X1944" i="55"/>
  <c r="X1943" i="55"/>
  <c r="X1942" i="55"/>
  <c r="X1941" i="55"/>
  <c r="X1940" i="55"/>
  <c r="X1939" i="55"/>
  <c r="X1938" i="55"/>
  <c r="X1937" i="55"/>
  <c r="X1936" i="55"/>
  <c r="X1935" i="55"/>
  <c r="X1934" i="55"/>
  <c r="X1933" i="55"/>
  <c r="X1932" i="55"/>
  <c r="X1931" i="55"/>
  <c r="X1930" i="55"/>
  <c r="X1929" i="55"/>
  <c r="X1928" i="55"/>
  <c r="X1927" i="55"/>
  <c r="X1926" i="55"/>
  <c r="X1925" i="55"/>
  <c r="X1924" i="55"/>
  <c r="X1923" i="55"/>
  <c r="X1922" i="55"/>
  <c r="X1921" i="55"/>
  <c r="X1920" i="55"/>
  <c r="X1919" i="55"/>
  <c r="X1918" i="55"/>
  <c r="X1917" i="55"/>
  <c r="X1916" i="55"/>
  <c r="X1915" i="55"/>
  <c r="X1914" i="55"/>
  <c r="X1913" i="55"/>
  <c r="X1912" i="55"/>
  <c r="X1911" i="55"/>
  <c r="X1910" i="55"/>
  <c r="X1909" i="55"/>
  <c r="X1908" i="55"/>
  <c r="X1907" i="55"/>
  <c r="X1906" i="55"/>
  <c r="X1905" i="55"/>
  <c r="X1904" i="55"/>
  <c r="X1903" i="55"/>
  <c r="X1902" i="55"/>
  <c r="X1901" i="55"/>
  <c r="X1900" i="55"/>
  <c r="X1899" i="55"/>
  <c r="X1898" i="55"/>
  <c r="X1897" i="55"/>
  <c r="X1896" i="55"/>
  <c r="X1895" i="55"/>
  <c r="X1894" i="55"/>
  <c r="X1893" i="55"/>
  <c r="X1892" i="55"/>
  <c r="X1891" i="55"/>
  <c r="X1890" i="55"/>
  <c r="X1889" i="55"/>
  <c r="X1888" i="55"/>
  <c r="X1887" i="55"/>
  <c r="X1886" i="55"/>
  <c r="X1885" i="55"/>
  <c r="X1884" i="55"/>
  <c r="X1883" i="55"/>
  <c r="X1882" i="55"/>
  <c r="X1881" i="55"/>
  <c r="X1880" i="55"/>
  <c r="X1879" i="55"/>
  <c r="X1878" i="55"/>
  <c r="X1877" i="55"/>
  <c r="X1876" i="55"/>
  <c r="X1875" i="55"/>
  <c r="X1874" i="55"/>
  <c r="X1873" i="55"/>
  <c r="X1872" i="55"/>
  <c r="X1871" i="55"/>
  <c r="X1870" i="55"/>
  <c r="X1869" i="55"/>
  <c r="X1868" i="55"/>
  <c r="X1867" i="55"/>
  <c r="X1866" i="55"/>
  <c r="X1865" i="55"/>
  <c r="X1864" i="55"/>
  <c r="X1863" i="55"/>
  <c r="X1862" i="55"/>
  <c r="X1861" i="55"/>
  <c r="X1860" i="55"/>
  <c r="X1859" i="55"/>
  <c r="X1858" i="55"/>
  <c r="X1857" i="55"/>
  <c r="X1856" i="55"/>
  <c r="X1855" i="55"/>
  <c r="X1854" i="55"/>
  <c r="X1853" i="55"/>
  <c r="X1852" i="55"/>
  <c r="X1851" i="55"/>
  <c r="X1850" i="55"/>
  <c r="X1849" i="55"/>
  <c r="X1848" i="55"/>
  <c r="X1847" i="55"/>
  <c r="X1846" i="55"/>
  <c r="X1845" i="55"/>
  <c r="X1844" i="55"/>
  <c r="X1843" i="55"/>
  <c r="X1842" i="55"/>
  <c r="X1841" i="55"/>
  <c r="X1840" i="55"/>
  <c r="X1839" i="55"/>
  <c r="X1838" i="55"/>
  <c r="X1837" i="55"/>
  <c r="X1836" i="55"/>
  <c r="X1835" i="55"/>
  <c r="X1834" i="55"/>
  <c r="X1833" i="55"/>
  <c r="X1832" i="55"/>
  <c r="X1831" i="55"/>
  <c r="X1830" i="55"/>
  <c r="X1829" i="55"/>
  <c r="X1828" i="55"/>
  <c r="X1827" i="55"/>
  <c r="X1826" i="55"/>
  <c r="X1825" i="55"/>
  <c r="X1824" i="55"/>
  <c r="X1823" i="55"/>
  <c r="X1822" i="55"/>
  <c r="X1821" i="55"/>
  <c r="X1820" i="55"/>
  <c r="X1819" i="55"/>
  <c r="X1818" i="55"/>
  <c r="X1817" i="55"/>
  <c r="X1816" i="55"/>
  <c r="X1815" i="55"/>
  <c r="X1814" i="55"/>
  <c r="X1813" i="55"/>
  <c r="X1812" i="55"/>
  <c r="X1811" i="55"/>
  <c r="X1810" i="55"/>
  <c r="X1809" i="55"/>
  <c r="X1808" i="55"/>
  <c r="X1807" i="55"/>
  <c r="X1806" i="55"/>
  <c r="X1805" i="55"/>
  <c r="X1804" i="55"/>
  <c r="X1803" i="55"/>
  <c r="X1802" i="55"/>
  <c r="X1801" i="55"/>
  <c r="X1800" i="55"/>
  <c r="X1799" i="55"/>
  <c r="X1798" i="55"/>
  <c r="X1797" i="55"/>
  <c r="X1796" i="55"/>
  <c r="X1795" i="55"/>
  <c r="X1794" i="55"/>
  <c r="X1793" i="55"/>
  <c r="X1792" i="55"/>
  <c r="X1791" i="55"/>
  <c r="X1790" i="55"/>
  <c r="X1789" i="55"/>
  <c r="X1788" i="55"/>
  <c r="X1787" i="55"/>
  <c r="X1786" i="55"/>
  <c r="X1785" i="55"/>
  <c r="X1784" i="55"/>
  <c r="X1783" i="55"/>
  <c r="X1782" i="55"/>
  <c r="X1781" i="55"/>
  <c r="X1780" i="55"/>
  <c r="X1779" i="55"/>
  <c r="X1778" i="55"/>
  <c r="X1777" i="55"/>
  <c r="X1776" i="55"/>
  <c r="X1775" i="55"/>
  <c r="X1774" i="55"/>
  <c r="X1773" i="55"/>
  <c r="X1772" i="55"/>
  <c r="X1771" i="55"/>
  <c r="X1770" i="55"/>
  <c r="X1769" i="55"/>
  <c r="X1768" i="55"/>
  <c r="X1767" i="55"/>
  <c r="X1766" i="55"/>
  <c r="X1765" i="55"/>
  <c r="X1764" i="55"/>
  <c r="X1763" i="55"/>
  <c r="X1762" i="55"/>
  <c r="X1761" i="55"/>
  <c r="X1760" i="55"/>
  <c r="X1759" i="55"/>
  <c r="X1758" i="55"/>
  <c r="X1757" i="55"/>
  <c r="X1756" i="55"/>
  <c r="X1755" i="55"/>
  <c r="X1754" i="55"/>
  <c r="X1753" i="55"/>
  <c r="X1752" i="55"/>
  <c r="X1751" i="55"/>
  <c r="X1750" i="55"/>
  <c r="X1749" i="55"/>
  <c r="X1748" i="55"/>
  <c r="X1747" i="55"/>
  <c r="X1746" i="55"/>
  <c r="X1745" i="55"/>
  <c r="X1744" i="55"/>
  <c r="X1743" i="55"/>
  <c r="X1742" i="55"/>
  <c r="X1741" i="55"/>
  <c r="X1740" i="55"/>
  <c r="X1739" i="55"/>
  <c r="X1738" i="55"/>
  <c r="X1737" i="55"/>
  <c r="X1736" i="55"/>
  <c r="X1735" i="55"/>
  <c r="X1734" i="55"/>
  <c r="X1733" i="55"/>
  <c r="X1732" i="55"/>
  <c r="X1731" i="55"/>
  <c r="X1730" i="55"/>
  <c r="X1729" i="55"/>
  <c r="X1728" i="55"/>
  <c r="X1727" i="55"/>
  <c r="X1726" i="55"/>
  <c r="X1725" i="55"/>
  <c r="X1724" i="55"/>
  <c r="X1723" i="55"/>
  <c r="X1722" i="55"/>
  <c r="X1721" i="55"/>
  <c r="X1720" i="55"/>
  <c r="X1719" i="55"/>
  <c r="X1718" i="55"/>
  <c r="X1717" i="55"/>
  <c r="X1716" i="55"/>
  <c r="X1715" i="55"/>
  <c r="X1714" i="55"/>
  <c r="X1713" i="55"/>
  <c r="X1712" i="55"/>
  <c r="X1711" i="55"/>
  <c r="X1710" i="55"/>
  <c r="X1709" i="55"/>
  <c r="X1708" i="55"/>
  <c r="X1707" i="55"/>
  <c r="X1706" i="55"/>
  <c r="X1705" i="55"/>
  <c r="X1704" i="55"/>
  <c r="X1703" i="55"/>
  <c r="X1702" i="55"/>
  <c r="X1701" i="55"/>
  <c r="X1700" i="55"/>
  <c r="X1699" i="55"/>
  <c r="X1698" i="55"/>
  <c r="X1697" i="55"/>
  <c r="X1696" i="55"/>
  <c r="X1695" i="55"/>
  <c r="X1694" i="55"/>
  <c r="X1693" i="55"/>
  <c r="X1692" i="55"/>
  <c r="X1691" i="55"/>
  <c r="X1690" i="55"/>
  <c r="X1689" i="55"/>
  <c r="X1688" i="55"/>
  <c r="X1687" i="55"/>
  <c r="X1686" i="55"/>
  <c r="X1685" i="55"/>
  <c r="X1684" i="55"/>
  <c r="X1683" i="55"/>
  <c r="X1682" i="55"/>
  <c r="X1681" i="55"/>
  <c r="X1680" i="55"/>
  <c r="X1679" i="55"/>
  <c r="X1678" i="55"/>
  <c r="X1677" i="55"/>
  <c r="X1676" i="55"/>
  <c r="X1675" i="55"/>
  <c r="X1674" i="55"/>
  <c r="X1673" i="55"/>
  <c r="X1672" i="55"/>
  <c r="X1671" i="55"/>
  <c r="X1670" i="55"/>
  <c r="X1669" i="55"/>
  <c r="X1668" i="55"/>
  <c r="X1667" i="55"/>
  <c r="X1666" i="55"/>
  <c r="X1665" i="55"/>
  <c r="X1664" i="55"/>
  <c r="X1663" i="55"/>
  <c r="X1662" i="55"/>
  <c r="X1661" i="55"/>
  <c r="X1660" i="55"/>
  <c r="X1659" i="55"/>
  <c r="X1658" i="55"/>
  <c r="X1657" i="55"/>
  <c r="X1656" i="55"/>
  <c r="X1655" i="55"/>
  <c r="X1654" i="55"/>
  <c r="X1653" i="55"/>
  <c r="X1652" i="55"/>
  <c r="X1651" i="55"/>
  <c r="X1650" i="55"/>
  <c r="X1649" i="55"/>
  <c r="X1648" i="55"/>
  <c r="X1647" i="55"/>
  <c r="X1646" i="55"/>
  <c r="X1645" i="55"/>
  <c r="X1644" i="55"/>
  <c r="X1643" i="55"/>
  <c r="X1642" i="55"/>
  <c r="X1641" i="55"/>
  <c r="X1640" i="55"/>
  <c r="X1639" i="55"/>
  <c r="X1638" i="55"/>
  <c r="X1637" i="55"/>
  <c r="X1636" i="55"/>
  <c r="X1635" i="55"/>
  <c r="X1634" i="55"/>
  <c r="X1633" i="55"/>
  <c r="X1632" i="55"/>
  <c r="X1631" i="55"/>
  <c r="X1630" i="55"/>
  <c r="X1629" i="55"/>
  <c r="X1628" i="55"/>
  <c r="X1627" i="55"/>
  <c r="X1626" i="55"/>
  <c r="X1625" i="55"/>
  <c r="X1624" i="55"/>
  <c r="X1623" i="55"/>
  <c r="X1622" i="55"/>
  <c r="X1621" i="55"/>
  <c r="X1620" i="55"/>
  <c r="X1619" i="55"/>
  <c r="X1618" i="55"/>
  <c r="X1617" i="55"/>
  <c r="X1616" i="55"/>
  <c r="X1615" i="55"/>
  <c r="X1614" i="55"/>
  <c r="X1613" i="55"/>
  <c r="X1612" i="55"/>
  <c r="X1611" i="55"/>
  <c r="X1610" i="55"/>
  <c r="X1609" i="55"/>
  <c r="X1608" i="55"/>
  <c r="X1607" i="55"/>
  <c r="X1606" i="55"/>
  <c r="X1605" i="55"/>
  <c r="X1604" i="55"/>
  <c r="X1603" i="55"/>
  <c r="X1602" i="55"/>
  <c r="X1601" i="55"/>
  <c r="X1600" i="55"/>
  <c r="X1599" i="55"/>
  <c r="X1598" i="55"/>
  <c r="X1597" i="55"/>
  <c r="X1596" i="55"/>
  <c r="X1595" i="55"/>
  <c r="X1594" i="55"/>
  <c r="X1593" i="55"/>
  <c r="X1592" i="55"/>
  <c r="X1591" i="55"/>
  <c r="X1590" i="55"/>
  <c r="X1589" i="55"/>
  <c r="X1588" i="55"/>
  <c r="X1587" i="55"/>
  <c r="X1586" i="55"/>
  <c r="X1585" i="55"/>
  <c r="X1584" i="55"/>
  <c r="X1583" i="55"/>
  <c r="X1582" i="55"/>
  <c r="X1581" i="55"/>
  <c r="X1580" i="55"/>
  <c r="X1579" i="55"/>
  <c r="X1578" i="55"/>
  <c r="X1577" i="55"/>
  <c r="X1576" i="55"/>
  <c r="X1575" i="55"/>
  <c r="X1574" i="55"/>
  <c r="X1573" i="55"/>
  <c r="X1572" i="55"/>
  <c r="X1571" i="55"/>
  <c r="X1570" i="55"/>
  <c r="X1569" i="55"/>
  <c r="X1568" i="55"/>
  <c r="X1567" i="55"/>
  <c r="X1566" i="55"/>
  <c r="X1565" i="55"/>
  <c r="X1564" i="55"/>
  <c r="X1563" i="55"/>
  <c r="X1562" i="55"/>
  <c r="X1561" i="55"/>
  <c r="X1560" i="55"/>
  <c r="X1559" i="55"/>
  <c r="X1558" i="55"/>
  <c r="X1557" i="55"/>
  <c r="X1556" i="55"/>
  <c r="X1555" i="55"/>
  <c r="X1554" i="55"/>
  <c r="X1553" i="55"/>
  <c r="X1552" i="55"/>
  <c r="X1551" i="55"/>
  <c r="X1550" i="55"/>
  <c r="X1549" i="55"/>
  <c r="X1548" i="55"/>
  <c r="X1547" i="55"/>
  <c r="X1546" i="55"/>
  <c r="X1545" i="55"/>
  <c r="X1544" i="55"/>
  <c r="X1543" i="55"/>
  <c r="X1542" i="55"/>
  <c r="X1541" i="55"/>
  <c r="X1540" i="55"/>
  <c r="X1539" i="55"/>
  <c r="X1538" i="55"/>
  <c r="X1537" i="55"/>
  <c r="X1536" i="55"/>
  <c r="X1535" i="55"/>
  <c r="X1534" i="55"/>
  <c r="X1533" i="55"/>
  <c r="X1532" i="55"/>
  <c r="X1531" i="55"/>
  <c r="X1530" i="55"/>
  <c r="X1529" i="55"/>
  <c r="X1528" i="55"/>
  <c r="X1527" i="55"/>
  <c r="X1526" i="55"/>
  <c r="X1525" i="55"/>
  <c r="X1524" i="55"/>
  <c r="X1523" i="55"/>
  <c r="X1522" i="55"/>
  <c r="X1521" i="55"/>
  <c r="X1520" i="55"/>
  <c r="X1519" i="55"/>
  <c r="X1518" i="55"/>
  <c r="X1517" i="55"/>
  <c r="X1516" i="55"/>
  <c r="X1515" i="55"/>
  <c r="X1514" i="55"/>
  <c r="X1513" i="55"/>
  <c r="X1512" i="55"/>
  <c r="X1511" i="55"/>
  <c r="X1510" i="55"/>
  <c r="X1509" i="55"/>
  <c r="X1508" i="55"/>
  <c r="X1507" i="55"/>
  <c r="X1506" i="55"/>
  <c r="X1505" i="55"/>
  <c r="X1504" i="55"/>
  <c r="X1503" i="55"/>
  <c r="X1502" i="55"/>
  <c r="X1501" i="55"/>
  <c r="X1500" i="55"/>
  <c r="X1499" i="55"/>
  <c r="X1498" i="55"/>
  <c r="X1497" i="55"/>
  <c r="X1496" i="55"/>
  <c r="X1495" i="55"/>
  <c r="X1494" i="55"/>
  <c r="X1493" i="55"/>
  <c r="X1492" i="55"/>
  <c r="X1491" i="55"/>
  <c r="X1490" i="55"/>
  <c r="X1489" i="55"/>
  <c r="X1488" i="55"/>
  <c r="X1487" i="55"/>
  <c r="X1486" i="55"/>
  <c r="X1485" i="55"/>
  <c r="X1484" i="55"/>
  <c r="X1483" i="55"/>
  <c r="X1482" i="55"/>
  <c r="X1481" i="55"/>
  <c r="X1480" i="55"/>
  <c r="X1479" i="55"/>
  <c r="X1478" i="55"/>
  <c r="X1477" i="55"/>
  <c r="X1476" i="55"/>
  <c r="X1475" i="55"/>
  <c r="X1474" i="55"/>
  <c r="X1473" i="55"/>
  <c r="X1472" i="55"/>
  <c r="X1471" i="55"/>
  <c r="X1470" i="55"/>
  <c r="X1469" i="55"/>
  <c r="X1468" i="55"/>
  <c r="X1467" i="55"/>
  <c r="X1466" i="55"/>
  <c r="X1465" i="55"/>
  <c r="X1464" i="55"/>
  <c r="X1463" i="55"/>
  <c r="X1462" i="55"/>
  <c r="X1461" i="55"/>
  <c r="X1460" i="55"/>
  <c r="X1459" i="55"/>
  <c r="X1458" i="55"/>
  <c r="X1457" i="55"/>
  <c r="X1456" i="55"/>
  <c r="X1455" i="55"/>
  <c r="X1454" i="55"/>
  <c r="X1453" i="55"/>
  <c r="X1452" i="55"/>
  <c r="X1451" i="55"/>
  <c r="X1450" i="55"/>
  <c r="X1449" i="55"/>
  <c r="X1448" i="55"/>
  <c r="X1447" i="55"/>
  <c r="X1446" i="55"/>
  <c r="X1445" i="55"/>
  <c r="X1444" i="55"/>
  <c r="X1443" i="55"/>
  <c r="X1442" i="55"/>
  <c r="X1441" i="55"/>
  <c r="X1440" i="55"/>
  <c r="X1439" i="55"/>
  <c r="X1438" i="55"/>
  <c r="X1437" i="55"/>
  <c r="X1436" i="55"/>
  <c r="X1435" i="55"/>
  <c r="X1434" i="55"/>
  <c r="X1433" i="55"/>
  <c r="X1432" i="55"/>
  <c r="X1431" i="55"/>
  <c r="X1430" i="55"/>
  <c r="X1429" i="55"/>
  <c r="X1428" i="55"/>
  <c r="X1427" i="55"/>
  <c r="X1426" i="55"/>
  <c r="X1425" i="55"/>
  <c r="X1424" i="55"/>
  <c r="X1423" i="55"/>
  <c r="X1422" i="55"/>
  <c r="X1421" i="55"/>
  <c r="X1420" i="55"/>
  <c r="X1419" i="55"/>
  <c r="X1418" i="55"/>
  <c r="X1417" i="55"/>
  <c r="X1416" i="55"/>
  <c r="X1415" i="55"/>
  <c r="X1414" i="55"/>
  <c r="X1413" i="55"/>
  <c r="X1412" i="55"/>
  <c r="X1411" i="55"/>
  <c r="X1410" i="55"/>
  <c r="X1409" i="55"/>
  <c r="X1408" i="55"/>
  <c r="X1407" i="55"/>
  <c r="X1406" i="55"/>
  <c r="X1405" i="55"/>
  <c r="X1404" i="55"/>
  <c r="X1403" i="55"/>
  <c r="X1402" i="55"/>
  <c r="X1401" i="55"/>
  <c r="X1400" i="55"/>
  <c r="X1399" i="55"/>
  <c r="X1398" i="55"/>
  <c r="X1397" i="55"/>
  <c r="X1396" i="55"/>
  <c r="X1395" i="55"/>
  <c r="X1394" i="55"/>
  <c r="X1393" i="55"/>
  <c r="X1392" i="55"/>
  <c r="X1391" i="55"/>
  <c r="X1390" i="55"/>
  <c r="X1389" i="55"/>
  <c r="X1388" i="55"/>
  <c r="X1387" i="55"/>
  <c r="X1386" i="55"/>
  <c r="X1385" i="55"/>
  <c r="X1384" i="55"/>
  <c r="X1383" i="55"/>
  <c r="X1382" i="55"/>
  <c r="X1381" i="55"/>
  <c r="X1380" i="55"/>
  <c r="X1379" i="55"/>
  <c r="X1378" i="55"/>
  <c r="X1377" i="55"/>
  <c r="X1376" i="55"/>
  <c r="X1375" i="55"/>
  <c r="X1374" i="55"/>
  <c r="X1373" i="55"/>
  <c r="X1372" i="55"/>
  <c r="X1371" i="55"/>
  <c r="X1370" i="55"/>
  <c r="X1369" i="55"/>
  <c r="X1368" i="55"/>
  <c r="X1367" i="55"/>
  <c r="X1366" i="55"/>
  <c r="X1365" i="55"/>
  <c r="X1364" i="55"/>
  <c r="X1363" i="55"/>
  <c r="X1362" i="55"/>
  <c r="X1361" i="55"/>
  <c r="X1360" i="55"/>
  <c r="X1359" i="55"/>
  <c r="X1358" i="55"/>
  <c r="X1357" i="55"/>
  <c r="X1356" i="55"/>
  <c r="X1355" i="55"/>
  <c r="X1354" i="55"/>
  <c r="X1353" i="55"/>
  <c r="X1352" i="55"/>
  <c r="X1351" i="55"/>
  <c r="X1350" i="55"/>
  <c r="X1349" i="55"/>
  <c r="X1348" i="55"/>
  <c r="X1347" i="55"/>
  <c r="X1346" i="55"/>
  <c r="X1345" i="55"/>
  <c r="X1344" i="55"/>
  <c r="X1343" i="55"/>
  <c r="X1342" i="55"/>
  <c r="X1341" i="55"/>
  <c r="X1340" i="55"/>
  <c r="X1339" i="55"/>
  <c r="X1338" i="55"/>
  <c r="X1337" i="55"/>
  <c r="X1336" i="55"/>
  <c r="X1335" i="55"/>
  <c r="X1334" i="55"/>
  <c r="X1333" i="55"/>
  <c r="X1332" i="55"/>
  <c r="X1331" i="55"/>
  <c r="X1330" i="55"/>
  <c r="X1329" i="55"/>
  <c r="X1328" i="55"/>
  <c r="X1327" i="55"/>
  <c r="X1326" i="55"/>
  <c r="X1325" i="55"/>
  <c r="X1324" i="55"/>
  <c r="X1323" i="55"/>
  <c r="X1322" i="55"/>
  <c r="X1321" i="55"/>
  <c r="X1320" i="55"/>
  <c r="X1319" i="55"/>
  <c r="X1318" i="55"/>
  <c r="X1317" i="55"/>
  <c r="X1316" i="55"/>
  <c r="X1315" i="55"/>
  <c r="X1314" i="55"/>
  <c r="X1313" i="55"/>
  <c r="X1312" i="55"/>
  <c r="X1311" i="55"/>
  <c r="X1310" i="55"/>
  <c r="X1309" i="55"/>
  <c r="X1308" i="55"/>
  <c r="X1307" i="55"/>
  <c r="X1306" i="55"/>
  <c r="X1305" i="55"/>
  <c r="X1304" i="55"/>
  <c r="X1303" i="55"/>
  <c r="X1302" i="55"/>
  <c r="X1301" i="55"/>
  <c r="X1300" i="55"/>
  <c r="X1299" i="55"/>
  <c r="X1298" i="55"/>
  <c r="X1297" i="55"/>
  <c r="X1296" i="55"/>
  <c r="X1295" i="55"/>
  <c r="X1294" i="55"/>
  <c r="X1293" i="55"/>
  <c r="X1292" i="55"/>
  <c r="X1291" i="55"/>
  <c r="X1290" i="55"/>
  <c r="X1289" i="55"/>
  <c r="X1288" i="55"/>
  <c r="X1287" i="55"/>
  <c r="X1286" i="55"/>
  <c r="X1285" i="55"/>
  <c r="X1284" i="55"/>
  <c r="X1283" i="55"/>
  <c r="X1282" i="55"/>
  <c r="X1281" i="55"/>
  <c r="X1280" i="55"/>
  <c r="X1279" i="55"/>
  <c r="X1278" i="55"/>
  <c r="X1277" i="55"/>
  <c r="X1276" i="55"/>
  <c r="X1275" i="55"/>
  <c r="X1274" i="55"/>
  <c r="X1273" i="55"/>
  <c r="X1272" i="55"/>
  <c r="X1271" i="55"/>
  <c r="X1270" i="55"/>
  <c r="X1269" i="55"/>
  <c r="X1268" i="55"/>
  <c r="X1267" i="55"/>
  <c r="X1266" i="55"/>
  <c r="X1265" i="55"/>
  <c r="X1264" i="55"/>
  <c r="X1263" i="55"/>
  <c r="X1262" i="55"/>
  <c r="X1261" i="55"/>
  <c r="X1260" i="55"/>
  <c r="X1259" i="55"/>
  <c r="X1258" i="55"/>
  <c r="X1257" i="55"/>
  <c r="X1256" i="55"/>
  <c r="X1255" i="55"/>
  <c r="X1254" i="55"/>
  <c r="X1253" i="55"/>
  <c r="X1252" i="55"/>
  <c r="X1251" i="55"/>
  <c r="X1250" i="55"/>
  <c r="X1249" i="55"/>
  <c r="X1248" i="55"/>
  <c r="X1247" i="55"/>
  <c r="X1246" i="55"/>
  <c r="X1245" i="55"/>
  <c r="X1244" i="55"/>
  <c r="X1243" i="55"/>
  <c r="X1242" i="55"/>
  <c r="X1241" i="55"/>
  <c r="X1240" i="55"/>
  <c r="X1239" i="55"/>
  <c r="X1238" i="55"/>
  <c r="X1237" i="55"/>
  <c r="X1236" i="55"/>
  <c r="X1235" i="55"/>
  <c r="X1234" i="55"/>
  <c r="X1233" i="55"/>
  <c r="X1232" i="55"/>
  <c r="X1231" i="55"/>
  <c r="X1230" i="55"/>
  <c r="X1229" i="55"/>
  <c r="X1228" i="55"/>
  <c r="X1227" i="55"/>
  <c r="X1226" i="55"/>
  <c r="X1225" i="55"/>
  <c r="X1224" i="55"/>
  <c r="X1223" i="55"/>
  <c r="X1222" i="55"/>
  <c r="X1221" i="55"/>
  <c r="X1220" i="55"/>
  <c r="X1219" i="55"/>
  <c r="X1218" i="55"/>
  <c r="X1217" i="55"/>
  <c r="X1216" i="55"/>
  <c r="X1215" i="55"/>
  <c r="X1214" i="55"/>
  <c r="X1213" i="55"/>
  <c r="X1212" i="55"/>
  <c r="X1211" i="55"/>
  <c r="X1210" i="55"/>
  <c r="X1209" i="55"/>
  <c r="X1208" i="55"/>
  <c r="X1207" i="55"/>
  <c r="X1206" i="55"/>
  <c r="X1205" i="55"/>
  <c r="X1204" i="55"/>
  <c r="X1203" i="55"/>
  <c r="X1202" i="55"/>
  <c r="X1201" i="55"/>
  <c r="X1200" i="55"/>
  <c r="X1199" i="55"/>
  <c r="X1198" i="55"/>
  <c r="X1197" i="55"/>
  <c r="X1196" i="55"/>
  <c r="X1195" i="55"/>
  <c r="X1194" i="55"/>
  <c r="X1193" i="55"/>
  <c r="X1192" i="55"/>
  <c r="X1191" i="55"/>
  <c r="X1190" i="55"/>
  <c r="X1189" i="55"/>
  <c r="X1188" i="55"/>
  <c r="X1187" i="55"/>
  <c r="X1186" i="55"/>
  <c r="X1185" i="55"/>
  <c r="X1184" i="55"/>
  <c r="X1183" i="55"/>
  <c r="X1182" i="55"/>
  <c r="X1181" i="55"/>
  <c r="X1180" i="55"/>
  <c r="X1179" i="55"/>
  <c r="X1178" i="55"/>
  <c r="X1177" i="55"/>
  <c r="X1176" i="55"/>
  <c r="X1175" i="55"/>
  <c r="X1174" i="55"/>
  <c r="X1173" i="55"/>
  <c r="X1172" i="55"/>
  <c r="X1171" i="55"/>
  <c r="X1170" i="55"/>
  <c r="X1169" i="55"/>
  <c r="X1168" i="55"/>
  <c r="X1167" i="55"/>
  <c r="X1166" i="55"/>
  <c r="X1165" i="55"/>
  <c r="X1164" i="55"/>
  <c r="X1163" i="55"/>
  <c r="X1162" i="55"/>
  <c r="X1161" i="55"/>
  <c r="X1160" i="55"/>
  <c r="X1159" i="55"/>
  <c r="X1158" i="55"/>
  <c r="X1157" i="55"/>
  <c r="X1156" i="55"/>
  <c r="X1155" i="55"/>
  <c r="X1154" i="55"/>
  <c r="X1153" i="55"/>
  <c r="X1152" i="55"/>
  <c r="X1151" i="55"/>
  <c r="X1150" i="55"/>
  <c r="X1149" i="55"/>
  <c r="X1148" i="55"/>
  <c r="X1147" i="55"/>
  <c r="X1146" i="55"/>
  <c r="X1145" i="55"/>
  <c r="X1144" i="55"/>
  <c r="X1143" i="55"/>
  <c r="X1142" i="55"/>
  <c r="X1141" i="55"/>
  <c r="X1140" i="55"/>
  <c r="X1139" i="55"/>
  <c r="X1138" i="55"/>
  <c r="X1137" i="55"/>
  <c r="X1136" i="55"/>
  <c r="X1135" i="55"/>
  <c r="X1134" i="55"/>
  <c r="X1133" i="55"/>
  <c r="X1132" i="55"/>
  <c r="X1131" i="55"/>
  <c r="X1130" i="55"/>
  <c r="X1129" i="55"/>
  <c r="X1128" i="55"/>
  <c r="X1127" i="55"/>
  <c r="X1126" i="55"/>
  <c r="X1125" i="55"/>
  <c r="X1124" i="55"/>
  <c r="X1123" i="55"/>
  <c r="X1122" i="55"/>
  <c r="X1121" i="55"/>
  <c r="X1120" i="55"/>
  <c r="X1119" i="55"/>
  <c r="X1118" i="55"/>
  <c r="X1117" i="55"/>
  <c r="X1116" i="55"/>
  <c r="X1115" i="55"/>
  <c r="X1114" i="55"/>
  <c r="X1113" i="55"/>
  <c r="X1112" i="55"/>
  <c r="X1111" i="55"/>
  <c r="X1110" i="55"/>
  <c r="X1109" i="55"/>
  <c r="X1108" i="55"/>
  <c r="X1107" i="55"/>
  <c r="X1106" i="55"/>
  <c r="X1105" i="55"/>
  <c r="X1104" i="55"/>
  <c r="X1103" i="55"/>
  <c r="X1102" i="55"/>
  <c r="X1101" i="55"/>
  <c r="X1100" i="55"/>
  <c r="X1099" i="55"/>
  <c r="X1098" i="55"/>
  <c r="X1097" i="55"/>
  <c r="X1096" i="55"/>
  <c r="X1095" i="55"/>
  <c r="X1094" i="55"/>
  <c r="X1093" i="55"/>
  <c r="X1092" i="55"/>
  <c r="X1091" i="55"/>
  <c r="X1090" i="55"/>
  <c r="X1089" i="55"/>
  <c r="X1088" i="55"/>
  <c r="X1087" i="55"/>
  <c r="X1086" i="55"/>
  <c r="X1085" i="55"/>
  <c r="X1084" i="55"/>
  <c r="X1083" i="55"/>
  <c r="X1082" i="55"/>
  <c r="X1081" i="55"/>
  <c r="X1080" i="55"/>
  <c r="X1079" i="55"/>
  <c r="X1078" i="55"/>
  <c r="X1077" i="55"/>
  <c r="X1076" i="55"/>
  <c r="X1075" i="55"/>
  <c r="X1074" i="55"/>
  <c r="X1073" i="55"/>
  <c r="X1072" i="55"/>
  <c r="X1071" i="55"/>
  <c r="X1070" i="55"/>
  <c r="X1069" i="55"/>
  <c r="X1068" i="55"/>
  <c r="X1067" i="55"/>
  <c r="X1066" i="55"/>
  <c r="X1065" i="55"/>
  <c r="X1064" i="55"/>
  <c r="X1063" i="55"/>
  <c r="X1062" i="55"/>
  <c r="X1061" i="55"/>
  <c r="X1060" i="55"/>
  <c r="X1059" i="55"/>
  <c r="X1058" i="55"/>
  <c r="X1057" i="55"/>
  <c r="X1056" i="55"/>
  <c r="X1055" i="55"/>
  <c r="X1054" i="55"/>
  <c r="X1053" i="55"/>
  <c r="X1052" i="55"/>
  <c r="X1051" i="55"/>
  <c r="X1050" i="55"/>
  <c r="X1049" i="55"/>
  <c r="X1048" i="55"/>
  <c r="X1047" i="55"/>
  <c r="X1046" i="55"/>
  <c r="X1045" i="55"/>
  <c r="X1044" i="55"/>
  <c r="X1043" i="55"/>
  <c r="X1042" i="55"/>
  <c r="X1041" i="55"/>
  <c r="X1040" i="55"/>
  <c r="X1039" i="55"/>
  <c r="X1038" i="55"/>
  <c r="X1037" i="55"/>
  <c r="X1036" i="55"/>
  <c r="X1035" i="55"/>
  <c r="X1034" i="55"/>
  <c r="X1033" i="55"/>
  <c r="X1032" i="55"/>
  <c r="X1031" i="55"/>
  <c r="X1030" i="55"/>
  <c r="X1029" i="55"/>
  <c r="X1028" i="55"/>
  <c r="X1027" i="55"/>
  <c r="X1026" i="55"/>
  <c r="X1025" i="55"/>
  <c r="X1024" i="55"/>
  <c r="X1023" i="55"/>
  <c r="X1022" i="55"/>
  <c r="X1021" i="55"/>
  <c r="X1020" i="55"/>
  <c r="X1019" i="55"/>
  <c r="X1018" i="55"/>
  <c r="X1017" i="55"/>
  <c r="X1016" i="55"/>
  <c r="X1015" i="55"/>
  <c r="X1014" i="55"/>
  <c r="X1013" i="55"/>
  <c r="X1012" i="55"/>
  <c r="X1011" i="55"/>
  <c r="X1010" i="55"/>
  <c r="X1009" i="55"/>
  <c r="X1008" i="55"/>
  <c r="X1007" i="55"/>
  <c r="X1006" i="55"/>
  <c r="X1005" i="55"/>
  <c r="X1004" i="55"/>
  <c r="X1003" i="55"/>
  <c r="X1002" i="55"/>
  <c r="X1001" i="55"/>
  <c r="X1000" i="55"/>
  <c r="X999" i="55"/>
  <c r="X998" i="55"/>
  <c r="X997" i="55"/>
  <c r="X996" i="55"/>
  <c r="X995" i="55"/>
  <c r="X994" i="55"/>
  <c r="X993" i="55"/>
  <c r="X992" i="55"/>
  <c r="X991" i="55"/>
  <c r="X990" i="55"/>
  <c r="X989" i="55"/>
  <c r="X988" i="55"/>
  <c r="X987" i="55"/>
  <c r="X986" i="55"/>
  <c r="X985" i="55"/>
  <c r="X984" i="55"/>
  <c r="X983" i="55"/>
  <c r="X982" i="55"/>
  <c r="X981" i="55"/>
  <c r="X980" i="55"/>
  <c r="X979" i="55"/>
  <c r="X978" i="55"/>
  <c r="X977" i="55"/>
  <c r="X976" i="55"/>
  <c r="X975" i="55"/>
  <c r="X974" i="55"/>
  <c r="X973" i="55"/>
  <c r="X972" i="55"/>
  <c r="X971" i="55"/>
  <c r="X970" i="55"/>
  <c r="X969" i="55"/>
  <c r="X968" i="55"/>
  <c r="X967" i="55"/>
  <c r="X966" i="55"/>
  <c r="X965" i="55"/>
  <c r="X964" i="55"/>
  <c r="X963" i="55"/>
  <c r="X962" i="55"/>
  <c r="X961" i="55"/>
  <c r="X960" i="55"/>
  <c r="X959" i="55"/>
  <c r="X958" i="55"/>
  <c r="X957" i="55"/>
  <c r="X956" i="55"/>
  <c r="X955" i="55"/>
  <c r="X954" i="55"/>
  <c r="X953" i="55"/>
  <c r="X952" i="55"/>
  <c r="X951" i="55"/>
  <c r="X950" i="55"/>
  <c r="X949" i="55"/>
  <c r="X948" i="55"/>
  <c r="X947" i="55"/>
  <c r="X946" i="55"/>
  <c r="X945" i="55"/>
  <c r="X944" i="55"/>
  <c r="X943" i="55"/>
  <c r="X942" i="55"/>
  <c r="X941" i="55"/>
  <c r="X940" i="55"/>
  <c r="X939" i="55"/>
  <c r="X938" i="55"/>
  <c r="X937" i="55"/>
  <c r="X936" i="55"/>
  <c r="X935" i="55"/>
  <c r="X934" i="55"/>
  <c r="X933" i="55"/>
  <c r="X932" i="55"/>
  <c r="X931" i="55"/>
  <c r="X930" i="55"/>
  <c r="X929" i="55"/>
  <c r="X928" i="55"/>
  <c r="X927" i="55"/>
  <c r="X926" i="55"/>
  <c r="X925" i="55"/>
  <c r="X924" i="55"/>
  <c r="X923" i="55"/>
  <c r="X922" i="55"/>
  <c r="X921" i="55"/>
  <c r="X920" i="55"/>
  <c r="X919" i="55"/>
  <c r="X918" i="55"/>
  <c r="X917" i="55"/>
  <c r="X916" i="55"/>
  <c r="X915" i="55"/>
  <c r="X914" i="55"/>
  <c r="X913" i="55"/>
  <c r="X912" i="55"/>
  <c r="X911" i="55"/>
  <c r="X910" i="55"/>
  <c r="X909" i="55"/>
  <c r="X908" i="55"/>
  <c r="X907" i="55"/>
  <c r="X906" i="55"/>
  <c r="X905" i="55"/>
  <c r="X904" i="55"/>
  <c r="X903" i="55"/>
  <c r="X902" i="55"/>
  <c r="X901" i="55"/>
  <c r="X900" i="55"/>
  <c r="X899" i="55"/>
  <c r="X898" i="55"/>
  <c r="X897" i="55"/>
  <c r="X896" i="55"/>
  <c r="X895" i="55"/>
  <c r="X894" i="55"/>
  <c r="X893" i="55"/>
  <c r="X892" i="55"/>
  <c r="X891" i="55"/>
  <c r="X890" i="55"/>
  <c r="X889" i="55"/>
  <c r="X888" i="55"/>
  <c r="X887" i="55"/>
  <c r="X886" i="55"/>
  <c r="X885" i="55"/>
  <c r="X884" i="55"/>
  <c r="X883" i="55"/>
  <c r="X882" i="55"/>
  <c r="X881" i="55"/>
  <c r="X880" i="55"/>
  <c r="X879" i="55"/>
  <c r="X878" i="55"/>
  <c r="X877" i="55"/>
  <c r="X876" i="55"/>
  <c r="X875" i="55"/>
  <c r="X874" i="55"/>
  <c r="X873" i="55"/>
  <c r="X872" i="55"/>
  <c r="X871" i="55"/>
  <c r="X870" i="55"/>
  <c r="X869" i="55"/>
  <c r="X868" i="55"/>
  <c r="X867" i="55"/>
  <c r="X866" i="55"/>
  <c r="X865" i="55"/>
  <c r="X864" i="55"/>
  <c r="X863" i="55"/>
  <c r="X862" i="55"/>
  <c r="X861" i="55"/>
  <c r="X860" i="55"/>
  <c r="X859" i="55"/>
  <c r="X858" i="55"/>
  <c r="X857" i="55"/>
  <c r="X856" i="55"/>
  <c r="X855" i="55"/>
  <c r="X854" i="55"/>
  <c r="X853" i="55"/>
  <c r="X852" i="55"/>
  <c r="X851" i="55"/>
  <c r="X850" i="55"/>
  <c r="X849" i="55"/>
  <c r="X848" i="55"/>
  <c r="X847" i="55"/>
  <c r="X846" i="55"/>
  <c r="X845" i="55"/>
  <c r="X844" i="55"/>
  <c r="X843" i="55"/>
  <c r="X842" i="55"/>
  <c r="X841" i="55"/>
  <c r="X840" i="55"/>
  <c r="X839" i="55"/>
  <c r="X838" i="55"/>
  <c r="X837" i="55"/>
  <c r="X836" i="55"/>
  <c r="X835" i="55"/>
  <c r="X834" i="55"/>
  <c r="X833" i="55"/>
  <c r="X832" i="55"/>
  <c r="X831" i="55"/>
  <c r="X830" i="55"/>
  <c r="X829" i="55"/>
  <c r="X828" i="55"/>
  <c r="X827" i="55"/>
  <c r="X826" i="55"/>
  <c r="X825" i="55"/>
  <c r="X824" i="55"/>
  <c r="X823" i="55"/>
  <c r="X822" i="55"/>
  <c r="X821" i="55"/>
  <c r="X820" i="55"/>
  <c r="X819" i="55"/>
  <c r="X818" i="55"/>
  <c r="X817" i="55"/>
  <c r="X816" i="55"/>
  <c r="X815" i="55"/>
  <c r="X814" i="55"/>
  <c r="X813" i="55"/>
  <c r="X812" i="55"/>
  <c r="X811" i="55"/>
  <c r="X810" i="55"/>
  <c r="X809" i="55"/>
  <c r="X808" i="55"/>
  <c r="X807" i="55"/>
  <c r="X806" i="55"/>
  <c r="X805" i="55"/>
  <c r="X804" i="55"/>
  <c r="X803" i="55"/>
  <c r="X802" i="55"/>
  <c r="X801" i="55"/>
  <c r="X800" i="55"/>
  <c r="X799" i="55"/>
  <c r="X798" i="55"/>
  <c r="X797" i="55"/>
  <c r="X796" i="55"/>
  <c r="X795" i="55"/>
  <c r="X794" i="55"/>
  <c r="X793" i="55"/>
  <c r="X792" i="55"/>
  <c r="X791" i="55"/>
  <c r="X790" i="55"/>
  <c r="X789" i="55"/>
  <c r="X788" i="55"/>
  <c r="X787" i="55"/>
  <c r="X786" i="55"/>
  <c r="X785" i="55"/>
  <c r="X784" i="55"/>
  <c r="X783" i="55"/>
  <c r="X782" i="55"/>
  <c r="X781" i="55"/>
  <c r="X780" i="55"/>
  <c r="X779" i="55"/>
  <c r="X778" i="55"/>
  <c r="X777" i="55"/>
  <c r="X776" i="55"/>
  <c r="X775" i="55"/>
  <c r="X774" i="55"/>
  <c r="X773" i="55"/>
  <c r="X772" i="55"/>
  <c r="X771" i="55"/>
  <c r="X770" i="55"/>
  <c r="X769" i="55"/>
  <c r="X768" i="55"/>
  <c r="X767" i="55"/>
  <c r="X766" i="55"/>
  <c r="X765" i="55"/>
  <c r="X764" i="55"/>
  <c r="X763" i="55"/>
  <c r="X762" i="55"/>
  <c r="X761" i="55"/>
  <c r="X760" i="55"/>
  <c r="X759" i="55"/>
  <c r="X758" i="55"/>
  <c r="X757" i="55"/>
  <c r="X756" i="55"/>
  <c r="X755" i="55"/>
  <c r="X754" i="55"/>
  <c r="X753" i="55"/>
  <c r="X752" i="55"/>
  <c r="X751" i="55"/>
  <c r="X750" i="55"/>
  <c r="X749" i="55"/>
  <c r="X748" i="55"/>
  <c r="X747" i="55"/>
  <c r="X746" i="55"/>
  <c r="X745" i="55"/>
  <c r="X744" i="55"/>
  <c r="X743" i="55"/>
  <c r="X742" i="55"/>
  <c r="X741" i="55"/>
  <c r="X740" i="55"/>
  <c r="X739" i="55"/>
  <c r="X738" i="55"/>
  <c r="X737" i="55"/>
  <c r="X736" i="55"/>
  <c r="X735" i="55"/>
  <c r="X734" i="55"/>
  <c r="X733" i="55"/>
  <c r="X732" i="55"/>
  <c r="X731" i="55"/>
  <c r="X730" i="55"/>
  <c r="X729" i="55"/>
  <c r="X728" i="55"/>
  <c r="X727" i="55"/>
  <c r="X726" i="55"/>
  <c r="X725" i="55"/>
  <c r="X724" i="55"/>
  <c r="X723" i="55"/>
  <c r="X722" i="55"/>
  <c r="X721" i="55"/>
  <c r="X720" i="55"/>
  <c r="X719" i="55"/>
  <c r="X718" i="55"/>
  <c r="X717" i="55"/>
  <c r="X716" i="55"/>
  <c r="X715" i="55"/>
  <c r="X714" i="55"/>
  <c r="X713" i="55"/>
  <c r="X712" i="55"/>
  <c r="X711" i="55"/>
  <c r="X710" i="55"/>
  <c r="X709" i="55"/>
  <c r="X708" i="55"/>
  <c r="X707" i="55"/>
  <c r="X706" i="55"/>
  <c r="X705" i="55"/>
  <c r="X704" i="55"/>
  <c r="X703" i="55"/>
  <c r="X702" i="55"/>
  <c r="X701" i="55"/>
  <c r="X700" i="55"/>
  <c r="X699" i="55"/>
  <c r="X698" i="55"/>
  <c r="X697" i="55"/>
  <c r="X696" i="55"/>
  <c r="X695" i="55"/>
  <c r="X694" i="55"/>
  <c r="X693" i="55"/>
  <c r="X692" i="55"/>
  <c r="X691" i="55"/>
  <c r="X690" i="55"/>
  <c r="X689" i="55"/>
  <c r="X688" i="55"/>
  <c r="X687" i="55"/>
  <c r="X686" i="55"/>
  <c r="X685" i="55"/>
  <c r="X684" i="55"/>
  <c r="X683" i="55"/>
  <c r="X682" i="55"/>
  <c r="X681" i="55"/>
  <c r="X680" i="55"/>
  <c r="X679" i="55"/>
  <c r="X678" i="55"/>
  <c r="X677" i="55"/>
  <c r="X676" i="55"/>
  <c r="X675" i="55"/>
  <c r="X674" i="55"/>
  <c r="X673" i="55"/>
  <c r="X672" i="55"/>
  <c r="X671" i="55"/>
  <c r="X670" i="55"/>
  <c r="X669" i="55"/>
  <c r="X668" i="55"/>
  <c r="X667" i="55"/>
  <c r="X666" i="55"/>
  <c r="X665" i="55"/>
  <c r="X664" i="55"/>
  <c r="X663" i="55"/>
  <c r="X662" i="55"/>
  <c r="X661" i="55"/>
  <c r="X660" i="55"/>
  <c r="X659" i="55"/>
  <c r="X658" i="55"/>
  <c r="X657" i="55"/>
  <c r="X656" i="55"/>
  <c r="X655" i="55"/>
  <c r="X654" i="55"/>
  <c r="X653" i="55"/>
  <c r="X652" i="55"/>
  <c r="X651" i="55"/>
  <c r="X650" i="55"/>
  <c r="X649" i="55"/>
  <c r="X648" i="55"/>
  <c r="X647" i="55"/>
  <c r="X646" i="55"/>
  <c r="X645" i="55"/>
  <c r="X644" i="55"/>
  <c r="X643" i="55"/>
  <c r="X642" i="55"/>
  <c r="X641" i="55"/>
  <c r="X640" i="55"/>
  <c r="X639" i="55"/>
  <c r="X638" i="55"/>
  <c r="X637" i="55"/>
  <c r="X636" i="55"/>
  <c r="X635" i="55"/>
  <c r="X634" i="55"/>
  <c r="X633" i="55"/>
  <c r="X632" i="55"/>
  <c r="X631" i="55"/>
  <c r="X630" i="55"/>
  <c r="X629" i="55"/>
  <c r="X628" i="55"/>
  <c r="X627" i="55"/>
  <c r="X626" i="55"/>
  <c r="X625" i="55"/>
  <c r="X624" i="55"/>
  <c r="X623" i="55"/>
  <c r="X622" i="55"/>
  <c r="X621" i="55"/>
  <c r="X620" i="55"/>
  <c r="X619" i="55"/>
  <c r="X618" i="55"/>
  <c r="X617" i="55"/>
  <c r="X616" i="55"/>
  <c r="X615" i="55"/>
  <c r="X614" i="55"/>
  <c r="X613" i="55"/>
  <c r="X612" i="55"/>
  <c r="X611" i="55"/>
  <c r="X610" i="55"/>
  <c r="X609" i="55"/>
  <c r="X608" i="55"/>
  <c r="X607" i="55"/>
  <c r="X606" i="55"/>
  <c r="X605" i="55"/>
  <c r="X604" i="55"/>
  <c r="X603" i="55"/>
  <c r="X602" i="55"/>
  <c r="X601" i="55"/>
  <c r="X600" i="55"/>
  <c r="X599" i="55"/>
  <c r="X598" i="55"/>
  <c r="X597" i="55"/>
  <c r="X596" i="55"/>
  <c r="X595" i="55"/>
  <c r="X594" i="55"/>
  <c r="X593" i="55"/>
  <c r="X592" i="55"/>
  <c r="X591" i="55"/>
  <c r="X590" i="55"/>
  <c r="X589" i="55"/>
  <c r="X588" i="55"/>
  <c r="X587" i="55"/>
  <c r="X586" i="55"/>
  <c r="X585" i="55"/>
  <c r="X584" i="55"/>
  <c r="X583" i="55"/>
  <c r="X582" i="55"/>
  <c r="X581" i="55"/>
  <c r="X580" i="55"/>
  <c r="X579" i="55"/>
  <c r="X578" i="55"/>
  <c r="X577" i="55"/>
  <c r="X576" i="55"/>
  <c r="X575" i="55"/>
  <c r="X574" i="55"/>
  <c r="X573" i="55"/>
  <c r="X572" i="55"/>
  <c r="X571" i="55"/>
  <c r="X570" i="55"/>
  <c r="X569" i="55"/>
  <c r="X568" i="55"/>
  <c r="X567" i="55"/>
  <c r="X566" i="55"/>
  <c r="X565" i="55"/>
  <c r="X564" i="55"/>
  <c r="X563" i="55"/>
  <c r="X562" i="55"/>
  <c r="X561" i="55"/>
  <c r="X560" i="55"/>
  <c r="X559" i="55"/>
  <c r="X558" i="55"/>
  <c r="X557" i="55"/>
  <c r="X556" i="55"/>
  <c r="X555" i="55"/>
  <c r="X554" i="55"/>
  <c r="X553" i="55"/>
  <c r="X552" i="55"/>
  <c r="X551" i="55"/>
  <c r="X550" i="55"/>
  <c r="X549" i="55"/>
  <c r="X548" i="55"/>
  <c r="X547" i="55"/>
  <c r="X546" i="55"/>
  <c r="X545" i="55"/>
  <c r="X544" i="55"/>
  <c r="X543" i="55"/>
  <c r="X542" i="55"/>
  <c r="X541" i="55"/>
  <c r="X540" i="55"/>
  <c r="X539" i="55"/>
  <c r="X538" i="55"/>
  <c r="X537" i="55"/>
  <c r="X536" i="55"/>
  <c r="X535" i="55"/>
  <c r="X534" i="55"/>
  <c r="X533" i="55"/>
  <c r="X532" i="55"/>
  <c r="X531" i="55"/>
  <c r="X530" i="55"/>
  <c r="X529" i="55"/>
  <c r="X528" i="55"/>
  <c r="X527" i="55"/>
  <c r="X526" i="55"/>
  <c r="X525" i="55"/>
  <c r="X524" i="55"/>
  <c r="X523" i="55"/>
  <c r="X522" i="55"/>
  <c r="X521" i="55"/>
  <c r="X520" i="55"/>
  <c r="X519" i="55"/>
  <c r="X518" i="55"/>
  <c r="X517" i="55"/>
  <c r="X516" i="55"/>
  <c r="X515" i="55"/>
  <c r="X514" i="55"/>
  <c r="X513" i="55"/>
  <c r="X512" i="55"/>
  <c r="X511" i="55"/>
  <c r="X510" i="55"/>
  <c r="X509" i="55"/>
  <c r="X508" i="55"/>
  <c r="X507" i="55"/>
  <c r="X506" i="55"/>
  <c r="X505" i="55"/>
  <c r="X504" i="55"/>
  <c r="X503" i="55"/>
  <c r="X502" i="55"/>
  <c r="X501" i="55"/>
  <c r="X500" i="55"/>
  <c r="X499" i="55"/>
  <c r="X498" i="55"/>
  <c r="X497" i="55"/>
  <c r="X496" i="55"/>
  <c r="X495" i="55"/>
  <c r="X494" i="55"/>
  <c r="X493" i="55"/>
  <c r="X492" i="55"/>
  <c r="X491" i="55"/>
  <c r="X490" i="55"/>
  <c r="X489" i="55"/>
  <c r="X488" i="55"/>
  <c r="X487" i="55"/>
  <c r="X486" i="55"/>
  <c r="X485" i="55"/>
  <c r="X484" i="55"/>
  <c r="X483" i="55"/>
  <c r="X482" i="55"/>
  <c r="X481" i="55"/>
  <c r="X480" i="55"/>
  <c r="X479" i="55"/>
  <c r="X478" i="55"/>
  <c r="X477" i="55"/>
  <c r="X476" i="55"/>
  <c r="X475" i="55"/>
  <c r="X474" i="55"/>
  <c r="X473" i="55"/>
  <c r="X472" i="55"/>
  <c r="X471" i="55"/>
  <c r="X470" i="55"/>
  <c r="X469" i="55"/>
  <c r="X468" i="55"/>
  <c r="X467" i="55"/>
  <c r="X466" i="55"/>
  <c r="X465" i="55"/>
  <c r="X464" i="55"/>
  <c r="X463" i="55"/>
  <c r="X462" i="55"/>
  <c r="X461" i="55"/>
  <c r="X460" i="55"/>
  <c r="X459" i="55"/>
  <c r="X458" i="55"/>
  <c r="X457" i="55"/>
  <c r="X456" i="55"/>
  <c r="X455" i="55"/>
  <c r="X454" i="55"/>
  <c r="X453" i="55"/>
  <c r="X452" i="55"/>
  <c r="X451" i="55"/>
  <c r="X450" i="55"/>
  <c r="X449" i="55"/>
  <c r="X448" i="55"/>
  <c r="X447" i="55"/>
  <c r="X446" i="55"/>
  <c r="X445" i="55"/>
  <c r="X444" i="55"/>
  <c r="X443" i="55"/>
  <c r="X442" i="55"/>
  <c r="X441" i="55"/>
  <c r="X440" i="55"/>
  <c r="X439" i="55"/>
  <c r="X438" i="55"/>
  <c r="X437" i="55"/>
  <c r="X436" i="55"/>
  <c r="X435" i="55"/>
  <c r="X434" i="55"/>
  <c r="X433" i="55"/>
  <c r="X432" i="55"/>
  <c r="X431" i="55"/>
  <c r="X430" i="55"/>
  <c r="X429" i="55"/>
  <c r="X428" i="55"/>
  <c r="X427" i="55"/>
  <c r="X426" i="55"/>
  <c r="X425" i="55"/>
  <c r="X424" i="55"/>
  <c r="X423" i="55"/>
  <c r="X422" i="55"/>
  <c r="X421" i="55"/>
  <c r="X420" i="55"/>
  <c r="X419" i="55"/>
  <c r="X418" i="55"/>
  <c r="X417" i="55"/>
  <c r="X416" i="55"/>
  <c r="X415" i="55"/>
  <c r="X414" i="55"/>
  <c r="X413" i="55"/>
  <c r="X412" i="55"/>
  <c r="X411" i="55"/>
  <c r="X410" i="55"/>
  <c r="X409" i="55"/>
  <c r="X408" i="55"/>
  <c r="X407" i="55"/>
  <c r="X406" i="55"/>
  <c r="X405" i="55"/>
  <c r="X404" i="55"/>
  <c r="X403" i="55"/>
  <c r="X402" i="55"/>
  <c r="X401" i="55"/>
  <c r="X400" i="55"/>
  <c r="X399" i="55"/>
  <c r="X398" i="55"/>
  <c r="X397" i="55"/>
  <c r="X396" i="55"/>
  <c r="X395" i="55"/>
  <c r="X394" i="55"/>
  <c r="X393" i="55"/>
  <c r="X392" i="55"/>
  <c r="X391" i="55"/>
  <c r="X390" i="55"/>
  <c r="X389" i="55"/>
  <c r="X388" i="55"/>
  <c r="X387" i="55"/>
  <c r="X386" i="55"/>
  <c r="X385" i="55"/>
  <c r="X384" i="55"/>
  <c r="X383" i="55"/>
  <c r="X382" i="55"/>
  <c r="X381" i="55"/>
  <c r="X380" i="55"/>
  <c r="X379" i="55"/>
  <c r="X378" i="55"/>
  <c r="X377" i="55"/>
  <c r="X376" i="55"/>
  <c r="X375" i="55"/>
  <c r="X374" i="55"/>
  <c r="X373" i="55"/>
  <c r="X372" i="55"/>
  <c r="X371" i="55"/>
  <c r="X370" i="55"/>
  <c r="X369" i="55"/>
  <c r="X368" i="55"/>
  <c r="X367" i="55"/>
  <c r="X366" i="55"/>
  <c r="X365" i="55"/>
  <c r="X364" i="55"/>
  <c r="X363" i="55"/>
  <c r="X362" i="55"/>
  <c r="X361" i="55"/>
  <c r="X360" i="55"/>
  <c r="X359" i="55"/>
  <c r="X358" i="55"/>
  <c r="X357" i="55"/>
  <c r="X356" i="55"/>
  <c r="X355" i="55"/>
  <c r="X354" i="55"/>
  <c r="X353" i="55"/>
  <c r="X352" i="55"/>
  <c r="X351" i="55"/>
  <c r="X350" i="55"/>
  <c r="X349" i="55"/>
  <c r="X348" i="55"/>
  <c r="X347" i="55"/>
  <c r="X346" i="55"/>
  <c r="X345" i="55"/>
  <c r="X344" i="55"/>
  <c r="X343" i="55"/>
  <c r="X342" i="55"/>
  <c r="X341" i="55"/>
  <c r="X340" i="55"/>
  <c r="X339" i="55"/>
  <c r="X338" i="55"/>
  <c r="X337" i="55"/>
  <c r="X336" i="55"/>
  <c r="X335" i="55"/>
  <c r="X334" i="55"/>
  <c r="X333" i="55"/>
  <c r="X332" i="55"/>
  <c r="X331" i="55"/>
  <c r="X330" i="55"/>
  <c r="X329" i="55"/>
  <c r="X328" i="55"/>
  <c r="X327" i="55"/>
  <c r="X326" i="55"/>
  <c r="X325" i="55"/>
  <c r="X324" i="55"/>
  <c r="X323" i="55"/>
  <c r="X322" i="55"/>
  <c r="X321" i="55"/>
  <c r="X320" i="55"/>
  <c r="X319" i="55"/>
  <c r="X318" i="55"/>
  <c r="X317" i="55"/>
  <c r="X316" i="55"/>
  <c r="X315" i="55"/>
  <c r="X314" i="55"/>
  <c r="X313" i="55"/>
  <c r="X312" i="55"/>
  <c r="X311" i="55"/>
  <c r="X310" i="55"/>
  <c r="X309" i="55"/>
  <c r="X308" i="55"/>
  <c r="X307" i="55"/>
  <c r="X306" i="55"/>
  <c r="X305" i="55"/>
  <c r="X304" i="55"/>
  <c r="X303" i="55"/>
  <c r="X302" i="55"/>
  <c r="X301" i="55"/>
  <c r="X300" i="55"/>
  <c r="X299" i="55"/>
  <c r="X298" i="55"/>
  <c r="X297" i="55"/>
  <c r="X296" i="55"/>
  <c r="X295" i="55"/>
  <c r="X294" i="55"/>
  <c r="X293" i="55"/>
  <c r="X292" i="55"/>
  <c r="X291" i="55"/>
  <c r="X290" i="55"/>
  <c r="X289" i="55"/>
  <c r="X288" i="55"/>
  <c r="X287" i="55"/>
  <c r="X286" i="55"/>
  <c r="X285" i="55"/>
  <c r="X284" i="55"/>
  <c r="X283" i="55"/>
  <c r="X282" i="55"/>
  <c r="X281" i="55"/>
  <c r="X280" i="55"/>
  <c r="X279" i="55"/>
  <c r="X278" i="55"/>
  <c r="X277" i="55"/>
  <c r="X276" i="55"/>
  <c r="X275" i="55"/>
  <c r="X274" i="55"/>
  <c r="X273" i="55"/>
  <c r="X272" i="55"/>
  <c r="X271" i="55"/>
  <c r="X270" i="55"/>
  <c r="X269" i="55"/>
  <c r="X268" i="55"/>
  <c r="X267" i="55"/>
  <c r="X266" i="55"/>
  <c r="X265" i="55"/>
  <c r="X264" i="55"/>
  <c r="X263" i="55"/>
  <c r="X262" i="55"/>
  <c r="X261" i="55"/>
  <c r="X260" i="55"/>
  <c r="X259" i="55"/>
  <c r="X258" i="55"/>
  <c r="X257" i="55"/>
  <c r="X256" i="55"/>
  <c r="X255" i="55"/>
  <c r="X254" i="55"/>
  <c r="X253" i="55"/>
  <c r="X252" i="55"/>
  <c r="X251" i="55"/>
  <c r="X250" i="55"/>
  <c r="X249" i="55"/>
  <c r="X248" i="55"/>
  <c r="X247" i="55"/>
  <c r="X246" i="55"/>
  <c r="X245" i="55"/>
  <c r="X244" i="55"/>
  <c r="X243" i="55"/>
  <c r="X242" i="55"/>
  <c r="X241" i="55"/>
  <c r="X240" i="55"/>
  <c r="X239" i="55"/>
  <c r="X238" i="55"/>
  <c r="X237" i="55"/>
  <c r="X236" i="55"/>
  <c r="X235" i="55"/>
  <c r="X234" i="55"/>
  <c r="X233" i="55"/>
  <c r="X232" i="55"/>
  <c r="X231" i="55"/>
  <c r="X230" i="55"/>
  <c r="X229" i="55"/>
  <c r="X228" i="55"/>
  <c r="X227" i="55"/>
  <c r="X226" i="55"/>
  <c r="X225" i="55"/>
  <c r="X224" i="55"/>
  <c r="X223" i="55"/>
  <c r="X222" i="55"/>
  <c r="X221" i="55"/>
  <c r="X220" i="55"/>
  <c r="X219" i="55"/>
  <c r="X218" i="55"/>
  <c r="X217" i="55"/>
  <c r="X216" i="55"/>
  <c r="X215" i="55"/>
  <c r="X214" i="55"/>
  <c r="X213" i="55"/>
  <c r="X212" i="55"/>
  <c r="X211" i="55"/>
  <c r="X210" i="55"/>
  <c r="X209" i="55"/>
  <c r="X208" i="55"/>
  <c r="X207" i="55"/>
  <c r="X206" i="55"/>
  <c r="X205" i="55"/>
  <c r="X204" i="55"/>
  <c r="X203" i="55"/>
  <c r="X202" i="55"/>
  <c r="X201" i="55"/>
  <c r="X200" i="55"/>
  <c r="X199" i="55"/>
  <c r="X198" i="55"/>
  <c r="X197" i="55"/>
  <c r="X196" i="55"/>
  <c r="X195" i="55"/>
  <c r="X194" i="55"/>
  <c r="X193" i="55"/>
  <c r="X192" i="55"/>
  <c r="X191" i="55"/>
  <c r="X190" i="55"/>
  <c r="X189" i="55"/>
  <c r="X188" i="55"/>
  <c r="X187" i="55"/>
  <c r="X186" i="55"/>
  <c r="X185" i="55"/>
  <c r="X184" i="55"/>
  <c r="X183" i="55"/>
  <c r="X182" i="55"/>
  <c r="X181" i="55"/>
  <c r="X180" i="55"/>
  <c r="X179" i="55"/>
  <c r="X178" i="55"/>
  <c r="X177" i="55"/>
  <c r="X176" i="55"/>
  <c r="X175" i="55"/>
  <c r="X174" i="55"/>
  <c r="X173" i="55"/>
  <c r="X172" i="55"/>
  <c r="X171" i="55"/>
  <c r="X170" i="55"/>
  <c r="X169" i="55"/>
  <c r="X168" i="55"/>
  <c r="X167" i="55"/>
  <c r="X166" i="55"/>
  <c r="X165" i="55"/>
  <c r="X164" i="55"/>
  <c r="X163" i="55"/>
  <c r="X162" i="55"/>
  <c r="X161" i="55"/>
  <c r="X160" i="55"/>
  <c r="X159" i="55"/>
  <c r="X158" i="55"/>
  <c r="X157" i="55"/>
  <c r="X156" i="55"/>
  <c r="X155" i="55"/>
  <c r="X154" i="55"/>
  <c r="X153" i="55"/>
  <c r="X152" i="55"/>
  <c r="X151" i="55"/>
  <c r="X150" i="55"/>
  <c r="X149" i="55"/>
  <c r="X148" i="55"/>
  <c r="X147" i="55"/>
  <c r="X146" i="55"/>
  <c r="X145" i="55"/>
  <c r="X144" i="55"/>
  <c r="X143" i="55"/>
  <c r="X142" i="55"/>
  <c r="X141" i="55"/>
  <c r="X140" i="55"/>
  <c r="X139" i="55"/>
  <c r="X138" i="55"/>
  <c r="X137" i="55"/>
  <c r="X136" i="55"/>
  <c r="X135" i="55"/>
  <c r="X134" i="55"/>
  <c r="X133" i="55"/>
  <c r="X132" i="55"/>
  <c r="X131" i="55"/>
  <c r="X130" i="55"/>
  <c r="X129" i="55"/>
  <c r="X128" i="55"/>
  <c r="X127" i="55"/>
  <c r="X126" i="55"/>
  <c r="X125" i="55"/>
  <c r="X124" i="55"/>
  <c r="X123" i="55"/>
  <c r="X122" i="55"/>
  <c r="X121" i="55"/>
  <c r="X120" i="55"/>
  <c r="X119" i="55"/>
  <c r="X118" i="55"/>
  <c r="X117" i="55"/>
  <c r="X116" i="55"/>
  <c r="X115" i="55"/>
  <c r="X114" i="55"/>
  <c r="X113" i="55"/>
  <c r="X112" i="55"/>
  <c r="X111" i="55"/>
  <c r="X110" i="55"/>
  <c r="X109" i="55"/>
  <c r="X108" i="55"/>
  <c r="X107" i="55"/>
  <c r="X106" i="55"/>
  <c r="X105" i="55"/>
  <c r="X104" i="55"/>
  <c r="X103" i="55"/>
  <c r="X102" i="55"/>
  <c r="X101" i="55"/>
  <c r="X100" i="55"/>
  <c r="X99" i="55"/>
  <c r="X98" i="55"/>
  <c r="X97" i="55"/>
  <c r="X96" i="55"/>
  <c r="X95" i="55"/>
  <c r="X94" i="55"/>
  <c r="X93" i="55"/>
  <c r="X92" i="55"/>
  <c r="X91" i="55"/>
  <c r="X90" i="55"/>
  <c r="X89" i="55"/>
  <c r="X88" i="55"/>
  <c r="X87" i="55"/>
  <c r="X86" i="55"/>
  <c r="X85" i="55"/>
  <c r="X84" i="55"/>
  <c r="X83" i="55"/>
  <c r="X82" i="55"/>
  <c r="X81" i="55"/>
  <c r="X80" i="55"/>
  <c r="X79" i="55"/>
  <c r="X78" i="55"/>
  <c r="X77" i="55"/>
  <c r="X76" i="55"/>
  <c r="X75" i="55"/>
  <c r="X74" i="55"/>
  <c r="X73" i="55"/>
  <c r="X72" i="55"/>
  <c r="X71" i="55"/>
  <c r="X70" i="55"/>
  <c r="X69" i="55"/>
  <c r="X68" i="55"/>
  <c r="X67" i="55"/>
  <c r="X66" i="55"/>
  <c r="X65" i="55"/>
  <c r="X64" i="55"/>
  <c r="X63" i="55"/>
  <c r="X62" i="55"/>
  <c r="X61" i="55"/>
  <c r="X60" i="55"/>
  <c r="X59" i="55"/>
  <c r="X58" i="55"/>
  <c r="X57" i="55"/>
  <c r="X56" i="55"/>
  <c r="X55" i="55"/>
  <c r="X54" i="55"/>
  <c r="X53" i="55"/>
  <c r="X52" i="55"/>
  <c r="X51" i="55"/>
  <c r="X50" i="55"/>
  <c r="X49" i="55"/>
  <c r="X48" i="55"/>
  <c r="X47" i="55"/>
  <c r="X46" i="55"/>
  <c r="X45" i="55"/>
  <c r="X44" i="55"/>
  <c r="X43" i="55"/>
  <c r="X42" i="55"/>
  <c r="X41" i="55"/>
  <c r="X40" i="55"/>
  <c r="X39" i="55"/>
  <c r="X38" i="55"/>
  <c r="X37" i="55"/>
  <c r="X36" i="55"/>
  <c r="X35" i="55"/>
  <c r="X34" i="55"/>
  <c r="X33" i="55"/>
  <c r="X32" i="55"/>
  <c r="X31" i="55"/>
  <c r="X30" i="55"/>
  <c r="X29" i="55"/>
  <c r="X28" i="55"/>
  <c r="X27" i="55"/>
  <c r="X26" i="55"/>
  <c r="X25" i="55"/>
  <c r="X24" i="55"/>
  <c r="X23" i="55"/>
  <c r="X22" i="55"/>
  <c r="X21" i="55"/>
  <c r="X20" i="55"/>
  <c r="X19" i="55"/>
  <c r="X18" i="55"/>
  <c r="X17" i="55"/>
  <c r="X16" i="55"/>
  <c r="X15" i="55"/>
  <c r="X14" i="55"/>
  <c r="X13" i="55"/>
  <c r="X12" i="55"/>
  <c r="X11" i="55"/>
  <c r="X10" i="55"/>
  <c r="X9" i="55"/>
  <c r="X8" i="55"/>
  <c r="X7" i="55"/>
  <c r="X6" i="55"/>
  <c r="X5" i="55"/>
  <c r="X4" i="55"/>
  <c r="X3" i="55"/>
  <c r="R179" i="55" l="1"/>
  <c r="S179" i="55" s="1"/>
  <c r="R455" i="55"/>
  <c r="S455" i="55" s="1"/>
  <c r="R720" i="55"/>
  <c r="S720" i="55" s="1"/>
  <c r="R1039" i="55"/>
  <c r="S1039" i="55" s="1"/>
  <c r="R1415" i="55"/>
  <c r="S1415" i="55" s="1"/>
  <c r="R1876" i="55"/>
  <c r="S1876" i="55" s="1"/>
  <c r="R2372" i="55"/>
  <c r="S2372" i="55" s="1"/>
  <c r="R195" i="55"/>
  <c r="S195" i="55" s="1"/>
  <c r="R149" i="55"/>
  <c r="S149" i="55" s="1"/>
  <c r="R449" i="55"/>
  <c r="S449" i="55" s="1"/>
  <c r="R817" i="55"/>
  <c r="S817" i="55" s="1"/>
  <c r="R1180" i="55"/>
  <c r="S1180" i="55" s="1"/>
  <c r="R1558" i="55"/>
  <c r="S1558" i="55" s="1"/>
  <c r="R1942" i="55"/>
  <c r="S1942" i="55" s="1"/>
  <c r="R104" i="55"/>
  <c r="S104" i="55" s="1"/>
  <c r="R182" i="55"/>
  <c r="S182" i="55" s="1"/>
  <c r="R257" i="55"/>
  <c r="S257" i="55" s="1"/>
  <c r="R409" i="55"/>
  <c r="S409" i="55" s="1"/>
  <c r="R566" i="55"/>
  <c r="S566" i="55" s="1"/>
  <c r="R664" i="55"/>
  <c r="S664" i="55" s="1"/>
  <c r="R755" i="55"/>
  <c r="S755" i="55" s="1"/>
  <c r="R845" i="55"/>
  <c r="S845" i="55" s="1"/>
  <c r="R922" i="55"/>
  <c r="S922" i="55" s="1"/>
  <c r="R1027" i="55"/>
  <c r="S1027" i="55" s="1"/>
  <c r="R1119" i="55"/>
  <c r="S1119" i="55" s="1"/>
  <c r="R1211" i="55"/>
  <c r="S1211" i="55" s="1"/>
  <c r="R1280" i="55"/>
  <c r="S1280" i="55" s="1"/>
  <c r="R1356" i="55"/>
  <c r="S1356" i="55" s="1"/>
  <c r="R1433" i="55"/>
  <c r="S1433" i="55" s="1"/>
  <c r="R1528" i="55"/>
  <c r="S1528" i="55" s="1"/>
  <c r="R1601" i="55"/>
  <c r="S1601" i="55" s="1"/>
  <c r="R1690" i="55"/>
  <c r="S1690" i="55" s="1"/>
  <c r="R1835" i="55"/>
  <c r="S1835" i="55" s="1"/>
  <c r="R1911" i="55"/>
  <c r="S1911" i="55" s="1"/>
  <c r="R1989" i="55"/>
  <c r="S1989" i="55" s="1"/>
  <c r="R2158" i="55"/>
  <c r="S2158" i="55" s="1"/>
  <c r="R2249" i="55"/>
  <c r="S2249" i="55" s="1"/>
  <c r="R2362" i="55"/>
  <c r="S2362" i="55" s="1"/>
  <c r="R43" i="55"/>
  <c r="S43" i="55" s="1"/>
  <c r="R213" i="55"/>
  <c r="S213" i="55" s="1"/>
  <c r="R316" i="55"/>
  <c r="S316" i="55" s="1"/>
  <c r="R371" i="55"/>
  <c r="S371" i="55" s="1"/>
  <c r="R551" i="55"/>
  <c r="S551" i="55" s="1"/>
  <c r="R694" i="55"/>
  <c r="S694" i="55" s="1"/>
  <c r="R787" i="55"/>
  <c r="S787" i="55" s="1"/>
  <c r="R846" i="55"/>
  <c r="S846" i="55" s="1"/>
  <c r="R937" i="55"/>
  <c r="S937" i="55" s="1"/>
  <c r="R1043" i="55"/>
  <c r="S1043" i="55" s="1"/>
  <c r="R1182" i="55"/>
  <c r="S1182" i="55" s="1"/>
  <c r="R1295" i="55"/>
  <c r="S1295" i="55" s="1"/>
  <c r="R1388" i="55"/>
  <c r="S1388" i="55" s="1"/>
  <c r="R1529" i="55"/>
  <c r="S1529" i="55" s="1"/>
  <c r="R1706" i="55"/>
  <c r="S1706" i="55" s="1"/>
  <c r="R1764" i="55"/>
  <c r="S1764" i="55" s="1"/>
  <c r="R1850" i="55"/>
  <c r="S1850" i="55" s="1"/>
  <c r="R1928" i="55"/>
  <c r="S1928" i="55" s="1"/>
  <c r="R2114" i="55"/>
  <c r="S2114" i="55" s="1"/>
  <c r="R2235" i="55"/>
  <c r="S2235" i="55" s="1"/>
  <c r="R2376" i="55"/>
  <c r="S2376" i="55" s="1"/>
  <c r="R117" i="55"/>
  <c r="S117" i="55" s="1"/>
  <c r="R382" i="55"/>
  <c r="S382" i="55" s="1"/>
  <c r="R690" i="55"/>
  <c r="S690" i="55" s="1"/>
  <c r="R1163" i="55"/>
  <c r="S1163" i="55" s="1"/>
  <c r="R1703" i="55"/>
  <c r="S1703" i="55" s="1"/>
  <c r="R2343" i="55"/>
  <c r="S2343" i="55" s="1"/>
  <c r="R383" i="55"/>
  <c r="S383" i="55" s="1"/>
  <c r="R1056" i="55"/>
  <c r="S1056" i="55" s="1"/>
  <c r="R103" i="55"/>
  <c r="S103" i="55" s="1"/>
  <c r="R420" i="55"/>
  <c r="S420" i="55" s="1"/>
  <c r="R738" i="55"/>
  <c r="S738" i="55" s="1"/>
  <c r="R1057" i="55"/>
  <c r="S1057" i="55" s="1"/>
  <c r="R1401" i="55"/>
  <c r="S1401" i="55" s="1"/>
  <c r="R1720" i="55"/>
  <c r="S1720" i="55" s="1"/>
  <c r="R2019" i="55"/>
  <c r="S2019" i="55" s="1"/>
  <c r="R42" i="55"/>
  <c r="S42" i="55" s="1"/>
  <c r="R150" i="55"/>
  <c r="S150" i="55" s="1"/>
  <c r="R242" i="55"/>
  <c r="S242" i="55" s="1"/>
  <c r="R385" i="55"/>
  <c r="S385" i="55" s="1"/>
  <c r="R535" i="55"/>
  <c r="S535" i="55" s="1"/>
  <c r="R607" i="55"/>
  <c r="S607" i="55" s="1"/>
  <c r="R693" i="55"/>
  <c r="S693" i="55" s="1"/>
  <c r="R786" i="55"/>
  <c r="S786" i="55" s="1"/>
  <c r="R859" i="55"/>
  <c r="S859" i="55" s="1"/>
  <c r="R1012" i="55"/>
  <c r="S1012" i="55" s="1"/>
  <c r="R1103" i="55"/>
  <c r="S1103" i="55" s="1"/>
  <c r="R1223" i="55"/>
  <c r="S1223" i="55" s="1"/>
  <c r="R1324" i="55"/>
  <c r="S1324" i="55" s="1"/>
  <c r="R1418" i="55"/>
  <c r="S1418" i="55" s="1"/>
  <c r="R1512" i="55"/>
  <c r="S1512" i="55" s="1"/>
  <c r="R1631" i="55"/>
  <c r="S1631" i="55" s="1"/>
  <c r="R1721" i="55"/>
  <c r="S1721" i="55" s="1"/>
  <c r="R1777" i="55"/>
  <c r="S1777" i="55" s="1"/>
  <c r="R1879" i="55"/>
  <c r="S1879" i="55" s="1"/>
  <c r="R1974" i="55"/>
  <c r="S1974" i="55" s="1"/>
  <c r="R2051" i="55"/>
  <c r="S2051" i="55" s="1"/>
  <c r="R2097" i="55"/>
  <c r="S2097" i="55" s="1"/>
  <c r="R2188" i="55"/>
  <c r="S2188" i="55" s="1"/>
  <c r="R2263" i="55"/>
  <c r="S2263" i="55" s="1"/>
  <c r="R74" i="55"/>
  <c r="S74" i="55" s="1"/>
  <c r="R151" i="55"/>
  <c r="S151" i="55" s="1"/>
  <c r="R228" i="55"/>
  <c r="S228" i="55" s="1"/>
  <c r="R290" i="55"/>
  <c r="S290" i="55" s="1"/>
  <c r="R357" i="55"/>
  <c r="S357" i="55" s="1"/>
  <c r="R435" i="55"/>
  <c r="S435" i="55" s="1"/>
  <c r="R504" i="55"/>
  <c r="S504" i="55" s="1"/>
  <c r="R623" i="55"/>
  <c r="S623" i="55" s="1"/>
  <c r="R708" i="55"/>
  <c r="S708" i="55" s="1"/>
  <c r="R771" i="55"/>
  <c r="S771" i="55" s="1"/>
  <c r="R860" i="55"/>
  <c r="S860" i="55" s="1"/>
  <c r="R953" i="55"/>
  <c r="S953" i="55" s="1"/>
  <c r="R1028" i="55"/>
  <c r="S1028" i="55" s="1"/>
  <c r="R1136" i="55"/>
  <c r="S1136" i="55" s="1"/>
  <c r="R1224" i="55"/>
  <c r="S1224" i="55" s="1"/>
  <c r="R1325" i="55"/>
  <c r="S1325" i="55" s="1"/>
  <c r="R1403" i="55"/>
  <c r="S1403" i="55" s="1"/>
  <c r="R1497" i="55"/>
  <c r="S1497" i="55" s="1"/>
  <c r="R1588" i="55"/>
  <c r="S1588" i="55" s="1"/>
  <c r="R1662" i="55"/>
  <c r="S1662" i="55" s="1"/>
  <c r="R1778" i="55"/>
  <c r="S1778" i="55" s="1"/>
  <c r="R1836" i="55"/>
  <c r="S1836" i="55" s="1"/>
  <c r="R1912" i="55"/>
  <c r="S1912" i="55" s="1"/>
  <c r="R2005" i="55"/>
  <c r="S2005" i="55" s="1"/>
  <c r="R2082" i="55"/>
  <c r="S2082" i="55" s="1"/>
  <c r="R2189" i="55"/>
  <c r="S2189" i="55" s="1"/>
  <c r="R2250" i="55"/>
  <c r="S2250" i="55" s="1"/>
  <c r="R2333" i="55"/>
  <c r="S2333" i="55" s="1"/>
  <c r="R23" i="55"/>
  <c r="S23" i="55" s="1"/>
  <c r="R224" i="55"/>
  <c r="S224" i="55" s="1"/>
  <c r="R353" i="55"/>
  <c r="S353" i="55" s="1"/>
  <c r="R516" i="55"/>
  <c r="S516" i="55" s="1"/>
  <c r="R661" i="55"/>
  <c r="S661" i="55" s="1"/>
  <c r="R842" i="55"/>
  <c r="S842" i="55" s="1"/>
  <c r="R1024" i="55"/>
  <c r="S1024" i="55" s="1"/>
  <c r="R1192" i="55"/>
  <c r="S1192" i="55" s="1"/>
  <c r="R1384" i="55"/>
  <c r="S1384" i="55" s="1"/>
  <c r="R1598" i="55"/>
  <c r="S1598" i="55" s="1"/>
  <c r="R1790" i="55"/>
  <c r="S1790" i="55" s="1"/>
  <c r="R1860" i="55"/>
  <c r="S1860" i="55" s="1"/>
  <c r="R2078" i="55"/>
  <c r="S2078" i="55" s="1"/>
  <c r="R2185" i="55"/>
  <c r="S2185" i="55" s="1"/>
  <c r="R2275" i="55"/>
  <c r="S2275" i="55" s="1"/>
  <c r="R2330" i="55"/>
  <c r="S2330" i="55" s="1"/>
  <c r="R2402" i="55"/>
  <c r="S2402" i="55" s="1"/>
  <c r="R118" i="55"/>
  <c r="S118" i="55" s="1"/>
  <c r="R240" i="55"/>
  <c r="S240" i="55" s="1"/>
  <c r="R456" i="55"/>
  <c r="S456" i="55" s="1"/>
  <c r="R564" i="55"/>
  <c r="S564" i="55" s="1"/>
  <c r="R784" i="55"/>
  <c r="S784" i="55" s="1"/>
  <c r="R873" i="55"/>
  <c r="S873" i="55" s="1"/>
  <c r="R950" i="55"/>
  <c r="S950" i="55" s="1"/>
  <c r="R1025" i="55"/>
  <c r="S1025" i="55" s="1"/>
  <c r="R1072" i="55"/>
  <c r="S1072" i="55" s="1"/>
  <c r="R1133" i="55"/>
  <c r="S1133" i="55" s="1"/>
  <c r="R1179" i="55"/>
  <c r="S1179" i="55" s="1"/>
  <c r="R1264" i="55"/>
  <c r="S1264" i="55" s="1"/>
  <c r="R196" i="55"/>
  <c r="S196" i="55" s="1"/>
  <c r="R621" i="55"/>
  <c r="S621" i="55" s="1"/>
  <c r="R995" i="55"/>
  <c r="S995" i="55" s="1"/>
  <c r="R1355" i="55"/>
  <c r="S1355" i="55" s="1"/>
  <c r="R1958" i="55"/>
  <c r="S1958" i="55" s="1"/>
  <c r="R2202" i="55"/>
  <c r="S2202" i="55" s="1"/>
  <c r="R2321" i="55"/>
  <c r="S2321" i="55" s="1"/>
  <c r="R2404" i="55"/>
  <c r="S2404" i="55" s="1"/>
  <c r="R26" i="55"/>
  <c r="S26" i="55" s="1"/>
  <c r="R73" i="55"/>
  <c r="S73" i="55" s="1"/>
  <c r="R134" i="55"/>
  <c r="S134" i="55" s="1"/>
  <c r="R197" i="55"/>
  <c r="S197" i="55" s="1"/>
  <c r="R273" i="55"/>
  <c r="S273" i="55" s="1"/>
  <c r="R356" i="55"/>
  <c r="S356" i="55" s="1"/>
  <c r="R434" i="55"/>
  <c r="S434" i="55" s="1"/>
  <c r="R463" i="55"/>
  <c r="S463" i="55" s="1"/>
  <c r="R487" i="55"/>
  <c r="S487" i="55" s="1"/>
  <c r="R550" i="55"/>
  <c r="S550" i="55" s="1"/>
  <c r="R594" i="55"/>
  <c r="S594" i="55" s="1"/>
  <c r="R637" i="55"/>
  <c r="S637" i="55" s="1"/>
  <c r="R678" i="55"/>
  <c r="S678" i="55" s="1"/>
  <c r="R723" i="55"/>
  <c r="S723" i="55" s="1"/>
  <c r="R770" i="55"/>
  <c r="S770" i="55" s="1"/>
  <c r="R891" i="55"/>
  <c r="S891" i="55" s="1"/>
  <c r="R952" i="55"/>
  <c r="S952" i="55" s="1"/>
  <c r="R996" i="55"/>
  <c r="S996" i="55" s="1"/>
  <c r="R1042" i="55"/>
  <c r="S1042" i="55" s="1"/>
  <c r="R1090" i="55"/>
  <c r="S1090" i="55" s="1"/>
  <c r="R1135" i="55"/>
  <c r="S1135" i="55" s="1"/>
  <c r="R1181" i="55"/>
  <c r="S1181" i="55" s="1"/>
  <c r="R1294" i="55"/>
  <c r="S1294" i="55" s="1"/>
  <c r="R1340" i="55"/>
  <c r="S1340" i="55" s="1"/>
  <c r="R1402" i="55"/>
  <c r="S1402" i="55" s="1"/>
  <c r="R1465" i="55"/>
  <c r="S1465" i="55" s="1"/>
  <c r="R1559" i="55"/>
  <c r="S1559" i="55" s="1"/>
  <c r="R1587" i="55"/>
  <c r="S1587" i="55" s="1"/>
  <c r="R1646" i="55"/>
  <c r="S1646" i="55" s="1"/>
  <c r="R1705" i="55"/>
  <c r="S1705" i="55" s="1"/>
  <c r="R1763" i="55"/>
  <c r="S1763" i="55" s="1"/>
  <c r="R1822" i="55"/>
  <c r="S1822" i="55" s="1"/>
  <c r="R1849" i="55"/>
  <c r="S1849" i="55" s="1"/>
  <c r="R1895" i="55"/>
  <c r="S1895" i="55" s="1"/>
  <c r="R1943" i="55"/>
  <c r="S1943" i="55" s="1"/>
  <c r="R2020" i="55"/>
  <c r="S2020" i="55" s="1"/>
  <c r="R2066" i="55"/>
  <c r="S2066" i="55" s="1"/>
  <c r="R2081" i="55"/>
  <c r="S2081" i="55" s="1"/>
  <c r="R2144" i="55"/>
  <c r="S2144" i="55" s="1"/>
  <c r="R2173" i="55"/>
  <c r="S2173" i="55" s="1"/>
  <c r="R2234" i="55"/>
  <c r="S2234" i="55" s="1"/>
  <c r="R2292" i="55"/>
  <c r="S2292" i="55" s="1"/>
  <c r="R2375" i="55"/>
  <c r="S2375" i="55" s="1"/>
  <c r="R58" i="55"/>
  <c r="S58" i="55" s="1"/>
  <c r="R121" i="55"/>
  <c r="S121" i="55" s="1"/>
  <c r="R135" i="55"/>
  <c r="S135" i="55" s="1"/>
  <c r="R198" i="55"/>
  <c r="S198" i="55" s="1"/>
  <c r="R274" i="55"/>
  <c r="S274" i="55" s="1"/>
  <c r="R336" i="55"/>
  <c r="S336" i="55" s="1"/>
  <c r="R410" i="55"/>
  <c r="S410" i="55" s="1"/>
  <c r="R474" i="55"/>
  <c r="S474" i="55" s="1"/>
  <c r="R536" i="55"/>
  <c r="S536" i="55" s="1"/>
  <c r="R595" i="55"/>
  <c r="S595" i="55" s="1"/>
  <c r="R638" i="55"/>
  <c r="S638" i="55" s="1"/>
  <c r="R679" i="55"/>
  <c r="S679" i="55" s="1"/>
  <c r="R724" i="55"/>
  <c r="S724" i="55" s="1"/>
  <c r="R756" i="55"/>
  <c r="S756" i="55" s="1"/>
  <c r="R819" i="55"/>
  <c r="S819" i="55" s="1"/>
  <c r="R876" i="55"/>
  <c r="S876" i="55" s="1"/>
  <c r="R908" i="55"/>
  <c r="S908" i="55" s="1"/>
  <c r="R968" i="55"/>
  <c r="S968" i="55" s="1"/>
  <c r="R1075" i="55"/>
  <c r="S1075" i="55" s="1"/>
  <c r="R1104" i="55"/>
  <c r="S1104" i="55" s="1"/>
  <c r="R1167" i="55"/>
  <c r="S1167" i="55" s="1"/>
  <c r="R1251" i="55"/>
  <c r="S1251" i="55" s="1"/>
  <c r="R1309" i="55"/>
  <c r="S1309" i="55" s="1"/>
  <c r="R1373" i="55"/>
  <c r="S1373" i="55" s="1"/>
  <c r="R1419" i="55"/>
  <c r="S1419" i="55" s="1"/>
  <c r="R1466" i="55"/>
  <c r="S1466" i="55" s="1"/>
  <c r="R1513" i="55"/>
  <c r="S1513" i="55" s="1"/>
  <c r="R1573" i="55"/>
  <c r="S1573" i="55" s="1"/>
  <c r="R1617" i="55"/>
  <c r="S1617" i="55" s="1"/>
  <c r="R1647" i="55"/>
  <c r="S1647" i="55" s="1"/>
  <c r="R1722" i="55"/>
  <c r="S1722" i="55" s="1"/>
  <c r="R1751" i="55"/>
  <c r="S1751" i="55" s="1"/>
  <c r="R1864" i="55"/>
  <c r="S1864" i="55" s="1"/>
  <c r="R1896" i="55"/>
  <c r="S1896" i="55" s="1"/>
  <c r="R1944" i="55"/>
  <c r="S1944" i="55" s="1"/>
  <c r="R1990" i="55"/>
  <c r="S1990" i="55" s="1"/>
  <c r="R2021" i="55"/>
  <c r="S2021" i="55" s="1"/>
  <c r="R2067" i="55"/>
  <c r="S2067" i="55" s="1"/>
  <c r="R2130" i="55"/>
  <c r="S2130" i="55" s="1"/>
  <c r="R2174" i="55"/>
  <c r="S2174" i="55" s="1"/>
  <c r="R2204" i="55"/>
  <c r="S2204" i="55" s="1"/>
  <c r="R2264" i="55"/>
  <c r="S2264" i="55" s="1"/>
  <c r="R2293" i="55"/>
  <c r="S2293" i="55" s="1"/>
  <c r="R2347" i="55"/>
  <c r="S2347" i="55" s="1"/>
  <c r="R2391" i="55"/>
  <c r="S2391" i="55" s="1"/>
  <c r="R131" i="55"/>
  <c r="S131" i="55" s="1"/>
  <c r="R344" i="55"/>
  <c r="S344" i="55" s="1"/>
  <c r="R471" i="55"/>
  <c r="S471" i="55" s="1"/>
  <c r="R767" i="55"/>
  <c r="S767" i="55" s="1"/>
  <c r="R949" i="55"/>
  <c r="S949" i="55" s="1"/>
  <c r="R1277" i="55"/>
  <c r="S1277" i="55" s="1"/>
  <c r="R1509" i="55"/>
  <c r="S1509" i="55" s="1"/>
  <c r="R1687" i="55"/>
  <c r="S1687" i="55" s="1"/>
  <c r="R1971" i="55"/>
  <c r="S1971" i="55" s="1"/>
  <c r="R10" i="55"/>
  <c r="S10" i="55" s="1"/>
  <c r="R225" i="55"/>
  <c r="S225" i="55" s="1"/>
  <c r="R432" i="55"/>
  <c r="S432" i="55" s="1"/>
  <c r="R472" i="55"/>
  <c r="S472" i="55" s="1"/>
  <c r="R721" i="55"/>
  <c r="S721" i="55" s="1"/>
  <c r="R816" i="55"/>
  <c r="S816" i="55" s="1"/>
  <c r="R905" i="55"/>
  <c r="S905" i="55" s="1"/>
  <c r="R1117" i="55"/>
  <c r="S1117" i="55" s="1"/>
  <c r="R41" i="55"/>
  <c r="S41" i="55" s="1"/>
  <c r="R212" i="55"/>
  <c r="S212" i="55" s="1"/>
  <c r="R335" i="55"/>
  <c r="S335" i="55" s="1"/>
  <c r="R502" i="55"/>
  <c r="S502" i="55" s="1"/>
  <c r="R648" i="55"/>
  <c r="S648" i="55" s="1"/>
  <c r="R769" i="55"/>
  <c r="S769" i="55" s="1"/>
  <c r="R921" i="55"/>
  <c r="S921" i="55" s="1"/>
  <c r="R1073" i="55"/>
  <c r="S1073" i="55" s="1"/>
  <c r="R1250" i="55"/>
  <c r="S1250" i="55" s="1"/>
  <c r="R1432" i="55"/>
  <c r="S1432" i="55" s="1"/>
  <c r="R1600" i="55"/>
  <c r="S1600" i="55" s="1"/>
  <c r="R1776" i="55"/>
  <c r="S1776" i="55" s="1"/>
  <c r="R2050" i="55"/>
  <c r="S2050" i="55" s="1"/>
  <c r="R12" i="55"/>
  <c r="S12" i="55" s="1"/>
  <c r="R88" i="55"/>
  <c r="S88" i="55" s="1"/>
  <c r="R166" i="55"/>
  <c r="S166" i="55" s="1"/>
  <c r="R227" i="55"/>
  <c r="S227" i="55" s="1"/>
  <c r="R303" i="55"/>
  <c r="S303" i="55" s="1"/>
  <c r="R370" i="55"/>
  <c r="S370" i="55" s="1"/>
  <c r="R421" i="55"/>
  <c r="S421" i="55" s="1"/>
  <c r="R503" i="55"/>
  <c r="S503" i="55" s="1"/>
  <c r="R581" i="55"/>
  <c r="S581" i="55" s="1"/>
  <c r="R649" i="55"/>
  <c r="S649" i="55" s="1"/>
  <c r="R739" i="55"/>
  <c r="S739" i="55" s="1"/>
  <c r="R818" i="55"/>
  <c r="S818" i="55" s="1"/>
  <c r="R907" i="55"/>
  <c r="S907" i="55" s="1"/>
  <c r="R982" i="55"/>
  <c r="S982" i="55" s="1"/>
  <c r="R1074" i="55"/>
  <c r="S1074" i="55" s="1"/>
  <c r="R1150" i="55"/>
  <c r="S1150" i="55" s="1"/>
  <c r="R1195" i="55"/>
  <c r="S1195" i="55" s="1"/>
  <c r="R1266" i="55"/>
  <c r="S1266" i="55" s="1"/>
  <c r="R1372" i="55"/>
  <c r="S1372" i="55" s="1"/>
  <c r="R1449" i="55"/>
  <c r="S1449" i="55" s="1"/>
  <c r="R1544" i="55"/>
  <c r="S1544" i="55" s="1"/>
  <c r="R1616" i="55"/>
  <c r="S1616" i="55" s="1"/>
  <c r="R1674" i="55"/>
  <c r="S1674" i="55" s="1"/>
  <c r="R1737" i="55"/>
  <c r="S1737" i="55" s="1"/>
  <c r="R1793" i="55"/>
  <c r="S1793" i="55" s="1"/>
  <c r="R1927" i="55"/>
  <c r="S1927" i="55" s="1"/>
  <c r="R2004" i="55"/>
  <c r="S2004" i="55" s="1"/>
  <c r="R2129" i="55"/>
  <c r="S2129" i="55" s="1"/>
  <c r="R2219" i="55"/>
  <c r="S2219" i="55" s="1"/>
  <c r="R2278" i="55"/>
  <c r="S2278" i="55" s="1"/>
  <c r="R2346" i="55"/>
  <c r="S2346" i="55" s="1"/>
  <c r="R27" i="55"/>
  <c r="S27" i="55" s="1"/>
  <c r="R89" i="55"/>
  <c r="S89" i="55" s="1"/>
  <c r="R167" i="55"/>
  <c r="S167" i="55" s="1"/>
  <c r="R243" i="55"/>
  <c r="S243" i="55" s="1"/>
  <c r="R304" i="55"/>
  <c r="S304" i="55" s="1"/>
  <c r="R400" i="55"/>
  <c r="S400" i="55" s="1"/>
  <c r="R464" i="55"/>
  <c r="S464" i="55" s="1"/>
  <c r="R520" i="55"/>
  <c r="S520" i="55" s="1"/>
  <c r="R567" i="55"/>
  <c r="S567" i="55" s="1"/>
  <c r="R608" i="55"/>
  <c r="S608" i="55" s="1"/>
  <c r="R665" i="55"/>
  <c r="S665" i="55" s="1"/>
  <c r="R740" i="55"/>
  <c r="S740" i="55" s="1"/>
  <c r="R832" i="55"/>
  <c r="S832" i="55" s="1"/>
  <c r="R923" i="55"/>
  <c r="S923" i="55" s="1"/>
  <c r="R997" i="55"/>
  <c r="S997" i="55" s="1"/>
  <c r="R1059" i="55"/>
  <c r="S1059" i="55" s="1"/>
  <c r="R1120" i="55"/>
  <c r="S1120" i="55" s="1"/>
  <c r="R1196" i="55"/>
  <c r="S1196" i="55" s="1"/>
  <c r="R1281" i="55"/>
  <c r="S1281" i="55" s="1"/>
  <c r="R1357" i="55"/>
  <c r="S1357" i="55" s="1"/>
  <c r="R1450" i="55"/>
  <c r="S1450" i="55" s="1"/>
  <c r="R1482" i="55"/>
  <c r="S1482" i="55" s="1"/>
  <c r="R1560" i="55"/>
  <c r="S1560" i="55" s="1"/>
  <c r="R1632" i="55"/>
  <c r="S1632" i="55" s="1"/>
  <c r="R1691" i="55"/>
  <c r="S1691" i="55" s="1"/>
  <c r="R1738" i="55"/>
  <c r="S1738" i="55" s="1"/>
  <c r="R1880" i="55"/>
  <c r="S1880" i="55" s="1"/>
  <c r="R1975" i="55"/>
  <c r="S1975" i="55" s="1"/>
  <c r="R2098" i="55"/>
  <c r="S2098" i="55" s="1"/>
  <c r="R2159" i="55"/>
  <c r="S2159" i="55" s="1"/>
  <c r="R2220" i="55"/>
  <c r="S2220" i="55" s="1"/>
  <c r="R2279" i="55"/>
  <c r="S2279" i="55" s="1"/>
  <c r="R2308" i="55"/>
  <c r="S2308" i="55" s="1"/>
  <c r="R2363" i="55"/>
  <c r="S2363" i="55" s="1"/>
  <c r="R147" i="55"/>
  <c r="S147" i="55" s="1"/>
  <c r="R815" i="55"/>
  <c r="S815" i="55" s="1"/>
  <c r="R2017" i="55"/>
  <c r="S2017" i="55" s="1"/>
  <c r="R326" i="55"/>
  <c r="S326" i="55" s="1"/>
  <c r="R935" i="55"/>
  <c r="S935" i="55" s="1"/>
  <c r="R25" i="55"/>
  <c r="S25" i="55" s="1"/>
  <c r="R408" i="55"/>
  <c r="S408" i="55" s="1"/>
  <c r="R890" i="55"/>
  <c r="S890" i="55" s="1"/>
  <c r="R1238" i="55"/>
  <c r="S1238" i="55" s="1"/>
  <c r="R1586" i="55"/>
  <c r="S1586" i="55" s="1"/>
  <c r="R2065" i="55"/>
  <c r="S2065" i="55" s="1"/>
  <c r="R57" i="55"/>
  <c r="S57" i="55" s="1"/>
  <c r="R120" i="55"/>
  <c r="S120" i="55" s="1"/>
  <c r="R289" i="55"/>
  <c r="S289" i="55" s="1"/>
  <c r="R346" i="55"/>
  <c r="S346" i="55" s="1"/>
  <c r="R519" i="55"/>
  <c r="S519" i="55" s="1"/>
  <c r="R622" i="55"/>
  <c r="S622" i="55" s="1"/>
  <c r="R707" i="55"/>
  <c r="S707" i="55" s="1"/>
  <c r="R802" i="55"/>
  <c r="S802" i="55" s="1"/>
  <c r="R875" i="55"/>
  <c r="S875" i="55" s="1"/>
  <c r="R1058" i="55"/>
  <c r="S1058" i="55" s="1"/>
  <c r="R1166" i="55"/>
  <c r="S1166" i="55" s="1"/>
  <c r="R1308" i="55"/>
  <c r="S1308" i="55" s="1"/>
  <c r="R1387" i="55"/>
  <c r="S1387" i="55" s="1"/>
  <c r="R1481" i="55"/>
  <c r="S1481" i="55" s="1"/>
  <c r="R1572" i="55"/>
  <c r="S1572" i="55" s="1"/>
  <c r="R1661" i="55"/>
  <c r="S1661" i="55" s="1"/>
  <c r="R1809" i="55"/>
  <c r="S1809" i="55" s="1"/>
  <c r="R1863" i="55"/>
  <c r="S1863" i="55" s="1"/>
  <c r="R1959" i="55"/>
  <c r="S1959" i="55" s="1"/>
  <c r="R2036" i="55"/>
  <c r="S2036" i="55" s="1"/>
  <c r="R2113" i="55"/>
  <c r="S2113" i="55" s="1"/>
  <c r="R2203" i="55"/>
  <c r="S2203" i="55" s="1"/>
  <c r="R2307" i="55"/>
  <c r="S2307" i="55" s="1"/>
  <c r="R2390" i="55"/>
  <c r="S2390" i="55" s="1"/>
  <c r="R13" i="55"/>
  <c r="S13" i="55" s="1"/>
  <c r="R105" i="55"/>
  <c r="S105" i="55" s="1"/>
  <c r="R183" i="55"/>
  <c r="S183" i="55" s="1"/>
  <c r="R258" i="55"/>
  <c r="S258" i="55" s="1"/>
  <c r="R386" i="55"/>
  <c r="S386" i="55" s="1"/>
  <c r="R422" i="55"/>
  <c r="S422" i="55" s="1"/>
  <c r="R488" i="55"/>
  <c r="S488" i="55" s="1"/>
  <c r="R650" i="55"/>
  <c r="S650" i="55" s="1"/>
  <c r="R803" i="55"/>
  <c r="S803" i="55" s="1"/>
  <c r="R892" i="55"/>
  <c r="S892" i="55" s="1"/>
  <c r="R983" i="55"/>
  <c r="S983" i="55" s="1"/>
  <c r="R1151" i="55"/>
  <c r="S1151" i="55" s="1"/>
  <c r="R1239" i="55"/>
  <c r="S1239" i="55" s="1"/>
  <c r="R1341" i="55"/>
  <c r="S1341" i="55" s="1"/>
  <c r="R1434" i="55"/>
  <c r="S1434" i="55" s="1"/>
  <c r="R1545" i="55"/>
  <c r="S1545" i="55" s="1"/>
  <c r="R1675" i="55"/>
  <c r="S1675" i="55" s="1"/>
  <c r="R1794" i="55"/>
  <c r="S1794" i="55" s="1"/>
  <c r="R1960" i="55"/>
  <c r="S1960" i="55" s="1"/>
  <c r="R2052" i="55"/>
  <c r="S2052" i="55" s="1"/>
  <c r="R9" i="55"/>
  <c r="S9" i="55" s="1"/>
  <c r="R563" i="55"/>
  <c r="S563" i="55" s="1"/>
  <c r="R888" i="55"/>
  <c r="S888" i="55" s="1"/>
  <c r="R1263" i="55"/>
  <c r="S1263" i="55" s="1"/>
  <c r="R1760" i="55"/>
  <c r="S1760" i="55" s="1"/>
  <c r="R1249" i="55"/>
  <c r="S1249" i="55" s="1"/>
  <c r="R165" i="55"/>
  <c r="S165" i="55" s="1"/>
  <c r="R473" i="55"/>
  <c r="S473" i="55" s="1"/>
  <c r="R831" i="55"/>
  <c r="S831" i="55" s="1"/>
  <c r="R1194" i="55"/>
  <c r="S1194" i="55" s="1"/>
  <c r="R1615" i="55"/>
  <c r="S1615" i="55" s="1"/>
  <c r="R2128" i="55"/>
  <c r="S2128" i="55" s="1"/>
  <c r="R94" i="55"/>
  <c r="S94" i="55" s="1"/>
  <c r="R509" i="55"/>
  <c r="S509" i="55" s="1"/>
  <c r="R1048" i="55"/>
  <c r="S1048" i="55" s="1"/>
  <c r="R1362" i="55"/>
  <c r="S1362" i="55" s="1"/>
  <c r="R1606" i="55"/>
  <c r="S1606" i="55" s="1"/>
  <c r="R1841" i="55"/>
  <c r="S1841" i="55" s="1"/>
  <c r="R2071" i="55"/>
  <c r="S2071" i="55" s="1"/>
  <c r="R2313" i="55"/>
  <c r="S2313" i="55" s="1"/>
  <c r="R49" i="55"/>
  <c r="S49" i="55" s="1"/>
  <c r="R280" i="55"/>
  <c r="S280" i="55" s="1"/>
  <c r="R468" i="55"/>
  <c r="S468" i="55" s="1"/>
  <c r="R959" i="55"/>
  <c r="S959" i="55" s="1"/>
  <c r="R1096" i="55"/>
  <c r="S1096" i="55" s="1"/>
  <c r="R1257" i="55"/>
  <c r="S1257" i="55" s="1"/>
  <c r="R1393" i="55"/>
  <c r="S1393" i="55" s="1"/>
  <c r="R1550" i="55"/>
  <c r="S1550" i="55" s="1"/>
  <c r="R1697" i="55"/>
  <c r="S1697" i="55" s="1"/>
  <c r="R1886" i="55"/>
  <c r="S1886" i="55" s="1"/>
  <c r="R2150" i="55"/>
  <c r="S2150" i="55" s="1"/>
  <c r="R39" i="55"/>
  <c r="S39" i="55" s="1"/>
  <c r="R210" i="55"/>
  <c r="S210" i="55" s="1"/>
  <c r="R300" i="55"/>
  <c r="S300" i="55" s="1"/>
  <c r="R462" i="55"/>
  <c r="S462" i="55" s="1"/>
  <c r="R634" i="55"/>
  <c r="S634" i="55" s="1"/>
  <c r="R799" i="55"/>
  <c r="S799" i="55" s="1"/>
  <c r="R934" i="55"/>
  <c r="S934" i="55" s="1"/>
  <c r="R1132" i="55"/>
  <c r="S1132" i="55" s="1"/>
  <c r="R1321" i="55"/>
  <c r="S1321" i="55" s="1"/>
  <c r="R1462" i="55"/>
  <c r="S1462" i="55" s="1"/>
  <c r="R1892" i="55"/>
  <c r="S1892" i="55" s="1"/>
  <c r="R2200" i="55"/>
  <c r="S2200" i="55" s="1"/>
  <c r="R40" i="55"/>
  <c r="S40" i="55" s="1"/>
  <c r="R132" i="55"/>
  <c r="S132" i="55" s="1"/>
  <c r="R301" i="55"/>
  <c r="S301" i="55" s="1"/>
  <c r="R407" i="55"/>
  <c r="S407" i="55" s="1"/>
  <c r="R517" i="55"/>
  <c r="S517" i="55" s="1"/>
  <c r="R662" i="55"/>
  <c r="S662" i="55" s="1"/>
  <c r="R830" i="55"/>
  <c r="S830" i="55" s="1"/>
  <c r="R1010" i="55"/>
  <c r="S1010" i="55" s="1"/>
  <c r="R226" i="55"/>
  <c r="S226" i="55" s="1"/>
  <c r="R518" i="55"/>
  <c r="S518" i="55" s="1"/>
  <c r="R663" i="55"/>
  <c r="S663" i="55" s="1"/>
  <c r="R785" i="55"/>
  <c r="S785" i="55" s="1"/>
  <c r="R981" i="55"/>
  <c r="S981" i="55" s="1"/>
  <c r="R1134" i="55"/>
  <c r="S1134" i="55" s="1"/>
  <c r="R1307" i="55"/>
  <c r="S1307" i="55" s="1"/>
  <c r="R1496" i="55"/>
  <c r="S1496" i="55" s="1"/>
  <c r="R1736" i="55"/>
  <c r="S1736" i="55" s="1"/>
  <c r="R1910" i="55"/>
  <c r="S1910" i="55" s="1"/>
  <c r="R2218" i="55"/>
  <c r="S2218" i="55" s="1"/>
  <c r="R2332" i="55"/>
  <c r="S2332" i="55" s="1"/>
  <c r="R79" i="55"/>
  <c r="S79" i="55" s="1"/>
  <c r="R279" i="55"/>
  <c r="S279" i="55" s="1"/>
  <c r="R556" i="55"/>
  <c r="S556" i="55" s="1"/>
  <c r="R684" i="55"/>
  <c r="S684" i="55" s="1"/>
  <c r="R851" i="55"/>
  <c r="S851" i="55" s="1"/>
  <c r="R942" i="55"/>
  <c r="S942" i="55" s="1"/>
  <c r="R1080" i="55"/>
  <c r="S1080" i="55" s="1"/>
  <c r="R1256" i="55"/>
  <c r="S1256" i="55" s="1"/>
  <c r="R1471" i="55"/>
  <c r="S1471" i="55" s="1"/>
  <c r="R1667" i="55"/>
  <c r="S1667" i="55" s="1"/>
  <c r="R1885" i="55"/>
  <c r="S1885" i="55" s="1"/>
  <c r="R2026" i="55"/>
  <c r="S2026" i="55" s="1"/>
  <c r="R2193" i="55"/>
  <c r="S2193" i="55" s="1"/>
  <c r="R2323" i="55"/>
  <c r="S2323" i="55" s="1"/>
  <c r="R80" i="55"/>
  <c r="S80" i="55" s="1"/>
  <c r="R249" i="55"/>
  <c r="S249" i="55" s="1"/>
  <c r="R392" i="55"/>
  <c r="S392" i="55" s="1"/>
  <c r="R542" i="55"/>
  <c r="S542" i="55" s="1"/>
  <c r="R656" i="55"/>
  <c r="S656" i="55" s="1"/>
  <c r="R777" i="55"/>
  <c r="S777" i="55" s="1"/>
  <c r="R914" i="55"/>
  <c r="S914" i="55" s="1"/>
  <c r="R1033" i="55"/>
  <c r="S1033" i="55" s="1"/>
  <c r="R1157" i="55"/>
  <c r="S1157" i="55" s="1"/>
  <c r="R1230" i="55"/>
  <c r="S1230" i="55" s="1"/>
  <c r="R1331" i="55"/>
  <c r="S1331" i="55" s="1"/>
  <c r="R1472" i="55"/>
  <c r="S1472" i="55" s="1"/>
  <c r="R1623" i="55"/>
  <c r="S1623" i="55" s="1"/>
  <c r="R1728" i="55"/>
  <c r="S1728" i="55" s="1"/>
  <c r="R1855" i="55"/>
  <c r="S1855" i="55" s="1"/>
  <c r="R1966" i="55"/>
  <c r="S1966" i="55" s="1"/>
  <c r="R2058" i="55"/>
  <c r="S2058" i="55" s="1"/>
  <c r="R2180" i="55"/>
  <c r="S2180" i="55" s="1"/>
  <c r="R2299" i="55"/>
  <c r="S2299" i="55" s="1"/>
  <c r="R112" i="55"/>
  <c r="S112" i="55" s="1"/>
  <c r="R219" i="55"/>
  <c r="S219" i="55" s="1"/>
  <c r="R442" i="55"/>
  <c r="S442" i="55" s="1"/>
  <c r="R574" i="55"/>
  <c r="S574" i="55" s="1"/>
  <c r="R715" i="55"/>
  <c r="S715" i="55" s="1"/>
  <c r="R810" i="55"/>
  <c r="S810" i="55" s="1"/>
  <c r="R915" i="55"/>
  <c r="S915" i="55" s="1"/>
  <c r="R1019" i="55"/>
  <c r="S1019" i="55" s="1"/>
  <c r="R1127" i="55"/>
  <c r="S1127" i="55" s="1"/>
  <c r="R1231" i="55"/>
  <c r="S1231" i="55" s="1"/>
  <c r="R1348" i="55"/>
  <c r="S1348" i="55" s="1"/>
  <c r="R1489" i="55"/>
  <c r="S1489" i="55" s="1"/>
  <c r="R1668" i="55"/>
  <c r="S1668" i="55" s="1"/>
  <c r="R1828" i="55"/>
  <c r="S1828" i="55" s="1"/>
  <c r="R2028" i="55"/>
  <c r="S2028" i="55" s="1"/>
  <c r="R2181" i="55"/>
  <c r="S2181" i="55" s="1"/>
  <c r="R2339" i="55"/>
  <c r="S2339" i="55" s="1"/>
  <c r="R55" i="55"/>
  <c r="S55" i="55" s="1"/>
  <c r="R163" i="55"/>
  <c r="S163" i="55" s="1"/>
  <c r="R270" i="55"/>
  <c r="S270" i="55" s="1"/>
  <c r="R367" i="55"/>
  <c r="S367" i="55" s="1"/>
  <c r="R447" i="55"/>
  <c r="S447" i="55" s="1"/>
  <c r="R736" i="55"/>
  <c r="S736" i="55" s="1"/>
  <c r="R872" i="55"/>
  <c r="S872" i="55" s="1"/>
  <c r="R979" i="55"/>
  <c r="S979" i="55" s="1"/>
  <c r="R1087" i="55"/>
  <c r="S1087" i="55" s="1"/>
  <c r="R1208" i="55"/>
  <c r="S1208" i="55" s="1"/>
  <c r="R1305" i="55"/>
  <c r="S1305" i="55" s="1"/>
  <c r="R1399" i="55"/>
  <c r="S1399" i="55" s="1"/>
  <c r="R1494" i="55"/>
  <c r="S1494" i="55" s="1"/>
  <c r="R1585" i="55"/>
  <c r="S1585" i="55" s="1"/>
  <c r="R1672" i="55"/>
  <c r="S1672" i="55" s="1"/>
  <c r="R1774" i="55"/>
  <c r="S1774" i="55" s="1"/>
  <c r="R1847" i="55"/>
  <c r="S1847" i="55" s="1"/>
  <c r="R1924" i="55"/>
  <c r="S1924" i="55" s="1"/>
  <c r="R2094" i="55"/>
  <c r="S2094" i="55" s="1"/>
  <c r="R2156" i="55"/>
  <c r="S2156" i="55" s="1"/>
  <c r="R2260" i="55"/>
  <c r="S2260" i="55" s="1"/>
  <c r="R2305" i="55"/>
  <c r="S2305" i="55" s="1"/>
  <c r="R86" i="55"/>
  <c r="S86" i="55" s="1"/>
  <c r="R180" i="55"/>
  <c r="S180" i="55" s="1"/>
  <c r="R271" i="55"/>
  <c r="S271" i="55" s="1"/>
  <c r="R368" i="55"/>
  <c r="S368" i="55" s="1"/>
  <c r="R548" i="55"/>
  <c r="S548" i="55" s="1"/>
  <c r="R635" i="55"/>
  <c r="S635" i="55" s="1"/>
  <c r="R753" i="55"/>
  <c r="S753" i="55" s="1"/>
  <c r="R843" i="55"/>
  <c r="S843" i="55" s="1"/>
  <c r="R920" i="55"/>
  <c r="S920" i="55" s="1"/>
  <c r="R1088" i="55"/>
  <c r="S1088" i="55" s="1"/>
  <c r="R1237" i="55"/>
  <c r="S1237" i="55" s="1"/>
  <c r="R11" i="55"/>
  <c r="S11" i="55" s="1"/>
  <c r="R119" i="55"/>
  <c r="S119" i="55" s="1"/>
  <c r="R241" i="55"/>
  <c r="S241" i="55" s="1"/>
  <c r="R302" i="55"/>
  <c r="S302" i="55" s="1"/>
  <c r="R384" i="55"/>
  <c r="S384" i="55" s="1"/>
  <c r="R486" i="55"/>
  <c r="S486" i="55" s="1"/>
  <c r="R565" i="55"/>
  <c r="S565" i="55" s="1"/>
  <c r="R636" i="55"/>
  <c r="S636" i="55" s="1"/>
  <c r="R722" i="55"/>
  <c r="S722" i="55" s="1"/>
  <c r="R844" i="55"/>
  <c r="S844" i="55" s="1"/>
  <c r="R936" i="55"/>
  <c r="S936" i="55" s="1"/>
  <c r="R1026" i="55"/>
  <c r="S1026" i="55" s="1"/>
  <c r="R1102" i="55"/>
  <c r="S1102" i="55" s="1"/>
  <c r="R1165" i="55"/>
  <c r="S1165" i="55" s="1"/>
  <c r="R1279" i="55"/>
  <c r="S1279" i="55" s="1"/>
  <c r="R1386" i="55"/>
  <c r="S1386" i="55" s="1"/>
  <c r="R1511" i="55"/>
  <c r="S1511" i="55" s="1"/>
  <c r="R1645" i="55"/>
  <c r="S1645" i="55" s="1"/>
  <c r="R1750" i="55"/>
  <c r="S1750" i="55" s="1"/>
  <c r="R1821" i="55"/>
  <c r="S1821" i="55" s="1"/>
  <c r="R1878" i="55"/>
  <c r="S1878" i="55" s="1"/>
  <c r="R1988" i="55"/>
  <c r="S1988" i="55" s="1"/>
  <c r="R2096" i="55"/>
  <c r="S2096" i="55" s="1"/>
  <c r="R2233" i="55"/>
  <c r="S2233" i="55" s="1"/>
  <c r="R2291" i="55"/>
  <c r="S2291" i="55" s="1"/>
  <c r="R2345" i="55"/>
  <c r="S2345" i="55" s="1"/>
  <c r="R3" i="55"/>
  <c r="S3" i="55" s="1"/>
  <c r="R110" i="55"/>
  <c r="S110" i="55" s="1"/>
  <c r="R172" i="55"/>
  <c r="S172" i="55" s="1"/>
  <c r="R233" i="55"/>
  <c r="S233" i="55" s="1"/>
  <c r="R309" i="55"/>
  <c r="S309" i="55" s="1"/>
  <c r="R362" i="55"/>
  <c r="S362" i="55" s="1"/>
  <c r="R440" i="55"/>
  <c r="S440" i="55" s="1"/>
  <c r="R493" i="55"/>
  <c r="S493" i="55" s="1"/>
  <c r="R670" i="55"/>
  <c r="S670" i="55" s="1"/>
  <c r="R745" i="55"/>
  <c r="S745" i="55" s="1"/>
  <c r="R808" i="55"/>
  <c r="S808" i="55" s="1"/>
  <c r="R913" i="55"/>
  <c r="S913" i="55" s="1"/>
  <c r="R987" i="55"/>
  <c r="S987" i="55" s="1"/>
  <c r="R1095" i="55"/>
  <c r="S1095" i="55" s="1"/>
  <c r="R1156" i="55"/>
  <c r="S1156" i="55" s="1"/>
  <c r="R1216" i="55"/>
  <c r="S1216" i="55" s="1"/>
  <c r="R1286" i="55"/>
  <c r="S1286" i="55" s="1"/>
  <c r="R1330" i="55"/>
  <c r="S1330" i="55" s="1"/>
  <c r="R1408" i="55"/>
  <c r="S1408" i="55" s="1"/>
  <c r="R1487" i="55"/>
  <c r="S1487" i="55" s="1"/>
  <c r="R1622" i="55"/>
  <c r="S1622" i="55" s="1"/>
  <c r="R1696" i="55"/>
  <c r="S1696" i="55" s="1"/>
  <c r="R1799" i="55"/>
  <c r="S1799" i="55" s="1"/>
  <c r="R1869" i="55"/>
  <c r="S1869" i="55" s="1"/>
  <c r="R1949" i="55"/>
  <c r="S1949" i="55" s="1"/>
  <c r="R2010" i="55"/>
  <c r="S2010" i="55" s="1"/>
  <c r="R2087" i="55"/>
  <c r="S2087" i="55" s="1"/>
  <c r="R2164" i="55"/>
  <c r="S2164" i="55" s="1"/>
  <c r="R2239" i="55"/>
  <c r="S2239" i="55" s="1"/>
  <c r="R2298" i="55"/>
  <c r="S2298" i="55" s="1"/>
  <c r="R2381" i="55"/>
  <c r="S2381" i="55" s="1"/>
  <c r="R17" i="55"/>
  <c r="S17" i="55" s="1"/>
  <c r="R111" i="55"/>
  <c r="S111" i="55" s="1"/>
  <c r="R189" i="55"/>
  <c r="S189" i="55" s="1"/>
  <c r="R264" i="55"/>
  <c r="S264" i="55" s="1"/>
  <c r="R412" i="55"/>
  <c r="S412" i="55" s="1"/>
  <c r="R557" i="55"/>
  <c r="S557" i="55" s="1"/>
  <c r="R613" i="55"/>
  <c r="S613" i="55" s="1"/>
  <c r="R685" i="55"/>
  <c r="S685" i="55" s="1"/>
  <c r="R793" i="55"/>
  <c r="S793" i="55" s="1"/>
  <c r="R866" i="55"/>
  <c r="S866" i="55" s="1"/>
  <c r="R943" i="55"/>
  <c r="S943" i="55" s="1"/>
  <c r="R1018" i="55"/>
  <c r="S1018" i="55" s="1"/>
  <c r="R1110" i="55"/>
  <c r="S1110" i="55" s="1"/>
  <c r="R1188" i="55"/>
  <c r="S1188" i="55" s="1"/>
  <c r="R1272" i="55"/>
  <c r="S1272" i="55" s="1"/>
  <c r="R1347" i="55"/>
  <c r="S1347" i="55" s="1"/>
  <c r="R1425" i="55"/>
  <c r="S1425" i="55" s="1"/>
  <c r="R1503" i="55"/>
  <c r="S1503" i="55" s="1"/>
  <c r="R1579" i="55"/>
  <c r="S1579" i="55" s="1"/>
  <c r="R1653" i="55"/>
  <c r="S1653" i="55" s="1"/>
  <c r="R1742" i="55"/>
  <c r="S1742" i="55" s="1"/>
  <c r="R1800" i="55"/>
  <c r="S1800" i="55" s="1"/>
  <c r="R1870" i="55"/>
  <c r="S1870" i="55" s="1"/>
  <c r="R1950" i="55"/>
  <c r="S1950" i="55" s="1"/>
  <c r="R2011" i="55"/>
  <c r="S2011" i="55" s="1"/>
  <c r="R2072" i="55"/>
  <c r="S2072" i="55" s="1"/>
  <c r="R2165" i="55"/>
  <c r="S2165" i="55" s="1"/>
  <c r="R2240" i="55"/>
  <c r="S2240" i="55" s="1"/>
  <c r="R2314" i="55"/>
  <c r="S2314" i="55" s="1"/>
  <c r="R2382" i="55"/>
  <c r="S2382" i="55" s="1"/>
  <c r="R5" i="55"/>
  <c r="S5" i="55" s="1"/>
  <c r="R158" i="55"/>
  <c r="S158" i="55" s="1"/>
  <c r="R205" i="55"/>
  <c r="S205" i="55" s="1"/>
  <c r="R265" i="55"/>
  <c r="S265" i="55" s="1"/>
  <c r="R340" i="55"/>
  <c r="S340" i="55" s="1"/>
  <c r="R405" i="55"/>
  <c r="S405" i="55" s="1"/>
  <c r="R495" i="55"/>
  <c r="S495" i="55" s="1"/>
  <c r="R543" i="55"/>
  <c r="S543" i="55" s="1"/>
  <c r="R614" i="55"/>
  <c r="S614" i="55" s="1"/>
  <c r="R657" i="55"/>
  <c r="S657" i="55" s="1"/>
  <c r="R731" i="55"/>
  <c r="S731" i="55" s="1"/>
  <c r="R794" i="55"/>
  <c r="S794" i="55" s="1"/>
  <c r="R852" i="55"/>
  <c r="S852" i="55" s="1"/>
  <c r="R944" i="55"/>
  <c r="S944" i="55" s="1"/>
  <c r="R1004" i="55"/>
  <c r="S1004" i="55" s="1"/>
  <c r="R1066" i="55"/>
  <c r="S1066" i="55" s="1"/>
  <c r="R1111" i="55"/>
  <c r="S1111" i="55" s="1"/>
  <c r="R1173" i="55"/>
  <c r="S1173" i="55" s="1"/>
  <c r="R1244" i="55"/>
  <c r="S1244" i="55" s="1"/>
  <c r="R1288" i="55"/>
  <c r="S1288" i="55" s="1"/>
  <c r="R1364" i="55"/>
  <c r="S1364" i="55" s="1"/>
  <c r="R1410" i="55"/>
  <c r="S1410" i="55" s="1"/>
  <c r="R1441" i="55"/>
  <c r="S1441" i="55" s="1"/>
  <c r="R1504" i="55"/>
  <c r="S1504" i="55" s="1"/>
  <c r="R1580" i="55"/>
  <c r="S1580" i="55" s="1"/>
  <c r="R1639" i="55"/>
  <c r="S1639" i="55" s="1"/>
  <c r="R1713" i="55"/>
  <c r="S1713" i="55" s="1"/>
  <c r="R1785" i="55"/>
  <c r="S1785" i="55" s="1"/>
  <c r="R1871" i="55"/>
  <c r="S1871" i="55" s="1"/>
  <c r="R1919" i="55"/>
  <c r="S1919" i="55" s="1"/>
  <c r="R1982" i="55"/>
  <c r="S1982" i="55" s="1"/>
  <c r="R2043" i="55"/>
  <c r="S2043" i="55" s="1"/>
  <c r="R2073" i="55"/>
  <c r="S2073" i="55" s="1"/>
  <c r="R2136" i="55"/>
  <c r="S2136" i="55" s="1"/>
  <c r="R2195" i="55"/>
  <c r="S2195" i="55" s="1"/>
  <c r="R2285" i="55"/>
  <c r="S2285" i="55" s="1"/>
  <c r="R2354" i="55"/>
  <c r="S2354" i="55" s="1"/>
  <c r="R35" i="55"/>
  <c r="S35" i="55" s="1"/>
  <c r="R97" i="55"/>
  <c r="S97" i="55" s="1"/>
  <c r="R159" i="55"/>
  <c r="S159" i="55" s="1"/>
  <c r="R282" i="55"/>
  <c r="S282" i="55" s="1"/>
  <c r="R394" i="55"/>
  <c r="S394" i="55" s="1"/>
  <c r="R469" i="55"/>
  <c r="S469" i="55" s="1"/>
  <c r="R544" i="55"/>
  <c r="S544" i="55" s="1"/>
  <c r="R602" i="55"/>
  <c r="S602" i="55" s="1"/>
  <c r="R658" i="55"/>
  <c r="S658" i="55" s="1"/>
  <c r="R732" i="55"/>
  <c r="S732" i="55" s="1"/>
  <c r="R779" i="55"/>
  <c r="S779" i="55" s="1"/>
  <c r="R838" i="55"/>
  <c r="S838" i="55" s="1"/>
  <c r="R916" i="55"/>
  <c r="S916" i="55" s="1"/>
  <c r="R1005" i="55"/>
  <c r="S1005" i="55" s="1"/>
  <c r="R1112" i="55"/>
  <c r="S1112" i="55" s="1"/>
  <c r="R1190" i="55"/>
  <c r="S1190" i="55" s="1"/>
  <c r="R1245" i="55"/>
  <c r="S1245" i="55" s="1"/>
  <c r="R1317" i="55"/>
  <c r="S1317" i="55" s="1"/>
  <c r="R1365" i="55"/>
  <c r="S1365" i="55" s="1"/>
  <c r="R1411" i="55"/>
  <c r="S1411" i="55" s="1"/>
  <c r="R1474" i="55"/>
  <c r="S1474" i="55" s="1"/>
  <c r="R1537" i="55"/>
  <c r="S1537" i="55" s="1"/>
  <c r="R1609" i="55"/>
  <c r="S1609" i="55" s="1"/>
  <c r="R1683" i="55"/>
  <c r="S1683" i="55" s="1"/>
  <c r="R1786" i="55"/>
  <c r="S1786" i="55" s="1"/>
  <c r="R1843" i="55"/>
  <c r="S1843" i="55" s="1"/>
  <c r="R1904" i="55"/>
  <c r="S1904" i="55" s="1"/>
  <c r="R1968" i="55"/>
  <c r="S1968" i="55" s="1"/>
  <c r="R2029" i="55"/>
  <c r="S2029" i="55" s="1"/>
  <c r="R2090" i="55"/>
  <c r="S2090" i="55" s="1"/>
  <c r="R2152" i="55"/>
  <c r="S2152" i="55" s="1"/>
  <c r="R2212" i="55"/>
  <c r="S2212" i="55" s="1"/>
  <c r="R2286" i="55"/>
  <c r="S2286" i="55" s="1"/>
  <c r="R101" i="55"/>
  <c r="S101" i="55" s="1"/>
  <c r="R398" i="55"/>
  <c r="S398" i="55" s="1"/>
  <c r="R484" i="55"/>
  <c r="S484" i="55" s="1"/>
  <c r="R605" i="55"/>
  <c r="S605" i="55" s="1"/>
  <c r="R783" i="55"/>
  <c r="S783" i="55" s="1"/>
  <c r="R904" i="55"/>
  <c r="S904" i="55" s="1"/>
  <c r="R1009" i="55"/>
  <c r="S1009" i="55" s="1"/>
  <c r="R1116" i="55"/>
  <c r="S1116" i="55" s="1"/>
  <c r="R1236" i="55"/>
  <c r="S1236" i="55" s="1"/>
  <c r="R1337" i="55"/>
  <c r="S1337" i="55" s="1"/>
  <c r="R1430" i="55"/>
  <c r="S1430" i="55" s="1"/>
  <c r="R1525" i="55"/>
  <c r="S1525" i="55" s="1"/>
  <c r="R1629" i="55"/>
  <c r="S1629" i="55" s="1"/>
  <c r="R1748" i="55"/>
  <c r="S1748" i="55" s="1"/>
  <c r="R1832" i="55"/>
  <c r="S1832" i="55" s="1"/>
  <c r="R1956" i="55"/>
  <c r="S1956" i="55" s="1"/>
  <c r="R2033" i="55"/>
  <c r="S2033" i="55" s="1"/>
  <c r="R2110" i="55"/>
  <c r="S2110" i="55" s="1"/>
  <c r="R2170" i="55"/>
  <c r="S2170" i="55" s="1"/>
  <c r="R2231" i="55"/>
  <c r="S2231" i="55" s="1"/>
  <c r="R2289" i="55"/>
  <c r="S2289" i="55" s="1"/>
  <c r="R2388" i="55"/>
  <c r="S2388" i="55" s="1"/>
  <c r="R71" i="55"/>
  <c r="S71" i="55" s="1"/>
  <c r="R164" i="55"/>
  <c r="S164" i="55" s="1"/>
  <c r="R314" i="55"/>
  <c r="S314" i="55" s="1"/>
  <c r="R399" i="55"/>
  <c r="S399" i="55" s="1"/>
  <c r="R501" i="55"/>
  <c r="S501" i="55" s="1"/>
  <c r="R579" i="55"/>
  <c r="S579" i="55" s="1"/>
  <c r="R647" i="55"/>
  <c r="S647" i="55" s="1"/>
  <c r="R768" i="55"/>
  <c r="S768" i="55" s="1"/>
  <c r="R889" i="55"/>
  <c r="S889" i="55" s="1"/>
  <c r="R966" i="55"/>
  <c r="S966" i="55" s="1"/>
  <c r="R1040" i="55"/>
  <c r="S1040" i="55" s="1"/>
  <c r="R1148" i="55"/>
  <c r="S1148" i="55" s="1"/>
  <c r="R1164" i="55"/>
  <c r="S1164" i="55" s="1"/>
  <c r="R1193" i="55"/>
  <c r="S1193" i="55" s="1"/>
  <c r="R1278" i="55"/>
  <c r="S1278" i="55" s="1"/>
  <c r="R87" i="55"/>
  <c r="S87" i="55" s="1"/>
  <c r="R256" i="55"/>
  <c r="S256" i="55" s="1"/>
  <c r="R315" i="55"/>
  <c r="S315" i="55" s="1"/>
  <c r="R369" i="55"/>
  <c r="S369" i="55" s="1"/>
  <c r="R457" i="55"/>
  <c r="S457" i="55" s="1"/>
  <c r="R549" i="55"/>
  <c r="S549" i="55" s="1"/>
  <c r="R606" i="55"/>
  <c r="S606" i="55" s="1"/>
  <c r="R706" i="55"/>
  <c r="S706" i="55" s="1"/>
  <c r="R858" i="55"/>
  <c r="S858" i="55" s="1"/>
  <c r="R967" i="55"/>
  <c r="S967" i="55" s="1"/>
  <c r="R1041" i="55"/>
  <c r="S1041" i="55" s="1"/>
  <c r="R1149" i="55"/>
  <c r="S1149" i="55" s="1"/>
  <c r="R1265" i="55"/>
  <c r="S1265" i="55" s="1"/>
  <c r="R1339" i="55"/>
  <c r="S1339" i="55" s="1"/>
  <c r="R1417" i="55"/>
  <c r="S1417" i="55" s="1"/>
  <c r="R1480" i="55"/>
  <c r="S1480" i="55" s="1"/>
  <c r="R1543" i="55"/>
  <c r="S1543" i="55" s="1"/>
  <c r="R1660" i="55"/>
  <c r="S1660" i="55" s="1"/>
  <c r="R1762" i="55"/>
  <c r="S1762" i="55" s="1"/>
  <c r="R1834" i="55"/>
  <c r="S1834" i="55" s="1"/>
  <c r="R1926" i="55"/>
  <c r="S1926" i="55" s="1"/>
  <c r="R2035" i="55"/>
  <c r="S2035" i="55" s="1"/>
  <c r="R2143" i="55"/>
  <c r="S2143" i="55" s="1"/>
  <c r="R2248" i="55"/>
  <c r="S2248" i="55" s="1"/>
  <c r="R2361" i="55"/>
  <c r="S2361" i="55" s="1"/>
  <c r="R63" i="55"/>
  <c r="S63" i="55" s="1"/>
  <c r="R140" i="55"/>
  <c r="S140" i="55" s="1"/>
  <c r="R203" i="55"/>
  <c r="S203" i="55" s="1"/>
  <c r="R263" i="55"/>
  <c r="S263" i="55" s="1"/>
  <c r="R350" i="55"/>
  <c r="S350" i="55" s="1"/>
  <c r="R404" i="55"/>
  <c r="S404" i="55" s="1"/>
  <c r="R452" i="55"/>
  <c r="S452" i="55" s="1"/>
  <c r="R525" i="55"/>
  <c r="S525" i="55" s="1"/>
  <c r="R586" i="55"/>
  <c r="S586" i="55" s="1"/>
  <c r="R627" i="55"/>
  <c r="S627" i="55" s="1"/>
  <c r="R699" i="55"/>
  <c r="S699" i="55" s="1"/>
  <c r="R760" i="55"/>
  <c r="S760" i="55" s="1"/>
  <c r="R835" i="55"/>
  <c r="S835" i="55" s="1"/>
  <c r="R897" i="55"/>
  <c r="S897" i="55" s="1"/>
  <c r="R958" i="55"/>
  <c r="S958" i="55" s="1"/>
  <c r="R1032" i="55"/>
  <c r="S1032" i="55" s="1"/>
  <c r="R1125" i="55"/>
  <c r="S1125" i="55" s="1"/>
  <c r="R1187" i="55"/>
  <c r="S1187" i="55" s="1"/>
  <c r="R1229" i="55"/>
  <c r="S1229" i="55" s="1"/>
  <c r="R1298" i="55"/>
  <c r="S1298" i="55" s="1"/>
  <c r="R1392" i="55"/>
  <c r="S1392" i="55" s="1"/>
  <c r="R1455" i="55"/>
  <c r="S1455" i="55" s="1"/>
  <c r="R1534" i="55"/>
  <c r="S1534" i="55" s="1"/>
  <c r="R1578" i="55"/>
  <c r="S1578" i="55" s="1"/>
  <c r="R1637" i="55"/>
  <c r="S1637" i="55" s="1"/>
  <c r="R1727" i="55"/>
  <c r="S1727" i="55" s="1"/>
  <c r="R1783" i="55"/>
  <c r="S1783" i="55" s="1"/>
  <c r="R1854" i="55"/>
  <c r="S1854" i="55" s="1"/>
  <c r="R1933" i="55"/>
  <c r="S1933" i="55" s="1"/>
  <c r="R1980" i="55"/>
  <c r="S1980" i="55" s="1"/>
  <c r="R2041" i="55"/>
  <c r="S2041" i="55" s="1"/>
  <c r="R2119" i="55"/>
  <c r="S2119" i="55" s="1"/>
  <c r="R2209" i="55"/>
  <c r="S2209" i="55" s="1"/>
  <c r="R2283" i="55"/>
  <c r="S2283" i="55" s="1"/>
  <c r="R2352" i="55"/>
  <c r="S2352" i="55" s="1"/>
  <c r="R2396" i="55"/>
  <c r="S2396" i="55" s="1"/>
  <c r="R4" i="55"/>
  <c r="S4" i="55" s="1"/>
  <c r="R95" i="55"/>
  <c r="S95" i="55" s="1"/>
  <c r="R157" i="55"/>
  <c r="S157" i="55" s="1"/>
  <c r="R204" i="55"/>
  <c r="S204" i="55" s="1"/>
  <c r="R320" i="55"/>
  <c r="S320" i="55" s="1"/>
  <c r="R363" i="55"/>
  <c r="S363" i="55" s="1"/>
  <c r="R428" i="55"/>
  <c r="S428" i="55" s="1"/>
  <c r="R510" i="55"/>
  <c r="S510" i="55" s="1"/>
  <c r="R573" i="55"/>
  <c r="S573" i="55" s="1"/>
  <c r="R628" i="55"/>
  <c r="S628" i="55" s="1"/>
  <c r="R714" i="55"/>
  <c r="S714" i="55" s="1"/>
  <c r="R761" i="55"/>
  <c r="S761" i="55" s="1"/>
  <c r="R824" i="55"/>
  <c r="S824" i="55" s="1"/>
  <c r="R1003" i="55"/>
  <c r="S1003" i="55" s="1"/>
  <c r="R1081" i="55"/>
  <c r="S1081" i="55" s="1"/>
  <c r="R1172" i="55"/>
  <c r="S1172" i="55" s="1"/>
  <c r="R1243" i="55"/>
  <c r="S1243" i="55" s="1"/>
  <c r="R1315" i="55"/>
  <c r="S1315" i="55" s="1"/>
  <c r="R1409" i="55"/>
  <c r="S1409" i="55" s="1"/>
  <c r="R1488" i="55"/>
  <c r="S1488" i="55" s="1"/>
  <c r="R1565" i="55"/>
  <c r="S1565" i="55" s="1"/>
  <c r="R1638" i="55"/>
  <c r="S1638" i="55" s="1"/>
  <c r="R1712" i="55"/>
  <c r="S1712" i="55" s="1"/>
  <c r="R1842" i="55"/>
  <c r="S1842" i="55" s="1"/>
  <c r="R1934" i="55"/>
  <c r="S1934" i="55" s="1"/>
  <c r="R2027" i="55"/>
  <c r="S2027" i="55" s="1"/>
  <c r="R2088" i="55"/>
  <c r="S2088" i="55" s="1"/>
  <c r="R2135" i="55"/>
  <c r="S2135" i="55" s="1"/>
  <c r="R2226" i="55"/>
  <c r="S2226" i="55" s="1"/>
  <c r="R2284" i="55"/>
  <c r="S2284" i="55" s="1"/>
  <c r="R2353" i="55"/>
  <c r="S2353" i="55" s="1"/>
  <c r="R34" i="55"/>
  <c r="S34" i="55" s="1"/>
  <c r="R96" i="55"/>
  <c r="S96" i="55" s="1"/>
  <c r="R174" i="55"/>
  <c r="S174" i="55" s="1"/>
  <c r="R250" i="55"/>
  <c r="S250" i="55" s="1"/>
  <c r="R332" i="55"/>
  <c r="S332" i="55" s="1"/>
  <c r="R364" i="55"/>
  <c r="S364" i="55" s="1"/>
  <c r="R413" i="55"/>
  <c r="S413" i="55" s="1"/>
  <c r="R480" i="55"/>
  <c r="S480" i="55" s="1"/>
  <c r="R527" i="55"/>
  <c r="S527" i="55" s="1"/>
  <c r="R601" i="55"/>
  <c r="S601" i="55" s="1"/>
  <c r="R629" i="55"/>
  <c r="S629" i="55" s="1"/>
  <c r="R686" i="55"/>
  <c r="S686" i="55" s="1"/>
  <c r="R762" i="55"/>
  <c r="S762" i="55" s="1"/>
  <c r="R837" i="55"/>
  <c r="S837" i="55" s="1"/>
  <c r="R899" i="55"/>
  <c r="S899" i="55" s="1"/>
  <c r="R974" i="55"/>
  <c r="S974" i="55" s="1"/>
  <c r="R1034" i="55"/>
  <c r="S1034" i="55" s="1"/>
  <c r="R1097" i="55"/>
  <c r="S1097" i="55" s="1"/>
  <c r="R1203" i="55"/>
  <c r="S1203" i="55" s="1"/>
  <c r="R1273" i="55"/>
  <c r="S1273" i="55" s="1"/>
  <c r="R1316" i="55"/>
  <c r="S1316" i="55" s="1"/>
  <c r="R1394" i="55"/>
  <c r="S1394" i="55" s="1"/>
  <c r="R1473" i="55"/>
  <c r="S1473" i="55" s="1"/>
  <c r="R1520" i="55"/>
  <c r="S1520" i="55" s="1"/>
  <c r="R1566" i="55"/>
  <c r="S1566" i="55" s="1"/>
  <c r="R1608" i="55"/>
  <c r="S1608" i="55" s="1"/>
  <c r="R1682" i="55"/>
  <c r="S1682" i="55" s="1"/>
  <c r="R1729" i="55"/>
  <c r="S1729" i="55" s="1"/>
  <c r="R1755" i="55"/>
  <c r="S1755" i="55" s="1"/>
  <c r="R1801" i="55"/>
  <c r="S1801" i="55" s="1"/>
  <c r="R1903" i="55"/>
  <c r="S1903" i="55" s="1"/>
  <c r="R1951" i="55"/>
  <c r="S1951" i="55" s="1"/>
  <c r="R2012" i="55"/>
  <c r="S2012" i="55" s="1"/>
  <c r="R2089" i="55"/>
  <c r="S2089" i="55" s="1"/>
  <c r="R2151" i="55"/>
  <c r="S2151" i="55" s="1"/>
  <c r="R2227" i="55"/>
  <c r="S2227" i="55" s="1"/>
  <c r="R2270" i="55"/>
  <c r="S2270" i="55" s="1"/>
  <c r="R2315" i="55"/>
  <c r="S2315" i="55" s="1"/>
  <c r="R2383" i="55"/>
  <c r="S2383" i="55" s="1"/>
  <c r="R19" i="55"/>
  <c r="S19" i="55" s="1"/>
  <c r="R81" i="55"/>
  <c r="S81" i="55" s="1"/>
  <c r="R143" i="55"/>
  <c r="S143" i="55" s="1"/>
  <c r="R191" i="55"/>
  <c r="S191" i="55" s="1"/>
  <c r="R220" i="55"/>
  <c r="S220" i="55" s="1"/>
  <c r="R266" i="55"/>
  <c r="S266" i="55" s="1"/>
  <c r="R321" i="55"/>
  <c r="S321" i="55" s="1"/>
  <c r="R378" i="55"/>
  <c r="S378" i="55" s="1"/>
  <c r="R414" i="55"/>
  <c r="S414" i="55" s="1"/>
  <c r="R481" i="55"/>
  <c r="S481" i="55" s="1"/>
  <c r="R528" i="55"/>
  <c r="S528" i="55" s="1"/>
  <c r="R575" i="55"/>
  <c r="S575" i="55" s="1"/>
  <c r="R615" i="55"/>
  <c r="S615" i="55" s="1"/>
  <c r="R673" i="55"/>
  <c r="S673" i="55" s="1"/>
  <c r="R716" i="55"/>
  <c r="S716" i="55" s="1"/>
  <c r="R763" i="55"/>
  <c r="S763" i="55" s="1"/>
  <c r="R811" i="55"/>
  <c r="S811" i="55" s="1"/>
  <c r="R853" i="55"/>
  <c r="S853" i="55" s="1"/>
  <c r="R900" i="55"/>
  <c r="S900" i="55" s="1"/>
  <c r="R945" i="55"/>
  <c r="S945" i="55" s="1"/>
  <c r="R975" i="55"/>
  <c r="S975" i="55" s="1"/>
  <c r="R1020" i="55"/>
  <c r="S1020" i="55" s="1"/>
  <c r="R1051" i="55"/>
  <c r="S1051" i="55" s="1"/>
  <c r="R1098" i="55"/>
  <c r="S1098" i="55" s="1"/>
  <c r="R1143" i="55"/>
  <c r="S1143" i="55" s="1"/>
  <c r="R1174" i="55"/>
  <c r="S1174" i="55" s="1"/>
  <c r="R1232" i="55"/>
  <c r="S1232" i="55" s="1"/>
  <c r="R1274" i="55"/>
  <c r="S1274" i="55" s="1"/>
  <c r="R1349" i="55"/>
  <c r="S1349" i="55" s="1"/>
  <c r="R1442" i="55"/>
  <c r="S1442" i="55" s="1"/>
  <c r="R1490" i="55"/>
  <c r="S1490" i="55" s="1"/>
  <c r="R1552" i="55"/>
  <c r="S1552" i="55" s="1"/>
  <c r="R1595" i="55"/>
  <c r="S1595" i="55" s="1"/>
  <c r="R1655" i="55"/>
  <c r="S1655" i="55" s="1"/>
  <c r="R1699" i="55"/>
  <c r="S1699" i="55" s="1"/>
  <c r="R1730" i="55"/>
  <c r="S1730" i="55" s="1"/>
  <c r="R1771" i="55"/>
  <c r="S1771" i="55" s="1"/>
  <c r="R1815" i="55"/>
  <c r="S1815" i="55" s="1"/>
  <c r="R1872" i="55"/>
  <c r="S1872" i="55" s="1"/>
  <c r="R1936" i="55"/>
  <c r="S1936" i="55" s="1"/>
  <c r="R1983" i="55"/>
  <c r="S1983" i="55" s="1"/>
  <c r="R2044" i="55"/>
  <c r="S2044" i="55" s="1"/>
  <c r="R2074" i="55"/>
  <c r="S2074" i="55" s="1"/>
  <c r="R2122" i="55"/>
  <c r="S2122" i="55" s="1"/>
  <c r="R2167" i="55"/>
  <c r="S2167" i="55" s="1"/>
  <c r="R2228" i="55"/>
  <c r="S2228" i="55" s="1"/>
  <c r="R2271" i="55"/>
  <c r="S2271" i="55" s="1"/>
  <c r="R2316" i="55"/>
  <c r="S2316" i="55" s="1"/>
  <c r="R2355" i="55"/>
  <c r="S2355" i="55" s="1"/>
  <c r="R36" i="55"/>
  <c r="S36" i="55" s="1"/>
  <c r="R67" i="55"/>
  <c r="S67" i="55" s="1"/>
  <c r="R82" i="55"/>
  <c r="S82" i="55" s="1"/>
  <c r="R114" i="55"/>
  <c r="S114" i="55" s="1"/>
  <c r="R128" i="55"/>
  <c r="S128" i="55" s="1"/>
  <c r="R144" i="55"/>
  <c r="S144" i="55" s="1"/>
  <c r="R176" i="55"/>
  <c r="S176" i="55" s="1"/>
  <c r="R192" i="55"/>
  <c r="S192" i="55" s="1"/>
  <c r="R221" i="55"/>
  <c r="S221" i="55" s="1"/>
  <c r="R252" i="55"/>
  <c r="S252" i="55" s="1"/>
  <c r="R267" i="55"/>
  <c r="S267" i="55" s="1"/>
  <c r="R283" i="55"/>
  <c r="S283" i="55" s="1"/>
  <c r="R298" i="55"/>
  <c r="S298" i="55" s="1"/>
  <c r="R322" i="55"/>
  <c r="S322" i="55" s="1"/>
  <c r="R341" i="55"/>
  <c r="S341" i="55" s="1"/>
  <c r="R379" i="55"/>
  <c r="S379" i="55" s="1"/>
  <c r="R406" i="55"/>
  <c r="S406" i="55" s="1"/>
  <c r="R415" i="55"/>
  <c r="S415" i="55" s="1"/>
  <c r="R444" i="55"/>
  <c r="S444" i="55" s="1"/>
  <c r="R459" i="55"/>
  <c r="S459" i="55" s="1"/>
  <c r="R513" i="55"/>
  <c r="S513" i="55" s="1"/>
  <c r="R529" i="55"/>
  <c r="S529" i="55" s="1"/>
  <c r="R545" i="55"/>
  <c r="S545" i="55" s="1"/>
  <c r="R560" i="55"/>
  <c r="S560" i="55" s="1"/>
  <c r="R576" i="55"/>
  <c r="S576" i="55" s="1"/>
  <c r="R589" i="55"/>
  <c r="S589" i="55" s="1"/>
  <c r="R603" i="55"/>
  <c r="S603" i="55" s="1"/>
  <c r="R616" i="55"/>
  <c r="S616" i="55" s="1"/>
  <c r="R631" i="55"/>
  <c r="S631" i="55" s="1"/>
  <c r="R702" i="55"/>
  <c r="S702" i="55" s="1"/>
  <c r="R717" i="55"/>
  <c r="S717" i="55" s="1"/>
  <c r="R733" i="55"/>
  <c r="S733" i="55" s="1"/>
  <c r="R749" i="55"/>
  <c r="S749" i="55" s="1"/>
  <c r="R764" i="55"/>
  <c r="S764" i="55" s="1"/>
  <c r="R780" i="55"/>
  <c r="S780" i="55" s="1"/>
  <c r="R796" i="55"/>
  <c r="S796" i="55" s="1"/>
  <c r="R812" i="55"/>
  <c r="S812" i="55" s="1"/>
  <c r="R827" i="55"/>
  <c r="S827" i="55" s="1"/>
  <c r="R839" i="55"/>
  <c r="S839" i="55" s="1"/>
  <c r="R854" i="55"/>
  <c r="S854" i="55" s="1"/>
  <c r="R869" i="55"/>
  <c r="S869" i="55" s="1"/>
  <c r="R885" i="55"/>
  <c r="S885" i="55" s="1"/>
  <c r="R901" i="55"/>
  <c r="S901" i="55" s="1"/>
  <c r="R917" i="55"/>
  <c r="S917" i="55" s="1"/>
  <c r="R931" i="55"/>
  <c r="S931" i="55" s="1"/>
  <c r="R946" i="55"/>
  <c r="S946" i="55" s="1"/>
  <c r="R962" i="55"/>
  <c r="S962" i="55" s="1"/>
  <c r="R976" i="55"/>
  <c r="S976" i="55" s="1"/>
  <c r="R991" i="55"/>
  <c r="S991" i="55" s="1"/>
  <c r="R1006" i="55"/>
  <c r="S1006" i="55" s="1"/>
  <c r="R1021" i="55"/>
  <c r="S1021" i="55" s="1"/>
  <c r="R1036" i="55"/>
  <c r="S1036" i="55" s="1"/>
  <c r="R1052" i="55"/>
  <c r="S1052" i="55" s="1"/>
  <c r="R1068" i="55"/>
  <c r="S1068" i="55" s="1"/>
  <c r="R1084" i="55"/>
  <c r="S1084" i="55" s="1"/>
  <c r="R1099" i="55"/>
  <c r="S1099" i="55" s="1"/>
  <c r="R1113" i="55"/>
  <c r="S1113" i="55" s="1"/>
  <c r="R1129" i="55"/>
  <c r="S1129" i="55" s="1"/>
  <c r="R1144" i="55"/>
  <c r="S1144" i="55" s="1"/>
  <c r="R1160" i="55"/>
  <c r="S1160" i="55" s="1"/>
  <c r="R1175" i="55"/>
  <c r="S1175" i="55" s="1"/>
  <c r="R1191" i="55"/>
  <c r="S1191" i="55" s="1"/>
  <c r="R1205" i="55"/>
  <c r="S1205" i="55" s="1"/>
  <c r="R1220" i="55"/>
  <c r="S1220" i="55" s="1"/>
  <c r="R1233" i="55"/>
  <c r="S1233" i="55" s="1"/>
  <c r="R1246" i="55"/>
  <c r="S1246" i="55" s="1"/>
  <c r="R1260" i="55"/>
  <c r="S1260" i="55" s="1"/>
  <c r="R1275" i="55"/>
  <c r="S1275" i="55" s="1"/>
  <c r="R1289" i="55"/>
  <c r="S1289" i="55" s="1"/>
  <c r="R85" i="55"/>
  <c r="S85" i="55" s="1"/>
  <c r="R194" i="55"/>
  <c r="S194" i="55" s="1"/>
  <c r="R286" i="55"/>
  <c r="S286" i="55" s="1"/>
  <c r="R500" i="55"/>
  <c r="S500" i="55" s="1"/>
  <c r="R578" i="55"/>
  <c r="S578" i="55" s="1"/>
  <c r="R676" i="55"/>
  <c r="S676" i="55" s="1"/>
  <c r="R752" i="55"/>
  <c r="S752" i="55" s="1"/>
  <c r="R965" i="55"/>
  <c r="S965" i="55" s="1"/>
  <c r="R1071" i="55"/>
  <c r="S1071" i="55" s="1"/>
  <c r="R1178" i="55"/>
  <c r="S1178" i="55" s="1"/>
  <c r="R1369" i="55"/>
  <c r="S1369" i="55" s="1"/>
  <c r="R1478" i="55"/>
  <c r="S1478" i="55" s="1"/>
  <c r="R1556" i="55"/>
  <c r="S1556" i="55" s="1"/>
  <c r="R1643" i="55"/>
  <c r="S1643" i="55" s="1"/>
  <c r="R1718" i="55"/>
  <c r="S1718" i="55" s="1"/>
  <c r="R1806" i="55"/>
  <c r="S1806" i="55" s="1"/>
  <c r="R1908" i="55"/>
  <c r="S1908" i="55" s="1"/>
  <c r="R2048" i="55"/>
  <c r="S2048" i="55" s="1"/>
  <c r="R2126" i="55"/>
  <c r="S2126" i="55" s="1"/>
  <c r="R2216" i="55"/>
  <c r="S2216" i="55" s="1"/>
  <c r="R2359" i="55"/>
  <c r="S2359" i="55" s="1"/>
  <c r="R24" i="55"/>
  <c r="S24" i="55" s="1"/>
  <c r="R102" i="55"/>
  <c r="S102" i="55" s="1"/>
  <c r="R211" i="55"/>
  <c r="S211" i="55" s="1"/>
  <c r="R287" i="55"/>
  <c r="S287" i="55" s="1"/>
  <c r="R354" i="55"/>
  <c r="S354" i="55" s="1"/>
  <c r="R448" i="55"/>
  <c r="S448" i="55" s="1"/>
  <c r="R533" i="55"/>
  <c r="S533" i="55" s="1"/>
  <c r="R620" i="55"/>
  <c r="S620" i="55" s="1"/>
  <c r="R737" i="55"/>
  <c r="S737" i="55" s="1"/>
  <c r="R857" i="55"/>
  <c r="S857" i="55" s="1"/>
  <c r="R980" i="55"/>
  <c r="S980" i="55" s="1"/>
  <c r="R1209" i="55"/>
  <c r="S1209" i="55" s="1"/>
  <c r="R72" i="55"/>
  <c r="S72" i="55" s="1"/>
  <c r="R181" i="55"/>
  <c r="S181" i="55" s="1"/>
  <c r="R288" i="55"/>
  <c r="S288" i="55" s="1"/>
  <c r="R345" i="55"/>
  <c r="S345" i="55" s="1"/>
  <c r="R433" i="55"/>
  <c r="S433" i="55" s="1"/>
  <c r="R534" i="55"/>
  <c r="S534" i="55" s="1"/>
  <c r="R593" i="55"/>
  <c r="S593" i="55" s="1"/>
  <c r="R677" i="55"/>
  <c r="S677" i="55" s="1"/>
  <c r="R754" i="55"/>
  <c r="S754" i="55" s="1"/>
  <c r="R874" i="55"/>
  <c r="S874" i="55" s="1"/>
  <c r="R951" i="55"/>
  <c r="S951" i="55" s="1"/>
  <c r="R1089" i="55"/>
  <c r="S1089" i="55" s="1"/>
  <c r="R1222" i="55"/>
  <c r="S1222" i="55" s="1"/>
  <c r="R1293" i="55"/>
  <c r="S1293" i="55" s="1"/>
  <c r="R1371" i="55"/>
  <c r="S1371" i="55" s="1"/>
  <c r="R1464" i="55"/>
  <c r="S1464" i="55" s="1"/>
  <c r="R1527" i="55"/>
  <c r="S1527" i="55" s="1"/>
  <c r="R1630" i="55"/>
  <c r="S1630" i="55" s="1"/>
  <c r="R1792" i="55"/>
  <c r="S1792" i="55" s="1"/>
  <c r="R1848" i="55"/>
  <c r="S1848" i="55" s="1"/>
  <c r="R1894" i="55"/>
  <c r="S1894" i="55" s="1"/>
  <c r="R2003" i="55"/>
  <c r="S2003" i="55" s="1"/>
  <c r="R2112" i="55"/>
  <c r="S2112" i="55" s="1"/>
  <c r="R2187" i="55"/>
  <c r="S2187" i="55" s="1"/>
  <c r="R2277" i="55"/>
  <c r="S2277" i="55" s="1"/>
  <c r="R48" i="55"/>
  <c r="S48" i="55" s="1"/>
  <c r="R156" i="55"/>
  <c r="S156" i="55" s="1"/>
  <c r="R218" i="55"/>
  <c r="S218" i="55" s="1"/>
  <c r="R295" i="55"/>
  <c r="S295" i="55" s="1"/>
  <c r="R391" i="55"/>
  <c r="S391" i="55" s="1"/>
  <c r="R458" i="55"/>
  <c r="S458" i="55" s="1"/>
  <c r="R541" i="55"/>
  <c r="S541" i="55" s="1"/>
  <c r="R599" i="55"/>
  <c r="S599" i="55" s="1"/>
  <c r="R643" i="55"/>
  <c r="S643" i="55" s="1"/>
  <c r="R713" i="55"/>
  <c r="S713" i="55" s="1"/>
  <c r="R776" i="55"/>
  <c r="S776" i="55" s="1"/>
  <c r="R865" i="55"/>
  <c r="S865" i="55" s="1"/>
  <c r="R972" i="55"/>
  <c r="S972" i="55" s="1"/>
  <c r="R1017" i="55"/>
  <c r="S1017" i="55" s="1"/>
  <c r="R1064" i="55"/>
  <c r="S1064" i="55" s="1"/>
  <c r="R1171" i="55"/>
  <c r="S1171" i="55" s="1"/>
  <c r="R1242" i="55"/>
  <c r="S1242" i="55" s="1"/>
  <c r="R1314" i="55"/>
  <c r="S1314" i="55" s="1"/>
  <c r="R1378" i="55"/>
  <c r="S1378" i="55" s="1"/>
  <c r="R1424" i="55"/>
  <c r="S1424" i="55" s="1"/>
  <c r="R1502" i="55"/>
  <c r="S1502" i="55" s="1"/>
  <c r="R1564" i="55"/>
  <c r="S1564" i="55" s="1"/>
  <c r="R1652" i="55"/>
  <c r="S1652" i="55" s="1"/>
  <c r="R1711" i="55"/>
  <c r="S1711" i="55" s="1"/>
  <c r="R1769" i="55"/>
  <c r="S1769" i="55" s="1"/>
  <c r="R1826" i="55"/>
  <c r="S1826" i="55" s="1"/>
  <c r="R1901" i="55"/>
  <c r="S1901" i="55" s="1"/>
  <c r="R1965" i="55"/>
  <c r="S1965" i="55" s="1"/>
  <c r="R2103" i="55"/>
  <c r="S2103" i="55" s="1"/>
  <c r="R2179" i="55"/>
  <c r="S2179" i="55" s="1"/>
  <c r="R2255" i="55"/>
  <c r="S2255" i="55" s="1"/>
  <c r="R33" i="55"/>
  <c r="S33" i="55" s="1"/>
  <c r="R125" i="55"/>
  <c r="S125" i="55" s="1"/>
  <c r="R173" i="55"/>
  <c r="S173" i="55" s="1"/>
  <c r="R234" i="55"/>
  <c r="S234" i="55" s="1"/>
  <c r="R441" i="55"/>
  <c r="S441" i="55" s="1"/>
  <c r="R494" i="55"/>
  <c r="S494" i="55" s="1"/>
  <c r="R587" i="55"/>
  <c r="S587" i="55" s="1"/>
  <c r="R671" i="55"/>
  <c r="S671" i="55" s="1"/>
  <c r="R746" i="55"/>
  <c r="S746" i="55" s="1"/>
  <c r="R836" i="55"/>
  <c r="S836" i="55" s="1"/>
  <c r="R898" i="55"/>
  <c r="S898" i="55" s="1"/>
  <c r="R988" i="55"/>
  <c r="S988" i="55" s="1"/>
  <c r="R1065" i="55"/>
  <c r="S1065" i="55" s="1"/>
  <c r="R1141" i="55"/>
  <c r="S1141" i="55" s="1"/>
  <c r="R1202" i="55"/>
  <c r="S1202" i="55" s="1"/>
  <c r="R1299" i="55"/>
  <c r="S1299" i="55" s="1"/>
  <c r="R1379" i="55"/>
  <c r="S1379" i="55" s="1"/>
  <c r="R1440" i="55"/>
  <c r="S1440" i="55" s="1"/>
  <c r="R1535" i="55"/>
  <c r="S1535" i="55" s="1"/>
  <c r="R1593" i="55"/>
  <c r="S1593" i="55" s="1"/>
  <c r="R1754" i="55"/>
  <c r="S1754" i="55" s="1"/>
  <c r="R1814" i="55"/>
  <c r="S1814" i="55" s="1"/>
  <c r="R1902" i="55"/>
  <c r="S1902" i="55" s="1"/>
  <c r="R1996" i="55"/>
  <c r="S1996" i="55" s="1"/>
  <c r="R2104" i="55"/>
  <c r="S2104" i="55" s="1"/>
  <c r="R2210" i="55"/>
  <c r="S2210" i="55" s="1"/>
  <c r="R2269" i="55"/>
  <c r="S2269" i="55" s="1"/>
  <c r="R2338" i="55"/>
  <c r="S2338" i="55" s="1"/>
  <c r="R2397" i="55"/>
  <c r="S2397" i="55" s="1"/>
  <c r="R50" i="55"/>
  <c r="S50" i="55" s="1"/>
  <c r="R142" i="55"/>
  <c r="S142" i="55" s="1"/>
  <c r="R235" i="55"/>
  <c r="S235" i="55" s="1"/>
  <c r="R377" i="55"/>
  <c r="S377" i="55" s="1"/>
  <c r="R558" i="55"/>
  <c r="S558" i="55" s="1"/>
  <c r="R672" i="55"/>
  <c r="S672" i="55" s="1"/>
  <c r="R778" i="55"/>
  <c r="S778" i="55" s="1"/>
  <c r="R867" i="55"/>
  <c r="S867" i="55" s="1"/>
  <c r="R960" i="55"/>
  <c r="S960" i="55" s="1"/>
  <c r="R1050" i="55"/>
  <c r="S1050" i="55" s="1"/>
  <c r="R1158" i="55"/>
  <c r="S1158" i="55" s="1"/>
  <c r="R1218" i="55"/>
  <c r="S1218" i="55" s="1"/>
  <c r="R1332" i="55"/>
  <c r="S1332" i="55" s="1"/>
  <c r="R1426" i="55"/>
  <c r="S1426" i="55" s="1"/>
  <c r="R1536" i="55"/>
  <c r="S1536" i="55" s="1"/>
  <c r="R1654" i="55"/>
  <c r="S1654" i="55" s="1"/>
  <c r="R1743" i="55"/>
  <c r="S1743" i="55" s="1"/>
  <c r="R1967" i="55"/>
  <c r="S1967" i="55" s="1"/>
  <c r="R2121" i="55"/>
  <c r="S2121" i="55" s="1"/>
  <c r="R2241" i="55"/>
  <c r="S2241" i="55" s="1"/>
  <c r="R2398" i="55"/>
  <c r="S2398" i="55" s="1"/>
  <c r="R51" i="55"/>
  <c r="S51" i="55" s="1"/>
  <c r="R127" i="55"/>
  <c r="S127" i="55" s="1"/>
  <c r="R206" i="55"/>
  <c r="S206" i="55" s="1"/>
  <c r="R297" i="55"/>
  <c r="S297" i="55" s="1"/>
  <c r="R352" i="55"/>
  <c r="S352" i="55" s="1"/>
  <c r="R443" i="55"/>
  <c r="S443" i="55" s="1"/>
  <c r="R512" i="55"/>
  <c r="S512" i="55" s="1"/>
  <c r="R630" i="55"/>
  <c r="S630" i="55" s="1"/>
  <c r="R701" i="55"/>
  <c r="S701" i="55" s="1"/>
  <c r="R795" i="55"/>
  <c r="S795" i="55" s="1"/>
  <c r="R868" i="55"/>
  <c r="S868" i="55" s="1"/>
  <c r="R961" i="55"/>
  <c r="S961" i="55" s="1"/>
  <c r="R1067" i="55"/>
  <c r="S1067" i="55" s="1"/>
  <c r="R1204" i="55"/>
  <c r="S1204" i="55" s="1"/>
  <c r="R1301" i="55"/>
  <c r="S1301" i="55" s="1"/>
  <c r="R1427" i="55"/>
  <c r="S1427" i="55" s="1"/>
  <c r="R1505" i="55"/>
  <c r="S1505" i="55" s="1"/>
  <c r="R1581" i="55"/>
  <c r="S1581" i="55" s="1"/>
  <c r="R1625" i="55"/>
  <c r="S1625" i="55" s="1"/>
  <c r="R1744" i="55"/>
  <c r="S1744" i="55" s="1"/>
  <c r="R1920" i="55"/>
  <c r="S1920" i="55" s="1"/>
  <c r="R2013" i="55"/>
  <c r="S2013" i="55" s="1"/>
  <c r="R2106" i="55"/>
  <c r="S2106" i="55" s="1"/>
  <c r="R2196" i="55"/>
  <c r="S2196" i="55" s="1"/>
  <c r="R2257" i="55"/>
  <c r="S2257" i="55" s="1"/>
  <c r="R20" i="55"/>
  <c r="S20" i="55" s="1"/>
  <c r="R52" i="55"/>
  <c r="S52" i="55" s="1"/>
  <c r="R98" i="55"/>
  <c r="S98" i="55" s="1"/>
  <c r="R160" i="55"/>
  <c r="S160" i="55" s="1"/>
  <c r="R207" i="55"/>
  <c r="S207" i="55" s="1"/>
  <c r="R236" i="55"/>
  <c r="S236" i="55" s="1"/>
  <c r="R311" i="55"/>
  <c r="S311" i="55" s="1"/>
  <c r="R333" i="55"/>
  <c r="S333" i="55" s="1"/>
  <c r="R395" i="55"/>
  <c r="S395" i="55" s="1"/>
  <c r="R430" i="55"/>
  <c r="S430" i="55" s="1"/>
  <c r="R497" i="55"/>
  <c r="S497" i="55" s="1"/>
  <c r="R7" i="55"/>
  <c r="S7" i="55" s="1"/>
  <c r="R21" i="55"/>
  <c r="S21" i="55" s="1"/>
  <c r="R37" i="55"/>
  <c r="S37" i="55" s="1"/>
  <c r="R53" i="55"/>
  <c r="S53" i="55" s="1"/>
  <c r="R68" i="55"/>
  <c r="S68" i="55" s="1"/>
  <c r="R83" i="55"/>
  <c r="S83" i="55" s="1"/>
  <c r="R99" i="55"/>
  <c r="S99" i="55" s="1"/>
  <c r="R115" i="55"/>
  <c r="S115" i="55" s="1"/>
  <c r="R129" i="55"/>
  <c r="S129" i="55" s="1"/>
  <c r="R145" i="55"/>
  <c r="S145" i="55" s="1"/>
  <c r="R161" i="55"/>
  <c r="S161" i="55" s="1"/>
  <c r="R177" i="55"/>
  <c r="S177" i="55" s="1"/>
  <c r="R208" i="55"/>
  <c r="S208" i="55" s="1"/>
  <c r="R222" i="55"/>
  <c r="S222" i="55" s="1"/>
  <c r="R237" i="55"/>
  <c r="S237" i="55" s="1"/>
  <c r="R253" i="55"/>
  <c r="S253" i="55" s="1"/>
  <c r="R268" i="55"/>
  <c r="S268" i="55" s="1"/>
  <c r="R284" i="55"/>
  <c r="S284" i="55" s="1"/>
  <c r="R299" i="55"/>
  <c r="S299" i="55" s="1"/>
  <c r="R312" i="55"/>
  <c r="S312" i="55" s="1"/>
  <c r="R323" i="55"/>
  <c r="S323" i="55" s="1"/>
  <c r="R334" i="55"/>
  <c r="S334" i="55" s="1"/>
  <c r="R342" i="55"/>
  <c r="S342" i="55" s="1"/>
  <c r="R366" i="55"/>
  <c r="S366" i="55" s="1"/>
  <c r="R380" i="55"/>
  <c r="S380" i="55" s="1"/>
  <c r="R396" i="55"/>
  <c r="S396" i="55" s="1"/>
  <c r="R416" i="55"/>
  <c r="S416" i="55" s="1"/>
  <c r="R431" i="55"/>
  <c r="S431" i="55" s="1"/>
  <c r="R445" i="55"/>
  <c r="S445" i="55" s="1"/>
  <c r="R453" i="55"/>
  <c r="S453" i="55" s="1"/>
  <c r="R460" i="55"/>
  <c r="S460" i="55" s="1"/>
  <c r="R470" i="55"/>
  <c r="S470" i="55" s="1"/>
  <c r="R482" i="55"/>
  <c r="S482" i="55" s="1"/>
  <c r="R498" i="55"/>
  <c r="S498" i="55" s="1"/>
  <c r="R514" i="55"/>
  <c r="S514" i="55" s="1"/>
  <c r="R530" i="55"/>
  <c r="S530" i="55" s="1"/>
  <c r="R546" i="55"/>
  <c r="S546" i="55" s="1"/>
  <c r="R561" i="55"/>
  <c r="S561" i="55" s="1"/>
  <c r="R577" i="55"/>
  <c r="S577" i="55" s="1"/>
  <c r="R70" i="55"/>
  <c r="S70" i="55" s="1"/>
  <c r="R239" i="55"/>
  <c r="S239" i="55" s="1"/>
  <c r="R325" i="55"/>
  <c r="S325" i="55" s="1"/>
  <c r="R418" i="55"/>
  <c r="S418" i="55" s="1"/>
  <c r="R532" i="55"/>
  <c r="S532" i="55" s="1"/>
  <c r="R619" i="55"/>
  <c r="S619" i="55" s="1"/>
  <c r="R705" i="55"/>
  <c r="S705" i="55" s="1"/>
  <c r="R829" i="55"/>
  <c r="S829" i="55" s="1"/>
  <c r="R919" i="55"/>
  <c r="S919" i="55" s="1"/>
  <c r="R1055" i="55"/>
  <c r="S1055" i="55" s="1"/>
  <c r="R1147" i="55"/>
  <c r="S1147" i="55" s="1"/>
  <c r="R1353" i="55"/>
  <c r="S1353" i="55" s="1"/>
  <c r="R1446" i="55"/>
  <c r="S1446" i="55" s="1"/>
  <c r="R1541" i="55"/>
  <c r="S1541" i="55" s="1"/>
  <c r="R1613" i="55"/>
  <c r="S1613" i="55" s="1"/>
  <c r="R1734" i="55"/>
  <c r="S1734" i="55" s="1"/>
  <c r="R1819" i="55"/>
  <c r="S1819" i="55" s="1"/>
  <c r="R1940" i="55"/>
  <c r="S1940" i="55" s="1"/>
  <c r="R2064" i="55"/>
  <c r="S2064" i="55" s="1"/>
  <c r="R2141" i="55"/>
  <c r="S2141" i="55" s="1"/>
  <c r="R2246" i="55"/>
  <c r="S2246" i="55" s="1"/>
  <c r="R2320" i="55"/>
  <c r="S2320" i="55" s="1"/>
  <c r="R56" i="55"/>
  <c r="S56" i="55" s="1"/>
  <c r="R148" i="55"/>
  <c r="S148" i="55" s="1"/>
  <c r="R255" i="55"/>
  <c r="S255" i="55" s="1"/>
  <c r="R419" i="55"/>
  <c r="S419" i="55" s="1"/>
  <c r="R485" i="55"/>
  <c r="S485" i="55" s="1"/>
  <c r="R592" i="55"/>
  <c r="S592" i="55" s="1"/>
  <c r="R691" i="55"/>
  <c r="S691" i="55" s="1"/>
  <c r="R800" i="55"/>
  <c r="S800" i="55" s="1"/>
  <c r="R994" i="55"/>
  <c r="S994" i="55" s="1"/>
  <c r="R1292" i="55"/>
  <c r="S1292" i="55" s="1"/>
  <c r="R133" i="55"/>
  <c r="S133" i="55" s="1"/>
  <c r="R272" i="55"/>
  <c r="S272" i="55" s="1"/>
  <c r="R327" i="55"/>
  <c r="S327" i="55" s="1"/>
  <c r="R355" i="55"/>
  <c r="S355" i="55" s="1"/>
  <c r="R580" i="55"/>
  <c r="S580" i="55" s="1"/>
  <c r="R692" i="55"/>
  <c r="S692" i="55" s="1"/>
  <c r="R801" i="55"/>
  <c r="S801" i="55" s="1"/>
  <c r="R906" i="55"/>
  <c r="S906" i="55" s="1"/>
  <c r="R1011" i="55"/>
  <c r="S1011" i="55" s="1"/>
  <c r="R1118" i="55"/>
  <c r="S1118" i="55" s="1"/>
  <c r="R1210" i="55"/>
  <c r="S1210" i="55" s="1"/>
  <c r="R1323" i="55"/>
  <c r="S1323" i="55" s="1"/>
  <c r="R1448" i="55"/>
  <c r="S1448" i="55" s="1"/>
  <c r="R1571" i="55"/>
  <c r="S1571" i="55" s="1"/>
  <c r="R1689" i="55"/>
  <c r="S1689" i="55" s="1"/>
  <c r="R1808" i="55"/>
  <c r="S1808" i="55" s="1"/>
  <c r="R1862" i="55"/>
  <c r="S1862" i="55" s="1"/>
  <c r="R1973" i="55"/>
  <c r="S1973" i="55" s="1"/>
  <c r="R2080" i="55"/>
  <c r="S2080" i="55" s="1"/>
  <c r="R2172" i="55"/>
  <c r="S2172" i="55" s="1"/>
  <c r="R2262" i="55"/>
  <c r="S2262" i="55" s="1"/>
  <c r="R2374" i="55"/>
  <c r="S2374" i="55" s="1"/>
  <c r="R32" i="55"/>
  <c r="S32" i="55" s="1"/>
  <c r="R124" i="55"/>
  <c r="S124" i="55" s="1"/>
  <c r="R188" i="55"/>
  <c r="S188" i="55" s="1"/>
  <c r="R248" i="55"/>
  <c r="S248" i="55" s="1"/>
  <c r="R331" i="55"/>
  <c r="S331" i="55" s="1"/>
  <c r="R427" i="55"/>
  <c r="S427" i="55" s="1"/>
  <c r="R479" i="55"/>
  <c r="S479" i="55" s="1"/>
  <c r="R572" i="55"/>
  <c r="S572" i="55" s="1"/>
  <c r="R655" i="55"/>
  <c r="S655" i="55" s="1"/>
  <c r="R729" i="55"/>
  <c r="S729" i="55" s="1"/>
  <c r="R792" i="55"/>
  <c r="S792" i="55" s="1"/>
  <c r="R881" i="55"/>
  <c r="S881" i="55" s="1"/>
  <c r="R928" i="55"/>
  <c r="S928" i="55" s="1"/>
  <c r="R1002" i="55"/>
  <c r="S1002" i="55" s="1"/>
  <c r="R1109" i="55"/>
  <c r="S1109" i="55" s="1"/>
  <c r="R1140" i="55"/>
  <c r="S1140" i="55" s="1"/>
  <c r="R1201" i="55"/>
  <c r="S1201" i="55" s="1"/>
  <c r="R1271" i="55"/>
  <c r="S1271" i="55" s="1"/>
  <c r="R1346" i="55"/>
  <c r="S1346" i="55" s="1"/>
  <c r="R1439" i="55"/>
  <c r="S1439" i="55" s="1"/>
  <c r="R1518" i="55"/>
  <c r="S1518" i="55" s="1"/>
  <c r="R1592" i="55"/>
  <c r="S1592" i="55" s="1"/>
  <c r="R1680" i="55"/>
  <c r="S1680" i="55" s="1"/>
  <c r="R1813" i="55"/>
  <c r="S1813" i="55" s="1"/>
  <c r="R1917" i="55"/>
  <c r="S1917" i="55" s="1"/>
  <c r="R1995" i="55"/>
  <c r="S1995" i="55" s="1"/>
  <c r="R2057" i="55"/>
  <c r="S2057" i="55" s="1"/>
  <c r="R2149" i="55"/>
  <c r="S2149" i="55" s="1"/>
  <c r="R2225" i="55"/>
  <c r="S2225" i="55" s="1"/>
  <c r="R2368" i="55"/>
  <c r="S2368" i="55" s="1"/>
  <c r="R64" i="55"/>
  <c r="S64" i="55" s="1"/>
  <c r="R141" i="55"/>
  <c r="S141" i="55" s="1"/>
  <c r="R296" i="55"/>
  <c r="S296" i="55" s="1"/>
  <c r="R339" i="55"/>
  <c r="S339" i="55" s="1"/>
  <c r="R376" i="55"/>
  <c r="S376" i="55" s="1"/>
  <c r="R526" i="55"/>
  <c r="S526" i="55" s="1"/>
  <c r="R600" i="55"/>
  <c r="S600" i="55" s="1"/>
  <c r="R644" i="55"/>
  <c r="S644" i="55" s="1"/>
  <c r="R730" i="55"/>
  <c r="S730" i="55" s="1"/>
  <c r="R809" i="55"/>
  <c r="S809" i="55" s="1"/>
  <c r="R882" i="55"/>
  <c r="S882" i="55" s="1"/>
  <c r="R973" i="55"/>
  <c r="S973" i="55" s="1"/>
  <c r="R1049" i="55"/>
  <c r="S1049" i="55" s="1"/>
  <c r="R1126" i="55"/>
  <c r="S1126" i="55" s="1"/>
  <c r="R1217" i="55"/>
  <c r="S1217" i="55" s="1"/>
  <c r="R1287" i="55"/>
  <c r="S1287" i="55" s="1"/>
  <c r="R1363" i="55"/>
  <c r="S1363" i="55" s="1"/>
  <c r="R1456" i="55"/>
  <c r="S1456" i="55" s="1"/>
  <c r="R1519" i="55"/>
  <c r="S1519" i="55" s="1"/>
  <c r="R1607" i="55"/>
  <c r="S1607" i="55" s="1"/>
  <c r="R1681" i="55"/>
  <c r="S1681" i="55" s="1"/>
  <c r="R1784" i="55"/>
  <c r="S1784" i="55" s="1"/>
  <c r="R1827" i="55"/>
  <c r="S1827" i="55" s="1"/>
  <c r="R1918" i="55"/>
  <c r="S1918" i="55" s="1"/>
  <c r="R1981" i="55"/>
  <c r="S1981" i="55" s="1"/>
  <c r="R2042" i="55"/>
  <c r="S2042" i="55" s="1"/>
  <c r="R2120" i="55"/>
  <c r="S2120" i="55" s="1"/>
  <c r="R2194" i="55"/>
  <c r="S2194" i="55" s="1"/>
  <c r="R2256" i="55"/>
  <c r="S2256" i="55" s="1"/>
  <c r="R2324" i="55"/>
  <c r="S2324" i="55" s="1"/>
  <c r="R18" i="55"/>
  <c r="S18" i="55" s="1"/>
  <c r="R65" i="55"/>
  <c r="S65" i="55" s="1"/>
  <c r="R126" i="55"/>
  <c r="S126" i="55" s="1"/>
  <c r="R190" i="55"/>
  <c r="S190" i="55" s="1"/>
  <c r="R281" i="55"/>
  <c r="S281" i="55" s="1"/>
  <c r="R351" i="55"/>
  <c r="S351" i="55" s="1"/>
  <c r="R393" i="55"/>
  <c r="S393" i="55" s="1"/>
  <c r="R429" i="55"/>
  <c r="S429" i="55" s="1"/>
  <c r="R511" i="55"/>
  <c r="S511" i="55" s="1"/>
  <c r="R588" i="55"/>
  <c r="S588" i="55" s="1"/>
  <c r="R700" i="55"/>
  <c r="S700" i="55" s="1"/>
  <c r="R747" i="55"/>
  <c r="S747" i="55" s="1"/>
  <c r="R825" i="55"/>
  <c r="S825" i="55" s="1"/>
  <c r="R883" i="55"/>
  <c r="S883" i="55" s="1"/>
  <c r="R929" i="55"/>
  <c r="S929" i="55" s="1"/>
  <c r="R989" i="55"/>
  <c r="S989" i="55" s="1"/>
  <c r="R1082" i="55"/>
  <c r="S1082" i="55" s="1"/>
  <c r="R1142" i="55"/>
  <c r="S1142" i="55" s="1"/>
  <c r="R1189" i="55"/>
  <c r="S1189" i="55" s="1"/>
  <c r="R1258" i="55"/>
  <c r="S1258" i="55" s="1"/>
  <c r="R1300" i="55"/>
  <c r="S1300" i="55" s="1"/>
  <c r="R1380" i="55"/>
  <c r="S1380" i="55" s="1"/>
  <c r="R1457" i="55"/>
  <c r="S1457" i="55" s="1"/>
  <c r="R1551" i="55"/>
  <c r="S1551" i="55" s="1"/>
  <c r="R1594" i="55"/>
  <c r="S1594" i="55" s="1"/>
  <c r="R1624" i="55"/>
  <c r="S1624" i="55" s="1"/>
  <c r="R1698" i="55"/>
  <c r="S1698" i="55" s="1"/>
  <c r="R1770" i="55"/>
  <c r="S1770" i="55" s="1"/>
  <c r="R1887" i="55"/>
  <c r="S1887" i="55" s="1"/>
  <c r="R1935" i="55"/>
  <c r="S1935" i="55" s="1"/>
  <c r="R1997" i="55"/>
  <c r="S1997" i="55" s="1"/>
  <c r="R2059" i="55"/>
  <c r="S2059" i="55" s="1"/>
  <c r="R2105" i="55"/>
  <c r="S2105" i="55" s="1"/>
  <c r="R2166" i="55"/>
  <c r="S2166" i="55" s="1"/>
  <c r="R2211" i="55"/>
  <c r="S2211" i="55" s="1"/>
  <c r="R2300" i="55"/>
  <c r="S2300" i="55" s="1"/>
  <c r="R2325" i="55"/>
  <c r="S2325" i="55" s="1"/>
  <c r="R6" i="55"/>
  <c r="S6" i="55" s="1"/>
  <c r="R66" i="55"/>
  <c r="S66" i="55" s="1"/>
  <c r="R113" i="55"/>
  <c r="S113" i="55" s="1"/>
  <c r="R175" i="55"/>
  <c r="S175" i="55" s="1"/>
  <c r="R251" i="55"/>
  <c r="S251" i="55" s="1"/>
  <c r="R310" i="55"/>
  <c r="S310" i="55" s="1"/>
  <c r="R365" i="55"/>
  <c r="S365" i="55" s="1"/>
  <c r="R496" i="55"/>
  <c r="S496" i="55" s="1"/>
  <c r="R559" i="55"/>
  <c r="S559" i="55" s="1"/>
  <c r="R687" i="55"/>
  <c r="S687" i="55" s="1"/>
  <c r="R748" i="55"/>
  <c r="S748" i="55" s="1"/>
  <c r="R826" i="55"/>
  <c r="S826" i="55" s="1"/>
  <c r="R884" i="55"/>
  <c r="S884" i="55" s="1"/>
  <c r="R930" i="55"/>
  <c r="S930" i="55" s="1"/>
  <c r="R990" i="55"/>
  <c r="S990" i="55" s="1"/>
  <c r="R1035" i="55"/>
  <c r="S1035" i="55" s="1"/>
  <c r="R1083" i="55"/>
  <c r="S1083" i="55" s="1"/>
  <c r="R1128" i="55"/>
  <c r="S1128" i="55" s="1"/>
  <c r="R1159" i="55"/>
  <c r="S1159" i="55" s="1"/>
  <c r="R1219" i="55"/>
  <c r="S1219" i="55" s="1"/>
  <c r="R1259" i="55"/>
  <c r="S1259" i="55" s="1"/>
  <c r="R1333" i="55"/>
  <c r="S1333" i="55" s="1"/>
  <c r="R1395" i="55"/>
  <c r="S1395" i="55" s="1"/>
  <c r="R1458" i="55"/>
  <c r="S1458" i="55" s="1"/>
  <c r="R1521" i="55"/>
  <c r="S1521" i="55" s="1"/>
  <c r="R1567" i="55"/>
  <c r="S1567" i="55" s="1"/>
  <c r="R1640" i="55"/>
  <c r="S1640" i="55" s="1"/>
  <c r="R1714" i="55"/>
  <c r="S1714" i="55" s="1"/>
  <c r="R1756" i="55"/>
  <c r="S1756" i="55" s="1"/>
  <c r="R1802" i="55"/>
  <c r="S1802" i="55" s="1"/>
  <c r="R1856" i="55"/>
  <c r="S1856" i="55" s="1"/>
  <c r="R1888" i="55"/>
  <c r="S1888" i="55" s="1"/>
  <c r="R1952" i="55"/>
  <c r="S1952" i="55" s="1"/>
  <c r="R1998" i="55"/>
  <c r="S1998" i="55" s="1"/>
  <c r="R2060" i="55"/>
  <c r="S2060" i="55" s="1"/>
  <c r="R2137" i="55"/>
  <c r="S2137" i="55" s="1"/>
  <c r="R2182" i="55"/>
  <c r="S2182" i="55" s="1"/>
  <c r="R2242" i="55"/>
  <c r="S2242" i="55" s="1"/>
  <c r="R2301" i="55"/>
  <c r="S2301" i="55" s="1"/>
  <c r="R2326" i="55"/>
  <c r="S2326" i="55" s="1"/>
  <c r="R2384" i="55"/>
  <c r="S2384" i="55" s="1"/>
  <c r="R8" i="55"/>
  <c r="S8" i="55" s="1"/>
  <c r="R22" i="55"/>
  <c r="S22" i="55" s="1"/>
  <c r="R38" i="55"/>
  <c r="S38" i="55" s="1"/>
  <c r="R54" i="55"/>
  <c r="S54" i="55" s="1"/>
  <c r="R69" i="55"/>
  <c r="S69" i="55" s="1"/>
  <c r="R84" i="55"/>
  <c r="S84" i="55" s="1"/>
  <c r="R100" i="55"/>
  <c r="S100" i="55" s="1"/>
  <c r="R116" i="55"/>
  <c r="S116" i="55" s="1"/>
  <c r="R130" i="55"/>
  <c r="S130" i="55" s="1"/>
  <c r="R146" i="55"/>
  <c r="S146" i="55" s="1"/>
  <c r="R162" i="55"/>
  <c r="S162" i="55" s="1"/>
  <c r="R178" i="55"/>
  <c r="S178" i="55" s="1"/>
  <c r="R193" i="55"/>
  <c r="S193" i="55" s="1"/>
  <c r="R209" i="55"/>
  <c r="S209" i="55" s="1"/>
  <c r="R223" i="55"/>
  <c r="S223" i="55" s="1"/>
  <c r="R238" i="55"/>
  <c r="S238" i="55" s="1"/>
  <c r="R254" i="55"/>
  <c r="S254" i="55" s="1"/>
  <c r="R269" i="55"/>
  <c r="S269" i="55" s="1"/>
  <c r="R285" i="55"/>
  <c r="S285" i="55" s="1"/>
  <c r="R313" i="55"/>
  <c r="S313" i="55" s="1"/>
  <c r="R324" i="55"/>
  <c r="S324" i="55" s="1"/>
  <c r="R343" i="55"/>
  <c r="S343" i="55" s="1"/>
  <c r="R381" i="55"/>
  <c r="S381" i="55" s="1"/>
  <c r="R397" i="55"/>
  <c r="S397" i="55" s="1"/>
  <c r="R417" i="55"/>
  <c r="S417" i="55" s="1"/>
  <c r="R446" i="55"/>
  <c r="S446" i="55" s="1"/>
  <c r="R454" i="55"/>
  <c r="S454" i="55" s="1"/>
  <c r="R461" i="55"/>
  <c r="S461" i="55" s="1"/>
  <c r="R483" i="55"/>
  <c r="S483" i="55" s="1"/>
  <c r="R499" i="55"/>
  <c r="S499" i="55" s="1"/>
  <c r="R515" i="55"/>
  <c r="S515" i="55" s="1"/>
  <c r="R531" i="55"/>
  <c r="S531" i="55" s="1"/>
  <c r="R547" i="55"/>
  <c r="S547" i="55" s="1"/>
  <c r="R562" i="55"/>
  <c r="S562" i="55" s="1"/>
  <c r="R591" i="55"/>
  <c r="S591" i="55" s="1"/>
  <c r="R618" i="55"/>
  <c r="S618" i="55" s="1"/>
  <c r="R633" i="55"/>
  <c r="S633" i="55" s="1"/>
  <c r="R646" i="55"/>
  <c r="S646" i="55" s="1"/>
  <c r="R660" i="55"/>
  <c r="S660" i="55" s="1"/>
  <c r="R675" i="55"/>
  <c r="S675" i="55" s="1"/>
  <c r="R689" i="55"/>
  <c r="S689" i="55" s="1"/>
  <c r="R704" i="55"/>
  <c r="S704" i="55" s="1"/>
  <c r="R719" i="55"/>
  <c r="S719" i="55" s="1"/>
  <c r="R735" i="55"/>
  <c r="S735" i="55" s="1"/>
  <c r="R751" i="55"/>
  <c r="S751" i="55" s="1"/>
  <c r="R766" i="55"/>
  <c r="S766" i="55" s="1"/>
  <c r="R782" i="55"/>
  <c r="S782" i="55" s="1"/>
  <c r="R798" i="55"/>
  <c r="S798" i="55" s="1"/>
  <c r="R814" i="55"/>
  <c r="S814" i="55" s="1"/>
  <c r="R828" i="55"/>
  <c r="S828" i="55" s="1"/>
  <c r="R841" i="55"/>
  <c r="S841" i="55" s="1"/>
  <c r="R856" i="55"/>
  <c r="S856" i="55" s="1"/>
  <c r="R871" i="55"/>
  <c r="S871" i="55" s="1"/>
  <c r="R887" i="55"/>
  <c r="S887" i="55" s="1"/>
  <c r="R903" i="55"/>
  <c r="S903" i="55" s="1"/>
  <c r="R918" i="55"/>
  <c r="S918" i="55" s="1"/>
  <c r="R933" i="55"/>
  <c r="S933" i="55" s="1"/>
  <c r="R948" i="55"/>
  <c r="S948" i="55" s="1"/>
  <c r="R964" i="55"/>
  <c r="S964" i="55" s="1"/>
  <c r="R978" i="55"/>
  <c r="S978" i="55" s="1"/>
  <c r="R993" i="55"/>
  <c r="S993" i="55" s="1"/>
  <c r="R1008" i="55"/>
  <c r="S1008" i="55" s="1"/>
  <c r="R1023" i="55"/>
  <c r="S1023" i="55" s="1"/>
  <c r="R1038" i="55"/>
  <c r="S1038" i="55" s="1"/>
  <c r="R1054" i="55"/>
  <c r="S1054" i="55" s="1"/>
  <c r="R1070" i="55"/>
  <c r="S1070" i="55" s="1"/>
  <c r="R1086" i="55"/>
  <c r="S1086" i="55" s="1"/>
  <c r="R1101" i="55"/>
  <c r="S1101" i="55" s="1"/>
  <c r="R1115" i="55"/>
  <c r="S1115" i="55" s="1"/>
  <c r="R1131" i="55"/>
  <c r="S1131" i="55" s="1"/>
  <c r="R1146" i="55"/>
  <c r="S1146" i="55" s="1"/>
  <c r="R1162" i="55"/>
  <c r="S1162" i="55" s="1"/>
  <c r="R1177" i="55"/>
  <c r="S1177" i="55" s="1"/>
  <c r="R1207" i="55"/>
  <c r="S1207" i="55" s="1"/>
  <c r="R1235" i="55"/>
  <c r="S1235" i="55" s="1"/>
  <c r="R1248" i="55"/>
  <c r="S1248" i="55" s="1"/>
  <c r="R1262" i="55"/>
  <c r="S1262" i="55" s="1"/>
  <c r="R1276" i="55"/>
  <c r="S1276" i="55" s="1"/>
  <c r="R1291" i="55"/>
  <c r="S1291" i="55" s="1"/>
  <c r="R1304" i="55"/>
  <c r="S1304" i="55" s="1"/>
  <c r="R1320" i="55"/>
  <c r="S1320" i="55" s="1"/>
  <c r="R1336" i="55"/>
  <c r="S1336" i="55" s="1"/>
  <c r="R1352" i="55"/>
  <c r="S1352" i="55" s="1"/>
  <c r="R1368" i="55"/>
  <c r="S1368" i="55" s="1"/>
  <c r="R1383" i="55"/>
  <c r="S1383" i="55" s="1"/>
  <c r="R1398" i="55"/>
  <c r="S1398" i="55" s="1"/>
  <c r="R1414" i="55"/>
  <c r="S1414" i="55" s="1"/>
  <c r="R1445" i="55"/>
  <c r="S1445" i="55" s="1"/>
  <c r="R1302" i="55"/>
  <c r="S1302" i="55" s="1"/>
  <c r="R1318" i="55"/>
  <c r="S1318" i="55" s="1"/>
  <c r="R1334" i="55"/>
  <c r="S1334" i="55" s="1"/>
  <c r="R1350" i="55"/>
  <c r="S1350" i="55" s="1"/>
  <c r="R1366" i="55"/>
  <c r="S1366" i="55" s="1"/>
  <c r="R1381" i="55"/>
  <c r="S1381" i="55" s="1"/>
  <c r="R1396" i="55"/>
  <c r="S1396" i="55" s="1"/>
  <c r="R1412" i="55"/>
  <c r="S1412" i="55" s="1"/>
  <c r="R1428" i="55"/>
  <c r="S1428" i="55" s="1"/>
  <c r="R1443" i="55"/>
  <c r="S1443" i="55" s="1"/>
  <c r="R1459" i="55"/>
  <c r="S1459" i="55" s="1"/>
  <c r="R1475" i="55"/>
  <c r="S1475" i="55" s="1"/>
  <c r="R1491" i="55"/>
  <c r="S1491" i="55" s="1"/>
  <c r="R1506" i="55"/>
  <c r="S1506" i="55" s="1"/>
  <c r="R1522" i="55"/>
  <c r="S1522" i="55" s="1"/>
  <c r="R1538" i="55"/>
  <c r="S1538" i="55" s="1"/>
  <c r="R1553" i="55"/>
  <c r="S1553" i="55" s="1"/>
  <c r="R1568" i="55"/>
  <c r="S1568" i="55" s="1"/>
  <c r="R1582" i="55"/>
  <c r="S1582" i="55" s="1"/>
  <c r="R1610" i="55"/>
  <c r="S1610" i="55" s="1"/>
  <c r="R1626" i="55"/>
  <c r="S1626" i="55" s="1"/>
  <c r="R1641" i="55"/>
  <c r="S1641" i="55" s="1"/>
  <c r="R1656" i="55"/>
  <c r="S1656" i="55" s="1"/>
  <c r="R1669" i="55"/>
  <c r="S1669" i="55" s="1"/>
  <c r="R1684" i="55"/>
  <c r="S1684" i="55" s="1"/>
  <c r="R1700" i="55"/>
  <c r="S1700" i="55" s="1"/>
  <c r="R1715" i="55"/>
  <c r="S1715" i="55" s="1"/>
  <c r="R1731" i="55"/>
  <c r="S1731" i="55" s="1"/>
  <c r="R1745" i="55"/>
  <c r="S1745" i="55" s="1"/>
  <c r="R1757" i="55"/>
  <c r="S1757" i="55" s="1"/>
  <c r="R1772" i="55"/>
  <c r="S1772" i="55" s="1"/>
  <c r="R1787" i="55"/>
  <c r="S1787" i="55" s="1"/>
  <c r="R1803" i="55"/>
  <c r="S1803" i="55" s="1"/>
  <c r="R1816" i="55"/>
  <c r="S1816" i="55" s="1"/>
  <c r="R1829" i="55"/>
  <c r="S1829" i="55" s="1"/>
  <c r="R1844" i="55"/>
  <c r="S1844" i="55" s="1"/>
  <c r="R1857" i="55"/>
  <c r="S1857" i="55" s="1"/>
  <c r="R1873" i="55"/>
  <c r="S1873" i="55" s="1"/>
  <c r="R1889" i="55"/>
  <c r="S1889" i="55" s="1"/>
  <c r="R1905" i="55"/>
  <c r="S1905" i="55" s="1"/>
  <c r="R1921" i="55"/>
  <c r="S1921" i="55" s="1"/>
  <c r="R1937" i="55"/>
  <c r="S1937" i="55" s="1"/>
  <c r="R1953" i="55"/>
  <c r="S1953" i="55" s="1"/>
  <c r="R1969" i="55"/>
  <c r="S1969" i="55" s="1"/>
  <c r="R1984" i="55"/>
  <c r="S1984" i="55" s="1"/>
  <c r="R1999" i="55"/>
  <c r="S1999" i="55" s="1"/>
  <c r="R2014" i="55"/>
  <c r="S2014" i="55" s="1"/>
  <c r="R2030" i="55"/>
  <c r="S2030" i="55" s="1"/>
  <c r="R2045" i="55"/>
  <c r="S2045" i="55" s="1"/>
  <c r="R2061" i="55"/>
  <c r="S2061" i="55" s="1"/>
  <c r="R2075" i="55"/>
  <c r="S2075" i="55" s="1"/>
  <c r="R2091" i="55"/>
  <c r="S2091" i="55" s="1"/>
  <c r="R2107" i="55"/>
  <c r="S2107" i="55" s="1"/>
  <c r="R2123" i="55"/>
  <c r="S2123" i="55" s="1"/>
  <c r="R2138" i="55"/>
  <c r="S2138" i="55" s="1"/>
  <c r="R2153" i="55"/>
  <c r="S2153" i="55" s="1"/>
  <c r="R2183" i="55"/>
  <c r="S2183" i="55" s="1"/>
  <c r="R2197" i="55"/>
  <c r="S2197" i="55" s="1"/>
  <c r="R2213" i="55"/>
  <c r="S2213" i="55" s="1"/>
  <c r="R2243" i="55"/>
  <c r="S2243" i="55" s="1"/>
  <c r="R2272" i="55"/>
  <c r="S2272" i="55" s="1"/>
  <c r="R2287" i="55"/>
  <c r="S2287" i="55" s="1"/>
  <c r="R2302" i="55"/>
  <c r="S2302" i="55" s="1"/>
  <c r="R2317" i="55"/>
  <c r="S2317" i="55" s="1"/>
  <c r="R2327" i="55"/>
  <c r="S2327" i="55" s="1"/>
  <c r="R2340" i="55"/>
  <c r="S2340" i="55" s="1"/>
  <c r="R2356" i="55"/>
  <c r="S2356" i="55" s="1"/>
  <c r="R2369" i="55"/>
  <c r="S2369" i="55" s="1"/>
  <c r="R2385" i="55"/>
  <c r="S2385" i="55" s="1"/>
  <c r="R2399" i="55"/>
  <c r="S2399" i="55" s="1"/>
  <c r="R590" i="55"/>
  <c r="S590" i="55" s="1"/>
  <c r="R604" i="55"/>
  <c r="S604" i="55" s="1"/>
  <c r="R617" i="55"/>
  <c r="S617" i="55" s="1"/>
  <c r="R632" i="55"/>
  <c r="S632" i="55" s="1"/>
  <c r="R645" i="55"/>
  <c r="S645" i="55" s="1"/>
  <c r="R659" i="55"/>
  <c r="S659" i="55" s="1"/>
  <c r="R674" i="55"/>
  <c r="S674" i="55" s="1"/>
  <c r="R688" i="55"/>
  <c r="S688" i="55" s="1"/>
  <c r="R703" i="55"/>
  <c r="S703" i="55" s="1"/>
  <c r="R718" i="55"/>
  <c r="S718" i="55" s="1"/>
  <c r="R734" i="55"/>
  <c r="S734" i="55" s="1"/>
  <c r="R750" i="55"/>
  <c r="S750" i="55" s="1"/>
  <c r="R765" i="55"/>
  <c r="S765" i="55" s="1"/>
  <c r="R781" i="55"/>
  <c r="S781" i="55" s="1"/>
  <c r="R797" i="55"/>
  <c r="S797" i="55" s="1"/>
  <c r="R813" i="55"/>
  <c r="S813" i="55" s="1"/>
  <c r="R840" i="55"/>
  <c r="S840" i="55" s="1"/>
  <c r="R855" i="55"/>
  <c r="S855" i="55" s="1"/>
  <c r="R870" i="55"/>
  <c r="S870" i="55" s="1"/>
  <c r="R886" i="55"/>
  <c r="S886" i="55" s="1"/>
  <c r="R902" i="55"/>
  <c r="S902" i="55" s="1"/>
  <c r="R932" i="55"/>
  <c r="S932" i="55" s="1"/>
  <c r="R947" i="55"/>
  <c r="S947" i="55" s="1"/>
  <c r="R963" i="55"/>
  <c r="S963" i="55" s="1"/>
  <c r="R977" i="55"/>
  <c r="S977" i="55" s="1"/>
  <c r="R992" i="55"/>
  <c r="S992" i="55" s="1"/>
  <c r="R1007" i="55"/>
  <c r="S1007" i="55" s="1"/>
  <c r="R1022" i="55"/>
  <c r="S1022" i="55" s="1"/>
  <c r="R1037" i="55"/>
  <c r="S1037" i="55" s="1"/>
  <c r="R1053" i="55"/>
  <c r="S1053" i="55" s="1"/>
  <c r="R1069" i="55"/>
  <c r="S1069" i="55" s="1"/>
  <c r="R1085" i="55"/>
  <c r="S1085" i="55" s="1"/>
  <c r="R1100" i="55"/>
  <c r="S1100" i="55" s="1"/>
  <c r="R1114" i="55"/>
  <c r="S1114" i="55" s="1"/>
  <c r="R1130" i="55"/>
  <c r="S1130" i="55" s="1"/>
  <c r="R1145" i="55"/>
  <c r="S1145" i="55" s="1"/>
  <c r="R1161" i="55"/>
  <c r="S1161" i="55" s="1"/>
  <c r="R1176" i="55"/>
  <c r="S1176" i="55" s="1"/>
  <c r="R1206" i="55"/>
  <c r="S1206" i="55" s="1"/>
  <c r="R1221" i="55"/>
  <c r="S1221" i="55" s="1"/>
  <c r="R1234" i="55"/>
  <c r="S1234" i="55" s="1"/>
  <c r="R1247" i="55"/>
  <c r="S1247" i="55" s="1"/>
  <c r="R1261" i="55"/>
  <c r="S1261" i="55" s="1"/>
  <c r="R1290" i="55"/>
  <c r="S1290" i="55" s="1"/>
  <c r="R1303" i="55"/>
  <c r="S1303" i="55" s="1"/>
  <c r="R1319" i="55"/>
  <c r="S1319" i="55" s="1"/>
  <c r="R1335" i="55"/>
  <c r="S1335" i="55" s="1"/>
  <c r="R1351" i="55"/>
  <c r="S1351" i="55" s="1"/>
  <c r="R1367" i="55"/>
  <c r="S1367" i="55" s="1"/>
  <c r="R1382" i="55"/>
  <c r="S1382" i="55" s="1"/>
  <c r="R1397" i="55"/>
  <c r="S1397" i="55" s="1"/>
  <c r="R1413" i="55"/>
  <c r="S1413" i="55" s="1"/>
  <c r="R1429" i="55"/>
  <c r="S1429" i="55" s="1"/>
  <c r="R1444" i="55"/>
  <c r="S1444" i="55" s="1"/>
  <c r="R1460" i="55"/>
  <c r="S1460" i="55" s="1"/>
  <c r="R1476" i="55"/>
  <c r="S1476" i="55" s="1"/>
  <c r="R1492" i="55"/>
  <c r="S1492" i="55" s="1"/>
  <c r="R1507" i="55"/>
  <c r="S1507" i="55" s="1"/>
  <c r="R1523" i="55"/>
  <c r="S1523" i="55" s="1"/>
  <c r="R1539" i="55"/>
  <c r="S1539" i="55" s="1"/>
  <c r="R1554" i="55"/>
  <c r="S1554" i="55" s="1"/>
  <c r="R1583" i="55"/>
  <c r="S1583" i="55" s="1"/>
  <c r="R1596" i="55"/>
  <c r="S1596" i="55" s="1"/>
  <c r="R1611" i="55"/>
  <c r="S1611" i="55" s="1"/>
  <c r="R1627" i="55"/>
  <c r="S1627" i="55" s="1"/>
  <c r="R1657" i="55"/>
  <c r="S1657" i="55" s="1"/>
  <c r="R1670" i="55"/>
  <c r="S1670" i="55" s="1"/>
  <c r="R1685" i="55"/>
  <c r="S1685" i="55" s="1"/>
  <c r="R1701" i="55"/>
  <c r="S1701" i="55" s="1"/>
  <c r="R1716" i="55"/>
  <c r="S1716" i="55" s="1"/>
  <c r="R1732" i="55"/>
  <c r="S1732" i="55" s="1"/>
  <c r="R1746" i="55"/>
  <c r="S1746" i="55" s="1"/>
  <c r="R1758" i="55"/>
  <c r="S1758" i="55" s="1"/>
  <c r="R1788" i="55"/>
  <c r="S1788" i="55" s="1"/>
  <c r="R1804" i="55"/>
  <c r="S1804" i="55" s="1"/>
  <c r="R1817" i="55"/>
  <c r="S1817" i="55" s="1"/>
  <c r="R1830" i="55"/>
  <c r="S1830" i="55" s="1"/>
  <c r="R1845" i="55"/>
  <c r="S1845" i="55" s="1"/>
  <c r="R1858" i="55"/>
  <c r="S1858" i="55" s="1"/>
  <c r="R1874" i="55"/>
  <c r="S1874" i="55" s="1"/>
  <c r="R1890" i="55"/>
  <c r="S1890" i="55" s="1"/>
  <c r="R1906" i="55"/>
  <c r="S1906" i="55" s="1"/>
  <c r="R1922" i="55"/>
  <c r="S1922" i="55" s="1"/>
  <c r="R1938" i="55"/>
  <c r="S1938" i="55" s="1"/>
  <c r="R1954" i="55"/>
  <c r="S1954" i="55" s="1"/>
  <c r="R1970" i="55"/>
  <c r="S1970" i="55" s="1"/>
  <c r="R1985" i="55"/>
  <c r="S1985" i="55" s="1"/>
  <c r="R2000" i="55"/>
  <c r="S2000" i="55" s="1"/>
  <c r="R2015" i="55"/>
  <c r="S2015" i="55" s="1"/>
  <c r="R2031" i="55"/>
  <c r="S2031" i="55" s="1"/>
  <c r="R2046" i="55"/>
  <c r="S2046" i="55" s="1"/>
  <c r="R2062" i="55"/>
  <c r="S2062" i="55" s="1"/>
  <c r="R2076" i="55"/>
  <c r="S2076" i="55" s="1"/>
  <c r="R2092" i="55"/>
  <c r="S2092" i="55" s="1"/>
  <c r="R2108" i="55"/>
  <c r="S2108" i="55" s="1"/>
  <c r="R2124" i="55"/>
  <c r="S2124" i="55" s="1"/>
  <c r="R2139" i="55"/>
  <c r="S2139" i="55" s="1"/>
  <c r="R2154" i="55"/>
  <c r="S2154" i="55" s="1"/>
  <c r="R2168" i="55"/>
  <c r="S2168" i="55" s="1"/>
  <c r="R2198" i="55"/>
  <c r="S2198" i="55" s="1"/>
  <c r="R2214" i="55"/>
  <c r="S2214" i="55" s="1"/>
  <c r="R2229" i="55"/>
  <c r="S2229" i="55" s="1"/>
  <c r="R2244" i="55"/>
  <c r="S2244" i="55" s="1"/>
  <c r="R2258" i="55"/>
  <c r="S2258" i="55" s="1"/>
  <c r="R2273" i="55"/>
  <c r="S2273" i="55" s="1"/>
  <c r="R2303" i="55"/>
  <c r="S2303" i="55" s="1"/>
  <c r="R2318" i="55"/>
  <c r="S2318" i="55" s="1"/>
  <c r="R2328" i="55"/>
  <c r="S2328" i="55" s="1"/>
  <c r="R2341" i="55"/>
  <c r="S2341" i="55" s="1"/>
  <c r="R2357" i="55"/>
  <c r="S2357" i="55" s="1"/>
  <c r="R2370" i="55"/>
  <c r="S2370" i="55" s="1"/>
  <c r="R2386" i="55"/>
  <c r="S2386" i="55" s="1"/>
  <c r="R2400" i="55"/>
  <c r="S2400" i="55" s="1"/>
  <c r="R1461" i="55"/>
  <c r="S1461" i="55" s="1"/>
  <c r="R1477" i="55"/>
  <c r="S1477" i="55" s="1"/>
  <c r="R1493" i="55"/>
  <c r="S1493" i="55" s="1"/>
  <c r="R1508" i="55"/>
  <c r="S1508" i="55" s="1"/>
  <c r="R1524" i="55"/>
  <c r="S1524" i="55" s="1"/>
  <c r="R1540" i="55"/>
  <c r="S1540" i="55" s="1"/>
  <c r="R1555" i="55"/>
  <c r="S1555" i="55" s="1"/>
  <c r="R1569" i="55"/>
  <c r="S1569" i="55" s="1"/>
  <c r="R1584" i="55"/>
  <c r="S1584" i="55" s="1"/>
  <c r="R1597" i="55"/>
  <c r="S1597" i="55" s="1"/>
  <c r="R1612" i="55"/>
  <c r="S1612" i="55" s="1"/>
  <c r="R1628" i="55"/>
  <c r="S1628" i="55" s="1"/>
  <c r="R1642" i="55"/>
  <c r="S1642" i="55" s="1"/>
  <c r="R1658" i="55"/>
  <c r="S1658" i="55" s="1"/>
  <c r="R1671" i="55"/>
  <c r="S1671" i="55" s="1"/>
  <c r="R1686" i="55"/>
  <c r="S1686" i="55" s="1"/>
  <c r="R1702" i="55"/>
  <c r="S1702" i="55" s="1"/>
  <c r="R1717" i="55"/>
  <c r="S1717" i="55" s="1"/>
  <c r="R1733" i="55"/>
  <c r="S1733" i="55" s="1"/>
  <c r="R1747" i="55"/>
  <c r="S1747" i="55" s="1"/>
  <c r="R1759" i="55"/>
  <c r="S1759" i="55" s="1"/>
  <c r="R1773" i="55"/>
  <c r="S1773" i="55" s="1"/>
  <c r="R1789" i="55"/>
  <c r="S1789" i="55" s="1"/>
  <c r="R1805" i="55"/>
  <c r="S1805" i="55" s="1"/>
  <c r="R1818" i="55"/>
  <c r="S1818" i="55" s="1"/>
  <c r="R1831" i="55"/>
  <c r="S1831" i="55" s="1"/>
  <c r="R1846" i="55"/>
  <c r="S1846" i="55" s="1"/>
  <c r="R1859" i="55"/>
  <c r="S1859" i="55" s="1"/>
  <c r="R1875" i="55"/>
  <c r="S1875" i="55" s="1"/>
  <c r="R1891" i="55"/>
  <c r="S1891" i="55" s="1"/>
  <c r="R1907" i="55"/>
  <c r="S1907" i="55" s="1"/>
  <c r="R1923" i="55"/>
  <c r="S1923" i="55" s="1"/>
  <c r="R1939" i="55"/>
  <c r="S1939" i="55" s="1"/>
  <c r="R1955" i="55"/>
  <c r="S1955" i="55" s="1"/>
  <c r="R1986" i="55"/>
  <c r="S1986" i="55" s="1"/>
  <c r="R2001" i="55"/>
  <c r="S2001" i="55" s="1"/>
  <c r="R2016" i="55"/>
  <c r="S2016" i="55" s="1"/>
  <c r="R2032" i="55"/>
  <c r="S2032" i="55" s="1"/>
  <c r="R2047" i="55"/>
  <c r="S2047" i="55" s="1"/>
  <c r="R2063" i="55"/>
  <c r="S2063" i="55" s="1"/>
  <c r="R2077" i="55"/>
  <c r="S2077" i="55" s="1"/>
  <c r="R2093" i="55"/>
  <c r="S2093" i="55" s="1"/>
  <c r="R2109" i="55"/>
  <c r="S2109" i="55" s="1"/>
  <c r="R2125" i="55"/>
  <c r="S2125" i="55" s="1"/>
  <c r="R2140" i="55"/>
  <c r="S2140" i="55" s="1"/>
  <c r="R2155" i="55"/>
  <c r="S2155" i="55" s="1"/>
  <c r="R2169" i="55"/>
  <c r="S2169" i="55" s="1"/>
  <c r="R2184" i="55"/>
  <c r="S2184" i="55" s="1"/>
  <c r="R2199" i="55"/>
  <c r="S2199" i="55" s="1"/>
  <c r="R2215" i="55"/>
  <c r="S2215" i="55" s="1"/>
  <c r="R2230" i="55"/>
  <c r="S2230" i="55" s="1"/>
  <c r="R2245" i="55"/>
  <c r="S2245" i="55" s="1"/>
  <c r="R2259" i="55"/>
  <c r="S2259" i="55" s="1"/>
  <c r="R2274" i="55"/>
  <c r="S2274" i="55" s="1"/>
  <c r="R2288" i="55"/>
  <c r="S2288" i="55" s="1"/>
  <c r="R2304" i="55"/>
  <c r="S2304" i="55" s="1"/>
  <c r="R2319" i="55"/>
  <c r="S2319" i="55" s="1"/>
  <c r="R2329" i="55"/>
  <c r="S2329" i="55" s="1"/>
  <c r="R2342" i="55"/>
  <c r="S2342" i="55" s="1"/>
  <c r="R2358" i="55"/>
  <c r="S2358" i="55" s="1"/>
  <c r="R2371" i="55"/>
  <c r="S2371" i="55" s="1"/>
  <c r="R2387" i="55"/>
  <c r="S2387" i="55" s="1"/>
  <c r="R2401" i="55"/>
  <c r="S2401" i="55" s="1"/>
  <c r="R1306" i="55"/>
  <c r="S1306" i="55" s="1"/>
  <c r="R1322" i="55"/>
  <c r="S1322" i="55" s="1"/>
  <c r="R1338" i="55"/>
  <c r="S1338" i="55" s="1"/>
  <c r="R1354" i="55"/>
  <c r="S1354" i="55" s="1"/>
  <c r="R1370" i="55"/>
  <c r="S1370" i="55" s="1"/>
  <c r="R1385" i="55"/>
  <c r="S1385" i="55" s="1"/>
  <c r="R1400" i="55"/>
  <c r="S1400" i="55" s="1"/>
  <c r="R1416" i="55"/>
  <c r="S1416" i="55" s="1"/>
  <c r="R1431" i="55"/>
  <c r="S1431" i="55" s="1"/>
  <c r="R1447" i="55"/>
  <c r="S1447" i="55" s="1"/>
  <c r="R1463" i="55"/>
  <c r="S1463" i="55" s="1"/>
  <c r="R1479" i="55"/>
  <c r="S1479" i="55" s="1"/>
  <c r="R1495" i="55"/>
  <c r="S1495" i="55" s="1"/>
  <c r="R1510" i="55"/>
  <c r="S1510" i="55" s="1"/>
  <c r="R1526" i="55"/>
  <c r="S1526" i="55" s="1"/>
  <c r="R1542" i="55"/>
  <c r="S1542" i="55" s="1"/>
  <c r="R1557" i="55"/>
  <c r="S1557" i="55" s="1"/>
  <c r="R1570" i="55"/>
  <c r="S1570" i="55" s="1"/>
  <c r="R1599" i="55"/>
  <c r="S1599" i="55" s="1"/>
  <c r="R1614" i="55"/>
  <c r="S1614" i="55" s="1"/>
  <c r="R1644" i="55"/>
  <c r="S1644" i="55" s="1"/>
  <c r="R1659" i="55"/>
  <c r="S1659" i="55" s="1"/>
  <c r="R1673" i="55"/>
  <c r="S1673" i="55" s="1"/>
  <c r="R1688" i="55"/>
  <c r="S1688" i="55" s="1"/>
  <c r="R1704" i="55"/>
  <c r="S1704" i="55" s="1"/>
  <c r="R1719" i="55"/>
  <c r="S1719" i="55" s="1"/>
  <c r="R1735" i="55"/>
  <c r="S1735" i="55" s="1"/>
  <c r="R1749" i="55"/>
  <c r="S1749" i="55" s="1"/>
  <c r="R1761" i="55"/>
  <c r="S1761" i="55" s="1"/>
  <c r="R1775" i="55"/>
  <c r="S1775" i="55" s="1"/>
  <c r="R1791" i="55"/>
  <c r="S1791" i="55" s="1"/>
  <c r="R1807" i="55"/>
  <c r="S1807" i="55" s="1"/>
  <c r="R1820" i="55"/>
  <c r="S1820" i="55" s="1"/>
  <c r="R1833" i="55"/>
  <c r="S1833" i="55" s="1"/>
  <c r="R1861" i="55"/>
  <c r="S1861" i="55" s="1"/>
  <c r="R1877" i="55"/>
  <c r="S1877" i="55" s="1"/>
  <c r="R1893" i="55"/>
  <c r="S1893" i="55" s="1"/>
  <c r="R1909" i="55"/>
  <c r="S1909" i="55" s="1"/>
  <c r="R1925" i="55"/>
  <c r="S1925" i="55" s="1"/>
  <c r="R1941" i="55"/>
  <c r="S1941" i="55" s="1"/>
  <c r="R1957" i="55"/>
  <c r="S1957" i="55" s="1"/>
  <c r="R1972" i="55"/>
  <c r="S1972" i="55" s="1"/>
  <c r="R1987" i="55"/>
  <c r="S1987" i="55" s="1"/>
  <c r="R2002" i="55"/>
  <c r="S2002" i="55" s="1"/>
  <c r="R2018" i="55"/>
  <c r="S2018" i="55" s="1"/>
  <c r="R2034" i="55"/>
  <c r="S2034" i="55" s="1"/>
  <c r="R2049" i="55"/>
  <c r="S2049" i="55" s="1"/>
  <c r="R2079" i="55"/>
  <c r="S2079" i="55" s="1"/>
  <c r="R2095" i="55"/>
  <c r="S2095" i="55" s="1"/>
  <c r="R2111" i="55"/>
  <c r="S2111" i="55" s="1"/>
  <c r="R2127" i="55"/>
  <c r="S2127" i="55" s="1"/>
  <c r="R2142" i="55"/>
  <c r="S2142" i="55" s="1"/>
  <c r="R2157" i="55"/>
  <c r="S2157" i="55" s="1"/>
  <c r="R2171" i="55"/>
  <c r="S2171" i="55" s="1"/>
  <c r="R2186" i="55"/>
  <c r="S2186" i="55" s="1"/>
  <c r="R2201" i="55"/>
  <c r="S2201" i="55" s="1"/>
  <c r="R2217" i="55"/>
  <c r="S2217" i="55" s="1"/>
  <c r="R2232" i="55"/>
  <c r="S2232" i="55" s="1"/>
  <c r="R2247" i="55"/>
  <c r="S2247" i="55" s="1"/>
  <c r="R2261" i="55"/>
  <c r="S2261" i="55" s="1"/>
  <c r="R2276" i="55"/>
  <c r="S2276" i="55" s="1"/>
  <c r="R2290" i="55"/>
  <c r="S2290" i="55" s="1"/>
  <c r="R2306" i="55"/>
  <c r="S2306" i="55" s="1"/>
  <c r="R2331" i="55"/>
  <c r="S2331" i="55" s="1"/>
  <c r="R2344" i="55"/>
  <c r="S2344" i="55" s="1"/>
  <c r="R2360" i="55"/>
  <c r="S2360" i="55" s="1"/>
  <c r="R2373" i="55"/>
  <c r="S2373" i="55" s="1"/>
  <c r="R2389" i="55"/>
  <c r="S2389" i="55" s="1"/>
  <c r="R2403" i="55"/>
  <c r="S2403" i="55" s="1"/>
  <c r="R14" i="55"/>
  <c r="S14" i="55" s="1"/>
  <c r="R28" i="55"/>
  <c r="S28" i="55" s="1"/>
  <c r="R44" i="55"/>
  <c r="S44" i="55" s="1"/>
  <c r="R59" i="55"/>
  <c r="S59" i="55" s="1"/>
  <c r="R75" i="55"/>
  <c r="S75" i="55" s="1"/>
  <c r="R90" i="55"/>
  <c r="S90" i="55" s="1"/>
  <c r="R106" i="55"/>
  <c r="S106" i="55" s="1"/>
  <c r="R136" i="55"/>
  <c r="S136" i="55" s="1"/>
  <c r="R152" i="55"/>
  <c r="S152" i="55" s="1"/>
  <c r="R168" i="55"/>
  <c r="S168" i="55" s="1"/>
  <c r="R184" i="55"/>
  <c r="S184" i="55" s="1"/>
  <c r="R199" i="55"/>
  <c r="S199" i="55" s="1"/>
  <c r="R214" i="55"/>
  <c r="S214" i="55" s="1"/>
  <c r="R229" i="55"/>
  <c r="S229" i="55" s="1"/>
  <c r="R244" i="55"/>
  <c r="S244" i="55" s="1"/>
  <c r="R259" i="55"/>
  <c r="S259" i="55" s="1"/>
  <c r="R275" i="55"/>
  <c r="S275" i="55" s="1"/>
  <c r="R291" i="55"/>
  <c r="S291" i="55" s="1"/>
  <c r="R305" i="55"/>
  <c r="S305" i="55" s="1"/>
  <c r="R317" i="55"/>
  <c r="S317" i="55" s="1"/>
  <c r="R328" i="55"/>
  <c r="S328" i="55" s="1"/>
  <c r="R358" i="55"/>
  <c r="S358" i="55" s="1"/>
  <c r="R372" i="55"/>
  <c r="S372" i="55" s="1"/>
  <c r="R387" i="55"/>
  <c r="S387" i="55" s="1"/>
  <c r="R411" i="55"/>
  <c r="S411" i="55" s="1"/>
  <c r="R423" i="55"/>
  <c r="S423" i="55" s="1"/>
  <c r="R436" i="55"/>
  <c r="S436" i="55" s="1"/>
  <c r="R450" i="55"/>
  <c r="S450" i="55" s="1"/>
  <c r="R465" i="55"/>
  <c r="S465" i="55" s="1"/>
  <c r="R475" i="55"/>
  <c r="S475" i="55" s="1"/>
  <c r="R489" i="55"/>
  <c r="S489" i="55" s="1"/>
  <c r="R505" i="55"/>
  <c r="S505" i="55" s="1"/>
  <c r="R521" i="55"/>
  <c r="S521" i="55" s="1"/>
  <c r="R537" i="55"/>
  <c r="S537" i="55" s="1"/>
  <c r="R552" i="55"/>
  <c r="S552" i="55" s="1"/>
  <c r="R568" i="55"/>
  <c r="S568" i="55" s="1"/>
  <c r="R582" i="55"/>
  <c r="S582" i="55" s="1"/>
  <c r="R609" i="55"/>
  <c r="S609" i="55" s="1"/>
  <c r="R624" i="55"/>
  <c r="S624" i="55" s="1"/>
  <c r="R639" i="55"/>
  <c r="S639" i="55" s="1"/>
  <c r="R651" i="55"/>
  <c r="S651" i="55" s="1"/>
  <c r="R666" i="55"/>
  <c r="S666" i="55" s="1"/>
  <c r="R680" i="55"/>
  <c r="S680" i="55" s="1"/>
  <c r="R695" i="55"/>
  <c r="S695" i="55" s="1"/>
  <c r="R709" i="55"/>
  <c r="S709" i="55" s="1"/>
  <c r="R725" i="55"/>
  <c r="S725" i="55" s="1"/>
  <c r="R741" i="55"/>
  <c r="S741" i="55" s="1"/>
  <c r="R772" i="55"/>
  <c r="S772" i="55" s="1"/>
  <c r="R788" i="55"/>
  <c r="S788" i="55" s="1"/>
  <c r="R804" i="55"/>
  <c r="S804" i="55" s="1"/>
  <c r="R820" i="55"/>
  <c r="S820" i="55" s="1"/>
  <c r="R847" i="55"/>
  <c r="S847" i="55" s="1"/>
  <c r="R861" i="55"/>
  <c r="S861" i="55" s="1"/>
  <c r="R877" i="55"/>
  <c r="S877" i="55" s="1"/>
  <c r="R893" i="55"/>
  <c r="S893" i="55" s="1"/>
  <c r="R909" i="55"/>
  <c r="S909" i="55" s="1"/>
  <c r="R924" i="55"/>
  <c r="S924" i="55" s="1"/>
  <c r="R938" i="55"/>
  <c r="S938" i="55" s="1"/>
  <c r="R954" i="55"/>
  <c r="S954" i="55" s="1"/>
  <c r="R984" i="55"/>
  <c r="S984" i="55" s="1"/>
  <c r="R998" i="55"/>
  <c r="S998" i="55" s="1"/>
  <c r="R1013" i="55"/>
  <c r="S1013" i="55" s="1"/>
  <c r="R1044" i="55"/>
  <c r="S1044" i="55" s="1"/>
  <c r="R1060" i="55"/>
  <c r="S1060" i="55" s="1"/>
  <c r="R1076" i="55"/>
  <c r="S1076" i="55" s="1"/>
  <c r="R1091" i="55"/>
  <c r="S1091" i="55" s="1"/>
  <c r="R1105" i="55"/>
  <c r="S1105" i="55" s="1"/>
  <c r="R1121" i="55"/>
  <c r="S1121" i="55" s="1"/>
  <c r="R1152" i="55"/>
  <c r="S1152" i="55" s="1"/>
  <c r="R1168" i="55"/>
  <c r="S1168" i="55" s="1"/>
  <c r="R1183" i="55"/>
  <c r="S1183" i="55" s="1"/>
  <c r="R1197" i="55"/>
  <c r="S1197" i="55" s="1"/>
  <c r="R1212" i="55"/>
  <c r="S1212" i="55" s="1"/>
  <c r="R1225" i="55"/>
  <c r="S1225" i="55" s="1"/>
  <c r="R1240" i="55"/>
  <c r="S1240" i="55" s="1"/>
  <c r="R1252" i="55"/>
  <c r="S1252" i="55" s="1"/>
  <c r="R1267" i="55"/>
  <c r="S1267" i="55" s="1"/>
  <c r="R1282" i="55"/>
  <c r="S1282" i="55" s="1"/>
  <c r="R1310" i="55"/>
  <c r="S1310" i="55" s="1"/>
  <c r="R1326" i="55"/>
  <c r="S1326" i="55" s="1"/>
  <c r="R1342" i="55"/>
  <c r="S1342" i="55" s="1"/>
  <c r="R1358" i="55"/>
  <c r="S1358" i="55" s="1"/>
  <c r="R1374" i="55"/>
  <c r="S1374" i="55" s="1"/>
  <c r="R1404" i="55"/>
  <c r="S1404" i="55" s="1"/>
  <c r="R1420" i="55"/>
  <c r="S1420" i="55" s="1"/>
  <c r="R1435" i="55"/>
  <c r="S1435" i="55" s="1"/>
  <c r="R1451" i="55"/>
  <c r="S1451" i="55" s="1"/>
  <c r="R1467" i="55"/>
  <c r="S1467" i="55" s="1"/>
  <c r="R1483" i="55"/>
  <c r="S1483" i="55" s="1"/>
  <c r="R1498" i="55"/>
  <c r="S1498" i="55" s="1"/>
  <c r="R1514" i="55"/>
  <c r="S1514" i="55" s="1"/>
  <c r="R1530" i="55"/>
  <c r="S1530" i="55" s="1"/>
  <c r="R1546" i="55"/>
  <c r="S1546" i="55" s="1"/>
  <c r="R1561" i="55"/>
  <c r="S1561" i="55" s="1"/>
  <c r="R1574" i="55"/>
  <c r="S1574" i="55" s="1"/>
  <c r="R1589" i="55"/>
  <c r="S1589" i="55" s="1"/>
  <c r="R1602" i="55"/>
  <c r="S1602" i="55" s="1"/>
  <c r="R1618" i="55"/>
  <c r="S1618" i="55" s="1"/>
  <c r="R1633" i="55"/>
  <c r="S1633" i="55" s="1"/>
  <c r="R1648" i="55"/>
  <c r="S1648" i="55" s="1"/>
  <c r="R1663" i="55"/>
  <c r="S1663" i="55" s="1"/>
  <c r="R1676" i="55"/>
  <c r="S1676" i="55" s="1"/>
  <c r="R1692" i="55"/>
  <c r="S1692" i="55" s="1"/>
  <c r="R1707" i="55"/>
  <c r="S1707" i="55" s="1"/>
  <c r="R1723" i="55"/>
  <c r="S1723" i="55" s="1"/>
  <c r="R1739" i="55"/>
  <c r="S1739" i="55" s="1"/>
  <c r="R1752" i="55"/>
  <c r="S1752" i="55" s="1"/>
  <c r="R1765" i="55"/>
  <c r="S1765" i="55" s="1"/>
  <c r="R1779" i="55"/>
  <c r="S1779" i="55" s="1"/>
  <c r="R1795" i="55"/>
  <c r="S1795" i="55" s="1"/>
  <c r="R1810" i="55"/>
  <c r="S1810" i="55" s="1"/>
  <c r="R1837" i="55"/>
  <c r="S1837" i="55" s="1"/>
  <c r="R1851" i="55"/>
  <c r="S1851" i="55" s="1"/>
  <c r="R1865" i="55"/>
  <c r="S1865" i="55" s="1"/>
  <c r="R1881" i="55"/>
  <c r="S1881" i="55" s="1"/>
  <c r="R1897" i="55"/>
  <c r="S1897" i="55" s="1"/>
  <c r="R1913" i="55"/>
  <c r="S1913" i="55" s="1"/>
  <c r="R1929" i="55"/>
  <c r="S1929" i="55" s="1"/>
  <c r="R1945" i="55"/>
  <c r="S1945" i="55" s="1"/>
  <c r="R1961" i="55"/>
  <c r="S1961" i="55" s="1"/>
  <c r="R1976" i="55"/>
  <c r="S1976" i="55" s="1"/>
  <c r="R1991" i="55"/>
  <c r="S1991" i="55" s="1"/>
  <c r="R2006" i="55"/>
  <c r="S2006" i="55" s="1"/>
  <c r="R2022" i="55"/>
  <c r="S2022" i="55" s="1"/>
  <c r="R2037" i="55"/>
  <c r="S2037" i="55" s="1"/>
  <c r="R2053" i="55"/>
  <c r="S2053" i="55" s="1"/>
  <c r="R2068" i="55"/>
  <c r="S2068" i="55" s="1"/>
  <c r="R2083" i="55"/>
  <c r="S2083" i="55" s="1"/>
  <c r="R2099" i="55"/>
  <c r="S2099" i="55" s="1"/>
  <c r="R2115" i="55"/>
  <c r="S2115" i="55" s="1"/>
  <c r="R2131" i="55"/>
  <c r="S2131" i="55" s="1"/>
  <c r="R2145" i="55"/>
  <c r="S2145" i="55" s="1"/>
  <c r="R2160" i="55"/>
  <c r="S2160" i="55" s="1"/>
  <c r="R2175" i="55"/>
  <c r="S2175" i="55" s="1"/>
  <c r="R2190" i="55"/>
  <c r="S2190" i="55" s="1"/>
  <c r="R2205" i="55"/>
  <c r="S2205" i="55" s="1"/>
  <c r="R2221" i="55"/>
  <c r="S2221" i="55" s="1"/>
  <c r="R2236" i="55"/>
  <c r="S2236" i="55" s="1"/>
  <c r="R2251" i="55"/>
  <c r="S2251" i="55" s="1"/>
  <c r="R2265" i="55"/>
  <c r="S2265" i="55" s="1"/>
  <c r="R2280" i="55"/>
  <c r="S2280" i="55" s="1"/>
  <c r="R2294" i="55"/>
  <c r="S2294" i="55" s="1"/>
  <c r="R2309" i="55"/>
  <c r="S2309" i="55" s="1"/>
  <c r="R2334" i="55"/>
  <c r="S2334" i="55" s="1"/>
  <c r="R2348" i="55"/>
  <c r="S2348" i="55" s="1"/>
  <c r="R2364" i="55"/>
  <c r="S2364" i="55" s="1"/>
  <c r="R2377" i="55"/>
  <c r="S2377" i="55" s="1"/>
  <c r="R2392" i="55"/>
  <c r="S2392" i="55" s="1"/>
  <c r="R2405" i="55"/>
  <c r="S2405" i="55" s="1"/>
  <c r="R29" i="55"/>
  <c r="S29" i="55" s="1"/>
  <c r="R60" i="55"/>
  <c r="S60" i="55" s="1"/>
  <c r="R76" i="55"/>
  <c r="S76" i="55" s="1"/>
  <c r="R107" i="55"/>
  <c r="S107" i="55" s="1"/>
  <c r="R122" i="55"/>
  <c r="S122" i="55" s="1"/>
  <c r="R153" i="55"/>
  <c r="S153" i="55" s="1"/>
  <c r="R169" i="55"/>
  <c r="S169" i="55" s="1"/>
  <c r="R200" i="55"/>
  <c r="S200" i="55" s="1"/>
  <c r="R215" i="55"/>
  <c r="S215" i="55" s="1"/>
  <c r="R245" i="55"/>
  <c r="S245" i="55" s="1"/>
  <c r="R276" i="55"/>
  <c r="S276" i="55" s="1"/>
  <c r="R292" i="55"/>
  <c r="S292" i="55" s="1"/>
  <c r="R359" i="55"/>
  <c r="S359" i="55" s="1"/>
  <c r="R373" i="55"/>
  <c r="S373" i="55" s="1"/>
  <c r="R401" i="55"/>
  <c r="S401" i="55" s="1"/>
  <c r="R437" i="55"/>
  <c r="S437" i="55" s="1"/>
  <c r="R451" i="55"/>
  <c r="S451" i="55" s="1"/>
  <c r="R490" i="55"/>
  <c r="S490" i="55" s="1"/>
  <c r="R506" i="55"/>
  <c r="S506" i="55" s="1"/>
  <c r="R538" i="55"/>
  <c r="S538" i="55" s="1"/>
  <c r="R569" i="55"/>
  <c r="S569" i="55" s="1"/>
  <c r="R596" i="55"/>
  <c r="S596" i="55" s="1"/>
  <c r="R610" i="55"/>
  <c r="S610" i="55" s="1"/>
  <c r="R625" i="55"/>
  <c r="S625" i="55" s="1"/>
  <c r="R652" i="55"/>
  <c r="S652" i="55" s="1"/>
  <c r="R667" i="55"/>
  <c r="S667" i="55" s="1"/>
  <c r="R696" i="55"/>
  <c r="S696" i="55" s="1"/>
  <c r="R726" i="55"/>
  <c r="S726" i="55" s="1"/>
  <c r="R742" i="55"/>
  <c r="S742" i="55" s="1"/>
  <c r="R773" i="55"/>
  <c r="S773" i="55" s="1"/>
  <c r="R789" i="55"/>
  <c r="S789" i="55" s="1"/>
  <c r="R805" i="55"/>
  <c r="S805" i="55" s="1"/>
  <c r="R821" i="55"/>
  <c r="S821" i="55" s="1"/>
  <c r="R833" i="55"/>
  <c r="S833" i="55" s="1"/>
  <c r="R848" i="55"/>
  <c r="S848" i="55" s="1"/>
  <c r="R862" i="55"/>
  <c r="S862" i="55" s="1"/>
  <c r="R894" i="55"/>
  <c r="S894" i="55" s="1"/>
  <c r="R910" i="55"/>
  <c r="S910" i="55" s="1"/>
  <c r="R925" i="55"/>
  <c r="S925" i="55" s="1"/>
  <c r="R939" i="55"/>
  <c r="S939" i="55" s="1"/>
  <c r="R955" i="55"/>
  <c r="S955" i="55" s="1"/>
  <c r="R969" i="55"/>
  <c r="S969" i="55" s="1"/>
  <c r="R985" i="55"/>
  <c r="S985" i="55" s="1"/>
  <c r="R999" i="55"/>
  <c r="S999" i="55" s="1"/>
  <c r="R1014" i="55"/>
  <c r="S1014" i="55" s="1"/>
  <c r="R1029" i="55"/>
  <c r="S1029" i="55" s="1"/>
  <c r="R1045" i="55"/>
  <c r="S1045" i="55" s="1"/>
  <c r="R1061" i="55"/>
  <c r="S1061" i="55" s="1"/>
  <c r="R1077" i="55"/>
  <c r="S1077" i="55" s="1"/>
  <c r="R1092" i="55"/>
  <c r="S1092" i="55" s="1"/>
  <c r="R1106" i="55"/>
  <c r="S1106" i="55" s="1"/>
  <c r="R1122" i="55"/>
  <c r="S1122" i="55" s="1"/>
  <c r="R1137" i="55"/>
  <c r="S1137" i="55" s="1"/>
  <c r="R1153" i="55"/>
  <c r="S1153" i="55" s="1"/>
  <c r="R1169" i="55"/>
  <c r="S1169" i="55" s="1"/>
  <c r="R1184" i="55"/>
  <c r="S1184" i="55" s="1"/>
  <c r="R1198" i="55"/>
  <c r="S1198" i="55" s="1"/>
  <c r="R1213" i="55"/>
  <c r="S1213" i="55" s="1"/>
  <c r="R1226" i="55"/>
  <c r="S1226" i="55" s="1"/>
  <c r="R1253" i="55"/>
  <c r="S1253" i="55" s="1"/>
  <c r="R1268" i="55"/>
  <c r="S1268" i="55" s="1"/>
  <c r="R1283" i="55"/>
  <c r="S1283" i="55" s="1"/>
  <c r="R1296" i="55"/>
  <c r="S1296" i="55" s="1"/>
  <c r="R1311" i="55"/>
  <c r="S1311" i="55" s="1"/>
  <c r="R1327" i="55"/>
  <c r="S1327" i="55" s="1"/>
  <c r="R1343" i="55"/>
  <c r="S1343" i="55" s="1"/>
  <c r="R1359" i="55"/>
  <c r="S1359" i="55" s="1"/>
  <c r="R1375" i="55"/>
  <c r="S1375" i="55" s="1"/>
  <c r="R1389" i="55"/>
  <c r="S1389" i="55" s="1"/>
  <c r="R1405" i="55"/>
  <c r="S1405" i="55" s="1"/>
  <c r="R1421" i="55"/>
  <c r="S1421" i="55" s="1"/>
  <c r="R1436" i="55"/>
  <c r="S1436" i="55" s="1"/>
  <c r="R1452" i="55"/>
  <c r="S1452" i="55" s="1"/>
  <c r="R1468" i="55"/>
  <c r="S1468" i="55" s="1"/>
  <c r="R1484" i="55"/>
  <c r="S1484" i="55" s="1"/>
  <c r="R1499" i="55"/>
  <c r="S1499" i="55" s="1"/>
  <c r="R1515" i="55"/>
  <c r="S1515" i="55" s="1"/>
  <c r="R1531" i="55"/>
  <c r="S1531" i="55" s="1"/>
  <c r="R1547" i="55"/>
  <c r="S1547" i="55" s="1"/>
  <c r="R1562" i="55"/>
  <c r="S1562" i="55" s="1"/>
  <c r="R1575" i="55"/>
  <c r="S1575" i="55" s="1"/>
  <c r="R1603" i="55"/>
  <c r="S1603" i="55" s="1"/>
  <c r="R1619" i="55"/>
  <c r="S1619" i="55" s="1"/>
  <c r="R1634" i="55"/>
  <c r="S1634" i="55" s="1"/>
  <c r="R1649" i="55"/>
  <c r="S1649" i="55" s="1"/>
  <c r="R1664" i="55"/>
  <c r="S1664" i="55" s="1"/>
  <c r="R1677" i="55"/>
  <c r="S1677" i="55" s="1"/>
  <c r="R1693" i="55"/>
  <c r="S1693" i="55" s="1"/>
  <c r="R1708" i="55"/>
  <c r="S1708" i="55" s="1"/>
  <c r="R1724" i="55"/>
  <c r="S1724" i="55" s="1"/>
  <c r="R1740" i="55"/>
  <c r="S1740" i="55" s="1"/>
  <c r="R1766" i="55"/>
  <c r="S1766" i="55" s="1"/>
  <c r="R1780" i="55"/>
  <c r="S1780" i="55" s="1"/>
  <c r="R1796" i="55"/>
  <c r="S1796" i="55" s="1"/>
  <c r="R1823" i="55"/>
  <c r="S1823" i="55" s="1"/>
  <c r="R1838" i="55"/>
  <c r="S1838" i="55" s="1"/>
  <c r="R1852" i="55"/>
  <c r="S1852" i="55" s="1"/>
  <c r="R1866" i="55"/>
  <c r="S1866" i="55" s="1"/>
  <c r="R1882" i="55"/>
  <c r="S1882" i="55" s="1"/>
  <c r="R1898" i="55"/>
  <c r="S1898" i="55" s="1"/>
  <c r="R1914" i="55"/>
  <c r="S1914" i="55" s="1"/>
  <c r="R1930" i="55"/>
  <c r="S1930" i="55" s="1"/>
  <c r="R1946" i="55"/>
  <c r="S1946" i="55" s="1"/>
  <c r="R1962" i="55"/>
  <c r="S1962" i="55" s="1"/>
  <c r="R1977" i="55"/>
  <c r="S1977" i="55" s="1"/>
  <c r="R1992" i="55"/>
  <c r="S1992" i="55" s="1"/>
  <c r="R2007" i="55"/>
  <c r="S2007" i="55" s="1"/>
  <c r="R2023" i="55"/>
  <c r="S2023" i="55" s="1"/>
  <c r="R2038" i="55"/>
  <c r="S2038" i="55" s="1"/>
  <c r="R2054" i="55"/>
  <c r="S2054" i="55" s="1"/>
  <c r="R2069" i="55"/>
  <c r="S2069" i="55" s="1"/>
  <c r="R2084" i="55"/>
  <c r="S2084" i="55" s="1"/>
  <c r="R2100" i="55"/>
  <c r="S2100" i="55" s="1"/>
  <c r="R2116" i="55"/>
  <c r="S2116" i="55" s="1"/>
  <c r="R2132" i="55"/>
  <c r="S2132" i="55" s="1"/>
  <c r="R2146" i="55"/>
  <c r="S2146" i="55" s="1"/>
  <c r="R2161" i="55"/>
  <c r="S2161" i="55" s="1"/>
  <c r="R2176" i="55"/>
  <c r="S2176" i="55" s="1"/>
  <c r="R2191" i="55"/>
  <c r="S2191" i="55" s="1"/>
  <c r="R2206" i="55"/>
  <c r="S2206" i="55" s="1"/>
  <c r="R2222" i="55"/>
  <c r="S2222" i="55" s="1"/>
  <c r="R2237" i="55"/>
  <c r="S2237" i="55" s="1"/>
  <c r="R2252" i="55"/>
  <c r="S2252" i="55" s="1"/>
  <c r="R2266" i="55"/>
  <c r="S2266" i="55" s="1"/>
  <c r="R2281" i="55"/>
  <c r="S2281" i="55" s="1"/>
  <c r="R2295" i="55"/>
  <c r="S2295" i="55" s="1"/>
  <c r="R2310" i="55"/>
  <c r="S2310" i="55" s="1"/>
  <c r="R2322" i="55"/>
  <c r="S2322" i="55" s="1"/>
  <c r="R2335" i="55"/>
  <c r="S2335" i="55" s="1"/>
  <c r="R2349" i="55"/>
  <c r="S2349" i="55" s="1"/>
  <c r="R2365" i="55"/>
  <c r="S2365" i="55" s="1"/>
  <c r="R2378" i="55"/>
  <c r="S2378" i="55" s="1"/>
  <c r="R2393" i="55"/>
  <c r="S2393" i="55" s="1"/>
  <c r="R2406" i="55"/>
  <c r="S2406" i="55" s="1"/>
  <c r="R45" i="55"/>
  <c r="S45" i="55" s="1"/>
  <c r="R91" i="55"/>
  <c r="S91" i="55" s="1"/>
  <c r="R137" i="55"/>
  <c r="S137" i="55" s="1"/>
  <c r="R185" i="55"/>
  <c r="S185" i="55" s="1"/>
  <c r="R230" i="55"/>
  <c r="S230" i="55" s="1"/>
  <c r="R260" i="55"/>
  <c r="S260" i="55" s="1"/>
  <c r="R306" i="55"/>
  <c r="S306" i="55" s="1"/>
  <c r="R329" i="55"/>
  <c r="S329" i="55" s="1"/>
  <c r="R347" i="55"/>
  <c r="S347" i="55" s="1"/>
  <c r="R388" i="55"/>
  <c r="S388" i="55" s="1"/>
  <c r="R424" i="55"/>
  <c r="S424" i="55" s="1"/>
  <c r="R476" i="55"/>
  <c r="S476" i="55" s="1"/>
  <c r="R522" i="55"/>
  <c r="S522" i="55" s="1"/>
  <c r="R553" i="55"/>
  <c r="S553" i="55" s="1"/>
  <c r="R583" i="55"/>
  <c r="S583" i="55" s="1"/>
  <c r="R640" i="55"/>
  <c r="S640" i="55" s="1"/>
  <c r="R681" i="55"/>
  <c r="S681" i="55" s="1"/>
  <c r="R710" i="55"/>
  <c r="S710" i="55" s="1"/>
  <c r="R757" i="55"/>
  <c r="S757" i="55" s="1"/>
  <c r="R878" i="55"/>
  <c r="S878" i="55" s="1"/>
  <c r="R15" i="55"/>
  <c r="S15" i="55" s="1"/>
  <c r="R30" i="55"/>
  <c r="S30" i="55" s="1"/>
  <c r="R46" i="55"/>
  <c r="S46" i="55" s="1"/>
  <c r="R61" i="55"/>
  <c r="S61" i="55" s="1"/>
  <c r="R77" i="55"/>
  <c r="S77" i="55" s="1"/>
  <c r="R92" i="55"/>
  <c r="S92" i="55" s="1"/>
  <c r="R108" i="55"/>
  <c r="S108" i="55" s="1"/>
  <c r="R123" i="55"/>
  <c r="S123" i="55" s="1"/>
  <c r="R138" i="55"/>
  <c r="S138" i="55" s="1"/>
  <c r="R154" i="55"/>
  <c r="S154" i="55" s="1"/>
  <c r="R170" i="55"/>
  <c r="S170" i="55" s="1"/>
  <c r="R186" i="55"/>
  <c r="S186" i="55" s="1"/>
  <c r="R201" i="55"/>
  <c r="S201" i="55" s="1"/>
  <c r="R216" i="55"/>
  <c r="S216" i="55" s="1"/>
  <c r="R231" i="55"/>
  <c r="S231" i="55" s="1"/>
  <c r="R246" i="55"/>
  <c r="S246" i="55" s="1"/>
  <c r="R261" i="55"/>
  <c r="S261" i="55" s="1"/>
  <c r="R277" i="55"/>
  <c r="S277" i="55" s="1"/>
  <c r="R293" i="55"/>
  <c r="S293" i="55" s="1"/>
  <c r="R307" i="55"/>
  <c r="S307" i="55" s="1"/>
  <c r="R318" i="55"/>
  <c r="S318" i="55" s="1"/>
  <c r="R337" i="55"/>
  <c r="S337" i="55" s="1"/>
  <c r="R348" i="55"/>
  <c r="S348" i="55" s="1"/>
  <c r="R360" i="55"/>
  <c r="S360" i="55" s="1"/>
  <c r="R374" i="55"/>
  <c r="S374" i="55" s="1"/>
  <c r="R389" i="55"/>
  <c r="S389" i="55" s="1"/>
  <c r="R402" i="55"/>
  <c r="S402" i="55" s="1"/>
  <c r="R425" i="55"/>
  <c r="S425" i="55" s="1"/>
  <c r="R438" i="55"/>
  <c r="S438" i="55" s="1"/>
  <c r="R466" i="55"/>
  <c r="S466" i="55" s="1"/>
  <c r="R477" i="55"/>
  <c r="S477" i="55" s="1"/>
  <c r="R491" i="55"/>
  <c r="S491" i="55" s="1"/>
  <c r="R507" i="55"/>
  <c r="S507" i="55" s="1"/>
  <c r="R523" i="55"/>
  <c r="S523" i="55" s="1"/>
  <c r="R539" i="55"/>
  <c r="S539" i="55" s="1"/>
  <c r="R554" i="55"/>
  <c r="S554" i="55" s="1"/>
  <c r="R570" i="55"/>
  <c r="S570" i="55" s="1"/>
  <c r="R584" i="55"/>
  <c r="S584" i="55" s="1"/>
  <c r="R597" i="55"/>
  <c r="S597" i="55" s="1"/>
  <c r="R611" i="55"/>
  <c r="S611" i="55" s="1"/>
  <c r="R626" i="55"/>
  <c r="S626" i="55" s="1"/>
  <c r="R641" i="55"/>
  <c r="S641" i="55" s="1"/>
  <c r="R653" i="55"/>
  <c r="S653" i="55" s="1"/>
  <c r="R668" i="55"/>
  <c r="S668" i="55" s="1"/>
  <c r="R682" i="55"/>
  <c r="S682" i="55" s="1"/>
  <c r="R697" i="55"/>
  <c r="S697" i="55" s="1"/>
  <c r="R711" i="55"/>
  <c r="S711" i="55" s="1"/>
  <c r="R727" i="55"/>
  <c r="S727" i="55" s="1"/>
  <c r="R743" i="55"/>
  <c r="S743" i="55" s="1"/>
  <c r="R758" i="55"/>
  <c r="S758" i="55" s="1"/>
  <c r="R774" i="55"/>
  <c r="S774" i="55" s="1"/>
  <c r="R790" i="55"/>
  <c r="S790" i="55" s="1"/>
  <c r="R806" i="55"/>
  <c r="S806" i="55" s="1"/>
  <c r="R822" i="55"/>
  <c r="S822" i="55" s="1"/>
  <c r="R834" i="55"/>
  <c r="S834" i="55" s="1"/>
  <c r="R849" i="55"/>
  <c r="S849" i="55" s="1"/>
  <c r="R863" i="55"/>
  <c r="S863" i="55" s="1"/>
  <c r="R879" i="55"/>
  <c r="S879" i="55" s="1"/>
  <c r="R895" i="55"/>
  <c r="S895" i="55" s="1"/>
  <c r="R911" i="55"/>
  <c r="S911" i="55" s="1"/>
  <c r="R926" i="55"/>
  <c r="S926" i="55" s="1"/>
  <c r="R940" i="55"/>
  <c r="S940" i="55" s="1"/>
  <c r="R956" i="55"/>
  <c r="S956" i="55" s="1"/>
  <c r="R970" i="55"/>
  <c r="S970" i="55" s="1"/>
  <c r="R1000" i="55"/>
  <c r="S1000" i="55" s="1"/>
  <c r="R1015" i="55"/>
  <c r="S1015" i="55" s="1"/>
  <c r="R1030" i="55"/>
  <c r="S1030" i="55" s="1"/>
  <c r="R1046" i="55"/>
  <c r="S1046" i="55" s="1"/>
  <c r="R1062" i="55"/>
  <c r="S1062" i="55" s="1"/>
  <c r="R1078" i="55"/>
  <c r="S1078" i="55" s="1"/>
  <c r="R1093" i="55"/>
  <c r="S1093" i="55" s="1"/>
  <c r="R1107" i="55"/>
  <c r="S1107" i="55" s="1"/>
  <c r="R1123" i="55"/>
  <c r="S1123" i="55" s="1"/>
  <c r="R1138" i="55"/>
  <c r="S1138" i="55" s="1"/>
  <c r="R1154" i="55"/>
  <c r="S1154" i="55" s="1"/>
  <c r="R1170" i="55"/>
  <c r="S1170" i="55" s="1"/>
  <c r="R1185" i="55"/>
  <c r="S1185" i="55" s="1"/>
  <c r="R1199" i="55"/>
  <c r="S1199" i="55" s="1"/>
  <c r="R1214" i="55"/>
  <c r="S1214" i="55" s="1"/>
  <c r="R1227" i="55"/>
  <c r="S1227" i="55" s="1"/>
  <c r="R1254" i="55"/>
  <c r="S1254" i="55" s="1"/>
  <c r="R1269" i="55"/>
  <c r="S1269" i="55" s="1"/>
  <c r="R1284" i="55"/>
  <c r="S1284" i="55" s="1"/>
  <c r="R1312" i="55"/>
  <c r="S1312" i="55" s="1"/>
  <c r="R1328" i="55"/>
  <c r="S1328" i="55" s="1"/>
  <c r="R1344" i="55"/>
  <c r="S1344" i="55" s="1"/>
  <c r="R1360" i="55"/>
  <c r="S1360" i="55" s="1"/>
  <c r="R1376" i="55"/>
  <c r="S1376" i="55" s="1"/>
  <c r="R1390" i="55"/>
  <c r="S1390" i="55" s="1"/>
  <c r="R1406" i="55"/>
  <c r="S1406" i="55" s="1"/>
  <c r="R1422" i="55"/>
  <c r="S1422" i="55" s="1"/>
  <c r="R1437" i="55"/>
  <c r="S1437" i="55" s="1"/>
  <c r="R1453" i="55"/>
  <c r="S1453" i="55" s="1"/>
  <c r="R1469" i="55"/>
  <c r="S1469" i="55" s="1"/>
  <c r="R1485" i="55"/>
  <c r="S1485" i="55" s="1"/>
  <c r="R1500" i="55"/>
  <c r="S1500" i="55" s="1"/>
  <c r="R1516" i="55"/>
  <c r="S1516" i="55" s="1"/>
  <c r="R1532" i="55"/>
  <c r="S1532" i="55" s="1"/>
  <c r="R1548" i="55"/>
  <c r="S1548" i="55" s="1"/>
  <c r="R1563" i="55"/>
  <c r="S1563" i="55" s="1"/>
  <c r="R1576" i="55"/>
  <c r="S1576" i="55" s="1"/>
  <c r="R1590" i="55"/>
  <c r="S1590" i="55" s="1"/>
  <c r="R1604" i="55"/>
  <c r="S1604" i="55" s="1"/>
  <c r="R1620" i="55"/>
  <c r="S1620" i="55" s="1"/>
  <c r="R1635" i="55"/>
  <c r="S1635" i="55" s="1"/>
  <c r="R1650" i="55"/>
  <c r="S1650" i="55" s="1"/>
  <c r="R1665" i="55"/>
  <c r="S1665" i="55" s="1"/>
  <c r="R1678" i="55"/>
  <c r="S1678" i="55" s="1"/>
  <c r="R1694" i="55"/>
  <c r="S1694" i="55" s="1"/>
  <c r="R1709" i="55"/>
  <c r="S1709" i="55" s="1"/>
  <c r="R1725" i="55"/>
  <c r="S1725" i="55" s="1"/>
  <c r="R1741" i="55"/>
  <c r="S1741" i="55" s="1"/>
  <c r="R1753" i="55"/>
  <c r="S1753" i="55" s="1"/>
  <c r="R1767" i="55"/>
  <c r="S1767" i="55" s="1"/>
  <c r="R1781" i="55"/>
  <c r="S1781" i="55" s="1"/>
  <c r="R1797" i="55"/>
  <c r="S1797" i="55" s="1"/>
  <c r="R1811" i="55"/>
  <c r="S1811" i="55" s="1"/>
  <c r="R1824" i="55"/>
  <c r="S1824" i="55" s="1"/>
  <c r="R1839" i="55"/>
  <c r="S1839" i="55" s="1"/>
  <c r="R1853" i="55"/>
  <c r="S1853" i="55" s="1"/>
  <c r="R1867" i="55"/>
  <c r="S1867" i="55" s="1"/>
  <c r="R1883" i="55"/>
  <c r="S1883" i="55" s="1"/>
  <c r="R1899" i="55"/>
  <c r="S1899" i="55" s="1"/>
  <c r="R1915" i="55"/>
  <c r="S1915" i="55" s="1"/>
  <c r="R1931" i="55"/>
  <c r="S1931" i="55" s="1"/>
  <c r="R1947" i="55"/>
  <c r="S1947" i="55" s="1"/>
  <c r="R1963" i="55"/>
  <c r="S1963" i="55" s="1"/>
  <c r="R1978" i="55"/>
  <c r="S1978" i="55" s="1"/>
  <c r="R1993" i="55"/>
  <c r="S1993" i="55" s="1"/>
  <c r="R2008" i="55"/>
  <c r="S2008" i="55" s="1"/>
  <c r="R2024" i="55"/>
  <c r="S2024" i="55" s="1"/>
  <c r="R2039" i="55"/>
  <c r="S2039" i="55" s="1"/>
  <c r="R2055" i="55"/>
  <c r="S2055" i="55" s="1"/>
  <c r="R2070" i="55"/>
  <c r="S2070" i="55" s="1"/>
  <c r="R2085" i="55"/>
  <c r="S2085" i="55" s="1"/>
  <c r="R2101" i="55"/>
  <c r="S2101" i="55" s="1"/>
  <c r="R2117" i="55"/>
  <c r="S2117" i="55" s="1"/>
  <c r="R2133" i="55"/>
  <c r="S2133" i="55" s="1"/>
  <c r="R2147" i="55"/>
  <c r="S2147" i="55" s="1"/>
  <c r="R2162" i="55"/>
  <c r="S2162" i="55" s="1"/>
  <c r="R2177" i="55"/>
  <c r="S2177" i="55" s="1"/>
  <c r="R2192" i="55"/>
  <c r="S2192" i="55" s="1"/>
  <c r="R2207" i="55"/>
  <c r="S2207" i="55" s="1"/>
  <c r="R2223" i="55"/>
  <c r="S2223" i="55" s="1"/>
  <c r="R2238" i="55"/>
  <c r="S2238" i="55" s="1"/>
  <c r="R2253" i="55"/>
  <c r="S2253" i="55" s="1"/>
  <c r="R2267" i="55"/>
  <c r="S2267" i="55" s="1"/>
  <c r="R2282" i="55"/>
  <c r="S2282" i="55" s="1"/>
  <c r="R2296" i="55"/>
  <c r="S2296" i="55" s="1"/>
  <c r="R2311" i="55"/>
  <c r="S2311" i="55" s="1"/>
  <c r="R2336" i="55"/>
  <c r="S2336" i="55" s="1"/>
  <c r="R2350" i="55"/>
  <c r="S2350" i="55" s="1"/>
  <c r="R2366" i="55"/>
  <c r="S2366" i="55" s="1"/>
  <c r="R2379" i="55"/>
  <c r="S2379" i="55" s="1"/>
  <c r="R2394" i="55"/>
  <c r="S2394" i="55" s="1"/>
  <c r="R16" i="55"/>
  <c r="S16" i="55" s="1"/>
  <c r="R31" i="55"/>
  <c r="S31" i="55" s="1"/>
  <c r="R47" i="55"/>
  <c r="S47" i="55" s="1"/>
  <c r="R62" i="55"/>
  <c r="S62" i="55" s="1"/>
  <c r="R78" i="55"/>
  <c r="S78" i="55" s="1"/>
  <c r="R93" i="55"/>
  <c r="S93" i="55" s="1"/>
  <c r="R109" i="55"/>
  <c r="S109" i="55" s="1"/>
  <c r="R139" i="55"/>
  <c r="S139" i="55" s="1"/>
  <c r="R155" i="55"/>
  <c r="S155" i="55" s="1"/>
  <c r="R171" i="55"/>
  <c r="S171" i="55" s="1"/>
  <c r="R187" i="55"/>
  <c r="S187" i="55" s="1"/>
  <c r="R202" i="55"/>
  <c r="S202" i="55" s="1"/>
  <c r="R217" i="55"/>
  <c r="S217" i="55" s="1"/>
  <c r="R232" i="55"/>
  <c r="S232" i="55" s="1"/>
  <c r="R247" i="55"/>
  <c r="S247" i="55" s="1"/>
  <c r="R262" i="55"/>
  <c r="S262" i="55" s="1"/>
  <c r="R278" i="55"/>
  <c r="S278" i="55" s="1"/>
  <c r="R294" i="55"/>
  <c r="S294" i="55" s="1"/>
  <c r="R308" i="55"/>
  <c r="S308" i="55" s="1"/>
  <c r="R319" i="55"/>
  <c r="S319" i="55" s="1"/>
  <c r="R330" i="55"/>
  <c r="S330" i="55" s="1"/>
  <c r="R338" i="55"/>
  <c r="S338" i="55" s="1"/>
  <c r="R349" i="55"/>
  <c r="S349" i="55" s="1"/>
  <c r="R361" i="55"/>
  <c r="S361" i="55" s="1"/>
  <c r="R375" i="55"/>
  <c r="S375" i="55" s="1"/>
  <c r="R390" i="55"/>
  <c r="S390" i="55" s="1"/>
  <c r="R403" i="55"/>
  <c r="S403" i="55" s="1"/>
  <c r="R426" i="55"/>
  <c r="S426" i="55" s="1"/>
  <c r="R439" i="55"/>
  <c r="S439" i="55" s="1"/>
  <c r="R467" i="55"/>
  <c r="S467" i="55" s="1"/>
  <c r="R478" i="55"/>
  <c r="S478" i="55" s="1"/>
  <c r="R492" i="55"/>
  <c r="S492" i="55" s="1"/>
  <c r="R508" i="55"/>
  <c r="S508" i="55" s="1"/>
  <c r="R524" i="55"/>
  <c r="S524" i="55" s="1"/>
  <c r="R540" i="55"/>
  <c r="S540" i="55" s="1"/>
  <c r="R555" i="55"/>
  <c r="S555" i="55" s="1"/>
  <c r="R571" i="55"/>
  <c r="S571" i="55" s="1"/>
  <c r="R585" i="55"/>
  <c r="S585" i="55" s="1"/>
  <c r="R598" i="55"/>
  <c r="S598" i="55" s="1"/>
  <c r="R612" i="55"/>
  <c r="S612" i="55" s="1"/>
  <c r="R642" i="55"/>
  <c r="S642" i="55" s="1"/>
  <c r="R654" i="55"/>
  <c r="S654" i="55" s="1"/>
  <c r="R669" i="55"/>
  <c r="S669" i="55" s="1"/>
  <c r="R683" i="55"/>
  <c r="S683" i="55" s="1"/>
  <c r="R698" i="55"/>
  <c r="S698" i="55" s="1"/>
  <c r="R712" i="55"/>
  <c r="S712" i="55" s="1"/>
  <c r="R728" i="55"/>
  <c r="S728" i="55" s="1"/>
  <c r="R744" i="55"/>
  <c r="S744" i="55" s="1"/>
  <c r="R759" i="55"/>
  <c r="S759" i="55" s="1"/>
  <c r="R775" i="55"/>
  <c r="S775" i="55" s="1"/>
  <c r="R791" i="55"/>
  <c r="S791" i="55" s="1"/>
  <c r="R807" i="55"/>
  <c r="S807" i="55" s="1"/>
  <c r="R823" i="55"/>
  <c r="S823" i="55" s="1"/>
  <c r="R850" i="55"/>
  <c r="S850" i="55" s="1"/>
  <c r="R864" i="55"/>
  <c r="S864" i="55" s="1"/>
  <c r="R880" i="55"/>
  <c r="S880" i="55" s="1"/>
  <c r="R896" i="55"/>
  <c r="S896" i="55" s="1"/>
  <c r="R912" i="55"/>
  <c r="S912" i="55" s="1"/>
  <c r="R927" i="55"/>
  <c r="S927" i="55" s="1"/>
  <c r="R941" i="55"/>
  <c r="S941" i="55" s="1"/>
  <c r="R957" i="55"/>
  <c r="S957" i="55" s="1"/>
  <c r="R971" i="55"/>
  <c r="S971" i="55" s="1"/>
  <c r="R986" i="55"/>
  <c r="S986" i="55" s="1"/>
  <c r="R1001" i="55"/>
  <c r="S1001" i="55" s="1"/>
  <c r="R1016" i="55"/>
  <c r="S1016" i="55" s="1"/>
  <c r="R1031" i="55"/>
  <c r="S1031" i="55" s="1"/>
  <c r="R1047" i="55"/>
  <c r="S1047" i="55" s="1"/>
  <c r="R1063" i="55"/>
  <c r="S1063" i="55" s="1"/>
  <c r="R1079" i="55"/>
  <c r="S1079" i="55" s="1"/>
  <c r="R1094" i="55"/>
  <c r="S1094" i="55" s="1"/>
  <c r="R1108" i="55"/>
  <c r="S1108" i="55" s="1"/>
  <c r="R1124" i="55"/>
  <c r="S1124" i="55" s="1"/>
  <c r="R1139" i="55"/>
  <c r="S1139" i="55" s="1"/>
  <c r="R1155" i="55"/>
  <c r="S1155" i="55" s="1"/>
  <c r="R1186" i="55"/>
  <c r="S1186" i="55" s="1"/>
  <c r="R1200" i="55"/>
  <c r="S1200" i="55" s="1"/>
  <c r="R1215" i="55"/>
  <c r="S1215" i="55" s="1"/>
  <c r="R1228" i="55"/>
  <c r="S1228" i="55" s="1"/>
  <c r="R1241" i="55"/>
  <c r="S1241" i="55" s="1"/>
  <c r="R1255" i="55"/>
  <c r="S1255" i="55" s="1"/>
  <c r="R1270" i="55"/>
  <c r="S1270" i="55" s="1"/>
  <c r="R1285" i="55"/>
  <c r="S1285" i="55" s="1"/>
  <c r="R1297" i="55"/>
  <c r="S1297" i="55" s="1"/>
  <c r="R1313" i="55"/>
  <c r="S1313" i="55" s="1"/>
  <c r="R1329" i="55"/>
  <c r="S1329" i="55" s="1"/>
  <c r="R1345" i="55"/>
  <c r="S1345" i="55" s="1"/>
  <c r="R1361" i="55"/>
  <c r="S1361" i="55" s="1"/>
  <c r="R1377" i="55"/>
  <c r="S1377" i="55" s="1"/>
  <c r="R1391" i="55"/>
  <c r="S1391" i="55" s="1"/>
  <c r="R1407" i="55"/>
  <c r="S1407" i="55" s="1"/>
  <c r="R1423" i="55"/>
  <c r="S1423" i="55" s="1"/>
  <c r="R1438" i="55"/>
  <c r="S1438" i="55" s="1"/>
  <c r="R1454" i="55"/>
  <c r="S1454" i="55" s="1"/>
  <c r="R1470" i="55"/>
  <c r="S1470" i="55" s="1"/>
  <c r="R1486" i="55"/>
  <c r="S1486" i="55" s="1"/>
  <c r="R1501" i="55"/>
  <c r="S1501" i="55" s="1"/>
  <c r="R1517" i="55"/>
  <c r="S1517" i="55" s="1"/>
  <c r="R1533" i="55"/>
  <c r="S1533" i="55" s="1"/>
  <c r="R1549" i="55"/>
  <c r="S1549" i="55" s="1"/>
  <c r="R1577" i="55"/>
  <c r="S1577" i="55" s="1"/>
  <c r="R1591" i="55"/>
  <c r="S1591" i="55" s="1"/>
  <c r="R1605" i="55"/>
  <c r="S1605" i="55" s="1"/>
  <c r="R1621" i="55"/>
  <c r="S1621" i="55" s="1"/>
  <c r="R1636" i="55"/>
  <c r="S1636" i="55" s="1"/>
  <c r="R1651" i="55"/>
  <c r="S1651" i="55" s="1"/>
  <c r="R1666" i="55"/>
  <c r="S1666" i="55" s="1"/>
  <c r="R1679" i="55"/>
  <c r="S1679" i="55" s="1"/>
  <c r="R1695" i="55"/>
  <c r="S1695" i="55" s="1"/>
  <c r="R1710" i="55"/>
  <c r="S1710" i="55" s="1"/>
  <c r="R1726" i="55"/>
  <c r="S1726" i="55" s="1"/>
  <c r="R1768" i="55"/>
  <c r="S1768" i="55" s="1"/>
  <c r="R1782" i="55"/>
  <c r="S1782" i="55" s="1"/>
  <c r="R1798" i="55"/>
  <c r="S1798" i="55" s="1"/>
  <c r="R1812" i="55"/>
  <c r="S1812" i="55" s="1"/>
  <c r="R1825" i="55"/>
  <c r="S1825" i="55" s="1"/>
  <c r="R1840" i="55"/>
  <c r="S1840" i="55" s="1"/>
  <c r="R1868" i="55"/>
  <c r="S1868" i="55" s="1"/>
  <c r="R1884" i="55"/>
  <c r="S1884" i="55" s="1"/>
  <c r="R1900" i="55"/>
  <c r="S1900" i="55" s="1"/>
  <c r="R1916" i="55"/>
  <c r="S1916" i="55" s="1"/>
  <c r="R1932" i="55"/>
  <c r="S1932" i="55" s="1"/>
  <c r="R1948" i="55"/>
  <c r="S1948" i="55" s="1"/>
  <c r="R1964" i="55"/>
  <c r="S1964" i="55" s="1"/>
  <c r="R1979" i="55"/>
  <c r="S1979" i="55" s="1"/>
  <c r="R1994" i="55"/>
  <c r="S1994" i="55" s="1"/>
  <c r="R2009" i="55"/>
  <c r="S2009" i="55" s="1"/>
  <c r="R2025" i="55"/>
  <c r="S2025" i="55" s="1"/>
  <c r="R2040" i="55"/>
  <c r="S2040" i="55" s="1"/>
  <c r="R2056" i="55"/>
  <c r="S2056" i="55" s="1"/>
  <c r="R2086" i="55"/>
  <c r="S2086" i="55" s="1"/>
  <c r="R2102" i="55"/>
  <c r="S2102" i="55" s="1"/>
  <c r="R2118" i="55"/>
  <c r="S2118" i="55" s="1"/>
  <c r="R2134" i="55"/>
  <c r="S2134" i="55" s="1"/>
  <c r="R2148" i="55"/>
  <c r="S2148" i="55" s="1"/>
  <c r="R2163" i="55"/>
  <c r="S2163" i="55" s="1"/>
  <c r="R2178" i="55"/>
  <c r="S2178" i="55" s="1"/>
  <c r="R2208" i="55"/>
  <c r="S2208" i="55" s="1"/>
  <c r="R2224" i="55"/>
  <c r="S2224" i="55" s="1"/>
  <c r="R2254" i="55"/>
  <c r="S2254" i="55" s="1"/>
  <c r="R2268" i="55"/>
  <c r="S2268" i="55" s="1"/>
  <c r="R2297" i="55"/>
  <c r="S2297" i="55" s="1"/>
  <c r="R2312" i="55"/>
  <c r="S2312" i="55" s="1"/>
  <c r="R2337" i="55"/>
  <c r="S2337" i="55" s="1"/>
  <c r="R2351" i="55"/>
  <c r="S2351" i="55" s="1"/>
  <c r="R2367" i="55"/>
  <c r="S2367" i="55" s="1"/>
  <c r="R2380" i="55"/>
  <c r="S2380" i="55" s="1"/>
  <c r="R2395" i="55"/>
  <c r="S2395" i="55" s="1"/>
  <c r="X32" i="52"/>
  <c r="Y32" i="52"/>
  <c r="Z32" i="52"/>
  <c r="AA32" i="52"/>
  <c r="X33" i="52"/>
  <c r="Y33" i="52"/>
  <c r="Z33" i="52"/>
  <c r="AA33" i="52"/>
  <c r="X34" i="52"/>
  <c r="Y34" i="52"/>
  <c r="Z34" i="52"/>
  <c r="AA34" i="52"/>
  <c r="X35" i="52"/>
  <c r="Y35" i="52"/>
  <c r="Z35" i="52"/>
  <c r="AA35" i="52"/>
  <c r="X36" i="52"/>
  <c r="Y36" i="52"/>
  <c r="Z36" i="52"/>
  <c r="AA36" i="52"/>
  <c r="X37" i="52"/>
  <c r="Y37" i="52"/>
  <c r="Z37" i="52"/>
  <c r="AA37" i="52"/>
  <c r="X38" i="52"/>
  <c r="Y38" i="52"/>
  <c r="Z38" i="52"/>
  <c r="AA38" i="52"/>
  <c r="X39" i="52"/>
  <c r="Y39" i="52"/>
  <c r="Z39" i="52"/>
  <c r="AA39" i="52"/>
  <c r="X40" i="52"/>
  <c r="Y40" i="52"/>
  <c r="Z40" i="52"/>
  <c r="AA40" i="52"/>
  <c r="X41" i="52"/>
  <c r="Y41" i="52"/>
  <c r="Z41" i="52"/>
  <c r="AA41" i="52"/>
  <c r="X42" i="52"/>
  <c r="Y42" i="52"/>
  <c r="Z42" i="52"/>
  <c r="AA42" i="52"/>
  <c r="X43" i="52"/>
  <c r="Y43" i="52"/>
  <c r="Z43" i="52"/>
  <c r="AA43" i="52"/>
  <c r="X44" i="52"/>
  <c r="Y44" i="52"/>
  <c r="Z44" i="52"/>
  <c r="AA44" i="52"/>
  <c r="X45" i="52"/>
  <c r="Y45" i="52"/>
  <c r="Z45" i="52"/>
  <c r="AA45" i="52"/>
  <c r="X2" i="52"/>
  <c r="Y2" i="52" s="1"/>
  <c r="AA2" i="52" s="1"/>
  <c r="Z2" i="52"/>
  <c r="X22" i="52"/>
  <c r="Y22" i="52" s="1"/>
  <c r="AA22" i="52" s="1"/>
  <c r="Z22" i="52"/>
  <c r="X3" i="52"/>
  <c r="Y3" i="52" s="1"/>
  <c r="AA3" i="52" s="1"/>
  <c r="Z3" i="52"/>
  <c r="X46" i="52"/>
  <c r="Y46" i="52"/>
  <c r="Z46" i="52"/>
  <c r="AA46" i="52"/>
  <c r="X47" i="52"/>
  <c r="Y47" i="52"/>
  <c r="Z47" i="52"/>
  <c r="AA47" i="52"/>
  <c r="X100" i="52"/>
  <c r="Y100" i="52"/>
  <c r="Z100" i="52"/>
  <c r="AA100" i="52"/>
  <c r="X101" i="52"/>
  <c r="Y101" i="52"/>
  <c r="Z101" i="52"/>
  <c r="AA101" i="52"/>
  <c r="X48" i="52"/>
  <c r="Y48" i="52"/>
  <c r="Z48" i="52"/>
  <c r="AA48" i="52"/>
  <c r="X49" i="52"/>
  <c r="Y49" i="52"/>
  <c r="Z49" i="52"/>
  <c r="AA49" i="52"/>
  <c r="X50" i="52"/>
  <c r="Y50" i="52"/>
  <c r="Z50" i="52"/>
  <c r="AA50" i="52"/>
  <c r="X51" i="52"/>
  <c r="Y51" i="52"/>
  <c r="Z51" i="52"/>
  <c r="AA51" i="52"/>
  <c r="X102" i="52"/>
  <c r="Y102" i="52"/>
  <c r="Z102" i="52"/>
  <c r="AA102" i="52"/>
  <c r="X103" i="52"/>
  <c r="Y103" i="52"/>
  <c r="Z103" i="52"/>
  <c r="AA103" i="52"/>
  <c r="X104" i="52"/>
  <c r="Y104" i="52"/>
  <c r="Z104" i="52"/>
  <c r="AA104" i="52"/>
  <c r="X105" i="52"/>
  <c r="Y105" i="52"/>
  <c r="Z105" i="52"/>
  <c r="AA105" i="52"/>
  <c r="X106" i="52"/>
  <c r="Y106" i="52"/>
  <c r="Z106" i="52"/>
  <c r="AA106" i="52"/>
  <c r="X107" i="52"/>
  <c r="Y107" i="52"/>
  <c r="Z107" i="52"/>
  <c r="AA107" i="52"/>
  <c r="X108" i="52"/>
  <c r="Y108" i="52"/>
  <c r="Z108" i="52"/>
  <c r="AA108" i="52"/>
  <c r="X109" i="52"/>
  <c r="Y109" i="52"/>
  <c r="Z109" i="52"/>
  <c r="AA109" i="52"/>
  <c r="X23" i="52"/>
  <c r="Y23" i="52" s="1"/>
  <c r="AA23" i="52" s="1"/>
  <c r="Z23" i="52"/>
  <c r="X24" i="52"/>
  <c r="Y24" i="52" s="1"/>
  <c r="AA24" i="52" s="1"/>
  <c r="Z24" i="52"/>
  <c r="X25" i="52"/>
  <c r="Y25" i="52" s="1"/>
  <c r="AA25" i="52" s="1"/>
  <c r="Z25" i="52"/>
  <c r="X110" i="52"/>
  <c r="Y110" i="52"/>
  <c r="Z110" i="52"/>
  <c r="AA110" i="52"/>
  <c r="X26" i="52"/>
  <c r="Y26" i="52" s="1"/>
  <c r="AA26" i="52" s="1"/>
  <c r="Z26" i="52"/>
  <c r="X27" i="52"/>
  <c r="Y27" i="52" s="1"/>
  <c r="AA27" i="52" s="1"/>
  <c r="Z27" i="52"/>
  <c r="X111" i="52"/>
  <c r="Y111" i="52"/>
  <c r="Z111" i="52"/>
  <c r="AA111" i="52"/>
  <c r="X112" i="52"/>
  <c r="Y112" i="52"/>
  <c r="Z112" i="52"/>
  <c r="AA112" i="52"/>
  <c r="X28" i="52"/>
  <c r="Y28" i="52" s="1"/>
  <c r="AA28" i="52" s="1"/>
  <c r="Z28" i="52"/>
  <c r="X113" i="52"/>
  <c r="Y113" i="52"/>
  <c r="Z113" i="52"/>
  <c r="AA113" i="52"/>
  <c r="X114" i="52"/>
  <c r="Y114" i="52"/>
  <c r="Z114" i="52"/>
  <c r="AA114" i="52"/>
  <c r="X29" i="52"/>
  <c r="Y29" i="52" s="1"/>
  <c r="AA29" i="52" s="1"/>
  <c r="Z29" i="52"/>
  <c r="X115" i="52"/>
  <c r="Y115" i="52"/>
  <c r="Z115" i="52"/>
  <c r="AA115" i="52"/>
  <c r="X116" i="52"/>
  <c r="Y116" i="52"/>
  <c r="Z116" i="52"/>
  <c r="AA116" i="52"/>
  <c r="X30" i="52"/>
  <c r="Y30" i="52" s="1"/>
  <c r="AA30" i="52" s="1"/>
  <c r="Z30" i="52"/>
  <c r="X117" i="52"/>
  <c r="Y117" i="52"/>
  <c r="Z117" i="52"/>
  <c r="AA117" i="52"/>
  <c r="X118" i="52"/>
  <c r="Y118" i="52"/>
  <c r="Z118" i="52"/>
  <c r="AA118" i="52"/>
  <c r="X119" i="52"/>
  <c r="Y119" i="52"/>
  <c r="Z119" i="52"/>
  <c r="AA119" i="52"/>
  <c r="X120" i="52"/>
  <c r="Y120" i="52"/>
  <c r="Z120" i="52"/>
  <c r="AA120" i="52"/>
  <c r="X52" i="52"/>
  <c r="Y52" i="52"/>
  <c r="Z52" i="52"/>
  <c r="AA52" i="52"/>
  <c r="X121" i="52"/>
  <c r="Y121" i="52"/>
  <c r="Z121" i="52"/>
  <c r="AA121" i="52"/>
  <c r="X53" i="52"/>
  <c r="Y53" i="52"/>
  <c r="Z53" i="52"/>
  <c r="AA53" i="52"/>
  <c r="X54" i="52"/>
  <c r="Y54" i="52"/>
  <c r="Z54" i="52"/>
  <c r="AA54" i="52"/>
  <c r="X55" i="52"/>
  <c r="Y55" i="52"/>
  <c r="Z55" i="52"/>
  <c r="AA55" i="52"/>
  <c r="X56" i="52"/>
  <c r="Y56" i="52"/>
  <c r="Z56" i="52"/>
  <c r="AA56" i="52"/>
  <c r="X57" i="52"/>
  <c r="Y57" i="52"/>
  <c r="Z57" i="52"/>
  <c r="AA57" i="52"/>
  <c r="X58" i="52"/>
  <c r="Y58" i="52"/>
  <c r="Z58" i="52"/>
  <c r="AA58" i="52"/>
  <c r="X59" i="52"/>
  <c r="Y59" i="52"/>
  <c r="Z59" i="52"/>
  <c r="AA59" i="52"/>
  <c r="X60" i="52"/>
  <c r="Y60" i="52"/>
  <c r="Z60" i="52"/>
  <c r="AA60" i="52"/>
  <c r="X61" i="52"/>
  <c r="Y61" i="52"/>
  <c r="Z61" i="52"/>
  <c r="AA61" i="52"/>
  <c r="X62" i="52"/>
  <c r="Y62" i="52"/>
  <c r="Z62" i="52"/>
  <c r="AA62" i="52"/>
  <c r="X63" i="52"/>
  <c r="Y63" i="52"/>
  <c r="Z63" i="52"/>
  <c r="AA63" i="52"/>
  <c r="X4" i="52"/>
  <c r="Y4" i="52" s="1"/>
  <c r="AA4" i="52" s="1"/>
  <c r="Z4" i="52"/>
  <c r="X64" i="52"/>
  <c r="Y64" i="52"/>
  <c r="Z64" i="52"/>
  <c r="AA64" i="52"/>
  <c r="X5" i="52"/>
  <c r="Y5" i="52" s="1"/>
  <c r="AA5" i="52" s="1"/>
  <c r="Z5" i="52"/>
  <c r="X6" i="52"/>
  <c r="Y6" i="52" s="1"/>
  <c r="AA6" i="52" s="1"/>
  <c r="Z6" i="52"/>
  <c r="X7" i="52"/>
  <c r="Y7" i="52" s="1"/>
  <c r="AA7" i="52" s="1"/>
  <c r="Z7" i="52"/>
  <c r="X8" i="52"/>
  <c r="Y8" i="52" s="1"/>
  <c r="AA8" i="52" s="1"/>
  <c r="Z8" i="52"/>
  <c r="X65" i="52"/>
  <c r="Z65" i="52" s="1"/>
  <c r="AA65" i="52" s="1"/>
  <c r="Y65" i="52"/>
  <c r="X9" i="52"/>
  <c r="Y9" i="52" s="1"/>
  <c r="AA9" i="52" s="1"/>
  <c r="Z9" i="52"/>
  <c r="X66" i="52"/>
  <c r="Y66" i="52"/>
  <c r="Z66" i="52"/>
  <c r="AA66" i="52"/>
  <c r="X67" i="52"/>
  <c r="Y67" i="52"/>
  <c r="Z67" i="52"/>
  <c r="AA67" i="52"/>
  <c r="X10" i="52"/>
  <c r="Y10" i="52" s="1"/>
  <c r="AA10" i="52" s="1"/>
  <c r="Z10" i="52"/>
  <c r="X68" i="52"/>
  <c r="Y68" i="52"/>
  <c r="Z68" i="52"/>
  <c r="AA68" i="52"/>
  <c r="X11" i="52"/>
  <c r="Y11" i="52" s="1"/>
  <c r="AA11" i="52" s="1"/>
  <c r="Z11" i="52"/>
  <c r="X69" i="52"/>
  <c r="Y69" i="52"/>
  <c r="Z69" i="52"/>
  <c r="AA69" i="52"/>
  <c r="X70" i="52"/>
  <c r="Y70" i="52"/>
  <c r="Z70" i="52"/>
  <c r="AA70" i="52"/>
  <c r="X12" i="52"/>
  <c r="Y12" i="52" s="1"/>
  <c r="AA12" i="52" s="1"/>
  <c r="Z12" i="52"/>
  <c r="X13" i="52"/>
  <c r="Y13" i="52" s="1"/>
  <c r="AA13" i="52" s="1"/>
  <c r="Z13" i="52"/>
  <c r="X14" i="52"/>
  <c r="Y14" i="52" s="1"/>
  <c r="AA14" i="52" s="1"/>
  <c r="Z14" i="52"/>
  <c r="X15" i="52"/>
  <c r="Y15" i="52" s="1"/>
  <c r="AA15" i="52" s="1"/>
  <c r="Z15" i="52"/>
  <c r="X71" i="52"/>
  <c r="Y71" i="52"/>
  <c r="Z71" i="52"/>
  <c r="AA71" i="52"/>
  <c r="X72" i="52"/>
  <c r="Y72" i="52"/>
  <c r="Z72" i="52"/>
  <c r="AA72" i="52"/>
  <c r="X73" i="52"/>
  <c r="Y73" i="52"/>
  <c r="Z73" i="52"/>
  <c r="AA73" i="52"/>
  <c r="X74" i="52"/>
  <c r="Y74" i="52"/>
  <c r="Z74" i="52"/>
  <c r="AA74" i="52"/>
  <c r="X16" i="52"/>
  <c r="Y16" i="52" s="1"/>
  <c r="AA16" i="52" s="1"/>
  <c r="Z16" i="52"/>
  <c r="X75" i="52"/>
  <c r="Y75" i="52"/>
  <c r="Z75" i="52"/>
  <c r="AA75" i="52"/>
  <c r="X76" i="52"/>
  <c r="Y76" i="52"/>
  <c r="Z76" i="52"/>
  <c r="AA76" i="52"/>
  <c r="X77" i="52"/>
  <c r="Y77" i="52"/>
  <c r="Z77" i="52"/>
  <c r="AA77" i="52"/>
  <c r="X78" i="52"/>
  <c r="Y78" i="52"/>
  <c r="Z78" i="52"/>
  <c r="AA78" i="52"/>
  <c r="X79" i="52"/>
  <c r="Y79" i="52"/>
  <c r="Z79" i="52"/>
  <c r="AA79" i="52"/>
  <c r="X17" i="52"/>
  <c r="Y17" i="52" s="1"/>
  <c r="AA17" i="52" s="1"/>
  <c r="Z17" i="52"/>
  <c r="X80" i="52"/>
  <c r="Y80" i="52"/>
  <c r="Z80" i="52"/>
  <c r="AA80" i="52"/>
  <c r="X81" i="52"/>
  <c r="Y81" i="52"/>
  <c r="Z81" i="52"/>
  <c r="AA81" i="52"/>
  <c r="X82" i="52"/>
  <c r="Y82" i="52"/>
  <c r="Z82" i="52"/>
  <c r="AA82" i="52"/>
  <c r="X83" i="52"/>
  <c r="Y83" i="52"/>
  <c r="Z83" i="52"/>
  <c r="AA83" i="52"/>
  <c r="X84" i="52"/>
  <c r="Y84" i="52"/>
  <c r="Z84" i="52"/>
  <c r="AA84" i="52"/>
  <c r="X85" i="52"/>
  <c r="Y85" i="52"/>
  <c r="Z85" i="52"/>
  <c r="AA85" i="52"/>
  <c r="X86" i="52"/>
  <c r="Y86" i="52"/>
  <c r="Z86" i="52"/>
  <c r="AA86" i="52"/>
  <c r="X87" i="52"/>
  <c r="Y87" i="52"/>
  <c r="Z87" i="52"/>
  <c r="AA87" i="52"/>
  <c r="X18" i="52"/>
  <c r="Y18" i="52" s="1"/>
  <c r="AA18" i="52" s="1"/>
  <c r="Z18" i="52"/>
  <c r="X88" i="52"/>
  <c r="Y88" i="52"/>
  <c r="Z88" i="52"/>
  <c r="AA88" i="52"/>
  <c r="X19" i="52"/>
  <c r="Y19" i="52" s="1"/>
  <c r="AA19" i="52" s="1"/>
  <c r="Z19" i="52"/>
  <c r="X20" i="52"/>
  <c r="Y20" i="52" s="1"/>
  <c r="AA20" i="52" s="1"/>
  <c r="Z20" i="52"/>
  <c r="X89" i="52"/>
  <c r="Y89" i="52"/>
  <c r="Z89" i="52"/>
  <c r="AA89" i="52"/>
  <c r="X90" i="52"/>
  <c r="Y90" i="52"/>
  <c r="Z90" i="52"/>
  <c r="AA90" i="52"/>
  <c r="X91" i="52"/>
  <c r="Y91" i="52"/>
  <c r="Z91" i="52"/>
  <c r="AA91" i="52"/>
  <c r="X92" i="52"/>
  <c r="Y92" i="52"/>
  <c r="Z92" i="52"/>
  <c r="AA92" i="52"/>
  <c r="X93" i="52"/>
  <c r="Y93" i="52"/>
  <c r="Z93" i="52"/>
  <c r="AA93" i="52"/>
  <c r="X94" i="52"/>
  <c r="Y94" i="52"/>
  <c r="Z94" i="52"/>
  <c r="AA94" i="52"/>
  <c r="X21" i="52"/>
  <c r="Y21" i="52" s="1"/>
  <c r="AA21" i="52" s="1"/>
  <c r="Z21" i="52"/>
  <c r="X95" i="52"/>
  <c r="Y95" i="52"/>
  <c r="Z95" i="52"/>
  <c r="AA95" i="52"/>
  <c r="X96" i="52"/>
  <c r="Y96" i="52"/>
  <c r="Z96" i="52"/>
  <c r="AA96" i="52"/>
  <c r="X97" i="52"/>
  <c r="Y97" i="52"/>
  <c r="Z97" i="52"/>
  <c r="AA97" i="52"/>
  <c r="X98" i="52"/>
  <c r="Y98" i="52"/>
  <c r="Z98" i="52"/>
  <c r="AA98" i="52"/>
  <c r="X99" i="52"/>
  <c r="Y99" i="52"/>
  <c r="Z99" i="52"/>
  <c r="AA99" i="52"/>
  <c r="B32" i="52"/>
  <c r="D32" i="52" s="1"/>
  <c r="C32" i="52"/>
  <c r="B33" i="52"/>
  <c r="D33" i="52" s="1"/>
  <c r="C33" i="52"/>
  <c r="B34" i="52"/>
  <c r="D34" i="52" s="1"/>
  <c r="C34" i="52"/>
  <c r="B35" i="52"/>
  <c r="D35" i="52" s="1"/>
  <c r="C35" i="52"/>
  <c r="B36" i="52"/>
  <c r="D36" i="52" s="1"/>
  <c r="C36" i="52"/>
  <c r="B37" i="52"/>
  <c r="D37" i="52" s="1"/>
  <c r="C37" i="52"/>
  <c r="B38" i="52"/>
  <c r="D38" i="52" s="1"/>
  <c r="C38" i="52"/>
  <c r="B39" i="52"/>
  <c r="D39" i="52" s="1"/>
  <c r="C39" i="52"/>
  <c r="B40" i="52"/>
  <c r="D40" i="52" s="1"/>
  <c r="C40" i="52"/>
  <c r="B41" i="52"/>
  <c r="D41" i="52" s="1"/>
  <c r="C41" i="52"/>
  <c r="B42" i="52"/>
  <c r="D42" i="52" s="1"/>
  <c r="C42" i="52"/>
  <c r="B43" i="52"/>
  <c r="D43" i="52" s="1"/>
  <c r="C43" i="52"/>
  <c r="B44" i="52"/>
  <c r="D44" i="52" s="1"/>
  <c r="C44" i="52"/>
  <c r="B45" i="52"/>
  <c r="D45" i="52" s="1"/>
  <c r="C45" i="52"/>
  <c r="B2" i="52"/>
  <c r="D2" i="52" s="1"/>
  <c r="C2" i="52"/>
  <c r="B22" i="52"/>
  <c r="D22" i="52" s="1"/>
  <c r="C22" i="52"/>
  <c r="B3" i="52"/>
  <c r="D3" i="52" s="1"/>
  <c r="C3" i="52"/>
  <c r="B46" i="52"/>
  <c r="D46" i="52" s="1"/>
  <c r="C46" i="52"/>
  <c r="B47" i="52"/>
  <c r="D47" i="52" s="1"/>
  <c r="C47" i="52"/>
  <c r="B100" i="52"/>
  <c r="D100" i="52" s="1"/>
  <c r="C100" i="52"/>
  <c r="B101" i="52"/>
  <c r="D101" i="52" s="1"/>
  <c r="C101" i="52"/>
  <c r="B48" i="52"/>
  <c r="D48" i="52" s="1"/>
  <c r="C48" i="52"/>
  <c r="B49" i="52"/>
  <c r="D49" i="52" s="1"/>
  <c r="C49" i="52"/>
  <c r="B50" i="52"/>
  <c r="D50" i="52" s="1"/>
  <c r="C50" i="52"/>
  <c r="B51" i="52"/>
  <c r="D51" i="52" s="1"/>
  <c r="C51" i="52"/>
  <c r="B102" i="52"/>
  <c r="D102" i="52" s="1"/>
  <c r="C102" i="52"/>
  <c r="B103" i="52"/>
  <c r="D103" i="52" s="1"/>
  <c r="C103" i="52"/>
  <c r="B104" i="52"/>
  <c r="D104" i="52" s="1"/>
  <c r="C104" i="52"/>
  <c r="B105" i="52"/>
  <c r="D105" i="52" s="1"/>
  <c r="C105" i="52"/>
  <c r="B106" i="52"/>
  <c r="D106" i="52" s="1"/>
  <c r="C106" i="52"/>
  <c r="B107" i="52"/>
  <c r="D107" i="52" s="1"/>
  <c r="C107" i="52"/>
  <c r="B108" i="52"/>
  <c r="D108" i="52" s="1"/>
  <c r="C108" i="52"/>
  <c r="B109" i="52"/>
  <c r="D109" i="52" s="1"/>
  <c r="C109" i="52"/>
  <c r="B23" i="52"/>
  <c r="D23" i="52" s="1"/>
  <c r="C23" i="52"/>
  <c r="B24" i="52"/>
  <c r="D24" i="52" s="1"/>
  <c r="C24" i="52"/>
  <c r="B25" i="52"/>
  <c r="D25" i="52" s="1"/>
  <c r="C25" i="52"/>
  <c r="B110" i="52"/>
  <c r="D110" i="52" s="1"/>
  <c r="C110" i="52"/>
  <c r="B26" i="52"/>
  <c r="D26" i="52" s="1"/>
  <c r="C26" i="52"/>
  <c r="B27" i="52"/>
  <c r="D27" i="52" s="1"/>
  <c r="C27" i="52"/>
  <c r="B111" i="52"/>
  <c r="D111" i="52" s="1"/>
  <c r="C111" i="52"/>
  <c r="B112" i="52"/>
  <c r="D112" i="52" s="1"/>
  <c r="C112" i="52"/>
  <c r="B28" i="52"/>
  <c r="D28" i="52" s="1"/>
  <c r="C28" i="52"/>
  <c r="B113" i="52"/>
  <c r="D113" i="52" s="1"/>
  <c r="C113" i="52"/>
  <c r="B114" i="52"/>
  <c r="D114" i="52" s="1"/>
  <c r="C114" i="52"/>
  <c r="B29" i="52"/>
  <c r="D29" i="52" s="1"/>
  <c r="C29" i="52"/>
  <c r="B115" i="52"/>
  <c r="D115" i="52" s="1"/>
  <c r="C115" i="52"/>
  <c r="B116" i="52"/>
  <c r="D116" i="52" s="1"/>
  <c r="C116" i="52"/>
  <c r="B30" i="52"/>
  <c r="D30" i="52" s="1"/>
  <c r="C30" i="52"/>
  <c r="B117" i="52"/>
  <c r="D117" i="52" s="1"/>
  <c r="C117" i="52"/>
  <c r="B118" i="52"/>
  <c r="D118" i="52" s="1"/>
  <c r="C118" i="52"/>
  <c r="B119" i="52"/>
  <c r="D119" i="52" s="1"/>
  <c r="C119" i="52"/>
  <c r="B120" i="52"/>
  <c r="D120" i="52" s="1"/>
  <c r="C120" i="52"/>
  <c r="B52" i="52"/>
  <c r="D52" i="52" s="1"/>
  <c r="C52" i="52"/>
  <c r="B121" i="52"/>
  <c r="D121" i="52" s="1"/>
  <c r="C121" i="52"/>
  <c r="B53" i="52"/>
  <c r="D53" i="52" s="1"/>
  <c r="C53" i="52"/>
  <c r="B54" i="52"/>
  <c r="D54" i="52" s="1"/>
  <c r="C54" i="52"/>
  <c r="B55" i="52"/>
  <c r="D55" i="52" s="1"/>
  <c r="C55" i="52"/>
  <c r="B56" i="52"/>
  <c r="D56" i="52" s="1"/>
  <c r="C56" i="52"/>
  <c r="B57" i="52"/>
  <c r="D57" i="52" s="1"/>
  <c r="C57" i="52"/>
  <c r="B58" i="52"/>
  <c r="D58" i="52" s="1"/>
  <c r="C58" i="52"/>
  <c r="B59" i="52"/>
  <c r="D59" i="52" s="1"/>
  <c r="C59" i="52"/>
  <c r="B60" i="52"/>
  <c r="D60" i="52" s="1"/>
  <c r="C60" i="52"/>
  <c r="B61" i="52"/>
  <c r="D61" i="52" s="1"/>
  <c r="C61" i="52"/>
  <c r="B62" i="52"/>
  <c r="D62" i="52" s="1"/>
  <c r="C62" i="52"/>
  <c r="B63" i="52"/>
  <c r="D63" i="52" s="1"/>
  <c r="C63" i="52"/>
  <c r="B4" i="52"/>
  <c r="D4" i="52" s="1"/>
  <c r="C4" i="52"/>
  <c r="B64" i="52"/>
  <c r="D64" i="52" s="1"/>
  <c r="C64" i="52"/>
  <c r="B5" i="52"/>
  <c r="D5" i="52" s="1"/>
  <c r="C5" i="52"/>
  <c r="B6" i="52"/>
  <c r="D6" i="52" s="1"/>
  <c r="C6" i="52"/>
  <c r="B7" i="52"/>
  <c r="D7" i="52" s="1"/>
  <c r="C7" i="52"/>
  <c r="B8" i="52"/>
  <c r="D8" i="52" s="1"/>
  <c r="C8" i="52"/>
  <c r="B65" i="52"/>
  <c r="D65" i="52" s="1"/>
  <c r="C65" i="52"/>
  <c r="B9" i="52"/>
  <c r="D9" i="52" s="1"/>
  <c r="C9" i="52"/>
  <c r="B66" i="52"/>
  <c r="D66" i="52" s="1"/>
  <c r="C66" i="52"/>
  <c r="B67" i="52"/>
  <c r="D67" i="52" s="1"/>
  <c r="C67" i="52"/>
  <c r="B10" i="52"/>
  <c r="D10" i="52" s="1"/>
  <c r="C10" i="52"/>
  <c r="B68" i="52"/>
  <c r="D68" i="52" s="1"/>
  <c r="C68" i="52"/>
  <c r="B11" i="52"/>
  <c r="D11" i="52" s="1"/>
  <c r="C11" i="52"/>
  <c r="B69" i="52"/>
  <c r="D69" i="52" s="1"/>
  <c r="C69" i="52"/>
  <c r="B70" i="52"/>
  <c r="D70" i="52" s="1"/>
  <c r="C70" i="52"/>
  <c r="B12" i="52"/>
  <c r="D12" i="52" s="1"/>
  <c r="C12" i="52"/>
  <c r="B13" i="52"/>
  <c r="D13" i="52" s="1"/>
  <c r="C13" i="52"/>
  <c r="B14" i="52"/>
  <c r="D14" i="52" s="1"/>
  <c r="C14" i="52"/>
  <c r="B15" i="52"/>
  <c r="D15" i="52" s="1"/>
  <c r="C15" i="52"/>
  <c r="B71" i="52"/>
  <c r="D71" i="52" s="1"/>
  <c r="C71" i="52"/>
  <c r="B72" i="52"/>
  <c r="D72" i="52" s="1"/>
  <c r="C72" i="52"/>
  <c r="B73" i="52"/>
  <c r="D73" i="52" s="1"/>
  <c r="C73" i="52"/>
  <c r="B74" i="52"/>
  <c r="D74" i="52" s="1"/>
  <c r="C74" i="52"/>
  <c r="B16" i="52"/>
  <c r="D16" i="52" s="1"/>
  <c r="C16" i="52"/>
  <c r="B75" i="52"/>
  <c r="D75" i="52" s="1"/>
  <c r="C75" i="52"/>
  <c r="B76" i="52"/>
  <c r="D76" i="52" s="1"/>
  <c r="C76" i="52"/>
  <c r="B77" i="52"/>
  <c r="D77" i="52" s="1"/>
  <c r="C77" i="52"/>
  <c r="B78" i="52"/>
  <c r="D78" i="52" s="1"/>
  <c r="C78" i="52"/>
  <c r="B79" i="52"/>
  <c r="D79" i="52" s="1"/>
  <c r="C79" i="52"/>
  <c r="B17" i="52"/>
  <c r="D17" i="52" s="1"/>
  <c r="C17" i="52"/>
  <c r="B80" i="52"/>
  <c r="D80" i="52" s="1"/>
  <c r="C80" i="52"/>
  <c r="B81" i="52"/>
  <c r="D81" i="52" s="1"/>
  <c r="C81" i="52"/>
  <c r="B82" i="52"/>
  <c r="D82" i="52" s="1"/>
  <c r="C82" i="52"/>
  <c r="B83" i="52"/>
  <c r="D83" i="52" s="1"/>
  <c r="C83" i="52"/>
  <c r="B84" i="52"/>
  <c r="D84" i="52" s="1"/>
  <c r="C84" i="52"/>
  <c r="B85" i="52"/>
  <c r="D85" i="52" s="1"/>
  <c r="C85" i="52"/>
  <c r="B86" i="52"/>
  <c r="D86" i="52" s="1"/>
  <c r="C86" i="52"/>
  <c r="B87" i="52"/>
  <c r="D87" i="52" s="1"/>
  <c r="C87" i="52"/>
  <c r="B18" i="52"/>
  <c r="D18" i="52" s="1"/>
  <c r="C18" i="52"/>
  <c r="B88" i="52"/>
  <c r="D88" i="52" s="1"/>
  <c r="C88" i="52"/>
  <c r="B19" i="52"/>
  <c r="D19" i="52" s="1"/>
  <c r="C19" i="52"/>
  <c r="B20" i="52"/>
  <c r="D20" i="52" s="1"/>
  <c r="C20" i="52"/>
  <c r="B89" i="52"/>
  <c r="D89" i="52" s="1"/>
  <c r="C89" i="52"/>
  <c r="B90" i="52"/>
  <c r="D90" i="52" s="1"/>
  <c r="C90" i="52"/>
  <c r="B91" i="52"/>
  <c r="D91" i="52" s="1"/>
  <c r="C91" i="52"/>
  <c r="B92" i="52"/>
  <c r="D92" i="52" s="1"/>
  <c r="C92" i="52"/>
  <c r="B93" i="52"/>
  <c r="D93" i="52" s="1"/>
  <c r="C93" i="52"/>
  <c r="B94" i="52"/>
  <c r="D94" i="52" s="1"/>
  <c r="C94" i="52"/>
  <c r="B21" i="52"/>
  <c r="D21" i="52" s="1"/>
  <c r="C21" i="52"/>
  <c r="B95" i="52"/>
  <c r="D95" i="52" s="1"/>
  <c r="C95" i="52"/>
  <c r="B96" i="52"/>
  <c r="D96" i="52" s="1"/>
  <c r="C96" i="52"/>
  <c r="B97" i="52"/>
  <c r="D97" i="52" s="1"/>
  <c r="C97" i="52"/>
  <c r="B98" i="52"/>
  <c r="D98" i="52" s="1"/>
  <c r="C98" i="52"/>
  <c r="B99" i="52"/>
  <c r="D99" i="52" s="1"/>
  <c r="C99" i="52"/>
  <c r="B31" i="52" l="1"/>
  <c r="D31" i="52" s="1"/>
  <c r="C31" i="52"/>
  <c r="X31" i="52"/>
  <c r="Y31" i="52"/>
  <c r="Z31" i="52"/>
  <c r="AA31" i="52"/>
  <c r="X2" i="55"/>
  <c r="B2" i="55"/>
  <c r="D2" i="55" s="1"/>
  <c r="C2" i="55"/>
  <c r="G2" i="55"/>
  <c r="H2" i="55"/>
  <c r="R2" i="55" l="1"/>
  <c r="S2" i="55" s="1"/>
  <c r="D61" i="53"/>
  <c r="BJ61" i="53" l="1"/>
  <c r="AB61" i="53"/>
  <c r="CQ61" i="53"/>
  <c r="BI61" i="53"/>
  <c r="CR61" i="53"/>
  <c r="AA61" i="53"/>
  <c r="BD61" i="53"/>
  <c r="CO61" i="53"/>
  <c r="AX61" i="53"/>
  <c r="M61" i="53"/>
  <c r="AQ61" i="53"/>
  <c r="BW61" i="53"/>
  <c r="U61" i="53"/>
  <c r="AS61" i="53"/>
  <c r="I61" i="53"/>
  <c r="AN61" i="53"/>
  <c r="G61" i="53"/>
  <c r="AW61" i="53"/>
  <c r="DB61" i="53"/>
  <c r="AO61" i="53"/>
  <c r="Z61" i="53"/>
  <c r="H61" i="53"/>
  <c r="X61" i="53"/>
  <c r="CI61" i="53"/>
  <c r="CN61" i="53"/>
  <c r="CA61" i="53"/>
  <c r="BZ61" i="53" s="1"/>
  <c r="W61" i="53"/>
  <c r="BU61" i="53"/>
  <c r="CE61" i="53"/>
  <c r="BT61" i="53"/>
  <c r="BX61" i="53"/>
  <c r="K61" i="53"/>
  <c r="AE61" i="53"/>
  <c r="L61" i="53"/>
  <c r="AF61" i="53"/>
  <c r="BN61" i="53"/>
  <c r="CX61" i="53"/>
  <c r="F61" i="53"/>
  <c r="CP61" i="53"/>
  <c r="BH61" i="53"/>
  <c r="BF61" i="53"/>
  <c r="AK61" i="53"/>
  <c r="AJ61" i="53" s="1"/>
  <c r="S61" i="53"/>
  <c r="BM61" i="53"/>
  <c r="CJ61" i="53"/>
  <c r="AD61" i="53"/>
  <c r="Q61" i="53"/>
  <c r="BB61" i="53"/>
  <c r="CS61" i="53"/>
  <c r="P61" i="53"/>
  <c r="AZ61" i="53"/>
  <c r="AT61" i="53"/>
  <c r="BO61" i="53"/>
  <c r="AY61" i="53"/>
  <c r="BS61" i="53"/>
  <c r="AG61" i="53"/>
  <c r="AM61" i="53"/>
  <c r="AR61" i="53"/>
  <c r="CV61" i="53"/>
  <c r="CU61" i="53" s="1"/>
  <c r="DA61" i="53"/>
  <c r="T61" i="53"/>
  <c r="CT61" i="53"/>
  <c r="E61" i="53"/>
  <c r="R61" i="53"/>
  <c r="BK61" i="53"/>
  <c r="O61" i="53"/>
  <c r="CG61" i="53"/>
  <c r="AC61" i="53"/>
  <c r="N61" i="53"/>
  <c r="CF61" i="53"/>
  <c r="CC61" i="53"/>
  <c r="CB61" i="53" s="1"/>
  <c r="CZ61" i="53"/>
  <c r="BC61" i="53"/>
  <c r="BE61" i="53"/>
  <c r="AV61" i="53"/>
  <c r="BQ61" i="53"/>
  <c r="BG61" i="53"/>
  <c r="CH61" i="53"/>
  <c r="CY61" i="53"/>
  <c r="V61" i="53"/>
  <c r="BY61" i="53"/>
  <c r="AI61" i="53"/>
  <c r="AH61" i="53" s="1"/>
  <c r="CM61" i="53"/>
  <c r="BP61" i="53"/>
  <c r="CK61" i="53"/>
  <c r="BV61" i="53"/>
  <c r="D104" i="53"/>
  <c r="I104" i="53"/>
  <c r="P104" i="53"/>
  <c r="AA104" i="53"/>
  <c r="BQ104" i="53"/>
  <c r="AB104" i="53"/>
  <c r="L104" i="53"/>
  <c r="BY104" i="53"/>
  <c r="BP104" i="53"/>
  <c r="AV104" i="53"/>
  <c r="CS104" i="53"/>
  <c r="AI104" i="53"/>
  <c r="AH104" i="53" s="1"/>
  <c r="AQ104" i="53"/>
  <c r="AX104" i="53"/>
  <c r="CQ104" i="53"/>
  <c r="BW104" i="53"/>
  <c r="K104" i="53"/>
  <c r="CK104" i="53"/>
  <c r="S104" i="53"/>
  <c r="CI104" i="53"/>
  <c r="DA104" i="53"/>
  <c r="CR104" i="53"/>
  <c r="CF104" i="53"/>
  <c r="BC104" i="53"/>
  <c r="Q104" i="53"/>
  <c r="AT104" i="53"/>
  <c r="N104" i="53"/>
  <c r="CE104" i="53"/>
  <c r="CZ104" i="53"/>
  <c r="AY104" i="53"/>
  <c r="AS104" i="53"/>
  <c r="AF104" i="53"/>
  <c r="BS104" i="53"/>
  <c r="AN104" i="53"/>
  <c r="BV104" i="53"/>
  <c r="AR104" i="53"/>
  <c r="AZ104" i="53"/>
  <c r="BK104" i="53"/>
  <c r="CT104" i="53"/>
  <c r="CA104" i="53"/>
  <c r="BZ104" i="53" s="1"/>
  <c r="BF104" i="53"/>
  <c r="CG104" i="53"/>
  <c r="U104" i="53"/>
  <c r="BX104" i="53"/>
  <c r="AD104" i="53"/>
  <c r="BB104" i="53"/>
  <c r="V104" i="53"/>
  <c r="AW104" i="53"/>
  <c r="BN104" i="53"/>
  <c r="M104" i="53"/>
  <c r="W104" i="53"/>
  <c r="E104" i="53"/>
  <c r="CV104" i="53"/>
  <c r="CU104" i="53" s="1"/>
  <c r="BE104" i="53"/>
  <c r="BM104" i="53"/>
  <c r="AK104" i="53"/>
  <c r="AJ104" i="53" s="1"/>
  <c r="AG104" i="53"/>
  <c r="CM104" i="53"/>
  <c r="T104" i="53"/>
  <c r="BO104" i="53"/>
  <c r="CC104" i="53"/>
  <c r="CB104" i="53" s="1"/>
  <c r="CN104" i="53"/>
  <c r="R104" i="53"/>
  <c r="F104" i="53"/>
  <c r="CJ104" i="53"/>
  <c r="X104" i="53"/>
  <c r="AM104" i="53"/>
  <c r="AC104" i="53"/>
  <c r="BT104" i="53"/>
  <c r="AE104" i="53"/>
  <c r="BI104" i="53"/>
  <c r="BJ104" i="53"/>
  <c r="BG104" i="53"/>
  <c r="O104" i="53"/>
  <c r="Z104" i="53"/>
  <c r="CO104" i="53"/>
  <c r="DB104" i="53"/>
  <c r="G104" i="53"/>
  <c r="BU104" i="53"/>
  <c r="BH104" i="53"/>
  <c r="CX104" i="53"/>
  <c r="CP104" i="53"/>
  <c r="H104" i="53"/>
  <c r="CH104" i="53"/>
  <c r="AO104" i="53"/>
  <c r="CY104" i="53"/>
  <c r="BD104" i="53"/>
  <c r="D132" i="53"/>
  <c r="CK132" i="53"/>
  <c r="AV132" i="53"/>
  <c r="O132" i="53"/>
  <c r="AI132" i="53"/>
  <c r="AH132" i="53" s="1"/>
  <c r="BE132" i="53"/>
  <c r="CE132" i="53"/>
  <c r="AT132" i="53"/>
  <c r="BQ132" i="53"/>
  <c r="CN132" i="53"/>
  <c r="P132" i="53"/>
  <c r="CM132" i="53"/>
  <c r="CZ132" i="53"/>
  <c r="BG132" i="53"/>
  <c r="Q132" i="53"/>
  <c r="AK132" i="53"/>
  <c r="AJ132" i="53" s="1"/>
  <c r="Z132" i="53"/>
  <c r="CG132" i="53"/>
  <c r="DA132" i="53"/>
  <c r="CP132" i="53"/>
  <c r="AZ132" i="53"/>
  <c r="F132" i="53"/>
  <c r="BI132" i="53"/>
  <c r="BB132" i="53"/>
  <c r="AM132" i="53"/>
  <c r="AB132" i="53"/>
  <c r="T132" i="53"/>
  <c r="BT132" i="53"/>
  <c r="CR132" i="53"/>
  <c r="CJ132" i="53"/>
  <c r="AN132" i="53"/>
  <c r="CS132" i="53"/>
  <c r="BD132" i="53"/>
  <c r="H132" i="53"/>
  <c r="BM132" i="53"/>
  <c r="V132" i="53"/>
  <c r="BV132" i="53"/>
  <c r="AE132" i="53"/>
  <c r="W132" i="53"/>
  <c r="AQ132" i="53"/>
  <c r="CV132" i="53"/>
  <c r="CU132" i="53" s="1"/>
  <c r="X132" i="53"/>
  <c r="K132" i="53"/>
  <c r="BO132" i="53"/>
  <c r="CO132" i="53"/>
  <c r="BX132" i="53"/>
  <c r="AG132" i="53"/>
  <c r="BH132" i="53"/>
  <c r="AS132" i="53"/>
  <c r="CY132" i="53"/>
  <c r="AA132" i="53"/>
  <c r="M132" i="53"/>
  <c r="E132" i="53"/>
  <c r="CQ132" i="53"/>
  <c r="N132" i="53"/>
  <c r="BS132" i="53"/>
  <c r="BJ132" i="53"/>
  <c r="BF132" i="53"/>
  <c r="CC132" i="53"/>
  <c r="CB132" i="53" s="1"/>
  <c r="DB132" i="53"/>
  <c r="AC132" i="53"/>
  <c r="BY132" i="53"/>
  <c r="AW132" i="53"/>
  <c r="G132" i="53"/>
  <c r="BK132" i="53"/>
  <c r="U132" i="53"/>
  <c r="AX132" i="53"/>
  <c r="BU132" i="53"/>
  <c r="AD132" i="53"/>
  <c r="CF132" i="53"/>
  <c r="AO132" i="53"/>
  <c r="CT132" i="53"/>
  <c r="CH132" i="53"/>
  <c r="AY132" i="53"/>
  <c r="I132" i="53"/>
  <c r="BN132" i="53"/>
  <c r="CA132" i="53"/>
  <c r="BZ132" i="53" s="1"/>
  <c r="R132" i="53"/>
  <c r="BW132" i="53"/>
  <c r="AF132" i="53"/>
  <c r="S132" i="53"/>
  <c r="AR132" i="53"/>
  <c r="CX132" i="53"/>
  <c r="CI132" i="53"/>
  <c r="L132" i="53"/>
  <c r="BP132" i="53"/>
  <c r="BC132" i="53"/>
  <c r="D95" i="53"/>
  <c r="T95" i="53"/>
  <c r="H95" i="53"/>
  <c r="BM95" i="53"/>
  <c r="CA95" i="53"/>
  <c r="BZ95" i="53" s="1"/>
  <c r="CI95" i="53"/>
  <c r="BD95" i="53"/>
  <c r="AZ95" i="53"/>
  <c r="CM95" i="53"/>
  <c r="AA95" i="53"/>
  <c r="AI95" i="53"/>
  <c r="AH95" i="53" s="1"/>
  <c r="CJ95" i="53"/>
  <c r="AO95" i="53"/>
  <c r="BN95" i="53"/>
  <c r="CZ95" i="53"/>
  <c r="AK95" i="53"/>
  <c r="AJ95" i="53" s="1"/>
  <c r="AN95" i="53"/>
  <c r="BC95" i="53"/>
  <c r="BH95" i="53"/>
  <c r="BQ95" i="53"/>
  <c r="V95" i="53"/>
  <c r="K95" i="53"/>
  <c r="CX95" i="53"/>
  <c r="W95" i="53"/>
  <c r="M95" i="53"/>
  <c r="X95" i="53"/>
  <c r="I95" i="53"/>
  <c r="BG95" i="53"/>
  <c r="AW95" i="53"/>
  <c r="AS95" i="53"/>
  <c r="CS95" i="53"/>
  <c r="BV95" i="53"/>
  <c r="CC95" i="53"/>
  <c r="CB95" i="53" s="1"/>
  <c r="AF95" i="53"/>
  <c r="BS95" i="53"/>
  <c r="CO95" i="53"/>
  <c r="AV95" i="53"/>
  <c r="E95" i="53"/>
  <c r="BE95" i="53"/>
  <c r="BJ95" i="53"/>
  <c r="DA95" i="53"/>
  <c r="CP95" i="53"/>
  <c r="O95" i="53"/>
  <c r="CK95" i="53"/>
  <c r="F95" i="53"/>
  <c r="CQ95" i="53"/>
  <c r="P95" i="53"/>
  <c r="BW95" i="53"/>
  <c r="BI95" i="53"/>
  <c r="CT95" i="53"/>
  <c r="AM95" i="53"/>
  <c r="CR95" i="53"/>
  <c r="CF95" i="53"/>
  <c r="BT95" i="53"/>
  <c r="AE95" i="53"/>
  <c r="AY95" i="53"/>
  <c r="DB95" i="53"/>
  <c r="BO95" i="53"/>
  <c r="CG95" i="53"/>
  <c r="G95" i="53"/>
  <c r="CY95" i="53"/>
  <c r="CH95" i="53"/>
  <c r="BU95" i="53"/>
  <c r="AQ95" i="53"/>
  <c r="BX95" i="53"/>
  <c r="BF95" i="53"/>
  <c r="AR95" i="53"/>
  <c r="L95" i="53"/>
  <c r="CN95" i="53"/>
  <c r="BY95" i="53"/>
  <c r="BB95" i="53"/>
  <c r="Z95" i="53"/>
  <c r="AT95" i="53"/>
  <c r="N95" i="53"/>
  <c r="CE95" i="53"/>
  <c r="AB95" i="53"/>
  <c r="CV95" i="53"/>
  <c r="CU95" i="53" s="1"/>
  <c r="AX95" i="53"/>
  <c r="AC95" i="53"/>
  <c r="AG95" i="53"/>
  <c r="Q95" i="53"/>
  <c r="AD95" i="53"/>
  <c r="U95" i="53"/>
  <c r="R95" i="53"/>
  <c r="S95" i="53"/>
  <c r="BP95" i="53"/>
  <c r="BK95" i="53"/>
  <c r="D164" i="53"/>
  <c r="BD164" i="53"/>
  <c r="BB164" i="53"/>
  <c r="CR164" i="53"/>
  <c r="BW164" i="53"/>
  <c r="AM164" i="53"/>
  <c r="AI164" i="53"/>
  <c r="AH164" i="53" s="1"/>
  <c r="CS164" i="53"/>
  <c r="T164" i="53"/>
  <c r="AC164" i="53"/>
  <c r="H164" i="53"/>
  <c r="BP164" i="53"/>
  <c r="AN164" i="53"/>
  <c r="AB164" i="53"/>
  <c r="BQ164" i="53"/>
  <c r="BM164" i="53"/>
  <c r="U164" i="53"/>
  <c r="BK164" i="53"/>
  <c r="CY164" i="53"/>
  <c r="AO164" i="53"/>
  <c r="V164" i="53"/>
  <c r="CI164" i="53"/>
  <c r="CZ164" i="53"/>
  <c r="AE164" i="53"/>
  <c r="CK164" i="53"/>
  <c r="AF164" i="53"/>
  <c r="DA164" i="53"/>
  <c r="BS164" i="53"/>
  <c r="CV164" i="53"/>
  <c r="CU164" i="53" s="1"/>
  <c r="AD164" i="53"/>
  <c r="BU164" i="53"/>
  <c r="K164" i="53"/>
  <c r="F164" i="53"/>
  <c r="BO164" i="53"/>
  <c r="CT164" i="53"/>
  <c r="CX164" i="53"/>
  <c r="AK164" i="53"/>
  <c r="AJ164" i="53" s="1"/>
  <c r="BT164" i="53"/>
  <c r="AG164" i="53"/>
  <c r="BN164" i="53"/>
  <c r="E164" i="53"/>
  <c r="BC164" i="53"/>
  <c r="W164" i="53"/>
  <c r="R164" i="53"/>
  <c r="BX164" i="53"/>
  <c r="DB164" i="53"/>
  <c r="BE164" i="53"/>
  <c r="AS164" i="53"/>
  <c r="G164" i="53"/>
  <c r="CM164" i="53"/>
  <c r="M164" i="53"/>
  <c r="CA164" i="53"/>
  <c r="BZ164" i="53" s="1"/>
  <c r="BV164" i="53"/>
  <c r="BF164" i="53"/>
  <c r="N164" i="53"/>
  <c r="I164" i="53"/>
  <c r="CN164" i="53"/>
  <c r="CQ164" i="53"/>
  <c r="AV164" i="53"/>
  <c r="AQ164" i="53"/>
  <c r="X164" i="53"/>
  <c r="CC164" i="53"/>
  <c r="CB164" i="53" s="1"/>
  <c r="AR164" i="53"/>
  <c r="BG164" i="53"/>
  <c r="BH164" i="53"/>
  <c r="AZ164" i="53"/>
  <c r="CF164" i="53"/>
  <c r="AY164" i="53"/>
  <c r="O164" i="53"/>
  <c r="L164" i="53"/>
  <c r="CO164" i="53"/>
  <c r="AX164" i="53"/>
  <c r="AA164" i="53"/>
  <c r="CE164" i="53"/>
  <c r="BY164" i="53"/>
  <c r="Z164" i="53"/>
  <c r="AT164" i="53"/>
  <c r="CG164" i="53"/>
  <c r="S164" i="53"/>
  <c r="Q164" i="53"/>
  <c r="AW164" i="53"/>
  <c r="CP164" i="53"/>
  <c r="P164" i="53"/>
  <c r="BI164" i="53"/>
  <c r="CJ164" i="53"/>
  <c r="CH164" i="53"/>
  <c r="BJ164" i="53"/>
  <c r="D71" i="53"/>
  <c r="AT71" i="53"/>
  <c r="CM71" i="53"/>
  <c r="BP71" i="53"/>
  <c r="AI71" i="53"/>
  <c r="AH71" i="53" s="1"/>
  <c r="CA71" i="53"/>
  <c r="BZ71" i="53" s="1"/>
  <c r="W71" i="53"/>
  <c r="BM71" i="53"/>
  <c r="O71" i="53"/>
  <c r="Z71" i="53"/>
  <c r="F71" i="53"/>
  <c r="AY71" i="53"/>
  <c r="BQ71" i="53"/>
  <c r="N71" i="53"/>
  <c r="BF71" i="53"/>
  <c r="CY71" i="53"/>
  <c r="BG71" i="53"/>
  <c r="BH71" i="53"/>
  <c r="CG71" i="53"/>
  <c r="CZ71" i="53"/>
  <c r="AV71" i="53"/>
  <c r="CN71" i="53"/>
  <c r="CE71" i="53"/>
  <c r="P71" i="53"/>
  <c r="CQ71" i="53"/>
  <c r="E71" i="53"/>
  <c r="CC71" i="53"/>
  <c r="CB71" i="53" s="1"/>
  <c r="X71" i="53"/>
  <c r="AK71" i="53"/>
  <c r="AJ71" i="53" s="1"/>
  <c r="BS71" i="53"/>
  <c r="AW71" i="53"/>
  <c r="CO71" i="53"/>
  <c r="DA71" i="53"/>
  <c r="AN71" i="53"/>
  <c r="AM71" i="53"/>
  <c r="AX71" i="53"/>
  <c r="CP71" i="53"/>
  <c r="BT71" i="53"/>
  <c r="CF71" i="53"/>
  <c r="AA71" i="53"/>
  <c r="DB71" i="53"/>
  <c r="Q71" i="53"/>
  <c r="BI71" i="53"/>
  <c r="G71" i="53"/>
  <c r="AB71" i="53"/>
  <c r="CX71" i="53"/>
  <c r="BU71" i="53"/>
  <c r="R71" i="53"/>
  <c r="BJ71" i="53"/>
  <c r="H71" i="53"/>
  <c r="AZ71" i="53"/>
  <c r="CR71" i="53"/>
  <c r="AO71" i="53"/>
  <c r="CH71" i="53"/>
  <c r="AC71" i="53"/>
  <c r="BV71" i="53"/>
  <c r="S71" i="53"/>
  <c r="BK71" i="53"/>
  <c r="CJ71" i="53"/>
  <c r="BX71" i="53"/>
  <c r="V71" i="53"/>
  <c r="I71" i="53"/>
  <c r="BB71" i="53"/>
  <c r="CS71" i="53"/>
  <c r="AQ71" i="53"/>
  <c r="CI71" i="53"/>
  <c r="AD71" i="53"/>
  <c r="K71" i="53"/>
  <c r="AE71" i="53"/>
  <c r="BN71" i="53"/>
  <c r="U71" i="53"/>
  <c r="BW71" i="53"/>
  <c r="T71" i="53"/>
  <c r="CT71" i="53"/>
  <c r="BC71" i="53"/>
  <c r="AR71" i="53"/>
  <c r="CV71" i="53"/>
  <c r="CU71" i="53" s="1"/>
  <c r="L71" i="53"/>
  <c r="BD71" i="53"/>
  <c r="AF71" i="53"/>
  <c r="AS71" i="53"/>
  <c r="CK71" i="53"/>
  <c r="BO71" i="53"/>
  <c r="BY71" i="53"/>
  <c r="M71" i="53"/>
  <c r="BE71" i="53"/>
  <c r="AG71" i="53"/>
  <c r="BX49" i="53"/>
  <c r="AM49" i="53"/>
  <c r="BE49" i="53"/>
  <c r="BW49" i="53"/>
  <c r="AK49" i="53"/>
  <c r="AJ49" i="53" s="1"/>
  <c r="R49" i="53"/>
  <c r="BV49" i="53"/>
  <c r="AI49" i="53"/>
  <c r="AH49" i="53" s="1"/>
  <c r="S49" i="53"/>
  <c r="BU49" i="53"/>
  <c r="BD49" i="53"/>
  <c r="BB49" i="53"/>
  <c r="BT49" i="53"/>
  <c r="AG49" i="53"/>
  <c r="BF49" i="53"/>
  <c r="BS49" i="53"/>
  <c r="AF49" i="53"/>
  <c r="T49" i="53"/>
  <c r="BQ49" i="53"/>
  <c r="AE49" i="53"/>
  <c r="BC49" i="53"/>
  <c r="DB49" i="53"/>
  <c r="BP49" i="53"/>
  <c r="AD49" i="53"/>
  <c r="DA49" i="53"/>
  <c r="BO49" i="53"/>
  <c r="AC49" i="53"/>
  <c r="CZ49" i="53"/>
  <c r="BN49" i="53"/>
  <c r="AB49" i="53"/>
  <c r="CY49" i="53"/>
  <c r="BM49" i="53"/>
  <c r="AA49" i="53"/>
  <c r="CX49" i="53"/>
  <c r="BK49" i="53"/>
  <c r="Z49" i="53"/>
  <c r="CQ49" i="53"/>
  <c r="CP49" i="53"/>
  <c r="CO49" i="53"/>
  <c r="CN49" i="53"/>
  <c r="CM49" i="53"/>
  <c r="CV49" i="53"/>
  <c r="CU49" i="53" s="1"/>
  <c r="BJ49" i="53"/>
  <c r="X49" i="53"/>
  <c r="CT49" i="53"/>
  <c r="BI49" i="53"/>
  <c r="W49" i="53"/>
  <c r="CS49" i="53"/>
  <c r="BH49" i="53"/>
  <c r="V49" i="53"/>
  <c r="CR49" i="53"/>
  <c r="BG49" i="53"/>
  <c r="U49" i="53"/>
  <c r="Q49" i="53"/>
  <c r="CK49" i="53"/>
  <c r="AZ49" i="53"/>
  <c r="O49" i="53"/>
  <c r="CJ49" i="53"/>
  <c r="AY49" i="53"/>
  <c r="N49" i="53"/>
  <c r="CI49" i="53"/>
  <c r="AX49" i="53"/>
  <c r="M49" i="53"/>
  <c r="CH49" i="53"/>
  <c r="AW49" i="53"/>
  <c r="L49" i="53"/>
  <c r="P49" i="53"/>
  <c r="CG49" i="53"/>
  <c r="AV49" i="53"/>
  <c r="K49" i="53"/>
  <c r="CE49" i="53"/>
  <c r="H49" i="53"/>
  <c r="AO49" i="53"/>
  <c r="AN49" i="53"/>
  <c r="CF49" i="53"/>
  <c r="AT49" i="53"/>
  <c r="I49" i="53"/>
  <c r="AS49" i="53"/>
  <c r="E49" i="53"/>
  <c r="BY49" i="53"/>
  <c r="AR49" i="53"/>
  <c r="G49" i="53"/>
  <c r="CC49" i="53"/>
  <c r="CB49" i="53" s="1"/>
  <c r="AQ49" i="53"/>
  <c r="F49" i="53"/>
  <c r="CA49" i="53"/>
  <c r="BZ49" i="53" s="1"/>
  <c r="D49" i="53"/>
  <c r="BT64" i="53"/>
  <c r="M64" i="53"/>
  <c r="CE64" i="53"/>
  <c r="CG64" i="53"/>
  <c r="Q96" i="53"/>
  <c r="CM64" i="53"/>
  <c r="CO64" i="53"/>
  <c r="F64" i="53"/>
  <c r="AM64" i="53"/>
  <c r="AG96" i="53"/>
  <c r="BP96" i="53"/>
  <c r="CY96" i="53"/>
  <c r="L96" i="53"/>
  <c r="CC96" i="53"/>
  <c r="CB96" i="53" s="1"/>
  <c r="E96" i="53"/>
  <c r="AK96" i="53"/>
  <c r="AJ96" i="53" s="1"/>
  <c r="BS96" i="53"/>
  <c r="DA96" i="53"/>
  <c r="AM96" i="53"/>
  <c r="BT96" i="53"/>
  <c r="L64" i="53"/>
  <c r="AS64" i="53"/>
  <c r="BY64" i="53"/>
  <c r="H96" i="53"/>
  <c r="AO96" i="53"/>
  <c r="BV96" i="53"/>
  <c r="I96" i="53"/>
  <c r="N96" i="53"/>
  <c r="AY96" i="53"/>
  <c r="S96" i="53"/>
  <c r="U96" i="53"/>
  <c r="N64" i="53"/>
  <c r="AV64" i="53"/>
  <c r="CC64" i="53"/>
  <c r="CB64" i="53" s="1"/>
  <c r="K96" i="53"/>
  <c r="AR96" i="53"/>
  <c r="V96" i="53"/>
  <c r="BE96" i="53"/>
  <c r="CM96" i="53"/>
  <c r="AA64" i="53"/>
  <c r="BI64" i="53"/>
  <c r="CQ64" i="53"/>
  <c r="W96" i="53"/>
  <c r="Z96" i="53"/>
  <c r="BH96" i="53"/>
  <c r="CP96" i="53"/>
  <c r="AD64" i="53"/>
  <c r="BM64" i="53"/>
  <c r="CT64" i="53"/>
  <c r="AA96" i="53"/>
  <c r="BI96" i="53"/>
  <c r="CQ96" i="53"/>
  <c r="AE64" i="53"/>
  <c r="BN64" i="53"/>
  <c r="CV64" i="53"/>
  <c r="CU64" i="53" s="1"/>
  <c r="D150" i="53"/>
  <c r="CW61" i="53" l="1"/>
  <c r="AL61" i="53"/>
  <c r="AP61" i="53"/>
  <c r="Y61" i="53"/>
  <c r="BL61" i="53"/>
  <c r="CL61" i="53"/>
  <c r="BR61" i="53"/>
  <c r="J61" i="53"/>
  <c r="CD61" i="53"/>
  <c r="AU61" i="53"/>
  <c r="BA61" i="53"/>
  <c r="DC61" i="53"/>
  <c r="DD61" i="53"/>
  <c r="DE61" i="53"/>
  <c r="DF61" i="53"/>
  <c r="DG61" i="53"/>
  <c r="DH61" i="53"/>
  <c r="DI61" i="53"/>
  <c r="DJ61" i="53"/>
  <c r="BL104" i="53"/>
  <c r="CW104" i="53"/>
  <c r="AL104" i="53"/>
  <c r="CD104" i="53"/>
  <c r="Y104" i="53"/>
  <c r="BA104" i="53"/>
  <c r="DC104" i="53"/>
  <c r="J104" i="53"/>
  <c r="AP104" i="53"/>
  <c r="AU104" i="53"/>
  <c r="BR104" i="53"/>
  <c r="CL104" i="53"/>
  <c r="DJ104" i="53"/>
  <c r="DD104" i="53"/>
  <c r="DE104" i="53"/>
  <c r="DF104" i="53"/>
  <c r="DG104" i="53"/>
  <c r="DH104" i="53"/>
  <c r="DI104" i="53"/>
  <c r="CW132" i="53"/>
  <c r="BR132" i="53"/>
  <c r="AL132" i="53"/>
  <c r="BA132" i="53"/>
  <c r="Y132" i="53"/>
  <c r="J132" i="53"/>
  <c r="AP132" i="53"/>
  <c r="CL132" i="53"/>
  <c r="BL132" i="53"/>
  <c r="CD132" i="53"/>
  <c r="AU132" i="53"/>
  <c r="DC132" i="53"/>
  <c r="DD132" i="53"/>
  <c r="DE132" i="53"/>
  <c r="DF132" i="53"/>
  <c r="DG132" i="53"/>
  <c r="DH132" i="53"/>
  <c r="DI132" i="53"/>
  <c r="DJ132" i="53"/>
  <c r="AL95" i="53"/>
  <c r="CD95" i="53"/>
  <c r="Y95" i="53"/>
  <c r="DC95" i="53"/>
  <c r="AU95" i="53"/>
  <c r="CW95" i="53"/>
  <c r="J95" i="53"/>
  <c r="BA95" i="53"/>
  <c r="DD95" i="53"/>
  <c r="DE95" i="53"/>
  <c r="DF95" i="53"/>
  <c r="DH95" i="53"/>
  <c r="DI95" i="53"/>
  <c r="DG95" i="53"/>
  <c r="DJ95" i="53"/>
  <c r="CL95" i="53"/>
  <c r="AP95" i="53"/>
  <c r="BR95" i="53"/>
  <c r="BL95" i="53"/>
  <c r="DC164" i="53"/>
  <c r="BR164" i="53"/>
  <c r="CL164" i="53"/>
  <c r="Y164" i="53"/>
  <c r="CD164" i="53"/>
  <c r="BL164" i="53"/>
  <c r="CW164" i="53"/>
  <c r="AL164" i="53"/>
  <c r="AP164" i="53"/>
  <c r="J164" i="53"/>
  <c r="AU164" i="53"/>
  <c r="BA164" i="53"/>
  <c r="DE164" i="53"/>
  <c r="DH164" i="53"/>
  <c r="DJ164" i="53"/>
  <c r="DD164" i="53"/>
  <c r="DF164" i="53"/>
  <c r="DG164" i="53"/>
  <c r="DI164" i="53"/>
  <c r="CD71" i="53"/>
  <c r="DC71" i="53"/>
  <c r="AU71" i="53"/>
  <c r="CW71" i="53"/>
  <c r="J71" i="53"/>
  <c r="Y71" i="53"/>
  <c r="AP71" i="53"/>
  <c r="BL71" i="53"/>
  <c r="BA71" i="53"/>
  <c r="AL71" i="53"/>
  <c r="CL71" i="53"/>
  <c r="BR71" i="53"/>
  <c r="DD71" i="53"/>
  <c r="DH71" i="53"/>
  <c r="DE71" i="53"/>
  <c r="DG71" i="53"/>
  <c r="DJ71" i="53"/>
  <c r="DF71" i="53"/>
  <c r="DI71" i="53"/>
  <c r="AU49" i="53"/>
  <c r="Y49" i="53"/>
  <c r="DC49" i="53"/>
  <c r="AP49" i="53"/>
  <c r="BR49" i="53"/>
  <c r="BA49" i="53"/>
  <c r="CL49" i="53"/>
  <c r="CD49" i="53"/>
  <c r="J49" i="53"/>
  <c r="CW49" i="53"/>
  <c r="AL49" i="53"/>
  <c r="BL49" i="53"/>
  <c r="Z64" i="53"/>
  <c r="CP64" i="53"/>
  <c r="BH64" i="53"/>
  <c r="BD96" i="53"/>
  <c r="BB96" i="53"/>
  <c r="CG96" i="53"/>
  <c r="AZ96" i="53"/>
  <c r="CR96" i="53"/>
  <c r="R96" i="53"/>
  <c r="AS96" i="53"/>
  <c r="Q64" i="53"/>
  <c r="CX96" i="53"/>
  <c r="CW96" i="53" s="1"/>
  <c r="BO96" i="53"/>
  <c r="W64" i="53"/>
  <c r="CI96" i="53"/>
  <c r="CH96" i="53"/>
  <c r="BO64" i="53"/>
  <c r="R64" i="53"/>
  <c r="BJ96" i="53"/>
  <c r="CK64" i="53"/>
  <c r="CA64" i="53"/>
  <c r="BZ64" i="53" s="1"/>
  <c r="M96" i="53"/>
  <c r="F96" i="53"/>
  <c r="AQ64" i="53"/>
  <c r="I64" i="53"/>
  <c r="V64" i="53"/>
  <c r="AW96" i="53"/>
  <c r="O96" i="53"/>
  <c r="AV96" i="53"/>
  <c r="AB96" i="53"/>
  <c r="BD64" i="53"/>
  <c r="BW64" i="53"/>
  <c r="CF64" i="53"/>
  <c r="BC64" i="53"/>
  <c r="CE96" i="53"/>
  <c r="CH64" i="53"/>
  <c r="AZ64" i="53"/>
  <c r="CA96" i="53"/>
  <c r="BZ96" i="53" s="1"/>
  <c r="AT96" i="53"/>
  <c r="AX64" i="53"/>
  <c r="P64" i="53"/>
  <c r="BS64" i="53"/>
  <c r="CX64" i="53"/>
  <c r="BX64" i="53"/>
  <c r="BK64" i="53"/>
  <c r="T64" i="53"/>
  <c r="AF96" i="53"/>
  <c r="AC96" i="53"/>
  <c r="U64" i="53"/>
  <c r="AQ96" i="53"/>
  <c r="BU96" i="53"/>
  <c r="AO64" i="53"/>
  <c r="G96" i="53"/>
  <c r="AK64" i="53"/>
  <c r="AJ64" i="53" s="1"/>
  <c r="CF96" i="53"/>
  <c r="BG96" i="53"/>
  <c r="CS96" i="53"/>
  <c r="P96" i="53"/>
  <c r="BN96" i="53"/>
  <c r="BE64" i="53"/>
  <c r="BJ64" i="53"/>
  <c r="BU64" i="53"/>
  <c r="CJ96" i="53"/>
  <c r="CZ64" i="53"/>
  <c r="BV64" i="53"/>
  <c r="BW96" i="53"/>
  <c r="H64" i="53"/>
  <c r="AT64" i="53"/>
  <c r="AR64" i="53"/>
  <c r="CZ96" i="53"/>
  <c r="DB64" i="53"/>
  <c r="BQ96" i="53"/>
  <c r="X96" i="53"/>
  <c r="AF64" i="53"/>
  <c r="CI64" i="53"/>
  <c r="AE96" i="53"/>
  <c r="S64" i="53"/>
  <c r="O64" i="53"/>
  <c r="DA64" i="53"/>
  <c r="BF64" i="53"/>
  <c r="BY96" i="53"/>
  <c r="CO96" i="53"/>
  <c r="AX96" i="53"/>
  <c r="CV96" i="53"/>
  <c r="CU96" i="53" s="1"/>
  <c r="BG64" i="53"/>
  <c r="BM96" i="53"/>
  <c r="D96" i="53"/>
  <c r="AD96" i="53"/>
  <c r="CJ64" i="53"/>
  <c r="AB64" i="53"/>
  <c r="AN64" i="53"/>
  <c r="BC96" i="53"/>
  <c r="BQ64" i="53"/>
  <c r="BP64" i="53"/>
  <c r="CN96" i="53"/>
  <c r="BK96" i="53"/>
  <c r="AW64" i="53"/>
  <c r="G64" i="53"/>
  <c r="T96" i="53"/>
  <c r="AI64" i="53"/>
  <c r="AH64" i="53" s="1"/>
  <c r="CS64" i="53"/>
  <c r="AN96" i="53"/>
  <c r="AL96" i="53" s="1"/>
  <c r="AC64" i="53"/>
  <c r="E64" i="53"/>
  <c r="K64" i="53"/>
  <c r="CT96" i="53"/>
  <c r="AI96" i="53"/>
  <c r="AH96" i="53" s="1"/>
  <c r="CR64" i="53"/>
  <c r="X64" i="53"/>
  <c r="BB64" i="53"/>
  <c r="CY64" i="53"/>
  <c r="AY64" i="53"/>
  <c r="AG64" i="53"/>
  <c r="BF96" i="53"/>
  <c r="BX96" i="53"/>
  <c r="DB96" i="53"/>
  <c r="CK96" i="53"/>
  <c r="CN64" i="53"/>
  <c r="D64" i="53"/>
  <c r="DI64" i="53"/>
  <c r="DJ64" i="53"/>
  <c r="DD64" i="53"/>
  <c r="DE64" i="53"/>
  <c r="DF64" i="53"/>
  <c r="DG64" i="53"/>
  <c r="DH64" i="53"/>
  <c r="DD96" i="53"/>
  <c r="DE96" i="53"/>
  <c r="DF96" i="53"/>
  <c r="DG96" i="53"/>
  <c r="DH96" i="53"/>
  <c r="DI96" i="53"/>
  <c r="DJ96" i="53"/>
  <c r="CF150" i="53"/>
  <c r="AX150" i="53"/>
  <c r="CA150" i="53"/>
  <c r="BZ150" i="53" s="1"/>
  <c r="BN150" i="53"/>
  <c r="AM150" i="53"/>
  <c r="CX150" i="53"/>
  <c r="BI150" i="53"/>
  <c r="BX150" i="53"/>
  <c r="BH150" i="53"/>
  <c r="Z150" i="53"/>
  <c r="AG150" i="53"/>
  <c r="H150" i="53"/>
  <c r="AT150" i="53"/>
  <c r="CV150" i="53"/>
  <c r="CU150" i="53" s="1"/>
  <c r="L150" i="53"/>
  <c r="CP150" i="53"/>
  <c r="K150" i="53"/>
  <c r="BP150" i="53"/>
  <c r="AF150" i="53"/>
  <c r="CI150" i="53"/>
  <c r="BY150" i="53"/>
  <c r="AA150" i="53"/>
  <c r="AR150" i="53"/>
  <c r="AE150" i="53"/>
  <c r="N150" i="53"/>
  <c r="BM150" i="53"/>
  <c r="BU150" i="53"/>
  <c r="M150" i="53"/>
  <c r="AS150" i="53"/>
  <c r="AN150" i="53"/>
  <c r="BO150" i="53"/>
  <c r="T150" i="53"/>
  <c r="CN150" i="53"/>
  <c r="F150" i="53"/>
  <c r="CS150" i="53"/>
  <c r="CJ150" i="53"/>
  <c r="CC150" i="53"/>
  <c r="CB150" i="53" s="1"/>
  <c r="AC150" i="53"/>
  <c r="CR150" i="53"/>
  <c r="AB150" i="53"/>
  <c r="CO150" i="53"/>
  <c r="AD150" i="53"/>
  <c r="BG150" i="53"/>
  <c r="X150" i="53"/>
  <c r="CM150" i="53"/>
  <c r="DA150" i="53"/>
  <c r="BF150" i="53"/>
  <c r="G150" i="53"/>
  <c r="W150" i="53"/>
  <c r="CY150" i="53"/>
  <c r="P150" i="53"/>
  <c r="S150" i="53"/>
  <c r="CE150" i="53"/>
  <c r="CH150" i="53"/>
  <c r="AW150" i="53"/>
  <c r="DB150" i="53"/>
  <c r="O150" i="53"/>
  <c r="BT150" i="53"/>
  <c r="R150" i="53"/>
  <c r="BS150" i="53"/>
  <c r="BE150" i="53"/>
  <c r="AK150" i="53"/>
  <c r="AJ150" i="53" s="1"/>
  <c r="AQ150" i="53"/>
  <c r="CK150" i="53"/>
  <c r="AZ150" i="53"/>
  <c r="BD150" i="53"/>
  <c r="CT150" i="53"/>
  <c r="AV150" i="53"/>
  <c r="DJ150" i="53"/>
  <c r="DD150" i="53"/>
  <c r="DE150" i="53"/>
  <c r="DF150" i="53"/>
  <c r="DG150" i="53"/>
  <c r="DH150" i="53"/>
  <c r="DI150" i="53"/>
  <c r="BW150" i="53"/>
  <c r="V150" i="53"/>
  <c r="E150" i="53"/>
  <c r="I150" i="53"/>
  <c r="U150" i="53"/>
  <c r="BC150" i="53"/>
  <c r="CZ150" i="53"/>
  <c r="BK150" i="53"/>
  <c r="CG150" i="53"/>
  <c r="BB150" i="53"/>
  <c r="BQ150" i="53"/>
  <c r="BJ150" i="53"/>
  <c r="AY150" i="53"/>
  <c r="BV150" i="53"/>
  <c r="AI150" i="53"/>
  <c r="AH150" i="53" s="1"/>
  <c r="CQ150" i="53"/>
  <c r="Q150" i="53"/>
  <c r="AO150" i="53"/>
  <c r="D51" i="53"/>
  <c r="AI51" i="53"/>
  <c r="AH51" i="53" s="1"/>
  <c r="BQ51" i="53"/>
  <c r="CZ51" i="53"/>
  <c r="CA51" i="53"/>
  <c r="BZ51" i="53" s="1"/>
  <c r="N51" i="53"/>
  <c r="CC51" i="53"/>
  <c r="CB51" i="53" s="1"/>
  <c r="AY51" i="53"/>
  <c r="BF51" i="53"/>
  <c r="E51" i="53"/>
  <c r="AK51" i="53"/>
  <c r="AJ51" i="53" s="1"/>
  <c r="BS51" i="53"/>
  <c r="DA51" i="53"/>
  <c r="F51" i="53"/>
  <c r="AM51" i="53"/>
  <c r="BT51" i="53"/>
  <c r="DB51" i="53"/>
  <c r="G51" i="53"/>
  <c r="AN51" i="53"/>
  <c r="BU51" i="53"/>
  <c r="H51" i="53"/>
  <c r="AO51" i="53"/>
  <c r="BV51" i="53"/>
  <c r="I51" i="53"/>
  <c r="AQ51" i="53"/>
  <c r="BW51" i="53"/>
  <c r="AV51" i="53"/>
  <c r="K51" i="53"/>
  <c r="AR51" i="53"/>
  <c r="BX51" i="53"/>
  <c r="L51" i="53"/>
  <c r="AS51" i="53"/>
  <c r="BY51" i="53"/>
  <c r="M51" i="53"/>
  <c r="O51" i="53"/>
  <c r="AW51" i="53"/>
  <c r="CE51" i="53"/>
  <c r="P51" i="53"/>
  <c r="AX51" i="53"/>
  <c r="CF51" i="53"/>
  <c r="Q51" i="53"/>
  <c r="R51" i="53"/>
  <c r="AZ51" i="53"/>
  <c r="CH51" i="53"/>
  <c r="S51" i="53"/>
  <c r="BB51" i="53"/>
  <c r="CI51" i="53"/>
  <c r="T51" i="53"/>
  <c r="BC51" i="53"/>
  <c r="CJ51" i="53"/>
  <c r="BE51" i="53"/>
  <c r="U51" i="53"/>
  <c r="BD51" i="53"/>
  <c r="CK51" i="53"/>
  <c r="V51" i="53"/>
  <c r="CN51" i="53"/>
  <c r="CM51" i="53"/>
  <c r="W51" i="53"/>
  <c r="X51" i="53"/>
  <c r="BG51" i="53"/>
  <c r="CO51" i="53"/>
  <c r="Z51" i="53"/>
  <c r="BH51" i="53"/>
  <c r="CP51" i="53"/>
  <c r="AA51" i="53"/>
  <c r="BI51" i="53"/>
  <c r="CQ51" i="53"/>
  <c r="AB51" i="53"/>
  <c r="BJ51" i="53"/>
  <c r="CR51" i="53"/>
  <c r="AC51" i="53"/>
  <c r="BK51" i="53"/>
  <c r="CS51" i="53"/>
  <c r="AD51" i="53"/>
  <c r="BM51" i="53"/>
  <c r="CT51" i="53"/>
  <c r="AE51" i="53"/>
  <c r="BN51" i="53"/>
  <c r="CV51" i="53"/>
  <c r="CU51" i="53" s="1"/>
  <c r="AF51" i="53"/>
  <c r="BO51" i="53"/>
  <c r="CX51" i="53"/>
  <c r="AG51" i="53"/>
  <c r="BP51" i="53"/>
  <c r="CY51" i="53"/>
  <c r="AT51" i="53"/>
  <c r="CG51" i="53"/>
  <c r="DI51" i="53"/>
  <c r="DD51" i="53"/>
  <c r="DE51" i="53"/>
  <c r="DF51" i="53"/>
  <c r="DG51" i="53"/>
  <c r="DH51" i="53"/>
  <c r="DJ51" i="53"/>
  <c r="DJ149" i="53"/>
  <c r="DJ83" i="53"/>
  <c r="DJ109" i="53"/>
  <c r="DJ8" i="53"/>
  <c r="DJ103" i="53"/>
  <c r="DJ102" i="53"/>
  <c r="DJ144" i="53"/>
  <c r="DJ237" i="53"/>
  <c r="DJ39" i="53"/>
  <c r="DJ67" i="53"/>
  <c r="DJ24" i="53"/>
  <c r="DJ197" i="53"/>
  <c r="DJ159" i="53"/>
  <c r="DJ90" i="53"/>
  <c r="BO223" i="53"/>
  <c r="CH223" i="53"/>
  <c r="D223" i="53"/>
  <c r="R223" i="53"/>
  <c r="CY223" i="53"/>
  <c r="BP223" i="53"/>
  <c r="AG223" i="53"/>
  <c r="CT223" i="53"/>
  <c r="BM223" i="53"/>
  <c r="AD223" i="53"/>
  <c r="CS223" i="53"/>
  <c r="BK223" i="53"/>
  <c r="AC223" i="53"/>
  <c r="BJ223" i="53"/>
  <c r="AA223" i="53"/>
  <c r="BH223" i="53"/>
  <c r="Z223" i="53"/>
  <c r="AF223" i="53"/>
  <c r="BI223" i="53"/>
  <c r="AE223" i="53"/>
  <c r="CR223" i="53"/>
  <c r="CX223" i="53"/>
  <c r="CV223" i="53"/>
  <c r="CU223" i="53" s="1"/>
  <c r="CQ223" i="53"/>
  <c r="CO223" i="53"/>
  <c r="BG223" i="53"/>
  <c r="CN223" i="53"/>
  <c r="BF223" i="53"/>
  <c r="CM223" i="53"/>
  <c r="BE223" i="53"/>
  <c r="V223" i="53"/>
  <c r="BN223" i="53"/>
  <c r="AB223" i="53"/>
  <c r="CP223" i="53"/>
  <c r="X223" i="53"/>
  <c r="W223" i="53"/>
  <c r="CK223" i="53"/>
  <c r="BD223" i="53"/>
  <c r="U223" i="53"/>
  <c r="CJ223" i="53"/>
  <c r="BC223" i="53"/>
  <c r="T223" i="53"/>
  <c r="CI223" i="53"/>
  <c r="BB223" i="53"/>
  <c r="S223" i="53"/>
  <c r="CG223" i="53"/>
  <c r="AY223" i="53"/>
  <c r="Q223" i="53"/>
  <c r="CF223" i="53"/>
  <c r="AX223" i="53"/>
  <c r="P223" i="53"/>
  <c r="CE223" i="53"/>
  <c r="AW223" i="53"/>
  <c r="O223" i="53"/>
  <c r="AZ223" i="53"/>
  <c r="L223" i="53"/>
  <c r="AV223" i="53"/>
  <c r="BY223" i="53"/>
  <c r="K223" i="53"/>
  <c r="BW223" i="53"/>
  <c r="AQ223" i="53"/>
  <c r="I223" i="53"/>
  <c r="N223" i="53"/>
  <c r="CA223" i="53"/>
  <c r="BZ223" i="53" s="1"/>
  <c r="AS223" i="53"/>
  <c r="AR223" i="53"/>
  <c r="BV223" i="53"/>
  <c r="AO223" i="53"/>
  <c r="H223" i="53"/>
  <c r="CC223" i="53"/>
  <c r="CB223" i="53" s="1"/>
  <c r="BX223" i="53"/>
  <c r="BU223" i="53"/>
  <c r="AN223" i="53"/>
  <c r="G223" i="53"/>
  <c r="AT223" i="53"/>
  <c r="DB223" i="53"/>
  <c r="BT223" i="53"/>
  <c r="AM223" i="53"/>
  <c r="F223" i="53"/>
  <c r="M223" i="53"/>
  <c r="DA223" i="53"/>
  <c r="BS223" i="53"/>
  <c r="AK223" i="53"/>
  <c r="AJ223" i="53" s="1"/>
  <c r="E223" i="53"/>
  <c r="CZ223" i="53"/>
  <c r="BQ223" i="53"/>
  <c r="AI223" i="53"/>
  <c r="AH223" i="53" s="1"/>
  <c r="CP114" i="53"/>
  <c r="O121" i="53"/>
  <c r="DA70" i="53"/>
  <c r="CK73" i="53"/>
  <c r="CP56" i="53"/>
  <c r="CQ56" i="53"/>
  <c r="L138" i="53"/>
  <c r="T70" i="53"/>
  <c r="BE19" i="53"/>
  <c r="BQ24" i="53"/>
  <c r="BK7" i="53"/>
  <c r="BM8" i="53"/>
  <c r="CR9" i="53"/>
  <c r="W11" i="53"/>
  <c r="BD12" i="53"/>
  <c r="CJ13" i="53"/>
  <c r="CM14" i="53"/>
  <c r="AD16" i="53"/>
  <c r="CK17" i="53"/>
  <c r="BG19" i="53"/>
  <c r="AI23" i="53"/>
  <c r="AH23" i="53" s="1"/>
  <c r="BT24" i="53"/>
  <c r="CN26" i="53"/>
  <c r="BS29" i="53"/>
  <c r="BN32" i="53"/>
  <c r="AI37" i="53"/>
  <c r="AH37" i="53" s="1"/>
  <c r="BG39" i="53"/>
  <c r="AN42" i="53"/>
  <c r="G46" i="53"/>
  <c r="CE52" i="53"/>
  <c r="CJ56" i="53"/>
  <c r="BX62" i="53"/>
  <c r="CI73" i="53"/>
  <c r="BB98" i="53"/>
  <c r="Q121" i="53"/>
  <c r="BJ36" i="53"/>
  <c r="BJ8" i="53"/>
  <c r="BP29" i="53"/>
  <c r="CJ17" i="53"/>
  <c r="CS9" i="53"/>
  <c r="BC98" i="53"/>
  <c r="BQ19" i="53"/>
  <c r="CN29" i="53"/>
  <c r="BP7" i="53"/>
  <c r="CX8" i="53"/>
  <c r="AB10" i="53"/>
  <c r="AB11" i="53"/>
  <c r="BH12" i="53"/>
  <c r="CO13" i="53"/>
  <c r="AD15" i="53"/>
  <c r="BP16" i="53"/>
  <c r="CP17" i="53"/>
  <c r="BT19" i="53"/>
  <c r="AQ23" i="53"/>
  <c r="T25" i="53"/>
  <c r="BY27" i="53"/>
  <c r="CO29" i="53"/>
  <c r="BT32" i="53"/>
  <c r="AZ37" i="53"/>
  <c r="AR40" i="53"/>
  <c r="AI43" i="53"/>
  <c r="AH43" i="53" s="1"/>
  <c r="AA46" i="53"/>
  <c r="CK52" i="53"/>
  <c r="AB57" i="53"/>
  <c r="BE65" i="53"/>
  <c r="CQ73" i="53"/>
  <c r="E101" i="53"/>
  <c r="CN123" i="53"/>
  <c r="S19" i="53"/>
  <c r="BP24" i="53"/>
  <c r="BF19" i="53"/>
  <c r="AW37" i="53"/>
  <c r="AN23" i="53"/>
  <c r="BQ7" i="53"/>
  <c r="CY8" i="53"/>
  <c r="AC10" i="53"/>
  <c r="BI12" i="53"/>
  <c r="CX13" i="53"/>
  <c r="AE15" i="53"/>
  <c r="BQ16" i="53"/>
  <c r="CV17" i="53"/>
  <c r="CU17" i="53" s="1"/>
  <c r="CA27" i="53"/>
  <c r="BZ27" i="53" s="1"/>
  <c r="CO123" i="53"/>
  <c r="BS7" i="53"/>
  <c r="DA8" i="53"/>
  <c r="AD10" i="53"/>
  <c r="BI11" i="53"/>
  <c r="BJ12" i="53"/>
  <c r="CY13" i="53"/>
  <c r="AF15" i="53"/>
  <c r="BS16" i="53"/>
  <c r="AN18" i="53"/>
  <c r="BW19" i="53"/>
  <c r="AS23" i="53"/>
  <c r="V25" i="53"/>
  <c r="CC27" i="53"/>
  <c r="CB27" i="53" s="1"/>
  <c r="AZ30" i="53"/>
  <c r="BW32" i="53"/>
  <c r="AV40" i="53"/>
  <c r="AM43" i="53"/>
  <c r="CV46" i="53"/>
  <c r="CU46" i="53" s="1"/>
  <c r="CO52" i="53"/>
  <c r="BC57" i="53"/>
  <c r="BG65" i="53"/>
  <c r="BK87" i="53"/>
  <c r="G101" i="53"/>
  <c r="DB123" i="53"/>
  <c r="BT7" i="53"/>
  <c r="DB8" i="53"/>
  <c r="AE10" i="53"/>
  <c r="BJ11" i="53"/>
  <c r="BW12" i="53"/>
  <c r="CZ13" i="53"/>
  <c r="AG15" i="53"/>
  <c r="BT16" i="53"/>
  <c r="AO18" i="53"/>
  <c r="CC19" i="53"/>
  <c r="CB19" i="53" s="1"/>
  <c r="AT23" i="53"/>
  <c r="W25" i="53"/>
  <c r="CE27" i="53"/>
  <c r="BB30" i="53"/>
  <c r="D33" i="53"/>
  <c r="CA37" i="53"/>
  <c r="BZ37" i="53" s="1"/>
  <c r="AW40" i="53"/>
  <c r="AO43" i="53"/>
  <c r="AC47" i="53"/>
  <c r="X53" i="53"/>
  <c r="BD57" i="53"/>
  <c r="BX65" i="53"/>
  <c r="BU87" i="53"/>
  <c r="CO102" i="53"/>
  <c r="W131" i="53"/>
  <c r="BV7" i="53"/>
  <c r="D9" i="53"/>
  <c r="AF10" i="53"/>
  <c r="BK11" i="53"/>
  <c r="CR12" i="53"/>
  <c r="DA13" i="53"/>
  <c r="AI15" i="53"/>
  <c r="AH15" i="53" s="1"/>
  <c r="BU16" i="53"/>
  <c r="AQ18" i="53"/>
  <c r="N22" i="53"/>
  <c r="AV23" i="53"/>
  <c r="X25" i="53"/>
  <c r="CF27" i="53"/>
  <c r="BC30" i="53"/>
  <c r="BF33" i="53"/>
  <c r="CC37" i="53"/>
  <c r="CB37" i="53" s="1"/>
  <c r="AX40" i="53"/>
  <c r="AR43" i="53"/>
  <c r="AD47" i="53"/>
  <c r="D54" i="53"/>
  <c r="BE57" i="53"/>
  <c r="CA65" i="53"/>
  <c r="BZ65" i="53" s="1"/>
  <c r="G88" i="53"/>
  <c r="AM106" i="53"/>
  <c r="AK131" i="53"/>
  <c r="AJ131" i="53" s="1"/>
  <c r="AE42" i="53"/>
  <c r="AC7" i="53"/>
  <c r="BK32" i="53"/>
  <c r="BK8" i="53"/>
  <c r="F46" i="53"/>
  <c r="CF52" i="53"/>
  <c r="AR65" i="53"/>
  <c r="AM121" i="53"/>
  <c r="F101" i="53"/>
  <c r="AS43" i="53"/>
  <c r="AZ40" i="53"/>
  <c r="F8" i="53"/>
  <c r="K9" i="53"/>
  <c r="AK10" i="53"/>
  <c r="AJ10" i="53" s="1"/>
  <c r="BW11" i="53"/>
  <c r="E13" i="53"/>
  <c r="AG14" i="53"/>
  <c r="AS15" i="53"/>
  <c r="BX16" i="53"/>
  <c r="AV18" i="53"/>
  <c r="Q22" i="53"/>
  <c r="CT23" i="53"/>
  <c r="AZ25" i="53"/>
  <c r="CK27" i="53"/>
  <c r="CF30" i="53"/>
  <c r="BI33" i="53"/>
  <c r="AO38" i="53"/>
  <c r="BO40" i="53"/>
  <c r="BY43" i="53"/>
  <c r="AG47" i="53"/>
  <c r="G54" i="53"/>
  <c r="BK58" i="53"/>
  <c r="BM67" i="53"/>
  <c r="BT89" i="53"/>
  <c r="AS106" i="53"/>
  <c r="CF135" i="53"/>
  <c r="CH17" i="53"/>
  <c r="AF42" i="53"/>
  <c r="BM32" i="53"/>
  <c r="AK23" i="53"/>
  <c r="AJ23" i="53" s="1"/>
  <c r="AO40" i="53"/>
  <c r="CI52" i="53"/>
  <c r="AT40" i="53"/>
  <c r="BG33" i="53"/>
  <c r="AM25" i="53"/>
  <c r="G8" i="53"/>
  <c r="AM10" i="53"/>
  <c r="BX11" i="53"/>
  <c r="F13" i="53"/>
  <c r="R22" i="53"/>
  <c r="CV23" i="53"/>
  <c r="CU23" i="53" s="1"/>
  <c r="CP25" i="53"/>
  <c r="CM27" i="53"/>
  <c r="CG30" i="53"/>
  <c r="BJ33" i="53"/>
  <c r="AQ38" i="53"/>
  <c r="AG41" i="53"/>
  <c r="CA43" i="53"/>
  <c r="BZ43" i="53" s="1"/>
  <c r="AI47" i="53"/>
  <c r="AH47" i="53" s="1"/>
  <c r="I54" i="53"/>
  <c r="AB59" i="53"/>
  <c r="BN67" i="53"/>
  <c r="AT90" i="53"/>
  <c r="AT106" i="53"/>
  <c r="Q136" i="53"/>
  <c r="CE45" i="53"/>
  <c r="CK36" i="53"/>
  <c r="AG7" i="53"/>
  <c r="CT55" i="53"/>
  <c r="H46" i="53"/>
  <c r="CO73" i="53"/>
  <c r="D101" i="53"/>
  <c r="BU19" i="53"/>
  <c r="BI57" i="53"/>
  <c r="E8" i="53"/>
  <c r="BK67" i="53"/>
  <c r="BU15" i="53"/>
  <c r="H8" i="53"/>
  <c r="AM9" i="53"/>
  <c r="AZ10" i="53"/>
  <c r="BY11" i="53"/>
  <c r="G13" i="53"/>
  <c r="AK14" i="53"/>
  <c r="AJ14" i="53" s="1"/>
  <c r="BV15" i="53"/>
  <c r="CI16" i="53"/>
  <c r="AX18" i="53"/>
  <c r="S22" i="53"/>
  <c r="CX23" i="53"/>
  <c r="CQ25" i="53"/>
  <c r="P28" i="53"/>
  <c r="CH30" i="53"/>
  <c r="BK33" i="53"/>
  <c r="AR38" i="53"/>
  <c r="AI41" i="53"/>
  <c r="AH41" i="53" s="1"/>
  <c r="CG43" i="53"/>
  <c r="AK47" i="53"/>
  <c r="AJ47" i="53" s="1"/>
  <c r="N54" i="53"/>
  <c r="AC59" i="53"/>
  <c r="BP67" i="53"/>
  <c r="AV90" i="53"/>
  <c r="CN106" i="53"/>
  <c r="S136" i="53"/>
  <c r="CO9" i="53"/>
  <c r="AV93" i="53"/>
  <c r="CN45" i="53"/>
  <c r="DA22" i="53"/>
  <c r="BV39" i="53"/>
  <c r="BN7" i="53"/>
  <c r="AI121" i="53"/>
  <c r="AH121" i="53" s="1"/>
  <c r="CV8" i="53"/>
  <c r="CU8" i="53" s="1"/>
  <c r="CP73" i="53"/>
  <c r="AR23" i="53"/>
  <c r="AP23" i="53" s="1"/>
  <c r="AE47" i="53"/>
  <c r="AR106" i="53"/>
  <c r="AI14" i="53"/>
  <c r="AH14" i="53" s="1"/>
  <c r="I8" i="53"/>
  <c r="AN9" i="53"/>
  <c r="BT10" i="53"/>
  <c r="CA11" i="53"/>
  <c r="BZ11" i="53" s="1"/>
  <c r="H13" i="53"/>
  <c r="AM14" i="53"/>
  <c r="BW15" i="53"/>
  <c r="Q17" i="53"/>
  <c r="AY18" i="53"/>
  <c r="T22" i="53"/>
  <c r="CY23" i="53"/>
  <c r="CR25" i="53"/>
  <c r="BJ28" i="53"/>
  <c r="CI30" i="53"/>
  <c r="BN33" i="53"/>
  <c r="BI38" i="53"/>
  <c r="AK41" i="53"/>
  <c r="AJ41" i="53" s="1"/>
  <c r="AY44" i="53"/>
  <c r="AM47" i="53"/>
  <c r="O54" i="53"/>
  <c r="AD59" i="53"/>
  <c r="BS67" i="53"/>
  <c r="AW90" i="53"/>
  <c r="CZ106" i="53"/>
  <c r="T136" i="53"/>
  <c r="BD39" i="53"/>
  <c r="CA52" i="53"/>
  <c r="BZ52" i="53" s="1"/>
  <c r="P72" i="53"/>
  <c r="AT37" i="53"/>
  <c r="AQ42" i="53"/>
  <c r="S25" i="53"/>
  <c r="CN52" i="53"/>
  <c r="CH37" i="53"/>
  <c r="AR131" i="53"/>
  <c r="AW18" i="53"/>
  <c r="K8" i="53"/>
  <c r="AO9" i="53"/>
  <c r="CE10" i="53"/>
  <c r="CG11" i="53"/>
  <c r="I13" i="53"/>
  <c r="AN14" i="53"/>
  <c r="BX15" i="53"/>
  <c r="R17" i="53"/>
  <c r="BD18" i="53"/>
  <c r="U22" i="53"/>
  <c r="H24" i="53"/>
  <c r="CS25" i="53"/>
  <c r="BK28" i="53"/>
  <c r="CX30" i="53"/>
  <c r="BQ33" i="53"/>
  <c r="BJ38" i="53"/>
  <c r="AM41" i="53"/>
  <c r="BI44" i="53"/>
  <c r="BJ47" i="53"/>
  <c r="P54" i="53"/>
  <c r="AE59" i="53"/>
  <c r="CF67" i="53"/>
  <c r="AY90" i="53"/>
  <c r="R107" i="53"/>
  <c r="CJ26" i="53"/>
  <c r="BB12" i="53"/>
  <c r="BQ29" i="53"/>
  <c r="AO42" i="53"/>
  <c r="CH52" i="53"/>
  <c r="AQ40" i="53"/>
  <c r="D245" i="53"/>
  <c r="CJ245" i="53"/>
  <c r="BC245" i="53"/>
  <c r="T245" i="53"/>
  <c r="BE244" i="53"/>
  <c r="CP243" i="53"/>
  <c r="BH243" i="53"/>
  <c r="Z243" i="53"/>
  <c r="CT242" i="53"/>
  <c r="BM242" i="53"/>
  <c r="AD242" i="53"/>
  <c r="CY241" i="53"/>
  <c r="BP241" i="53"/>
  <c r="AG241" i="53"/>
  <c r="DB240" i="53"/>
  <c r="BT240" i="53"/>
  <c r="AM240" i="53"/>
  <c r="F240" i="53"/>
  <c r="BX239" i="53"/>
  <c r="AR239" i="53"/>
  <c r="L239" i="53"/>
  <c r="CF238" i="53"/>
  <c r="AY238" i="53"/>
  <c r="R238" i="53"/>
  <c r="CK237" i="53"/>
  <c r="BD237" i="53"/>
  <c r="CP236" i="53"/>
  <c r="BI236" i="53"/>
  <c r="AA236" i="53"/>
  <c r="BN235" i="53"/>
  <c r="AG235" i="53"/>
  <c r="DB234" i="53"/>
  <c r="BV234" i="53"/>
  <c r="AO234" i="53"/>
  <c r="I234" i="53"/>
  <c r="CC233" i="53"/>
  <c r="CB233" i="53" s="1"/>
  <c r="D72" i="53"/>
  <c r="CI245" i="53"/>
  <c r="BB245" i="53"/>
  <c r="S245" i="53"/>
  <c r="CK244" i="53"/>
  <c r="BD244" i="53"/>
  <c r="U244" i="53"/>
  <c r="CO243" i="53"/>
  <c r="BY245" i="53"/>
  <c r="AS245" i="53"/>
  <c r="L245" i="53"/>
  <c r="CC244" i="53"/>
  <c r="CB244" i="53" s="1"/>
  <c r="AV244" i="53"/>
  <c r="N244" i="53"/>
  <c r="CG243" i="53"/>
  <c r="AY243" i="53"/>
  <c r="Q243" i="53"/>
  <c r="CK242" i="53"/>
  <c r="BD242" i="53"/>
  <c r="U242" i="53"/>
  <c r="CO241" i="53"/>
  <c r="BG241" i="53"/>
  <c r="X241" i="53"/>
  <c r="CR240" i="53"/>
  <c r="BJ240" i="53"/>
  <c r="AB240" i="53"/>
  <c r="CV239" i="53"/>
  <c r="CU239" i="53" s="1"/>
  <c r="BO239" i="53"/>
  <c r="AF239" i="53"/>
  <c r="BV238" i="53"/>
  <c r="AO238" i="53"/>
  <c r="I238" i="53"/>
  <c r="CA237" i="53"/>
  <c r="BZ237" i="53" s="1"/>
  <c r="AT237" i="53"/>
  <c r="N237" i="53"/>
  <c r="CG236" i="53"/>
  <c r="AZ236" i="53"/>
  <c r="R236" i="53"/>
  <c r="BE235" i="53"/>
  <c r="X235" i="53"/>
  <c r="BM234" i="53"/>
  <c r="AE234" i="53"/>
  <c r="CZ233" i="53"/>
  <c r="BS233" i="53"/>
  <c r="AK233" i="53"/>
  <c r="AJ233" i="53" s="1"/>
  <c r="F233" i="53"/>
  <c r="BW232" i="53"/>
  <c r="AQ232" i="53"/>
  <c r="I232" i="53"/>
  <c r="CC231" i="53"/>
  <c r="CB231" i="53" s="1"/>
  <c r="AV231" i="53"/>
  <c r="N231" i="53"/>
  <c r="CH230" i="53"/>
  <c r="BB230" i="53"/>
  <c r="T230" i="53"/>
  <c r="CO229" i="53"/>
  <c r="BH229" i="53"/>
  <c r="AA229" i="53"/>
  <c r="CT228" i="53"/>
  <c r="BN228" i="53"/>
  <c r="AG228" i="53"/>
  <c r="DB225" i="53"/>
  <c r="BT225" i="53"/>
  <c r="AM225" i="53"/>
  <c r="F225" i="53"/>
  <c r="BW224" i="53"/>
  <c r="AQ224" i="53"/>
  <c r="I224" i="53"/>
  <c r="CC222" i="53"/>
  <c r="CB222" i="53" s="1"/>
  <c r="AV222" i="53"/>
  <c r="N222" i="53"/>
  <c r="CG221" i="53"/>
  <c r="AZ221" i="53"/>
  <c r="R221" i="53"/>
  <c r="CK220" i="53"/>
  <c r="BD220" i="53"/>
  <c r="U220" i="53"/>
  <c r="CO219" i="53"/>
  <c r="DA245" i="53"/>
  <c r="CX245" i="53"/>
  <c r="BO245" i="53"/>
  <c r="AF245" i="53"/>
  <c r="CZ244" i="53"/>
  <c r="BQ244" i="53"/>
  <c r="AI244" i="53"/>
  <c r="AH244" i="53" s="1"/>
  <c r="D244" i="53"/>
  <c r="BU243" i="53"/>
  <c r="AN243" i="53"/>
  <c r="G243" i="53"/>
  <c r="BY242" i="53"/>
  <c r="AS242" i="53"/>
  <c r="L242" i="53"/>
  <c r="CE241" i="53"/>
  <c r="AW241" i="53"/>
  <c r="O241" i="53"/>
  <c r="CH240" i="53"/>
  <c r="AZ240" i="53"/>
  <c r="R240" i="53"/>
  <c r="CM239" i="53"/>
  <c r="BE239" i="53"/>
  <c r="W239" i="53"/>
  <c r="BK238" i="53"/>
  <c r="AD238" i="53"/>
  <c r="CY237" i="53"/>
  <c r="BP237" i="53"/>
  <c r="AI237" i="53"/>
  <c r="AH237" i="53" s="1"/>
  <c r="D237" i="53"/>
  <c r="BV236" i="53"/>
  <c r="AO236" i="53"/>
  <c r="H236" i="53"/>
  <c r="CA235" i="53"/>
  <c r="BZ235" i="53" s="1"/>
  <c r="AV235" i="53"/>
  <c r="O235" i="53"/>
  <c r="CH234" i="53"/>
  <c r="BC234" i="53"/>
  <c r="U234" i="53"/>
  <c r="CO233" i="53"/>
  <c r="BH233" i="53"/>
  <c r="AA233" i="53"/>
  <c r="CT232" i="53"/>
  <c r="BM232" i="53"/>
  <c r="AD232" i="53"/>
  <c r="CY231" i="53"/>
  <c r="BQ231" i="53"/>
  <c r="AI231" i="53"/>
  <c r="AH231" i="53" s="1"/>
  <c r="D231" i="53"/>
  <c r="BW230" i="53"/>
  <c r="AQ230" i="53"/>
  <c r="BS245" i="53"/>
  <c r="AD245" i="53"/>
  <c r="BF244" i="53"/>
  <c r="Q244" i="53"/>
  <c r="CE243" i="53"/>
  <c r="AS243" i="53"/>
  <c r="H243" i="53"/>
  <c r="BV242" i="53"/>
  <c r="AK242" i="53"/>
  <c r="AJ242" i="53" s="1"/>
  <c r="DA241" i="53"/>
  <c r="BN241" i="53"/>
  <c r="AB241" i="53"/>
  <c r="CQ240" i="53"/>
  <c r="BF240" i="53"/>
  <c r="T240" i="53"/>
  <c r="CJ239" i="53"/>
  <c r="AY239" i="53"/>
  <c r="O239" i="53"/>
  <c r="CE238" i="53"/>
  <c r="BQ245" i="53"/>
  <c r="AC245" i="53"/>
  <c r="CQ244" i="53"/>
  <c r="BC244" i="53"/>
  <c r="P244" i="53"/>
  <c r="CC243" i="53"/>
  <c r="CB243" i="53" s="1"/>
  <c r="AR243" i="53"/>
  <c r="F243" i="53"/>
  <c r="BU242" i="53"/>
  <c r="AI242" i="53"/>
  <c r="AH242" i="53" s="1"/>
  <c r="CZ241" i="53"/>
  <c r="BM241" i="53"/>
  <c r="AA241" i="53"/>
  <c r="CP240" i="53"/>
  <c r="BE240" i="53"/>
  <c r="S240" i="53"/>
  <c r="BP245" i="53"/>
  <c r="AB245" i="53"/>
  <c r="CP244" i="53"/>
  <c r="BB244" i="53"/>
  <c r="O244" i="53"/>
  <c r="CA243" i="53"/>
  <c r="BZ243" i="53" s="1"/>
  <c r="AQ243" i="53"/>
  <c r="E243" i="53"/>
  <c r="BT242" i="53"/>
  <c r="AG242" i="53"/>
  <c r="CX241" i="53"/>
  <c r="BK241" i="53"/>
  <c r="Z241" i="53"/>
  <c r="CO240" i="53"/>
  <c r="BD240" i="53"/>
  <c r="Q240" i="53"/>
  <c r="BN245" i="53"/>
  <c r="AA245" i="53"/>
  <c r="CO244" i="53"/>
  <c r="AZ244" i="53"/>
  <c r="M244" i="53"/>
  <c r="BY243" i="53"/>
  <c r="AO243" i="53"/>
  <c r="D243" i="53"/>
  <c r="BS242" i="53"/>
  <c r="AF242" i="53"/>
  <c r="CV241" i="53"/>
  <c r="CU241" i="53" s="1"/>
  <c r="BJ241" i="53"/>
  <c r="W241" i="53"/>
  <c r="CN240" i="53"/>
  <c r="BC240" i="53"/>
  <c r="P240" i="53"/>
  <c r="CG239" i="53"/>
  <c r="AV239" i="53"/>
  <c r="K239" i="53"/>
  <c r="CA238" i="53"/>
  <c r="BZ238" i="53" s="1"/>
  <c r="AQ238" i="53"/>
  <c r="F238" i="53"/>
  <c r="BT237" i="53"/>
  <c r="AG237" i="53"/>
  <c r="CY236" i="53"/>
  <c r="BN236" i="53"/>
  <c r="AB236" i="53"/>
  <c r="BG235" i="53"/>
  <c r="BD234" i="53"/>
  <c r="R234" i="53"/>
  <c r="CH233" i="53"/>
  <c r="AX233" i="53"/>
  <c r="O233" i="53"/>
  <c r="CF232" i="53"/>
  <c r="AV232" i="53"/>
  <c r="L232" i="53"/>
  <c r="CA231" i="53"/>
  <c r="BZ231" i="53" s="1"/>
  <c r="AR231" i="53"/>
  <c r="H231" i="53"/>
  <c r="BY230" i="53"/>
  <c r="AO230" i="53"/>
  <c r="H230" i="53"/>
  <c r="AS229" i="53"/>
  <c r="L229" i="53"/>
  <c r="CC228" i="53"/>
  <c r="CB228" i="53" s="1"/>
  <c r="AV228" i="53"/>
  <c r="O228" i="53"/>
  <c r="CG225" i="53"/>
  <c r="AX225" i="53"/>
  <c r="O225" i="53"/>
  <c r="CG224" i="53"/>
  <c r="AX224" i="53"/>
  <c r="O224" i="53"/>
  <c r="CH222" i="53"/>
  <c r="AY222" i="53"/>
  <c r="P222" i="53"/>
  <c r="CH221" i="53"/>
  <c r="AY221" i="53"/>
  <c r="P221" i="53"/>
  <c r="CH220" i="53"/>
  <c r="AY220" i="53"/>
  <c r="P220" i="53"/>
  <c r="CH219" i="53"/>
  <c r="AZ219" i="53"/>
  <c r="S219" i="53"/>
  <c r="BE218" i="53"/>
  <c r="W218" i="53"/>
  <c r="CQ217" i="53"/>
  <c r="BI217" i="53"/>
  <c r="AB217" i="53"/>
  <c r="CO245" i="53"/>
  <c r="AZ245" i="53"/>
  <c r="N245" i="53"/>
  <c r="BX244" i="53"/>
  <c r="AM244" i="53"/>
  <c r="CZ243" i="53"/>
  <c r="BM243" i="53"/>
  <c r="AA243" i="53"/>
  <c r="CQ242" i="53"/>
  <c r="BF242" i="53"/>
  <c r="S242" i="53"/>
  <c r="CI241" i="53"/>
  <c r="AX241" i="53"/>
  <c r="L241" i="53"/>
  <c r="BY240" i="53"/>
  <c r="AO240" i="53"/>
  <c r="D240" i="53"/>
  <c r="BS239" i="53"/>
  <c r="AE239" i="53"/>
  <c r="CY238" i="53"/>
  <c r="BN238" i="53"/>
  <c r="AB238" i="53"/>
  <c r="BG237" i="53"/>
  <c r="U237" i="53"/>
  <c r="CK236" i="53"/>
  <c r="BB236" i="53"/>
  <c r="O236" i="53"/>
  <c r="CF235" i="53"/>
  <c r="AT235" i="53"/>
  <c r="AQ234" i="53"/>
  <c r="F234" i="53"/>
  <c r="BU233" i="53"/>
  <c r="AI233" i="53"/>
  <c r="AH233" i="53" s="1"/>
  <c r="DB232" i="53"/>
  <c r="CA245" i="53"/>
  <c r="BZ245" i="53" s="1"/>
  <c r="AE245" i="53"/>
  <c r="CG244" i="53"/>
  <c r="AK244" i="53"/>
  <c r="AJ244" i="53" s="1"/>
  <c r="AX243" i="53"/>
  <c r="DA242" i="53"/>
  <c r="BI242" i="53"/>
  <c r="P242" i="53"/>
  <c r="BW241" i="53"/>
  <c r="AD241" i="53"/>
  <c r="CI240" i="53"/>
  <c r="AQ240" i="53"/>
  <c r="CX239" i="53"/>
  <c r="BH239" i="53"/>
  <c r="S239" i="53"/>
  <c r="CG238" i="53"/>
  <c r="AR238" i="53"/>
  <c r="D238" i="53"/>
  <c r="BN237" i="53"/>
  <c r="AA237" i="53"/>
  <c r="CN236" i="53"/>
  <c r="AY236" i="53"/>
  <c r="L236" i="53"/>
  <c r="BW235" i="53"/>
  <c r="AK235" i="53"/>
  <c r="AJ235" i="53" s="1"/>
  <c r="CY234" i="53"/>
  <c r="BK234" i="53"/>
  <c r="X234" i="53"/>
  <c r="CK233" i="53"/>
  <c r="AY233" i="53"/>
  <c r="M233" i="53"/>
  <c r="BY232" i="53"/>
  <c r="AN232" i="53"/>
  <c r="D232" i="53"/>
  <c r="BS231" i="53"/>
  <c r="AE231" i="53"/>
  <c r="BM230" i="53"/>
  <c r="AB230" i="53"/>
  <c r="CT229" i="53"/>
  <c r="BK229" i="53"/>
  <c r="AB229" i="53"/>
  <c r="CR228" i="53"/>
  <c r="BI228" i="53"/>
  <c r="AA228" i="53"/>
  <c r="CR225" i="53"/>
  <c r="BH225" i="53"/>
  <c r="W225" i="53"/>
  <c r="CO224" i="53"/>
  <c r="BE224" i="53"/>
  <c r="T224" i="53"/>
  <c r="BC222" i="53"/>
  <c r="R222" i="53"/>
  <c r="CI221" i="53"/>
  <c r="AX221" i="53"/>
  <c r="N221" i="53"/>
  <c r="CE220" i="53"/>
  <c r="AT220" i="53"/>
  <c r="BY219" i="53"/>
  <c r="AR219" i="53"/>
  <c r="K219" i="53"/>
  <c r="CA218" i="53"/>
  <c r="BZ218" i="53" s="1"/>
  <c r="AT218" i="53"/>
  <c r="L218" i="53"/>
  <c r="CC217" i="53"/>
  <c r="CB217" i="53" s="1"/>
  <c r="AT217" i="53"/>
  <c r="N217" i="53"/>
  <c r="CG216" i="53"/>
  <c r="AY216" i="53"/>
  <c r="Q216" i="53"/>
  <c r="CJ215" i="53"/>
  <c r="BC215" i="53"/>
  <c r="U215" i="53"/>
  <c r="CQ214" i="53"/>
  <c r="BX245" i="53"/>
  <c r="Z245" i="53"/>
  <c r="CF244" i="53"/>
  <c r="BW245" i="53"/>
  <c r="BV245" i="53"/>
  <c r="W245" i="53"/>
  <c r="CA244" i="53"/>
  <c r="BZ244" i="53" s="1"/>
  <c r="AE244" i="53"/>
  <c r="AT243" i="53"/>
  <c r="CX242" i="53"/>
  <c r="BE242" i="53"/>
  <c r="M242" i="53"/>
  <c r="BT241" i="53"/>
  <c r="U241" i="53"/>
  <c r="CE240" i="53"/>
  <c r="AI240" i="53"/>
  <c r="AH240" i="53" s="1"/>
  <c r="CS239" i="53"/>
  <c r="BD239" i="53"/>
  <c r="P239" i="53"/>
  <c r="BY238" i="53"/>
  <c r="AK238" i="53"/>
  <c r="AJ238" i="53" s="1"/>
  <c r="CZ237" i="53"/>
  <c r="BJ237" i="53"/>
  <c r="W237" i="53"/>
  <c r="CI236" i="53"/>
  <c r="AV236" i="53"/>
  <c r="G236" i="53"/>
  <c r="BT235" i="53"/>
  <c r="AF235" i="53"/>
  <c r="CT234" i="53"/>
  <c r="BH234" i="53"/>
  <c r="T234" i="53"/>
  <c r="CG233" i="53"/>
  <c r="AT233" i="53"/>
  <c r="I233" i="53"/>
  <c r="BU232" i="53"/>
  <c r="AI232" i="53"/>
  <c r="AH232" i="53" s="1"/>
  <c r="CZ231" i="53"/>
  <c r="BN231" i="53"/>
  <c r="AB231" i="53"/>
  <c r="CS230" i="53"/>
  <c r="BI230" i="53"/>
  <c r="X230" i="53"/>
  <c r="CQ229" i="53"/>
  <c r="BG229" i="53"/>
  <c r="W229" i="53"/>
  <c r="CO228" i="53"/>
  <c r="BF228" i="53"/>
  <c r="W228" i="53"/>
  <c r="CO225" i="53"/>
  <c r="BE225" i="53"/>
  <c r="T225" i="53"/>
  <c r="CK224" i="53"/>
  <c r="BB224" i="53"/>
  <c r="Q224" i="53"/>
  <c r="CI222" i="53"/>
  <c r="AX222" i="53"/>
  <c r="M222" i="53"/>
  <c r="CC221" i="53"/>
  <c r="CB221" i="53" s="1"/>
  <c r="AT221" i="53"/>
  <c r="BY220" i="53"/>
  <c r="AQ220" i="53"/>
  <c r="G220" i="53"/>
  <c r="BV219" i="53"/>
  <c r="AN219" i="53"/>
  <c r="G219" i="53"/>
  <c r="BW218" i="53"/>
  <c r="AQ218" i="53"/>
  <c r="H218" i="53"/>
  <c r="BX217" i="53"/>
  <c r="AQ217" i="53"/>
  <c r="CC216" i="53"/>
  <c r="CB216" i="53" s="1"/>
  <c r="AV216" i="53"/>
  <c r="N216" i="53"/>
  <c r="CG215" i="53"/>
  <c r="AY215" i="53"/>
  <c r="R215" i="53"/>
  <c r="CN214" i="53"/>
  <c r="BU245" i="53"/>
  <c r="V245" i="53"/>
  <c r="BT245" i="53"/>
  <c r="U245" i="53"/>
  <c r="BW244" i="53"/>
  <c r="AC244" i="53"/>
  <c r="CJ243" i="53"/>
  <c r="AK243" i="53"/>
  <c r="AJ243" i="53" s="1"/>
  <c r="BB242" i="53"/>
  <c r="I242" i="53"/>
  <c r="BQ241" i="53"/>
  <c r="S241" i="53"/>
  <c r="CA240" i="53"/>
  <c r="BZ240" i="53" s="1"/>
  <c r="AF240" i="53"/>
  <c r="CQ239" i="53"/>
  <c r="BB239" i="53"/>
  <c r="M239" i="53"/>
  <c r="BW238" i="53"/>
  <c r="AI238" i="53"/>
  <c r="AH238" i="53" s="1"/>
  <c r="CV237" i="53"/>
  <c r="CU237" i="53" s="1"/>
  <c r="BH237" i="53"/>
  <c r="S237" i="53"/>
  <c r="CF236" i="53"/>
  <c r="AS236" i="53"/>
  <c r="E236" i="53"/>
  <c r="BQ235" i="53"/>
  <c r="AD235" i="53"/>
  <c r="CQ234" i="53"/>
  <c r="BF234" i="53"/>
  <c r="Q234" i="53"/>
  <c r="CE233" i="53"/>
  <c r="AR233" i="53"/>
  <c r="G233" i="53"/>
  <c r="BS232" i="53"/>
  <c r="AF232" i="53"/>
  <c r="BK231" i="53"/>
  <c r="Z231" i="53"/>
  <c r="CQ230" i="53"/>
  <c r="BG230" i="53"/>
  <c r="V230" i="53"/>
  <c r="CN229" i="53"/>
  <c r="BE229" i="53"/>
  <c r="U229" i="53"/>
  <c r="CM228" i="53"/>
  <c r="BD228" i="53"/>
  <c r="U228" i="53"/>
  <c r="CM225" i="53"/>
  <c r="BC225" i="53"/>
  <c r="R225" i="53"/>
  <c r="CI224" i="53"/>
  <c r="AY224" i="53"/>
  <c r="N224" i="53"/>
  <c r="CF222" i="53"/>
  <c r="AT222" i="53"/>
  <c r="CA221" i="53"/>
  <c r="BZ221" i="53" s="1"/>
  <c r="AR221" i="53"/>
  <c r="H221" i="53"/>
  <c r="BW220" i="53"/>
  <c r="AN220" i="53"/>
  <c r="E220" i="53"/>
  <c r="BT219" i="53"/>
  <c r="AK219" i="53"/>
  <c r="AJ219" i="53" s="1"/>
  <c r="E219" i="53"/>
  <c r="BU218" i="53"/>
  <c r="AN218" i="53"/>
  <c r="F218" i="53"/>
  <c r="BV217" i="53"/>
  <c r="AN217" i="53"/>
  <c r="H217" i="53"/>
  <c r="BY216" i="53"/>
  <c r="AS216" i="53"/>
  <c r="L216" i="53"/>
  <c r="CE215" i="53"/>
  <c r="AW215" i="53"/>
  <c r="P215" i="53"/>
  <c r="CK214" i="53"/>
  <c r="BM245" i="53"/>
  <c r="R245" i="53"/>
  <c r="BV244" i="53"/>
  <c r="AB244" i="53"/>
  <c r="CI243" i="53"/>
  <c r="AI243" i="53"/>
  <c r="AH243" i="53" s="1"/>
  <c r="CS242" i="53"/>
  <c r="AZ242" i="53"/>
  <c r="H242" i="53"/>
  <c r="BO241" i="53"/>
  <c r="R241" i="53"/>
  <c r="BX240" i="53"/>
  <c r="AE240" i="53"/>
  <c r="CP239" i="53"/>
  <c r="AZ239" i="53"/>
  <c r="I239" i="53"/>
  <c r="BU238" i="53"/>
  <c r="AG238" i="53"/>
  <c r="CT237" i="53"/>
  <c r="BF237" i="53"/>
  <c r="R237" i="53"/>
  <c r="CE236" i="53"/>
  <c r="AR236" i="53"/>
  <c r="D236" i="53"/>
  <c r="BP235" i="53"/>
  <c r="AC235" i="53"/>
  <c r="CP234" i="53"/>
  <c r="BE234" i="53"/>
  <c r="P234" i="53"/>
  <c r="AQ233" i="53"/>
  <c r="E233" i="53"/>
  <c r="BQ232" i="53"/>
  <c r="AE232" i="53"/>
  <c r="CV231" i="53"/>
  <c r="CU231" i="53" s="1"/>
  <c r="BJ231" i="53"/>
  <c r="X231" i="53"/>
  <c r="CP230" i="53"/>
  <c r="BF230" i="53"/>
  <c r="U230" i="53"/>
  <c r="BD229" i="53"/>
  <c r="T229" i="53"/>
  <c r="CK228" i="53"/>
  <c r="BC228" i="53"/>
  <c r="T228" i="53"/>
  <c r="CK225" i="53"/>
  <c r="BB225" i="53"/>
  <c r="Q225" i="53"/>
  <c r="CH224" i="53"/>
  <c r="AW224" i="53"/>
  <c r="M224" i="53"/>
  <c r="CE222" i="53"/>
  <c r="AS222" i="53"/>
  <c r="I222" i="53"/>
  <c r="BY221" i="53"/>
  <c r="AQ221" i="53"/>
  <c r="G221" i="53"/>
  <c r="BV220" i="53"/>
  <c r="AM220" i="53"/>
  <c r="D220" i="53"/>
  <c r="BS219" i="53"/>
  <c r="D219" i="53"/>
  <c r="BT218" i="53"/>
  <c r="CR245" i="53"/>
  <c r="AW245" i="53"/>
  <c r="DB244" i="53"/>
  <c r="BH244" i="53"/>
  <c r="H244" i="53"/>
  <c r="BN243" i="53"/>
  <c r="T243" i="53"/>
  <c r="CE242" i="53"/>
  <c r="AE242" i="53"/>
  <c r="CN241" i="53"/>
  <c r="AT241" i="53"/>
  <c r="D241" i="53"/>
  <c r="BI240" i="53"/>
  <c r="M240" i="53"/>
  <c r="BW239" i="53"/>
  <c r="AG239" i="53"/>
  <c r="CT238" i="53"/>
  <c r="BF238" i="53"/>
  <c r="S238" i="53"/>
  <c r="CF237" i="53"/>
  <c r="AQ237" i="53"/>
  <c r="E237" i="53"/>
  <c r="BP236" i="53"/>
  <c r="Z236" i="53"/>
  <c r="CO235" i="53"/>
  <c r="N235" i="53"/>
  <c r="CA234" i="53"/>
  <c r="BZ234" i="53" s="1"/>
  <c r="AM234" i="53"/>
  <c r="DA233" i="53"/>
  <c r="BM233" i="53"/>
  <c r="Z233" i="53"/>
  <c r="CO232" i="53"/>
  <c r="AY245" i="53"/>
  <c r="CS244" i="53"/>
  <c r="AF244" i="53"/>
  <c r="BW243" i="53"/>
  <c r="BW242" i="53"/>
  <c r="R242" i="53"/>
  <c r="BI241" i="53"/>
  <c r="I241" i="53"/>
  <c r="BH240" i="53"/>
  <c r="E240" i="53"/>
  <c r="BG239" i="53"/>
  <c r="F239" i="53"/>
  <c r="BI238" i="53"/>
  <c r="O238" i="53"/>
  <c r="BS237" i="53"/>
  <c r="T237" i="53"/>
  <c r="BX236" i="53"/>
  <c r="AC236" i="53"/>
  <c r="CH235" i="53"/>
  <c r="AM235" i="53"/>
  <c r="CN234" i="53"/>
  <c r="AT234" i="53"/>
  <c r="CX233" i="53"/>
  <c r="BD233" i="53"/>
  <c r="K233" i="53"/>
  <c r="BK232" i="53"/>
  <c r="U232" i="53"/>
  <c r="CH231" i="53"/>
  <c r="AO231" i="53"/>
  <c r="CY230" i="53"/>
  <c r="BH230" i="53"/>
  <c r="P230" i="53"/>
  <c r="CC229" i="53"/>
  <c r="CB229" i="53" s="1"/>
  <c r="AN229" i="53"/>
  <c r="DA228" i="53"/>
  <c r="BK228" i="53"/>
  <c r="V228" i="53"/>
  <c r="CF225" i="53"/>
  <c r="AQ225" i="53"/>
  <c r="DA224" i="53"/>
  <c r="BK224" i="53"/>
  <c r="CG222" i="53"/>
  <c r="AN222" i="53"/>
  <c r="CZ221" i="53"/>
  <c r="BK221" i="53"/>
  <c r="CG220" i="53"/>
  <c r="AO220" i="53"/>
  <c r="CY219" i="53"/>
  <c r="BI219" i="53"/>
  <c r="V219" i="53"/>
  <c r="CI218" i="53"/>
  <c r="AW218" i="53"/>
  <c r="I218" i="53"/>
  <c r="BT217" i="53"/>
  <c r="AG217" i="53"/>
  <c r="CY216" i="53"/>
  <c r="BM216" i="53"/>
  <c r="AA216" i="53"/>
  <c r="CQ215" i="53"/>
  <c r="BF215" i="53"/>
  <c r="T215" i="53"/>
  <c r="CJ214" i="53"/>
  <c r="BD214" i="53"/>
  <c r="V214" i="53"/>
  <c r="CP213" i="53"/>
  <c r="BH213" i="53"/>
  <c r="Z213" i="53"/>
  <c r="CT212" i="53"/>
  <c r="BM212" i="53"/>
  <c r="AE212" i="53"/>
  <c r="CZ211" i="53"/>
  <c r="BS211" i="53"/>
  <c r="AK211" i="53"/>
  <c r="AJ211" i="53" s="1"/>
  <c r="E211" i="53"/>
  <c r="BW210" i="53"/>
  <c r="AQ210" i="53"/>
  <c r="AT245" i="53"/>
  <c r="CI244" i="53"/>
  <c r="Z244" i="53"/>
  <c r="BS243" i="53"/>
  <c r="R243" i="53"/>
  <c r="BO242" i="53"/>
  <c r="N242" i="53"/>
  <c r="BE241" i="53"/>
  <c r="F241" i="53"/>
  <c r="AY240" i="53"/>
  <c r="CZ239" i="53"/>
  <c r="AX239" i="53"/>
  <c r="DB238" i="53"/>
  <c r="BE238" i="53"/>
  <c r="L238" i="53"/>
  <c r="BM237" i="53"/>
  <c r="O237" i="53"/>
  <c r="BT236" i="53"/>
  <c r="CC235" i="53"/>
  <c r="CB235" i="53" s="1"/>
  <c r="AE235" i="53"/>
  <c r="CI234" i="53"/>
  <c r="AN234" i="53"/>
  <c r="CS233" i="53"/>
  <c r="AZ233" i="53"/>
  <c r="DA232" i="53"/>
  <c r="BH232" i="53"/>
  <c r="R232" i="53"/>
  <c r="CE231" i="53"/>
  <c r="AK231" i="53"/>
  <c r="AJ231" i="53" s="1"/>
  <c r="CT230" i="53"/>
  <c r="BC230" i="53"/>
  <c r="M230" i="53"/>
  <c r="BX229" i="53"/>
  <c r="AI229" i="53"/>
  <c r="AH229" i="53" s="1"/>
  <c r="CX228" i="53"/>
  <c r="BG228" i="53"/>
  <c r="Q228" i="53"/>
  <c r="CA225" i="53"/>
  <c r="BZ225" i="53" s="1"/>
  <c r="AK225" i="53"/>
  <c r="AJ225" i="53" s="1"/>
  <c r="CX224" i="53"/>
  <c r="BH224" i="53"/>
  <c r="R224" i="53"/>
  <c r="BX222" i="53"/>
  <c r="AI222" i="53"/>
  <c r="AH222" i="53" s="1"/>
  <c r="CV221" i="53"/>
  <c r="CU221" i="53" s="1"/>
  <c r="BH221" i="53"/>
  <c r="S221" i="53"/>
  <c r="CA220" i="53"/>
  <c r="BZ220" i="53" s="1"/>
  <c r="AG220" i="53"/>
  <c r="CT219" i="53"/>
  <c r="BF219" i="53"/>
  <c r="R219" i="53"/>
  <c r="CF218" i="53"/>
  <c r="AR218" i="53"/>
  <c r="D218" i="53"/>
  <c r="BP217" i="53"/>
  <c r="AD217" i="53"/>
  <c r="CT216" i="53"/>
  <c r="BI216" i="53"/>
  <c r="W216" i="53"/>
  <c r="CN215" i="53"/>
  <c r="BB215" i="53"/>
  <c r="O215" i="53"/>
  <c r="CG214" i="53"/>
  <c r="AZ214" i="53"/>
  <c r="S214" i="53"/>
  <c r="BE213" i="53"/>
  <c r="CQ212" i="53"/>
  <c r="BI212" i="53"/>
  <c r="CZ245" i="53"/>
  <c r="AQ245" i="53"/>
  <c r="CE244" i="53"/>
  <c r="W244" i="53"/>
  <c r="BP243" i="53"/>
  <c r="O243" i="53"/>
  <c r="BK242" i="53"/>
  <c r="G242" i="53"/>
  <c r="BC241" i="53"/>
  <c r="DA240" i="53"/>
  <c r="AW240" i="53"/>
  <c r="AT239" i="53"/>
  <c r="CZ238" i="53"/>
  <c r="BC238" i="53"/>
  <c r="H238" i="53"/>
  <c r="BI237" i="53"/>
  <c r="L237" i="53"/>
  <c r="BQ236" i="53"/>
  <c r="T236" i="53"/>
  <c r="BX235" i="53"/>
  <c r="AA235" i="53"/>
  <c r="CF234" i="53"/>
  <c r="AK234" i="53"/>
  <c r="AJ234" i="53" s="1"/>
  <c r="CQ233" i="53"/>
  <c r="AV233" i="53"/>
  <c r="CY232" i="53"/>
  <c r="BF232" i="53"/>
  <c r="P232" i="53"/>
  <c r="BX231" i="53"/>
  <c r="AF231" i="53"/>
  <c r="CO230" i="53"/>
  <c r="AY230" i="53"/>
  <c r="K230" i="53"/>
  <c r="BV229" i="53"/>
  <c r="AG229" i="53"/>
  <c r="CS228" i="53"/>
  <c r="BB228" i="53"/>
  <c r="N228" i="53"/>
  <c r="BX225" i="53"/>
  <c r="AG225" i="53"/>
  <c r="CT224" i="53"/>
  <c r="BF224" i="53"/>
  <c r="L224" i="53"/>
  <c r="BV222" i="53"/>
  <c r="AF222" i="53"/>
  <c r="CS221" i="53"/>
  <c r="BF221" i="53"/>
  <c r="O221" i="53"/>
  <c r="BU220" i="53"/>
  <c r="AE220" i="53"/>
  <c r="CR219" i="53"/>
  <c r="BD219" i="53"/>
  <c r="P219" i="53"/>
  <c r="CC218" i="53"/>
  <c r="CB218" i="53" s="1"/>
  <c r="AM218" i="53"/>
  <c r="DA217" i="53"/>
  <c r="BN217" i="53"/>
  <c r="AA217" i="53"/>
  <c r="BG216" i="53"/>
  <c r="U216" i="53"/>
  <c r="CK215" i="53"/>
  <c r="AX215" i="53"/>
  <c r="M215" i="53"/>
  <c r="CE214" i="53"/>
  <c r="AX214" i="53"/>
  <c r="Q214" i="53"/>
  <c r="CJ213" i="53"/>
  <c r="BC213" i="53"/>
  <c r="T213" i="53"/>
  <c r="CY245" i="53"/>
  <c r="AO245" i="53"/>
  <c r="BY244" i="53"/>
  <c r="T244" i="53"/>
  <c r="BO243" i="53"/>
  <c r="N243" i="53"/>
  <c r="BJ242" i="53"/>
  <c r="F242" i="53"/>
  <c r="BB241" i="53"/>
  <c r="CZ240" i="53"/>
  <c r="AV240" i="53"/>
  <c r="CT239" i="53"/>
  <c r="AS239" i="53"/>
  <c r="CX238" i="53"/>
  <c r="CW238" i="53" s="1"/>
  <c r="BB238" i="53"/>
  <c r="G238" i="53"/>
  <c r="BE237" i="53"/>
  <c r="BO236" i="53"/>
  <c r="S236" i="53"/>
  <c r="BV235" i="53"/>
  <c r="Z235" i="53"/>
  <c r="CE234" i="53"/>
  <c r="AI234" i="53"/>
  <c r="AH234" i="53" s="1"/>
  <c r="CP233" i="53"/>
  <c r="AS233" i="53"/>
  <c r="CX232" i="53"/>
  <c r="BE232" i="53"/>
  <c r="O232" i="53"/>
  <c r="BW231" i="53"/>
  <c r="AD231" i="53"/>
  <c r="CN230" i="53"/>
  <c r="AX230" i="53"/>
  <c r="I230" i="53"/>
  <c r="BU229" i="53"/>
  <c r="AF229" i="53"/>
  <c r="CQ228" i="53"/>
  <c r="AZ228" i="53"/>
  <c r="M228" i="53"/>
  <c r="BW225" i="53"/>
  <c r="AF225" i="53"/>
  <c r="CS224" i="53"/>
  <c r="BD224" i="53"/>
  <c r="BU222" i="53"/>
  <c r="AE222" i="53"/>
  <c r="BE221" i="53"/>
  <c r="M221" i="53"/>
  <c r="BT220" i="53"/>
  <c r="AD220" i="53"/>
  <c r="CQ219" i="53"/>
  <c r="BC219" i="53"/>
  <c r="O219" i="53"/>
  <c r="BY218" i="53"/>
  <c r="AK218" i="53"/>
  <c r="AJ218" i="53" s="1"/>
  <c r="CZ217" i="53"/>
  <c r="BM217" i="53"/>
  <c r="Z217" i="53"/>
  <c r="CQ216" i="53"/>
  <c r="BF216" i="53"/>
  <c r="T216" i="53"/>
  <c r="CI215" i="53"/>
  <c r="AV215" i="53"/>
  <c r="L215" i="53"/>
  <c r="CQ245" i="53"/>
  <c r="AI245" i="53"/>
  <c r="AH245" i="53" s="1"/>
  <c r="BP244" i="53"/>
  <c r="CG245" i="53"/>
  <c r="M245" i="53"/>
  <c r="BI244" i="53"/>
  <c r="DA243" i="53"/>
  <c r="AZ243" i="53"/>
  <c r="CP242" i="53"/>
  <c r="AQ242" i="53"/>
  <c r="CK241" i="53"/>
  <c r="AK241" i="53"/>
  <c r="AJ241" i="53" s="1"/>
  <c r="CF240" i="53"/>
  <c r="Z240" i="53"/>
  <c r="CA239" i="53"/>
  <c r="BZ239" i="53" s="1"/>
  <c r="AA239" i="53"/>
  <c r="CI238" i="53"/>
  <c r="AF238" i="53"/>
  <c r="CT236" i="53"/>
  <c r="AX236" i="53"/>
  <c r="CZ235" i="53"/>
  <c r="BD235" i="53"/>
  <c r="I235" i="53"/>
  <c r="BP234" i="53"/>
  <c r="S234" i="53"/>
  <c r="BV233" i="53"/>
  <c r="AB233" i="53"/>
  <c r="DB245" i="53"/>
  <c r="Q245" i="53"/>
  <c r="AW244" i="53"/>
  <c r="CH243" i="53"/>
  <c r="P243" i="53"/>
  <c r="AX242" i="53"/>
  <c r="CJ241" i="53"/>
  <c r="T241" i="53"/>
  <c r="BK240" i="53"/>
  <c r="CO239" i="53"/>
  <c r="AD239" i="53"/>
  <c r="U238" i="53"/>
  <c r="BO237" i="53"/>
  <c r="F237" i="53"/>
  <c r="BC236" i="53"/>
  <c r="CS235" i="53"/>
  <c r="AO235" i="53"/>
  <c r="AA234" i="53"/>
  <c r="BQ233" i="53"/>
  <c r="R233" i="53"/>
  <c r="BN232" i="53"/>
  <c r="N232" i="53"/>
  <c r="BO231" i="53"/>
  <c r="Q231" i="53"/>
  <c r="BU230" i="53"/>
  <c r="Z230" i="53"/>
  <c r="CE229" i="53"/>
  <c r="AE229" i="53"/>
  <c r="CH228" i="53"/>
  <c r="AO228" i="53"/>
  <c r="CV225" i="53"/>
  <c r="CU225" i="53" s="1"/>
  <c r="AW225" i="53"/>
  <c r="DB224" i="53"/>
  <c r="BC224" i="53"/>
  <c r="D224" i="53"/>
  <c r="BJ222" i="53"/>
  <c r="O222" i="53"/>
  <c r="BQ221" i="53"/>
  <c r="W221" i="53"/>
  <c r="BS220" i="53"/>
  <c r="X220" i="53"/>
  <c r="CE219" i="53"/>
  <c r="AF219" i="53"/>
  <c r="CP218" i="53"/>
  <c r="AX218" i="53"/>
  <c r="CY217" i="53"/>
  <c r="BF217" i="53"/>
  <c r="Q217" i="53"/>
  <c r="BW216" i="53"/>
  <c r="AF216" i="53"/>
  <c r="AT215" i="53"/>
  <c r="F215" i="53"/>
  <c r="BT214" i="53"/>
  <c r="AI214" i="53"/>
  <c r="AH214" i="53" s="1"/>
  <c r="CZ213" i="53"/>
  <c r="BN213" i="53"/>
  <c r="AB213" i="53"/>
  <c r="BG212" i="53"/>
  <c r="X212" i="53"/>
  <c r="CQ211" i="53"/>
  <c r="BI211" i="53"/>
  <c r="Z211" i="53"/>
  <c r="CS210" i="53"/>
  <c r="BJ210" i="53"/>
  <c r="AB210" i="53"/>
  <c r="CV209" i="53"/>
  <c r="CU209" i="53" s="1"/>
  <c r="BO209" i="53"/>
  <c r="AG209" i="53"/>
  <c r="DB206" i="53"/>
  <c r="BT206" i="53"/>
  <c r="AM206" i="53"/>
  <c r="F206" i="53"/>
  <c r="BX205" i="53"/>
  <c r="AR205" i="53"/>
  <c r="L205" i="53"/>
  <c r="CE204" i="53"/>
  <c r="AW204" i="53"/>
  <c r="O204" i="53"/>
  <c r="CI203" i="53"/>
  <c r="BB203" i="53"/>
  <c r="T203" i="53"/>
  <c r="CN202" i="53"/>
  <c r="BF202" i="53"/>
  <c r="X202" i="53"/>
  <c r="BK201" i="53"/>
  <c r="AD201" i="53"/>
  <c r="CY200" i="53"/>
  <c r="CS245" i="53"/>
  <c r="K245" i="53"/>
  <c r="AR244" i="53"/>
  <c r="BV243" i="53"/>
  <c r="AT242" i="53"/>
  <c r="CF241" i="53"/>
  <c r="N241" i="53"/>
  <c r="AX240" i="53"/>
  <c r="CI239" i="53"/>
  <c r="Z239" i="53"/>
  <c r="BS238" i="53"/>
  <c r="P238" i="53"/>
  <c r="BB237" i="53"/>
  <c r="CZ236" i="53"/>
  <c r="AQ236" i="53"/>
  <c r="CN235" i="53"/>
  <c r="AI235" i="53"/>
  <c r="AH235" i="53" s="1"/>
  <c r="BX234" i="53"/>
  <c r="BN233" i="53"/>
  <c r="N233" i="53"/>
  <c r="BG232" i="53"/>
  <c r="H232" i="53"/>
  <c r="BH231" i="53"/>
  <c r="M231" i="53"/>
  <c r="BQ230" i="53"/>
  <c r="R230" i="53"/>
  <c r="BW229" i="53"/>
  <c r="Z229" i="53"/>
  <c r="CE228" i="53"/>
  <c r="AK228" i="53"/>
  <c r="AJ228" i="53" s="1"/>
  <c r="CQ225" i="53"/>
  <c r="AS225" i="53"/>
  <c r="CV224" i="53"/>
  <c r="CU224" i="53" s="1"/>
  <c r="AT224" i="53"/>
  <c r="CZ222" i="53"/>
  <c r="BG222" i="53"/>
  <c r="G222" i="53"/>
  <c r="BN221" i="53"/>
  <c r="Q221" i="53"/>
  <c r="BO220" i="53"/>
  <c r="T220" i="53"/>
  <c r="BX219" i="53"/>
  <c r="AC219" i="53"/>
  <c r="CK218" i="53"/>
  <c r="AO218" i="53"/>
  <c r="CT217" i="53"/>
  <c r="BC217" i="53"/>
  <c r="M217" i="53"/>
  <c r="BT216" i="53"/>
  <c r="AC216" i="53"/>
  <c r="AQ215" i="53"/>
  <c r="DB214" i="53"/>
  <c r="BP214" i="53"/>
  <c r="AE214" i="53"/>
  <c r="CV213" i="53"/>
  <c r="CU213" i="53" s="1"/>
  <c r="BJ213" i="53"/>
  <c r="W213" i="53"/>
  <c r="CN212" i="53"/>
  <c r="BD212" i="53"/>
  <c r="U212" i="53"/>
  <c r="CN211" i="53"/>
  <c r="BF211" i="53"/>
  <c r="CP210" i="53"/>
  <c r="BG210" i="53"/>
  <c r="X210" i="53"/>
  <c r="BK209" i="53"/>
  <c r="AD209" i="53"/>
  <c r="CY206" i="53"/>
  <c r="BP206" i="53"/>
  <c r="AG206" i="53"/>
  <c r="DB205" i="53"/>
  <c r="BU205" i="53"/>
  <c r="CN245" i="53"/>
  <c r="H245" i="53"/>
  <c r="AO244" i="53"/>
  <c r="BQ243" i="53"/>
  <c r="DB242" i="53"/>
  <c r="AO242" i="53"/>
  <c r="CA241" i="53"/>
  <c r="BZ241" i="53" s="1"/>
  <c r="AS240" i="53"/>
  <c r="CF239" i="53"/>
  <c r="X239" i="53"/>
  <c r="BP238" i="53"/>
  <c r="M238" i="53"/>
  <c r="AY237" i="53"/>
  <c r="CV236" i="53"/>
  <c r="CU236" i="53" s="1"/>
  <c r="AM236" i="53"/>
  <c r="CJ235" i="53"/>
  <c r="W235" i="53"/>
  <c r="BU234" i="53"/>
  <c r="N234" i="53"/>
  <c r="BJ233" i="53"/>
  <c r="H233" i="53"/>
  <c r="BC232" i="53"/>
  <c r="F232" i="53"/>
  <c r="BF231" i="53"/>
  <c r="BO230" i="53"/>
  <c r="O230" i="53"/>
  <c r="BS229" i="53"/>
  <c r="CA228" i="53"/>
  <c r="BZ228" i="53" s="1"/>
  <c r="AI228" i="53"/>
  <c r="AH228" i="53" s="1"/>
  <c r="CN225" i="53"/>
  <c r="AO225" i="53"/>
  <c r="CQ224" i="53"/>
  <c r="AR224" i="53"/>
  <c r="CX222" i="53"/>
  <c r="BE222" i="53"/>
  <c r="E222" i="53"/>
  <c r="BJ221" i="53"/>
  <c r="I221" i="53"/>
  <c r="BM220" i="53"/>
  <c r="R220" i="53"/>
  <c r="BU219" i="53"/>
  <c r="AA219" i="53"/>
  <c r="CH218" i="53"/>
  <c r="AG218" i="53"/>
  <c r="AZ217" i="53"/>
  <c r="I217" i="53"/>
  <c r="BQ216" i="53"/>
  <c r="Z216" i="53"/>
  <c r="CF215" i="53"/>
  <c r="AN215" i="53"/>
  <c r="CZ214" i="53"/>
  <c r="BN214" i="53"/>
  <c r="AC214" i="53"/>
  <c r="CS213" i="53"/>
  <c r="BG213" i="53"/>
  <c r="S213" i="53"/>
  <c r="CK212" i="53"/>
  <c r="BB212" i="53"/>
  <c r="S212" i="53"/>
  <c r="CK211" i="53"/>
  <c r="BD211" i="53"/>
  <c r="T211" i="53"/>
  <c r="CN210" i="53"/>
  <c r="BE210" i="53"/>
  <c r="CP209" i="53"/>
  <c r="BI209" i="53"/>
  <c r="AB209" i="53"/>
  <c r="CV206" i="53"/>
  <c r="CU206" i="53" s="1"/>
  <c r="BN206" i="53"/>
  <c r="AE206" i="53"/>
  <c r="CZ205" i="53"/>
  <c r="BS205" i="53"/>
  <c r="AK205" i="53"/>
  <c r="AJ205" i="53" s="1"/>
  <c r="F205" i="53"/>
  <c r="BW204" i="53"/>
  <c r="AQ204" i="53"/>
  <c r="I204" i="53"/>
  <c r="CC203" i="53"/>
  <c r="CB203" i="53" s="1"/>
  <c r="CM245" i="53"/>
  <c r="G245" i="53"/>
  <c r="AN244" i="53"/>
  <c r="BK243" i="53"/>
  <c r="CZ242" i="53"/>
  <c r="AN242" i="53"/>
  <c r="BY241" i="53"/>
  <c r="H241" i="53"/>
  <c r="AR240" i="53"/>
  <c r="CE239" i="53"/>
  <c r="V239" i="53"/>
  <c r="BO238" i="53"/>
  <c r="AX237" i="53"/>
  <c r="CS236" i="53"/>
  <c r="AK236" i="53"/>
  <c r="AJ236" i="53" s="1"/>
  <c r="CI235" i="53"/>
  <c r="U235" i="53"/>
  <c r="BT234" i="53"/>
  <c r="M234" i="53"/>
  <c r="BI233" i="53"/>
  <c r="D233" i="53"/>
  <c r="BB232" i="53"/>
  <c r="E232" i="53"/>
  <c r="BE231" i="53"/>
  <c r="I231" i="53"/>
  <c r="BN230" i="53"/>
  <c r="N230" i="53"/>
  <c r="BQ229" i="53"/>
  <c r="S229" i="53"/>
  <c r="BY228" i="53"/>
  <c r="AF228" i="53"/>
  <c r="CJ225" i="53"/>
  <c r="AN225" i="53"/>
  <c r="CP224" i="53"/>
  <c r="AO224" i="53"/>
  <c r="CV222" i="53"/>
  <c r="CU222" i="53" s="1"/>
  <c r="BD222" i="53"/>
  <c r="D222" i="53"/>
  <c r="BI221" i="53"/>
  <c r="F221" i="53"/>
  <c r="BK220" i="53"/>
  <c r="Q220" i="53"/>
  <c r="BQ219" i="53"/>
  <c r="Z219" i="53"/>
  <c r="CG218" i="53"/>
  <c r="AF218" i="53"/>
  <c r="CP217" i="53"/>
  <c r="AY217" i="53"/>
  <c r="G217" i="53"/>
  <c r="BP216" i="53"/>
  <c r="X216" i="53"/>
  <c r="CC215" i="53"/>
  <c r="CB215" i="53" s="1"/>
  <c r="AM215" i="53"/>
  <c r="CY214" i="53"/>
  <c r="BM214" i="53"/>
  <c r="AB214" i="53"/>
  <c r="BF213" i="53"/>
  <c r="R213" i="53"/>
  <c r="CJ212" i="53"/>
  <c r="AZ212" i="53"/>
  <c r="R212" i="53"/>
  <c r="CJ211" i="53"/>
  <c r="BC211" i="53"/>
  <c r="S211" i="53"/>
  <c r="BD210" i="53"/>
  <c r="U210" i="53"/>
  <c r="CO209" i="53"/>
  <c r="BH209" i="53"/>
  <c r="AA209" i="53"/>
  <c r="CT206" i="53"/>
  <c r="BM206" i="53"/>
  <c r="AD206" i="53"/>
  <c r="CY205" i="53"/>
  <c r="BQ205" i="53"/>
  <c r="E205" i="53"/>
  <c r="BV204" i="53"/>
  <c r="AO204" i="53"/>
  <c r="CE245" i="53"/>
  <c r="CY244" i="53"/>
  <c r="X244" i="53"/>
  <c r="BF243" i="53"/>
  <c r="CO242" i="53"/>
  <c r="AA242" i="53"/>
  <c r="BS241" i="53"/>
  <c r="CX240" i="53"/>
  <c r="AD240" i="53"/>
  <c r="BU239" i="53"/>
  <c r="Q239" i="53"/>
  <c r="BG238" i="53"/>
  <c r="CX237" i="53"/>
  <c r="AR237" i="53"/>
  <c r="AE236" i="53"/>
  <c r="BU235" i="53"/>
  <c r="Q235" i="53"/>
  <c r="BN234" i="53"/>
  <c r="G234" i="53"/>
  <c r="BC233" i="53"/>
  <c r="AW232" i="53"/>
  <c r="CT231" i="53"/>
  <c r="AZ231" i="53"/>
  <c r="DB230" i="53"/>
  <c r="BD230" i="53"/>
  <c r="E230" i="53"/>
  <c r="BM229" i="53"/>
  <c r="O229" i="53"/>
  <c r="BU228" i="53"/>
  <c r="BG245" i="53"/>
  <c r="CH244" i="53"/>
  <c r="G244" i="53"/>
  <c r="AV243" i="53"/>
  <c r="CG242" i="53"/>
  <c r="Q242" i="53"/>
  <c r="AV241" i="53"/>
  <c r="CJ240" i="53"/>
  <c r="U240" i="53"/>
  <c r="BK239" i="53"/>
  <c r="DA238" i="53"/>
  <c r="AT238" i="53"/>
  <c r="CJ237" i="53"/>
  <c r="AE237" i="53"/>
  <c r="BY236" i="53"/>
  <c r="P236" i="53"/>
  <c r="BI235" i="53"/>
  <c r="F235" i="53"/>
  <c r="AY234" i="53"/>
  <c r="CT233" i="53"/>
  <c r="CJ232" i="53"/>
  <c r="AK232" i="53"/>
  <c r="AJ232" i="53" s="1"/>
  <c r="CN231" i="53"/>
  <c r="AQ231" i="53"/>
  <c r="CM230" i="53"/>
  <c r="AR230" i="53"/>
  <c r="CX229" i="53"/>
  <c r="AZ229" i="53"/>
  <c r="G229" i="53"/>
  <c r="BM228" i="53"/>
  <c r="L228" i="53"/>
  <c r="BP225" i="53"/>
  <c r="U225" i="53"/>
  <c r="BV224" i="53"/>
  <c r="AB224" i="53"/>
  <c r="CJ222" i="53"/>
  <c r="AD222" i="53"/>
  <c r="AM221" i="53"/>
  <c r="CS220" i="53"/>
  <c r="AX220" i="53"/>
  <c r="AX245" i="53"/>
  <c r="BO244" i="53"/>
  <c r="CY243" i="53"/>
  <c r="AE243" i="53"/>
  <c r="BX242" i="53"/>
  <c r="D242" i="53"/>
  <c r="AO241" i="53"/>
  <c r="BV240" i="53"/>
  <c r="CT245" i="53"/>
  <c r="CT244" i="53"/>
  <c r="CV243" i="53"/>
  <c r="CU243" i="53" s="1"/>
  <c r="L243" i="53"/>
  <c r="W242" i="53"/>
  <c r="AM241" i="53"/>
  <c r="BB240" i="53"/>
  <c r="BQ239" i="53"/>
  <c r="CQ238" i="53"/>
  <c r="X238" i="53"/>
  <c r="AW237" i="53"/>
  <c r="CA236" i="53"/>
  <c r="BZ236" i="53" s="1"/>
  <c r="F236" i="53"/>
  <c r="AQ235" i="53"/>
  <c r="BO234" i="53"/>
  <c r="CR233" i="53"/>
  <c r="W233" i="53"/>
  <c r="BI232" i="53"/>
  <c r="AG231" i="53"/>
  <c r="L230" i="53"/>
  <c r="BC229" i="53"/>
  <c r="CZ228" i="53"/>
  <c r="CH225" i="53"/>
  <c r="Z225" i="53"/>
  <c r="BS224" i="53"/>
  <c r="H224" i="53"/>
  <c r="BH222" i="53"/>
  <c r="CX221" i="53"/>
  <c r="AN221" i="53"/>
  <c r="CN220" i="53"/>
  <c r="AA220" i="53"/>
  <c r="BW219" i="53"/>
  <c r="T219" i="53"/>
  <c r="BN218" i="53"/>
  <c r="R218" i="53"/>
  <c r="BQ217" i="53"/>
  <c r="S217" i="53"/>
  <c r="BS216" i="53"/>
  <c r="P216" i="53"/>
  <c r="BS215" i="53"/>
  <c r="X215" i="53"/>
  <c r="CA214" i="53"/>
  <c r="BZ214" i="53" s="1"/>
  <c r="CT213" i="53"/>
  <c r="AY213" i="53"/>
  <c r="I213" i="53"/>
  <c r="BU212" i="53"/>
  <c r="AF212" i="53"/>
  <c r="CS211" i="53"/>
  <c r="BE211" i="53"/>
  <c r="O211" i="53"/>
  <c r="CC210" i="53"/>
  <c r="CB210" i="53" s="1"/>
  <c r="AN210" i="53"/>
  <c r="D210" i="53"/>
  <c r="BQ209" i="53"/>
  <c r="AC209" i="53"/>
  <c r="CP206" i="53"/>
  <c r="BD206" i="53"/>
  <c r="Q206" i="53"/>
  <c r="CG205" i="53"/>
  <c r="AT205" i="53"/>
  <c r="I205" i="53"/>
  <c r="BU204" i="53"/>
  <c r="AI204" i="53"/>
  <c r="AH204" i="53" s="1"/>
  <c r="DA203" i="53"/>
  <c r="BQ203" i="53"/>
  <c r="AI203" i="53"/>
  <c r="AH203" i="53" s="1"/>
  <c r="DB202" i="53"/>
  <c r="BS202" i="53"/>
  <c r="AI202" i="53"/>
  <c r="AH202" i="53" s="1"/>
  <c r="D202" i="53"/>
  <c r="BU201" i="53"/>
  <c r="AN201" i="53"/>
  <c r="CP245" i="53"/>
  <c r="CN244" i="53"/>
  <c r="CT243" i="53"/>
  <c r="I243" i="53"/>
  <c r="V242" i="53"/>
  <c r="AI241" i="53"/>
  <c r="AH241" i="53" s="1"/>
  <c r="AT240" i="53"/>
  <c r="BP239" i="53"/>
  <c r="CP238" i="53"/>
  <c r="W238" i="53"/>
  <c r="AV237" i="53"/>
  <c r="DB235" i="53"/>
  <c r="AN235" i="53"/>
  <c r="BJ234" i="53"/>
  <c r="CN233" i="53"/>
  <c r="V233" i="53"/>
  <c r="BD232" i="53"/>
  <c r="CQ231" i="53"/>
  <c r="AC231" i="53"/>
  <c r="BX230" i="53"/>
  <c r="G230" i="53"/>
  <c r="BB229" i="53"/>
  <c r="CY228" i="53"/>
  <c r="AN228" i="53"/>
  <c r="CE225" i="53"/>
  <c r="X225" i="53"/>
  <c r="BQ224" i="53"/>
  <c r="G224" i="53"/>
  <c r="BF222" i="53"/>
  <c r="CT221" i="53"/>
  <c r="AK221" i="53"/>
  <c r="AJ221" i="53" s="1"/>
  <c r="Z220" i="53"/>
  <c r="BP219" i="53"/>
  <c r="Q219" i="53"/>
  <c r="BM218" i="53"/>
  <c r="Q218" i="53"/>
  <c r="BO217" i="53"/>
  <c r="R217" i="53"/>
  <c r="BO216" i="53"/>
  <c r="O216" i="53"/>
  <c r="BQ215" i="53"/>
  <c r="W215" i="53"/>
  <c r="BY214" i="53"/>
  <c r="AK214" i="53"/>
  <c r="AJ214" i="53" s="1"/>
  <c r="CQ213" i="53"/>
  <c r="AX213" i="53"/>
  <c r="H213" i="53"/>
  <c r="BT212" i="53"/>
  <c r="AD212" i="53"/>
  <c r="BB211" i="53"/>
  <c r="N211" i="53"/>
  <c r="CA210" i="53"/>
  <c r="BZ210" i="53" s="1"/>
  <c r="AM210" i="53"/>
  <c r="DB209" i="53"/>
  <c r="BP209" i="53"/>
  <c r="Z209" i="53"/>
  <c r="CO206" i="53"/>
  <c r="BC206" i="53"/>
  <c r="P206" i="53"/>
  <c r="CF205" i="53"/>
  <c r="AS205" i="53"/>
  <c r="H205" i="53"/>
  <c r="BT204" i="53"/>
  <c r="AG204" i="53"/>
  <c r="CZ203" i="53"/>
  <c r="BP203" i="53"/>
  <c r="AG203" i="53"/>
  <c r="DA202" i="53"/>
  <c r="BQ202" i="53"/>
  <c r="AG202" i="53"/>
  <c r="DB201" i="53"/>
  <c r="BT201" i="53"/>
  <c r="CK245" i="53"/>
  <c r="CJ244" i="53"/>
  <c r="CS243" i="53"/>
  <c r="CY242" i="53"/>
  <c r="T242" i="53"/>
  <c r="AF241" i="53"/>
  <c r="AN240" i="53"/>
  <c r="BN239" i="53"/>
  <c r="CO238" i="53"/>
  <c r="AS237" i="53"/>
  <c r="BW236" i="53"/>
  <c r="DA235" i="53"/>
  <c r="BI234" i="53"/>
  <c r="CM233" i="53"/>
  <c r="U233" i="53"/>
  <c r="AZ232" i="53"/>
  <c r="CP231" i="53"/>
  <c r="AA231" i="53"/>
  <c r="BV230" i="53"/>
  <c r="F230" i="53"/>
  <c r="AY229" i="53"/>
  <c r="CV228" i="53"/>
  <c r="CU228" i="53" s="1"/>
  <c r="AM228" i="53"/>
  <c r="CC225" i="53"/>
  <c r="CB225" i="53" s="1"/>
  <c r="V225" i="53"/>
  <c r="BP224" i="53"/>
  <c r="F224" i="53"/>
  <c r="BB222" i="53"/>
  <c r="CQ221" i="53"/>
  <c r="AI221" i="53"/>
  <c r="AH221" i="53" s="1"/>
  <c r="CJ220" i="53"/>
  <c r="W220" i="53"/>
  <c r="BO219" i="53"/>
  <c r="N219" i="53"/>
  <c r="BK218" i="53"/>
  <c r="P218" i="53"/>
  <c r="BK217" i="53"/>
  <c r="P217" i="53"/>
  <c r="BN216" i="53"/>
  <c r="M216" i="53"/>
  <c r="BP215" i="53"/>
  <c r="BX214" i="53"/>
  <c r="AG214" i="53"/>
  <c r="CO213" i="53"/>
  <c r="AW213" i="53"/>
  <c r="G213" i="53"/>
  <c r="BS212" i="53"/>
  <c r="AC212" i="53"/>
  <c r="CP211" i="53"/>
  <c r="AZ211" i="53"/>
  <c r="M211" i="53"/>
  <c r="BY210" i="53"/>
  <c r="AK210" i="53"/>
  <c r="AJ210" i="53" s="1"/>
  <c r="DA209" i="53"/>
  <c r="BN209" i="53"/>
  <c r="X209" i="53"/>
  <c r="CN206" i="53"/>
  <c r="BB206" i="53"/>
  <c r="O206" i="53"/>
  <c r="CE205" i="53"/>
  <c r="AQ205" i="53"/>
  <c r="G205" i="53"/>
  <c r="BS204" i="53"/>
  <c r="AF204" i="53"/>
  <c r="CY203" i="53"/>
  <c r="BO203" i="53"/>
  <c r="AF203" i="53"/>
  <c r="CZ202" i="53"/>
  <c r="BP202" i="53"/>
  <c r="AF202" i="53"/>
  <c r="DA201" i="53"/>
  <c r="BS201" i="53"/>
  <c r="AK201" i="53"/>
  <c r="AJ201" i="53" s="1"/>
  <c r="D201" i="53"/>
  <c r="BT200" i="53"/>
  <c r="BK245" i="53"/>
  <c r="BN244" i="53"/>
  <c r="CF243" i="53"/>
  <c r="CD243" i="53" s="1"/>
  <c r="CM242" i="53"/>
  <c r="DB241" i="53"/>
  <c r="Q241" i="53"/>
  <c r="AA240" i="53"/>
  <c r="BF239" i="53"/>
  <c r="CJ238" i="53"/>
  <c r="E238" i="53"/>
  <c r="AK237" i="53"/>
  <c r="AJ237" i="53" s="1"/>
  <c r="BK236" i="53"/>
  <c r="CT235" i="53"/>
  <c r="R235" i="53"/>
  <c r="AX234" i="53"/>
  <c r="CA233" i="53"/>
  <c r="BZ233" i="53" s="1"/>
  <c r="P233" i="53"/>
  <c r="AS232" i="53"/>
  <c r="CJ231" i="53"/>
  <c r="T231" i="53"/>
  <c r="BK230" i="53"/>
  <c r="CZ229" i="53"/>
  <c r="AT229" i="53"/>
  <c r="CI228" i="53"/>
  <c r="AC228" i="53"/>
  <c r="BS225" i="53"/>
  <c r="M225" i="53"/>
  <c r="BJ224" i="53"/>
  <c r="CY222" i="53"/>
  <c r="AQ222" i="53"/>
  <c r="CK221" i="53"/>
  <c r="AD221" i="53"/>
  <c r="BX220" i="53"/>
  <c r="N220" i="53"/>
  <c r="BJ219" i="53"/>
  <c r="H219" i="53"/>
  <c r="BG218" i="53"/>
  <c r="BE217" i="53"/>
  <c r="E217" i="53"/>
  <c r="BE216" i="53"/>
  <c r="G216" i="53"/>
  <c r="BK215" i="53"/>
  <c r="BS214" i="53"/>
  <c r="Z214" i="53"/>
  <c r="CH213" i="53"/>
  <c r="AR213" i="53"/>
  <c r="DB212" i="53"/>
  <c r="BN212" i="53"/>
  <c r="W212" i="53"/>
  <c r="CH211" i="53"/>
  <c r="AV211" i="53"/>
  <c r="H211" i="53"/>
  <c r="BT210" i="53"/>
  <c r="AF210" i="53"/>
  <c r="CT209" i="53"/>
  <c r="BF209" i="53"/>
  <c r="T209" i="53"/>
  <c r="CI206" i="53"/>
  <c r="AW206" i="53"/>
  <c r="K206" i="53"/>
  <c r="BW205" i="53"/>
  <c r="AI205" i="53"/>
  <c r="AH205" i="53" s="1"/>
  <c r="CZ204" i="53"/>
  <c r="BN204" i="53"/>
  <c r="AB204" i="53"/>
  <c r="CT203" i="53"/>
  <c r="BJ203" i="53"/>
  <c r="AB203" i="53"/>
  <c r="CT202" i="53"/>
  <c r="BK202" i="53"/>
  <c r="AB202" i="53"/>
  <c r="CV201" i="53"/>
  <c r="CU201" i="53" s="1"/>
  <c r="BN201" i="53"/>
  <c r="AE201" i="53"/>
  <c r="CX200" i="53"/>
  <c r="CW200" i="53" s="1"/>
  <c r="BO200" i="53"/>
  <c r="AG200" i="53"/>
  <c r="D200" i="53"/>
  <c r="BW199" i="53"/>
  <c r="AQ199" i="53"/>
  <c r="BJ245" i="53"/>
  <c r="BM244" i="53"/>
  <c r="BX243" i="53"/>
  <c r="CJ242" i="53"/>
  <c r="CT241" i="53"/>
  <c r="P241" i="53"/>
  <c r="X240" i="53"/>
  <c r="BC239" i="53"/>
  <c r="CH238" i="53"/>
  <c r="DB237" i="53"/>
  <c r="AF237" i="53"/>
  <c r="BJ236" i="53"/>
  <c r="CQ235" i="53"/>
  <c r="P235" i="53"/>
  <c r="AW234" i="53"/>
  <c r="BY233" i="53"/>
  <c r="L233" i="53"/>
  <c r="AR232" i="53"/>
  <c r="CI231" i="53"/>
  <c r="S231" i="53"/>
  <c r="BJ230" i="53"/>
  <c r="CY229" i="53"/>
  <c r="AR229" i="53"/>
  <c r="CG228" i="53"/>
  <c r="AB228" i="53"/>
  <c r="BQ225" i="53"/>
  <c r="L225" i="53"/>
  <c r="BI224" i="53"/>
  <c r="AO222" i="53"/>
  <c r="CJ221" i="53"/>
  <c r="AC221" i="53"/>
  <c r="BI245" i="53"/>
  <c r="BK244" i="53"/>
  <c r="BT243" i="53"/>
  <c r="CI242" i="53"/>
  <c r="CS241" i="53"/>
  <c r="M241" i="53"/>
  <c r="W240" i="53"/>
  <c r="AW239" i="53"/>
  <c r="CC238" i="53"/>
  <c r="CB238" i="53" s="1"/>
  <c r="DA237" i="53"/>
  <c r="AD237" i="53"/>
  <c r="BH236" i="53"/>
  <c r="CP235" i="53"/>
  <c r="M235" i="53"/>
  <c r="AV234" i="53"/>
  <c r="BX233" i="53"/>
  <c r="CZ232" i="53"/>
  <c r="AO232" i="53"/>
  <c r="CG231" i="53"/>
  <c r="R231" i="53"/>
  <c r="BE230" i="53"/>
  <c r="CV229" i="53"/>
  <c r="CU229" i="53" s="1"/>
  <c r="AQ229" i="53"/>
  <c r="CF228" i="53"/>
  <c r="Z228" i="53"/>
  <c r="BO225" i="53"/>
  <c r="K225" i="53"/>
  <c r="BG224" i="53"/>
  <c r="CT222" i="53"/>
  <c r="AM222" i="53"/>
  <c r="CF221" i="53"/>
  <c r="AB221" i="53"/>
  <c r="BP220" i="53"/>
  <c r="L220" i="53"/>
  <c r="BG219" i="53"/>
  <c r="DB218" i="53"/>
  <c r="BD218" i="53"/>
  <c r="E218" i="53"/>
  <c r="BB217" i="53"/>
  <c r="DB216" i="53"/>
  <c r="BC216" i="53"/>
  <c r="E216" i="53"/>
  <c r="BI215" i="53"/>
  <c r="H215" i="53"/>
  <c r="BO214" i="53"/>
  <c r="W214" i="53"/>
  <c r="CF213" i="53"/>
  <c r="AO213" i="53"/>
  <c r="CZ212" i="53"/>
  <c r="BJ212" i="53"/>
  <c r="T212" i="53"/>
  <c r="CF211" i="53"/>
  <c r="AS211" i="53"/>
  <c r="F211" i="53"/>
  <c r="BQ210" i="53"/>
  <c r="AD210" i="53"/>
  <c r="CQ209" i="53"/>
  <c r="BD209" i="53"/>
  <c r="R209" i="53"/>
  <c r="CG206" i="53"/>
  <c r="AT206" i="53"/>
  <c r="H206" i="53"/>
  <c r="BT205" i="53"/>
  <c r="AF205" i="53"/>
  <c r="CX204" i="53"/>
  <c r="BK204" i="53"/>
  <c r="Z204" i="53"/>
  <c r="BH203" i="53"/>
  <c r="Z203" i="53"/>
  <c r="AN245" i="53"/>
  <c r="AQ244" i="53"/>
  <c r="BB243" i="53"/>
  <c r="BN242" i="53"/>
  <c r="CC241" i="53"/>
  <c r="CB241" i="53" s="1"/>
  <c r="CM240" i="53"/>
  <c r="H240" i="53"/>
  <c r="AC239" i="53"/>
  <c r="BD238" i="53"/>
  <c r="CH237" i="53"/>
  <c r="M237" i="53"/>
  <c r="AN236" i="53"/>
  <c r="BM235" i="53"/>
  <c r="CZ234" i="53"/>
  <c r="AC234" i="53"/>
  <c r="BF233" i="53"/>
  <c r="CK232" i="53"/>
  <c r="X232" i="53"/>
  <c r="BM231" i="53"/>
  <c r="DA230" i="53"/>
  <c r="AM230" i="53"/>
  <c r="CI229" i="53"/>
  <c r="X229" i="53"/>
  <c r="BQ228" i="53"/>
  <c r="H228" i="53"/>
  <c r="BF225" i="53"/>
  <c r="CY224" i="53"/>
  <c r="AI224" i="53"/>
  <c r="AH224" i="53" s="1"/>
  <c r="CK222" i="53"/>
  <c r="X222" i="53"/>
  <c r="BT221" i="53"/>
  <c r="E221" i="53"/>
  <c r="BE220" i="53"/>
  <c r="CX219" i="53"/>
  <c r="AT219" i="53"/>
  <c r="CS218" i="53"/>
  <c r="AS218" i="53"/>
  <c r="AM217" i="53"/>
  <c r="CO216" i="53"/>
  <c r="AQ216" i="53"/>
  <c r="CV215" i="53"/>
  <c r="CU215" i="53" s="1"/>
  <c r="AR215" i="53"/>
  <c r="CV214" i="53"/>
  <c r="CU214" i="53" s="1"/>
  <c r="BE214" i="53"/>
  <c r="M214" i="53"/>
  <c r="BV213" i="53"/>
  <c r="AE213" i="53"/>
  <c r="CO212" i="53"/>
  <c r="AW212" i="53"/>
  <c r="BW211" i="53"/>
  <c r="AG211" i="53"/>
  <c r="CV244" i="53"/>
  <c r="CU244" i="53" s="1"/>
  <c r="BE243" i="53"/>
  <c r="AW242" i="53"/>
  <c r="AN241" i="53"/>
  <c r="L240" i="53"/>
  <c r="R239" i="53"/>
  <c r="Z238" i="53"/>
  <c r="X237" i="53"/>
  <c r="X236" i="53"/>
  <c r="AR235" i="53"/>
  <c r="AG234" i="53"/>
  <c r="AN233" i="53"/>
  <c r="BJ232" i="53"/>
  <c r="BU231" i="53"/>
  <c r="CK230" i="53"/>
  <c r="Q230" i="53"/>
  <c r="BE228" i="53"/>
  <c r="CI225" i="53"/>
  <c r="E225" i="53"/>
  <c r="AC224" i="53"/>
  <c r="BI222" i="53"/>
  <c r="BW221" i="53"/>
  <c r="CY220" i="53"/>
  <c r="AC220" i="53"/>
  <c r="BE219" i="53"/>
  <c r="Z218" i="53"/>
  <c r="BJ217" i="53"/>
  <c r="CX216" i="53"/>
  <c r="CW216" i="53" s="1"/>
  <c r="AM216" i="53"/>
  <c r="BW215" i="53"/>
  <c r="N215" i="53"/>
  <c r="BG214" i="53"/>
  <c r="G214" i="53"/>
  <c r="BB213" i="53"/>
  <c r="CY212" i="53"/>
  <c r="AV212" i="53"/>
  <c r="DB211" i="53"/>
  <c r="AY211" i="53"/>
  <c r="DA210" i="53"/>
  <c r="BC210" i="53"/>
  <c r="BS209" i="53"/>
  <c r="Q209" i="53"/>
  <c r="BX206" i="53"/>
  <c r="AA206" i="53"/>
  <c r="CK205" i="53"/>
  <c r="AN205" i="53"/>
  <c r="CS204" i="53"/>
  <c r="BC204" i="53"/>
  <c r="BT203" i="53"/>
  <c r="AA203" i="53"/>
  <c r="CK202" i="53"/>
  <c r="AX202" i="53"/>
  <c r="L202" i="53"/>
  <c r="BX201" i="53"/>
  <c r="AI201" i="53"/>
  <c r="AH201" i="53" s="1"/>
  <c r="CZ200" i="53"/>
  <c r="BM200" i="53"/>
  <c r="AD200" i="53"/>
  <c r="CY199" i="53"/>
  <c r="BQ199" i="53"/>
  <c r="AI199" i="53"/>
  <c r="AH199" i="53" s="1"/>
  <c r="D199" i="53"/>
  <c r="BU198" i="53"/>
  <c r="AN198" i="53"/>
  <c r="H198" i="53"/>
  <c r="BY197" i="53"/>
  <c r="AS197" i="53"/>
  <c r="M197" i="53"/>
  <c r="CF196" i="53"/>
  <c r="AY196" i="53"/>
  <c r="R196" i="53"/>
  <c r="CK195" i="53"/>
  <c r="BE195" i="53"/>
  <c r="W195" i="53"/>
  <c r="CQ192" i="53"/>
  <c r="BI192" i="53"/>
  <c r="AA192" i="53"/>
  <c r="CT191" i="53"/>
  <c r="BM191" i="53"/>
  <c r="AD191" i="53"/>
  <c r="CY190" i="53"/>
  <c r="BQ190" i="53"/>
  <c r="AI190" i="53"/>
  <c r="AH190" i="53" s="1"/>
  <c r="D190" i="53"/>
  <c r="BV189" i="53"/>
  <c r="AO189" i="53"/>
  <c r="H189" i="53"/>
  <c r="CA188" i="53"/>
  <c r="BZ188" i="53" s="1"/>
  <c r="BU244" i="53"/>
  <c r="BD243" i="53"/>
  <c r="AV242" i="53"/>
  <c r="AE241" i="53"/>
  <c r="K240" i="53"/>
  <c r="N239" i="53"/>
  <c r="T238" i="53"/>
  <c r="Q237" i="53"/>
  <c r="W236" i="53"/>
  <c r="AB235" i="53"/>
  <c r="AF234" i="53"/>
  <c r="AM233" i="53"/>
  <c r="AY232" i="53"/>
  <c r="BT231" i="53"/>
  <c r="CJ230" i="53"/>
  <c r="D230" i="53"/>
  <c r="AD229" i="53"/>
  <c r="AY228" i="53"/>
  <c r="BY225" i="53"/>
  <c r="D225" i="53"/>
  <c r="AA224" i="53"/>
  <c r="AZ222" i="53"/>
  <c r="BV221" i="53"/>
  <c r="CX220" i="53"/>
  <c r="AB220" i="53"/>
  <c r="BB219" i="53"/>
  <c r="CQ218" i="53"/>
  <c r="X218" i="53"/>
  <c r="BH217" i="53"/>
  <c r="CV216" i="53"/>
  <c r="CU216" i="53" s="1"/>
  <c r="AK216" i="53"/>
  <c r="AJ216" i="53" s="1"/>
  <c r="BV215" i="53"/>
  <c r="I215" i="53"/>
  <c r="BF214" i="53"/>
  <c r="F214" i="53"/>
  <c r="AZ213" i="53"/>
  <c r="CX212" i="53"/>
  <c r="AT212" i="53"/>
  <c r="DA211" i="53"/>
  <c r="AX211" i="53"/>
  <c r="CZ210" i="53"/>
  <c r="BB210" i="53"/>
  <c r="I210" i="53"/>
  <c r="BM209" i="53"/>
  <c r="P209" i="53"/>
  <c r="BW206" i="53"/>
  <c r="Z206" i="53"/>
  <c r="CJ205" i="53"/>
  <c r="AM205" i="53"/>
  <c r="BB204" i="53"/>
  <c r="H204" i="53"/>
  <c r="BS203" i="53"/>
  <c r="X203" i="53"/>
  <c r="CJ202" i="53"/>
  <c r="AW202" i="53"/>
  <c r="BW201" i="53"/>
  <c r="AG201" i="53"/>
  <c r="CV200" i="53"/>
  <c r="CU200" i="53" s="1"/>
  <c r="BK200" i="53"/>
  <c r="AC200" i="53"/>
  <c r="CX199" i="53"/>
  <c r="BP199" i="53"/>
  <c r="AG199" i="53"/>
  <c r="DB198" i="53"/>
  <c r="BT198" i="53"/>
  <c r="AM198" i="53"/>
  <c r="G198" i="53"/>
  <c r="BX197" i="53"/>
  <c r="AR197" i="53"/>
  <c r="L197" i="53"/>
  <c r="CE196" i="53"/>
  <c r="AX196" i="53"/>
  <c r="Q196" i="53"/>
  <c r="CJ195" i="53"/>
  <c r="BD195" i="53"/>
  <c r="CP192" i="53"/>
  <c r="BH192" i="53"/>
  <c r="Z192" i="53"/>
  <c r="CS191" i="53"/>
  <c r="BS244" i="53"/>
  <c r="AW243" i="53"/>
  <c r="AM242" i="53"/>
  <c r="G240" i="53"/>
  <c r="G239" i="53"/>
  <c r="N238" i="53"/>
  <c r="I237" i="53"/>
  <c r="Q236" i="53"/>
  <c r="S235" i="53"/>
  <c r="AB234" i="53"/>
  <c r="AF233" i="53"/>
  <c r="AT232" i="53"/>
  <c r="BI231" i="53"/>
  <c r="CG230" i="53"/>
  <c r="DA229" i="53"/>
  <c r="R229" i="53"/>
  <c r="AW228" i="53"/>
  <c r="BU225" i="53"/>
  <c r="X224" i="53"/>
  <c r="AR222" i="53"/>
  <c r="BS221" i="53"/>
  <c r="CT220" i="53"/>
  <c r="S220" i="53"/>
  <c r="AX219" i="53"/>
  <c r="CN218" i="53"/>
  <c r="U218" i="53"/>
  <c r="BD217" i="53"/>
  <c r="CP216" i="53"/>
  <c r="AG216" i="53"/>
  <c r="BT215" i="53"/>
  <c r="E215" i="53"/>
  <c r="BB214" i="53"/>
  <c r="D214" i="53"/>
  <c r="AT213" i="53"/>
  <c r="AR212" i="53"/>
  <c r="CX211" i="53"/>
  <c r="AT211" i="53"/>
  <c r="CX210" i="53"/>
  <c r="AY210" i="53"/>
  <c r="G210" i="53"/>
  <c r="BG209" i="53"/>
  <c r="N209" i="53"/>
  <c r="BU206" i="53"/>
  <c r="W206" i="53"/>
  <c r="CH205" i="53"/>
  <c r="AE205" i="53"/>
  <c r="CP204" i="53"/>
  <c r="AY204" i="53"/>
  <c r="F204" i="53"/>
  <c r="BM203" i="53"/>
  <c r="CH202" i="53"/>
  <c r="AT202" i="53"/>
  <c r="H202" i="53"/>
  <c r="BQ201" i="53"/>
  <c r="AC201" i="53"/>
  <c r="CS200" i="53"/>
  <c r="BI200" i="53"/>
  <c r="AA200" i="53"/>
  <c r="CT199" i="53"/>
  <c r="BN199" i="53"/>
  <c r="AE199" i="53"/>
  <c r="CZ198" i="53"/>
  <c r="BQ198" i="53"/>
  <c r="AK198" i="53"/>
  <c r="AJ198" i="53" s="1"/>
  <c r="E198" i="53"/>
  <c r="BV197" i="53"/>
  <c r="AO197" i="53"/>
  <c r="I197" i="53"/>
  <c r="CA196" i="53"/>
  <c r="BZ196" i="53" s="1"/>
  <c r="AV196" i="53"/>
  <c r="O196" i="53"/>
  <c r="CH195" i="53"/>
  <c r="BB195" i="53"/>
  <c r="T195" i="53"/>
  <c r="CN192" i="53"/>
  <c r="BF192" i="53"/>
  <c r="W192" i="53"/>
  <c r="CQ191" i="53"/>
  <c r="BI191" i="53"/>
  <c r="AA191" i="53"/>
  <c r="BN190" i="53"/>
  <c r="BJ244" i="53"/>
  <c r="AM243" i="53"/>
  <c r="AC242" i="53"/>
  <c r="G241" i="53"/>
  <c r="BG244" i="53"/>
  <c r="AG243" i="53"/>
  <c r="AB242" i="53"/>
  <c r="E241" i="53"/>
  <c r="DA239" i="53"/>
  <c r="D239" i="53"/>
  <c r="CQ237" i="53"/>
  <c r="G237" i="53"/>
  <c r="M236" i="53"/>
  <c r="H235" i="53"/>
  <c r="W234" i="53"/>
  <c r="AD233" i="53"/>
  <c r="AG232" i="53"/>
  <c r="BD231" i="53"/>
  <c r="CE230" i="53"/>
  <c r="CS229" i="53"/>
  <c r="P229" i="53"/>
  <c r="AS228" i="53"/>
  <c r="BM225" i="53"/>
  <c r="U224" i="53"/>
  <c r="AG222" i="53"/>
  <c r="BO221" i="53"/>
  <c r="CQ220" i="53"/>
  <c r="M220" i="53"/>
  <c r="AV219" i="53"/>
  <c r="CE218" i="53"/>
  <c r="S218" i="53"/>
  <c r="AW217" i="53"/>
  <c r="AD216" i="53"/>
  <c r="BN215" i="53"/>
  <c r="DA214" i="53"/>
  <c r="AW214" i="53"/>
  <c r="DA213" i="53"/>
  <c r="AQ213" i="53"/>
  <c r="CP212" i="53"/>
  <c r="AO212" i="53"/>
  <c r="CT211" i="53"/>
  <c r="AQ211" i="53"/>
  <c r="CT210" i="53"/>
  <c r="AW210" i="53"/>
  <c r="E210" i="53"/>
  <c r="BC209" i="53"/>
  <c r="L209" i="53"/>
  <c r="BQ206" i="53"/>
  <c r="U206" i="53"/>
  <c r="CA205" i="53"/>
  <c r="BZ205" i="53" s="1"/>
  <c r="AC205" i="53"/>
  <c r="CN204" i="53"/>
  <c r="AV204" i="53"/>
  <c r="D204" i="53"/>
  <c r="BI203" i="53"/>
  <c r="S203" i="53"/>
  <c r="CF202" i="53"/>
  <c r="AR202" i="53"/>
  <c r="F202" i="53"/>
  <c r="BO201" i="53"/>
  <c r="AA201" i="53"/>
  <c r="CQ200" i="53"/>
  <c r="BG200" i="53"/>
  <c r="BK199" i="53"/>
  <c r="AC199" i="53"/>
  <c r="CX198" i="53"/>
  <c r="BO198" i="53"/>
  <c r="AG198" i="53"/>
  <c r="DB197" i="53"/>
  <c r="BT197" i="53"/>
  <c r="AM197" i="53"/>
  <c r="G197" i="53"/>
  <c r="BY196" i="53"/>
  <c r="AS196" i="53"/>
  <c r="M196" i="53"/>
  <c r="CF195" i="53"/>
  <c r="AY195" i="53"/>
  <c r="R195" i="53"/>
  <c r="CK192" i="53"/>
  <c r="BD192" i="53"/>
  <c r="U192" i="53"/>
  <c r="CO191" i="53"/>
  <c r="BG191" i="53"/>
  <c r="AY244" i="53"/>
  <c r="AF243" i="53"/>
  <c r="Z242" i="53"/>
  <c r="CY240" i="53"/>
  <c r="CY239" i="53"/>
  <c r="CV238" i="53"/>
  <c r="CU238" i="53" s="1"/>
  <c r="CP237" i="53"/>
  <c r="DB236" i="53"/>
  <c r="G235" i="53"/>
  <c r="O234" i="53"/>
  <c r="AC233" i="53"/>
  <c r="AC232" i="53"/>
  <c r="BC231" i="53"/>
  <c r="CC230" i="53"/>
  <c r="CB230" i="53" s="1"/>
  <c r="N229" i="53"/>
  <c r="AR228" i="53"/>
  <c r="BK225" i="53"/>
  <c r="CJ224" i="53"/>
  <c r="S224" i="53"/>
  <c r="AC222" i="53"/>
  <c r="BM221" i="53"/>
  <c r="CP220" i="53"/>
  <c r="I220" i="53"/>
  <c r="AS219" i="53"/>
  <c r="BX218" i="53"/>
  <c r="O218" i="53"/>
  <c r="AV217" i="53"/>
  <c r="CK216" i="53"/>
  <c r="AB216" i="53"/>
  <c r="BM215" i="53"/>
  <c r="CX214" i="53"/>
  <c r="CW214" i="53" s="1"/>
  <c r="AV214" i="53"/>
  <c r="CY213" i="53"/>
  <c r="AN213" i="53"/>
  <c r="AN212" i="53"/>
  <c r="CO211" i="53"/>
  <c r="AO211" i="53"/>
  <c r="AV210" i="53"/>
  <c r="CZ209" i="53"/>
  <c r="BB209" i="53"/>
  <c r="BO206" i="53"/>
  <c r="T206" i="53"/>
  <c r="BY205" i="53"/>
  <c r="AB205" i="53"/>
  <c r="AT204" i="53"/>
  <c r="DB203" i="53"/>
  <c r="BG203" i="53"/>
  <c r="R203" i="53"/>
  <c r="CE202" i="53"/>
  <c r="AQ202" i="53"/>
  <c r="E202" i="53"/>
  <c r="BM201" i="53"/>
  <c r="Z201" i="53"/>
  <c r="CP200" i="53"/>
  <c r="BF200" i="53"/>
  <c r="X200" i="53"/>
  <c r="CQ199" i="53"/>
  <c r="BJ199" i="53"/>
  <c r="AB199" i="53"/>
  <c r="CV198" i="53"/>
  <c r="CU198" i="53" s="1"/>
  <c r="BN198" i="53"/>
  <c r="AF198" i="53"/>
  <c r="DA197" i="53"/>
  <c r="BS197" i="53"/>
  <c r="AK197" i="53"/>
  <c r="AJ197" i="53" s="1"/>
  <c r="F197" i="53"/>
  <c r="BX196" i="53"/>
  <c r="AR196" i="53"/>
  <c r="L196" i="53"/>
  <c r="CE195" i="53"/>
  <c r="AX195" i="53"/>
  <c r="Q195" i="53"/>
  <c r="CJ192" i="53"/>
  <c r="BC192" i="53"/>
  <c r="T192" i="53"/>
  <c r="CN191" i="53"/>
  <c r="CC245" i="53"/>
  <c r="CB245" i="53" s="1"/>
  <c r="AG244" i="53"/>
  <c r="X243" i="53"/>
  <c r="E242" i="53"/>
  <c r="CK240" i="53"/>
  <c r="CH239" i="53"/>
  <c r="CK238" i="53"/>
  <c r="DC238" i="53" s="1"/>
  <c r="CG237" i="53"/>
  <c r="CQ236" i="53"/>
  <c r="CV235" i="53"/>
  <c r="CU235" i="53" s="1"/>
  <c r="CX234" i="53"/>
  <c r="CW234" i="53" s="1"/>
  <c r="E234" i="53"/>
  <c r="Q233" i="53"/>
  <c r="W232" i="53"/>
  <c r="AW231" i="53"/>
  <c r="BP230" i="53"/>
  <c r="CH229" i="53"/>
  <c r="H229" i="53"/>
  <c r="AD228" i="53"/>
  <c r="BD225" i="53"/>
  <c r="CA224" i="53"/>
  <c r="BZ224" i="53" s="1"/>
  <c r="DA222" i="53"/>
  <c r="W222" i="53"/>
  <c r="BB221" i="53"/>
  <c r="CC220" i="53"/>
  <c r="CB220" i="53" s="1"/>
  <c r="DA219" i="53"/>
  <c r="AI219" i="53"/>
  <c r="AH219" i="53" s="1"/>
  <c r="BP218" i="53"/>
  <c r="DB217" i="53"/>
  <c r="CF216" i="53"/>
  <c r="BE215" i="53"/>
  <c r="CS214" i="53"/>
  <c r="AQ214" i="53"/>
  <c r="AR245" i="53"/>
  <c r="CR242" i="53"/>
  <c r="CG241" i="53"/>
  <c r="BQ240" i="53"/>
  <c r="BJ239" i="53"/>
  <c r="BH238" i="53"/>
  <c r="BV237" i="53"/>
  <c r="BS236" i="53"/>
  <c r="BO235" i="53"/>
  <c r="CG234" i="53"/>
  <c r="CI233" i="53"/>
  <c r="AN230" i="53"/>
  <c r="BP229" i="53"/>
  <c r="CN228" i="53"/>
  <c r="I228" i="53"/>
  <c r="AI225" i="53"/>
  <c r="AH225" i="53" s="1"/>
  <c r="BN224" i="53"/>
  <c r="CN222" i="53"/>
  <c r="L222" i="53"/>
  <c r="AF221" i="53"/>
  <c r="BG220" i="53"/>
  <c r="CM219" i="53"/>
  <c r="W219" i="53"/>
  <c r="BC218" i="53"/>
  <c r="CK217" i="53"/>
  <c r="BK216" i="53"/>
  <c r="DA215" i="53"/>
  <c r="AK215" i="53"/>
  <c r="AJ215" i="53" s="1"/>
  <c r="CH214" i="53"/>
  <c r="AA214" i="53"/>
  <c r="BX213" i="53"/>
  <c r="U213" i="53"/>
  <c r="BW212" i="53"/>
  <c r="Q212" i="53"/>
  <c r="BV211" i="53"/>
  <c r="X211" i="53"/>
  <c r="BX210" i="53"/>
  <c r="AA210" i="53"/>
  <c r="CG209" i="53"/>
  <c r="AQ209" i="53"/>
  <c r="CS206" i="53"/>
  <c r="AX206" i="53"/>
  <c r="DA205" i="53"/>
  <c r="BG205" i="53"/>
  <c r="Q205" i="53"/>
  <c r="BX204" i="53"/>
  <c r="X204" i="53"/>
  <c r="CK203" i="53"/>
  <c r="AT203" i="53"/>
  <c r="G203" i="53"/>
  <c r="BN202" i="53"/>
  <c r="AZ201" i="53"/>
  <c r="O201" i="53"/>
  <c r="CE200" i="53"/>
  <c r="AV200" i="53"/>
  <c r="E245" i="53"/>
  <c r="U243" i="53"/>
  <c r="BF241" i="53"/>
  <c r="DB239" i="53"/>
  <c r="BM238" i="53"/>
  <c r="AO237" i="53"/>
  <c r="N236" i="53"/>
  <c r="CK234" i="53"/>
  <c r="BK233" i="53"/>
  <c r="AM232" i="53"/>
  <c r="AM231" i="53"/>
  <c r="AE230" i="53"/>
  <c r="Q229" i="53"/>
  <c r="P228" i="53"/>
  <c r="S225" i="53"/>
  <c r="W224" i="53"/>
  <c r="S222" i="53"/>
  <c r="T221" i="53"/>
  <c r="O220" i="53"/>
  <c r="AB219" i="53"/>
  <c r="AI218" i="53"/>
  <c r="AH218" i="53" s="1"/>
  <c r="AX217" i="53"/>
  <c r="BV216" i="53"/>
  <c r="CP215" i="53"/>
  <c r="D215" i="53"/>
  <c r="AF214" i="53"/>
  <c r="BQ213" i="53"/>
  <c r="DA212" i="53"/>
  <c r="AI212" i="53"/>
  <c r="AH212" i="53" s="1"/>
  <c r="BU211" i="53"/>
  <c r="AX210" i="53"/>
  <c r="CK209" i="53"/>
  <c r="AM209" i="53"/>
  <c r="CC206" i="53"/>
  <c r="CB206" i="53" s="1"/>
  <c r="R206" i="53"/>
  <c r="BI205" i="53"/>
  <c r="BD204" i="53"/>
  <c r="CS203" i="53"/>
  <c r="AS203" i="53"/>
  <c r="CS202" i="53"/>
  <c r="AS202" i="53"/>
  <c r="CQ201" i="53"/>
  <c r="AW201" i="53"/>
  <c r="E201" i="53"/>
  <c r="BD200" i="53"/>
  <c r="P200" i="53"/>
  <c r="CC199" i="53"/>
  <c r="CB199" i="53" s="1"/>
  <c r="AN199" i="53"/>
  <c r="CY198" i="53"/>
  <c r="BH198" i="53"/>
  <c r="U198" i="53"/>
  <c r="CI197" i="53"/>
  <c r="AV197" i="53"/>
  <c r="D197" i="53"/>
  <c r="BP196" i="53"/>
  <c r="AC196" i="53"/>
  <c r="CQ195" i="53"/>
  <c r="BC195" i="53"/>
  <c r="M195" i="53"/>
  <c r="BX192" i="53"/>
  <c r="AK192" i="53"/>
  <c r="AJ192" i="53" s="1"/>
  <c r="CY191" i="53"/>
  <c r="BH191" i="53"/>
  <c r="CO190" i="53"/>
  <c r="BE190" i="53"/>
  <c r="U190" i="53"/>
  <c r="CN189" i="53"/>
  <c r="BF189" i="53"/>
  <c r="CP188" i="53"/>
  <c r="BG188" i="53"/>
  <c r="X188" i="53"/>
  <c r="BK187" i="53"/>
  <c r="AD187" i="53"/>
  <c r="CY186" i="53"/>
  <c r="BP186" i="53"/>
  <c r="AI186" i="53"/>
  <c r="AH186" i="53" s="1"/>
  <c r="D186" i="53"/>
  <c r="BU185" i="53"/>
  <c r="AN185" i="53"/>
  <c r="I185" i="53"/>
  <c r="CA184" i="53"/>
  <c r="BZ184" i="53" s="1"/>
  <c r="AT184" i="53"/>
  <c r="N184" i="53"/>
  <c r="CG183" i="53"/>
  <c r="AY183" i="53"/>
  <c r="R183" i="53"/>
  <c r="CK182" i="53"/>
  <c r="BF182" i="53"/>
  <c r="W182" i="53"/>
  <c r="DA244" i="53"/>
  <c r="S243" i="53"/>
  <c r="BD241" i="53"/>
  <c r="CR239" i="53"/>
  <c r="BJ238" i="53"/>
  <c r="AN237" i="53"/>
  <c r="I236" i="53"/>
  <c r="CJ234" i="53"/>
  <c r="BG233" i="53"/>
  <c r="AB232" i="53"/>
  <c r="W231" i="53"/>
  <c r="AD230" i="53"/>
  <c r="M229" i="53"/>
  <c r="K228" i="53"/>
  <c r="P225" i="53"/>
  <c r="P224" i="53"/>
  <c r="Q222" i="53"/>
  <c r="L221" i="53"/>
  <c r="H220" i="53"/>
  <c r="X219" i="53"/>
  <c r="AE218" i="53"/>
  <c r="AS217" i="53"/>
  <c r="BU216" i="53"/>
  <c r="CO215" i="53"/>
  <c r="AD214" i="53"/>
  <c r="BP213" i="53"/>
  <c r="CV212" i="53"/>
  <c r="CU212" i="53" s="1"/>
  <c r="AG212" i="53"/>
  <c r="BT211" i="53"/>
  <c r="I211" i="53"/>
  <c r="AT210" i="53"/>
  <c r="CJ209" i="53"/>
  <c r="AK209" i="53"/>
  <c r="AJ209" i="53" s="1"/>
  <c r="CA206" i="53"/>
  <c r="BZ206" i="53" s="1"/>
  <c r="N206" i="53"/>
  <c r="BH205" i="53"/>
  <c r="D205" i="53"/>
  <c r="AZ204" i="53"/>
  <c r="CQ203" i="53"/>
  <c r="AR203" i="53"/>
  <c r="CQ202" i="53"/>
  <c r="AO202" i="53"/>
  <c r="CP201" i="53"/>
  <c r="AV201" i="53"/>
  <c r="DB200" i="53"/>
  <c r="BC200" i="53"/>
  <c r="O200" i="53"/>
  <c r="CA199" i="53"/>
  <c r="BZ199" i="53" s="1"/>
  <c r="AM199" i="53"/>
  <c r="CT198" i="53"/>
  <c r="BG198" i="53"/>
  <c r="T198" i="53"/>
  <c r="CH197" i="53"/>
  <c r="AT197" i="53"/>
  <c r="DB196" i="53"/>
  <c r="BO196" i="53"/>
  <c r="AB196" i="53"/>
  <c r="CP195" i="53"/>
  <c r="AZ195" i="53"/>
  <c r="L195" i="53"/>
  <c r="BW192" i="53"/>
  <c r="AI192" i="53"/>
  <c r="AH192" i="53" s="1"/>
  <c r="CX191" i="53"/>
  <c r="BF191" i="53"/>
  <c r="U191" i="53"/>
  <c r="CN190" i="53"/>
  <c r="BD190" i="53"/>
  <c r="T190" i="53"/>
  <c r="BE189" i="53"/>
  <c r="U189" i="53"/>
  <c r="CO188" i="53"/>
  <c r="BF188" i="53"/>
  <c r="W188" i="53"/>
  <c r="CQ187" i="53"/>
  <c r="BJ187" i="53"/>
  <c r="AC187" i="53"/>
  <c r="CX186" i="53"/>
  <c r="BO186" i="53"/>
  <c r="AG186" i="53"/>
  <c r="DB185" i="53"/>
  <c r="BT185" i="53"/>
  <c r="CX244" i="53"/>
  <c r="M243" i="53"/>
  <c r="AZ241" i="53"/>
  <c r="CN239" i="53"/>
  <c r="AZ238" i="53"/>
  <c r="AM237" i="53"/>
  <c r="CY235" i="53"/>
  <c r="CC234" i="53"/>
  <c r="CB234" i="53" s="1"/>
  <c r="BE233" i="53"/>
  <c r="AA232" i="53"/>
  <c r="U231" i="53"/>
  <c r="AC230" i="53"/>
  <c r="G228" i="53"/>
  <c r="N225" i="53"/>
  <c r="E224" i="53"/>
  <c r="H222" i="53"/>
  <c r="D221" i="53"/>
  <c r="F220" i="53"/>
  <c r="U219" i="53"/>
  <c r="AD218" i="53"/>
  <c r="AR217" i="53"/>
  <c r="BJ216" i="53"/>
  <c r="CH215" i="53"/>
  <c r="X214" i="53"/>
  <c r="BO213" i="53"/>
  <c r="CS212" i="53"/>
  <c r="AB212" i="53"/>
  <c r="BQ211" i="53"/>
  <c r="G211" i="53"/>
  <c r="AS210" i="53"/>
  <c r="CI209" i="53"/>
  <c r="AI209" i="53"/>
  <c r="AH209" i="53" s="1"/>
  <c r="BY206" i="53"/>
  <c r="M206" i="53"/>
  <c r="BF205" i="53"/>
  <c r="DB204" i="53"/>
  <c r="AX204" i="53"/>
  <c r="CP203" i="53"/>
  <c r="AQ203" i="53"/>
  <c r="CP202" i="53"/>
  <c r="AN202" i="53"/>
  <c r="CO201" i="53"/>
  <c r="AT201" i="53"/>
  <c r="DA200" i="53"/>
  <c r="BB200" i="53"/>
  <c r="N200" i="53"/>
  <c r="CS198" i="53"/>
  <c r="BF198" i="53"/>
  <c r="S198" i="53"/>
  <c r="CG197" i="53"/>
  <c r="AQ197" i="53"/>
  <c r="DA196" i="53"/>
  <c r="BN196" i="53"/>
  <c r="AA196" i="53"/>
  <c r="CO195" i="53"/>
  <c r="AW195" i="53"/>
  <c r="BV192" i="53"/>
  <c r="AG192" i="53"/>
  <c r="CV191" i="53"/>
  <c r="CU191" i="53" s="1"/>
  <c r="BE191" i="53"/>
  <c r="T191" i="53"/>
  <c r="BC190" i="53"/>
  <c r="S190" i="53"/>
  <c r="CK189" i="53"/>
  <c r="BD189" i="53"/>
  <c r="T189" i="53"/>
  <c r="CN188" i="53"/>
  <c r="BE188" i="53"/>
  <c r="CP187" i="53"/>
  <c r="BI187" i="53"/>
  <c r="AB187" i="53"/>
  <c r="CV186" i="53"/>
  <c r="CU186" i="53" s="1"/>
  <c r="BN186" i="53"/>
  <c r="AF186" i="53"/>
  <c r="BT244" i="53"/>
  <c r="CV242" i="53"/>
  <c r="CU242" i="53" s="1"/>
  <c r="AY241" i="53"/>
  <c r="CK239" i="53"/>
  <c r="AX238" i="53"/>
  <c r="AC237" i="53"/>
  <c r="CX235" i="53"/>
  <c r="BY234" i="53"/>
  <c r="BB233" i="53"/>
  <c r="Z232" i="53"/>
  <c r="P231" i="53"/>
  <c r="AA230" i="53"/>
  <c r="I229" i="53"/>
  <c r="F228" i="53"/>
  <c r="I225" i="53"/>
  <c r="DB222" i="53"/>
  <c r="F222" i="53"/>
  <c r="DB220" i="53"/>
  <c r="DB219" i="53"/>
  <c r="M219" i="53"/>
  <c r="AC218" i="53"/>
  <c r="AO217" i="53"/>
  <c r="BH216" i="53"/>
  <c r="CA215" i="53"/>
  <c r="BZ215" i="53" s="1"/>
  <c r="CT214" i="53"/>
  <c r="U214" i="53"/>
  <c r="BM213" i="53"/>
  <c r="CI212" i="53"/>
  <c r="AA212" i="53"/>
  <c r="BP211" i="53"/>
  <c r="D211" i="53"/>
  <c r="AR210" i="53"/>
  <c r="CH209" i="53"/>
  <c r="AF209" i="53"/>
  <c r="BV206" i="53"/>
  <c r="L206" i="53"/>
  <c r="BE205" i="53"/>
  <c r="DA204" i="53"/>
  <c r="AS204" i="53"/>
  <c r="CO203" i="53"/>
  <c r="AO203" i="53"/>
  <c r="CO202" i="53"/>
  <c r="AM202" i="53"/>
  <c r="CN201" i="53"/>
  <c r="AS201" i="53"/>
  <c r="CT200" i="53"/>
  <c r="M200" i="53"/>
  <c r="BY199" i="53"/>
  <c r="AK199" i="53"/>
  <c r="AJ199" i="53" s="1"/>
  <c r="CR198" i="53"/>
  <c r="BE198" i="53"/>
  <c r="R198" i="53"/>
  <c r="CF197" i="53"/>
  <c r="AN197" i="53"/>
  <c r="CZ196" i="53"/>
  <c r="BM196" i="53"/>
  <c r="Z196" i="53"/>
  <c r="CN195" i="53"/>
  <c r="AV195" i="53"/>
  <c r="I195" i="53"/>
  <c r="BU192" i="53"/>
  <c r="AF192" i="53"/>
  <c r="BD191" i="53"/>
  <c r="S191" i="53"/>
  <c r="CK190" i="53"/>
  <c r="BB190" i="53"/>
  <c r="R190" i="53"/>
  <c r="CJ189" i="53"/>
  <c r="BC189" i="53"/>
  <c r="S189" i="53"/>
  <c r="BD188" i="53"/>
  <c r="U188" i="53"/>
  <c r="CO187" i="53"/>
  <c r="BH187" i="53"/>
  <c r="AA187" i="53"/>
  <c r="CT186" i="53"/>
  <c r="BM186" i="53"/>
  <c r="AE186" i="53"/>
  <c r="CZ185" i="53"/>
  <c r="BQ185" i="53"/>
  <c r="AX244" i="53"/>
  <c r="AU244" i="53" s="1"/>
  <c r="CN242" i="53"/>
  <c r="AS241" i="53"/>
  <c r="CC239" i="53"/>
  <c r="CB239" i="53" s="1"/>
  <c r="AW238" i="53"/>
  <c r="AB237" i="53"/>
  <c r="CK235" i="53"/>
  <c r="BW234" i="53"/>
  <c r="AW233" i="53"/>
  <c r="O231" i="53"/>
  <c r="W230" i="53"/>
  <c r="F229" i="53"/>
  <c r="E228" i="53"/>
  <c r="H225" i="53"/>
  <c r="CS222" i="53"/>
  <c r="DB221" i="53"/>
  <c r="DA220" i="53"/>
  <c r="CZ219" i="53"/>
  <c r="L219" i="53"/>
  <c r="AB218" i="53"/>
  <c r="AK217" i="53"/>
  <c r="AJ217" i="53" s="1"/>
  <c r="BD216" i="53"/>
  <c r="BY215" i="53"/>
  <c r="CR214" i="53"/>
  <c r="T214" i="53"/>
  <c r="BK213" i="53"/>
  <c r="CH212" i="53"/>
  <c r="Z212" i="53"/>
  <c r="BO211" i="53"/>
  <c r="DB210" i="53"/>
  <c r="AO210" i="53"/>
  <c r="CF209" i="53"/>
  <c r="AE209" i="53"/>
  <c r="BS206" i="53"/>
  <c r="I206" i="53"/>
  <c r="BD205" i="53"/>
  <c r="CY204" i="53"/>
  <c r="AR204" i="53"/>
  <c r="CN203" i="53"/>
  <c r="AN203" i="53"/>
  <c r="AK202" i="53"/>
  <c r="AJ202" i="53" s="1"/>
  <c r="CK201" i="53"/>
  <c r="AR201" i="53"/>
  <c r="CR200" i="53"/>
  <c r="AZ200" i="53"/>
  <c r="L200" i="53"/>
  <c r="BX199" i="53"/>
  <c r="AF199" i="53"/>
  <c r="CQ198" i="53"/>
  <c r="BD198" i="53"/>
  <c r="Q198" i="53"/>
  <c r="CE197" i="53"/>
  <c r="AI197" i="53"/>
  <c r="AH197" i="53" s="1"/>
  <c r="CY196" i="53"/>
  <c r="BK196" i="53"/>
  <c r="AT244" i="53"/>
  <c r="CH242" i="53"/>
  <c r="AR241" i="53"/>
  <c r="BY239" i="53"/>
  <c r="AV238" i="53"/>
  <c r="Z237" i="53"/>
  <c r="CG235" i="53"/>
  <c r="BS234" i="53"/>
  <c r="AO233" i="53"/>
  <c r="T232" i="53"/>
  <c r="L231" i="53"/>
  <c r="S230" i="53"/>
  <c r="E229" i="53"/>
  <c r="D228" i="53"/>
  <c r="G225" i="53"/>
  <c r="DA221" i="53"/>
  <c r="CZ220" i="53"/>
  <c r="CV219" i="53"/>
  <c r="CU219" i="53" s="1"/>
  <c r="I219" i="53"/>
  <c r="AA218" i="53"/>
  <c r="AI217" i="53"/>
  <c r="AH217" i="53" s="1"/>
  <c r="BB216" i="53"/>
  <c r="BX215" i="53"/>
  <c r="CP214" i="53"/>
  <c r="R214" i="53"/>
  <c r="BI213" i="53"/>
  <c r="CG212" i="53"/>
  <c r="BN211" i="53"/>
  <c r="CY210" i="53"/>
  <c r="AI210" i="53"/>
  <c r="AH210" i="53" s="1"/>
  <c r="CE209" i="53"/>
  <c r="W209" i="53"/>
  <c r="BK206" i="53"/>
  <c r="G206" i="53"/>
  <c r="BC205" i="53"/>
  <c r="CV204" i="53"/>
  <c r="CU204" i="53" s="1"/>
  <c r="AN204" i="53"/>
  <c r="AM203" i="53"/>
  <c r="CI202" i="53"/>
  <c r="AE202" i="53"/>
  <c r="CJ201" i="53"/>
  <c r="AQ201" i="53"/>
  <c r="CO200" i="53"/>
  <c r="AY200" i="53"/>
  <c r="K200" i="53"/>
  <c r="BV199" i="53"/>
  <c r="AD199" i="53"/>
  <c r="CP198" i="53"/>
  <c r="BC198" i="53"/>
  <c r="P198" i="53"/>
  <c r="CC197" i="53"/>
  <c r="CB197" i="53" s="1"/>
  <c r="CX196" i="53"/>
  <c r="BJ196" i="53"/>
  <c r="W196" i="53"/>
  <c r="CI195" i="53"/>
  <c r="AS195" i="53"/>
  <c r="G195" i="53"/>
  <c r="BS192" i="53"/>
  <c r="AD192" i="53"/>
  <c r="BB191" i="53"/>
  <c r="Q191" i="53"/>
  <c r="CI190" i="53"/>
  <c r="AY190" i="53"/>
  <c r="P190" i="53"/>
  <c r="CH189" i="53"/>
  <c r="AZ189" i="53"/>
  <c r="Q189" i="53"/>
  <c r="CJ188" i="53"/>
  <c r="BB188" i="53"/>
  <c r="S188" i="53"/>
  <c r="BF187" i="53"/>
  <c r="X187" i="53"/>
  <c r="BJ186" i="53"/>
  <c r="AC186" i="53"/>
  <c r="CX185" i="53"/>
  <c r="BO185" i="53"/>
  <c r="S244" i="53"/>
  <c r="BQ242" i="53"/>
  <c r="CT240" i="53"/>
  <c r="BI239" i="53"/>
  <c r="CX236" i="53"/>
  <c r="BK235" i="53"/>
  <c r="AZ234" i="53"/>
  <c r="T233" i="53"/>
  <c r="G232" i="53"/>
  <c r="CZ230" i="53"/>
  <c r="DC230" i="53" s="1"/>
  <c r="CK229" i="53"/>
  <c r="CJ228" i="53"/>
  <c r="CX225" i="53"/>
  <c r="CE224" i="53"/>
  <c r="CA222" i="53"/>
  <c r="BZ222" i="53" s="1"/>
  <c r="CN221" i="53"/>
  <c r="CI220" i="53"/>
  <c r="CK219" i="53"/>
  <c r="CY218" i="53"/>
  <c r="M218" i="53"/>
  <c r="X217" i="53"/>
  <c r="AT216" i="53"/>
  <c r="BH215" i="53"/>
  <c r="CF214" i="53"/>
  <c r="L214" i="53"/>
  <c r="AM213" i="53"/>
  <c r="CA212" i="53"/>
  <c r="BZ212" i="53" s="1"/>
  <c r="M212" i="53"/>
  <c r="BH211" i="53"/>
  <c r="CK210" i="53"/>
  <c r="AC210" i="53"/>
  <c r="BY209" i="53"/>
  <c r="O209" i="53"/>
  <c r="BG206" i="53"/>
  <c r="BH245" i="53"/>
  <c r="DB243" i="53"/>
  <c r="AR242" i="53"/>
  <c r="BS240" i="53"/>
  <c r="AI239" i="53"/>
  <c r="AH239" i="53" s="1"/>
  <c r="CO237" i="53"/>
  <c r="BU236" i="53"/>
  <c r="AZ235" i="53"/>
  <c r="L234" i="53"/>
  <c r="CN232" i="53"/>
  <c r="CA230" i="53"/>
  <c r="BZ230" i="53" s="1"/>
  <c r="BT229" i="53"/>
  <c r="BS228" i="53"/>
  <c r="BJ225" i="53"/>
  <c r="BO224" i="53"/>
  <c r="BP222" i="53"/>
  <c r="BG221" i="53"/>
  <c r="BH220" i="53"/>
  <c r="CA219" i="53"/>
  <c r="BZ219" i="53" s="1"/>
  <c r="BV218" i="53"/>
  <c r="CN217" i="53"/>
  <c r="L217" i="53"/>
  <c r="BQ214" i="53"/>
  <c r="CX213" i="53"/>
  <c r="AC213" i="53"/>
  <c r="BO212" i="53"/>
  <c r="E212" i="53"/>
  <c r="AI211" i="53"/>
  <c r="AH211" i="53" s="1"/>
  <c r="CE210" i="53"/>
  <c r="BD245" i="53"/>
  <c r="CN243" i="53"/>
  <c r="K242" i="53"/>
  <c r="BN240" i="53"/>
  <c r="U239" i="53"/>
  <c r="CE237" i="53"/>
  <c r="BF236" i="53"/>
  <c r="AW235" i="53"/>
  <c r="D234" i="53"/>
  <c r="CG232" i="53"/>
  <c r="BY231" i="53"/>
  <c r="AZ230" i="53"/>
  <c r="BJ229" i="53"/>
  <c r="BJ228" i="53"/>
  <c r="AZ225" i="53"/>
  <c r="AV224" i="53"/>
  <c r="BM222" i="53"/>
  <c r="AV245" i="53"/>
  <c r="AU245" i="53" s="1"/>
  <c r="CK243" i="53"/>
  <c r="BM240" i="53"/>
  <c r="BE245" i="53"/>
  <c r="CC242" i="53"/>
  <c r="CB242" i="53" s="1"/>
  <c r="AK240" i="53"/>
  <c r="AJ240" i="53" s="1"/>
  <c r="AM238" i="53"/>
  <c r="BD236" i="53"/>
  <c r="BG234" i="53"/>
  <c r="CE232" i="53"/>
  <c r="G231" i="53"/>
  <c r="BN229" i="53"/>
  <c r="R228" i="53"/>
  <c r="BM224" i="53"/>
  <c r="U222" i="53"/>
  <c r="BJ220" i="53"/>
  <c r="AQ219" i="53"/>
  <c r="N218" i="53"/>
  <c r="DA216" i="53"/>
  <c r="CT215" i="53"/>
  <c r="BV214" i="53"/>
  <c r="CA213" i="53"/>
  <c r="BZ213" i="53" s="1"/>
  <c r="CC212" i="53"/>
  <c r="CB212" i="53" s="1"/>
  <c r="CV211" i="53"/>
  <c r="CU211" i="53" s="1"/>
  <c r="P211" i="53"/>
  <c r="S210" i="53"/>
  <c r="AW209" i="53"/>
  <c r="CE206" i="53"/>
  <c r="CS205" i="53"/>
  <c r="W205" i="53"/>
  <c r="BH204" i="53"/>
  <c r="CG203" i="53"/>
  <c r="P203" i="53"/>
  <c r="BG202" i="53"/>
  <c r="CT201" i="53"/>
  <c r="AB201" i="53"/>
  <c r="BY200" i="53"/>
  <c r="V200" i="53"/>
  <c r="BU199" i="53"/>
  <c r="T199" i="53"/>
  <c r="BY198" i="53"/>
  <c r="Z198" i="53"/>
  <c r="BU197" i="53"/>
  <c r="X197" i="53"/>
  <c r="CC196" i="53"/>
  <c r="CB196" i="53" s="1"/>
  <c r="AE196" i="53"/>
  <c r="AI195" i="53"/>
  <c r="AH195" i="53" s="1"/>
  <c r="CO192" i="53"/>
  <c r="AR192" i="53"/>
  <c r="CP191" i="53"/>
  <c r="AV191" i="53"/>
  <c r="F191" i="53"/>
  <c r="BO190" i="53"/>
  <c r="X190" i="53"/>
  <c r="CF189" i="53"/>
  <c r="AR189" i="53"/>
  <c r="DB188" i="53"/>
  <c r="BN188" i="53"/>
  <c r="Z188" i="53"/>
  <c r="CH187" i="53"/>
  <c r="AV187" i="53"/>
  <c r="I187" i="53"/>
  <c r="BU186" i="53"/>
  <c r="AB186" i="53"/>
  <c r="CQ185" i="53"/>
  <c r="BE185" i="53"/>
  <c r="W185" i="53"/>
  <c r="CP184" i="53"/>
  <c r="BG184" i="53"/>
  <c r="X184" i="53"/>
  <c r="CQ183" i="53"/>
  <c r="BH183" i="53"/>
  <c r="Z183" i="53"/>
  <c r="CR182" i="53"/>
  <c r="BK182" i="53"/>
  <c r="AB182" i="53"/>
  <c r="CT181" i="53"/>
  <c r="BN181" i="53"/>
  <c r="AE181" i="53"/>
  <c r="CZ178" i="53"/>
  <c r="BQ178" i="53"/>
  <c r="AI178" i="53"/>
  <c r="AH178" i="53" s="1"/>
  <c r="D178" i="53"/>
  <c r="BV177" i="53"/>
  <c r="AO177" i="53"/>
  <c r="H177" i="53"/>
  <c r="BY176" i="53"/>
  <c r="AS176" i="53"/>
  <c r="L176" i="53"/>
  <c r="CE175" i="53"/>
  <c r="AW175" i="53"/>
  <c r="O175" i="53"/>
  <c r="CI174" i="53"/>
  <c r="AM245" i="53"/>
  <c r="AL245" i="53" s="1"/>
  <c r="CA242" i="53"/>
  <c r="BZ242" i="53" s="1"/>
  <c r="AG240" i="53"/>
  <c r="AE238" i="53"/>
  <c r="AW236" i="53"/>
  <c r="AU236" i="53" s="1"/>
  <c r="BB234" i="53"/>
  <c r="CC232" i="53"/>
  <c r="CB232" i="53" s="1"/>
  <c r="F231" i="53"/>
  <c r="BI229" i="53"/>
  <c r="DA225" i="53"/>
  <c r="AZ224" i="53"/>
  <c r="T222" i="53"/>
  <c r="BI220" i="53"/>
  <c r="AO219" i="53"/>
  <c r="G218" i="53"/>
  <c r="CZ216" i="53"/>
  <c r="CS215" i="53"/>
  <c r="BU214" i="53"/>
  <c r="BY213" i="53"/>
  <c r="BY212" i="53"/>
  <c r="L211" i="53"/>
  <c r="R210" i="53"/>
  <c r="AV209" i="53"/>
  <c r="BJ206" i="53"/>
  <c r="BG204" i="53"/>
  <c r="CF203" i="53"/>
  <c r="O203" i="53"/>
  <c r="BE202" i="53"/>
  <c r="CS201" i="53"/>
  <c r="X201" i="53"/>
  <c r="BX200" i="53"/>
  <c r="U200" i="53"/>
  <c r="BT199" i="53"/>
  <c r="S199" i="53"/>
  <c r="BX198" i="53"/>
  <c r="X198" i="53"/>
  <c r="BQ197" i="53"/>
  <c r="W197" i="53"/>
  <c r="AD196" i="53"/>
  <c r="CA195" i="53"/>
  <c r="BZ195" i="53" s="1"/>
  <c r="AG195" i="53"/>
  <c r="CM192" i="53"/>
  <c r="AQ192" i="53"/>
  <c r="CK191" i="53"/>
  <c r="AT191" i="53"/>
  <c r="E191" i="53"/>
  <c r="BM190" i="53"/>
  <c r="W190" i="53"/>
  <c r="CE189" i="53"/>
  <c r="AQ189" i="53"/>
  <c r="DA188" i="53"/>
  <c r="BM188" i="53"/>
  <c r="T188" i="53"/>
  <c r="CG187" i="53"/>
  <c r="AT187" i="53"/>
  <c r="H187" i="53"/>
  <c r="BT186" i="53"/>
  <c r="AA186" i="53"/>
  <c r="CP185" i="53"/>
  <c r="BD185" i="53"/>
  <c r="CO184" i="53"/>
  <c r="BF184" i="53"/>
  <c r="W184" i="53"/>
  <c r="CP183" i="53"/>
  <c r="BG183" i="53"/>
  <c r="X183" i="53"/>
  <c r="CQ182" i="53"/>
  <c r="BJ182" i="53"/>
  <c r="AA182" i="53"/>
  <c r="CS181" i="53"/>
  <c r="BM181" i="53"/>
  <c r="AD181" i="53"/>
  <c r="CY178" i="53"/>
  <c r="BP178" i="53"/>
  <c r="AG178" i="53"/>
  <c r="DB177" i="53"/>
  <c r="BU177" i="53"/>
  <c r="AK245" i="53"/>
  <c r="AJ245" i="53" s="1"/>
  <c r="BP242" i="53"/>
  <c r="AC240" i="53"/>
  <c r="AC238" i="53"/>
  <c r="AT236" i="53"/>
  <c r="AS234" i="53"/>
  <c r="CA232" i="53"/>
  <c r="BZ232" i="53" s="1"/>
  <c r="E231" i="53"/>
  <c r="BF229" i="53"/>
  <c r="CZ225" i="53"/>
  <c r="AS224" i="53"/>
  <c r="CY221" i="53"/>
  <c r="BF220" i="53"/>
  <c r="AM219" i="53"/>
  <c r="CX217" i="53"/>
  <c r="CW217" i="53" s="1"/>
  <c r="CS216" i="53"/>
  <c r="BU215" i="53"/>
  <c r="BK214" i="53"/>
  <c r="BW213" i="53"/>
  <c r="BX212" i="53"/>
  <c r="CI211" i="53"/>
  <c r="CV210" i="53"/>
  <c r="CU210" i="53" s="1"/>
  <c r="Q210" i="53"/>
  <c r="BI206" i="53"/>
  <c r="CQ205" i="53"/>
  <c r="U205" i="53"/>
  <c r="BF204" i="53"/>
  <c r="CE203" i="53"/>
  <c r="N203" i="53"/>
  <c r="BD202" i="53"/>
  <c r="CI201" i="53"/>
  <c r="W201" i="53"/>
  <c r="BW200" i="53"/>
  <c r="T200" i="53"/>
  <c r="BS199" i="53"/>
  <c r="R199" i="53"/>
  <c r="BW198" i="53"/>
  <c r="W198" i="53"/>
  <c r="BP197" i="53"/>
  <c r="V197" i="53"/>
  <c r="BW196" i="53"/>
  <c r="X196" i="53"/>
  <c r="BY195" i="53"/>
  <c r="AF195" i="53"/>
  <c r="CI192" i="53"/>
  <c r="AO192" i="53"/>
  <c r="CJ191" i="53"/>
  <c r="AS191" i="53"/>
  <c r="D191" i="53"/>
  <c r="BK190" i="53"/>
  <c r="CC189" i="53"/>
  <c r="CB189" i="53" s="1"/>
  <c r="AN189" i="53"/>
  <c r="CZ188" i="53"/>
  <c r="BK188" i="53"/>
  <c r="R188" i="53"/>
  <c r="CF187" i="53"/>
  <c r="AS187" i="53"/>
  <c r="G187" i="53"/>
  <c r="BS186" i="53"/>
  <c r="Z186" i="53"/>
  <c r="CO185" i="53"/>
  <c r="BC185" i="53"/>
  <c r="U185" i="53"/>
  <c r="CN184" i="53"/>
  <c r="BE184" i="53"/>
  <c r="V184" i="53"/>
  <c r="CO183" i="53"/>
  <c r="BF183" i="53"/>
  <c r="W183" i="53"/>
  <c r="CP182" i="53"/>
  <c r="BI182" i="53"/>
  <c r="Z182" i="53"/>
  <c r="CR181" i="53"/>
  <c r="BK181" i="53"/>
  <c r="AC181" i="53"/>
  <c r="CX178" i="53"/>
  <c r="BO178" i="53"/>
  <c r="AF178" i="53"/>
  <c r="DA177" i="53"/>
  <c r="BT177" i="53"/>
  <c r="AM177" i="53"/>
  <c r="F177" i="53"/>
  <c r="AG245" i="53"/>
  <c r="BH242" i="53"/>
  <c r="V240" i="53"/>
  <c r="AA238" i="53"/>
  <c r="AI236" i="53"/>
  <c r="AH236" i="53" s="1"/>
  <c r="AR234" i="53"/>
  <c r="BX232" i="53"/>
  <c r="CX230" i="53"/>
  <c r="CW230" i="53" s="1"/>
  <c r="AX229" i="53"/>
  <c r="CY225" i="53"/>
  <c r="AN224" i="53"/>
  <c r="CP221" i="53"/>
  <c r="BC220" i="53"/>
  <c r="AG219" i="53"/>
  <c r="CV217" i="53"/>
  <c r="CU217" i="53" s="1"/>
  <c r="CN216" i="53"/>
  <c r="BO215" i="53"/>
  <c r="BJ214" i="53"/>
  <c r="BU213" i="53"/>
  <c r="BV212" i="53"/>
  <c r="CG211" i="53"/>
  <c r="CQ210" i="53"/>
  <c r="P210" i="53"/>
  <c r="AT209" i="53"/>
  <c r="BH206" i="53"/>
  <c r="CP205" i="53"/>
  <c r="T205" i="53"/>
  <c r="BE204" i="53"/>
  <c r="CA203" i="53"/>
  <c r="BZ203" i="53" s="1"/>
  <c r="M203" i="53"/>
  <c r="BC202" i="53"/>
  <c r="CH201" i="53"/>
  <c r="BV200" i="53"/>
  <c r="S200" i="53"/>
  <c r="BO199" i="53"/>
  <c r="Q199" i="53"/>
  <c r="BV198" i="53"/>
  <c r="V198" i="53"/>
  <c r="BO197" i="53"/>
  <c r="U197" i="53"/>
  <c r="BV196" i="53"/>
  <c r="V196" i="53"/>
  <c r="BX195" i="53"/>
  <c r="AE195" i="53"/>
  <c r="CH192" i="53"/>
  <c r="AN192" i="53"/>
  <c r="CI191" i="53"/>
  <c r="AR191" i="53"/>
  <c r="DB190" i="53"/>
  <c r="BJ190" i="53"/>
  <c r="Q190" i="53"/>
  <c r="AM189" i="53"/>
  <c r="CY188" i="53"/>
  <c r="BJ188" i="53"/>
  <c r="Q188" i="53"/>
  <c r="CE187" i="53"/>
  <c r="AR187" i="53"/>
  <c r="F187" i="53"/>
  <c r="BQ186" i="53"/>
  <c r="X186" i="53"/>
  <c r="CN185" i="53"/>
  <c r="BB185" i="53"/>
  <c r="T185" i="53"/>
  <c r="CM184" i="53"/>
  <c r="BD184" i="53"/>
  <c r="U184" i="53"/>
  <c r="CN183" i="53"/>
  <c r="BE183" i="53"/>
  <c r="CO182" i="53"/>
  <c r="BH182" i="53"/>
  <c r="X182" i="53"/>
  <c r="CQ181" i="53"/>
  <c r="BJ181" i="53"/>
  <c r="AB181" i="53"/>
  <c r="CV178" i="53"/>
  <c r="CU178" i="53" s="1"/>
  <c r="BN178" i="53"/>
  <c r="AE178" i="53"/>
  <c r="CZ177" i="53"/>
  <c r="BS177" i="53"/>
  <c r="AK177" i="53"/>
  <c r="AJ177" i="53" s="1"/>
  <c r="E177" i="53"/>
  <c r="BV176" i="53"/>
  <c r="P245" i="53"/>
  <c r="BC242" i="53"/>
  <c r="N240" i="53"/>
  <c r="CS237" i="53"/>
  <c r="AF236" i="53"/>
  <c r="AD234" i="53"/>
  <c r="BT232" i="53"/>
  <c r="CR230" i="53"/>
  <c r="AV229" i="53"/>
  <c r="CS225" i="53"/>
  <c r="AK224" i="53"/>
  <c r="AJ224" i="53" s="1"/>
  <c r="CE221" i="53"/>
  <c r="AZ220" i="53"/>
  <c r="AD219" i="53"/>
  <c r="CO217" i="53"/>
  <c r="CI216" i="53"/>
  <c r="BG215" i="53"/>
  <c r="BH214" i="53"/>
  <c r="BS213" i="53"/>
  <c r="BP212" i="53"/>
  <c r="CC211" i="53"/>
  <c r="CB211" i="53" s="1"/>
  <c r="CJ210" i="53"/>
  <c r="N210" i="53"/>
  <c r="AR209" i="53"/>
  <c r="BE206" i="53"/>
  <c r="CN205" i="53"/>
  <c r="R205" i="53"/>
  <c r="AK204" i="53"/>
  <c r="AJ204" i="53" s="1"/>
  <c r="BX203" i="53"/>
  <c r="AZ202" i="53"/>
  <c r="CF201" i="53"/>
  <c r="T201" i="53"/>
  <c r="BS200" i="53"/>
  <c r="Q200" i="53"/>
  <c r="BI199" i="53"/>
  <c r="O199" i="53"/>
  <c r="BP198" i="53"/>
  <c r="N198" i="53"/>
  <c r="BM197" i="53"/>
  <c r="S197" i="53"/>
  <c r="BT196" i="53"/>
  <c r="T196" i="53"/>
  <c r="BV195" i="53"/>
  <c r="AC195" i="53"/>
  <c r="CF192" i="53"/>
  <c r="AE192" i="53"/>
  <c r="CG191" i="53"/>
  <c r="AO191" i="53"/>
  <c r="CZ190" i="53"/>
  <c r="BH190" i="53"/>
  <c r="N190" i="53"/>
  <c r="BY189" i="53"/>
  <c r="AI189" i="53"/>
  <c r="AH189" i="53" s="1"/>
  <c r="BH188" i="53"/>
  <c r="O188" i="53"/>
  <c r="CA187" i="53"/>
  <c r="BZ187" i="53" s="1"/>
  <c r="AO187" i="53"/>
  <c r="D187" i="53"/>
  <c r="BI186" i="53"/>
  <c r="CK185" i="53"/>
  <c r="AY185" i="53"/>
  <c r="R185" i="53"/>
  <c r="CJ184" i="53"/>
  <c r="BB184" i="53"/>
  <c r="S184" i="53"/>
  <c r="CK183" i="53"/>
  <c r="BC183" i="53"/>
  <c r="T183" i="53"/>
  <c r="CM182" i="53"/>
  <c r="BE182" i="53"/>
  <c r="U182" i="53"/>
  <c r="CO181" i="53"/>
  <c r="BH181" i="53"/>
  <c r="Z181" i="53"/>
  <c r="CS178" i="53"/>
  <c r="BK178" i="53"/>
  <c r="AC178" i="53"/>
  <c r="CX177" i="53"/>
  <c r="BP177" i="53"/>
  <c r="O245" i="53"/>
  <c r="AY242" i="53"/>
  <c r="I240" i="53"/>
  <c r="CN237" i="53"/>
  <c r="AD236" i="53"/>
  <c r="Z234" i="53"/>
  <c r="BP232" i="53"/>
  <c r="CI230" i="53"/>
  <c r="AO229" i="53"/>
  <c r="CP225" i="53"/>
  <c r="AG224" i="53"/>
  <c r="AW220" i="53"/>
  <c r="F219" i="53"/>
  <c r="CJ217" i="53"/>
  <c r="CH216" i="53"/>
  <c r="BD215" i="53"/>
  <c r="BC214" i="53"/>
  <c r="BD213" i="53"/>
  <c r="BK212" i="53"/>
  <c r="CA211" i="53"/>
  <c r="BZ211" i="53" s="1"/>
  <c r="CI210" i="53"/>
  <c r="M210" i="53"/>
  <c r="AO209" i="53"/>
  <c r="AZ206" i="53"/>
  <c r="P205" i="53"/>
  <c r="AE204" i="53"/>
  <c r="BW203" i="53"/>
  <c r="I203" i="53"/>
  <c r="AY202" i="53"/>
  <c r="CE201" i="53"/>
  <c r="S201" i="53"/>
  <c r="BQ200" i="53"/>
  <c r="I200" i="53"/>
  <c r="BH199" i="53"/>
  <c r="N199" i="53"/>
  <c r="BM198" i="53"/>
  <c r="M198" i="53"/>
  <c r="BK197" i="53"/>
  <c r="R197" i="53"/>
  <c r="BS196" i="53"/>
  <c r="S196" i="53"/>
  <c r="BU195" i="53"/>
  <c r="AB195" i="53"/>
  <c r="CE192" i="53"/>
  <c r="AC192" i="53"/>
  <c r="CF191" i="53"/>
  <c r="AN191" i="53"/>
  <c r="CX190" i="53"/>
  <c r="CW190" i="53" s="1"/>
  <c r="BG190" i="53"/>
  <c r="M190" i="53"/>
  <c r="BX189" i="53"/>
  <c r="AG189" i="53"/>
  <c r="CV188" i="53"/>
  <c r="CU188" i="53" s="1"/>
  <c r="BC188" i="53"/>
  <c r="N188" i="53"/>
  <c r="AN187" i="53"/>
  <c r="DB186" i="53"/>
  <c r="BH186" i="53"/>
  <c r="U186" i="53"/>
  <c r="CJ185" i="53"/>
  <c r="AX185" i="53"/>
  <c r="Q185" i="53"/>
  <c r="CI184" i="53"/>
  <c r="AZ184" i="53"/>
  <c r="R184" i="53"/>
  <c r="CJ183" i="53"/>
  <c r="BB183" i="53"/>
  <c r="S183" i="53"/>
  <c r="CJ182" i="53"/>
  <c r="BD182" i="53"/>
  <c r="T182" i="53"/>
  <c r="CN181" i="53"/>
  <c r="BG181" i="53"/>
  <c r="X181" i="53"/>
  <c r="BJ178" i="53"/>
  <c r="AB178" i="53"/>
  <c r="CV177" i="53"/>
  <c r="CU177" i="53" s="1"/>
  <c r="BO177" i="53"/>
  <c r="AF177" i="53"/>
  <c r="DA176" i="53"/>
  <c r="BS176" i="53"/>
  <c r="AD244" i="53"/>
  <c r="CP241" i="53"/>
  <c r="AQ239" i="53"/>
  <c r="BX237" i="53"/>
  <c r="BS235" i="53"/>
  <c r="CY233" i="53"/>
  <c r="Q232" i="53"/>
  <c r="AW230" i="53"/>
  <c r="D229" i="53"/>
  <c r="BG225" i="53"/>
  <c r="Z224" i="53"/>
  <c r="BD221" i="53"/>
  <c r="AK220" i="53"/>
  <c r="AJ220" i="53" s="1"/>
  <c r="CV218" i="53"/>
  <c r="CU218" i="53" s="1"/>
  <c r="CF217" i="53"/>
  <c r="AZ216" i="53"/>
  <c r="AI215" i="53"/>
  <c r="AH215" i="53" s="1"/>
  <c r="AR214" i="53"/>
  <c r="AI213" i="53"/>
  <c r="AH213" i="53" s="1"/>
  <c r="BC212" i="53"/>
  <c r="BM211" i="53"/>
  <c r="BV210" i="53"/>
  <c r="CY209" i="53"/>
  <c r="S209" i="53"/>
  <c r="AR206" i="53"/>
  <c r="BP205" i="53"/>
  <c r="CT204" i="53"/>
  <c r="W204" i="53"/>
  <c r="BK203" i="53"/>
  <c r="D203" i="53"/>
  <c r="AA202" i="53"/>
  <c r="BY201" i="53"/>
  <c r="AA244" i="53"/>
  <c r="AO239" i="53"/>
  <c r="BW237" i="53"/>
  <c r="BJ235" i="53"/>
  <c r="CV233" i="53"/>
  <c r="CU233" i="53" s="1"/>
  <c r="M232" i="53"/>
  <c r="AV230" i="53"/>
  <c r="DB228" i="53"/>
  <c r="AY225" i="53"/>
  <c r="CQ222" i="53"/>
  <c r="BC221" i="53"/>
  <c r="AI220" i="53"/>
  <c r="AH220" i="53" s="1"/>
  <c r="CT218" i="53"/>
  <c r="CE217" i="53"/>
  <c r="AX216" i="53"/>
  <c r="AG215" i="53"/>
  <c r="AO214" i="53"/>
  <c r="AG213" i="53"/>
  <c r="AY212" i="53"/>
  <c r="BK211" i="53"/>
  <c r="BU210" i="53"/>
  <c r="CX209" i="53"/>
  <c r="M209" i="53"/>
  <c r="AQ206" i="53"/>
  <c r="BO205" i="53"/>
  <c r="CQ204" i="53"/>
  <c r="BF203" i="53"/>
  <c r="CY202" i="53"/>
  <c r="Z202" i="53"/>
  <c r="BV201" i="53"/>
  <c r="E244" i="53"/>
  <c r="BH241" i="53"/>
  <c r="AZ237" i="53"/>
  <c r="AY235" i="53"/>
  <c r="BP233" i="53"/>
  <c r="CO231" i="53"/>
  <c r="BV228" i="53"/>
  <c r="AD225" i="53"/>
  <c r="BT222" i="53"/>
  <c r="AG221" i="53"/>
  <c r="CN219" i="53"/>
  <c r="BO218" i="53"/>
  <c r="BS217" i="53"/>
  <c r="AI216" i="53"/>
  <c r="AH216" i="53" s="1"/>
  <c r="AB215" i="53"/>
  <c r="N214" i="53"/>
  <c r="Q213" i="53"/>
  <c r="AK212" i="53"/>
  <c r="AJ212" i="53" s="1"/>
  <c r="AN211" i="53"/>
  <c r="BM210" i="53"/>
  <c r="CC209" i="53"/>
  <c r="CB209" i="53" s="1"/>
  <c r="E209" i="53"/>
  <c r="AF206" i="53"/>
  <c r="BB205" i="53"/>
  <c r="CH204" i="53"/>
  <c r="Q204" i="53"/>
  <c r="AY203" i="53"/>
  <c r="CA202" i="53"/>
  <c r="BZ202" i="53" s="1"/>
  <c r="S202" i="53"/>
  <c r="BG201" i="53"/>
  <c r="G201" i="53"/>
  <c r="AR200" i="53"/>
  <c r="CP199" i="53"/>
  <c r="AW199" i="53"/>
  <c r="CO198" i="53"/>
  <c r="AT198" i="53"/>
  <c r="CT197" i="53"/>
  <c r="AZ197" i="53"/>
  <c r="CS196" i="53"/>
  <c r="AZ196" i="53"/>
  <c r="DB195" i="53"/>
  <c r="BI195" i="53"/>
  <c r="F195" i="53"/>
  <c r="BK192" i="53"/>
  <c r="M192" i="53"/>
  <c r="BS191" i="53"/>
  <c r="X191" i="53"/>
  <c r="CF190" i="53"/>
  <c r="AO190" i="53"/>
  <c r="CZ189" i="53"/>
  <c r="BK189" i="53"/>
  <c r="R189" i="53"/>
  <c r="CE188" i="53"/>
  <c r="AO188" i="53"/>
  <c r="DB187" i="53"/>
  <c r="BO187" i="53"/>
  <c r="CQ243" i="53"/>
  <c r="BG240" i="53"/>
  <c r="BA240" i="53" s="1"/>
  <c r="P237" i="53"/>
  <c r="CO234" i="53"/>
  <c r="CS231" i="53"/>
  <c r="CA229" i="53"/>
  <c r="BZ229" i="53" s="1"/>
  <c r="AR225" i="53"/>
  <c r="AB222" i="53"/>
  <c r="AZ218" i="53"/>
  <c r="AW216" i="53"/>
  <c r="CO214" i="53"/>
  <c r="AK213" i="53"/>
  <c r="AJ213" i="53" s="1"/>
  <c r="L212" i="53"/>
  <c r="CG210" i="53"/>
  <c r="BV209" i="53"/>
  <c r="AY206" i="53"/>
  <c r="AX205" i="53"/>
  <c r="AM204" i="53"/>
  <c r="AL204" i="53" s="1"/>
  <c r="AW203" i="53"/>
  <c r="BH202" i="53"/>
  <c r="BF201" i="53"/>
  <c r="CG200" i="53"/>
  <c r="F200" i="53"/>
  <c r="AV199" i="53"/>
  <c r="CF198" i="53"/>
  <c r="I198" i="53"/>
  <c r="AY197" i="53"/>
  <c r="CJ196" i="53"/>
  <c r="K196" i="53"/>
  <c r="BH195" i="53"/>
  <c r="CV192" i="53"/>
  <c r="CU192" i="53" s="1"/>
  <c r="V192" i="53"/>
  <c r="BQ191" i="53"/>
  <c r="AX190" i="53"/>
  <c r="CY189" i="53"/>
  <c r="AW189" i="53"/>
  <c r="AN188" i="53"/>
  <c r="CN187" i="53"/>
  <c r="CK186" i="53"/>
  <c r="AR186" i="53"/>
  <c r="AR185" i="53"/>
  <c r="D185" i="53"/>
  <c r="BM184" i="53"/>
  <c r="Q184" i="53"/>
  <c r="BY183" i="53"/>
  <c r="CV182" i="53"/>
  <c r="CU182" i="53" s="1"/>
  <c r="AZ182" i="53"/>
  <c r="K182" i="53"/>
  <c r="BV181" i="53"/>
  <c r="AF181" i="53"/>
  <c r="AX178" i="53"/>
  <c r="I178" i="53"/>
  <c r="BN177" i="53"/>
  <c r="AA177" i="53"/>
  <c r="CP176" i="53"/>
  <c r="BE176" i="53"/>
  <c r="U176" i="53"/>
  <c r="CN175" i="53"/>
  <c r="BE175" i="53"/>
  <c r="U175" i="53"/>
  <c r="CO174" i="53"/>
  <c r="BF174" i="53"/>
  <c r="W174" i="53"/>
  <c r="BK173" i="53"/>
  <c r="AE173" i="53"/>
  <c r="CZ172" i="53"/>
  <c r="BQ172" i="53"/>
  <c r="AI172" i="53"/>
  <c r="AH172" i="53" s="1"/>
  <c r="D172" i="53"/>
  <c r="BV171" i="53"/>
  <c r="AO171" i="53"/>
  <c r="H171" i="53"/>
  <c r="BY170" i="53"/>
  <c r="AS170" i="53"/>
  <c r="L170" i="53"/>
  <c r="CE169" i="53"/>
  <c r="AW169" i="53"/>
  <c r="P169" i="53"/>
  <c r="CI168" i="53"/>
  <c r="BB168" i="53"/>
  <c r="T168" i="53"/>
  <c r="CN167" i="53"/>
  <c r="BH167" i="53"/>
  <c r="AB167" i="53"/>
  <c r="BO166" i="53"/>
  <c r="AG166" i="53"/>
  <c r="DB165" i="53"/>
  <c r="BU165" i="53"/>
  <c r="AN165" i="53"/>
  <c r="G165" i="53"/>
  <c r="BY163" i="53"/>
  <c r="AS163" i="53"/>
  <c r="M163" i="53"/>
  <c r="CG162" i="53"/>
  <c r="AZ162" i="53"/>
  <c r="S162" i="53"/>
  <c r="BE159" i="53"/>
  <c r="BJ243" i="53"/>
  <c r="O240" i="53"/>
  <c r="H237" i="53"/>
  <c r="BQ234" i="53"/>
  <c r="CK231" i="53"/>
  <c r="BY229" i="53"/>
  <c r="AE225" i="53"/>
  <c r="AA222" i="53"/>
  <c r="CS219" i="53"/>
  <c r="AY218" i="53"/>
  <c r="AR216" i="53"/>
  <c r="CM214" i="53"/>
  <c r="AF213" i="53"/>
  <c r="I212" i="53"/>
  <c r="CF210" i="53"/>
  <c r="BU209" i="53"/>
  <c r="AV206" i="53"/>
  <c r="AW205" i="53"/>
  <c r="AD204" i="53"/>
  <c r="AV203" i="53"/>
  <c r="BB202" i="53"/>
  <c r="BE201" i="53"/>
  <c r="CF200" i="53"/>
  <c r="E200" i="53"/>
  <c r="AT199" i="53"/>
  <c r="CE198" i="53"/>
  <c r="F198" i="53"/>
  <c r="AX197" i="53"/>
  <c r="CI196" i="53"/>
  <c r="I196" i="53"/>
  <c r="BG195" i="53"/>
  <c r="CT192" i="53"/>
  <c r="S192" i="53"/>
  <c r="BP191" i="53"/>
  <c r="I191" i="53"/>
  <c r="AW190" i="53"/>
  <c r="CX189" i="53"/>
  <c r="AV189" i="53"/>
  <c r="CQ188" i="53"/>
  <c r="AM188" i="53"/>
  <c r="CK187" i="53"/>
  <c r="AI187" i="53"/>
  <c r="AH187" i="53" s="1"/>
  <c r="CJ186" i="53"/>
  <c r="AQ186" i="53"/>
  <c r="AQ185" i="53"/>
  <c r="DB184" i="53"/>
  <c r="BK184" i="53"/>
  <c r="P184" i="53"/>
  <c r="BX183" i="53"/>
  <c r="AI183" i="53"/>
  <c r="AH183" i="53" s="1"/>
  <c r="CT182" i="53"/>
  <c r="AY182" i="53"/>
  <c r="I182" i="53"/>
  <c r="BU181" i="53"/>
  <c r="AA181" i="53"/>
  <c r="CK178" i="53"/>
  <c r="AW178" i="53"/>
  <c r="H178" i="53"/>
  <c r="BM177" i="53"/>
  <c r="Z177" i="53"/>
  <c r="CO176" i="53"/>
  <c r="BD176" i="53"/>
  <c r="T176" i="53"/>
  <c r="CM175" i="53"/>
  <c r="BD175" i="53"/>
  <c r="T175" i="53"/>
  <c r="CN174" i="53"/>
  <c r="BE174" i="53"/>
  <c r="V174" i="53"/>
  <c r="CQ173" i="53"/>
  <c r="BJ173" i="53"/>
  <c r="AD173" i="53"/>
  <c r="CY172" i="53"/>
  <c r="BP172" i="53"/>
  <c r="AG172" i="53"/>
  <c r="DB171" i="53"/>
  <c r="BU171" i="53"/>
  <c r="AN171" i="53"/>
  <c r="G171" i="53"/>
  <c r="BX170" i="53"/>
  <c r="AR170" i="53"/>
  <c r="CC169" i="53"/>
  <c r="CB169" i="53" s="1"/>
  <c r="AV169" i="53"/>
  <c r="O169" i="53"/>
  <c r="CH168" i="53"/>
  <c r="AZ168" i="53"/>
  <c r="S168" i="53"/>
  <c r="BG167" i="53"/>
  <c r="AA167" i="53"/>
  <c r="CV166" i="53"/>
  <c r="CU166" i="53" s="1"/>
  <c r="BN166" i="53"/>
  <c r="AF166" i="53"/>
  <c r="DA165" i="53"/>
  <c r="BT165" i="53"/>
  <c r="AM165" i="53"/>
  <c r="F165" i="53"/>
  <c r="BX163" i="53"/>
  <c r="BI243" i="53"/>
  <c r="BV239" i="53"/>
  <c r="DA236" i="53"/>
  <c r="CF231" i="53"/>
  <c r="BO229" i="53"/>
  <c r="AC225" i="53"/>
  <c r="Z222" i="53"/>
  <c r="CP219" i="53"/>
  <c r="AV218" i="53"/>
  <c r="AO216" i="53"/>
  <c r="CI214" i="53"/>
  <c r="AD213" i="53"/>
  <c r="H212" i="53"/>
  <c r="BS210" i="53"/>
  <c r="BT209" i="53"/>
  <c r="AS206" i="53"/>
  <c r="AV205" i="53"/>
  <c r="AC204" i="53"/>
  <c r="AK203" i="53"/>
  <c r="AJ203" i="53" s="1"/>
  <c r="AV202" i="53"/>
  <c r="BD201" i="53"/>
  <c r="CC200" i="53"/>
  <c r="CB200" i="53" s="1"/>
  <c r="DB199" i="53"/>
  <c r="AS199" i="53"/>
  <c r="CC198" i="53"/>
  <c r="CB198" i="53" s="1"/>
  <c r="D198" i="53"/>
  <c r="AW197" i="53"/>
  <c r="CH196" i="53"/>
  <c r="H196" i="53"/>
  <c r="BF195" i="53"/>
  <c r="CS192" i="53"/>
  <c r="R192" i="53"/>
  <c r="BO191" i="53"/>
  <c r="H191" i="53"/>
  <c r="AV190" i="53"/>
  <c r="CV189" i="53"/>
  <c r="CU189" i="53" s="1"/>
  <c r="AT189" i="53"/>
  <c r="CK188" i="53"/>
  <c r="AK188" i="53"/>
  <c r="AJ188" i="53" s="1"/>
  <c r="CJ187" i="53"/>
  <c r="AG187" i="53"/>
  <c r="CI186" i="53"/>
  <c r="AO186" i="53"/>
  <c r="CI185" i="53"/>
  <c r="AO185" i="53"/>
  <c r="DA184" i="53"/>
  <c r="BJ184" i="53"/>
  <c r="O184" i="53"/>
  <c r="BW183" i="53"/>
  <c r="AG183" i="53"/>
  <c r="CS182" i="53"/>
  <c r="AX182" i="53"/>
  <c r="H182" i="53"/>
  <c r="BT181" i="53"/>
  <c r="W181" i="53"/>
  <c r="CJ178" i="53"/>
  <c r="AV178" i="53"/>
  <c r="G178" i="53"/>
  <c r="BK177" i="53"/>
  <c r="X177" i="53"/>
  <c r="CN176" i="53"/>
  <c r="BC176" i="53"/>
  <c r="S176" i="53"/>
  <c r="CK175" i="53"/>
  <c r="BC175" i="53"/>
  <c r="S175" i="53"/>
  <c r="CM174" i="53"/>
  <c r="BD174" i="53"/>
  <c r="U174" i="53"/>
  <c r="CP173" i="53"/>
  <c r="BI173" i="53"/>
  <c r="AC173" i="53"/>
  <c r="CX172" i="53"/>
  <c r="BO172" i="53"/>
  <c r="AF172" i="53"/>
  <c r="DA171" i="53"/>
  <c r="BT171" i="53"/>
  <c r="AM171" i="53"/>
  <c r="F171" i="53"/>
  <c r="BW170" i="53"/>
  <c r="AQ170" i="53"/>
  <c r="I170" i="53"/>
  <c r="CA169" i="53"/>
  <c r="BZ169" i="53" s="1"/>
  <c r="AT169" i="53"/>
  <c r="N169" i="53"/>
  <c r="CG168" i="53"/>
  <c r="AY168" i="53"/>
  <c r="R168" i="53"/>
  <c r="CK167" i="53"/>
  <c r="BF167" i="53"/>
  <c r="Z167" i="53"/>
  <c r="CT166" i="53"/>
  <c r="BM166" i="53"/>
  <c r="AE166" i="53"/>
  <c r="CZ165" i="53"/>
  <c r="BS165" i="53"/>
  <c r="AK165" i="53"/>
  <c r="AJ165" i="53" s="1"/>
  <c r="E165" i="53"/>
  <c r="BW163" i="53"/>
  <c r="AQ163" i="53"/>
  <c r="CE162" i="53"/>
  <c r="AX162" i="53"/>
  <c r="BG243" i="53"/>
  <c r="BT239" i="53"/>
  <c r="BV231" i="53"/>
  <c r="AW229" i="53"/>
  <c r="AB225" i="53"/>
  <c r="CJ219" i="53"/>
  <c r="AN216" i="53"/>
  <c r="CC214" i="53"/>
  <c r="CB214" i="53" s="1"/>
  <c r="AA213" i="53"/>
  <c r="G212" i="53"/>
  <c r="BP210" i="53"/>
  <c r="BJ209" i="53"/>
  <c r="AO206" i="53"/>
  <c r="AO205" i="53"/>
  <c r="AL205" i="53" s="1"/>
  <c r="AA204" i="53"/>
  <c r="AD202" i="53"/>
  <c r="BC201" i="53"/>
  <c r="CA200" i="53"/>
  <c r="BZ200" i="53" s="1"/>
  <c r="DA199" i="53"/>
  <c r="AR199" i="53"/>
  <c r="CA198" i="53"/>
  <c r="BZ198" i="53" s="1"/>
  <c r="CZ197" i="53"/>
  <c r="AG197" i="53"/>
  <c r="CG196" i="53"/>
  <c r="G196" i="53"/>
  <c r="AT195" i="53"/>
  <c r="CR192" i="53"/>
  <c r="Q192" i="53"/>
  <c r="BN191" i="53"/>
  <c r="G191" i="53"/>
  <c r="AT190" i="53"/>
  <c r="CT189" i="53"/>
  <c r="AS189" i="53"/>
  <c r="CI188" i="53"/>
  <c r="AI188" i="53"/>
  <c r="AH188" i="53" s="1"/>
  <c r="CI187" i="53"/>
  <c r="AF187" i="53"/>
  <c r="CH186" i="53"/>
  <c r="AN186" i="53"/>
  <c r="CH185" i="53"/>
  <c r="AM185" i="53"/>
  <c r="CZ184" i="53"/>
  <c r="BI184" i="53"/>
  <c r="M184" i="53"/>
  <c r="BV183" i="53"/>
  <c r="AF183" i="53"/>
  <c r="CN182" i="53"/>
  <c r="AW182" i="53"/>
  <c r="G182" i="53"/>
  <c r="BS181" i="53"/>
  <c r="V181" i="53"/>
  <c r="CI178" i="53"/>
  <c r="AT178" i="53"/>
  <c r="F178" i="53"/>
  <c r="BJ177" i="53"/>
  <c r="W177" i="53"/>
  <c r="CM176" i="53"/>
  <c r="BB176" i="53"/>
  <c r="R176" i="53"/>
  <c r="CJ175" i="53"/>
  <c r="BB175" i="53"/>
  <c r="R175" i="53"/>
  <c r="CK174" i="53"/>
  <c r="BC174" i="53"/>
  <c r="T174" i="53"/>
  <c r="CO173" i="53"/>
  <c r="BH173" i="53"/>
  <c r="AB173" i="53"/>
  <c r="CV172" i="53"/>
  <c r="CU172" i="53" s="1"/>
  <c r="BN172" i="53"/>
  <c r="AE172" i="53"/>
  <c r="CZ171" i="53"/>
  <c r="BS171" i="53"/>
  <c r="AK171" i="53"/>
  <c r="AJ171" i="53" s="1"/>
  <c r="E171" i="53"/>
  <c r="BV170" i="53"/>
  <c r="AO170" i="53"/>
  <c r="H170" i="53"/>
  <c r="BY169" i="53"/>
  <c r="AS169" i="53"/>
  <c r="M169" i="53"/>
  <c r="CF168" i="53"/>
  <c r="AX168" i="53"/>
  <c r="Q168" i="53"/>
  <c r="CJ167" i="53"/>
  <c r="BE167" i="53"/>
  <c r="X167" i="53"/>
  <c r="CS166" i="53"/>
  <c r="BK166" i="53"/>
  <c r="AD166" i="53"/>
  <c r="CY165" i="53"/>
  <c r="BQ165" i="53"/>
  <c r="AI165" i="53"/>
  <c r="AH165" i="53" s="1"/>
  <c r="D165" i="53"/>
  <c r="BV163" i="53"/>
  <c r="AO163" i="53"/>
  <c r="I163" i="53"/>
  <c r="CC162" i="53"/>
  <c r="CB162" i="53" s="1"/>
  <c r="AW162" i="53"/>
  <c r="BC243" i="53"/>
  <c r="AD243" i="53"/>
  <c r="AN239" i="53"/>
  <c r="CJ236" i="53"/>
  <c r="DB233" i="53"/>
  <c r="BG231" i="53"/>
  <c r="AK229" i="53"/>
  <c r="AJ229" i="53" s="1"/>
  <c r="CZ224" i="53"/>
  <c r="BX221" i="53"/>
  <c r="CG219" i="53"/>
  <c r="CS217" i="53"/>
  <c r="S216" i="53"/>
  <c r="BW214" i="53"/>
  <c r="P213" i="53"/>
  <c r="D212" i="53"/>
  <c r="BN210" i="53"/>
  <c r="AZ209" i="53"/>
  <c r="AK206" i="53"/>
  <c r="AJ206" i="53" s="1"/>
  <c r="AD205" i="53"/>
  <c r="T204" i="53"/>
  <c r="AD203" i="53"/>
  <c r="W202" i="53"/>
  <c r="AY201" i="53"/>
  <c r="BP200" i="53"/>
  <c r="CV199" i="53"/>
  <c r="CU199" i="53" s="1"/>
  <c r="AA199" i="53"/>
  <c r="BK198" i="53"/>
  <c r="CX197" i="53"/>
  <c r="AE197" i="53"/>
  <c r="BQ196" i="53"/>
  <c r="E196" i="53"/>
  <c r="AQ195" i="53"/>
  <c r="CC192" i="53"/>
  <c r="CB192" i="53" s="1"/>
  <c r="O192" i="53"/>
  <c r="BJ191" i="53"/>
  <c r="CV190" i="53"/>
  <c r="CU190" i="53" s="1"/>
  <c r="AR190" i="53"/>
  <c r="AF189" i="53"/>
  <c r="CG188" i="53"/>
  <c r="AF188" i="53"/>
  <c r="BY187" i="53"/>
  <c r="Z187" i="53"/>
  <c r="CF186" i="53"/>
  <c r="AK186" i="53"/>
  <c r="AJ186" i="53" s="1"/>
  <c r="CF185" i="53"/>
  <c r="AK185" i="53"/>
  <c r="AJ185" i="53" s="1"/>
  <c r="CX184" i="53"/>
  <c r="BC184" i="53"/>
  <c r="K184" i="53"/>
  <c r="BT183" i="53"/>
  <c r="AD183" i="53"/>
  <c r="CH182" i="53"/>
  <c r="AT182" i="53"/>
  <c r="E182" i="53"/>
  <c r="BP181" i="53"/>
  <c r="T181" i="53"/>
  <c r="CG178" i="53"/>
  <c r="AR178" i="53"/>
  <c r="CY177" i="53"/>
  <c r="BH177" i="53"/>
  <c r="U177" i="53"/>
  <c r="CJ176" i="53"/>
  <c r="AY176" i="53"/>
  <c r="P176" i="53"/>
  <c r="CH175" i="53"/>
  <c r="AY175" i="53"/>
  <c r="P175" i="53"/>
  <c r="CH174" i="53"/>
  <c r="AZ174" i="53"/>
  <c r="R174" i="53"/>
  <c r="BF173" i="53"/>
  <c r="Z173" i="53"/>
  <c r="CS172" i="53"/>
  <c r="BK172" i="53"/>
  <c r="AC172" i="53"/>
  <c r="CX171" i="53"/>
  <c r="BP171" i="53"/>
  <c r="AG171" i="53"/>
  <c r="DB170" i="53"/>
  <c r="BT170" i="53"/>
  <c r="AM170" i="53"/>
  <c r="F170" i="53"/>
  <c r="BW169" i="53"/>
  <c r="AQ169" i="53"/>
  <c r="CC168" i="53"/>
  <c r="CB168" i="53" s="1"/>
  <c r="AV168" i="53"/>
  <c r="O168" i="53"/>
  <c r="CH167" i="53"/>
  <c r="BC167" i="53"/>
  <c r="CQ166" i="53"/>
  <c r="BI166" i="53"/>
  <c r="AB166" i="53"/>
  <c r="CV165" i="53"/>
  <c r="CU165" i="53" s="1"/>
  <c r="BO165" i="53"/>
  <c r="AF165" i="53"/>
  <c r="DA163" i="53"/>
  <c r="BT163" i="53"/>
  <c r="AM163" i="53"/>
  <c r="AC243" i="53"/>
  <c r="AM239" i="53"/>
  <c r="CH236" i="53"/>
  <c r="CJ233" i="53"/>
  <c r="BB231" i="53"/>
  <c r="AC229" i="53"/>
  <c r="CN224" i="53"/>
  <c r="BU221" i="53"/>
  <c r="CF219" i="53"/>
  <c r="CI217" i="53"/>
  <c r="R216" i="53"/>
  <c r="BI214" i="53"/>
  <c r="O213" i="53"/>
  <c r="CY211" i="53"/>
  <c r="BK210" i="53"/>
  <c r="AY209" i="53"/>
  <c r="AI206" i="53"/>
  <c r="AH206" i="53" s="1"/>
  <c r="AA205" i="53"/>
  <c r="S204" i="53"/>
  <c r="AC203" i="53"/>
  <c r="AX201" i="53"/>
  <c r="BN200" i="53"/>
  <c r="CS199" i="53"/>
  <c r="Z199" i="53"/>
  <c r="BJ198" i="53"/>
  <c r="CV197" i="53"/>
  <c r="CU197" i="53" s="1"/>
  <c r="AD197" i="53"/>
  <c r="BI196" i="53"/>
  <c r="D196" i="53"/>
  <c r="AO195" i="53"/>
  <c r="CA192" i="53"/>
  <c r="BZ192" i="53" s="1"/>
  <c r="N192" i="53"/>
  <c r="BC191" i="53"/>
  <c r="CT190" i="53"/>
  <c r="AQ190" i="53"/>
  <c r="CQ189" i="53"/>
  <c r="AE189" i="53"/>
  <c r="CF188" i="53"/>
  <c r="AE188" i="53"/>
  <c r="BX187" i="53"/>
  <c r="W187" i="53"/>
  <c r="CE186" i="53"/>
  <c r="AD186" i="53"/>
  <c r="CE185" i="53"/>
  <c r="AI185" i="53"/>
  <c r="AH185" i="53" s="1"/>
  <c r="CV184" i="53"/>
  <c r="CU184" i="53" s="1"/>
  <c r="AY184" i="53"/>
  <c r="I184" i="53"/>
  <c r="BS183" i="53"/>
  <c r="AC183" i="53"/>
  <c r="CG182" i="53"/>
  <c r="AS182" i="53"/>
  <c r="D182" i="53"/>
  <c r="BO181" i="53"/>
  <c r="S181" i="53"/>
  <c r="CF178" i="53"/>
  <c r="AQ178" i="53"/>
  <c r="BG177" i="53"/>
  <c r="T177" i="53"/>
  <c r="CI176" i="53"/>
  <c r="AX176" i="53"/>
  <c r="O176" i="53"/>
  <c r="CG175" i="53"/>
  <c r="AX175" i="53"/>
  <c r="N175" i="53"/>
  <c r="CG174" i="53"/>
  <c r="AY174" i="53"/>
  <c r="Q174" i="53"/>
  <c r="CK173" i="53"/>
  <c r="BE173" i="53"/>
  <c r="X173" i="53"/>
  <c r="BJ172" i="53"/>
  <c r="AB172" i="53"/>
  <c r="CV171" i="53"/>
  <c r="CU171" i="53" s="1"/>
  <c r="BO171" i="53"/>
  <c r="AF171" i="53"/>
  <c r="DA170" i="53"/>
  <c r="BS170" i="53"/>
  <c r="AK170" i="53"/>
  <c r="AJ170" i="53" s="1"/>
  <c r="E170" i="53"/>
  <c r="BV169" i="53"/>
  <c r="AO169" i="53"/>
  <c r="I169" i="53"/>
  <c r="CA168" i="53"/>
  <c r="BZ168" i="53" s="1"/>
  <c r="N168" i="53"/>
  <c r="CG167" i="53"/>
  <c r="BB167" i="53"/>
  <c r="U167" i="53"/>
  <c r="CP166" i="53"/>
  <c r="BH166" i="53"/>
  <c r="AA166" i="53"/>
  <c r="CT165" i="53"/>
  <c r="BN165" i="53"/>
  <c r="AE165" i="53"/>
  <c r="CZ163" i="53"/>
  <c r="BS163" i="53"/>
  <c r="AK163" i="53"/>
  <c r="AJ163" i="53" s="1"/>
  <c r="F163" i="53"/>
  <c r="BY162" i="53"/>
  <c r="AS162" i="53"/>
  <c r="M162" i="53"/>
  <c r="BG242" i="53"/>
  <c r="H239" i="53"/>
  <c r="BE236" i="53"/>
  <c r="BO233" i="53"/>
  <c r="AS231" i="53"/>
  <c r="BW228" i="53"/>
  <c r="BX224" i="53"/>
  <c r="AS221" i="53"/>
  <c r="BK219" i="53"/>
  <c r="BY217" i="53"/>
  <c r="D216" i="53"/>
  <c r="AN214" i="53"/>
  <c r="BX211" i="53"/>
  <c r="AZ210" i="53"/>
  <c r="V206" i="53"/>
  <c r="O205" i="53"/>
  <c r="M204" i="53"/>
  <c r="L203" i="53"/>
  <c r="Q202" i="53"/>
  <c r="AF201" i="53"/>
  <c r="AX200" i="53"/>
  <c r="CK199" i="53"/>
  <c r="U199" i="53"/>
  <c r="AY198" i="53"/>
  <c r="CP197" i="53"/>
  <c r="Z197" i="53"/>
  <c r="BE196" i="53"/>
  <c r="CX195" i="53"/>
  <c r="BP192" i="53"/>
  <c r="H192" i="53"/>
  <c r="AW191" i="53"/>
  <c r="CP190" i="53"/>
  <c r="AG190" i="53"/>
  <c r="CG189" i="53"/>
  <c r="AA189" i="53"/>
  <c r="BW188" i="53"/>
  <c r="AA188" i="53"/>
  <c r="BT187" i="53"/>
  <c r="S187" i="53"/>
  <c r="BX186" i="53"/>
  <c r="X242" i="53"/>
  <c r="E239" i="53"/>
  <c r="AG236" i="53"/>
  <c r="AG233" i="53"/>
  <c r="AN231" i="53"/>
  <c r="BT228" i="53"/>
  <c r="BU224" i="53"/>
  <c r="AO221" i="53"/>
  <c r="BH219" i="53"/>
  <c r="BW217" i="53"/>
  <c r="DB215" i="53"/>
  <c r="AM214" i="53"/>
  <c r="F213" i="53"/>
  <c r="BJ211" i="53"/>
  <c r="U209" i="53"/>
  <c r="S206" i="53"/>
  <c r="N205" i="53"/>
  <c r="L204" i="53"/>
  <c r="H203" i="53"/>
  <c r="P202" i="53"/>
  <c r="U201" i="53"/>
  <c r="AW200" i="53"/>
  <c r="CJ199" i="53"/>
  <c r="P199" i="53"/>
  <c r="AX198" i="53"/>
  <c r="CO197" i="53"/>
  <c r="T197" i="53"/>
  <c r="BD196" i="53"/>
  <c r="CV195" i="53"/>
  <c r="CU195" i="53" s="1"/>
  <c r="AD195" i="53"/>
  <c r="BO192" i="53"/>
  <c r="G192" i="53"/>
  <c r="AQ191" i="53"/>
  <c r="CJ190" i="53"/>
  <c r="AF190" i="53"/>
  <c r="CA189" i="53"/>
  <c r="BZ189" i="53" s="1"/>
  <c r="Z189" i="53"/>
  <c r="BV188" i="53"/>
  <c r="P188" i="53"/>
  <c r="BS187" i="53"/>
  <c r="R187" i="53"/>
  <c r="BW186" i="53"/>
  <c r="Q186" i="53"/>
  <c r="CH245" i="53"/>
  <c r="BV241" i="53"/>
  <c r="BT238" i="53"/>
  <c r="BF235" i="53"/>
  <c r="CS232" i="53"/>
  <c r="AT230" i="53"/>
  <c r="AT228" i="53"/>
  <c r="AD224" i="53"/>
  <c r="U221" i="53"/>
  <c r="CZ218" i="53"/>
  <c r="AC217" i="53"/>
  <c r="AZ215" i="53"/>
  <c r="H214" i="53"/>
  <c r="BQ212" i="53"/>
  <c r="AF211" i="53"/>
  <c r="T210" i="53"/>
  <c r="D209" i="53"/>
  <c r="CI204" i="53"/>
  <c r="CG202" i="53"/>
  <c r="G202" i="53"/>
  <c r="M201" i="53"/>
  <c r="AN200" i="53"/>
  <c r="CE199" i="53"/>
  <c r="H199" i="53"/>
  <c r="AQ198" i="53"/>
  <c r="CA197" i="53"/>
  <c r="BZ197" i="53" s="1"/>
  <c r="K197" i="53"/>
  <c r="AQ196" i="53"/>
  <c r="CG195" i="53"/>
  <c r="S195" i="53"/>
  <c r="BE192" i="53"/>
  <c r="DA191" i="53"/>
  <c r="AF191" i="53"/>
  <c r="CA190" i="53"/>
  <c r="BZ190" i="53" s="1"/>
  <c r="AA190" i="53"/>
  <c r="BQ189" i="53"/>
  <c r="N189" i="53"/>
  <c r="BP188" i="53"/>
  <c r="H188" i="53"/>
  <c r="BG187" i="53"/>
  <c r="M187" i="53"/>
  <c r="BE186" i="53"/>
  <c r="L186" i="53"/>
  <c r="BM185" i="53"/>
  <c r="X185" i="53"/>
  <c r="CC184" i="53"/>
  <c r="CB184" i="53" s="1"/>
  <c r="AK184" i="53"/>
  <c r="AJ184" i="53" s="1"/>
  <c r="CX183" i="53"/>
  <c r="AZ183" i="53"/>
  <c r="BV182" i="53"/>
  <c r="AE182" i="53"/>
  <c r="CJ181" i="53"/>
  <c r="AW181" i="53"/>
  <c r="H181" i="53"/>
  <c r="BS178" i="53"/>
  <c r="CJ177" i="53"/>
  <c r="AV177" i="53"/>
  <c r="I177" i="53"/>
  <c r="BT176" i="53"/>
  <c r="AI176" i="53"/>
  <c r="AH176" i="53" s="1"/>
  <c r="DB175" i="53"/>
  <c r="BS175" i="53"/>
  <c r="AI175" i="53"/>
  <c r="AH175" i="53" s="1"/>
  <c r="DB174" i="53"/>
  <c r="BT174" i="53"/>
  <c r="AM174" i="53"/>
  <c r="F174" i="53"/>
  <c r="BX173" i="53"/>
  <c r="AS173" i="53"/>
  <c r="N173" i="53"/>
  <c r="CG172" i="53"/>
  <c r="AY172" i="53"/>
  <c r="Q172" i="53"/>
  <c r="CK171" i="53"/>
  <c r="BD171" i="53"/>
  <c r="U171" i="53"/>
  <c r="CO170" i="53"/>
  <c r="BG170" i="53"/>
  <c r="X170" i="53"/>
  <c r="BJ169" i="53"/>
  <c r="CV240" i="53"/>
  <c r="CU240" i="53" s="1"/>
  <c r="CC236" i="53"/>
  <c r="CB236" i="53" s="1"/>
  <c r="CI232" i="53"/>
  <c r="AM229" i="53"/>
  <c r="CO222" i="53"/>
  <c r="AF220" i="53"/>
  <c r="W217" i="53"/>
  <c r="Q215" i="53"/>
  <c r="CE212" i="53"/>
  <c r="Q211" i="53"/>
  <c r="G209" i="53"/>
  <c r="BK205" i="53"/>
  <c r="E204" i="53"/>
  <c r="BT202" i="53"/>
  <c r="R201" i="53"/>
  <c r="AB200" i="53"/>
  <c r="AD198" i="53"/>
  <c r="AB197" i="53"/>
  <c r="AK196" i="53"/>
  <c r="AJ196" i="53" s="1"/>
  <c r="AN195" i="53"/>
  <c r="AY192" i="53"/>
  <c r="BK191" i="53"/>
  <c r="BX190" i="53"/>
  <c r="DA189" i="53"/>
  <c r="M189" i="53"/>
  <c r="AR188" i="53"/>
  <c r="BM187" i="53"/>
  <c r="CO186" i="53"/>
  <c r="O186" i="53"/>
  <c r="BG185" i="53"/>
  <c r="CY184" i="53"/>
  <c r="AO184" i="53"/>
  <c r="AE183" i="53"/>
  <c r="BY182" i="53"/>
  <c r="R182" i="53"/>
  <c r="BQ181" i="53"/>
  <c r="L181" i="53"/>
  <c r="BF178" i="53"/>
  <c r="E178" i="53"/>
  <c r="AY177" i="53"/>
  <c r="CY176" i="53"/>
  <c r="AZ176" i="53"/>
  <c r="F176" i="53"/>
  <c r="BM175" i="53"/>
  <c r="Q175" i="53"/>
  <c r="BW174" i="53"/>
  <c r="AE174" i="53"/>
  <c r="CN173" i="53"/>
  <c r="AW173" i="53"/>
  <c r="H173" i="53"/>
  <c r="BM172" i="53"/>
  <c r="T172" i="53"/>
  <c r="CF171" i="53"/>
  <c r="AI171" i="53"/>
  <c r="AH171" i="53" s="1"/>
  <c r="BB170" i="53"/>
  <c r="G170" i="53"/>
  <c r="BN169" i="53"/>
  <c r="X169" i="53"/>
  <c r="CK168" i="53"/>
  <c r="AQ168" i="53"/>
  <c r="DB167" i="53"/>
  <c r="BN167" i="53"/>
  <c r="W167" i="53"/>
  <c r="CI166" i="53"/>
  <c r="AT166" i="53"/>
  <c r="G166" i="53"/>
  <c r="BK165" i="53"/>
  <c r="V165" i="53"/>
  <c r="CJ163" i="53"/>
  <c r="AV163" i="53"/>
  <c r="E163" i="53"/>
  <c r="BT162" i="53"/>
  <c r="AG162" i="53"/>
  <c r="CZ159" i="53"/>
  <c r="BP159" i="53"/>
  <c r="AF159" i="53"/>
  <c r="DA158" i="53"/>
  <c r="BS158" i="53"/>
  <c r="AK158" i="53"/>
  <c r="AJ158" i="53" s="1"/>
  <c r="E158" i="53"/>
  <c r="BW157" i="53"/>
  <c r="AQ157" i="53"/>
  <c r="I157" i="53"/>
  <c r="CC156" i="53"/>
  <c r="CB156" i="53" s="1"/>
  <c r="AW156" i="53"/>
  <c r="Q156" i="53"/>
  <c r="CK155" i="53"/>
  <c r="BD155" i="53"/>
  <c r="U155" i="53"/>
  <c r="CP154" i="53"/>
  <c r="BH154" i="53"/>
  <c r="AA154" i="53"/>
  <c r="BO153" i="53"/>
  <c r="AG153" i="53"/>
  <c r="DB152" i="53"/>
  <c r="BU152" i="53"/>
  <c r="AO152" i="53"/>
  <c r="I152" i="53"/>
  <c r="CC151" i="53"/>
  <c r="CB151" i="53" s="1"/>
  <c r="AV151" i="53"/>
  <c r="O151" i="53"/>
  <c r="CH149" i="53"/>
  <c r="AZ149" i="53"/>
  <c r="S149" i="53"/>
  <c r="CN148" i="53"/>
  <c r="BF148" i="53"/>
  <c r="W148" i="53"/>
  <c r="CQ147" i="53"/>
  <c r="BJ147" i="53"/>
  <c r="AC147" i="53"/>
  <c r="CX146" i="53"/>
  <c r="BP146" i="53"/>
  <c r="AG146" i="53"/>
  <c r="DB145" i="53"/>
  <c r="BV145" i="53"/>
  <c r="AO145" i="53"/>
  <c r="H145" i="53"/>
  <c r="CA144" i="53"/>
  <c r="BZ144" i="53" s="1"/>
  <c r="AT144" i="53"/>
  <c r="N144" i="53"/>
  <c r="CG143" i="53"/>
  <c r="AY143" i="53"/>
  <c r="Q143" i="53"/>
  <c r="CK142" i="53"/>
  <c r="BD142" i="53"/>
  <c r="U142" i="53"/>
  <c r="CO139" i="53"/>
  <c r="BG139" i="53"/>
  <c r="X139" i="53"/>
  <c r="BJ138" i="53"/>
  <c r="AB138" i="53"/>
  <c r="CV137" i="53"/>
  <c r="CU137" i="53" s="1"/>
  <c r="BP137" i="53"/>
  <c r="D137" i="53"/>
  <c r="BU136" i="53"/>
  <c r="AN136" i="53"/>
  <c r="G136" i="53"/>
  <c r="BX135" i="53"/>
  <c r="AR135" i="53"/>
  <c r="K135" i="53"/>
  <c r="CC134" i="53"/>
  <c r="CB134" i="53" s="1"/>
  <c r="AW134" i="53"/>
  <c r="O134" i="53"/>
  <c r="CH133" i="53"/>
  <c r="AZ133" i="53"/>
  <c r="R133" i="53"/>
  <c r="BE131" i="53"/>
  <c r="CP130" i="53"/>
  <c r="BI130" i="53"/>
  <c r="AB130" i="53"/>
  <c r="CV129" i="53"/>
  <c r="CU129" i="53" s="1"/>
  <c r="BN129" i="53"/>
  <c r="AE129" i="53"/>
  <c r="CZ128" i="53"/>
  <c r="BS128" i="53"/>
  <c r="AM128" i="53"/>
  <c r="G128" i="53"/>
  <c r="BX127" i="53"/>
  <c r="AR127" i="53"/>
  <c r="L127" i="53"/>
  <c r="CE126" i="53"/>
  <c r="CS240" i="53"/>
  <c r="BM236" i="53"/>
  <c r="CH232" i="53"/>
  <c r="CP228" i="53"/>
  <c r="CL228" i="53" s="1"/>
  <c r="BY222" i="53"/>
  <c r="CI219" i="53"/>
  <c r="G215" i="53"/>
  <c r="BH212" i="53"/>
  <c r="CO210" i="53"/>
  <c r="F209" i="53"/>
  <c r="BJ205" i="53"/>
  <c r="CX203" i="53"/>
  <c r="CW203" i="53" s="1"/>
  <c r="BO202" i="53"/>
  <c r="Q201" i="53"/>
  <c r="Z200" i="53"/>
  <c r="M199" i="53"/>
  <c r="AC198" i="53"/>
  <c r="AA197" i="53"/>
  <c r="AM195" i="53"/>
  <c r="AX192" i="53"/>
  <c r="AZ191" i="53"/>
  <c r="BW190" i="53"/>
  <c r="CS189" i="53"/>
  <c r="L189" i="53"/>
  <c r="AQ188" i="53"/>
  <c r="BE187" i="53"/>
  <c r="CN186" i="53"/>
  <c r="N186" i="53"/>
  <c r="BF185" i="53"/>
  <c r="CT184" i="53"/>
  <c r="AN184" i="53"/>
  <c r="CI183" i="53"/>
  <c r="AB183" i="53"/>
  <c r="BX182" i="53"/>
  <c r="Q182" i="53"/>
  <c r="BI181" i="53"/>
  <c r="K181" i="53"/>
  <c r="BE178" i="53"/>
  <c r="CT177" i="53"/>
  <c r="AX177" i="53"/>
  <c r="CX176" i="53"/>
  <c r="AW176" i="53"/>
  <c r="E176" i="53"/>
  <c r="BK175" i="53"/>
  <c r="M175" i="53"/>
  <c r="BV174" i="53"/>
  <c r="AD174" i="53"/>
  <c r="CJ173" i="53"/>
  <c r="AV173" i="53"/>
  <c r="G173" i="53"/>
  <c r="BI172" i="53"/>
  <c r="S172" i="53"/>
  <c r="CE171" i="53"/>
  <c r="AE171" i="53"/>
  <c r="CQ170" i="53"/>
  <c r="AZ170" i="53"/>
  <c r="D170" i="53"/>
  <c r="BM169" i="53"/>
  <c r="W169" i="53"/>
  <c r="CJ168" i="53"/>
  <c r="AO168" i="53"/>
  <c r="DA167" i="53"/>
  <c r="BM167" i="53"/>
  <c r="T167" i="53"/>
  <c r="CH166" i="53"/>
  <c r="AS166" i="53"/>
  <c r="F166" i="53"/>
  <c r="BJ165" i="53"/>
  <c r="U165" i="53"/>
  <c r="CI163" i="53"/>
  <c r="AT163" i="53"/>
  <c r="D163" i="53"/>
  <c r="BS162" i="53"/>
  <c r="AF162" i="53"/>
  <c r="CY159" i="53"/>
  <c r="BO159" i="53"/>
  <c r="AE159" i="53"/>
  <c r="CZ158" i="53"/>
  <c r="BQ158" i="53"/>
  <c r="AI158" i="53"/>
  <c r="AH158" i="53" s="1"/>
  <c r="D158" i="53"/>
  <c r="BV157" i="53"/>
  <c r="AO157" i="53"/>
  <c r="H157" i="53"/>
  <c r="AV156" i="53"/>
  <c r="P156" i="53"/>
  <c r="CJ155" i="53"/>
  <c r="BC155" i="53"/>
  <c r="T155" i="53"/>
  <c r="CO154" i="53"/>
  <c r="BG154" i="53"/>
  <c r="Z154" i="53"/>
  <c r="CT153" i="53"/>
  <c r="BN153" i="53"/>
  <c r="AF153" i="53"/>
  <c r="DA152" i="53"/>
  <c r="BT152" i="53"/>
  <c r="AN152" i="53"/>
  <c r="H152" i="53"/>
  <c r="CA151" i="53"/>
  <c r="BZ151" i="53" s="1"/>
  <c r="AT151" i="53"/>
  <c r="N151" i="53"/>
  <c r="CG149" i="53"/>
  <c r="AY149" i="53"/>
  <c r="R149" i="53"/>
  <c r="BE148" i="53"/>
  <c r="CP147" i="53"/>
  <c r="BI147" i="53"/>
  <c r="AB147" i="53"/>
  <c r="CV146" i="53"/>
  <c r="CU146" i="53" s="1"/>
  <c r="BO146" i="53"/>
  <c r="AF146" i="53"/>
  <c r="DA145" i="53"/>
  <c r="BU145" i="53"/>
  <c r="AN145" i="53"/>
  <c r="G145" i="53"/>
  <c r="BY144" i="53"/>
  <c r="AS144" i="53"/>
  <c r="M144" i="53"/>
  <c r="CF143" i="53"/>
  <c r="AX143" i="53"/>
  <c r="P143" i="53"/>
  <c r="CJ142" i="53"/>
  <c r="BC142" i="53"/>
  <c r="T142" i="53"/>
  <c r="CN139" i="53"/>
  <c r="BF139" i="53"/>
  <c r="W139" i="53"/>
  <c r="CQ138" i="53"/>
  <c r="BI138" i="53"/>
  <c r="AA138" i="53"/>
  <c r="BO137" i="53"/>
  <c r="AG137" i="53"/>
  <c r="DB136" i="53"/>
  <c r="BT136" i="53"/>
  <c r="AM136" i="53"/>
  <c r="F136" i="53"/>
  <c r="BW135" i="53"/>
  <c r="AQ135" i="53"/>
  <c r="I135" i="53"/>
  <c r="CA134" i="53"/>
  <c r="BZ134" i="53" s="1"/>
  <c r="AV134" i="53"/>
  <c r="N134" i="53"/>
  <c r="CG133" i="53"/>
  <c r="AY133" i="53"/>
  <c r="Q133" i="53"/>
  <c r="CK131" i="53"/>
  <c r="CG240" i="53"/>
  <c r="BG236" i="53"/>
  <c r="BV232" i="53"/>
  <c r="BW222" i="53"/>
  <c r="CC219" i="53"/>
  <c r="CB219" i="53" s="1"/>
  <c r="U217" i="53"/>
  <c r="BF212" i="53"/>
  <c r="CH210" i="53"/>
  <c r="DA206" i="53"/>
  <c r="AZ205" i="53"/>
  <c r="CV203" i="53"/>
  <c r="CU203" i="53" s="1"/>
  <c r="BM202" i="53"/>
  <c r="P201" i="53"/>
  <c r="W200" i="53"/>
  <c r="L199" i="53"/>
  <c r="AB198" i="53"/>
  <c r="Q197" i="53"/>
  <c r="AI196" i="53"/>
  <c r="AH196" i="53" s="1"/>
  <c r="AK195" i="53"/>
  <c r="AJ195" i="53" s="1"/>
  <c r="AW192" i="53"/>
  <c r="AY191" i="53"/>
  <c r="BV190" i="53"/>
  <c r="CP189" i="53"/>
  <c r="AG188" i="53"/>
  <c r="BD187" i="53"/>
  <c r="M186" i="53"/>
  <c r="AZ185" i="53"/>
  <c r="CS184" i="53"/>
  <c r="AM184" i="53"/>
  <c r="CH183" i="53"/>
  <c r="AA183" i="53"/>
  <c r="BW182" i="53"/>
  <c r="P182" i="53"/>
  <c r="BF181" i="53"/>
  <c r="I181" i="53"/>
  <c r="BD178" i="53"/>
  <c r="CS177" i="53"/>
  <c r="AW177" i="53"/>
  <c r="CV176" i="53"/>
  <c r="CU176" i="53" s="1"/>
  <c r="AV176" i="53"/>
  <c r="D176" i="53"/>
  <c r="BJ175" i="53"/>
  <c r="L175" i="53"/>
  <c r="BU174" i="53"/>
  <c r="AC174" i="53"/>
  <c r="CI173" i="53"/>
  <c r="AT173" i="53"/>
  <c r="F173" i="53"/>
  <c r="BH172" i="53"/>
  <c r="R172" i="53"/>
  <c r="CC171" i="53"/>
  <c r="CB171" i="53" s="1"/>
  <c r="AD171" i="53"/>
  <c r="CP170" i="53"/>
  <c r="AY170" i="53"/>
  <c r="DB169" i="53"/>
  <c r="BK169" i="53"/>
  <c r="CE168" i="53"/>
  <c r="AN168" i="53"/>
  <c r="CZ167" i="53"/>
  <c r="S167" i="53"/>
  <c r="CG166" i="53"/>
  <c r="AR166" i="53"/>
  <c r="E166" i="53"/>
  <c r="BI165" i="53"/>
  <c r="T165" i="53"/>
  <c r="CH163" i="53"/>
  <c r="AR163" i="53"/>
  <c r="DB162" i="53"/>
  <c r="BQ162" i="53"/>
  <c r="AE162" i="53"/>
  <c r="CX159" i="53"/>
  <c r="BN159" i="53"/>
  <c r="AD159" i="53"/>
  <c r="CY158" i="53"/>
  <c r="BP158" i="53"/>
  <c r="AG158" i="53"/>
  <c r="DB157" i="53"/>
  <c r="BU157" i="53"/>
  <c r="AN157" i="53"/>
  <c r="G157" i="53"/>
  <c r="CA156" i="53"/>
  <c r="BZ156" i="53" s="1"/>
  <c r="AT156" i="53"/>
  <c r="O156" i="53"/>
  <c r="CI155" i="53"/>
  <c r="BB155" i="53"/>
  <c r="S155" i="53"/>
  <c r="CN154" i="53"/>
  <c r="BF154" i="53"/>
  <c r="X154" i="53"/>
  <c r="CS153" i="53"/>
  <c r="BM153" i="53"/>
  <c r="AE153" i="53"/>
  <c r="CZ152" i="53"/>
  <c r="BS152" i="53"/>
  <c r="AM152" i="53"/>
  <c r="G152" i="53"/>
  <c r="BY151" i="53"/>
  <c r="AS151" i="53"/>
  <c r="M151" i="53"/>
  <c r="CF149" i="53"/>
  <c r="AX149" i="53"/>
  <c r="Q149" i="53"/>
  <c r="CK148" i="53"/>
  <c r="BD148" i="53"/>
  <c r="U148" i="53"/>
  <c r="CO147" i="53"/>
  <c r="BH147" i="53"/>
  <c r="AA147" i="53"/>
  <c r="CT146" i="53"/>
  <c r="BN146" i="53"/>
  <c r="AE146" i="53"/>
  <c r="CZ145" i="53"/>
  <c r="BT145" i="53"/>
  <c r="AM145" i="53"/>
  <c r="F145" i="53"/>
  <c r="BX144" i="53"/>
  <c r="AR144" i="53"/>
  <c r="L144" i="53"/>
  <c r="CE143" i="53"/>
  <c r="AW143" i="53"/>
  <c r="O143" i="53"/>
  <c r="CI142" i="53"/>
  <c r="BB142" i="53"/>
  <c r="S142" i="53"/>
  <c r="BE139" i="53"/>
  <c r="CP138" i="53"/>
  <c r="BH138" i="53"/>
  <c r="Z138" i="53"/>
  <c r="CT137" i="53"/>
  <c r="BN137" i="53"/>
  <c r="AF137" i="53"/>
  <c r="DA136" i="53"/>
  <c r="BS136" i="53"/>
  <c r="AK136" i="53"/>
  <c r="AJ136" i="53" s="1"/>
  <c r="E136" i="53"/>
  <c r="BV135" i="53"/>
  <c r="AO135" i="53"/>
  <c r="H135" i="53"/>
  <c r="BY134" i="53"/>
  <c r="AT134" i="53"/>
  <c r="M134" i="53"/>
  <c r="CF133" i="53"/>
  <c r="AX133" i="53"/>
  <c r="P133" i="53"/>
  <c r="CJ131" i="53"/>
  <c r="BC131" i="53"/>
  <c r="T131" i="53"/>
  <c r="CN130" i="53"/>
  <c r="BG130" i="53"/>
  <c r="Z130" i="53"/>
  <c r="CS129" i="53"/>
  <c r="BK129" i="53"/>
  <c r="AC129" i="53"/>
  <c r="CX128" i="53"/>
  <c r="BP128" i="53"/>
  <c r="E128" i="53"/>
  <c r="BV127" i="53"/>
  <c r="AO127" i="53"/>
  <c r="I127" i="53"/>
  <c r="CA126" i="53"/>
  <c r="BZ126" i="53" s="1"/>
  <c r="CC240" i="53"/>
  <c r="CB240" i="53" s="1"/>
  <c r="U236" i="53"/>
  <c r="BO232" i="53"/>
  <c r="BX228" i="53"/>
  <c r="BS222" i="53"/>
  <c r="BN219" i="53"/>
  <c r="T217" i="53"/>
  <c r="AY214" i="53"/>
  <c r="BE212" i="53"/>
  <c r="BO210" i="53"/>
  <c r="CZ206" i="53"/>
  <c r="AY205" i="53"/>
  <c r="CJ203" i="53"/>
  <c r="BJ202" i="53"/>
  <c r="N201" i="53"/>
  <c r="R200" i="53"/>
  <c r="AA198" i="53"/>
  <c r="P197" i="53"/>
  <c r="AG196" i="53"/>
  <c r="AA195" i="53"/>
  <c r="AV192" i="53"/>
  <c r="AX191" i="53"/>
  <c r="BU190" i="53"/>
  <c r="CO189" i="53"/>
  <c r="I189" i="53"/>
  <c r="AD188" i="53"/>
  <c r="BC187" i="53"/>
  <c r="CG186" i="53"/>
  <c r="AW185" i="53"/>
  <c r="CR184" i="53"/>
  <c r="AI184" i="53"/>
  <c r="AH184" i="53" s="1"/>
  <c r="CF183" i="53"/>
  <c r="U183" i="53"/>
  <c r="BU182" i="53"/>
  <c r="O182" i="53"/>
  <c r="BE181" i="53"/>
  <c r="G181" i="53"/>
  <c r="BC178" i="53"/>
  <c r="AT177" i="53"/>
  <c r="CT176" i="53"/>
  <c r="AT176" i="53"/>
  <c r="DA175" i="53"/>
  <c r="BI175" i="53"/>
  <c r="K175" i="53"/>
  <c r="BS174" i="53"/>
  <c r="AB174" i="53"/>
  <c r="CH173" i="53"/>
  <c r="AR173" i="53"/>
  <c r="E173" i="53"/>
  <c r="BG172" i="53"/>
  <c r="P172" i="53"/>
  <c r="CA171" i="53"/>
  <c r="BZ171" i="53" s="1"/>
  <c r="AC171" i="53"/>
  <c r="CN170" i="53"/>
  <c r="AX170" i="53"/>
  <c r="DA169" i="53"/>
  <c r="BI169" i="53"/>
  <c r="U169" i="53"/>
  <c r="BY168" i="53"/>
  <c r="AM168" i="53"/>
  <c r="CY167" i="53"/>
  <c r="BK167" i="53"/>
  <c r="R167" i="53"/>
  <c r="CF166" i="53"/>
  <c r="AQ166" i="53"/>
  <c r="D166" i="53"/>
  <c r="BH165" i="53"/>
  <c r="S165" i="53"/>
  <c r="CG163" i="53"/>
  <c r="AN163" i="53"/>
  <c r="DA162" i="53"/>
  <c r="BP162" i="53"/>
  <c r="AD162" i="53"/>
  <c r="CV159" i="53"/>
  <c r="CU159" i="53" s="1"/>
  <c r="BM159" i="53"/>
  <c r="AC159" i="53"/>
  <c r="CX158" i="53"/>
  <c r="BO158" i="53"/>
  <c r="AF158" i="53"/>
  <c r="DA157" i="53"/>
  <c r="BT157" i="53"/>
  <c r="AM157" i="53"/>
  <c r="F157" i="53"/>
  <c r="BY156" i="53"/>
  <c r="AS156" i="53"/>
  <c r="N156" i="53"/>
  <c r="CH155" i="53"/>
  <c r="AZ155" i="53"/>
  <c r="R155" i="53"/>
  <c r="BE154" i="53"/>
  <c r="W154" i="53"/>
  <c r="CR153" i="53"/>
  <c r="BK153" i="53"/>
  <c r="AD153" i="53"/>
  <c r="CY152" i="53"/>
  <c r="BQ152" i="53"/>
  <c r="AK152" i="53"/>
  <c r="AJ152" i="53" s="1"/>
  <c r="F152" i="53"/>
  <c r="BX151" i="53"/>
  <c r="AR151" i="53"/>
  <c r="L151" i="53"/>
  <c r="CE149" i="53"/>
  <c r="AW149" i="53"/>
  <c r="P149" i="53"/>
  <c r="CJ148" i="53"/>
  <c r="BC148" i="53"/>
  <c r="T148" i="53"/>
  <c r="CN147" i="53"/>
  <c r="BG147" i="53"/>
  <c r="Z147" i="53"/>
  <c r="CS146" i="53"/>
  <c r="BM146" i="53"/>
  <c r="AD146" i="53"/>
  <c r="CY145" i="53"/>
  <c r="BS145" i="53"/>
  <c r="AK145" i="53"/>
  <c r="AJ145" i="53" s="1"/>
  <c r="E145" i="53"/>
  <c r="BW144" i="53"/>
  <c r="AQ144" i="53"/>
  <c r="K144" i="53"/>
  <c r="CC143" i="53"/>
  <c r="CB143" i="53" s="1"/>
  <c r="AV143" i="53"/>
  <c r="N143" i="53"/>
  <c r="CH142" i="53"/>
  <c r="AZ142" i="53"/>
  <c r="R142" i="53"/>
  <c r="CK139" i="53"/>
  <c r="BD139" i="53"/>
  <c r="U139" i="53"/>
  <c r="CO138" i="53"/>
  <c r="BG138" i="53"/>
  <c r="X138" i="53"/>
  <c r="CS137" i="53"/>
  <c r="BM137" i="53"/>
  <c r="AE137" i="53"/>
  <c r="CZ136" i="53"/>
  <c r="BQ136" i="53"/>
  <c r="AI136" i="53"/>
  <c r="AH136" i="53" s="1"/>
  <c r="D136" i="53"/>
  <c r="BU135" i="53"/>
  <c r="AN135" i="53"/>
  <c r="G135" i="53"/>
  <c r="BX134" i="53"/>
  <c r="AS134" i="53"/>
  <c r="L134" i="53"/>
  <c r="CE133" i="53"/>
  <c r="AW133" i="53"/>
  <c r="O133" i="53"/>
  <c r="CI131" i="53"/>
  <c r="BB131" i="53"/>
  <c r="S131" i="53"/>
  <c r="BF130" i="53"/>
  <c r="X130" i="53"/>
  <c r="CR129" i="53"/>
  <c r="BJ129" i="53"/>
  <c r="AB129" i="53"/>
  <c r="CV128" i="53"/>
  <c r="CU128" i="53" s="1"/>
  <c r="BO128" i="53"/>
  <c r="AI128" i="53"/>
  <c r="AH128" i="53" s="1"/>
  <c r="D128" i="53"/>
  <c r="BU127" i="53"/>
  <c r="AN127" i="53"/>
  <c r="H127" i="53"/>
  <c r="BW240" i="53"/>
  <c r="CE235" i="53"/>
  <c r="AX232" i="53"/>
  <c r="BP228" i="53"/>
  <c r="BQ222" i="53"/>
  <c r="BM219" i="53"/>
  <c r="O217" i="53"/>
  <c r="AT214" i="53"/>
  <c r="AX212" i="53"/>
  <c r="BI210" i="53"/>
  <c r="CX206" i="53"/>
  <c r="CW206" i="53" s="1"/>
  <c r="AG205" i="53"/>
  <c r="CH203" i="53"/>
  <c r="BI202" i="53"/>
  <c r="L201" i="53"/>
  <c r="H200" i="53"/>
  <c r="I199" i="53"/>
  <c r="O198" i="53"/>
  <c r="O197" i="53"/>
  <c r="AF196" i="53"/>
  <c r="Z195" i="53"/>
  <c r="AT192" i="53"/>
  <c r="AM191" i="53"/>
  <c r="BT190" i="53"/>
  <c r="CI189" i="53"/>
  <c r="G189" i="53"/>
  <c r="AC188" i="53"/>
  <c r="BB187" i="53"/>
  <c r="CC186" i="53"/>
  <c r="CB186" i="53" s="1"/>
  <c r="I186" i="53"/>
  <c r="AV185" i="53"/>
  <c r="CQ184" i="53"/>
  <c r="AG184" i="53"/>
  <c r="CE183" i="53"/>
  <c r="Q183" i="53"/>
  <c r="BT182" i="53"/>
  <c r="N182" i="53"/>
  <c r="BD181" i="53"/>
  <c r="F181" i="53"/>
  <c r="BU240" i="53"/>
  <c r="BY235" i="53"/>
  <c r="S232" i="53"/>
  <c r="BO228" i="53"/>
  <c r="BO222" i="53"/>
  <c r="AY219" i="53"/>
  <c r="F217" i="53"/>
  <c r="AS214" i="53"/>
  <c r="AS212" i="53"/>
  <c r="BH210" i="53"/>
  <c r="CR206" i="53"/>
  <c r="Z205" i="53"/>
  <c r="BY203" i="53"/>
  <c r="AC202" i="53"/>
  <c r="G200" i="53"/>
  <c r="G199" i="53"/>
  <c r="L198" i="53"/>
  <c r="N197" i="53"/>
  <c r="U196" i="53"/>
  <c r="X195" i="53"/>
  <c r="AS192" i="53"/>
  <c r="AK191" i="53"/>
  <c r="AJ191" i="53" s="1"/>
  <c r="BS190" i="53"/>
  <c r="BW189" i="53"/>
  <c r="F189" i="53"/>
  <c r="AB188" i="53"/>
  <c r="AZ187" i="53"/>
  <c r="CA186" i="53"/>
  <c r="BZ186" i="53" s="1"/>
  <c r="H186" i="53"/>
  <c r="AT185" i="53"/>
  <c r="CK184" i="53"/>
  <c r="AF184" i="53"/>
  <c r="CC183" i="53"/>
  <c r="CB183" i="53" s="1"/>
  <c r="P183" i="53"/>
  <c r="BS182" i="53"/>
  <c r="M182" i="53"/>
  <c r="BC181" i="53"/>
  <c r="E181" i="53"/>
  <c r="AZ178" i="53"/>
  <c r="CP177" i="53"/>
  <c r="AR177" i="53"/>
  <c r="CR176" i="53"/>
  <c r="AQ176" i="53"/>
  <c r="CY175" i="53"/>
  <c r="BG175" i="53"/>
  <c r="H175" i="53"/>
  <c r="BP174" i="53"/>
  <c r="Z174" i="53"/>
  <c r="CF173" i="53"/>
  <c r="AO173" i="53"/>
  <c r="DB172" i="53"/>
  <c r="BE172" i="53"/>
  <c r="N172" i="53"/>
  <c r="BX171" i="53"/>
  <c r="AA171" i="53"/>
  <c r="CK170" i="53"/>
  <c r="AV170" i="53"/>
  <c r="CY169" i="53"/>
  <c r="BG169" i="53"/>
  <c r="S169" i="53"/>
  <c r="BW168" i="53"/>
  <c r="AI168" i="53"/>
  <c r="AH168" i="53" s="1"/>
  <c r="CV167" i="53"/>
  <c r="CU167" i="53" s="1"/>
  <c r="BI167" i="53"/>
  <c r="P167" i="53"/>
  <c r="CC166" i="53"/>
  <c r="CB166" i="53" s="1"/>
  <c r="AN166" i="53"/>
  <c r="CS165" i="53"/>
  <c r="BF165" i="53"/>
  <c r="Q165" i="53"/>
  <c r="CE163" i="53"/>
  <c r="CY162" i="53"/>
  <c r="BN162" i="53"/>
  <c r="AB162" i="53"/>
  <c r="CS159" i="53"/>
  <c r="BJ159" i="53"/>
  <c r="AA159" i="53"/>
  <c r="CT158" i="53"/>
  <c r="BM158" i="53"/>
  <c r="AD158" i="53"/>
  <c r="CY157" i="53"/>
  <c r="BQ157" i="53"/>
  <c r="AI157" i="53"/>
  <c r="AH157" i="53" s="1"/>
  <c r="D157" i="53"/>
  <c r="BW156" i="53"/>
  <c r="AQ156" i="53"/>
  <c r="L156" i="53"/>
  <c r="CF155" i="53"/>
  <c r="AX155" i="53"/>
  <c r="P155" i="53"/>
  <c r="CJ154" i="53"/>
  <c r="BC154" i="53"/>
  <c r="U154" i="53"/>
  <c r="CP153" i="53"/>
  <c r="BI153" i="53"/>
  <c r="AB153" i="53"/>
  <c r="CV152" i="53"/>
  <c r="CU152" i="53" s="1"/>
  <c r="BO152" i="53"/>
  <c r="AG152" i="53"/>
  <c r="D152" i="53"/>
  <c r="BV151" i="53"/>
  <c r="AO151" i="53"/>
  <c r="I151" i="53"/>
  <c r="CA149" i="53"/>
  <c r="BZ149" i="53" s="1"/>
  <c r="AT149" i="53"/>
  <c r="N149" i="53"/>
  <c r="CH148" i="53"/>
  <c r="AZ148" i="53"/>
  <c r="R148" i="53"/>
  <c r="CK147" i="53"/>
  <c r="BE147" i="53"/>
  <c r="W147" i="53"/>
  <c r="CQ146" i="53"/>
  <c r="BJ146" i="53"/>
  <c r="AB146" i="53"/>
  <c r="CV145" i="53"/>
  <c r="CU145" i="53" s="1"/>
  <c r="BP145" i="53"/>
  <c r="AG145" i="53"/>
  <c r="DB144" i="53"/>
  <c r="BU144" i="53"/>
  <c r="AN144" i="53"/>
  <c r="H144" i="53"/>
  <c r="BY143" i="53"/>
  <c r="AS143" i="53"/>
  <c r="L143" i="53"/>
  <c r="CF142" i="53"/>
  <c r="AX142" i="53"/>
  <c r="P142" i="53"/>
  <c r="CI139" i="53"/>
  <c r="BB139" i="53"/>
  <c r="S139" i="53"/>
  <c r="BE138" i="53"/>
  <c r="CQ137" i="53"/>
  <c r="BJ137" i="53"/>
  <c r="AC137" i="53"/>
  <c r="CX136" i="53"/>
  <c r="BO136" i="53"/>
  <c r="AF136" i="53"/>
  <c r="DA135" i="53"/>
  <c r="BS135" i="53"/>
  <c r="AK135" i="53"/>
  <c r="AJ135" i="53" s="1"/>
  <c r="E135" i="53"/>
  <c r="BV134" i="53"/>
  <c r="AQ134" i="53"/>
  <c r="I134" i="53"/>
  <c r="CA133" i="53"/>
  <c r="BZ133" i="53" s="1"/>
  <c r="AT133" i="53"/>
  <c r="M133" i="53"/>
  <c r="CG131" i="53"/>
  <c r="AY131" i="53"/>
  <c r="Q131" i="53"/>
  <c r="CJ130" i="53"/>
  <c r="BD130" i="53"/>
  <c r="CP129" i="53"/>
  <c r="BH129" i="53"/>
  <c r="Z129" i="53"/>
  <c r="CT128" i="53"/>
  <c r="BM128" i="53"/>
  <c r="AF128" i="53"/>
  <c r="DA127" i="53"/>
  <c r="BS127" i="53"/>
  <c r="AK127" i="53"/>
  <c r="AJ127" i="53" s="1"/>
  <c r="F127" i="53"/>
  <c r="BX126" i="53"/>
  <c r="CV245" i="53"/>
  <c r="CU245" i="53" s="1"/>
  <c r="BP240" i="53"/>
  <c r="BH235" i="53"/>
  <c r="DB231" i="53"/>
  <c r="BH228" i="53"/>
  <c r="BN222" i="53"/>
  <c r="AW219" i="53"/>
  <c r="D217" i="53"/>
  <c r="P214" i="53"/>
  <c r="AQ212" i="53"/>
  <c r="BF210" i="53"/>
  <c r="CQ206" i="53"/>
  <c r="X205" i="53"/>
  <c r="BV203" i="53"/>
  <c r="U202" i="53"/>
  <c r="I201" i="53"/>
  <c r="CZ199" i="53"/>
  <c r="F199" i="53"/>
  <c r="K198" i="53"/>
  <c r="H197" i="53"/>
  <c r="P196" i="53"/>
  <c r="U195" i="53"/>
  <c r="AM192" i="53"/>
  <c r="AL192" i="53" s="1"/>
  <c r="AI191" i="53"/>
  <c r="AH191" i="53" s="1"/>
  <c r="BP190" i="53"/>
  <c r="BU189" i="53"/>
  <c r="E189" i="53"/>
  <c r="M188" i="53"/>
  <c r="AY187" i="53"/>
  <c r="BY186" i="53"/>
  <c r="G186" i="53"/>
  <c r="AS185" i="53"/>
  <c r="CH184" i="53"/>
  <c r="AE184" i="53"/>
  <c r="CA183" i="53"/>
  <c r="BZ183" i="53" s="1"/>
  <c r="O183" i="53"/>
  <c r="BQ182" i="53"/>
  <c r="L182" i="53"/>
  <c r="BB181" i="53"/>
  <c r="D181" i="53"/>
  <c r="AY178" i="53"/>
  <c r="CO177" i="53"/>
  <c r="AQ177" i="53"/>
  <c r="CQ176" i="53"/>
  <c r="AO176" i="53"/>
  <c r="CX175" i="53"/>
  <c r="BF175" i="53"/>
  <c r="G175" i="53"/>
  <c r="BO174" i="53"/>
  <c r="X174" i="53"/>
  <c r="CE173" i="53"/>
  <c r="AN173" i="53"/>
  <c r="DA172" i="53"/>
  <c r="BD172" i="53"/>
  <c r="M172" i="53"/>
  <c r="BW171" i="53"/>
  <c r="Z171" i="53"/>
  <c r="CJ170" i="53"/>
  <c r="AT170" i="53"/>
  <c r="CX169" i="53"/>
  <c r="BF169" i="53"/>
  <c r="R169" i="53"/>
  <c r="BV168" i="53"/>
  <c r="AG168" i="53"/>
  <c r="CT167" i="53"/>
  <c r="BD167" i="53"/>
  <c r="O167" i="53"/>
  <c r="CA166" i="53"/>
  <c r="BZ166" i="53" s="1"/>
  <c r="AM166" i="53"/>
  <c r="CR165" i="53"/>
  <c r="BE165" i="53"/>
  <c r="P165" i="53"/>
  <c r="CC163" i="53"/>
  <c r="CB163" i="53" s="1"/>
  <c r="AG163" i="53"/>
  <c r="CX162" i="53"/>
  <c r="BM162" i="53"/>
  <c r="AA162" i="53"/>
  <c r="BI159" i="53"/>
  <c r="Z159" i="53"/>
  <c r="CS158" i="53"/>
  <c r="BK158" i="53"/>
  <c r="AC158" i="53"/>
  <c r="CX157" i="53"/>
  <c r="BP157" i="53"/>
  <c r="AG157" i="53"/>
  <c r="DB156" i="53"/>
  <c r="BV156" i="53"/>
  <c r="K156" i="53"/>
  <c r="CE155" i="53"/>
  <c r="AW155" i="53"/>
  <c r="O155" i="53"/>
  <c r="CI154" i="53"/>
  <c r="BB154" i="53"/>
  <c r="T154" i="53"/>
  <c r="CO153" i="53"/>
  <c r="BH153" i="53"/>
  <c r="AA153" i="53"/>
  <c r="CT152" i="53"/>
  <c r="BN152" i="53"/>
  <c r="AF152" i="53"/>
  <c r="DB151" i="53"/>
  <c r="BU151" i="53"/>
  <c r="AN151" i="53"/>
  <c r="H151" i="53"/>
  <c r="BY149" i="53"/>
  <c r="AS149" i="53"/>
  <c r="M149" i="53"/>
  <c r="CG148" i="53"/>
  <c r="AY148" i="53"/>
  <c r="Q148" i="53"/>
  <c r="CJ147" i="53"/>
  <c r="BD147" i="53"/>
  <c r="V147" i="53"/>
  <c r="CP146" i="53"/>
  <c r="BI146" i="53"/>
  <c r="AA146" i="53"/>
  <c r="BO145" i="53"/>
  <c r="AF145" i="53"/>
  <c r="DA144" i="53"/>
  <c r="BT144" i="53"/>
  <c r="AM144" i="53"/>
  <c r="G144" i="53"/>
  <c r="BX143" i="53"/>
  <c r="AR143" i="53"/>
  <c r="K143" i="53"/>
  <c r="CE142" i="53"/>
  <c r="AW142" i="53"/>
  <c r="O142" i="53"/>
  <c r="CH139" i="53"/>
  <c r="AZ139" i="53"/>
  <c r="R139" i="53"/>
  <c r="CK138" i="53"/>
  <c r="BD138" i="53"/>
  <c r="U138" i="53"/>
  <c r="CP137" i="53"/>
  <c r="BI137" i="53"/>
  <c r="AB137" i="53"/>
  <c r="CV136" i="53"/>
  <c r="CU136" i="53" s="1"/>
  <c r="BN136" i="53"/>
  <c r="AE136" i="53"/>
  <c r="CZ135" i="53"/>
  <c r="BQ135" i="53"/>
  <c r="AI135" i="53"/>
  <c r="AH135" i="53" s="1"/>
  <c r="D135" i="53"/>
  <c r="BU134" i="53"/>
  <c r="AO134" i="53"/>
  <c r="H134" i="53"/>
  <c r="BY133" i="53"/>
  <c r="AS133" i="53"/>
  <c r="L133" i="53"/>
  <c r="CF131" i="53"/>
  <c r="AX131" i="53"/>
  <c r="P131" i="53"/>
  <c r="CI130" i="53"/>
  <c r="BC130" i="53"/>
  <c r="U130" i="53"/>
  <c r="CO129" i="53"/>
  <c r="BG129" i="53"/>
  <c r="X129" i="53"/>
  <c r="CS128" i="53"/>
  <c r="BK128" i="53"/>
  <c r="AE128" i="53"/>
  <c r="CZ127" i="53"/>
  <c r="BQ127" i="53"/>
  <c r="AI127" i="53"/>
  <c r="AH127" i="53" s="1"/>
  <c r="E127" i="53"/>
  <c r="BW126" i="53"/>
  <c r="CF245" i="53"/>
  <c r="BO240" i="53"/>
  <c r="BC235" i="53"/>
  <c r="DA231" i="53"/>
  <c r="AX228" i="53"/>
  <c r="BK222" i="53"/>
  <c r="AE219" i="53"/>
  <c r="CJ216" i="53"/>
  <c r="O214" i="53"/>
  <c r="AM212" i="53"/>
  <c r="AG210" i="53"/>
  <c r="CM206" i="53"/>
  <c r="S205" i="53"/>
  <c r="BU203" i="53"/>
  <c r="T202" i="53"/>
  <c r="BF245" i="53"/>
  <c r="BA245" i="53" s="1"/>
  <c r="BM239" i="53"/>
  <c r="BB235" i="53"/>
  <c r="CX231" i="53"/>
  <c r="CW231" i="53" s="1"/>
  <c r="AQ228" i="53"/>
  <c r="AW222" i="53"/>
  <c r="DA218" i="53"/>
  <c r="CE216" i="53"/>
  <c r="K214" i="53"/>
  <c r="AE210" i="53"/>
  <c r="CK206" i="53"/>
  <c r="M205" i="53"/>
  <c r="BN203" i="53"/>
  <c r="R202" i="53"/>
  <c r="F201" i="53"/>
  <c r="X245" i="53"/>
  <c r="AK239" i="53"/>
  <c r="AJ239" i="53" s="1"/>
  <c r="I245" i="53"/>
  <c r="AB239" i="53"/>
  <c r="AS235" i="53"/>
  <c r="AY231" i="53"/>
  <c r="AE228" i="53"/>
  <c r="CO221" i="53"/>
  <c r="CO218" i="53"/>
  <c r="BX216" i="53"/>
  <c r="E214" i="53"/>
  <c r="O212" i="53"/>
  <c r="W210" i="53"/>
  <c r="CH206" i="53"/>
  <c r="CK204" i="53"/>
  <c r="BD203" i="53"/>
  <c r="N202" i="53"/>
  <c r="CM200" i="53"/>
  <c r="CI199" i="53"/>
  <c r="CM198" i="53"/>
  <c r="CQ197" i="53"/>
  <c r="CR196" i="53"/>
  <c r="CZ195" i="53"/>
  <c r="H195" i="53"/>
  <c r="L192" i="53"/>
  <c r="AB191" i="53"/>
  <c r="AS190" i="53"/>
  <c r="BO189" i="53"/>
  <c r="CS188" i="53"/>
  <c r="G188" i="53"/>
  <c r="AM187" i="53"/>
  <c r="BF186" i="53"/>
  <c r="CY185" i="53"/>
  <c r="AE185" i="53"/>
  <c r="BY184" i="53"/>
  <c r="AA184" i="53"/>
  <c r="BO183" i="53"/>
  <c r="I183" i="53"/>
  <c r="BM182" i="53"/>
  <c r="CZ181" i="53"/>
  <c r="AV181" i="53"/>
  <c r="CQ178" i="53"/>
  <c r="AM178" i="53"/>
  <c r="CI177" i="53"/>
  <c r="AE177" i="53"/>
  <c r="CF176" i="53"/>
  <c r="AG176" i="53"/>
  <c r="CR175" i="53"/>
  <c r="AS175" i="53"/>
  <c r="DA174" i="53"/>
  <c r="BJ174" i="53"/>
  <c r="N174" i="53"/>
  <c r="BW173" i="53"/>
  <c r="AI173" i="53"/>
  <c r="AH173" i="53" s="1"/>
  <c r="CO172" i="53"/>
  <c r="AX172" i="53"/>
  <c r="H172" i="53"/>
  <c r="BK171" i="53"/>
  <c r="T171" i="53"/>
  <c r="CF170" i="53"/>
  <c r="AF170" i="53"/>
  <c r="CQ169" i="53"/>
  <c r="BB169" i="53"/>
  <c r="G169" i="53"/>
  <c r="BQ168" i="53"/>
  <c r="AC168" i="53"/>
  <c r="CP167" i="53"/>
  <c r="AW167" i="53"/>
  <c r="BV166" i="53"/>
  <c r="AC166" i="53"/>
  <c r="CN165" i="53"/>
  <c r="AZ165" i="53"/>
  <c r="L165" i="53"/>
  <c r="BP163" i="53"/>
  <c r="AC163" i="53"/>
  <c r="F245" i="53"/>
  <c r="T239" i="53"/>
  <c r="T235" i="53"/>
  <c r="AX231" i="53"/>
  <c r="X228" i="53"/>
  <c r="BP221" i="53"/>
  <c r="CJ218" i="53"/>
  <c r="AE216" i="53"/>
  <c r="DB213" i="53"/>
  <c r="N212" i="53"/>
  <c r="O210" i="53"/>
  <c r="CF206" i="53"/>
  <c r="CJ204" i="53"/>
  <c r="BC203" i="53"/>
  <c r="M202" i="53"/>
  <c r="CK200" i="53"/>
  <c r="CH199" i="53"/>
  <c r="CK198" i="53"/>
  <c r="CN197" i="53"/>
  <c r="CQ196" i="53"/>
  <c r="CY195" i="53"/>
  <c r="E195" i="53"/>
  <c r="K192" i="53"/>
  <c r="Z191" i="53"/>
  <c r="AN190" i="53"/>
  <c r="BN189" i="53"/>
  <c r="CH188" i="53"/>
  <c r="F188" i="53"/>
  <c r="AK187" i="53"/>
  <c r="AJ187" i="53" s="1"/>
  <c r="BD186" i="53"/>
  <c r="CV185" i="53"/>
  <c r="CU185" i="53" s="1"/>
  <c r="AD185" i="53"/>
  <c r="BX184" i="53"/>
  <c r="Z184" i="53"/>
  <c r="BN183" i="53"/>
  <c r="H183" i="53"/>
  <c r="BG182" i="53"/>
  <c r="CY181" i="53"/>
  <c r="AT181" i="53"/>
  <c r="CP178" i="53"/>
  <c r="AK178" i="53"/>
  <c r="AJ178" i="53" s="1"/>
  <c r="CH177" i="53"/>
  <c r="AD177" i="53"/>
  <c r="CE176" i="53"/>
  <c r="AF176" i="53"/>
  <c r="CQ175" i="53"/>
  <c r="AR175" i="53"/>
  <c r="CZ174" i="53"/>
  <c r="BI174" i="53"/>
  <c r="M174" i="53"/>
  <c r="BV173" i="53"/>
  <c r="CN172" i="53"/>
  <c r="AW172" i="53"/>
  <c r="G172" i="53"/>
  <c r="BJ171" i="53"/>
  <c r="S171" i="53"/>
  <c r="CE170" i="53"/>
  <c r="AE170" i="53"/>
  <c r="CP169" i="53"/>
  <c r="AZ169" i="53"/>
  <c r="F169" i="53"/>
  <c r="BP168" i="53"/>
  <c r="AB168" i="53"/>
  <c r="CO167" i="53"/>
  <c r="AV167" i="53"/>
  <c r="I167" i="53"/>
  <c r="BU166" i="53"/>
  <c r="Z166" i="53"/>
  <c r="CM165" i="53"/>
  <c r="AY165" i="53"/>
  <c r="K165" i="53"/>
  <c r="BO163" i="53"/>
  <c r="AS244" i="53"/>
  <c r="F244" i="53"/>
  <c r="BQ238" i="53"/>
  <c r="CV234" i="53"/>
  <c r="CU234" i="53" s="1"/>
  <c r="BS230" i="53"/>
  <c r="BI225" i="53"/>
  <c r="Z221" i="53"/>
  <c r="BH218" i="53"/>
  <c r="CY215" i="53"/>
  <c r="CE213" i="53"/>
  <c r="BG211" i="53"/>
  <c r="CN209" i="53"/>
  <c r="X206" i="53"/>
  <c r="BY204" i="53"/>
  <c r="U203" i="53"/>
  <c r="CG201" i="53"/>
  <c r="BJ200" i="53"/>
  <c r="BG199" i="53"/>
  <c r="BS198" i="53"/>
  <c r="BR198" i="53" s="1"/>
  <c r="BN197" i="53"/>
  <c r="CK196" i="53"/>
  <c r="CC195" i="53"/>
  <c r="CB195" i="53" s="1"/>
  <c r="CY192" i="53"/>
  <c r="DB191" i="53"/>
  <c r="N191" i="53"/>
  <c r="AC190" i="53"/>
  <c r="BG189" i="53"/>
  <c r="BT188" i="53"/>
  <c r="CY187" i="53"/>
  <c r="Q187" i="53"/>
  <c r="AY186" i="53"/>
  <c r="CA185" i="53"/>
  <c r="BZ185" i="53" s="1"/>
  <c r="BS184" i="53"/>
  <c r="G184" i="53"/>
  <c r="BD183" i="53"/>
  <c r="DB182" i="53"/>
  <c r="AQ182" i="53"/>
  <c r="CK181" i="53"/>
  <c r="AN181" i="53"/>
  <c r="CC178" i="53"/>
  <c r="CB178" i="53" s="1"/>
  <c r="W178" i="53"/>
  <c r="CA177" i="53"/>
  <c r="BZ177" i="53" s="1"/>
  <c r="R177" i="53"/>
  <c r="BU176" i="53"/>
  <c r="AA176" i="53"/>
  <c r="CC175" i="53"/>
  <c r="CB175" i="53" s="1"/>
  <c r="AK175" i="53"/>
  <c r="AJ175" i="53" s="1"/>
  <c r="CT174" i="53"/>
  <c r="AW174" i="53"/>
  <c r="G174" i="53"/>
  <c r="BQ173" i="53"/>
  <c r="CH172" i="53"/>
  <c r="AQ172" i="53"/>
  <c r="CT171" i="53"/>
  <c r="BE171" i="53"/>
  <c r="N171" i="53"/>
  <c r="BP170" i="53"/>
  <c r="Z170" i="53"/>
  <c r="CJ169" i="53"/>
  <c r="AM169" i="53"/>
  <c r="CZ168" i="53"/>
  <c r="BJ168" i="53"/>
  <c r="CA167" i="53"/>
  <c r="BZ167" i="53" s="1"/>
  <c r="AO167" i="53"/>
  <c r="D167" i="53"/>
  <c r="BJ166" i="53"/>
  <c r="T166" i="53"/>
  <c r="CG165" i="53"/>
  <c r="AS165" i="53"/>
  <c r="CX163" i="53"/>
  <c r="BI163" i="53"/>
  <c r="BB162" i="53"/>
  <c r="O162" i="53"/>
  <c r="CF159" i="53"/>
  <c r="AW159" i="53"/>
  <c r="O159" i="53"/>
  <c r="CH158" i="53"/>
  <c r="AZ158" i="53"/>
  <c r="R158" i="53"/>
  <c r="BE157" i="53"/>
  <c r="CQ156" i="53"/>
  <c r="BJ156" i="53"/>
  <c r="AD156" i="53"/>
  <c r="CY155" i="53"/>
  <c r="BQ155" i="53"/>
  <c r="AI155" i="53"/>
  <c r="AH155" i="53" s="1"/>
  <c r="D155" i="53"/>
  <c r="BV154" i="53"/>
  <c r="AO154" i="53"/>
  <c r="I154" i="53"/>
  <c r="CC153" i="53"/>
  <c r="CB153" i="53" s="1"/>
  <c r="AX153" i="53"/>
  <c r="P153" i="53"/>
  <c r="CI152" i="53"/>
  <c r="BC152" i="53"/>
  <c r="V152" i="53"/>
  <c r="CQ151" i="53"/>
  <c r="BI151" i="53"/>
  <c r="AA151" i="53"/>
  <c r="CV149" i="53"/>
  <c r="CU149" i="53" s="1"/>
  <c r="BN149" i="53"/>
  <c r="AF149" i="53"/>
  <c r="DA148" i="53"/>
  <c r="BT148" i="53"/>
  <c r="AM148" i="53"/>
  <c r="F148" i="53"/>
  <c r="BX147" i="53"/>
  <c r="AR147" i="53"/>
  <c r="L147" i="53"/>
  <c r="CE146" i="53"/>
  <c r="AX146" i="53"/>
  <c r="P146" i="53"/>
  <c r="CJ145" i="53"/>
  <c r="BD145" i="53"/>
  <c r="U145" i="53"/>
  <c r="CP144" i="53"/>
  <c r="BH144" i="53"/>
  <c r="AA144" i="53"/>
  <c r="CT143" i="53"/>
  <c r="BM143" i="53"/>
  <c r="AD143" i="53"/>
  <c r="CY142" i="53"/>
  <c r="BQ142" i="53"/>
  <c r="AI142" i="53"/>
  <c r="AH142" i="53" s="1"/>
  <c r="D142" i="53"/>
  <c r="BU139" i="53"/>
  <c r="CX243" i="53"/>
  <c r="CW243" i="53" s="1"/>
  <c r="AS238" i="53"/>
  <c r="CS234" i="53"/>
  <c r="AS230" i="53"/>
  <c r="AV225" i="53"/>
  <c r="X221" i="53"/>
  <c r="AB243" i="53"/>
  <c r="AN238" i="53"/>
  <c r="H234" i="53"/>
  <c r="AK230" i="53"/>
  <c r="AJ230" i="53" s="1"/>
  <c r="AT225" i="53"/>
  <c r="CV220" i="53"/>
  <c r="CU220" i="53" s="1"/>
  <c r="BB218" i="53"/>
  <c r="BJ215" i="53"/>
  <c r="BT213" i="53"/>
  <c r="AR211" i="53"/>
  <c r="D206" i="53"/>
  <c r="BP204" i="53"/>
  <c r="F203" i="53"/>
  <c r="CC201" i="53"/>
  <c r="CB201" i="53" s="1"/>
  <c r="BE200" i="53"/>
  <c r="BE199" i="53"/>
  <c r="BB198" i="53"/>
  <c r="BI197" i="53"/>
  <c r="R244" i="53"/>
  <c r="D235" i="53"/>
  <c r="BV225" i="53"/>
  <c r="BJ218" i="53"/>
  <c r="CN213" i="53"/>
  <c r="R211" i="53"/>
  <c r="BV205" i="53"/>
  <c r="BY202" i="53"/>
  <c r="AS200" i="53"/>
  <c r="CJ198" i="53"/>
  <c r="BB197" i="53"/>
  <c r="BW195" i="53"/>
  <c r="AZ192" i="53"/>
  <c r="DA190" i="53"/>
  <c r="BS189" i="53"/>
  <c r="AZ188" i="53"/>
  <c r="AE187" i="53"/>
  <c r="W186" i="53"/>
  <c r="AA185" i="53"/>
  <c r="AS184" i="53"/>
  <c r="AX183" i="53"/>
  <c r="CG181" i="53"/>
  <c r="DA178" i="53"/>
  <c r="R178" i="53"/>
  <c r="AN177" i="53"/>
  <c r="AL177" i="53" s="1"/>
  <c r="BO176" i="53"/>
  <c r="CZ175" i="53"/>
  <c r="AF175" i="53"/>
  <c r="BX174" i="53"/>
  <c r="E174" i="53"/>
  <c r="AY173" i="53"/>
  <c r="CI172" i="53"/>
  <c r="W172" i="53"/>
  <c r="BG171" i="53"/>
  <c r="CX170" i="53"/>
  <c r="AC170" i="53"/>
  <c r="BT169" i="53"/>
  <c r="E169" i="53"/>
  <c r="BD168" i="53"/>
  <c r="CQ167" i="53"/>
  <c r="BX166" i="53"/>
  <c r="P166" i="53"/>
  <c r="BD165" i="53"/>
  <c r="CS163" i="53"/>
  <c r="AI163" i="53"/>
  <c r="AH163" i="53" s="1"/>
  <c r="CO162" i="53"/>
  <c r="CQ159" i="53"/>
  <c r="AY159" i="53"/>
  <c r="H159" i="53"/>
  <c r="BJ158" i="53"/>
  <c r="T158" i="53"/>
  <c r="CF157" i="53"/>
  <c r="AF157" i="53"/>
  <c r="CS156" i="53"/>
  <c r="BD156" i="53"/>
  <c r="I156" i="53"/>
  <c r="BT155" i="53"/>
  <c r="AB155" i="53"/>
  <c r="CH154" i="53"/>
  <c r="AR154" i="53"/>
  <c r="DB153" i="53"/>
  <c r="BG153" i="53"/>
  <c r="R153" i="53"/>
  <c r="AE152" i="53"/>
  <c r="CS151" i="53"/>
  <c r="BC151" i="53"/>
  <c r="G151" i="53"/>
  <c r="BP149" i="53"/>
  <c r="Z149" i="53"/>
  <c r="CF148" i="53"/>
  <c r="AO148" i="53"/>
  <c r="CY147" i="53"/>
  <c r="BC147" i="53"/>
  <c r="N147" i="53"/>
  <c r="BW146" i="53"/>
  <c r="Z146" i="53"/>
  <c r="CM145" i="53"/>
  <c r="AW145" i="53"/>
  <c r="CZ144" i="53"/>
  <c r="BJ144" i="53"/>
  <c r="T144" i="53"/>
  <c r="BW143" i="53"/>
  <c r="AF143" i="53"/>
  <c r="AV142" i="53"/>
  <c r="F142" i="53"/>
  <c r="BN139" i="53"/>
  <c r="T139" i="53"/>
  <c r="CE138" i="53"/>
  <c r="AO138" i="53"/>
  <c r="DA137" i="53"/>
  <c r="BG137" i="53"/>
  <c r="S137" i="53"/>
  <c r="CF136" i="53"/>
  <c r="AQ136" i="53"/>
  <c r="CT135" i="53"/>
  <c r="BF135" i="53"/>
  <c r="Q135" i="53"/>
  <c r="BW134" i="53"/>
  <c r="AF134" i="53"/>
  <c r="CS133" i="53"/>
  <c r="BE133" i="53"/>
  <c r="I133" i="53"/>
  <c r="BU131" i="53"/>
  <c r="AF131" i="53"/>
  <c r="CT130" i="53"/>
  <c r="BE130" i="53"/>
  <c r="P130" i="53"/>
  <c r="CC129" i="53"/>
  <c r="CB129" i="53" s="1"/>
  <c r="AO129" i="53"/>
  <c r="DB128" i="53"/>
  <c r="BI128" i="53"/>
  <c r="W128" i="53"/>
  <c r="CK127" i="53"/>
  <c r="AX127" i="53"/>
  <c r="BT126" i="53"/>
  <c r="AM126" i="53"/>
  <c r="F126" i="53"/>
  <c r="BX125" i="53"/>
  <c r="AR125" i="53"/>
  <c r="CE124" i="53"/>
  <c r="AX124" i="53"/>
  <c r="Q124" i="53"/>
  <c r="CK123" i="53"/>
  <c r="BD123" i="53"/>
  <c r="U123" i="53"/>
  <c r="CP122" i="53"/>
  <c r="BJ122" i="53"/>
  <c r="AB122" i="53"/>
  <c r="CV121" i="53"/>
  <c r="CU121" i="53" s="1"/>
  <c r="BN121" i="53"/>
  <c r="AE121" i="53"/>
  <c r="CZ120" i="53"/>
  <c r="BQ120" i="53"/>
  <c r="AI120" i="53"/>
  <c r="AH120" i="53" s="1"/>
  <c r="E120" i="53"/>
  <c r="BW119" i="53"/>
  <c r="AQ119" i="53"/>
  <c r="I119" i="53"/>
  <c r="CA118" i="53"/>
  <c r="BZ118" i="53" s="1"/>
  <c r="AV118" i="53"/>
  <c r="N118" i="53"/>
  <c r="CG115" i="53"/>
  <c r="AY115" i="53"/>
  <c r="Q115" i="53"/>
  <c r="CJ114" i="53"/>
  <c r="BC114" i="53"/>
  <c r="U114" i="53"/>
  <c r="CO113" i="53"/>
  <c r="BG113" i="53"/>
  <c r="X113" i="53"/>
  <c r="CS112" i="53"/>
  <c r="BK112" i="53"/>
  <c r="AC112" i="53"/>
  <c r="CX111" i="53"/>
  <c r="BP111" i="53"/>
  <c r="D111" i="53"/>
  <c r="BV110" i="53"/>
  <c r="AO110" i="53"/>
  <c r="H110" i="53"/>
  <c r="CA109" i="53"/>
  <c r="BZ109" i="53" s="1"/>
  <c r="AV109" i="53"/>
  <c r="N109" i="53"/>
  <c r="CG108" i="53"/>
  <c r="L244" i="53"/>
  <c r="DA234" i="53"/>
  <c r="DC234" i="53" s="1"/>
  <c r="BN225" i="53"/>
  <c r="BI218" i="53"/>
  <c r="CK213" i="53"/>
  <c r="Z210" i="53"/>
  <c r="BN205" i="53"/>
  <c r="BX202" i="53"/>
  <c r="AQ200" i="53"/>
  <c r="CI198" i="53"/>
  <c r="AF197" i="53"/>
  <c r="BT195" i="53"/>
  <c r="AB192" i="53"/>
  <c r="CS190" i="53"/>
  <c r="BP189" i="53"/>
  <c r="AY188" i="53"/>
  <c r="T186" i="53"/>
  <c r="Z185" i="53"/>
  <c r="AR184" i="53"/>
  <c r="AW183" i="53"/>
  <c r="BP182" i="53"/>
  <c r="CF181" i="53"/>
  <c r="CT178" i="53"/>
  <c r="Q178" i="53"/>
  <c r="AI177" i="53"/>
  <c r="AH177" i="53" s="1"/>
  <c r="BN176" i="53"/>
  <c r="CV175" i="53"/>
  <c r="CU175" i="53" s="1"/>
  <c r="AE175" i="53"/>
  <c r="BQ174" i="53"/>
  <c r="D174" i="53"/>
  <c r="AX173" i="53"/>
  <c r="CF172" i="53"/>
  <c r="BF171" i="53"/>
  <c r="CV170" i="53"/>
  <c r="CU170" i="53" s="1"/>
  <c r="AB170" i="53"/>
  <c r="BS169" i="53"/>
  <c r="D169" i="53"/>
  <c r="BC168" i="53"/>
  <c r="CI167" i="53"/>
  <c r="AI167" i="53"/>
  <c r="AH167" i="53" s="1"/>
  <c r="BW166" i="53"/>
  <c r="O166" i="53"/>
  <c r="BC165" i="53"/>
  <c r="AF163" i="53"/>
  <c r="CN162" i="53"/>
  <c r="AO162" i="53"/>
  <c r="CP159" i="53"/>
  <c r="AX159" i="53"/>
  <c r="G159" i="53"/>
  <c r="BI158" i="53"/>
  <c r="S158" i="53"/>
  <c r="CE157" i="53"/>
  <c r="AE157" i="53"/>
  <c r="CR156" i="53"/>
  <c r="BC156" i="53"/>
  <c r="H156" i="53"/>
  <c r="BS155" i="53"/>
  <c r="AA155" i="53"/>
  <c r="CG154" i="53"/>
  <c r="AQ154" i="53"/>
  <c r="DA153" i="53"/>
  <c r="BF153" i="53"/>
  <c r="Q153" i="53"/>
  <c r="CA152" i="53"/>
  <c r="BZ152" i="53" s="1"/>
  <c r="AD152" i="53"/>
  <c r="BB151" i="53"/>
  <c r="F151" i="53"/>
  <c r="BO149" i="53"/>
  <c r="X149" i="53"/>
  <c r="CE148" i="53"/>
  <c r="AN148" i="53"/>
  <c r="CX147" i="53"/>
  <c r="BB147" i="53"/>
  <c r="M147" i="53"/>
  <c r="BV146" i="53"/>
  <c r="X146" i="53"/>
  <c r="CK145" i="53"/>
  <c r="AV145" i="53"/>
  <c r="CY144" i="53"/>
  <c r="BI144" i="53"/>
  <c r="S144" i="53"/>
  <c r="BV143" i="53"/>
  <c r="AE143" i="53"/>
  <c r="CQ142" i="53"/>
  <c r="AT142" i="53"/>
  <c r="E142" i="53"/>
  <c r="BM139" i="53"/>
  <c r="Q139" i="53"/>
  <c r="CC138" i="53"/>
  <c r="CB138" i="53" s="1"/>
  <c r="AN138" i="53"/>
  <c r="CZ137" i="53"/>
  <c r="BF137" i="53"/>
  <c r="R137" i="53"/>
  <c r="CE136" i="53"/>
  <c r="AO136" i="53"/>
  <c r="CS135" i="53"/>
  <c r="BE135" i="53"/>
  <c r="P135" i="53"/>
  <c r="BT134" i="53"/>
  <c r="AE134" i="53"/>
  <c r="CR133" i="53"/>
  <c r="BD133" i="53"/>
  <c r="H133" i="53"/>
  <c r="BT131" i="53"/>
  <c r="AE131" i="53"/>
  <c r="CS130" i="53"/>
  <c r="BB130" i="53"/>
  <c r="O130" i="53"/>
  <c r="CA129" i="53"/>
  <c r="BZ129" i="53" s="1"/>
  <c r="AN129" i="53"/>
  <c r="DA128" i="53"/>
  <c r="BH128" i="53"/>
  <c r="CJ127" i="53"/>
  <c r="AW127" i="53"/>
  <c r="G127" i="53"/>
  <c r="BS126" i="53"/>
  <c r="AK126" i="53"/>
  <c r="AJ126" i="53" s="1"/>
  <c r="E126" i="53"/>
  <c r="BW125" i="53"/>
  <c r="AQ125" i="53"/>
  <c r="I125" i="53"/>
  <c r="CC124" i="53"/>
  <c r="CB124" i="53" s="1"/>
  <c r="AW124" i="53"/>
  <c r="P124" i="53"/>
  <c r="CJ123" i="53"/>
  <c r="BC123" i="53"/>
  <c r="T123" i="53"/>
  <c r="CO122" i="53"/>
  <c r="BI122" i="53"/>
  <c r="AA122" i="53"/>
  <c r="CT121" i="53"/>
  <c r="BM121" i="53"/>
  <c r="AD121" i="53"/>
  <c r="CY120" i="53"/>
  <c r="BP120" i="53"/>
  <c r="D120" i="53"/>
  <c r="BV119" i="53"/>
  <c r="AO119" i="53"/>
  <c r="H119" i="53"/>
  <c r="AT118" i="53"/>
  <c r="M118" i="53"/>
  <c r="CF115" i="53"/>
  <c r="AX115" i="53"/>
  <c r="P115" i="53"/>
  <c r="CI114" i="53"/>
  <c r="BB114" i="53"/>
  <c r="T114" i="53"/>
  <c r="CN113" i="53"/>
  <c r="BF113" i="53"/>
  <c r="W113" i="53"/>
  <c r="BJ112" i="53"/>
  <c r="AB112" i="53"/>
  <c r="BO111" i="53"/>
  <c r="AG111" i="53"/>
  <c r="DB110" i="53"/>
  <c r="BU110" i="53"/>
  <c r="AN110" i="53"/>
  <c r="G110" i="53"/>
  <c r="BY109" i="53"/>
  <c r="AT109" i="53"/>
  <c r="M109" i="53"/>
  <c r="I244" i="53"/>
  <c r="CF233" i="53"/>
  <c r="AA225" i="53"/>
  <c r="BF218" i="53"/>
  <c r="CI213" i="53"/>
  <c r="L210" i="53"/>
  <c r="BM205" i="53"/>
  <c r="BW202" i="53"/>
  <c r="AO200" i="53"/>
  <c r="CH198" i="53"/>
  <c r="AC197" i="53"/>
  <c r="BS195" i="53"/>
  <c r="X192" i="53"/>
  <c r="BM189" i="53"/>
  <c r="AX188" i="53"/>
  <c r="U187" i="53"/>
  <c r="S186" i="53"/>
  <c r="S185" i="53"/>
  <c r="AQ184" i="53"/>
  <c r="AV183" i="53"/>
  <c r="BO182" i="53"/>
  <c r="CE181" i="53"/>
  <c r="CO178" i="53"/>
  <c r="P178" i="53"/>
  <c r="AG177" i="53"/>
  <c r="BM176" i="53"/>
  <c r="CT175" i="53"/>
  <c r="AD175" i="53"/>
  <c r="BN174" i="53"/>
  <c r="DB173" i="53"/>
  <c r="AQ173" i="53"/>
  <c r="CE172" i="53"/>
  <c r="U172" i="53"/>
  <c r="BC171" i="53"/>
  <c r="CT170" i="53"/>
  <c r="AA170" i="53"/>
  <c r="BQ169" i="53"/>
  <c r="DB168" i="53"/>
  <c r="AW168" i="53"/>
  <c r="CF167" i="53"/>
  <c r="AG167" i="53"/>
  <c r="BT166" i="53"/>
  <c r="N166" i="53"/>
  <c r="BB165" i="53"/>
  <c r="CQ163" i="53"/>
  <c r="AE163" i="53"/>
  <c r="CK162" i="53"/>
  <c r="AN162" i="53"/>
  <c r="CO159" i="53"/>
  <c r="AV159" i="53"/>
  <c r="F159" i="53"/>
  <c r="BH158" i="53"/>
  <c r="Q158" i="53"/>
  <c r="CC157" i="53"/>
  <c r="CB157" i="53" s="1"/>
  <c r="AD157" i="53"/>
  <c r="CP156" i="53"/>
  <c r="BB156" i="53"/>
  <c r="G156" i="53"/>
  <c r="BP155" i="53"/>
  <c r="Z155" i="53"/>
  <c r="CF154" i="53"/>
  <c r="AN154" i="53"/>
  <c r="CZ153" i="53"/>
  <c r="BE153" i="53"/>
  <c r="O153" i="53"/>
  <c r="BY152" i="53"/>
  <c r="AC152" i="53"/>
  <c r="CP151" i="53"/>
  <c r="AZ151" i="53"/>
  <c r="E151" i="53"/>
  <c r="BM149" i="53"/>
  <c r="W149" i="53"/>
  <c r="CC148" i="53"/>
  <c r="CB148" i="53" s="1"/>
  <c r="AK148" i="53"/>
  <c r="AJ148" i="53" s="1"/>
  <c r="CV147" i="53"/>
  <c r="CU147" i="53" s="1"/>
  <c r="AZ147" i="53"/>
  <c r="K147" i="53"/>
  <c r="BU146" i="53"/>
  <c r="W146" i="53"/>
  <c r="CI145" i="53"/>
  <c r="AT145" i="53"/>
  <c r="CX144" i="53"/>
  <c r="BG144" i="53"/>
  <c r="R144" i="53"/>
  <c r="BU143" i="53"/>
  <c r="AC143" i="53"/>
  <c r="CP142" i="53"/>
  <c r="AS142" i="53"/>
  <c r="DB139" i="53"/>
  <c r="BK139" i="53"/>
  <c r="P139" i="53"/>
  <c r="CA138" i="53"/>
  <c r="BZ138" i="53" s="1"/>
  <c r="AM138" i="53"/>
  <c r="CY137" i="53"/>
  <c r="BE137" i="53"/>
  <c r="Q137" i="53"/>
  <c r="CC136" i="53"/>
  <c r="CB136" i="53" s="1"/>
  <c r="AG136" i="53"/>
  <c r="CR135" i="53"/>
  <c r="BD135" i="53"/>
  <c r="O135" i="53"/>
  <c r="BS134" i="53"/>
  <c r="AD134" i="53"/>
  <c r="CQ133" i="53"/>
  <c r="BC133" i="53"/>
  <c r="G133" i="53"/>
  <c r="BS131" i="53"/>
  <c r="AD131" i="53"/>
  <c r="AZ130" i="53"/>
  <c r="N130" i="53"/>
  <c r="BY129" i="53"/>
  <c r="AM129" i="53"/>
  <c r="CY128" i="53"/>
  <c r="BG128" i="53"/>
  <c r="U128" i="53"/>
  <c r="CI127" i="53"/>
  <c r="AV127" i="53"/>
  <c r="D127" i="53"/>
  <c r="BQ126" i="53"/>
  <c r="AI126" i="53"/>
  <c r="AH126" i="53" s="1"/>
  <c r="D126" i="53"/>
  <c r="BV125" i="53"/>
  <c r="AO125" i="53"/>
  <c r="H125" i="53"/>
  <c r="AV124" i="53"/>
  <c r="O124" i="53"/>
  <c r="CI123" i="53"/>
  <c r="BB123" i="53"/>
  <c r="S123" i="53"/>
  <c r="CN122" i="53"/>
  <c r="BH122" i="53"/>
  <c r="Z122" i="53"/>
  <c r="CS121" i="53"/>
  <c r="BK121" i="53"/>
  <c r="AC121" i="53"/>
  <c r="CX120" i="53"/>
  <c r="BO120" i="53"/>
  <c r="AG120" i="53"/>
  <c r="DB119" i="53"/>
  <c r="BU119" i="53"/>
  <c r="AN119" i="53"/>
  <c r="G119" i="53"/>
  <c r="BY118" i="53"/>
  <c r="AS118" i="53"/>
  <c r="L118" i="53"/>
  <c r="CE115" i="53"/>
  <c r="AW115" i="53"/>
  <c r="O115" i="53"/>
  <c r="CH114" i="53"/>
  <c r="AZ114" i="53"/>
  <c r="S114" i="53"/>
  <c r="CM113" i="53"/>
  <c r="BE113" i="53"/>
  <c r="V113" i="53"/>
  <c r="CQ112" i="53"/>
  <c r="BI112" i="53"/>
  <c r="AA112" i="53"/>
  <c r="CV111" i="53"/>
  <c r="CU111" i="53" s="1"/>
  <c r="BN111" i="53"/>
  <c r="AF111" i="53"/>
  <c r="DA110" i="53"/>
  <c r="BT110" i="53"/>
  <c r="AM110" i="53"/>
  <c r="F110" i="53"/>
  <c r="BX109" i="53"/>
  <c r="W243" i="53"/>
  <c r="BW233" i="53"/>
  <c r="CF224" i="53"/>
  <c r="CG213" i="53"/>
  <c r="H210" i="53"/>
  <c r="CO204" i="53"/>
  <c r="BV202" i="53"/>
  <c r="AM200" i="53"/>
  <c r="CG198" i="53"/>
  <c r="E197" i="53"/>
  <c r="BQ195" i="53"/>
  <c r="P192" i="53"/>
  <c r="CQ190" i="53"/>
  <c r="BJ189" i="53"/>
  <c r="AW188" i="53"/>
  <c r="T187" i="53"/>
  <c r="R186" i="53"/>
  <c r="P185" i="53"/>
  <c r="AD184" i="53"/>
  <c r="AT183" i="53"/>
  <c r="BN182" i="53"/>
  <c r="CC181" i="53"/>
  <c r="CB181" i="53" s="1"/>
  <c r="CN178" i="53"/>
  <c r="O178" i="53"/>
  <c r="AC177" i="53"/>
  <c r="BK176" i="53"/>
  <c r="CS175" i="53"/>
  <c r="AC175" i="53"/>
  <c r="BM174" i="53"/>
  <c r="DA173" i="53"/>
  <c r="AM173" i="53"/>
  <c r="CC172" i="53"/>
  <c r="CB172" i="53" s="1"/>
  <c r="O172" i="53"/>
  <c r="BB171" i="53"/>
  <c r="CS170" i="53"/>
  <c r="W170" i="53"/>
  <c r="BP169" i="53"/>
  <c r="DA168" i="53"/>
  <c r="AT168" i="53"/>
  <c r="CE167" i="53"/>
  <c r="AF167" i="53"/>
  <c r="BS166" i="53"/>
  <c r="M166" i="53"/>
  <c r="AX165" i="53"/>
  <c r="CP163" i="53"/>
  <c r="AD163" i="53"/>
  <c r="CJ162" i="53"/>
  <c r="AM162" i="53"/>
  <c r="CN159" i="53"/>
  <c r="AT159" i="53"/>
  <c r="E159" i="53"/>
  <c r="BG158" i="53"/>
  <c r="P158" i="53"/>
  <c r="CA157" i="53"/>
  <c r="BZ157" i="53" s="1"/>
  <c r="AC157" i="53"/>
  <c r="CO156" i="53"/>
  <c r="AZ156" i="53"/>
  <c r="F156" i="53"/>
  <c r="BO155" i="53"/>
  <c r="X155" i="53"/>
  <c r="CE154" i="53"/>
  <c r="AM154" i="53"/>
  <c r="CY153" i="53"/>
  <c r="BD153" i="53"/>
  <c r="N153" i="53"/>
  <c r="BX152" i="53"/>
  <c r="AB152" i="53"/>
  <c r="CO151" i="53"/>
  <c r="AY151" i="53"/>
  <c r="D151" i="53"/>
  <c r="BK149" i="53"/>
  <c r="CA148" i="53"/>
  <c r="BZ148" i="53" s="1"/>
  <c r="AI148" i="53"/>
  <c r="AH148" i="53" s="1"/>
  <c r="CT147" i="53"/>
  <c r="AY147" i="53"/>
  <c r="I147" i="53"/>
  <c r="BT146" i="53"/>
  <c r="CH145" i="53"/>
  <c r="AS145" i="53"/>
  <c r="BF144" i="53"/>
  <c r="Q144" i="53"/>
  <c r="BT143" i="53"/>
  <c r="AB143" i="53"/>
  <c r="CO142" i="53"/>
  <c r="AR142" i="53"/>
  <c r="DA139" i="53"/>
  <c r="BJ139" i="53"/>
  <c r="O139" i="53"/>
  <c r="BY138" i="53"/>
  <c r="AK138" i="53"/>
  <c r="AJ138" i="53" s="1"/>
  <c r="CX137" i="53"/>
  <c r="BD137" i="53"/>
  <c r="P137" i="53"/>
  <c r="CA136" i="53"/>
  <c r="BZ136" i="53" s="1"/>
  <c r="AD136" i="53"/>
  <c r="CQ135" i="53"/>
  <c r="BC135" i="53"/>
  <c r="N135" i="53"/>
  <c r="BQ134" i="53"/>
  <c r="AC134" i="53"/>
  <c r="CP133" i="53"/>
  <c r="BB133" i="53"/>
  <c r="F133" i="53"/>
  <c r="BQ131" i="53"/>
  <c r="AC131" i="53"/>
  <c r="CQ130" i="53"/>
  <c r="AY130" i="53"/>
  <c r="M130" i="53"/>
  <c r="BX129" i="53"/>
  <c r="AK129" i="53"/>
  <c r="AJ129" i="53" s="1"/>
  <c r="BF128" i="53"/>
  <c r="T128" i="53"/>
  <c r="CH127" i="53"/>
  <c r="AT127" i="53"/>
  <c r="DB126" i="53"/>
  <c r="BP126" i="53"/>
  <c r="AG126" i="53"/>
  <c r="DB125" i="53"/>
  <c r="BU125" i="53"/>
  <c r="AN125" i="53"/>
  <c r="G125" i="53"/>
  <c r="CA124" i="53"/>
  <c r="BZ124" i="53" s="1"/>
  <c r="AT124" i="53"/>
  <c r="N124" i="53"/>
  <c r="CH123" i="53"/>
  <c r="AZ123" i="53"/>
  <c r="R123" i="53"/>
  <c r="BG122" i="53"/>
  <c r="X122" i="53"/>
  <c r="BJ121" i="53"/>
  <c r="AB121" i="53"/>
  <c r="CV120" i="53"/>
  <c r="CU120" i="53" s="1"/>
  <c r="BN120" i="53"/>
  <c r="AF120" i="53"/>
  <c r="DA119" i="53"/>
  <c r="BT119" i="53"/>
  <c r="AM119" i="53"/>
  <c r="F119" i="53"/>
  <c r="BX118" i="53"/>
  <c r="AR118" i="53"/>
  <c r="K118" i="53"/>
  <c r="CC115" i="53"/>
  <c r="CB115" i="53" s="1"/>
  <c r="AV115" i="53"/>
  <c r="N115" i="53"/>
  <c r="CG114" i="53"/>
  <c r="AY114" i="53"/>
  <c r="R114" i="53"/>
  <c r="CK113" i="53"/>
  <c r="BD113" i="53"/>
  <c r="U113" i="53"/>
  <c r="CP112" i="53"/>
  <c r="BH112" i="53"/>
  <c r="Z112" i="53"/>
  <c r="CT111" i="53"/>
  <c r="BM111" i="53"/>
  <c r="AE111" i="53"/>
  <c r="CZ110" i="53"/>
  <c r="BS110" i="53"/>
  <c r="AK110" i="53"/>
  <c r="AJ110" i="53" s="1"/>
  <c r="E110" i="53"/>
  <c r="CF242" i="53"/>
  <c r="BT233" i="53"/>
  <c r="CC224" i="53"/>
  <c r="CB224" i="53" s="1"/>
  <c r="T218" i="53"/>
  <c r="CC213" i="53"/>
  <c r="CB213" i="53" s="1"/>
  <c r="F210" i="53"/>
  <c r="CG204" i="53"/>
  <c r="BU202" i="53"/>
  <c r="AK200" i="53"/>
  <c r="AJ200" i="53" s="1"/>
  <c r="BI198" i="53"/>
  <c r="CV196" i="53"/>
  <c r="CU196" i="53" s="1"/>
  <c r="BP195" i="53"/>
  <c r="I192" i="53"/>
  <c r="CH190" i="53"/>
  <c r="BI189" i="53"/>
  <c r="AV188" i="53"/>
  <c r="P187" i="53"/>
  <c r="P186" i="53"/>
  <c r="O185" i="53"/>
  <c r="AC184" i="53"/>
  <c r="AS183" i="53"/>
  <c r="BC182" i="53"/>
  <c r="CA181" i="53"/>
  <c r="BZ181" i="53" s="1"/>
  <c r="CH178" i="53"/>
  <c r="N178" i="53"/>
  <c r="AB177" i="53"/>
  <c r="BJ176" i="53"/>
  <c r="CP175" i="53"/>
  <c r="AB175" i="53"/>
  <c r="BK174" i="53"/>
  <c r="CZ173" i="53"/>
  <c r="CA172" i="53"/>
  <c r="BZ172" i="53" s="1"/>
  <c r="L172" i="53"/>
  <c r="AZ171" i="53"/>
  <c r="BO169" i="53"/>
  <c r="CY168" i="53"/>
  <c r="AS168" i="53"/>
  <c r="CC167" i="53"/>
  <c r="CB167" i="53" s="1"/>
  <c r="AE167" i="53"/>
  <c r="BQ166" i="53"/>
  <c r="L166" i="53"/>
  <c r="AW165" i="53"/>
  <c r="CO163" i="53"/>
  <c r="AB163" i="53"/>
  <c r="CI162" i="53"/>
  <c r="AK162" i="53"/>
  <c r="AJ162" i="53" s="1"/>
  <c r="CK159" i="53"/>
  <c r="AS159" i="53"/>
  <c r="D159" i="53"/>
  <c r="BF158" i="53"/>
  <c r="O158" i="53"/>
  <c r="BY157" i="53"/>
  <c r="AB157" i="53"/>
  <c r="CN156" i="53"/>
  <c r="AY156" i="53"/>
  <c r="E156" i="53"/>
  <c r="BN155" i="53"/>
  <c r="W155" i="53"/>
  <c r="CC154" i="53"/>
  <c r="CB154" i="53" s="1"/>
  <c r="AK154" i="53"/>
  <c r="AJ154" i="53" s="1"/>
  <c r="CX153" i="53"/>
  <c r="BC153" i="53"/>
  <c r="M153" i="53"/>
  <c r="BW152" i="53"/>
  <c r="AA152" i="53"/>
  <c r="CN151" i="53"/>
  <c r="AX151" i="53"/>
  <c r="DB149" i="53"/>
  <c r="BJ149" i="53"/>
  <c r="U149" i="53"/>
  <c r="BY148" i="53"/>
  <c r="AG148" i="53"/>
  <c r="CS147" i="53"/>
  <c r="AX147" i="53"/>
  <c r="H147" i="53"/>
  <c r="BS146" i="53"/>
  <c r="U146" i="53"/>
  <c r="CG145" i="53"/>
  <c r="AR145" i="53"/>
  <c r="CV144" i="53"/>
  <c r="CU144" i="53" s="1"/>
  <c r="BE144" i="53"/>
  <c r="P144" i="53"/>
  <c r="BS143" i="53"/>
  <c r="AA143" i="53"/>
  <c r="CN142" i="53"/>
  <c r="AQ142" i="53"/>
  <c r="CZ139" i="53"/>
  <c r="BI139" i="53"/>
  <c r="N139" i="53"/>
  <c r="BX138" i="53"/>
  <c r="AI138" i="53"/>
  <c r="AH138" i="53" s="1"/>
  <c r="CR137" i="53"/>
  <c r="BC137" i="53"/>
  <c r="O137" i="53"/>
  <c r="BY136" i="53"/>
  <c r="AC136" i="53"/>
  <c r="CP135" i="53"/>
  <c r="BB135" i="53"/>
  <c r="M135" i="53"/>
  <c r="BP134" i="53"/>
  <c r="AB134" i="53"/>
  <c r="CO133" i="53"/>
  <c r="AV133" i="53"/>
  <c r="E133" i="53"/>
  <c r="BP131" i="53"/>
  <c r="AB131" i="53"/>
  <c r="CO130" i="53"/>
  <c r="AX130" i="53"/>
  <c r="L130" i="53"/>
  <c r="BW129" i="53"/>
  <c r="AI129" i="53"/>
  <c r="AH129" i="53" s="1"/>
  <c r="BE128" i="53"/>
  <c r="S128" i="53"/>
  <c r="CG127" i="53"/>
  <c r="AS127" i="53"/>
  <c r="DA126" i="53"/>
  <c r="BO126" i="53"/>
  <c r="AF126" i="53"/>
  <c r="DA125" i="53"/>
  <c r="BT125" i="53"/>
  <c r="AM125" i="53"/>
  <c r="F125" i="53"/>
  <c r="BY124" i="53"/>
  <c r="AS124" i="53"/>
  <c r="M124" i="53"/>
  <c r="CG123" i="53"/>
  <c r="AY123" i="53"/>
  <c r="Q123" i="53"/>
  <c r="CK122" i="53"/>
  <c r="BF122" i="53"/>
  <c r="W122" i="53"/>
  <c r="CQ121" i="53"/>
  <c r="BI121" i="53"/>
  <c r="AA121" i="53"/>
  <c r="CT120" i="53"/>
  <c r="BM120" i="53"/>
  <c r="AE120" i="53"/>
  <c r="CZ119" i="53"/>
  <c r="BS119" i="53"/>
  <c r="AK119" i="53"/>
  <c r="AJ119" i="53" s="1"/>
  <c r="E119" i="53"/>
  <c r="BW118" i="53"/>
  <c r="AQ118" i="53"/>
  <c r="I118" i="53"/>
  <c r="CA115" i="53"/>
  <c r="BZ115" i="53" s="1"/>
  <c r="AT115" i="53"/>
  <c r="M115" i="53"/>
  <c r="CF114" i="53"/>
  <c r="AX114" i="53"/>
  <c r="Q114" i="53"/>
  <c r="CJ113" i="53"/>
  <c r="BC113" i="53"/>
  <c r="T113" i="53"/>
  <c r="CO112" i="53"/>
  <c r="BG112" i="53"/>
  <c r="X112" i="53"/>
  <c r="CS111" i="53"/>
  <c r="BK111" i="53"/>
  <c r="AD111" i="53"/>
  <c r="CY110" i="53"/>
  <c r="BQ110" i="53"/>
  <c r="AI110" i="53"/>
  <c r="AH110" i="53" s="1"/>
  <c r="D110" i="53"/>
  <c r="BV109" i="53"/>
  <c r="AQ109" i="53"/>
  <c r="I109" i="53"/>
  <c r="O242" i="53"/>
  <c r="AE233" i="53"/>
  <c r="BY224" i="53"/>
  <c r="CH217" i="53"/>
  <c r="AV213" i="53"/>
  <c r="CS209" i="53"/>
  <c r="CF204" i="53"/>
  <c r="O202" i="53"/>
  <c r="AI200" i="53"/>
  <c r="AH200" i="53" s="1"/>
  <c r="AZ198" i="53"/>
  <c r="CT196" i="53"/>
  <c r="BO195" i="53"/>
  <c r="F192" i="53"/>
  <c r="CG190" i="53"/>
  <c r="BH189" i="53"/>
  <c r="AT188" i="53"/>
  <c r="O187" i="53"/>
  <c r="F186" i="53"/>
  <c r="N185" i="53"/>
  <c r="AB184" i="53"/>
  <c r="AR183" i="53"/>
  <c r="BB182" i="53"/>
  <c r="CE178" i="53"/>
  <c r="M178" i="53"/>
  <c r="BI176" i="53"/>
  <c r="CO175" i="53"/>
  <c r="AA175" i="53"/>
  <c r="BH174" i="53"/>
  <c r="CY173" i="53"/>
  <c r="AK173" i="53"/>
  <c r="AJ173" i="53" s="1"/>
  <c r="BY172" i="53"/>
  <c r="AY171" i="53"/>
  <c r="CI170" i="53"/>
  <c r="U170" i="53"/>
  <c r="BH169" i="53"/>
  <c r="CX168" i="53"/>
  <c r="AR168" i="53"/>
  <c r="AD167" i="53"/>
  <c r="BP166" i="53"/>
  <c r="AV165" i="53"/>
  <c r="CN163" i="53"/>
  <c r="AA163" i="53"/>
  <c r="CH162" i="53"/>
  <c r="AI162" i="53"/>
  <c r="AH162" i="53" s="1"/>
  <c r="CJ159" i="53"/>
  <c r="AR159" i="53"/>
  <c r="DB158" i="53"/>
  <c r="BE158" i="53"/>
  <c r="N158" i="53"/>
  <c r="BX157" i="53"/>
  <c r="AA157" i="53"/>
  <c r="CM156" i="53"/>
  <c r="AX156" i="53"/>
  <c r="D156" i="53"/>
  <c r="BM155" i="53"/>
  <c r="CA154" i="53"/>
  <c r="BZ154" i="53" s="1"/>
  <c r="CV153" i="53"/>
  <c r="CU153" i="53" s="1"/>
  <c r="BB153" i="53"/>
  <c r="L153" i="53"/>
  <c r="BV152" i="53"/>
  <c r="Z152" i="53"/>
  <c r="AW151" i="53"/>
  <c r="DA149" i="53"/>
  <c r="BI149" i="53"/>
  <c r="T149" i="53"/>
  <c r="BX148" i="53"/>
  <c r="AF148" i="53"/>
  <c r="CR147" i="53"/>
  <c r="AW147" i="53"/>
  <c r="G147" i="53"/>
  <c r="BQ146" i="53"/>
  <c r="T146" i="53"/>
  <c r="CF145" i="53"/>
  <c r="AQ145" i="53"/>
  <c r="CT144" i="53"/>
  <c r="BD144" i="53"/>
  <c r="O144" i="53"/>
  <c r="BQ143" i="53"/>
  <c r="Z143" i="53"/>
  <c r="AO142" i="53"/>
  <c r="CY139" i="53"/>
  <c r="BH139" i="53"/>
  <c r="M139" i="53"/>
  <c r="BW138" i="53"/>
  <c r="AG138" i="53"/>
  <c r="CO137" i="53"/>
  <c r="BB137" i="53"/>
  <c r="N137" i="53"/>
  <c r="BX136" i="53"/>
  <c r="AB136" i="53"/>
  <c r="CO135" i="53"/>
  <c r="AZ135" i="53"/>
  <c r="L135" i="53"/>
  <c r="BO134" i="53"/>
  <c r="AA134" i="53"/>
  <c r="CN133" i="53"/>
  <c r="AR133" i="53"/>
  <c r="D133" i="53"/>
  <c r="BO131" i="53"/>
  <c r="AA131" i="53"/>
  <c r="CK130" i="53"/>
  <c r="AW130" i="53"/>
  <c r="BV129" i="53"/>
  <c r="AG129" i="53"/>
  <c r="CQ128" i="53"/>
  <c r="BD128" i="53"/>
  <c r="R128" i="53"/>
  <c r="CF127" i="53"/>
  <c r="AQ127" i="53"/>
  <c r="CZ126" i="53"/>
  <c r="BN126" i="53"/>
  <c r="AE126" i="53"/>
  <c r="CZ125" i="53"/>
  <c r="BS125" i="53"/>
  <c r="AK125" i="53"/>
  <c r="AJ125" i="53" s="1"/>
  <c r="E125" i="53"/>
  <c r="BX124" i="53"/>
  <c r="AR124" i="53"/>
  <c r="L124" i="53"/>
  <c r="CF123" i="53"/>
  <c r="AX123" i="53"/>
  <c r="P123" i="53"/>
  <c r="CJ122" i="53"/>
  <c r="BE122" i="53"/>
  <c r="CP121" i="53"/>
  <c r="BH121" i="53"/>
  <c r="Z121" i="53"/>
  <c r="CS120" i="53"/>
  <c r="BK120" i="53"/>
  <c r="AD120" i="53"/>
  <c r="CY119" i="53"/>
  <c r="BQ119" i="53"/>
  <c r="AI119" i="53"/>
  <c r="AH119" i="53" s="1"/>
  <c r="D119" i="53"/>
  <c r="BV118" i="53"/>
  <c r="AO118" i="53"/>
  <c r="H118" i="53"/>
  <c r="BY115" i="53"/>
  <c r="AS115" i="53"/>
  <c r="L115" i="53"/>
  <c r="CE114" i="53"/>
  <c r="AW114" i="53"/>
  <c r="P114" i="53"/>
  <c r="CI113" i="53"/>
  <c r="BB113" i="53"/>
  <c r="S113" i="53"/>
  <c r="CN112" i="53"/>
  <c r="BF112" i="53"/>
  <c r="W112" i="53"/>
  <c r="CR111" i="53"/>
  <c r="BJ111" i="53"/>
  <c r="AC111" i="53"/>
  <c r="CX110" i="53"/>
  <c r="BP110" i="53"/>
  <c r="AG110" i="53"/>
  <c r="DB109" i="53"/>
  <c r="BU109" i="53"/>
  <c r="CQ241" i="53"/>
  <c r="X233" i="53"/>
  <c r="BT224" i="53"/>
  <c r="CG217" i="53"/>
  <c r="AS213" i="53"/>
  <c r="CC204" i="53"/>
  <c r="CB204" i="53" s="1"/>
  <c r="I202" i="53"/>
  <c r="AF200" i="53"/>
  <c r="AW198" i="53"/>
  <c r="CP196" i="53"/>
  <c r="BN195" i="53"/>
  <c r="E192" i="53"/>
  <c r="CE190" i="53"/>
  <c r="BB189" i="53"/>
  <c r="AS188" i="53"/>
  <c r="N187" i="53"/>
  <c r="E186" i="53"/>
  <c r="M185" i="53"/>
  <c r="AQ183" i="53"/>
  <c r="AV182" i="53"/>
  <c r="BY181" i="53"/>
  <c r="CA178" i="53"/>
  <c r="BZ178" i="53" s="1"/>
  <c r="L178" i="53"/>
  <c r="S177" i="53"/>
  <c r="BH176" i="53"/>
  <c r="CI175" i="53"/>
  <c r="Z175" i="53"/>
  <c r="BG174" i="53"/>
  <c r="CX173" i="53"/>
  <c r="AG173" i="53"/>
  <c r="BX172" i="53"/>
  <c r="I172" i="53"/>
  <c r="AX171" i="53"/>
  <c r="CH170" i="53"/>
  <c r="T170" i="53"/>
  <c r="BE169" i="53"/>
  <c r="CV168" i="53"/>
  <c r="CU168" i="53" s="1"/>
  <c r="AK168" i="53"/>
  <c r="AJ168" i="53" s="1"/>
  <c r="BY167" i="53"/>
  <c r="AC167" i="53"/>
  <c r="BG166" i="53"/>
  <c r="I166" i="53"/>
  <c r="AT165" i="53"/>
  <c r="Z163" i="53"/>
  <c r="CF162" i="53"/>
  <c r="AC162" i="53"/>
  <c r="CI159" i="53"/>
  <c r="AQ159" i="53"/>
  <c r="CV158" i="53"/>
  <c r="CU158" i="53" s="1"/>
  <c r="BD158" i="53"/>
  <c r="M158" i="53"/>
  <c r="BS157" i="53"/>
  <c r="Z157" i="53"/>
  <c r="CK156" i="53"/>
  <c r="AR156" i="53"/>
  <c r="DB155" i="53"/>
  <c r="BK155" i="53"/>
  <c r="Q155" i="53"/>
  <c r="BY154" i="53"/>
  <c r="AI154" i="53"/>
  <c r="AH154" i="53" s="1"/>
  <c r="CQ153" i="53"/>
  <c r="K153" i="53"/>
  <c r="BP152" i="53"/>
  <c r="CK151" i="53"/>
  <c r="AQ151" i="53"/>
  <c r="CZ149" i="53"/>
  <c r="BH149" i="53"/>
  <c r="O149" i="53"/>
  <c r="BW148" i="53"/>
  <c r="AE148" i="53"/>
  <c r="CM147" i="53"/>
  <c r="AV147" i="53"/>
  <c r="F147" i="53"/>
  <c r="BK146" i="53"/>
  <c r="S146" i="53"/>
  <c r="CE145" i="53"/>
  <c r="AI145" i="53"/>
  <c r="AH145" i="53" s="1"/>
  <c r="CS144" i="53"/>
  <c r="BC144" i="53"/>
  <c r="I144" i="53"/>
  <c r="BP143" i="53"/>
  <c r="X143" i="53"/>
  <c r="CG142" i="53"/>
  <c r="AN142" i="53"/>
  <c r="CX139" i="53"/>
  <c r="BC139" i="53"/>
  <c r="L139" i="53"/>
  <c r="BV138" i="53"/>
  <c r="AF138" i="53"/>
  <c r="CN137" i="53"/>
  <c r="AZ137" i="53"/>
  <c r="M137" i="53"/>
  <c r="BW136" i="53"/>
  <c r="AA136" i="53"/>
  <c r="CN135" i="53"/>
  <c r="AY135" i="53"/>
  <c r="F135" i="53"/>
  <c r="BN134" i="53"/>
  <c r="Z134" i="53"/>
  <c r="CM133" i="53"/>
  <c r="AQ133" i="53"/>
  <c r="DB131" i="53"/>
  <c r="BN131" i="53"/>
  <c r="Z131" i="53"/>
  <c r="CH130" i="53"/>
  <c r="AV130" i="53"/>
  <c r="I130" i="53"/>
  <c r="BU129" i="53"/>
  <c r="AF129" i="53"/>
  <c r="CP128" i="53"/>
  <c r="BC128" i="53"/>
  <c r="Q128" i="53"/>
  <c r="CE127" i="53"/>
  <c r="AM127" i="53"/>
  <c r="CY126" i="53"/>
  <c r="BM126" i="53"/>
  <c r="AD126" i="53"/>
  <c r="CY125" i="53"/>
  <c r="BQ125" i="53"/>
  <c r="AI125" i="53"/>
  <c r="AH125" i="53" s="1"/>
  <c r="D125" i="53"/>
  <c r="BW124" i="53"/>
  <c r="AQ124" i="53"/>
  <c r="CE123" i="53"/>
  <c r="AW123" i="53"/>
  <c r="O123" i="53"/>
  <c r="CI122" i="53"/>
  <c r="BD122" i="53"/>
  <c r="U122" i="53"/>
  <c r="CO121" i="53"/>
  <c r="BG121" i="53"/>
  <c r="X121" i="53"/>
  <c r="BJ120" i="53"/>
  <c r="AC120" i="53"/>
  <c r="CX119" i="53"/>
  <c r="BP119" i="53"/>
  <c r="AG119" i="53"/>
  <c r="DB118" i="53"/>
  <c r="BU118" i="53"/>
  <c r="AN118" i="53"/>
  <c r="G118" i="53"/>
  <c r="BX115" i="53"/>
  <c r="AR115" i="53"/>
  <c r="K115" i="53"/>
  <c r="CC114" i="53"/>
  <c r="CB114" i="53" s="1"/>
  <c r="AV114" i="53"/>
  <c r="O114" i="53"/>
  <c r="CH113" i="53"/>
  <c r="AZ113" i="53"/>
  <c r="R113" i="53"/>
  <c r="BE112" i="53"/>
  <c r="CQ111" i="53"/>
  <c r="BI111" i="53"/>
  <c r="AB111" i="53"/>
  <c r="BO110" i="53"/>
  <c r="AF110" i="53"/>
  <c r="DA109" i="53"/>
  <c r="CH241" i="53"/>
  <c r="S233" i="53"/>
  <c r="AM224" i="53"/>
  <c r="CA217" i="53"/>
  <c r="BZ217" i="53" s="1"/>
  <c r="X213" i="53"/>
  <c r="CA209" i="53"/>
  <c r="BZ209" i="53" s="1"/>
  <c r="CA204" i="53"/>
  <c r="BZ204" i="53" s="1"/>
  <c r="CZ201" i="53"/>
  <c r="DC201" i="53" s="1"/>
  <c r="AE200" i="53"/>
  <c r="AV198" i="53"/>
  <c r="CO196" i="53"/>
  <c r="BM195" i="53"/>
  <c r="D192" i="53"/>
  <c r="CC190" i="53"/>
  <c r="CB190" i="53" s="1"/>
  <c r="AY189" i="53"/>
  <c r="L188" i="53"/>
  <c r="L187" i="53"/>
  <c r="DA185" i="53"/>
  <c r="L185" i="53"/>
  <c r="T184" i="53"/>
  <c r="AO183" i="53"/>
  <c r="AR182" i="53"/>
  <c r="BX181" i="53"/>
  <c r="BY178" i="53"/>
  <c r="Q177" i="53"/>
  <c r="BG176" i="53"/>
  <c r="CF175" i="53"/>
  <c r="X175" i="53"/>
  <c r="BB174" i="53"/>
  <c r="AF173" i="53"/>
  <c r="BW172" i="53"/>
  <c r="F172" i="53"/>
  <c r="AW171" i="53"/>
  <c r="CG170" i="53"/>
  <c r="S170" i="53"/>
  <c r="BD169" i="53"/>
  <c r="CT168" i="53"/>
  <c r="AF168" i="53"/>
  <c r="BX167" i="53"/>
  <c r="Q167" i="53"/>
  <c r="BF166" i="53"/>
  <c r="H166" i="53"/>
  <c r="AR165" i="53"/>
  <c r="X163" i="53"/>
  <c r="CA162" i="53"/>
  <c r="BZ162" i="53" s="1"/>
  <c r="Z162" i="53"/>
  <c r="CH159" i="53"/>
  <c r="AO159" i="53"/>
  <c r="BC158" i="53"/>
  <c r="L158" i="53"/>
  <c r="BO157" i="53"/>
  <c r="X157" i="53"/>
  <c r="CJ156" i="53"/>
  <c r="AO156" i="53"/>
  <c r="DA155" i="53"/>
  <c r="BJ155" i="53"/>
  <c r="N155" i="53"/>
  <c r="BX154" i="53"/>
  <c r="AG154" i="53"/>
  <c r="CN153" i="53"/>
  <c r="AZ153" i="53"/>
  <c r="I153" i="53"/>
  <c r="BM152" i="53"/>
  <c r="X152" i="53"/>
  <c r="CJ151" i="53"/>
  <c r="AM151" i="53"/>
  <c r="CY149" i="53"/>
  <c r="BG149" i="53"/>
  <c r="L149" i="53"/>
  <c r="BV148" i="53"/>
  <c r="AD148" i="53"/>
  <c r="BX241" i="53"/>
  <c r="CV232" i="53"/>
  <c r="CU232" i="53" s="1"/>
  <c r="AF224" i="53"/>
  <c r="BU217" i="53"/>
  <c r="N213" i="53"/>
  <c r="BX209" i="53"/>
  <c r="BQ204" i="53"/>
  <c r="CY201" i="53"/>
  <c r="CO199" i="53"/>
  <c r="AS198" i="53"/>
  <c r="CN196" i="53"/>
  <c r="BK195" i="53"/>
  <c r="CZ191" i="53"/>
  <c r="BY190" i="53"/>
  <c r="AX189" i="53"/>
  <c r="CT185" i="53"/>
  <c r="L184" i="53"/>
  <c r="AN183" i="53"/>
  <c r="AO182" i="53"/>
  <c r="BW181" i="53"/>
  <c r="BX178" i="53"/>
  <c r="CQ177" i="53"/>
  <c r="P177" i="53"/>
  <c r="BF176" i="53"/>
  <c r="CA175" i="53"/>
  <c r="BZ175" i="53" s="1"/>
  <c r="W175" i="53"/>
  <c r="AX174" i="53"/>
  <c r="CV173" i="53"/>
  <c r="CU173" i="53" s="1"/>
  <c r="AA173" i="53"/>
  <c r="BV172" i="53"/>
  <c r="E172" i="53"/>
  <c r="AV171" i="53"/>
  <c r="CC170" i="53"/>
  <c r="CB170" i="53" s="1"/>
  <c r="R170" i="53"/>
  <c r="BC169" i="53"/>
  <c r="CS168" i="53"/>
  <c r="AE168" i="53"/>
  <c r="BW167" i="53"/>
  <c r="N167" i="53"/>
  <c r="BE166" i="53"/>
  <c r="CX165" i="53"/>
  <c r="AQ165" i="53"/>
  <c r="CK163" i="53"/>
  <c r="W163" i="53"/>
  <c r="X162" i="53"/>
  <c r="CG159" i="53"/>
  <c r="AN159" i="53"/>
  <c r="CQ158" i="53"/>
  <c r="BB158" i="53"/>
  <c r="BN157" i="53"/>
  <c r="W157" i="53"/>
  <c r="CI156" i="53"/>
  <c r="AN156" i="53"/>
  <c r="CZ155" i="53"/>
  <c r="BI155" i="53"/>
  <c r="M155" i="53"/>
  <c r="BW154" i="53"/>
  <c r="AF154" i="53"/>
  <c r="CM153" i="53"/>
  <c r="AY153" i="53"/>
  <c r="H153" i="53"/>
  <c r="BK152" i="53"/>
  <c r="W152" i="53"/>
  <c r="CI151" i="53"/>
  <c r="AK151" i="53"/>
  <c r="AJ151" i="53" s="1"/>
  <c r="CX149" i="53"/>
  <c r="BF149" i="53"/>
  <c r="BU241" i="53"/>
  <c r="CQ232" i="53"/>
  <c r="AE224" i="53"/>
  <c r="BG217" i="53"/>
  <c r="M213" i="53"/>
  <c r="BW209" i="53"/>
  <c r="BO204" i="53"/>
  <c r="CX201" i="53"/>
  <c r="CN199" i="53"/>
  <c r="AR198" i="53"/>
  <c r="CM196" i="53"/>
  <c r="BJ195" i="53"/>
  <c r="CH191" i="53"/>
  <c r="BI190" i="53"/>
  <c r="AK189" i="53"/>
  <c r="AJ189" i="53" s="1"/>
  <c r="I188" i="53"/>
  <c r="E187" i="53"/>
  <c r="CS185" i="53"/>
  <c r="H185" i="53"/>
  <c r="H184" i="53"/>
  <c r="AM183" i="53"/>
  <c r="AN182" i="53"/>
  <c r="AZ181" i="53"/>
  <c r="BW178" i="53"/>
  <c r="CN177" i="53"/>
  <c r="O177" i="53"/>
  <c r="AR176" i="53"/>
  <c r="BY175" i="53"/>
  <c r="V175" i="53"/>
  <c r="AV174" i="53"/>
  <c r="CT173" i="53"/>
  <c r="W173" i="53"/>
  <c r="BU172" i="53"/>
  <c r="CY171" i="53"/>
  <c r="AT171" i="53"/>
  <c r="CA170" i="53"/>
  <c r="BZ170" i="53" s="1"/>
  <c r="Q170" i="53"/>
  <c r="AY169" i="53"/>
  <c r="AD168" i="53"/>
  <c r="BV167" i="53"/>
  <c r="M167" i="53"/>
  <c r="BD166" i="53"/>
  <c r="CQ165" i="53"/>
  <c r="AO165" i="53"/>
  <c r="CF163" i="53"/>
  <c r="U163" i="53"/>
  <c r="BX162" i="53"/>
  <c r="W162" i="53"/>
  <c r="CE159" i="53"/>
  <c r="AM159" i="53"/>
  <c r="CP158" i="53"/>
  <c r="AY158" i="53"/>
  <c r="I158" i="53"/>
  <c r="BM157" i="53"/>
  <c r="U157" i="53"/>
  <c r="CH156" i="53"/>
  <c r="AM156" i="53"/>
  <c r="CX155" i="53"/>
  <c r="BH155" i="53"/>
  <c r="L155" i="53"/>
  <c r="BU154" i="53"/>
  <c r="AE154" i="53"/>
  <c r="CK153" i="53"/>
  <c r="AW153" i="53"/>
  <c r="G153" i="53"/>
  <c r="BJ152" i="53"/>
  <c r="U152" i="53"/>
  <c r="CH151" i="53"/>
  <c r="AI151" i="53"/>
  <c r="AH151" i="53" s="1"/>
  <c r="CT149" i="53"/>
  <c r="BE149" i="53"/>
  <c r="I149" i="53"/>
  <c r="BS148" i="53"/>
  <c r="AQ241" i="53"/>
  <c r="CP232" i="53"/>
  <c r="CP222" i="53"/>
  <c r="AF217" i="53"/>
  <c r="L213" i="53"/>
  <c r="BE209" i="53"/>
  <c r="BM204" i="53"/>
  <c r="AO198" i="53"/>
  <c r="BU196" i="53"/>
  <c r="AR195" i="53"/>
  <c r="CE191" i="53"/>
  <c r="BF190" i="53"/>
  <c r="AD189" i="53"/>
  <c r="E188" i="53"/>
  <c r="DA186" i="53"/>
  <c r="CG185" i="53"/>
  <c r="G185" i="53"/>
  <c r="F184" i="53"/>
  <c r="AK183" i="53"/>
  <c r="AJ183" i="53" s="1"/>
  <c r="AM182" i="53"/>
  <c r="AY181" i="53"/>
  <c r="BV178" i="53"/>
  <c r="N177" i="53"/>
  <c r="AN176" i="53"/>
  <c r="BX175" i="53"/>
  <c r="I175" i="53"/>
  <c r="AT174" i="53"/>
  <c r="CS173" i="53"/>
  <c r="U173" i="53"/>
  <c r="BT172" i="53"/>
  <c r="AS171" i="53"/>
  <c r="BU170" i="53"/>
  <c r="P170" i="53"/>
  <c r="AX169" i="53"/>
  <c r="CQ168" i="53"/>
  <c r="AA168" i="53"/>
  <c r="BU167" i="53"/>
  <c r="L167" i="53"/>
  <c r="BC166" i="53"/>
  <c r="CP165" i="53"/>
  <c r="AG165" i="53"/>
  <c r="CA163" i="53"/>
  <c r="BZ163" i="53" s="1"/>
  <c r="T163" i="53"/>
  <c r="BW162" i="53"/>
  <c r="CC159" i="53"/>
  <c r="CB159" i="53" s="1"/>
  <c r="AK159" i="53"/>
  <c r="AJ159" i="53" s="1"/>
  <c r="CO158" i="53"/>
  <c r="AX158" i="53"/>
  <c r="H158" i="53"/>
  <c r="BK157" i="53"/>
  <c r="T157" i="53"/>
  <c r="CG156" i="53"/>
  <c r="BG155" i="53"/>
  <c r="BT154" i="53"/>
  <c r="AD154" i="53"/>
  <c r="CJ153" i="53"/>
  <c r="AV153" i="53"/>
  <c r="F153" i="53"/>
  <c r="BI152" i="53"/>
  <c r="T152" i="53"/>
  <c r="CG151" i="53"/>
  <c r="AG151" i="53"/>
  <c r="CS149" i="53"/>
  <c r="BD149" i="53"/>
  <c r="H149" i="53"/>
  <c r="BQ148" i="53"/>
  <c r="AA148" i="53"/>
  <c r="AC241" i="53"/>
  <c r="BP231" i="53"/>
  <c r="AK222" i="53"/>
  <c r="AJ222" i="53" s="1"/>
  <c r="AE217" i="53"/>
  <c r="E213" i="53"/>
  <c r="AX209" i="53"/>
  <c r="BJ204" i="53"/>
  <c r="CA201" i="53"/>
  <c r="BZ201" i="53" s="1"/>
  <c r="CG199" i="53"/>
  <c r="BH196" i="53"/>
  <c r="P195" i="53"/>
  <c r="CC191" i="53"/>
  <c r="CB191" i="53" s="1"/>
  <c r="AZ190" i="53"/>
  <c r="AC189" i="53"/>
  <c r="D188" i="53"/>
  <c r="CZ186" i="53"/>
  <c r="CC185" i="53"/>
  <c r="CB185" i="53" s="1"/>
  <c r="F185" i="53"/>
  <c r="E184" i="53"/>
  <c r="N183" i="53"/>
  <c r="AK182" i="53"/>
  <c r="AJ182" i="53" s="1"/>
  <c r="AX181" i="53"/>
  <c r="BU178" i="53"/>
  <c r="CK177" i="53"/>
  <c r="M177" i="53"/>
  <c r="AM176" i="53"/>
  <c r="BW175" i="53"/>
  <c r="F175" i="53"/>
  <c r="AS174" i="53"/>
  <c r="CG173" i="53"/>
  <c r="T173" i="53"/>
  <c r="BS172" i="53"/>
  <c r="CS171" i="53"/>
  <c r="AR171" i="53"/>
  <c r="BQ170" i="53"/>
  <c r="O170" i="53"/>
  <c r="AR169" i="53"/>
  <c r="CP168" i="53"/>
  <c r="Z168" i="53"/>
  <c r="BT167" i="53"/>
  <c r="H167" i="53"/>
  <c r="BB166" i="53"/>
  <c r="CO165" i="53"/>
  <c r="AD165" i="53"/>
  <c r="BU163" i="53"/>
  <c r="S163" i="53"/>
  <c r="BV162" i="53"/>
  <c r="U162" i="53"/>
  <c r="CA159" i="53"/>
  <c r="BZ159" i="53" s="1"/>
  <c r="AI159" i="53"/>
  <c r="AH159" i="53" s="1"/>
  <c r="CN158" i="53"/>
  <c r="AW158" i="53"/>
  <c r="G158" i="53"/>
  <c r="BJ157" i="53"/>
  <c r="S157" i="53"/>
  <c r="CF156" i="53"/>
  <c r="AK156" i="53"/>
  <c r="AJ156" i="53" s="1"/>
  <c r="CV155" i="53"/>
  <c r="CU155" i="53" s="1"/>
  <c r="BF155" i="53"/>
  <c r="I155" i="53"/>
  <c r="BS154" i="53"/>
  <c r="AC154" i="53"/>
  <c r="CI153" i="53"/>
  <c r="AT153" i="53"/>
  <c r="E153" i="53"/>
  <c r="BH152" i="53"/>
  <c r="S152" i="53"/>
  <c r="CF151" i="53"/>
  <c r="AF151" i="53"/>
  <c r="BC149" i="53"/>
  <c r="G149" i="53"/>
  <c r="BP148" i="53"/>
  <c r="Q238" i="53"/>
  <c r="AI230" i="53"/>
  <c r="AH230" i="53" s="1"/>
  <c r="CZ215" i="53"/>
  <c r="CE211" i="53"/>
  <c r="CJ206" i="53"/>
  <c r="N204" i="53"/>
  <c r="BB201" i="53"/>
  <c r="BD199" i="53"/>
  <c r="CR197" i="53"/>
  <c r="AW196" i="53"/>
  <c r="DA192" i="53"/>
  <c r="BV191" i="53"/>
  <c r="AB190" i="53"/>
  <c r="O189" i="53"/>
  <c r="CT187" i="53"/>
  <c r="BK186" i="53"/>
  <c r="BS185" i="53"/>
  <c r="BW184" i="53"/>
  <c r="CY183" i="53"/>
  <c r="E183" i="53"/>
  <c r="AC182" i="53"/>
  <c r="AM181" i="53"/>
  <c r="BG178" i="53"/>
  <c r="BY177" i="53"/>
  <c r="DB176" i="53"/>
  <c r="AB176" i="53"/>
  <c r="BP175" i="53"/>
  <c r="CV174" i="53"/>
  <c r="CU174" i="53" s="1"/>
  <c r="AK174" i="53"/>
  <c r="AJ174" i="53" s="1"/>
  <c r="BT173" i="53"/>
  <c r="O173" i="53"/>
  <c r="AV172" i="53"/>
  <c r="CN171" i="53"/>
  <c r="V171" i="53"/>
  <c r="BJ170" i="53"/>
  <c r="CT169" i="53"/>
  <c r="AG169" i="53"/>
  <c r="BU168" i="53"/>
  <c r="M168" i="53"/>
  <c r="BJ167" i="53"/>
  <c r="DA166" i="53"/>
  <c r="AV166" i="53"/>
  <c r="CF165" i="53"/>
  <c r="X165" i="53"/>
  <c r="BJ163" i="53"/>
  <c r="N163" i="53"/>
  <c r="BI162" i="53"/>
  <c r="N162" i="53"/>
  <c r="BU159" i="53"/>
  <c r="CG158" i="53"/>
  <c r="AQ158" i="53"/>
  <c r="CT157" i="53"/>
  <c r="BD157" i="53"/>
  <c r="N157" i="53"/>
  <c r="BS156" i="53"/>
  <c r="AC156" i="53"/>
  <c r="CP155" i="53"/>
  <c r="AS155" i="53"/>
  <c r="DB154" i="53"/>
  <c r="BM154" i="53"/>
  <c r="Q154" i="53"/>
  <c r="CA153" i="53"/>
  <c r="BZ153" i="53" s="1"/>
  <c r="AN153" i="53"/>
  <c r="CQ152" i="53"/>
  <c r="BB152" i="53"/>
  <c r="N152" i="53"/>
  <c r="BQ151" i="53"/>
  <c r="Z151" i="53"/>
  <c r="AO149" i="53"/>
  <c r="CZ148" i="53"/>
  <c r="BJ148" i="53"/>
  <c r="N148" i="53"/>
  <c r="BW147" i="53"/>
  <c r="AG147" i="53"/>
  <c r="AW146" i="53"/>
  <c r="G146" i="53"/>
  <c r="BK145" i="53"/>
  <c r="T145" i="53"/>
  <c r="CG144" i="53"/>
  <c r="CS143" i="53"/>
  <c r="BD143" i="53"/>
  <c r="G143" i="53"/>
  <c r="BP142" i="53"/>
  <c r="Z142" i="53"/>
  <c r="CE139" i="53"/>
  <c r="AN139" i="53"/>
  <c r="CZ138" i="53"/>
  <c r="BF138" i="53"/>
  <c r="O138" i="53"/>
  <c r="CA137" i="53"/>
  <c r="BZ137" i="53" s="1"/>
  <c r="AN137" i="53"/>
  <c r="CS136" i="53"/>
  <c r="BE136" i="53"/>
  <c r="P136" i="53"/>
  <c r="CA135" i="53"/>
  <c r="BZ135" i="53" s="1"/>
  <c r="AD135" i="53"/>
  <c r="CQ134" i="53"/>
  <c r="BC134" i="53"/>
  <c r="BS133" i="53"/>
  <c r="AC133" i="53"/>
  <c r="CQ131" i="53"/>
  <c r="AW131" i="53"/>
  <c r="I131" i="53"/>
  <c r="BV130" i="53"/>
  <c r="AI130" i="53"/>
  <c r="AH130" i="53" s="1"/>
  <c r="CX129" i="53"/>
  <c r="BD129" i="53"/>
  <c r="P129" i="53"/>
  <c r="CE128" i="53"/>
  <c r="AQ128" i="53"/>
  <c r="DB127" i="53"/>
  <c r="BK127" i="53"/>
  <c r="X127" i="53"/>
  <c r="BB126" i="53"/>
  <c r="S126" i="53"/>
  <c r="CN125" i="53"/>
  <c r="BF125" i="53"/>
  <c r="W125" i="53"/>
  <c r="BK124" i="53"/>
  <c r="AD124" i="53"/>
  <c r="CY123" i="53"/>
  <c r="BQ123" i="53"/>
  <c r="AI123" i="53"/>
  <c r="AH123" i="53" s="1"/>
  <c r="D123" i="53"/>
  <c r="BX122" i="53"/>
  <c r="AR122" i="53"/>
  <c r="CC121" i="53"/>
  <c r="CB121" i="53" s="1"/>
  <c r="AV121" i="53"/>
  <c r="N121" i="53"/>
  <c r="CG120" i="53"/>
  <c r="AY120" i="53"/>
  <c r="R120" i="53"/>
  <c r="CK119" i="53"/>
  <c r="BE119" i="53"/>
  <c r="CP118" i="53"/>
  <c r="BI118" i="53"/>
  <c r="AA118" i="53"/>
  <c r="CT115" i="53"/>
  <c r="BM115" i="53"/>
  <c r="CC237" i="53"/>
  <c r="CB237" i="53" s="1"/>
  <c r="AF230" i="53"/>
  <c r="CF220" i="53"/>
  <c r="AS215" i="53"/>
  <c r="BY211" i="53"/>
  <c r="AN206" i="53"/>
  <c r="BE203" i="53"/>
  <c r="AO201" i="53"/>
  <c r="BB199" i="53"/>
  <c r="CK197" i="53"/>
  <c r="AO196" i="53"/>
  <c r="CX192" i="53"/>
  <c r="BT191" i="53"/>
  <c r="O190" i="53"/>
  <c r="CX188" i="53"/>
  <c r="CC187" i="53"/>
  <c r="CB187" i="53" s="1"/>
  <c r="BC186" i="53"/>
  <c r="BN185" i="53"/>
  <c r="BU184" i="53"/>
  <c r="CT183" i="53"/>
  <c r="DA182" i="53"/>
  <c r="S182" i="53"/>
  <c r="AI181" i="53"/>
  <c r="AH181" i="53" s="1"/>
  <c r="AS178" i="53"/>
  <c r="BW177" i="53"/>
  <c r="CS176" i="53"/>
  <c r="X176" i="53"/>
  <c r="BN175" i="53"/>
  <c r="CS174" i="53"/>
  <c r="AG174" i="53"/>
  <c r="L173" i="53"/>
  <c r="AS172" i="53"/>
  <c r="CJ171" i="53"/>
  <c r="Q171" i="53"/>
  <c r="BH170" i="53"/>
  <c r="CO169" i="53"/>
  <c r="AE169" i="53"/>
  <c r="BS168" i="53"/>
  <c r="AY167" i="53"/>
  <c r="CY166" i="53"/>
  <c r="AK166" i="53"/>
  <c r="AJ166" i="53" s="1"/>
  <c r="CC165" i="53"/>
  <c r="CB165" i="53" s="1"/>
  <c r="R165" i="53"/>
  <c r="BG163" i="53"/>
  <c r="H163" i="53"/>
  <c r="BG162" i="53"/>
  <c r="BS159" i="53"/>
  <c r="T159" i="53"/>
  <c r="CE158" i="53"/>
  <c r="AN158" i="53"/>
  <c r="BB157" i="53"/>
  <c r="L157" i="53"/>
  <c r="BP156" i="53"/>
  <c r="AA156" i="53"/>
  <c r="CN155" i="53"/>
  <c r="AQ155" i="53"/>
  <c r="CZ154" i="53"/>
  <c r="BJ154" i="53"/>
  <c r="O154" i="53"/>
  <c r="BY153" i="53"/>
  <c r="AK153" i="53"/>
  <c r="AJ153" i="53" s="1"/>
  <c r="CO152" i="53"/>
  <c r="AZ152" i="53"/>
  <c r="L152" i="53"/>
  <c r="BO151" i="53"/>
  <c r="X151" i="53"/>
  <c r="BY237" i="53"/>
  <c r="DB229" i="53"/>
  <c r="BQ220" i="53"/>
  <c r="AO215" i="53"/>
  <c r="AW211" i="53"/>
  <c r="AC206" i="53"/>
  <c r="AZ203" i="53"/>
  <c r="AM201" i="53"/>
  <c r="AZ199" i="53"/>
  <c r="CJ197" i="53"/>
  <c r="AN196" i="53"/>
  <c r="CG192" i="53"/>
  <c r="AG191" i="53"/>
  <c r="L190" i="53"/>
  <c r="CT188" i="53"/>
  <c r="BW187" i="53"/>
  <c r="BB186" i="53"/>
  <c r="BK185" i="53"/>
  <c r="BT184" i="53"/>
  <c r="CS183" i="53"/>
  <c r="CZ182" i="53"/>
  <c r="F182" i="53"/>
  <c r="AG181" i="53"/>
  <c r="AO178" i="53"/>
  <c r="BQ177" i="53"/>
  <c r="BL177" i="53" s="1"/>
  <c r="CK176" i="53"/>
  <c r="W176" i="53"/>
  <c r="BH175" i="53"/>
  <c r="CR174" i="53"/>
  <c r="AF174" i="53"/>
  <c r="BP173" i="53"/>
  <c r="AR172" i="53"/>
  <c r="CI171" i="53"/>
  <c r="P171" i="53"/>
  <c r="BF170" i="53"/>
  <c r="CN169" i="53"/>
  <c r="AD169" i="53"/>
  <c r="BO168" i="53"/>
  <c r="I168" i="53"/>
  <c r="AX167" i="53"/>
  <c r="CX166" i="53"/>
  <c r="CA165" i="53"/>
  <c r="BZ165" i="53" s="1"/>
  <c r="O165" i="53"/>
  <c r="BF163" i="53"/>
  <c r="G163" i="53"/>
  <c r="BF162" i="53"/>
  <c r="I162" i="53"/>
  <c r="BQ159" i="53"/>
  <c r="S159" i="53"/>
  <c r="CC158" i="53"/>
  <c r="CB158" i="53" s="1"/>
  <c r="AM158" i="53"/>
  <c r="CQ157" i="53"/>
  <c r="AZ157" i="53"/>
  <c r="BO156" i="53"/>
  <c r="Z156" i="53"/>
  <c r="AO155" i="53"/>
  <c r="CY154" i="53"/>
  <c r="BI154" i="53"/>
  <c r="N154" i="53"/>
  <c r="BX153" i="53"/>
  <c r="AI153" i="53"/>
  <c r="AH153" i="53" s="1"/>
  <c r="CN152" i="53"/>
  <c r="AY152" i="53"/>
  <c r="K152" i="53"/>
  <c r="BN151" i="53"/>
  <c r="W151" i="53"/>
  <c r="CI149" i="53"/>
  <c r="AK149" i="53"/>
  <c r="AJ149" i="53" s="1"/>
  <c r="CS238" i="53"/>
  <c r="AE221" i="53"/>
  <c r="AE203" i="53"/>
  <c r="X199" i="53"/>
  <c r="CS195" i="53"/>
  <c r="L191" i="53"/>
  <c r="CZ187" i="53"/>
  <c r="BV185" i="53"/>
  <c r="CX181" i="53"/>
  <c r="X178" i="53"/>
  <c r="BQ176" i="53"/>
  <c r="E175" i="53"/>
  <c r="BY173" i="53"/>
  <c r="AT172" i="53"/>
  <c r="M171" i="53"/>
  <c r="CH169" i="53"/>
  <c r="BG168" i="53"/>
  <c r="AK167" i="53"/>
  <c r="AJ167" i="53" s="1"/>
  <c r="CJ165" i="53"/>
  <c r="BK163" i="53"/>
  <c r="BE162" i="53"/>
  <c r="BG159" i="53"/>
  <c r="BV158" i="53"/>
  <c r="CH157" i="53"/>
  <c r="CE156" i="53"/>
  <c r="DA154" i="53"/>
  <c r="L154" i="53"/>
  <c r="W153" i="53"/>
  <c r="AR152" i="53"/>
  <c r="BD151" i="53"/>
  <c r="BB149" i="53"/>
  <c r="CI148" i="53"/>
  <c r="H148" i="53"/>
  <c r="AS147" i="53"/>
  <c r="CK146" i="53"/>
  <c r="AK146" i="53"/>
  <c r="AJ146" i="53" s="1"/>
  <c r="BW145" i="53"/>
  <c r="O145" i="53"/>
  <c r="AZ144" i="53"/>
  <c r="CR143" i="53"/>
  <c r="AK143" i="53"/>
  <c r="AJ143" i="53" s="1"/>
  <c r="BV142" i="53"/>
  <c r="N142" i="53"/>
  <c r="AX139" i="53"/>
  <c r="CY138" i="53"/>
  <c r="AS138" i="53"/>
  <c r="CG137" i="53"/>
  <c r="AA137" i="53"/>
  <c r="BP136" i="53"/>
  <c r="O136" i="53"/>
  <c r="BI135" i="53"/>
  <c r="CV134" i="53"/>
  <c r="CU134" i="53" s="1"/>
  <c r="AX134" i="53"/>
  <c r="CJ133" i="53"/>
  <c r="AB133" i="53"/>
  <c r="BX131" i="53"/>
  <c r="N131" i="53"/>
  <c r="BP130" i="53"/>
  <c r="G130" i="53"/>
  <c r="BC129" i="53"/>
  <c r="F129" i="53"/>
  <c r="AV128" i="53"/>
  <c r="CS127" i="53"/>
  <c r="AG127" i="53"/>
  <c r="CK126" i="53"/>
  <c r="DC126" i="53" s="1"/>
  <c r="AQ126" i="53"/>
  <c r="AZ125" i="53"/>
  <c r="DA124" i="53"/>
  <c r="BJ124" i="53"/>
  <c r="T124" i="53"/>
  <c r="BV123" i="53"/>
  <c r="AC123" i="53"/>
  <c r="CG122" i="53"/>
  <c r="AQ122" i="53"/>
  <c r="CZ121" i="53"/>
  <c r="AZ121" i="53"/>
  <c r="H121" i="53"/>
  <c r="BH120" i="53"/>
  <c r="Q120" i="53"/>
  <c r="CA119" i="53"/>
  <c r="BZ119" i="53" s="1"/>
  <c r="AA119" i="53"/>
  <c r="CJ118" i="53"/>
  <c r="AK118" i="53"/>
  <c r="AJ118" i="53" s="1"/>
  <c r="CS115" i="53"/>
  <c r="BC115" i="53"/>
  <c r="E115" i="53"/>
  <c r="BN114" i="53"/>
  <c r="X114" i="53"/>
  <c r="CA113" i="53"/>
  <c r="BZ113" i="53" s="1"/>
  <c r="AK113" i="53"/>
  <c r="AJ113" i="53" s="1"/>
  <c r="CV112" i="53"/>
  <c r="CU112" i="53" s="1"/>
  <c r="AY112" i="53"/>
  <c r="I112" i="53"/>
  <c r="BT111" i="53"/>
  <c r="V111" i="53"/>
  <c r="CI110" i="53"/>
  <c r="AS110" i="53"/>
  <c r="BH109" i="53"/>
  <c r="W109" i="53"/>
  <c r="CN108" i="53"/>
  <c r="BE108" i="53"/>
  <c r="X108" i="53"/>
  <c r="CS107" i="53"/>
  <c r="BK107" i="53"/>
  <c r="AC107" i="53"/>
  <c r="CX106" i="53"/>
  <c r="BQ106" i="53"/>
  <c r="AK106" i="53"/>
  <c r="AJ106" i="53" s="1"/>
  <c r="G106" i="53"/>
  <c r="BX105" i="53"/>
  <c r="AS105" i="53"/>
  <c r="L105" i="53"/>
  <c r="CF103" i="53"/>
  <c r="AY103" i="53"/>
  <c r="R103" i="53"/>
  <c r="CK102" i="53"/>
  <c r="BF102" i="53"/>
  <c r="X102" i="53"/>
  <c r="CR101" i="53"/>
  <c r="BK101" i="53"/>
  <c r="AD101" i="53"/>
  <c r="CY98" i="53"/>
  <c r="BQ98" i="53"/>
  <c r="AI98" i="53"/>
  <c r="AH98" i="53" s="1"/>
  <c r="D98" i="53"/>
  <c r="BV97" i="53"/>
  <c r="AO97" i="53"/>
  <c r="H97" i="53"/>
  <c r="CA94" i="53"/>
  <c r="BZ94" i="53" s="1"/>
  <c r="AW94" i="53"/>
  <c r="P94" i="53"/>
  <c r="CJ93" i="53"/>
  <c r="BE93" i="53"/>
  <c r="W93" i="53"/>
  <c r="BM92" i="53"/>
  <c r="AE92" i="53"/>
  <c r="CZ91" i="53"/>
  <c r="BT91" i="53"/>
  <c r="AM91" i="53"/>
  <c r="G91" i="53"/>
  <c r="BY90" i="53"/>
  <c r="AS90" i="53"/>
  <c r="N90" i="53"/>
  <c r="CH89" i="53"/>
  <c r="BB89" i="53"/>
  <c r="CQ88" i="53"/>
  <c r="BK88" i="53"/>
  <c r="AE88" i="53"/>
  <c r="CZ87" i="53"/>
  <c r="BT87" i="53"/>
  <c r="AM87" i="53"/>
  <c r="H87" i="53"/>
  <c r="BY73" i="53"/>
  <c r="AS73" i="53"/>
  <c r="L73" i="53"/>
  <c r="CE72" i="53"/>
  <c r="AW72" i="53"/>
  <c r="O72" i="53"/>
  <c r="CG70" i="53"/>
  <c r="AZ70" i="53"/>
  <c r="R70" i="53"/>
  <c r="CK69" i="53"/>
  <c r="BD69" i="53"/>
  <c r="U69" i="53"/>
  <c r="CN238" i="53"/>
  <c r="AA221" i="53"/>
  <c r="AM211" i="53"/>
  <c r="W203" i="53"/>
  <c r="W199" i="53"/>
  <c r="AM190" i="53"/>
  <c r="CX187" i="53"/>
  <c r="CW187" i="53" s="1"/>
  <c r="BP185" i="53"/>
  <c r="BU183" i="53"/>
  <c r="CV181" i="53"/>
  <c r="CU181" i="53" s="1"/>
  <c r="U178" i="53"/>
  <c r="BP176" i="53"/>
  <c r="D175" i="53"/>
  <c r="BU173" i="53"/>
  <c r="AO172" i="53"/>
  <c r="L171" i="53"/>
  <c r="CG169" i="53"/>
  <c r="BF168" i="53"/>
  <c r="G167" i="53"/>
  <c r="CI165" i="53"/>
  <c r="BH163" i="53"/>
  <c r="BD162" i="53"/>
  <c r="BF159" i="53"/>
  <c r="BU158" i="53"/>
  <c r="CG157" i="53"/>
  <c r="BX156" i="53"/>
  <c r="CQ155" i="53"/>
  <c r="CX154" i="53"/>
  <c r="V153" i="53"/>
  <c r="AQ152" i="53"/>
  <c r="AE151" i="53"/>
  <c r="AV149" i="53"/>
  <c r="BU148" i="53"/>
  <c r="G148" i="53"/>
  <c r="AQ147" i="53"/>
  <c r="CJ146" i="53"/>
  <c r="AI146" i="53"/>
  <c r="AH146" i="53" s="1"/>
  <c r="BQ145" i="53"/>
  <c r="N145" i="53"/>
  <c r="AY144" i="53"/>
  <c r="CQ143" i="53"/>
  <c r="AI143" i="53"/>
  <c r="AH143" i="53" s="1"/>
  <c r="BU142" i="53"/>
  <c r="M142" i="53"/>
  <c r="AW139" i="53"/>
  <c r="CX138" i="53"/>
  <c r="AR138" i="53"/>
  <c r="CF137" i="53"/>
  <c r="Z137" i="53"/>
  <c r="BM136" i="53"/>
  <c r="N136" i="53"/>
  <c r="BH135" i="53"/>
  <c r="CT134" i="53"/>
  <c r="AR134" i="53"/>
  <c r="CI133" i="53"/>
  <c r="AA133" i="53"/>
  <c r="BW131" i="53"/>
  <c r="M131" i="53"/>
  <c r="BO130" i="53"/>
  <c r="F130" i="53"/>
  <c r="BB129" i="53"/>
  <c r="E129" i="53"/>
  <c r="AT128" i="53"/>
  <c r="AF127" i="53"/>
  <c r="CJ126" i="53"/>
  <c r="AO126" i="53"/>
  <c r="CQ125" i="53"/>
  <c r="AY125" i="53"/>
  <c r="CZ124" i="53"/>
  <c r="BI124" i="53"/>
  <c r="S124" i="53"/>
  <c r="BU123" i="53"/>
  <c r="AB123" i="53"/>
  <c r="CF122" i="53"/>
  <c r="AO122" i="53"/>
  <c r="CY121" i="53"/>
  <c r="AY121" i="53"/>
  <c r="G121" i="53"/>
  <c r="BG120" i="53"/>
  <c r="P120" i="53"/>
  <c r="BY119" i="53"/>
  <c r="Z119" i="53"/>
  <c r="CI118" i="53"/>
  <c r="AI118" i="53"/>
  <c r="AH118" i="53" s="1"/>
  <c r="CR115" i="53"/>
  <c r="BB115" i="53"/>
  <c r="D115" i="53"/>
  <c r="BM114" i="53"/>
  <c r="W114" i="53"/>
  <c r="BY113" i="53"/>
  <c r="AI113" i="53"/>
  <c r="AH113" i="53" s="1"/>
  <c r="AX112" i="53"/>
  <c r="H112" i="53"/>
  <c r="BS111" i="53"/>
  <c r="U111" i="53"/>
  <c r="CH110" i="53"/>
  <c r="AR110" i="53"/>
  <c r="CT109" i="53"/>
  <c r="BG109" i="53"/>
  <c r="BD108" i="53"/>
  <c r="W108" i="53"/>
  <c r="CR107" i="53"/>
  <c r="BJ107" i="53"/>
  <c r="AB107" i="53"/>
  <c r="CV106" i="53"/>
  <c r="CU106" i="53" s="1"/>
  <c r="BP106" i="53"/>
  <c r="F106" i="53"/>
  <c r="BW105" i="53"/>
  <c r="AR105" i="53"/>
  <c r="CE103" i="53"/>
  <c r="AX103" i="53"/>
  <c r="Q103" i="53"/>
  <c r="CJ102" i="53"/>
  <c r="BE102" i="53"/>
  <c r="W102" i="53"/>
  <c r="CQ101" i="53"/>
  <c r="BJ101" i="53"/>
  <c r="AC101" i="53"/>
  <c r="CX98" i="53"/>
  <c r="BP98" i="53"/>
  <c r="AG98" i="53"/>
  <c r="BU97" i="53"/>
  <c r="AN97" i="53"/>
  <c r="G97" i="53"/>
  <c r="AV94" i="53"/>
  <c r="O94" i="53"/>
  <c r="CI93" i="53"/>
  <c r="BD93" i="53"/>
  <c r="V93" i="53"/>
  <c r="CQ92" i="53"/>
  <c r="BK92" i="53"/>
  <c r="AD92" i="53"/>
  <c r="CY91" i="53"/>
  <c r="BS91" i="53"/>
  <c r="F91" i="53"/>
  <c r="BX90" i="53"/>
  <c r="AR90" i="53"/>
  <c r="M90" i="53"/>
  <c r="CG89" i="53"/>
  <c r="U89" i="53"/>
  <c r="CP88" i="53"/>
  <c r="BJ88" i="53"/>
  <c r="AD88" i="53"/>
  <c r="CY87" i="53"/>
  <c r="BS87" i="53"/>
  <c r="G87" i="53"/>
  <c r="BX73" i="53"/>
  <c r="AR73" i="53"/>
  <c r="CC72" i="53"/>
  <c r="CB72" i="53" s="1"/>
  <c r="AV72" i="53"/>
  <c r="N72" i="53"/>
  <c r="CF70" i="53"/>
  <c r="AY70" i="53"/>
  <c r="Q70" i="53"/>
  <c r="CJ69" i="53"/>
  <c r="BC69" i="53"/>
  <c r="CO220" i="53"/>
  <c r="AE211" i="53"/>
  <c r="Q203" i="53"/>
  <c r="E199" i="53"/>
  <c r="AK190" i="53"/>
  <c r="AJ190" i="53" s="1"/>
  <c r="CV187" i="53"/>
  <c r="CU187" i="53" s="1"/>
  <c r="BJ185" i="53"/>
  <c r="BQ183" i="53"/>
  <c r="CP181" i="53"/>
  <c r="T178" i="53"/>
  <c r="AK176" i="53"/>
  <c r="AJ176" i="53" s="1"/>
  <c r="CY174" i="53"/>
  <c r="BS173" i="53"/>
  <c r="AN172" i="53"/>
  <c r="K171" i="53"/>
  <c r="CF169" i="53"/>
  <c r="BE168" i="53"/>
  <c r="F167" i="53"/>
  <c r="CH165" i="53"/>
  <c r="BE163" i="53"/>
  <c r="BC162" i="53"/>
  <c r="BD159" i="53"/>
  <c r="BT158" i="53"/>
  <c r="BI157" i="53"/>
  <c r="BU156" i="53"/>
  <c r="CO155" i="53"/>
  <c r="CV154" i="53"/>
  <c r="CU154" i="53" s="1"/>
  <c r="H154" i="53"/>
  <c r="U153" i="53"/>
  <c r="AI152" i="53"/>
  <c r="AH152" i="53" s="1"/>
  <c r="AD151" i="53"/>
  <c r="AR149" i="53"/>
  <c r="BO148" i="53"/>
  <c r="E148" i="53"/>
  <c r="AO147" i="53"/>
  <c r="CI146" i="53"/>
  <c r="AC146" i="53"/>
  <c r="BN145" i="53"/>
  <c r="M145" i="53"/>
  <c r="AX144" i="53"/>
  <c r="CP143" i="53"/>
  <c r="AG143" i="53"/>
  <c r="BT142" i="53"/>
  <c r="L142" i="53"/>
  <c r="AV139" i="53"/>
  <c r="CV138" i="53"/>
  <c r="CU138" i="53" s="1"/>
  <c r="AQ138" i="53"/>
  <c r="CE137" i="53"/>
  <c r="X137" i="53"/>
  <c r="BK136" i="53"/>
  <c r="M136" i="53"/>
  <c r="BG135" i="53"/>
  <c r="CS134" i="53"/>
  <c r="AN134" i="53"/>
  <c r="CC133" i="53"/>
  <c r="CB133" i="53" s="1"/>
  <c r="Z133" i="53"/>
  <c r="BV131" i="53"/>
  <c r="L131" i="53"/>
  <c r="BN130" i="53"/>
  <c r="E130" i="53"/>
  <c r="AZ129" i="53"/>
  <c r="D129" i="53"/>
  <c r="AS128" i="53"/>
  <c r="CQ127" i="53"/>
  <c r="AE127" i="53"/>
  <c r="CI126" i="53"/>
  <c r="AN126" i="53"/>
  <c r="CP125" i="53"/>
  <c r="AX125" i="53"/>
  <c r="CY124" i="53"/>
  <c r="BH124" i="53"/>
  <c r="R124" i="53"/>
  <c r="BT123" i="53"/>
  <c r="AA123" i="53"/>
  <c r="CE122" i="53"/>
  <c r="AN122" i="53"/>
  <c r="CX121" i="53"/>
  <c r="AX121" i="53"/>
  <c r="F121" i="53"/>
  <c r="BF120" i="53"/>
  <c r="O120" i="53"/>
  <c r="BX119" i="53"/>
  <c r="X119" i="53"/>
  <c r="CH118" i="53"/>
  <c r="AG118" i="53"/>
  <c r="CQ115" i="53"/>
  <c r="AZ115" i="53"/>
  <c r="DB114" i="53"/>
  <c r="BK114" i="53"/>
  <c r="V114" i="53"/>
  <c r="BX113" i="53"/>
  <c r="AG113" i="53"/>
  <c r="CT112" i="53"/>
  <c r="AW112" i="53"/>
  <c r="G112" i="53"/>
  <c r="BQ111" i="53"/>
  <c r="T111" i="53"/>
  <c r="CG110" i="53"/>
  <c r="AQ110" i="53"/>
  <c r="CS109" i="53"/>
  <c r="BF109" i="53"/>
  <c r="U109" i="53"/>
  <c r="CK108" i="53"/>
  <c r="BC108" i="53"/>
  <c r="CQ107" i="53"/>
  <c r="BI107" i="53"/>
  <c r="AA107" i="53"/>
  <c r="CT106" i="53"/>
  <c r="BO106" i="53"/>
  <c r="AI106" i="53"/>
  <c r="AH106" i="53" s="1"/>
  <c r="E106" i="53"/>
  <c r="BV105" i="53"/>
  <c r="AQ105" i="53"/>
  <c r="I105" i="53"/>
  <c r="AW103" i="53"/>
  <c r="P103" i="53"/>
  <c r="CI102" i="53"/>
  <c r="BD102" i="53"/>
  <c r="V102" i="53"/>
  <c r="CP101" i="53"/>
  <c r="BI101" i="53"/>
  <c r="AB101" i="53"/>
  <c r="CV98" i="53"/>
  <c r="CU98" i="53" s="1"/>
  <c r="BO98" i="53"/>
  <c r="AF98" i="53"/>
  <c r="DB97" i="53"/>
  <c r="BT97" i="53"/>
  <c r="AM97" i="53"/>
  <c r="F97" i="53"/>
  <c r="BY94" i="53"/>
  <c r="AT94" i="53"/>
  <c r="N94" i="53"/>
  <c r="CH93" i="53"/>
  <c r="BC93" i="53"/>
  <c r="U93" i="53"/>
  <c r="CP92" i="53"/>
  <c r="BJ92" i="53"/>
  <c r="AC92" i="53"/>
  <c r="CX91" i="53"/>
  <c r="BQ91" i="53"/>
  <c r="AK91" i="53"/>
  <c r="AJ91" i="53" s="1"/>
  <c r="E91" i="53"/>
  <c r="BW90" i="53"/>
  <c r="AQ90" i="53"/>
  <c r="L90" i="53"/>
  <c r="CF89" i="53"/>
  <c r="AZ89" i="53"/>
  <c r="T89" i="53"/>
  <c r="CO88" i="53"/>
  <c r="BI88" i="53"/>
  <c r="AC88" i="53"/>
  <c r="CX87" i="53"/>
  <c r="BQ87" i="53"/>
  <c r="AK87" i="53"/>
  <c r="F87" i="53"/>
  <c r="BW73" i="53"/>
  <c r="AQ73" i="53"/>
  <c r="I73" i="53"/>
  <c r="CA72" i="53"/>
  <c r="BZ72" i="53" s="1"/>
  <c r="AT72" i="53"/>
  <c r="M72" i="53"/>
  <c r="CE70" i="53"/>
  <c r="AX70" i="53"/>
  <c r="P70" i="53"/>
  <c r="CI69" i="53"/>
  <c r="BB69" i="53"/>
  <c r="BX238" i="53"/>
  <c r="BN220" i="53"/>
  <c r="AD211" i="53"/>
  <c r="E203" i="53"/>
  <c r="DA198" i="53"/>
  <c r="O195" i="53"/>
  <c r="AE190" i="53"/>
  <c r="CS187" i="53"/>
  <c r="BI185" i="53"/>
  <c r="BP183" i="53"/>
  <c r="CM181" i="53"/>
  <c r="S178" i="53"/>
  <c r="AE176" i="53"/>
  <c r="CX174" i="53"/>
  <c r="BO173" i="53"/>
  <c r="AM172" i="53"/>
  <c r="I171" i="53"/>
  <c r="BX169" i="53"/>
  <c r="X168" i="53"/>
  <c r="E167" i="53"/>
  <c r="CE165" i="53"/>
  <c r="BD163" i="53"/>
  <c r="AY162" i="53"/>
  <c r="BC159" i="53"/>
  <c r="BN158" i="53"/>
  <c r="BH157" i="53"/>
  <c r="BT156" i="53"/>
  <c r="CG155" i="53"/>
  <c r="G154" i="53"/>
  <c r="T153" i="53"/>
  <c r="R152" i="53"/>
  <c r="AC151" i="53"/>
  <c r="AQ149" i="53"/>
  <c r="BN148" i="53"/>
  <c r="D148" i="53"/>
  <c r="AN147" i="53"/>
  <c r="CH146" i="53"/>
  <c r="R146" i="53"/>
  <c r="BM145" i="53"/>
  <c r="L145" i="53"/>
  <c r="AW144" i="53"/>
  <c r="CO143" i="53"/>
  <c r="W143" i="53"/>
  <c r="BS142" i="53"/>
  <c r="AT139" i="53"/>
  <c r="CT138" i="53"/>
  <c r="AE138" i="53"/>
  <c r="CC137" i="53"/>
  <c r="CB137" i="53" s="1"/>
  <c r="W137" i="53"/>
  <c r="BJ136" i="53"/>
  <c r="L136" i="53"/>
  <c r="AX135" i="53"/>
  <c r="AM134" i="53"/>
  <c r="BX133" i="53"/>
  <c r="X133" i="53"/>
  <c r="BM131" i="53"/>
  <c r="BM130" i="53"/>
  <c r="D130" i="53"/>
  <c r="AY129" i="53"/>
  <c r="CO128" i="53"/>
  <c r="AR128" i="53"/>
  <c r="CP127" i="53"/>
  <c r="AD127" i="53"/>
  <c r="CH126" i="53"/>
  <c r="AC126" i="53"/>
  <c r="CO125" i="53"/>
  <c r="AW125" i="53"/>
  <c r="CX124" i="53"/>
  <c r="BG124" i="53"/>
  <c r="I124" i="53"/>
  <c r="BS123" i="53"/>
  <c r="Z123" i="53"/>
  <c r="AM122" i="53"/>
  <c r="CN121" i="53"/>
  <c r="AW121" i="53"/>
  <c r="E121" i="53"/>
  <c r="BE120" i="53"/>
  <c r="N120" i="53"/>
  <c r="BO119" i="53"/>
  <c r="W119" i="53"/>
  <c r="CG118" i="53"/>
  <c r="AF118" i="53"/>
  <c r="CP115" i="53"/>
  <c r="AQ115" i="53"/>
  <c r="DA114" i="53"/>
  <c r="BJ114" i="53"/>
  <c r="N114" i="53"/>
  <c r="BW113" i="53"/>
  <c r="AF113" i="53"/>
  <c r="CK112" i="53"/>
  <c r="AV112" i="53"/>
  <c r="F112" i="53"/>
  <c r="BH111" i="53"/>
  <c r="S111" i="53"/>
  <c r="CF110" i="53"/>
  <c r="AE110" i="53"/>
  <c r="BE109" i="53"/>
  <c r="T109" i="53"/>
  <c r="CJ108" i="53"/>
  <c r="BB108" i="53"/>
  <c r="U108" i="53"/>
  <c r="CP107" i="53"/>
  <c r="BH107" i="53"/>
  <c r="Z107" i="53"/>
  <c r="CS106" i="53"/>
  <c r="BN106" i="53"/>
  <c r="D106" i="53"/>
  <c r="BU105" i="53"/>
  <c r="AO105" i="53"/>
  <c r="H105" i="53"/>
  <c r="CC103" i="53"/>
  <c r="CB103" i="53" s="1"/>
  <c r="AV103" i="53"/>
  <c r="O103" i="53"/>
  <c r="CH102" i="53"/>
  <c r="BC102" i="53"/>
  <c r="U102" i="53"/>
  <c r="CO101" i="53"/>
  <c r="BH101" i="53"/>
  <c r="AA101" i="53"/>
  <c r="CT98" i="53"/>
  <c r="BN98" i="53"/>
  <c r="AE98" i="53"/>
  <c r="DA97" i="53"/>
  <c r="BS97" i="53"/>
  <c r="AK97" i="53"/>
  <c r="AJ97" i="53" s="1"/>
  <c r="E97" i="53"/>
  <c r="BX94" i="53"/>
  <c r="AS94" i="53"/>
  <c r="M94" i="53"/>
  <c r="CG93" i="53"/>
  <c r="BB93" i="53"/>
  <c r="T93" i="53"/>
  <c r="CO92" i="53"/>
  <c r="BI92" i="53"/>
  <c r="AB92" i="53"/>
  <c r="BP91" i="53"/>
  <c r="AI91" i="53"/>
  <c r="AH91" i="53" s="1"/>
  <c r="D91" i="53"/>
  <c r="BV90" i="53"/>
  <c r="CE89" i="53"/>
  <c r="AY89" i="53"/>
  <c r="S89" i="53"/>
  <c r="CN88" i="53"/>
  <c r="BH88" i="53"/>
  <c r="AB88" i="53"/>
  <c r="BP87" i="53"/>
  <c r="AI87" i="53"/>
  <c r="E87" i="53"/>
  <c r="BV73" i="53"/>
  <c r="AO73" i="53"/>
  <c r="H73" i="53"/>
  <c r="BY72" i="53"/>
  <c r="AS72" i="53"/>
  <c r="L72" i="53"/>
  <c r="CC70" i="53"/>
  <c r="CB70" i="53" s="1"/>
  <c r="AW70" i="53"/>
  <c r="O70" i="53"/>
  <c r="CH69" i="53"/>
  <c r="AZ69" i="53"/>
  <c r="CI237" i="53"/>
  <c r="BB220" i="53"/>
  <c r="AC211" i="53"/>
  <c r="CX202" i="53"/>
  <c r="CW202" i="53" s="1"/>
  <c r="CN198" i="53"/>
  <c r="N195" i="53"/>
  <c r="AD190" i="53"/>
  <c r="BV187" i="53"/>
  <c r="BH185" i="53"/>
  <c r="BM183" i="53"/>
  <c r="CI181" i="53"/>
  <c r="CG177" i="53"/>
  <c r="AD176" i="53"/>
  <c r="BN173" i="53"/>
  <c r="AK172" i="53"/>
  <c r="AJ172" i="53" s="1"/>
  <c r="D171" i="53"/>
  <c r="BU169" i="53"/>
  <c r="W168" i="53"/>
  <c r="DB166" i="53"/>
  <c r="BC163" i="53"/>
  <c r="AV162" i="53"/>
  <c r="BB159" i="53"/>
  <c r="AV158" i="53"/>
  <c r="BG157" i="53"/>
  <c r="BQ156" i="53"/>
  <c r="CC155" i="53"/>
  <c r="CB155" i="53" s="1"/>
  <c r="CT154" i="53"/>
  <c r="F154" i="53"/>
  <c r="S153" i="53"/>
  <c r="Q152" i="53"/>
  <c r="AB151" i="53"/>
  <c r="AN149" i="53"/>
  <c r="BM148" i="53"/>
  <c r="DB147" i="53"/>
  <c r="AM147" i="53"/>
  <c r="CG146" i="53"/>
  <c r="Q146" i="53"/>
  <c r="BJ145" i="53"/>
  <c r="K145" i="53"/>
  <c r="AV144" i="53"/>
  <c r="CN143" i="53"/>
  <c r="V143" i="53"/>
  <c r="BO142" i="53"/>
  <c r="I142" i="53"/>
  <c r="AS139" i="53"/>
  <c r="CS138" i="53"/>
  <c r="AD138" i="53"/>
  <c r="V137" i="53"/>
  <c r="BI136" i="53"/>
  <c r="K136" i="53"/>
  <c r="AW135" i="53"/>
  <c r="CP134" i="53"/>
  <c r="AK134" i="53"/>
  <c r="AJ134" i="53" s="1"/>
  <c r="BW133" i="53"/>
  <c r="W133" i="53"/>
  <c r="BK131" i="53"/>
  <c r="H131" i="53"/>
  <c r="BK130" i="53"/>
  <c r="DB129" i="53"/>
  <c r="AX129" i="53"/>
  <c r="CN128" i="53"/>
  <c r="CO127" i="53"/>
  <c r="AC127" i="53"/>
  <c r="CG126" i="53"/>
  <c r="AB126" i="53"/>
  <c r="AV125" i="53"/>
  <c r="BF124" i="53"/>
  <c r="H124" i="53"/>
  <c r="BP123" i="53"/>
  <c r="X123" i="53"/>
  <c r="CC122" i="53"/>
  <c r="CB122" i="53" s="1"/>
  <c r="AK122" i="53"/>
  <c r="AJ122" i="53" s="1"/>
  <c r="AT121" i="53"/>
  <c r="D121" i="53"/>
  <c r="BD120" i="53"/>
  <c r="M120" i="53"/>
  <c r="BN119" i="53"/>
  <c r="U119" i="53"/>
  <c r="CF118" i="53"/>
  <c r="AE118" i="53"/>
  <c r="CO115" i="53"/>
  <c r="AO115" i="53"/>
  <c r="CZ114" i="53"/>
  <c r="BI114" i="53"/>
  <c r="M114" i="53"/>
  <c r="BV113" i="53"/>
  <c r="AE113" i="53"/>
  <c r="CJ112" i="53"/>
  <c r="AT112" i="53"/>
  <c r="E112" i="53"/>
  <c r="BG111" i="53"/>
  <c r="R111" i="53"/>
  <c r="CE110" i="53"/>
  <c r="AD110" i="53"/>
  <c r="CQ109" i="53"/>
  <c r="BD109" i="53"/>
  <c r="S109" i="53"/>
  <c r="CI108" i="53"/>
  <c r="AZ108" i="53"/>
  <c r="T108" i="53"/>
  <c r="CO107" i="53"/>
  <c r="BG107" i="53"/>
  <c r="X107" i="53"/>
  <c r="BM106" i="53"/>
  <c r="AG106" i="53"/>
  <c r="DB105" i="53"/>
  <c r="BT105" i="53"/>
  <c r="AN105" i="53"/>
  <c r="G105" i="53"/>
  <c r="CA103" i="53"/>
  <c r="BZ103" i="53" s="1"/>
  <c r="AT103" i="53"/>
  <c r="N103" i="53"/>
  <c r="CG102" i="53"/>
  <c r="BB102" i="53"/>
  <c r="T102" i="53"/>
  <c r="CN101" i="53"/>
  <c r="BG101" i="53"/>
  <c r="Z101" i="53"/>
  <c r="CS98" i="53"/>
  <c r="BM98" i="53"/>
  <c r="AD98" i="53"/>
  <c r="CZ97" i="53"/>
  <c r="BQ97" i="53"/>
  <c r="AI97" i="53"/>
  <c r="AH97" i="53" s="1"/>
  <c r="D97" i="53"/>
  <c r="BW94" i="53"/>
  <c r="AR94" i="53"/>
  <c r="L94" i="53"/>
  <c r="CF93" i="53"/>
  <c r="AZ93" i="53"/>
  <c r="S93" i="53"/>
  <c r="CN92" i="53"/>
  <c r="BH92" i="53"/>
  <c r="AA92" i="53"/>
  <c r="CV91" i="53"/>
  <c r="CU91" i="53" s="1"/>
  <c r="BO91" i="53"/>
  <c r="AG91" i="53"/>
  <c r="DB90" i="53"/>
  <c r="BU90" i="53"/>
  <c r="AO90" i="53"/>
  <c r="I90" i="53"/>
  <c r="CC89" i="53"/>
  <c r="CB89" i="53" s="1"/>
  <c r="AX89" i="53"/>
  <c r="R89" i="53"/>
  <c r="BG88" i="53"/>
  <c r="AA88" i="53"/>
  <c r="CV87" i="53"/>
  <c r="BO87" i="53"/>
  <c r="D87" i="53"/>
  <c r="BU73" i="53"/>
  <c r="AN73" i="53"/>
  <c r="G73" i="53"/>
  <c r="BX72" i="53"/>
  <c r="AR72" i="53"/>
  <c r="BU237" i="53"/>
  <c r="AV220" i="53"/>
  <c r="AB211" i="53"/>
  <c r="CV202" i="53"/>
  <c r="CU202" i="53" s="1"/>
  <c r="AI198" i="53"/>
  <c r="AH198" i="53" s="1"/>
  <c r="D195" i="53"/>
  <c r="Z190" i="53"/>
  <c r="BU187" i="53"/>
  <c r="BK183" i="53"/>
  <c r="CH181" i="53"/>
  <c r="CF177" i="53"/>
  <c r="AC176" i="53"/>
  <c r="CQ174" i="53"/>
  <c r="BM173" i="53"/>
  <c r="AD172" i="53"/>
  <c r="CZ170" i="53"/>
  <c r="AN169" i="53"/>
  <c r="U168" i="53"/>
  <c r="CZ166" i="53"/>
  <c r="BY165" i="53"/>
  <c r="BB163" i="53"/>
  <c r="AT162" i="53"/>
  <c r="AZ159" i="53"/>
  <c r="AT158" i="53"/>
  <c r="BF157" i="53"/>
  <c r="BN156" i="53"/>
  <c r="CA155" i="53"/>
  <c r="BZ155" i="53" s="1"/>
  <c r="CS154" i="53"/>
  <c r="E154" i="53"/>
  <c r="D153" i="53"/>
  <c r="P152" i="53"/>
  <c r="AM149" i="53"/>
  <c r="BK148" i="53"/>
  <c r="DA147" i="53"/>
  <c r="AK147" i="53"/>
  <c r="AJ147" i="53" s="1"/>
  <c r="CF146" i="53"/>
  <c r="O146" i="53"/>
  <c r="BI145" i="53"/>
  <c r="I145" i="53"/>
  <c r="AO144" i="53"/>
  <c r="CM143" i="53"/>
  <c r="U143" i="53"/>
  <c r="BN142" i="53"/>
  <c r="H142" i="53"/>
  <c r="AR139" i="53"/>
  <c r="CN138" i="53"/>
  <c r="AC138" i="53"/>
  <c r="BY137" i="53"/>
  <c r="U137" i="53"/>
  <c r="BH136" i="53"/>
  <c r="I136" i="53"/>
  <c r="AV135" i="53"/>
  <c r="CO134" i="53"/>
  <c r="AI134" i="53"/>
  <c r="AH134" i="53" s="1"/>
  <c r="BV133" i="53"/>
  <c r="V133" i="53"/>
  <c r="BJ131" i="53"/>
  <c r="G131" i="53"/>
  <c r="BJ130" i="53"/>
  <c r="DA129" i="53"/>
  <c r="AW129" i="53"/>
  <c r="AO128" i="53"/>
  <c r="CN127" i="53"/>
  <c r="AB127" i="53"/>
  <c r="CF126" i="53"/>
  <c r="AA126" i="53"/>
  <c r="CK125" i="53"/>
  <c r="AT125" i="53"/>
  <c r="CV124" i="53"/>
  <c r="CU124" i="53" s="1"/>
  <c r="BE124" i="53"/>
  <c r="G124" i="53"/>
  <c r="BO123" i="53"/>
  <c r="W123" i="53"/>
  <c r="CA122" i="53"/>
  <c r="BZ122" i="53" s="1"/>
  <c r="AI122" i="53"/>
  <c r="AH122" i="53" s="1"/>
  <c r="CK121" i="53"/>
  <c r="AS121" i="53"/>
  <c r="DB120" i="53"/>
  <c r="BC120" i="53"/>
  <c r="L120" i="53"/>
  <c r="BM119" i="53"/>
  <c r="T119" i="53"/>
  <c r="CE118" i="53"/>
  <c r="AD118" i="53"/>
  <c r="CN115" i="53"/>
  <c r="AN115" i="53"/>
  <c r="CY114" i="53"/>
  <c r="BH114" i="53"/>
  <c r="L114" i="53"/>
  <c r="BU113" i="53"/>
  <c r="AD113" i="53"/>
  <c r="CI112" i="53"/>
  <c r="AS112" i="53"/>
  <c r="D112" i="53"/>
  <c r="BF111" i="53"/>
  <c r="Q111" i="53"/>
  <c r="CC110" i="53"/>
  <c r="CB110" i="53" s="1"/>
  <c r="AC110" i="53"/>
  <c r="CP109" i="53"/>
  <c r="BC109" i="53"/>
  <c r="R109" i="53"/>
  <c r="CH108" i="53"/>
  <c r="AY108" i="53"/>
  <c r="S108" i="53"/>
  <c r="CN107" i="53"/>
  <c r="BF107" i="53"/>
  <c r="W107" i="53"/>
  <c r="CQ106" i="53"/>
  <c r="AF106" i="53"/>
  <c r="DA105" i="53"/>
  <c r="BS105" i="53"/>
  <c r="AM105" i="53"/>
  <c r="F105" i="53"/>
  <c r="BY103" i="53"/>
  <c r="AS103" i="53"/>
  <c r="M103" i="53"/>
  <c r="CF102" i="53"/>
  <c r="AZ102" i="53"/>
  <c r="S102" i="53"/>
  <c r="CM101" i="53"/>
  <c r="BF101" i="53"/>
  <c r="X101" i="53"/>
  <c r="CR98" i="53"/>
  <c r="BK98" i="53"/>
  <c r="AC98" i="53"/>
  <c r="CY97" i="53"/>
  <c r="BP97" i="53"/>
  <c r="AG97" i="53"/>
  <c r="DB94" i="53"/>
  <c r="BV94" i="53"/>
  <c r="AQ94" i="53"/>
  <c r="CE93" i="53"/>
  <c r="AY93" i="53"/>
  <c r="R93" i="53"/>
  <c r="BG92" i="53"/>
  <c r="Z92" i="53"/>
  <c r="CT91" i="53"/>
  <c r="BN91" i="53"/>
  <c r="AF91" i="53"/>
  <c r="DA90" i="53"/>
  <c r="BT90" i="53"/>
  <c r="AN90" i="53"/>
  <c r="H90" i="53"/>
  <c r="AW89" i="53"/>
  <c r="Q89" i="53"/>
  <c r="CK88" i="53"/>
  <c r="BF88" i="53"/>
  <c r="Z88" i="53"/>
  <c r="CT87" i="53"/>
  <c r="BN87" i="53"/>
  <c r="AG87" i="53"/>
  <c r="DB73" i="53"/>
  <c r="BT73" i="53"/>
  <c r="AM73" i="53"/>
  <c r="F73" i="53"/>
  <c r="BW72" i="53"/>
  <c r="AQ72" i="53"/>
  <c r="I72" i="53"/>
  <c r="AT70" i="53"/>
  <c r="BQ237" i="53"/>
  <c r="AS220" i="53"/>
  <c r="AA211" i="53"/>
  <c r="CC202" i="53"/>
  <c r="CB202" i="53" s="1"/>
  <c r="AE198" i="53"/>
  <c r="DB192" i="53"/>
  <c r="BQ187" i="53"/>
  <c r="AG185" i="53"/>
  <c r="BJ183" i="53"/>
  <c r="AS181" i="53"/>
  <c r="CE177" i="53"/>
  <c r="Z176" i="53"/>
  <c r="CP174" i="53"/>
  <c r="BG173" i="53"/>
  <c r="AA172" i="53"/>
  <c r="CY170" i="53"/>
  <c r="AK169" i="53"/>
  <c r="AJ169" i="53" s="1"/>
  <c r="P168" i="53"/>
  <c r="BX165" i="53"/>
  <c r="AZ163" i="53"/>
  <c r="AR162" i="53"/>
  <c r="AG159" i="53"/>
  <c r="AS158" i="53"/>
  <c r="BC157" i="53"/>
  <c r="BM156" i="53"/>
  <c r="BY155" i="53"/>
  <c r="D154" i="53"/>
  <c r="CX152" i="53"/>
  <c r="CW152" i="53" s="1"/>
  <c r="O152" i="53"/>
  <c r="BI148" i="53"/>
  <c r="CZ147" i="53"/>
  <c r="AI147" i="53"/>
  <c r="AH147" i="53" s="1"/>
  <c r="CC146" i="53"/>
  <c r="CB146" i="53" s="1"/>
  <c r="N146" i="53"/>
  <c r="BH145" i="53"/>
  <c r="D145" i="53"/>
  <c r="AK144" i="53"/>
  <c r="AJ144" i="53" s="1"/>
  <c r="CK143" i="53"/>
  <c r="T143" i="53"/>
  <c r="BM142" i="53"/>
  <c r="G142" i="53"/>
  <c r="AQ139" i="53"/>
  <c r="CJ138" i="53"/>
  <c r="W138" i="53"/>
  <c r="BX137" i="53"/>
  <c r="T137" i="53"/>
  <c r="BG136" i="53"/>
  <c r="H136" i="53"/>
  <c r="AT135" i="53"/>
  <c r="CN134" i="53"/>
  <c r="AG134" i="53"/>
  <c r="BU133" i="53"/>
  <c r="U133" i="53"/>
  <c r="BI131" i="53"/>
  <c r="F131" i="53"/>
  <c r="BH130" i="53"/>
  <c r="CZ129" i="53"/>
  <c r="AV129" i="53"/>
  <c r="CK128" i="53"/>
  <c r="DC128" i="53" s="1"/>
  <c r="AN128" i="53"/>
  <c r="AA127" i="53"/>
  <c r="CC126" i="53"/>
  <c r="CB126" i="53" s="1"/>
  <c r="Z126" i="53"/>
  <c r="CJ125" i="53"/>
  <c r="AS125" i="53"/>
  <c r="CT124" i="53"/>
  <c r="BD124" i="53"/>
  <c r="F124" i="53"/>
  <c r="BN123" i="53"/>
  <c r="AG122" i="53"/>
  <c r="CJ121" i="53"/>
  <c r="AR121" i="53"/>
  <c r="DA120" i="53"/>
  <c r="BB120" i="53"/>
  <c r="BK119" i="53"/>
  <c r="S119" i="53"/>
  <c r="CC118" i="53"/>
  <c r="CB118" i="53" s="1"/>
  <c r="AC118" i="53"/>
  <c r="CM115" i="53"/>
  <c r="AM115" i="53"/>
  <c r="CX114" i="53"/>
  <c r="BG114" i="53"/>
  <c r="K114" i="53"/>
  <c r="BT113" i="53"/>
  <c r="AC113" i="53"/>
  <c r="CH112" i="53"/>
  <c r="AR112" i="53"/>
  <c r="DB111" i="53"/>
  <c r="BE111" i="53"/>
  <c r="P111" i="53"/>
  <c r="CA110" i="53"/>
  <c r="BZ110" i="53" s="1"/>
  <c r="AB110" i="53"/>
  <c r="CO109" i="53"/>
  <c r="BB109" i="53"/>
  <c r="Q109" i="53"/>
  <c r="CF108" i="53"/>
  <c r="AX108" i="53"/>
  <c r="R108" i="53"/>
  <c r="CM107" i="53"/>
  <c r="BE107" i="53"/>
  <c r="V107" i="53"/>
  <c r="CP106" i="53"/>
  <c r="BK106" i="53"/>
  <c r="AE106" i="53"/>
  <c r="CZ105" i="53"/>
  <c r="AK105" i="53"/>
  <c r="AJ105" i="53" s="1"/>
  <c r="E105" i="53"/>
  <c r="BX103" i="53"/>
  <c r="AR103" i="53"/>
  <c r="L103" i="53"/>
  <c r="CE102" i="53"/>
  <c r="AY102" i="53"/>
  <c r="R102" i="53"/>
  <c r="CK101" i="53"/>
  <c r="BE101" i="53"/>
  <c r="W101" i="53"/>
  <c r="CQ98" i="53"/>
  <c r="BJ98" i="53"/>
  <c r="AB98" i="53"/>
  <c r="CX97" i="53"/>
  <c r="BO97" i="53"/>
  <c r="AF97" i="53"/>
  <c r="DA94" i="53"/>
  <c r="BU94" i="53"/>
  <c r="I94" i="53"/>
  <c r="AX93" i="53"/>
  <c r="Q93" i="53"/>
  <c r="CK92" i="53"/>
  <c r="BF92" i="53"/>
  <c r="X92" i="53"/>
  <c r="CS91" i="53"/>
  <c r="BM91" i="53"/>
  <c r="AE91" i="53"/>
  <c r="CZ90" i="53"/>
  <c r="BS90" i="53"/>
  <c r="AM90" i="53"/>
  <c r="G90" i="53"/>
  <c r="CA89" i="53"/>
  <c r="BZ89" i="53" s="1"/>
  <c r="AV89" i="53"/>
  <c r="P89" i="53"/>
  <c r="CJ88" i="53"/>
  <c r="BE88" i="53"/>
  <c r="X88" i="53"/>
  <c r="CS87" i="53"/>
  <c r="BM87" i="53"/>
  <c r="AF87" i="53"/>
  <c r="DA73" i="53"/>
  <c r="BS73" i="53"/>
  <c r="AK73" i="53"/>
  <c r="AJ73" i="53" s="1"/>
  <c r="E73" i="53"/>
  <c r="BV72" i="53"/>
  <c r="AO72" i="53"/>
  <c r="H72" i="53"/>
  <c r="BY70" i="53"/>
  <c r="AS70" i="53"/>
  <c r="L70" i="53"/>
  <c r="BK237" i="53"/>
  <c r="AR220" i="53"/>
  <c r="W211" i="53"/>
  <c r="BP201" i="53"/>
  <c r="CY197" i="53"/>
  <c r="CW197" i="53" s="1"/>
  <c r="CZ192" i="53"/>
  <c r="I190" i="53"/>
  <c r="BP187" i="53"/>
  <c r="AF185" i="53"/>
  <c r="BI183" i="53"/>
  <c r="AR181" i="53"/>
  <c r="CC177" i="53"/>
  <c r="CB177" i="53" s="1"/>
  <c r="V176" i="53"/>
  <c r="CJ174" i="53"/>
  <c r="BD173" i="53"/>
  <c r="Z172" i="53"/>
  <c r="BO170" i="53"/>
  <c r="AI169" i="53"/>
  <c r="AH169" i="53" s="1"/>
  <c r="L168" i="53"/>
  <c r="CO166" i="53"/>
  <c r="BW165" i="53"/>
  <c r="AY163" i="53"/>
  <c r="AQ162" i="53"/>
  <c r="AB159" i="53"/>
  <c r="AR158" i="53"/>
  <c r="AY157" i="53"/>
  <c r="BK156" i="53"/>
  <c r="BX155" i="53"/>
  <c r="CQ154" i="53"/>
  <c r="CH153" i="53"/>
  <c r="CS152" i="53"/>
  <c r="M152" i="53"/>
  <c r="U151" i="53"/>
  <c r="AI149" i="53"/>
  <c r="AH149" i="53" s="1"/>
  <c r="BH148" i="53"/>
  <c r="CI147" i="53"/>
  <c r="CA146" i="53"/>
  <c r="BZ146" i="53" s="1"/>
  <c r="M146" i="53"/>
  <c r="BG145" i="53"/>
  <c r="CR144" i="53"/>
  <c r="AI144" i="53"/>
  <c r="AH144" i="53" s="1"/>
  <c r="CJ143" i="53"/>
  <c r="S143" i="53"/>
  <c r="BK142" i="53"/>
  <c r="CV139" i="53"/>
  <c r="CU139" i="53" s="1"/>
  <c r="AO139" i="53"/>
  <c r="CI138" i="53"/>
  <c r="T138" i="53"/>
  <c r="BW137" i="53"/>
  <c r="L137" i="53"/>
  <c r="BF136" i="53"/>
  <c r="DB135" i="53"/>
  <c r="AS135" i="53"/>
  <c r="X134" i="53"/>
  <c r="BT133" i="53"/>
  <c r="T133" i="53"/>
  <c r="BH131" i="53"/>
  <c r="E131" i="53"/>
  <c r="AT130" i="53"/>
  <c r="CY129" i="53"/>
  <c r="AT129" i="53"/>
  <c r="CJ128" i="53"/>
  <c r="AK128" i="53"/>
  <c r="AJ128" i="53" s="1"/>
  <c r="CC127" i="53"/>
  <c r="CB127" i="53" s="1"/>
  <c r="Z127" i="53"/>
  <c r="X126" i="53"/>
  <c r="CI125" i="53"/>
  <c r="AG125" i="53"/>
  <c r="CS124" i="53"/>
  <c r="BC124" i="53"/>
  <c r="BC237" i="53"/>
  <c r="CX218" i="53"/>
  <c r="U211" i="53"/>
  <c r="BJ201" i="53"/>
  <c r="CS197" i="53"/>
  <c r="BY192" i="53"/>
  <c r="H190" i="53"/>
  <c r="BN187" i="53"/>
  <c r="AC185" i="53"/>
  <c r="M183" i="53"/>
  <c r="AQ181" i="53"/>
  <c r="BX177" i="53"/>
  <c r="Q176" i="53"/>
  <c r="CF174" i="53"/>
  <c r="BC173" i="53"/>
  <c r="X172" i="53"/>
  <c r="BN170" i="53"/>
  <c r="H168" i="53"/>
  <c r="CN166" i="53"/>
  <c r="BV165" i="53"/>
  <c r="AX163" i="53"/>
  <c r="T162" i="53"/>
  <c r="X159" i="53"/>
  <c r="AO158" i="53"/>
  <c r="AX157" i="53"/>
  <c r="BI156" i="53"/>
  <c r="BW155" i="53"/>
  <c r="CK154" i="53"/>
  <c r="CG153" i="53"/>
  <c r="CR152" i="53"/>
  <c r="E152" i="53"/>
  <c r="T151" i="53"/>
  <c r="AG149" i="53"/>
  <c r="BG148" i="53"/>
  <c r="CH147" i="53"/>
  <c r="AF147" i="53"/>
  <c r="L146" i="53"/>
  <c r="BF145" i="53"/>
  <c r="CQ144" i="53"/>
  <c r="AG144" i="53"/>
  <c r="CI143" i="53"/>
  <c r="R143" i="53"/>
  <c r="BJ142" i="53"/>
  <c r="CT139" i="53"/>
  <c r="AM139" i="53"/>
  <c r="CH138" i="53"/>
  <c r="S138" i="53"/>
  <c r="BV137" i="53"/>
  <c r="K137" i="53"/>
  <c r="BD136" i="53"/>
  <c r="CY135" i="53"/>
  <c r="AM135" i="53"/>
  <c r="CK134" i="53"/>
  <c r="W134" i="53"/>
  <c r="BQ133" i="53"/>
  <c r="S133" i="53"/>
  <c r="BG131" i="53"/>
  <c r="D131" i="53"/>
  <c r="AS130" i="53"/>
  <c r="CT129" i="53"/>
  <c r="AS129" i="53"/>
  <c r="CI128" i="53"/>
  <c r="AG128" i="53"/>
  <c r="CA127" i="53"/>
  <c r="BZ127" i="53" s="1"/>
  <c r="W127" i="53"/>
  <c r="BY126" i="53"/>
  <c r="W126" i="53"/>
  <c r="CH125" i="53"/>
  <c r="AF125" i="53"/>
  <c r="CQ124" i="53"/>
  <c r="BB124" i="53"/>
  <c r="D124" i="53"/>
  <c r="BK123" i="53"/>
  <c r="M123" i="53"/>
  <c r="BW122" i="53"/>
  <c r="CO236" i="53"/>
  <c r="BS218" i="53"/>
  <c r="BR218" i="53" s="1"/>
  <c r="AS209" i="53"/>
  <c r="BI201" i="53"/>
  <c r="CM197" i="53"/>
  <c r="BT192" i="53"/>
  <c r="G190" i="53"/>
  <c r="AX187" i="53"/>
  <c r="AB185" i="53"/>
  <c r="L183" i="53"/>
  <c r="AO181" i="53"/>
  <c r="BI177" i="53"/>
  <c r="N176" i="53"/>
  <c r="CE174" i="53"/>
  <c r="BB173" i="53"/>
  <c r="CR171" i="53"/>
  <c r="BM170" i="53"/>
  <c r="AF169" i="53"/>
  <c r="G168" i="53"/>
  <c r="BP165" i="53"/>
  <c r="AW163" i="53"/>
  <c r="R162" i="53"/>
  <c r="W159" i="53"/>
  <c r="AE158" i="53"/>
  <c r="AW157" i="53"/>
  <c r="BH156" i="53"/>
  <c r="BV155" i="53"/>
  <c r="BQ154" i="53"/>
  <c r="CF153" i="53"/>
  <c r="CP152" i="53"/>
  <c r="DA151" i="53"/>
  <c r="S151" i="53"/>
  <c r="AE149" i="53"/>
  <c r="BB148" i="53"/>
  <c r="CG147" i="53"/>
  <c r="AE147" i="53"/>
  <c r="BY146" i="53"/>
  <c r="BE145" i="53"/>
  <c r="CO144" i="53"/>
  <c r="AF144" i="53"/>
  <c r="CH143" i="53"/>
  <c r="M143" i="53"/>
  <c r="BI142" i="53"/>
  <c r="CS139" i="53"/>
  <c r="AK139" i="53"/>
  <c r="AJ139" i="53" s="1"/>
  <c r="CG138" i="53"/>
  <c r="R138" i="53"/>
  <c r="BU137" i="53"/>
  <c r="I137" i="53"/>
  <c r="BC136" i="53"/>
  <c r="CX135" i="53"/>
  <c r="AG135" i="53"/>
  <c r="CJ134" i="53"/>
  <c r="BP133" i="53"/>
  <c r="N133" i="53"/>
  <c r="BF131" i="53"/>
  <c r="DB130" i="53"/>
  <c r="AR130" i="53"/>
  <c r="CQ129" i="53"/>
  <c r="AR129" i="53"/>
  <c r="CH128" i="53"/>
  <c r="AD128" i="53"/>
  <c r="BY127" i="53"/>
  <c r="BV126" i="53"/>
  <c r="CG125" i="53"/>
  <c r="AE125" i="53"/>
  <c r="CP124" i="53"/>
  <c r="AZ124" i="53"/>
  <c r="AX235" i="53"/>
  <c r="BQ218" i="53"/>
  <c r="AN209" i="53"/>
  <c r="BH201" i="53"/>
  <c r="BW197" i="53"/>
  <c r="BQ192" i="53"/>
  <c r="F190" i="53"/>
  <c r="AW187" i="53"/>
  <c r="E185" i="53"/>
  <c r="G183" i="53"/>
  <c r="AK181" i="53"/>
  <c r="AJ181" i="53" s="1"/>
  <c r="BF177" i="53"/>
  <c r="M176" i="53"/>
  <c r="CC174" i="53"/>
  <c r="CB174" i="53" s="1"/>
  <c r="AZ173" i="53"/>
  <c r="CQ171" i="53"/>
  <c r="BK170" i="53"/>
  <c r="AC169" i="53"/>
  <c r="F168" i="53"/>
  <c r="CK166" i="53"/>
  <c r="BM165" i="53"/>
  <c r="R163" i="53"/>
  <c r="Q162" i="53"/>
  <c r="U159" i="53"/>
  <c r="AB158" i="53"/>
  <c r="AV157" i="53"/>
  <c r="BG156" i="53"/>
  <c r="BU155" i="53"/>
  <c r="BP154" i="53"/>
  <c r="CE153" i="53"/>
  <c r="CM152" i="53"/>
  <c r="CZ151" i="53"/>
  <c r="R151" i="53"/>
  <c r="AD149" i="53"/>
  <c r="AX148" i="53"/>
  <c r="CF147" i="53"/>
  <c r="AD147" i="53"/>
  <c r="BX146" i="53"/>
  <c r="I146" i="53"/>
  <c r="BC145" i="53"/>
  <c r="CN144" i="53"/>
  <c r="AE144" i="53"/>
  <c r="CA143" i="53"/>
  <c r="BZ143" i="53" s="1"/>
  <c r="I143" i="53"/>
  <c r="BH142" i="53"/>
  <c r="AI139" i="53"/>
  <c r="AH139" i="53" s="1"/>
  <c r="CF138" i="53"/>
  <c r="Q138" i="53"/>
  <c r="BT137" i="53"/>
  <c r="H137" i="53"/>
  <c r="BB136" i="53"/>
  <c r="CV135" i="53"/>
  <c r="CU135" i="53" s="1"/>
  <c r="AF135" i="53"/>
  <c r="CI134" i="53"/>
  <c r="U134" i="53"/>
  <c r="BO133" i="53"/>
  <c r="K133" i="53"/>
  <c r="BD131" i="53"/>
  <c r="DA130" i="53"/>
  <c r="AQ130" i="53"/>
  <c r="CN129" i="53"/>
  <c r="AQ129" i="53"/>
  <c r="CG128" i="53"/>
  <c r="AC128" i="53"/>
  <c r="BW127" i="53"/>
  <c r="U127" i="53"/>
  <c r="BU126" i="53"/>
  <c r="U126" i="53"/>
  <c r="CF125" i="53"/>
  <c r="AD125" i="53"/>
  <c r="CO124" i="53"/>
  <c r="AY124" i="53"/>
  <c r="L235" i="53"/>
  <c r="CA216" i="53"/>
  <c r="BZ216" i="53" s="1"/>
  <c r="I209" i="53"/>
  <c r="BJ197" i="53"/>
  <c r="BN192" i="53"/>
  <c r="E190" i="53"/>
  <c r="AQ187" i="53"/>
  <c r="CG184" i="53"/>
  <c r="F183" i="53"/>
  <c r="U181" i="53"/>
  <c r="BE177" i="53"/>
  <c r="K176" i="53"/>
  <c r="CA174" i="53"/>
  <c r="BZ174" i="53" s="1"/>
  <c r="S173" i="53"/>
  <c r="CP171" i="53"/>
  <c r="BI170" i="53"/>
  <c r="AB169" i="53"/>
  <c r="E168" i="53"/>
  <c r="CJ166" i="53"/>
  <c r="BG165" i="53"/>
  <c r="Q163" i="53"/>
  <c r="P162" i="53"/>
  <c r="R159" i="53"/>
  <c r="AA158" i="53"/>
  <c r="AT157" i="53"/>
  <c r="BF156" i="53"/>
  <c r="BE155" i="53"/>
  <c r="BO154" i="53"/>
  <c r="CK152" i="53"/>
  <c r="CY151" i="53"/>
  <c r="Q151" i="53"/>
  <c r="AC149" i="53"/>
  <c r="AW148" i="53"/>
  <c r="CE147" i="53"/>
  <c r="X147" i="53"/>
  <c r="BH146" i="53"/>
  <c r="H146" i="53"/>
  <c r="BB145" i="53"/>
  <c r="CM144" i="53"/>
  <c r="AD144" i="53"/>
  <c r="BO143" i="53"/>
  <c r="H143" i="53"/>
  <c r="BG142" i="53"/>
  <c r="CQ139" i="53"/>
  <c r="AG139" i="53"/>
  <c r="BU138" i="53"/>
  <c r="P138" i="53"/>
  <c r="BS137" i="53"/>
  <c r="G137" i="53"/>
  <c r="AZ136" i="53"/>
  <c r="CM135" i="53"/>
  <c r="AE135" i="53"/>
  <c r="CH134" i="53"/>
  <c r="T134" i="53"/>
  <c r="BN133" i="53"/>
  <c r="DA131" i="53"/>
  <c r="AZ131" i="53"/>
  <c r="CZ130" i="53"/>
  <c r="AO130" i="53"/>
  <c r="CM129" i="53"/>
  <c r="AD129" i="53"/>
  <c r="CF128" i="53"/>
  <c r="AB128" i="53"/>
  <c r="BT127" i="53"/>
  <c r="T127" i="53"/>
  <c r="BK126" i="53"/>
  <c r="T126" i="53"/>
  <c r="CE125" i="53"/>
  <c r="AC125" i="53"/>
  <c r="CN124" i="53"/>
  <c r="CZ123" i="53"/>
  <c r="BH123" i="53"/>
  <c r="E235" i="53"/>
  <c r="I216" i="53"/>
  <c r="H209" i="53"/>
  <c r="H201" i="53"/>
  <c r="BH197" i="53"/>
  <c r="BM192" i="53"/>
  <c r="DB189" i="53"/>
  <c r="CS186" i="53"/>
  <c r="CF184" i="53"/>
  <c r="D183" i="53"/>
  <c r="R181" i="53"/>
  <c r="BD177" i="53"/>
  <c r="I176" i="53"/>
  <c r="BY174" i="53"/>
  <c r="R173" i="53"/>
  <c r="CO171" i="53"/>
  <c r="BE170" i="53"/>
  <c r="AA169" i="53"/>
  <c r="D168" i="53"/>
  <c r="CE166" i="53"/>
  <c r="AC165" i="53"/>
  <c r="P163" i="53"/>
  <c r="L162" i="53"/>
  <c r="Q159" i="53"/>
  <c r="Z158" i="53"/>
  <c r="AS157" i="53"/>
  <c r="BE156" i="53"/>
  <c r="AY155" i="53"/>
  <c r="BN154" i="53"/>
  <c r="BW153" i="53"/>
  <c r="CJ152" i="53"/>
  <c r="CX151" i="53"/>
  <c r="P151" i="53"/>
  <c r="AB149" i="53"/>
  <c r="AV148" i="53"/>
  <c r="CC147" i="53"/>
  <c r="CB147" i="53" s="1"/>
  <c r="U147" i="53"/>
  <c r="BG146" i="53"/>
  <c r="F146" i="53"/>
  <c r="AZ145" i="53"/>
  <c r="CK144" i="53"/>
  <c r="AC144" i="53"/>
  <c r="BN143" i="53"/>
  <c r="F143" i="53"/>
  <c r="BF142" i="53"/>
  <c r="CP139" i="53"/>
  <c r="AF139" i="53"/>
  <c r="BT138" i="53"/>
  <c r="N138" i="53"/>
  <c r="BQ137" i="53"/>
  <c r="F137" i="53"/>
  <c r="AY136" i="53"/>
  <c r="CK135" i="53"/>
  <c r="AC135" i="53"/>
  <c r="CG134" i="53"/>
  <c r="S134" i="53"/>
  <c r="BM133" i="53"/>
  <c r="CZ131" i="53"/>
  <c r="AV131" i="53"/>
  <c r="CY130" i="53"/>
  <c r="AN130" i="53"/>
  <c r="CK129" i="53"/>
  <c r="AA129" i="53"/>
  <c r="CC128" i="53"/>
  <c r="CB128" i="53" s="1"/>
  <c r="AA128" i="53"/>
  <c r="BP127" i="53"/>
  <c r="S127" i="53"/>
  <c r="BJ126" i="53"/>
  <c r="R126" i="53"/>
  <c r="CC125" i="53"/>
  <c r="CB125" i="53" s="1"/>
  <c r="AB125" i="53"/>
  <c r="AO124" i="53"/>
  <c r="CX123" i="53"/>
  <c r="CW123" i="53" s="1"/>
  <c r="BG123" i="53"/>
  <c r="H123" i="53"/>
  <c r="BT230" i="53"/>
  <c r="AF215" i="53"/>
  <c r="CX205" i="53"/>
  <c r="CW205" i="53" s="1"/>
  <c r="CH200" i="53"/>
  <c r="BD197" i="53"/>
  <c r="CA191" i="53"/>
  <c r="BZ191" i="53" s="1"/>
  <c r="W189" i="53"/>
  <c r="BG186" i="53"/>
  <c r="BP184" i="53"/>
  <c r="CF182" i="53"/>
  <c r="N181" i="53"/>
  <c r="AS177" i="53"/>
  <c r="BU175" i="53"/>
  <c r="AN174" i="53"/>
  <c r="I173" i="53"/>
  <c r="BY171" i="53"/>
  <c r="AN170" i="53"/>
  <c r="L169" i="53"/>
  <c r="BS167" i="53"/>
  <c r="AX166" i="53"/>
  <c r="W165" i="53"/>
  <c r="CV162" i="53"/>
  <c r="CU162" i="53" s="1"/>
  <c r="E162" i="53"/>
  <c r="L159" i="53"/>
  <c r="U158" i="53"/>
  <c r="Q157" i="53"/>
  <c r="AE156" i="53"/>
  <c r="AN155" i="53"/>
  <c r="AY154" i="53"/>
  <c r="BS153" i="53"/>
  <c r="CE152" i="53"/>
  <c r="CE151" i="53"/>
  <c r="CO149" i="53"/>
  <c r="D149" i="53"/>
  <c r="AQ148" i="53"/>
  <c r="BV147" i="53"/>
  <c r="Q147" i="53"/>
  <c r="BC146" i="53"/>
  <c r="CT145" i="53"/>
  <c r="AD145" i="53"/>
  <c r="CF144" i="53"/>
  <c r="W144" i="53"/>
  <c r="BH143" i="53"/>
  <c r="DA142" i="53"/>
  <c r="AK142" i="53"/>
  <c r="AJ142" i="53" s="1"/>
  <c r="CC139" i="53"/>
  <c r="CB139" i="53" s="1"/>
  <c r="AB139" i="53"/>
  <c r="BO138" i="53"/>
  <c r="I138" i="53"/>
  <c r="AX137" i="53"/>
  <c r="CR136" i="53"/>
  <c r="AT136" i="53"/>
  <c r="CG135" i="53"/>
  <c r="X135" i="53"/>
  <c r="BK134" i="53"/>
  <c r="G134" i="53"/>
  <c r="BH133" i="53"/>
  <c r="CV131" i="53"/>
  <c r="CU131" i="53" s="1"/>
  <c r="AQ131" i="53"/>
  <c r="CF130" i="53"/>
  <c r="AG130" i="53"/>
  <c r="CG129" i="53"/>
  <c r="T129" i="53"/>
  <c r="BW128" i="53"/>
  <c r="O128" i="53"/>
  <c r="BJ127" i="53"/>
  <c r="O127" i="53"/>
  <c r="BF126" i="53"/>
  <c r="N126" i="53"/>
  <c r="BO125" i="53"/>
  <c r="CH124" i="53"/>
  <c r="AI124" i="53"/>
  <c r="AH124" i="53" s="1"/>
  <c r="CS123" i="53"/>
  <c r="AT123" i="53"/>
  <c r="DB122" i="53"/>
  <c r="BN122" i="53"/>
  <c r="O122" i="53"/>
  <c r="BV121" i="53"/>
  <c r="CF120" i="53"/>
  <c r="AN120" i="53"/>
  <c r="CP119" i="53"/>
  <c r="AY119" i="53"/>
  <c r="CZ118" i="53"/>
  <c r="BH118" i="53"/>
  <c r="Q118" i="53"/>
  <c r="BQ115" i="53"/>
  <c r="Z115" i="53"/>
  <c r="CK114" i="53"/>
  <c r="AM114" i="53"/>
  <c r="CY113" i="53"/>
  <c r="BH113" i="53"/>
  <c r="K113" i="53"/>
  <c r="BU112" i="53"/>
  <c r="AD112" i="53"/>
  <c r="CI111" i="53"/>
  <c r="AS111" i="53"/>
  <c r="E111" i="53"/>
  <c r="BG110" i="53"/>
  <c r="Q110" i="53"/>
  <c r="CC109" i="53"/>
  <c r="CB109" i="53" s="1"/>
  <c r="AM109" i="53"/>
  <c r="DB108" i="53"/>
  <c r="BS108" i="53"/>
  <c r="AM108" i="53"/>
  <c r="G108" i="53"/>
  <c r="BY107" i="53"/>
  <c r="AS107" i="53"/>
  <c r="L107" i="53"/>
  <c r="CE106" i="53"/>
  <c r="AZ106" i="53"/>
  <c r="T106" i="53"/>
  <c r="CN105" i="53"/>
  <c r="BG105" i="53"/>
  <c r="X105" i="53"/>
  <c r="BM103" i="53"/>
  <c r="AE103" i="53"/>
  <c r="CZ102" i="53"/>
  <c r="BS102" i="53"/>
  <c r="AM102" i="53"/>
  <c r="G102" i="53"/>
  <c r="BY101" i="53"/>
  <c r="AS101" i="53"/>
  <c r="M101" i="53"/>
  <c r="CF98" i="53"/>
  <c r="AY98" i="53"/>
  <c r="Q98" i="53"/>
  <c r="CK97" i="53"/>
  <c r="BD97" i="53"/>
  <c r="U97" i="53"/>
  <c r="CP94" i="53"/>
  <c r="BJ94" i="53"/>
  <c r="AC94" i="53"/>
  <c r="CX93" i="53"/>
  <c r="BS93" i="53"/>
  <c r="AK93" i="53"/>
  <c r="AJ93" i="53" s="1"/>
  <c r="F93" i="53"/>
  <c r="AT92" i="53"/>
  <c r="N92" i="53"/>
  <c r="CH91" i="53"/>
  <c r="BB91" i="53"/>
  <c r="T91" i="53"/>
  <c r="CO90" i="53"/>
  <c r="BG90" i="53"/>
  <c r="Z90" i="53"/>
  <c r="CV89" i="53"/>
  <c r="CU89" i="53" s="1"/>
  <c r="AD215" i="53"/>
  <c r="CT205" i="53"/>
  <c r="BH200" i="53"/>
  <c r="BG196" i="53"/>
  <c r="BX191" i="53"/>
  <c r="D189" i="53"/>
  <c r="AZ186" i="53"/>
  <c r="BN184" i="53"/>
  <c r="CC182" i="53"/>
  <c r="CB182" i="53" s="1"/>
  <c r="DB178" i="53"/>
  <c r="BQ175" i="53"/>
  <c r="AA174" i="53"/>
  <c r="CT172" i="53"/>
  <c r="BN171" i="53"/>
  <c r="AG170" i="53"/>
  <c r="CO168" i="53"/>
  <c r="BP167" i="53"/>
  <c r="AO166" i="53"/>
  <c r="M165" i="53"/>
  <c r="CT162" i="53"/>
  <c r="DB159" i="53"/>
  <c r="I159" i="53"/>
  <c r="CZ157" i="53"/>
  <c r="O157" i="53"/>
  <c r="X156" i="53"/>
  <c r="AK155" i="53"/>
  <c r="AJ155" i="53" s="1"/>
  <c r="AW154" i="53"/>
  <c r="BP153" i="53"/>
  <c r="BG152" i="53"/>
  <c r="BT151" i="53"/>
  <c r="CK149" i="53"/>
  <c r="CY148" i="53"/>
  <c r="AB148" i="53"/>
  <c r="BT147" i="53"/>
  <c r="O147" i="53"/>
  <c r="AZ146" i="53"/>
  <c r="CR145" i="53"/>
  <c r="AB145" i="53"/>
  <c r="CC144" i="53"/>
  <c r="CB144" i="53" s="1"/>
  <c r="U144" i="53"/>
  <c r="BF143" i="53"/>
  <c r="CX142" i="53"/>
  <c r="AF142" i="53"/>
  <c r="BY139" i="53"/>
  <c r="Z139" i="53"/>
  <c r="BM138" i="53"/>
  <c r="G138" i="53"/>
  <c r="AV137" i="53"/>
  <c r="CP136" i="53"/>
  <c r="AR136" i="53"/>
  <c r="CE135" i="53"/>
  <c r="V135" i="53"/>
  <c r="BI134" i="53"/>
  <c r="E134" i="53"/>
  <c r="BF133" i="53"/>
  <c r="CS131" i="53"/>
  <c r="AN131" i="53"/>
  <c r="CC130" i="53"/>
  <c r="CB130" i="53" s="1"/>
  <c r="AE130" i="53"/>
  <c r="CE129" i="53"/>
  <c r="R129" i="53"/>
  <c r="BU128" i="53"/>
  <c r="M128" i="53"/>
  <c r="BH127" i="53"/>
  <c r="M127" i="53"/>
  <c r="BD126" i="53"/>
  <c r="L126" i="53"/>
  <c r="BM125" i="53"/>
  <c r="T125" i="53"/>
  <c r="CJ229" i="53"/>
  <c r="AA215" i="53"/>
  <c r="CI205" i="53"/>
  <c r="CF199" i="53"/>
  <c r="BC196" i="53"/>
  <c r="BU191" i="53"/>
  <c r="BY188" i="53"/>
  <c r="AW186" i="53"/>
  <c r="AX184" i="53"/>
  <c r="CA182" i="53"/>
  <c r="BZ182" i="53" s="1"/>
  <c r="BM178" i="53"/>
  <c r="D177" i="53"/>
  <c r="AZ175" i="53"/>
  <c r="P174" i="53"/>
  <c r="CP172" i="53"/>
  <c r="BI171" i="53"/>
  <c r="N170" i="53"/>
  <c r="AZ167" i="53"/>
  <c r="X166" i="53"/>
  <c r="H165" i="53"/>
  <c r="CT159" i="53"/>
  <c r="CK158" i="53"/>
  <c r="E157" i="53"/>
  <c r="V156" i="53"/>
  <c r="AF155" i="53"/>
  <c r="AT154" i="53"/>
  <c r="AS153" i="53"/>
  <c r="BE152" i="53"/>
  <c r="BP151" i="53"/>
  <c r="CC149" i="53"/>
  <c r="CB149" i="53" s="1"/>
  <c r="CV148" i="53"/>
  <c r="CU148" i="53" s="1"/>
  <c r="X148" i="53"/>
  <c r="BQ147" i="53"/>
  <c r="D147" i="53"/>
  <c r="AV146" i="53"/>
  <c r="CP145" i="53"/>
  <c r="Z145" i="53"/>
  <c r="BS144" i="53"/>
  <c r="E144" i="53"/>
  <c r="AT231" i="53"/>
  <c r="CO205" i="53"/>
  <c r="N196" i="53"/>
  <c r="CQ186" i="53"/>
  <c r="CC176" i="53"/>
  <c r="CB176" i="53" s="1"/>
  <c r="Q173" i="53"/>
  <c r="AD170" i="53"/>
  <c r="AQ167" i="53"/>
  <c r="O163" i="53"/>
  <c r="CX156" i="53"/>
  <c r="BK154" i="53"/>
  <c r="BF152" i="53"/>
  <c r="BU149" i="53"/>
  <c r="CA147" i="53"/>
  <c r="BZ147" i="53" s="1"/>
  <c r="AY146" i="53"/>
  <c r="S145" i="53"/>
  <c r="BK143" i="53"/>
  <c r="AM142" i="53"/>
  <c r="D138" i="53"/>
  <c r="CJ136" i="53"/>
  <c r="BM135" i="53"/>
  <c r="AY134" i="53"/>
  <c r="CX131" i="53"/>
  <c r="CE130" i="53"/>
  <c r="BS129" i="53"/>
  <c r="BJ128" i="53"/>
  <c r="BB127" i="53"/>
  <c r="AS126" i="53"/>
  <c r="AA125" i="53"/>
  <c r="AM124" i="53"/>
  <c r="BX123" i="53"/>
  <c r="CY122" i="53"/>
  <c r="AF122" i="53"/>
  <c r="BW121" i="53"/>
  <c r="M121" i="53"/>
  <c r="AT120" i="53"/>
  <c r="CJ119" i="53"/>
  <c r="R119" i="53"/>
  <c r="BJ118" i="53"/>
  <c r="CZ115" i="53"/>
  <c r="AE115" i="53"/>
  <c r="BW114" i="53"/>
  <c r="I114" i="53"/>
  <c r="BI113" i="53"/>
  <c r="DA112" i="53"/>
  <c r="AK112" i="53"/>
  <c r="AJ112" i="53" s="1"/>
  <c r="CE111" i="53"/>
  <c r="O111" i="53"/>
  <c r="BH110" i="53"/>
  <c r="CZ109" i="53"/>
  <c r="AW109" i="53"/>
  <c r="CX108" i="53"/>
  <c r="AW108" i="53"/>
  <c r="H108" i="53"/>
  <c r="BP107" i="53"/>
  <c r="Q107" i="53"/>
  <c r="BY106" i="53"/>
  <c r="AD106" i="53"/>
  <c r="CO105" i="53"/>
  <c r="AX105" i="53"/>
  <c r="CY103" i="53"/>
  <c r="BH103" i="53"/>
  <c r="BT102" i="53"/>
  <c r="AC102" i="53"/>
  <c r="CF101" i="53"/>
  <c r="AN101" i="53"/>
  <c r="CP98" i="53"/>
  <c r="AZ98" i="53"/>
  <c r="H98" i="53"/>
  <c r="BI97" i="53"/>
  <c r="Q97" i="53"/>
  <c r="BT94" i="53"/>
  <c r="AD94" i="53"/>
  <c r="CO93" i="53"/>
  <c r="AR93" i="53"/>
  <c r="DA92" i="53"/>
  <c r="BE92" i="53"/>
  <c r="O92" i="53"/>
  <c r="BX91" i="53"/>
  <c r="Z91" i="53"/>
  <c r="CJ90" i="53"/>
  <c r="AK90" i="53"/>
  <c r="AJ90" i="53" s="1"/>
  <c r="CX89" i="53"/>
  <c r="BG89" i="53"/>
  <c r="M89" i="53"/>
  <c r="BY88" i="53"/>
  <c r="AK88" i="53"/>
  <c r="AJ88" i="53" s="1"/>
  <c r="CP87" i="53"/>
  <c r="BB87" i="53"/>
  <c r="N87" i="53"/>
  <c r="BO73" i="53"/>
  <c r="X73" i="53"/>
  <c r="CJ72" i="53"/>
  <c r="AK72" i="53"/>
  <c r="AJ72" i="53" s="1"/>
  <c r="CT70" i="53"/>
  <c r="BG70" i="53"/>
  <c r="N70" i="53"/>
  <c r="BY69" i="53"/>
  <c r="AN69" i="53"/>
  <c r="F69" i="53"/>
  <c r="BW68" i="53"/>
  <c r="AQ68" i="53"/>
  <c r="I68" i="53"/>
  <c r="CC67" i="53"/>
  <c r="CB67" i="53" s="1"/>
  <c r="AV67" i="53"/>
  <c r="N67" i="53"/>
  <c r="CH66" i="53"/>
  <c r="AZ66" i="53"/>
  <c r="R66" i="53"/>
  <c r="CK65" i="53"/>
  <c r="BD65" i="53"/>
  <c r="U65" i="53"/>
  <c r="CP63" i="53"/>
  <c r="BH63" i="53"/>
  <c r="Z63" i="53"/>
  <c r="CT62" i="53"/>
  <c r="BM62" i="53"/>
  <c r="AD62" i="53"/>
  <c r="CY60" i="53"/>
  <c r="BP60" i="53"/>
  <c r="AG60" i="53"/>
  <c r="DB59" i="53"/>
  <c r="BU59" i="53"/>
  <c r="AO59" i="53"/>
  <c r="H59" i="53"/>
  <c r="BY58" i="53"/>
  <c r="AS58" i="53"/>
  <c r="L58" i="53"/>
  <c r="CE57" i="53"/>
  <c r="AW57" i="53"/>
  <c r="P57" i="53"/>
  <c r="CI56" i="53"/>
  <c r="BB56" i="53"/>
  <c r="T56" i="53"/>
  <c r="CN55" i="53"/>
  <c r="BG55" i="53"/>
  <c r="X55" i="53"/>
  <c r="CR54" i="53"/>
  <c r="BJ54" i="53"/>
  <c r="AB54" i="53"/>
  <c r="CV53" i="53"/>
  <c r="CU53" i="53" s="1"/>
  <c r="BN53" i="53"/>
  <c r="AF53" i="53"/>
  <c r="DA52" i="53"/>
  <c r="BT52" i="53"/>
  <c r="AM52" i="53"/>
  <c r="G52" i="53"/>
  <c r="CA50" i="53"/>
  <c r="AT50" i="53"/>
  <c r="M50" i="53"/>
  <c r="CF47" i="53"/>
  <c r="AX47" i="53"/>
  <c r="P47" i="53"/>
  <c r="CI46" i="53"/>
  <c r="BB46" i="53"/>
  <c r="S46" i="53"/>
  <c r="CM45" i="53"/>
  <c r="BE45" i="53"/>
  <c r="V45" i="53"/>
  <c r="CP44" i="53"/>
  <c r="BH44" i="53"/>
  <c r="Z44" i="53"/>
  <c r="CT43" i="53"/>
  <c r="BM43" i="53"/>
  <c r="AD43" i="53"/>
  <c r="CY42" i="53"/>
  <c r="BP42" i="53"/>
  <c r="CV230" i="53"/>
  <c r="CU230" i="53" s="1"/>
  <c r="CC205" i="53"/>
  <c r="CB205" i="53" s="1"/>
  <c r="F196" i="53"/>
  <c r="CP186" i="53"/>
  <c r="AI182" i="53"/>
  <c r="AH182" i="53" s="1"/>
  <c r="CA176" i="53"/>
  <c r="BZ176" i="53" s="1"/>
  <c r="P173" i="53"/>
  <c r="M170" i="53"/>
  <c r="AN167" i="53"/>
  <c r="L163" i="53"/>
  <c r="CJ158" i="53"/>
  <c r="BD154" i="53"/>
  <c r="BD152" i="53"/>
  <c r="BT149" i="53"/>
  <c r="AT146" i="53"/>
  <c r="R145" i="53"/>
  <c r="BJ143" i="53"/>
  <c r="AG142" i="53"/>
  <c r="I139" i="53"/>
  <c r="DB137" i="53"/>
  <c r="CI136" i="53"/>
  <c r="BK135" i="53"/>
  <c r="R134" i="53"/>
  <c r="CA130" i="53"/>
  <c r="BZ130" i="53" s="1"/>
  <c r="BQ129" i="53"/>
  <c r="BB128" i="53"/>
  <c r="AZ127" i="53"/>
  <c r="AR126" i="53"/>
  <c r="Z125" i="53"/>
  <c r="AK124" i="53"/>
  <c r="AJ124" i="53" s="1"/>
  <c r="BW123" i="53"/>
  <c r="CX122" i="53"/>
  <c r="AE122" i="53"/>
  <c r="BU121" i="53"/>
  <c r="L121" i="53"/>
  <c r="AS120" i="53"/>
  <c r="CI119" i="53"/>
  <c r="Q119" i="53"/>
  <c r="BG118" i="53"/>
  <c r="CY115" i="53"/>
  <c r="AD115" i="53"/>
  <c r="BV114" i="53"/>
  <c r="H114" i="53"/>
  <c r="AY113" i="53"/>
  <c r="CZ112" i="53"/>
  <c r="AI112" i="53"/>
  <c r="AH112" i="53" s="1"/>
  <c r="CC111" i="53"/>
  <c r="CB111" i="53" s="1"/>
  <c r="N111" i="53"/>
  <c r="BF110" i="53"/>
  <c r="CY109" i="53"/>
  <c r="AS109" i="53"/>
  <c r="CV108" i="53"/>
  <c r="CU108" i="53" s="1"/>
  <c r="AV108" i="53"/>
  <c r="F108" i="53"/>
  <c r="BO107" i="53"/>
  <c r="P107" i="53"/>
  <c r="BX106" i="53"/>
  <c r="AC106" i="53"/>
  <c r="AW105" i="53"/>
  <c r="CX103" i="53"/>
  <c r="BG103" i="53"/>
  <c r="I103" i="53"/>
  <c r="BQ102" i="53"/>
  <c r="AB102" i="53"/>
  <c r="CE101" i="53"/>
  <c r="AM101" i="53"/>
  <c r="CO98" i="53"/>
  <c r="AX98" i="53"/>
  <c r="G98" i="53"/>
  <c r="BH97" i="53"/>
  <c r="P97" i="53"/>
  <c r="BS94" i="53"/>
  <c r="AB94" i="53"/>
  <c r="CN93" i="53"/>
  <c r="AQ93" i="53"/>
  <c r="CZ92" i="53"/>
  <c r="BD92" i="53"/>
  <c r="M92" i="53"/>
  <c r="BW91" i="53"/>
  <c r="X91" i="53"/>
  <c r="CI90" i="53"/>
  <c r="AI90" i="53"/>
  <c r="AH90" i="53" s="1"/>
  <c r="CT89" i="53"/>
  <c r="BF89" i="53"/>
  <c r="L89" i="53"/>
  <c r="BX88" i="53"/>
  <c r="AI88" i="53"/>
  <c r="AH88" i="53" s="1"/>
  <c r="CO87" i="53"/>
  <c r="AZ87" i="53"/>
  <c r="M87" i="53"/>
  <c r="BN73" i="53"/>
  <c r="W73" i="53"/>
  <c r="CI72" i="53"/>
  <c r="AI72" i="53"/>
  <c r="AH72" i="53" s="1"/>
  <c r="CS70" i="53"/>
  <c r="BF70" i="53"/>
  <c r="M70" i="53"/>
  <c r="BX69" i="53"/>
  <c r="AM69" i="53"/>
  <c r="E69" i="53"/>
  <c r="BV68" i="53"/>
  <c r="AO68" i="53"/>
  <c r="H68" i="53"/>
  <c r="CA67" i="53"/>
  <c r="BZ67" i="53" s="1"/>
  <c r="AT67" i="53"/>
  <c r="M67" i="53"/>
  <c r="CG66" i="53"/>
  <c r="AY66" i="53"/>
  <c r="Q66" i="53"/>
  <c r="CJ65" i="53"/>
  <c r="BC65" i="53"/>
  <c r="T65" i="53"/>
  <c r="CO63" i="53"/>
  <c r="BG63" i="53"/>
  <c r="X63" i="53"/>
  <c r="CS62" i="53"/>
  <c r="BK62" i="53"/>
  <c r="AC62" i="53"/>
  <c r="CX60" i="53"/>
  <c r="BO60" i="53"/>
  <c r="AF60" i="53"/>
  <c r="DA59" i="53"/>
  <c r="BT59" i="53"/>
  <c r="AN59" i="53"/>
  <c r="G59" i="53"/>
  <c r="BX58" i="53"/>
  <c r="AR58" i="53"/>
  <c r="CC57" i="53"/>
  <c r="CB57" i="53" s="1"/>
  <c r="AV57" i="53"/>
  <c r="O57" i="53"/>
  <c r="CH56" i="53"/>
  <c r="AZ56" i="53"/>
  <c r="S56" i="53"/>
  <c r="BF55" i="53"/>
  <c r="W55" i="53"/>
  <c r="CQ54" i="53"/>
  <c r="BI54" i="53"/>
  <c r="AA54" i="53"/>
  <c r="CT53" i="53"/>
  <c r="BM53" i="53"/>
  <c r="AE53" i="53"/>
  <c r="CZ52" i="53"/>
  <c r="BS52" i="53"/>
  <c r="AK52" i="53"/>
  <c r="AJ52" i="53" s="1"/>
  <c r="F52" i="53"/>
  <c r="BY50" i="53"/>
  <c r="AS50" i="53"/>
  <c r="L50" i="53"/>
  <c r="CE47" i="53"/>
  <c r="AW47" i="53"/>
  <c r="O47" i="53"/>
  <c r="CH46" i="53"/>
  <c r="AZ46" i="53"/>
  <c r="R46" i="53"/>
  <c r="CK45" i="53"/>
  <c r="BD45" i="53"/>
  <c r="U45" i="53"/>
  <c r="CO44" i="53"/>
  <c r="BG44" i="53"/>
  <c r="X44" i="53"/>
  <c r="CS43" i="53"/>
  <c r="BK43" i="53"/>
  <c r="AC43" i="53"/>
  <c r="CX42" i="53"/>
  <c r="CF230" i="53"/>
  <c r="BI204" i="53"/>
  <c r="DA195" i="53"/>
  <c r="BV186" i="53"/>
  <c r="AG182" i="53"/>
  <c r="BX176" i="53"/>
  <c r="M173" i="53"/>
  <c r="CZ169" i="53"/>
  <c r="AM167" i="53"/>
  <c r="CZ162" i="53"/>
  <c r="CI158" i="53"/>
  <c r="CV156" i="53"/>
  <c r="CU156" i="53" s="1"/>
  <c r="AZ154" i="53"/>
  <c r="BS149" i="53"/>
  <c r="BY147" i="53"/>
  <c r="AS146" i="53"/>
  <c r="Q145" i="53"/>
  <c r="BI143" i="53"/>
  <c r="AE142" i="53"/>
  <c r="H139" i="53"/>
  <c r="CM137" i="53"/>
  <c r="CH136" i="53"/>
  <c r="BJ135" i="53"/>
  <c r="Q134" i="53"/>
  <c r="CT131" i="53"/>
  <c r="BP129" i="53"/>
  <c r="AZ128" i="53"/>
  <c r="AY127" i="53"/>
  <c r="Q126" i="53"/>
  <c r="X125" i="53"/>
  <c r="AG124" i="53"/>
  <c r="BM123" i="53"/>
  <c r="CV122" i="53"/>
  <c r="CU122" i="53" s="1"/>
  <c r="AD122" i="53"/>
  <c r="BT121" i="53"/>
  <c r="AR120" i="53"/>
  <c r="CH119" i="53"/>
  <c r="P119" i="53"/>
  <c r="BF118" i="53"/>
  <c r="CX115" i="53"/>
  <c r="AC115" i="53"/>
  <c r="BU114" i="53"/>
  <c r="G114" i="53"/>
  <c r="AX113" i="53"/>
  <c r="CY112" i="53"/>
  <c r="AG112" i="53"/>
  <c r="CA111" i="53"/>
  <c r="BZ111" i="53" s="1"/>
  <c r="M111" i="53"/>
  <c r="BE110" i="53"/>
  <c r="CX109" i="53"/>
  <c r="AR109" i="53"/>
  <c r="CT108" i="53"/>
  <c r="AT108" i="53"/>
  <c r="E108" i="53"/>
  <c r="BN107" i="53"/>
  <c r="O107" i="53"/>
  <c r="BW106" i="53"/>
  <c r="AB106" i="53"/>
  <c r="CK105" i="53"/>
  <c r="AV105" i="53"/>
  <c r="CV103" i="53"/>
  <c r="CU103" i="53" s="1"/>
  <c r="BF103" i="53"/>
  <c r="H103" i="53"/>
  <c r="BP102" i="53"/>
  <c r="AA102" i="53"/>
  <c r="CC101" i="53"/>
  <c r="CB101" i="53" s="1"/>
  <c r="AK101" i="53"/>
  <c r="AJ101" i="53" s="1"/>
  <c r="CN98" i="53"/>
  <c r="AW98" i="53"/>
  <c r="F98" i="53"/>
  <c r="BG97" i="53"/>
  <c r="O97" i="53"/>
  <c r="AA94" i="53"/>
  <c r="CM93" i="53"/>
  <c r="AO93" i="53"/>
  <c r="CY92" i="53"/>
  <c r="BC92" i="53"/>
  <c r="L92" i="53"/>
  <c r="BV91" i="53"/>
  <c r="W91" i="53"/>
  <c r="CH90" i="53"/>
  <c r="AG90" i="53"/>
  <c r="CS89" i="53"/>
  <c r="BE89" i="53"/>
  <c r="BW88" i="53"/>
  <c r="CN87" i="53"/>
  <c r="AY87" i="53"/>
  <c r="L87" i="53"/>
  <c r="BM73" i="53"/>
  <c r="CH72" i="53"/>
  <c r="AG72" i="53"/>
  <c r="BE70" i="53"/>
  <c r="BW69" i="53"/>
  <c r="AK69" i="53"/>
  <c r="AJ69" i="53" s="1"/>
  <c r="D69" i="53"/>
  <c r="BU68" i="53"/>
  <c r="AN68" i="53"/>
  <c r="G68" i="53"/>
  <c r="BY67" i="53"/>
  <c r="AS67" i="53"/>
  <c r="L67" i="53"/>
  <c r="CF66" i="53"/>
  <c r="AX66" i="53"/>
  <c r="P66" i="53"/>
  <c r="CI65" i="53"/>
  <c r="BB65" i="53"/>
  <c r="S65" i="53"/>
  <c r="CN63" i="53"/>
  <c r="BF63" i="53"/>
  <c r="W63" i="53"/>
  <c r="CR62" i="53"/>
  <c r="BJ62" i="53"/>
  <c r="AB62" i="53"/>
  <c r="CV60" i="53"/>
  <c r="CU60" i="53" s="1"/>
  <c r="BN60" i="53"/>
  <c r="AE60" i="53"/>
  <c r="CZ59" i="53"/>
  <c r="BS59" i="53"/>
  <c r="AM59" i="53"/>
  <c r="F59" i="53"/>
  <c r="BW58" i="53"/>
  <c r="AQ58" i="53"/>
  <c r="I58" i="53"/>
  <c r="CA57" i="53"/>
  <c r="BZ57" i="53" s="1"/>
  <c r="AT57" i="53"/>
  <c r="N57" i="53"/>
  <c r="CG56" i="53"/>
  <c r="AY56" i="53"/>
  <c r="R56" i="53"/>
  <c r="CK55" i="53"/>
  <c r="BE55" i="53"/>
  <c r="CP54" i="53"/>
  <c r="BH54" i="53"/>
  <c r="Z54" i="53"/>
  <c r="CS53" i="53"/>
  <c r="BK53" i="53"/>
  <c r="AD53" i="53"/>
  <c r="CY52" i="53"/>
  <c r="BQ52" i="53"/>
  <c r="E52" i="53"/>
  <c r="BX50" i="53"/>
  <c r="AR50" i="53"/>
  <c r="K50" i="53"/>
  <c r="CC47" i="53"/>
  <c r="CB47" i="53" s="1"/>
  <c r="AV47" i="53"/>
  <c r="N47" i="53"/>
  <c r="CG46" i="53"/>
  <c r="AY46" i="53"/>
  <c r="Q46" i="53"/>
  <c r="CJ45" i="53"/>
  <c r="BC45" i="53"/>
  <c r="T45" i="53"/>
  <c r="CN44" i="53"/>
  <c r="BF44" i="53"/>
  <c r="W44" i="53"/>
  <c r="CR43" i="53"/>
  <c r="BJ43" i="53"/>
  <c r="AB43" i="53"/>
  <c r="AG230" i="53"/>
  <c r="U204" i="53"/>
  <c r="CT195" i="53"/>
  <c r="AF182" i="53"/>
  <c r="BW176" i="53"/>
  <c r="D173" i="53"/>
  <c r="CV169" i="53"/>
  <c r="CU169" i="53" s="1"/>
  <c r="CF158" i="53"/>
  <c r="CT156" i="53"/>
  <c r="AX154" i="53"/>
  <c r="AX152" i="53"/>
  <c r="BQ149" i="53"/>
  <c r="BU147" i="53"/>
  <c r="AR146" i="53"/>
  <c r="P145" i="53"/>
  <c r="BG143" i="53"/>
  <c r="AD142" i="53"/>
  <c r="G139" i="53"/>
  <c r="CK137" i="53"/>
  <c r="CG136" i="53"/>
  <c r="AB135" i="53"/>
  <c r="P134" i="53"/>
  <c r="BY130" i="53"/>
  <c r="BO129" i="53"/>
  <c r="AY128" i="53"/>
  <c r="P126" i="53"/>
  <c r="U125" i="53"/>
  <c r="AF124" i="53"/>
  <c r="BJ123" i="53"/>
  <c r="AC122" i="53"/>
  <c r="BS121" i="53"/>
  <c r="I121" i="53"/>
  <c r="AQ120" i="53"/>
  <c r="CG119" i="53"/>
  <c r="O119" i="53"/>
  <c r="BE118" i="53"/>
  <c r="CV115" i="53"/>
  <c r="CU115" i="53" s="1"/>
  <c r="AB115" i="53"/>
  <c r="BT114" i="53"/>
  <c r="F114" i="53"/>
  <c r="AW113" i="53"/>
  <c r="CX112" i="53"/>
  <c r="AF112" i="53"/>
  <c r="BY111" i="53"/>
  <c r="L111" i="53"/>
  <c r="BD110" i="53"/>
  <c r="CV109" i="53"/>
  <c r="CU109" i="53" s="1"/>
  <c r="AO109" i="53"/>
  <c r="CS108" i="53"/>
  <c r="AS108" i="53"/>
  <c r="D108" i="53"/>
  <c r="BM107" i="53"/>
  <c r="N107" i="53"/>
  <c r="BV106" i="53"/>
  <c r="AA106" i="53"/>
  <c r="CJ105" i="53"/>
  <c r="AT105" i="53"/>
  <c r="CT103" i="53"/>
  <c r="BE103" i="53"/>
  <c r="G103" i="53"/>
  <c r="BO102" i="53"/>
  <c r="Z102" i="53"/>
  <c r="CA101" i="53"/>
  <c r="BZ101" i="53" s="1"/>
  <c r="CM98" i="53"/>
  <c r="AV98" i="53"/>
  <c r="E98" i="53"/>
  <c r="BF97" i="53"/>
  <c r="N97" i="53"/>
  <c r="BQ94" i="53"/>
  <c r="Z94" i="53"/>
  <c r="CK93" i="53"/>
  <c r="AN93" i="53"/>
  <c r="CX92" i="53"/>
  <c r="BB92" i="53"/>
  <c r="BU91" i="53"/>
  <c r="CG90" i="53"/>
  <c r="AF90" i="53"/>
  <c r="BD89" i="53"/>
  <c r="I89" i="53"/>
  <c r="BV88" i="53"/>
  <c r="AG88" i="53"/>
  <c r="CM87" i="53"/>
  <c r="AX87" i="53"/>
  <c r="K87" i="53"/>
  <c r="BK73" i="53"/>
  <c r="U73" i="53"/>
  <c r="CG72" i="53"/>
  <c r="AF72" i="53"/>
  <c r="CQ70" i="53"/>
  <c r="BD70" i="53"/>
  <c r="I70" i="53"/>
  <c r="BV69" i="53"/>
  <c r="AI69" i="53"/>
  <c r="AH69" i="53" s="1"/>
  <c r="DB68" i="53"/>
  <c r="BT68" i="53"/>
  <c r="AM68" i="53"/>
  <c r="F68" i="53"/>
  <c r="BX67" i="53"/>
  <c r="AR67" i="53"/>
  <c r="CE66" i="53"/>
  <c r="AW66" i="53"/>
  <c r="O66" i="53"/>
  <c r="CH65" i="53"/>
  <c r="AZ65" i="53"/>
  <c r="R65" i="53"/>
  <c r="CM63" i="53"/>
  <c r="BE63" i="53"/>
  <c r="V63" i="53"/>
  <c r="CQ62" i="53"/>
  <c r="BI62" i="53"/>
  <c r="AA62" i="53"/>
  <c r="CT60" i="53"/>
  <c r="BM60" i="53"/>
  <c r="AD60" i="53"/>
  <c r="CY59" i="53"/>
  <c r="BQ59" i="53"/>
  <c r="AK59" i="53"/>
  <c r="AJ59" i="53" s="1"/>
  <c r="E59" i="53"/>
  <c r="BV58" i="53"/>
  <c r="AO58" i="53"/>
  <c r="H58" i="53"/>
  <c r="BY57" i="53"/>
  <c r="AS57" i="53"/>
  <c r="M57" i="53"/>
  <c r="CF56" i="53"/>
  <c r="AX56" i="53"/>
  <c r="Q56" i="53"/>
  <c r="CJ55" i="53"/>
  <c r="BD55" i="53"/>
  <c r="U55" i="53"/>
  <c r="CO54" i="53"/>
  <c r="BG54" i="53"/>
  <c r="X54" i="53"/>
  <c r="BJ53" i="53"/>
  <c r="AC53" i="53"/>
  <c r="CX52" i="53"/>
  <c r="BP52" i="53"/>
  <c r="AI52" i="53"/>
  <c r="AH52" i="53" s="1"/>
  <c r="D52" i="53"/>
  <c r="BW50" i="53"/>
  <c r="AQ50" i="53"/>
  <c r="I50" i="53"/>
  <c r="CA47" i="53"/>
  <c r="BZ47" i="53" s="1"/>
  <c r="AT47" i="53"/>
  <c r="M47" i="53"/>
  <c r="CF46" i="53"/>
  <c r="AX46" i="53"/>
  <c r="P46" i="53"/>
  <c r="CI45" i="53"/>
  <c r="BB45" i="53"/>
  <c r="S45" i="53"/>
  <c r="CM44" i="53"/>
  <c r="BE44" i="53"/>
  <c r="V44" i="53"/>
  <c r="CQ43" i="53"/>
  <c r="CP229" i="53"/>
  <c r="R204" i="53"/>
  <c r="BJ192" i="53"/>
  <c r="AX186" i="53"/>
  <c r="AD182" i="53"/>
  <c r="H176" i="53"/>
  <c r="CQ172" i="53"/>
  <c r="CS169" i="53"/>
  <c r="BY166" i="53"/>
  <c r="CS162" i="53"/>
  <c r="CA158" i="53"/>
  <c r="BZ158" i="53" s="1"/>
  <c r="AI156" i="53"/>
  <c r="AH156" i="53" s="1"/>
  <c r="AV154" i="53"/>
  <c r="AW152" i="53"/>
  <c r="AA149" i="53"/>
  <c r="BS147" i="53"/>
  <c r="AQ146" i="53"/>
  <c r="CJ144" i="53"/>
  <c r="BE143" i="53"/>
  <c r="AC142" i="53"/>
  <c r="F139" i="53"/>
  <c r="CJ137" i="53"/>
  <c r="BV136" i="53"/>
  <c r="AA135" i="53"/>
  <c r="F134" i="53"/>
  <c r="CP131" i="53"/>
  <c r="BX130" i="53"/>
  <c r="BM129" i="53"/>
  <c r="AX128" i="53"/>
  <c r="R127" i="53"/>
  <c r="O126" i="53"/>
  <c r="S125" i="53"/>
  <c r="AE124" i="53"/>
  <c r="BI123" i="53"/>
  <c r="CT122" i="53"/>
  <c r="T122" i="53"/>
  <c r="BQ121" i="53"/>
  <c r="CQ120" i="53"/>
  <c r="AO120" i="53"/>
  <c r="CF119" i="53"/>
  <c r="N119" i="53"/>
  <c r="BD118" i="53"/>
  <c r="CK115" i="53"/>
  <c r="AA115" i="53"/>
  <c r="BS114" i="53"/>
  <c r="E114" i="53"/>
  <c r="AV113" i="53"/>
  <c r="CG112" i="53"/>
  <c r="AE112" i="53"/>
  <c r="BX111" i="53"/>
  <c r="K111" i="53"/>
  <c r="BC110" i="53"/>
  <c r="CN109" i="53"/>
  <c r="AN109" i="53"/>
  <c r="AR108" i="53"/>
  <c r="BD107" i="53"/>
  <c r="M107" i="53"/>
  <c r="BU106" i="53"/>
  <c r="Z106" i="53"/>
  <c r="CI105" i="53"/>
  <c r="AI105" i="53"/>
  <c r="AH105" i="53" s="1"/>
  <c r="CS103" i="53"/>
  <c r="BD103" i="53"/>
  <c r="F103" i="53"/>
  <c r="BN102" i="53"/>
  <c r="Q102" i="53"/>
  <c r="AI101" i="53"/>
  <c r="AH101" i="53" s="1"/>
  <c r="CK98" i="53"/>
  <c r="AT98" i="53"/>
  <c r="CV97" i="53"/>
  <c r="CU97" i="53" s="1"/>
  <c r="BE97" i="53"/>
  <c r="M97" i="53"/>
  <c r="BP94" i="53"/>
  <c r="X94" i="53"/>
  <c r="CC93" i="53"/>
  <c r="CB93" i="53" s="1"/>
  <c r="AM93" i="53"/>
  <c r="CV92" i="53"/>
  <c r="CU92" i="53" s="1"/>
  <c r="AZ92" i="53"/>
  <c r="I92" i="53"/>
  <c r="BK91" i="53"/>
  <c r="U91" i="53"/>
  <c r="CF90" i="53"/>
  <c r="AE90" i="53"/>
  <c r="CQ89" i="53"/>
  <c r="BC89" i="53"/>
  <c r="H89" i="53"/>
  <c r="BU88" i="53"/>
  <c r="AF88" i="53"/>
  <c r="CK87" i="53"/>
  <c r="AW87" i="53"/>
  <c r="I87" i="53"/>
  <c r="BJ73" i="53"/>
  <c r="T73" i="53"/>
  <c r="CF72" i="53"/>
  <c r="AE72" i="53"/>
  <c r="CP70" i="53"/>
  <c r="BC70" i="53"/>
  <c r="H70" i="53"/>
  <c r="BU69" i="53"/>
  <c r="AG69" i="53"/>
  <c r="DA68" i="53"/>
  <c r="BS68" i="53"/>
  <c r="AK68" i="53"/>
  <c r="AJ68" i="53" s="1"/>
  <c r="E68" i="53"/>
  <c r="BW67" i="53"/>
  <c r="AQ67" i="53"/>
  <c r="I67" i="53"/>
  <c r="CC66" i="53"/>
  <c r="CB66" i="53" s="1"/>
  <c r="AV66" i="53"/>
  <c r="N66" i="53"/>
  <c r="CG65" i="53"/>
  <c r="AY65" i="53"/>
  <c r="Q65" i="53"/>
  <c r="CK63" i="53"/>
  <c r="BD63" i="53"/>
  <c r="U63" i="53"/>
  <c r="CP62" i="53"/>
  <c r="BH62" i="53"/>
  <c r="Z62" i="53"/>
  <c r="CS60" i="53"/>
  <c r="BK60" i="53"/>
  <c r="AC60" i="53"/>
  <c r="CX59" i="53"/>
  <c r="BP59" i="53"/>
  <c r="AI59" i="53"/>
  <c r="AH59" i="53" s="1"/>
  <c r="D59" i="53"/>
  <c r="BU58" i="53"/>
  <c r="AN58" i="53"/>
  <c r="G58" i="53"/>
  <c r="BX57" i="53"/>
  <c r="AR57" i="53"/>
  <c r="L57" i="53"/>
  <c r="CE56" i="53"/>
  <c r="AW56" i="53"/>
  <c r="P56" i="53"/>
  <c r="CI55" i="53"/>
  <c r="BC55" i="53"/>
  <c r="T55" i="53"/>
  <c r="CN54" i="53"/>
  <c r="BF54" i="53"/>
  <c r="W54" i="53"/>
  <c r="CQ53" i="53"/>
  <c r="BI53" i="53"/>
  <c r="AB53" i="53"/>
  <c r="CV52" i="53"/>
  <c r="CU52" i="53" s="1"/>
  <c r="BO52" i="53"/>
  <c r="AG52" i="53"/>
  <c r="DB50" i="53"/>
  <c r="BV50" i="53"/>
  <c r="AO50" i="53"/>
  <c r="H50" i="53"/>
  <c r="BY47" i="53"/>
  <c r="AS47" i="53"/>
  <c r="L47" i="53"/>
  <c r="CE46" i="53"/>
  <c r="AW46" i="53"/>
  <c r="O46" i="53"/>
  <c r="CH45" i="53"/>
  <c r="AZ45" i="53"/>
  <c r="R45" i="53"/>
  <c r="CK44" i="53"/>
  <c r="BD44" i="53"/>
  <c r="U44" i="53"/>
  <c r="CP43" i="53"/>
  <c r="BH43" i="53"/>
  <c r="Z43" i="53"/>
  <c r="CS42" i="53"/>
  <c r="BK42" i="53"/>
  <c r="CG229" i="53"/>
  <c r="P204" i="53"/>
  <c r="BG192" i="53"/>
  <c r="AV186" i="53"/>
  <c r="V182" i="53"/>
  <c r="G176" i="53"/>
  <c r="AZ166" i="53"/>
  <c r="CQ162" i="53"/>
  <c r="BY158" i="53"/>
  <c r="AG156" i="53"/>
  <c r="AS154" i="53"/>
  <c r="AV152" i="53"/>
  <c r="F149" i="53"/>
  <c r="BP147" i="53"/>
  <c r="AO146" i="53"/>
  <c r="CI144" i="53"/>
  <c r="BC143" i="53"/>
  <c r="AB142" i="53"/>
  <c r="E139" i="53"/>
  <c r="CI137" i="53"/>
  <c r="AX136" i="53"/>
  <c r="Z135" i="53"/>
  <c r="D134" i="53"/>
  <c r="CO131" i="53"/>
  <c r="BW130" i="53"/>
  <c r="BI129" i="53"/>
  <c r="AW128" i="53"/>
  <c r="Q127" i="53"/>
  <c r="M126" i="53"/>
  <c r="R125" i="53"/>
  <c r="AC124" i="53"/>
  <c r="BF123" i="53"/>
  <c r="CS122" i="53"/>
  <c r="S122" i="53"/>
  <c r="BP121" i="53"/>
  <c r="CP120" i="53"/>
  <c r="AM120" i="53"/>
  <c r="CE119" i="53"/>
  <c r="M119" i="53"/>
  <c r="BC118" i="53"/>
  <c r="CJ115" i="53"/>
  <c r="X115" i="53"/>
  <c r="BQ114" i="53"/>
  <c r="D114" i="53"/>
  <c r="AT113" i="53"/>
  <c r="CF112" i="53"/>
  <c r="U112" i="53"/>
  <c r="BW111" i="53"/>
  <c r="I111" i="53"/>
  <c r="BB110" i="53"/>
  <c r="AK109" i="53"/>
  <c r="AJ109" i="53" s="1"/>
  <c r="CQ108" i="53"/>
  <c r="AQ108" i="53"/>
  <c r="DB107" i="53"/>
  <c r="BC107" i="53"/>
  <c r="K107" i="53"/>
  <c r="BT106" i="53"/>
  <c r="X106" i="53"/>
  <c r="CH105" i="53"/>
  <c r="AG105" i="53"/>
  <c r="CQ103" i="53"/>
  <c r="BC103" i="53"/>
  <c r="E103" i="53"/>
  <c r="BM102" i="53"/>
  <c r="P102" i="53"/>
  <c r="BX101" i="53"/>
  <c r="AG101" i="53"/>
  <c r="CJ98" i="53"/>
  <c r="AS98" i="53"/>
  <c r="CT97" i="53"/>
  <c r="BC97" i="53"/>
  <c r="L97" i="53"/>
  <c r="BO94" i="53"/>
  <c r="W94" i="53"/>
  <c r="CA93" i="53"/>
  <c r="BZ93" i="53" s="1"/>
  <c r="AI93" i="53"/>
  <c r="AH93" i="53" s="1"/>
  <c r="AY92" i="53"/>
  <c r="H92" i="53"/>
  <c r="BJ91" i="53"/>
  <c r="S91" i="53"/>
  <c r="CE90" i="53"/>
  <c r="AD90" i="53"/>
  <c r="CP89" i="53"/>
  <c r="AT89" i="53"/>
  <c r="G89" i="53"/>
  <c r="BT88" i="53"/>
  <c r="W88" i="53"/>
  <c r="CJ87" i="53"/>
  <c r="AV87" i="53"/>
  <c r="CZ73" i="53"/>
  <c r="BI73" i="53"/>
  <c r="S73" i="53"/>
  <c r="BU72" i="53"/>
  <c r="AD72" i="53"/>
  <c r="CO70" i="53"/>
  <c r="BB70" i="53"/>
  <c r="G70" i="53"/>
  <c r="BT69" i="53"/>
  <c r="AF69" i="53"/>
  <c r="CZ68" i="53"/>
  <c r="BQ68" i="53"/>
  <c r="AI68" i="53"/>
  <c r="AH68" i="53" s="1"/>
  <c r="D68" i="53"/>
  <c r="BV67" i="53"/>
  <c r="AO67" i="53"/>
  <c r="H67" i="53"/>
  <c r="CA66" i="53"/>
  <c r="BZ66" i="53" s="1"/>
  <c r="AT66" i="53"/>
  <c r="M66" i="53"/>
  <c r="CF65" i="53"/>
  <c r="AX65" i="53"/>
  <c r="P65" i="53"/>
  <c r="CJ63" i="53"/>
  <c r="BC63" i="53"/>
  <c r="T63" i="53"/>
  <c r="CO62" i="53"/>
  <c r="BG62" i="53"/>
  <c r="X62" i="53"/>
  <c r="CR60" i="53"/>
  <c r="BJ60" i="53"/>
  <c r="AB60" i="53"/>
  <c r="CV59" i="53"/>
  <c r="CU59" i="53" s="1"/>
  <c r="BO59" i="53"/>
  <c r="AG59" i="53"/>
  <c r="DB58" i="53"/>
  <c r="BT58" i="53"/>
  <c r="AM58" i="53"/>
  <c r="F58" i="53"/>
  <c r="BW57" i="53"/>
  <c r="AQ57" i="53"/>
  <c r="CC56" i="53"/>
  <c r="CB56" i="53" s="1"/>
  <c r="AV56" i="53"/>
  <c r="O56" i="53"/>
  <c r="CH55" i="53"/>
  <c r="BB55" i="53"/>
  <c r="S55" i="53"/>
  <c r="CM54" i="53"/>
  <c r="BE54" i="53"/>
  <c r="V54" i="53"/>
  <c r="CP53" i="53"/>
  <c r="BH53" i="53"/>
  <c r="AA53" i="53"/>
  <c r="BN52" i="53"/>
  <c r="AF52" i="53"/>
  <c r="DA50" i="53"/>
  <c r="BU50" i="53"/>
  <c r="AN50" i="53"/>
  <c r="G50" i="53"/>
  <c r="BX47" i="53"/>
  <c r="AR47" i="53"/>
  <c r="K47" i="53"/>
  <c r="CC46" i="53"/>
  <c r="CB46" i="53" s="1"/>
  <c r="AV46" i="53"/>
  <c r="N46" i="53"/>
  <c r="CG45" i="53"/>
  <c r="AY45" i="53"/>
  <c r="Q45" i="53"/>
  <c r="CJ44" i="53"/>
  <c r="BC44" i="53"/>
  <c r="T44" i="53"/>
  <c r="CF229" i="53"/>
  <c r="G204" i="53"/>
  <c r="BB192" i="53"/>
  <c r="AT186" i="53"/>
  <c r="DB181" i="53"/>
  <c r="BV175" i="53"/>
  <c r="CK172" i="53"/>
  <c r="CK169" i="53"/>
  <c r="AY166" i="53"/>
  <c r="CP162" i="53"/>
  <c r="BX158" i="53"/>
  <c r="AF156" i="53"/>
  <c r="AB154" i="53"/>
  <c r="AT152" i="53"/>
  <c r="E149" i="53"/>
  <c r="BO147" i="53"/>
  <c r="AN146" i="53"/>
  <c r="CH144" i="53"/>
  <c r="BB143" i="53"/>
  <c r="AA142" i="53"/>
  <c r="D139" i="53"/>
  <c r="CH137" i="53"/>
  <c r="AW136" i="53"/>
  <c r="W135" i="53"/>
  <c r="DB133" i="53"/>
  <c r="CN131" i="53"/>
  <c r="BU130" i="53"/>
  <c r="BF129" i="53"/>
  <c r="Z128" i="53"/>
  <c r="P127" i="53"/>
  <c r="Q125" i="53"/>
  <c r="AB124" i="53"/>
  <c r="BE123" i="53"/>
  <c r="R122" i="53"/>
  <c r="BO121" i="53"/>
  <c r="CO120" i="53"/>
  <c r="AK120" i="53"/>
  <c r="AJ120" i="53" s="1"/>
  <c r="CC119" i="53"/>
  <c r="CB119" i="53" s="1"/>
  <c r="L119" i="53"/>
  <c r="BB118" i="53"/>
  <c r="CI115" i="53"/>
  <c r="W115" i="53"/>
  <c r="BP114" i="53"/>
  <c r="DB113" i="53"/>
  <c r="AS113" i="53"/>
  <c r="CE112" i="53"/>
  <c r="T112" i="53"/>
  <c r="BV111" i="53"/>
  <c r="H111" i="53"/>
  <c r="AZ110" i="53"/>
  <c r="CK109" i="53"/>
  <c r="AI109" i="53"/>
  <c r="AH109" i="53" s="1"/>
  <c r="CP108" i="53"/>
  <c r="DA107" i="53"/>
  <c r="BB107" i="53"/>
  <c r="I107" i="53"/>
  <c r="BS106" i="53"/>
  <c r="W106" i="53"/>
  <c r="CG105" i="53"/>
  <c r="AF105" i="53"/>
  <c r="CP103" i="53"/>
  <c r="BB103" i="53"/>
  <c r="D103" i="53"/>
  <c r="O102" i="53"/>
  <c r="BW101" i="53"/>
  <c r="AF101" i="53"/>
  <c r="CI98" i="53"/>
  <c r="AR98" i="53"/>
  <c r="CS97" i="53"/>
  <c r="BB97" i="53"/>
  <c r="BN94" i="53"/>
  <c r="CT92" i="53"/>
  <c r="AX92" i="53"/>
  <c r="G92" i="53"/>
  <c r="BI91" i="53"/>
  <c r="R91" i="53"/>
  <c r="CC90" i="53"/>
  <c r="CB90" i="53" s="1"/>
  <c r="AC90" i="53"/>
  <c r="CO89" i="53"/>
  <c r="AS89" i="53"/>
  <c r="F89" i="53"/>
  <c r="BS88" i="53"/>
  <c r="CI87" i="53"/>
  <c r="AT87" i="53"/>
  <c r="CY73" i="53"/>
  <c r="BH73" i="53"/>
  <c r="R73" i="53"/>
  <c r="BT72" i="53"/>
  <c r="AC72" i="53"/>
  <c r="CN70" i="53"/>
  <c r="AV70" i="53"/>
  <c r="F70" i="53"/>
  <c r="BS69" i="53"/>
  <c r="AE69" i="53"/>
  <c r="CY68" i="53"/>
  <c r="BP68" i="53"/>
  <c r="AG68" i="53"/>
  <c r="DB67" i="53"/>
  <c r="BU67" i="53"/>
  <c r="AN67" i="53"/>
  <c r="G67" i="53"/>
  <c r="BY66" i="53"/>
  <c r="AS66" i="53"/>
  <c r="L66" i="53"/>
  <c r="CE65" i="53"/>
  <c r="AW65" i="53"/>
  <c r="O65" i="53"/>
  <c r="CI63" i="53"/>
  <c r="BB63" i="53"/>
  <c r="S63" i="53"/>
  <c r="CN62" i="53"/>
  <c r="BF62" i="53"/>
  <c r="W62" i="53"/>
  <c r="CQ60" i="53"/>
  <c r="BI60" i="53"/>
  <c r="AA60" i="53"/>
  <c r="CT59" i="53"/>
  <c r="BN59" i="53"/>
  <c r="AF59" i="53"/>
  <c r="DA58" i="53"/>
  <c r="BS58" i="53"/>
  <c r="AK58" i="53"/>
  <c r="AJ58" i="53" s="1"/>
  <c r="E58" i="53"/>
  <c r="BV57" i="53"/>
  <c r="AO57" i="53"/>
  <c r="I57" i="53"/>
  <c r="CA56" i="53"/>
  <c r="BZ56" i="53" s="1"/>
  <c r="AT56" i="53"/>
  <c r="N56" i="53"/>
  <c r="CG55" i="53"/>
  <c r="AZ55" i="53"/>
  <c r="R55" i="53"/>
  <c r="CK54" i="53"/>
  <c r="BD54" i="53"/>
  <c r="U54" i="53"/>
  <c r="CO53" i="53"/>
  <c r="BG53" i="53"/>
  <c r="Z53" i="53"/>
  <c r="CT52" i="53"/>
  <c r="BM52" i="53"/>
  <c r="AE52" i="53"/>
  <c r="CZ50" i="53"/>
  <c r="BT50" i="53"/>
  <c r="AM50" i="53"/>
  <c r="F50" i="53"/>
  <c r="BW47" i="53"/>
  <c r="AQ47" i="53"/>
  <c r="I47" i="53"/>
  <c r="CA46" i="53"/>
  <c r="BZ46" i="53" s="1"/>
  <c r="AT46" i="53"/>
  <c r="M46" i="53"/>
  <c r="CF45" i="53"/>
  <c r="AX45" i="53"/>
  <c r="P45" i="53"/>
  <c r="CI44" i="53"/>
  <c r="BB44" i="53"/>
  <c r="S44" i="53"/>
  <c r="CN43" i="53"/>
  <c r="BF43" i="53"/>
  <c r="W43" i="53"/>
  <c r="CQ42" i="53"/>
  <c r="AX203" i="53"/>
  <c r="BY191" i="53"/>
  <c r="AS186" i="53"/>
  <c r="DA181" i="53"/>
  <c r="BT175" i="53"/>
  <c r="CJ172" i="53"/>
  <c r="CI169" i="53"/>
  <c r="AW166" i="53"/>
  <c r="BU162" i="53"/>
  <c r="BW158" i="53"/>
  <c r="AB156" i="53"/>
  <c r="AS152" i="53"/>
  <c r="DB148" i="53"/>
  <c r="BN147" i="53"/>
  <c r="AM146" i="53"/>
  <c r="CE144" i="53"/>
  <c r="AZ143" i="53"/>
  <c r="X142" i="53"/>
  <c r="DB138" i="53"/>
  <c r="BK137" i="53"/>
  <c r="AV136" i="53"/>
  <c r="U135" i="53"/>
  <c r="DA133" i="53"/>
  <c r="CH131" i="53"/>
  <c r="BT130" i="53"/>
  <c r="BE129" i="53"/>
  <c r="X128" i="53"/>
  <c r="N127" i="53"/>
  <c r="I126" i="53"/>
  <c r="P125" i="53"/>
  <c r="AA124" i="53"/>
  <c r="AV123" i="53"/>
  <c r="CQ122" i="53"/>
  <c r="Q122" i="53"/>
  <c r="BF121" i="53"/>
  <c r="CN120" i="53"/>
  <c r="AB120" i="53"/>
  <c r="AZ118" i="53"/>
  <c r="CH115" i="53"/>
  <c r="V115" i="53"/>
  <c r="BO114" i="53"/>
  <c r="DA113" i="53"/>
  <c r="AR113" i="53"/>
  <c r="CC112" i="53"/>
  <c r="CB112" i="53" s="1"/>
  <c r="S112" i="53"/>
  <c r="BU111" i="53"/>
  <c r="G111" i="53"/>
  <c r="AY110" i="53"/>
  <c r="CJ109" i="53"/>
  <c r="AG109" i="53"/>
  <c r="CO108" i="53"/>
  <c r="AO108" i="53"/>
  <c r="CZ107" i="53"/>
  <c r="AZ107" i="53"/>
  <c r="H107" i="53"/>
  <c r="CF105" i="53"/>
  <c r="AE105" i="53"/>
  <c r="CO103" i="53"/>
  <c r="AZ103" i="53"/>
  <c r="DB102" i="53"/>
  <c r="BK102" i="53"/>
  <c r="N102" i="53"/>
  <c r="BV101" i="53"/>
  <c r="AE101" i="53"/>
  <c r="CH98" i="53"/>
  <c r="AQ98" i="53"/>
  <c r="AZ97" i="53"/>
  <c r="S228" i="53"/>
  <c r="CN200" i="53"/>
  <c r="BW191" i="53"/>
  <c r="AM186" i="53"/>
  <c r="Q181" i="53"/>
  <c r="BO175" i="53"/>
  <c r="BL175" i="53" s="1"/>
  <c r="BF172" i="53"/>
  <c r="Z169" i="53"/>
  <c r="AI166" i="53"/>
  <c r="AH166" i="53" s="1"/>
  <c r="BO162" i="53"/>
  <c r="X158" i="53"/>
  <c r="W156" i="53"/>
  <c r="S154" i="53"/>
  <c r="CV151" i="53"/>
  <c r="CU151" i="53" s="1"/>
  <c r="CX148" i="53"/>
  <c r="BM147" i="53"/>
  <c r="E146" i="53"/>
  <c r="BV144" i="53"/>
  <c r="BR144" i="53" s="1"/>
  <c r="AT143" i="53"/>
  <c r="W142" i="53"/>
  <c r="DA138" i="53"/>
  <c r="BH137" i="53"/>
  <c r="AS136" i="53"/>
  <c r="T135" i="53"/>
  <c r="CZ133" i="53"/>
  <c r="CE131" i="53"/>
  <c r="BS130" i="53"/>
  <c r="W129" i="53"/>
  <c r="P128" i="53"/>
  <c r="CX126" i="53"/>
  <c r="CW126" i="53" s="1"/>
  <c r="H126" i="53"/>
  <c r="O125" i="53"/>
  <c r="Z124" i="53"/>
  <c r="AS123" i="53"/>
  <c r="CH122" i="53"/>
  <c r="P122" i="53"/>
  <c r="BE121" i="53"/>
  <c r="AA120" i="53"/>
  <c r="BJ119" i="53"/>
  <c r="DA118" i="53"/>
  <c r="AY118" i="53"/>
  <c r="BW115" i="53"/>
  <c r="U115" i="53"/>
  <c r="BF114" i="53"/>
  <c r="CZ113" i="53"/>
  <c r="AQ113" i="53"/>
  <c r="CA112" i="53"/>
  <c r="BZ112" i="53" s="1"/>
  <c r="R112" i="53"/>
  <c r="BD111" i="53"/>
  <c r="F111" i="53"/>
  <c r="AX110" i="53"/>
  <c r="CI109" i="53"/>
  <c r="AF109" i="53"/>
  <c r="CE108" i="53"/>
  <c r="CD108" i="53" s="1"/>
  <c r="AN108" i="53"/>
  <c r="CY107" i="53"/>
  <c r="AY107" i="53"/>
  <c r="G107" i="53"/>
  <c r="BJ106" i="53"/>
  <c r="U106" i="53"/>
  <c r="CE105" i="53"/>
  <c r="AD105" i="53"/>
  <c r="CN103" i="53"/>
  <c r="AQ103" i="53"/>
  <c r="DA102" i="53"/>
  <c r="BJ102" i="53"/>
  <c r="M102" i="53"/>
  <c r="BU101" i="53"/>
  <c r="V101" i="53"/>
  <c r="CG98" i="53"/>
  <c r="AO98" i="53"/>
  <c r="CQ97" i="53"/>
  <c r="AY97" i="53"/>
  <c r="CT225" i="53"/>
  <c r="CJ200" i="53"/>
  <c r="AE191" i="53"/>
  <c r="BY185" i="53"/>
  <c r="P181" i="53"/>
  <c r="AV175" i="53"/>
  <c r="BC172" i="53"/>
  <c r="T169" i="53"/>
  <c r="W166" i="53"/>
  <c r="BK162" i="53"/>
  <c r="W158" i="53"/>
  <c r="U156" i="53"/>
  <c r="R154" i="53"/>
  <c r="BK147" i="53"/>
  <c r="D146" i="53"/>
  <c r="BQ144" i="53"/>
  <c r="AQ143" i="53"/>
  <c r="BS138" i="53"/>
  <c r="AY137" i="53"/>
  <c r="Z136" i="53"/>
  <c r="S135" i="53"/>
  <c r="CY133" i="53"/>
  <c r="CC131" i="53"/>
  <c r="CB131" i="53" s="1"/>
  <c r="BQ130" i="53"/>
  <c r="V129" i="53"/>
  <c r="N128" i="53"/>
  <c r="CV126" i="53"/>
  <c r="CU126" i="53" s="1"/>
  <c r="G126" i="53"/>
  <c r="N125" i="53"/>
  <c r="X124" i="53"/>
  <c r="AR123" i="53"/>
  <c r="BY122" i="53"/>
  <c r="N122" i="53"/>
  <c r="BD121" i="53"/>
  <c r="CK120" i="53"/>
  <c r="Z120" i="53"/>
  <c r="BI119" i="53"/>
  <c r="CY118" i="53"/>
  <c r="AX118" i="53"/>
  <c r="BV115" i="53"/>
  <c r="T115" i="53"/>
  <c r="BE114" i="53"/>
  <c r="CX113" i="53"/>
  <c r="AO113" i="53"/>
  <c r="BY112" i="53"/>
  <c r="Q112" i="53"/>
  <c r="BC111" i="53"/>
  <c r="CV110" i="53"/>
  <c r="CU110" i="53" s="1"/>
  <c r="AW110" i="53"/>
  <c r="CH109" i="53"/>
  <c r="AE109" i="53"/>
  <c r="CC108" i="53"/>
  <c r="CB108" i="53" s="1"/>
  <c r="AK108" i="53"/>
  <c r="AJ108" i="53" s="1"/>
  <c r="CX107" i="53"/>
  <c r="AX107" i="53"/>
  <c r="F107" i="53"/>
  <c r="BI106" i="53"/>
  <c r="S106" i="53"/>
  <c r="CC105" i="53"/>
  <c r="CB105" i="53" s="1"/>
  <c r="AC105" i="53"/>
  <c r="CY102" i="53"/>
  <c r="BI102" i="53"/>
  <c r="L102" i="53"/>
  <c r="BT101" i="53"/>
  <c r="U101" i="53"/>
  <c r="CE98" i="53"/>
  <c r="AN98" i="53"/>
  <c r="CP97" i="53"/>
  <c r="AX97" i="53"/>
  <c r="AW221" i="53"/>
  <c r="CI200" i="53"/>
  <c r="AC191" i="53"/>
  <c r="BX185" i="53"/>
  <c r="O181" i="53"/>
  <c r="AT175" i="53"/>
  <c r="BB172" i="53"/>
  <c r="Q169" i="53"/>
  <c r="BJ162" i="53"/>
  <c r="T156" i="53"/>
  <c r="P154" i="53"/>
  <c r="CT151" i="53"/>
  <c r="CT148" i="53"/>
  <c r="BF147" i="53"/>
  <c r="CX145" i="53"/>
  <c r="CW145" i="53" s="1"/>
  <c r="BP144" i="53"/>
  <c r="AO143" i="53"/>
  <c r="Q142" i="53"/>
  <c r="BQ138" i="53"/>
  <c r="AW137" i="53"/>
  <c r="X136" i="53"/>
  <c r="R135" i="53"/>
  <c r="CX133" i="53"/>
  <c r="CA131" i="53"/>
  <c r="BZ131" i="53" s="1"/>
  <c r="AM130" i="53"/>
  <c r="U129" i="53"/>
  <c r="L128" i="53"/>
  <c r="CT126" i="53"/>
  <c r="CX125" i="53"/>
  <c r="CW125" i="53" s="1"/>
  <c r="M125" i="53"/>
  <c r="W124" i="53"/>
  <c r="AQ123" i="53"/>
  <c r="BV122" i="53"/>
  <c r="M122" i="53"/>
  <c r="BC121" i="53"/>
  <c r="CJ120" i="53"/>
  <c r="X120" i="53"/>
  <c r="BH119" i="53"/>
  <c r="CX118" i="53"/>
  <c r="AW118" i="53"/>
  <c r="BU115" i="53"/>
  <c r="S115" i="53"/>
  <c r="BD114" i="53"/>
  <c r="CV113" i="53"/>
  <c r="CU113" i="53" s="1"/>
  <c r="AN113" i="53"/>
  <c r="BX112" i="53"/>
  <c r="P112" i="53"/>
  <c r="BB111" i="53"/>
  <c r="CT110" i="53"/>
  <c r="AV110" i="53"/>
  <c r="CG109" i="53"/>
  <c r="AD109" i="53"/>
  <c r="CA108" i="53"/>
  <c r="BZ108" i="53" s="1"/>
  <c r="CV107" i="53"/>
  <c r="CU107" i="53" s="1"/>
  <c r="AW107" i="53"/>
  <c r="E107" i="53"/>
  <c r="BH106" i="53"/>
  <c r="R106" i="53"/>
  <c r="CA105" i="53"/>
  <c r="BZ105" i="53" s="1"/>
  <c r="AB105" i="53"/>
  <c r="AO103" i="53"/>
  <c r="CX102" i="53"/>
  <c r="BH102" i="53"/>
  <c r="K102" i="53"/>
  <c r="BS101" i="53"/>
  <c r="T101" i="53"/>
  <c r="CC98" i="53"/>
  <c r="CB98" i="53" s="1"/>
  <c r="AM98" i="53"/>
  <c r="CO97" i="53"/>
  <c r="AW97" i="53"/>
  <c r="CX94" i="53"/>
  <c r="BH94" i="53"/>
  <c r="AV221" i="53"/>
  <c r="BU200" i="53"/>
  <c r="W191" i="53"/>
  <c r="BW185" i="53"/>
  <c r="M181" i="53"/>
  <c r="AQ175" i="53"/>
  <c r="AZ172" i="53"/>
  <c r="H169" i="53"/>
  <c r="U166" i="53"/>
  <c r="BH162" i="53"/>
  <c r="F158" i="53"/>
  <c r="S156" i="53"/>
  <c r="M154" i="53"/>
  <c r="BW151" i="53"/>
  <c r="CS148" i="53"/>
  <c r="AT147" i="53"/>
  <c r="CS145" i="53"/>
  <c r="BO144" i="53"/>
  <c r="AN143" i="53"/>
  <c r="CJ139" i="53"/>
  <c r="BP138" i="53"/>
  <c r="AT137" i="53"/>
  <c r="W136" i="53"/>
  <c r="DB134" i="53"/>
  <c r="CV133" i="53"/>
  <c r="CU133" i="53" s="1"/>
  <c r="BY131" i="53"/>
  <c r="AK130" i="53"/>
  <c r="AJ130" i="53" s="1"/>
  <c r="S129" i="53"/>
  <c r="CS126" i="53"/>
  <c r="CV125" i="53"/>
  <c r="CU125" i="53" s="1"/>
  <c r="L125" i="53"/>
  <c r="AO123" i="53"/>
  <c r="BU122" i="53"/>
  <c r="L122" i="53"/>
  <c r="BB121" i="53"/>
  <c r="CI120" i="53"/>
  <c r="W120" i="53"/>
  <c r="BG119" i="53"/>
  <c r="CV118" i="53"/>
  <c r="CU118" i="53" s="1"/>
  <c r="AM118" i="53"/>
  <c r="BT115" i="53"/>
  <c r="R115" i="53"/>
  <c r="AT114" i="53"/>
  <c r="CT113" i="53"/>
  <c r="AM113" i="53"/>
  <c r="BW112" i="53"/>
  <c r="O112" i="53"/>
  <c r="AZ111" i="53"/>
  <c r="CS110" i="53"/>
  <c r="AT110" i="53"/>
  <c r="CF109" i="53"/>
  <c r="AC109" i="53"/>
  <c r="BY108" i="53"/>
  <c r="AI108" i="53"/>
  <c r="AH108" i="53" s="1"/>
  <c r="CT107" i="53"/>
  <c r="AV107" i="53"/>
  <c r="D107" i="53"/>
  <c r="BG106" i="53"/>
  <c r="Q106" i="53"/>
  <c r="BY105" i="53"/>
  <c r="AA105" i="53"/>
  <c r="CK103" i="53"/>
  <c r="AN103" i="53"/>
  <c r="CV102" i="53"/>
  <c r="CU102" i="53" s="1"/>
  <c r="BG102" i="53"/>
  <c r="I102" i="53"/>
  <c r="BQ101" i="53"/>
  <c r="S101" i="53"/>
  <c r="CA98" i="53"/>
  <c r="BZ98" i="53" s="1"/>
  <c r="AK98" i="53"/>
  <c r="AJ98" i="53" s="1"/>
  <c r="CN97" i="53"/>
  <c r="AV97" i="53"/>
  <c r="H216" i="53"/>
  <c r="AT200" i="53"/>
  <c r="R191" i="53"/>
  <c r="CE184" i="53"/>
  <c r="BT178" i="53"/>
  <c r="AO175" i="53"/>
  <c r="CM171" i="53"/>
  <c r="CN168" i="53"/>
  <c r="S166" i="53"/>
  <c r="H162" i="53"/>
  <c r="CV157" i="53"/>
  <c r="CU157" i="53" s="1"/>
  <c r="R156" i="53"/>
  <c r="BV153" i="53"/>
  <c r="BS151" i="53"/>
  <c r="T147" i="53"/>
  <c r="CQ145" i="53"/>
  <c r="BN144" i="53"/>
  <c r="AM143" i="53"/>
  <c r="CG139" i="53"/>
  <c r="BN138" i="53"/>
  <c r="AS137" i="53"/>
  <c r="V136" i="53"/>
  <c r="DA134" i="53"/>
  <c r="CT133" i="53"/>
  <c r="AT131" i="53"/>
  <c r="Q129" i="53"/>
  <c r="I128" i="53"/>
  <c r="DB124" i="53"/>
  <c r="U124" i="53"/>
  <c r="AN123" i="53"/>
  <c r="BT122" i="53"/>
  <c r="I122" i="53"/>
  <c r="AQ121" i="53"/>
  <c r="CH120" i="53"/>
  <c r="BF119" i="53"/>
  <c r="CT118" i="53"/>
  <c r="AB118" i="53"/>
  <c r="BS115" i="53"/>
  <c r="I115" i="53"/>
  <c r="AS114" i="53"/>
  <c r="CS113" i="53"/>
  <c r="AB113" i="53"/>
  <c r="BV112" i="53"/>
  <c r="N112" i="53"/>
  <c r="AY111" i="53"/>
  <c r="AA110" i="53"/>
  <c r="CE109" i="53"/>
  <c r="AB109" i="53"/>
  <c r="BX108" i="53"/>
  <c r="AG108" i="53"/>
  <c r="CK107" i="53"/>
  <c r="AT107" i="53"/>
  <c r="DB106" i="53"/>
  <c r="BF106" i="53"/>
  <c r="P106" i="53"/>
  <c r="BQ105" i="53"/>
  <c r="Z105" i="53"/>
  <c r="CJ103" i="53"/>
  <c r="AM103" i="53"/>
  <c r="CT102" i="53"/>
  <c r="AX102" i="53"/>
  <c r="H102" i="53"/>
  <c r="BP101" i="53"/>
  <c r="R101" i="53"/>
  <c r="AA98" i="53"/>
  <c r="AC215" i="53"/>
  <c r="BC199" i="53"/>
  <c r="BT189" i="53"/>
  <c r="BH184" i="53"/>
  <c r="AN178" i="53"/>
  <c r="AR174" i="53"/>
  <c r="BM171" i="53"/>
  <c r="BM168" i="53"/>
  <c r="AB165" i="53"/>
  <c r="DA159" i="53"/>
  <c r="CN157" i="53"/>
  <c r="AV155" i="53"/>
  <c r="BJ153" i="53"/>
  <c r="BH151" i="53"/>
  <c r="AT148" i="53"/>
  <c r="E147" i="53"/>
  <c r="CA145" i="53"/>
  <c r="BZ145" i="53" s="1"/>
  <c r="AB144" i="53"/>
  <c r="CZ142" i="53"/>
  <c r="BW139" i="53"/>
  <c r="AZ138" i="53"/>
  <c r="AM137" i="53"/>
  <c r="R136" i="53"/>
  <c r="CF134" i="53"/>
  <c r="BI133" i="53"/>
  <c r="AM131" i="53"/>
  <c r="AA130" i="53"/>
  <c r="L129" i="53"/>
  <c r="CX127" i="53"/>
  <c r="CN126" i="53"/>
  <c r="BY125" i="53"/>
  <c r="CG124" i="53"/>
  <c r="CV123" i="53"/>
  <c r="CU123" i="53" s="1"/>
  <c r="AF123" i="53"/>
  <c r="BO122" i="53"/>
  <c r="E122" i="53"/>
  <c r="AK121" i="53"/>
  <c r="AJ121" i="53" s="1"/>
  <c r="BY120" i="53"/>
  <c r="I120" i="53"/>
  <c r="AZ119" i="53"/>
  <c r="CO118" i="53"/>
  <c r="V118" i="53"/>
  <c r="BK115" i="53"/>
  <c r="CV114" i="53"/>
  <c r="CU114" i="53" s="1"/>
  <c r="AN114" i="53"/>
  <c r="CG113" i="53"/>
  <c r="P113" i="53"/>
  <c r="BP112" i="53"/>
  <c r="DA111" i="53"/>
  <c r="AT111" i="53"/>
  <c r="CN110" i="53"/>
  <c r="BQ109" i="53"/>
  <c r="P109" i="53"/>
  <c r="BT108" i="53"/>
  <c r="AC108" i="53"/>
  <c r="CG107" i="53"/>
  <c r="AN107" i="53"/>
  <c r="CO106" i="53"/>
  <c r="BB106" i="53"/>
  <c r="L106" i="53"/>
  <c r="BM105" i="53"/>
  <c r="T105" i="53"/>
  <c r="BW103" i="53"/>
  <c r="AF103" i="53"/>
  <c r="CP102" i="53"/>
  <c r="AS102" i="53"/>
  <c r="DB101" i="53"/>
  <c r="BD101" i="53"/>
  <c r="N101" i="53"/>
  <c r="BV98" i="53"/>
  <c r="V98" i="53"/>
  <c r="CG97" i="53"/>
  <c r="AE97" i="53"/>
  <c r="CQ94" i="53"/>
  <c r="BB94" i="53"/>
  <c r="D94" i="53"/>
  <c r="BN93" i="53"/>
  <c r="P93" i="53"/>
  <c r="CA92" i="53"/>
  <c r="BZ92" i="53" s="1"/>
  <c r="AK92" i="53"/>
  <c r="AJ92" i="53" s="1"/>
  <c r="CN91" i="53"/>
  <c r="AW91" i="53"/>
  <c r="CY90" i="53"/>
  <c r="BH90" i="53"/>
  <c r="R90" i="53"/>
  <c r="BU89" i="53"/>
  <c r="AF89" i="53"/>
  <c r="CT88" i="53"/>
  <c r="AY88" i="53"/>
  <c r="L88" i="53"/>
  <c r="BW87" i="53"/>
  <c r="AA87" i="53"/>
  <c r="AW73" i="53"/>
  <c r="CY72" i="53"/>
  <c r="BH72" i="53"/>
  <c r="R72" i="53"/>
  <c r="BU70" i="53"/>
  <c r="AE70" i="53"/>
  <c r="CS69" i="53"/>
  <c r="BG69" i="53"/>
  <c r="S69" i="53"/>
  <c r="CM68" i="53"/>
  <c r="BE68" i="53"/>
  <c r="V68" i="53"/>
  <c r="CQ67" i="53"/>
  <c r="BI67" i="53"/>
  <c r="AA67" i="53"/>
  <c r="BN66" i="53"/>
  <c r="AE66" i="53"/>
  <c r="CZ65" i="53"/>
  <c r="BQ65" i="53"/>
  <c r="AI65" i="53"/>
  <c r="AH65" i="53" s="1"/>
  <c r="D65" i="53"/>
  <c r="BV63" i="53"/>
  <c r="AO63" i="53"/>
  <c r="H63" i="53"/>
  <c r="CA62" i="53"/>
  <c r="BZ62" i="53" s="1"/>
  <c r="AT62" i="53"/>
  <c r="M62" i="53"/>
  <c r="CF60" i="53"/>
  <c r="AX60" i="53"/>
  <c r="P60" i="53"/>
  <c r="CI59" i="53"/>
  <c r="BC59" i="53"/>
  <c r="U59" i="53"/>
  <c r="CO58" i="53"/>
  <c r="BG58" i="53"/>
  <c r="X58" i="53"/>
  <c r="BJ57" i="53"/>
  <c r="AC57" i="53"/>
  <c r="CX56" i="53"/>
  <c r="BO56" i="53"/>
  <c r="AG56" i="53"/>
  <c r="DB55" i="53"/>
  <c r="BU55" i="53"/>
  <c r="AN55" i="53"/>
  <c r="G55" i="53"/>
  <c r="BX54" i="53"/>
  <c r="AR54" i="53"/>
  <c r="K54" i="53"/>
  <c r="CC53" i="53"/>
  <c r="CB53" i="53" s="1"/>
  <c r="AV53" i="53"/>
  <c r="S215" i="53"/>
  <c r="AX199" i="53"/>
  <c r="X189" i="53"/>
  <c r="AV184" i="53"/>
  <c r="AA178" i="53"/>
  <c r="AO174" i="53"/>
  <c r="AQ171" i="53"/>
  <c r="BI168" i="53"/>
  <c r="Z165" i="53"/>
  <c r="BX159" i="53"/>
  <c r="CJ157" i="53"/>
  <c r="AR155" i="53"/>
  <c r="AQ153" i="53"/>
  <c r="BF151" i="53"/>
  <c r="AR148" i="53"/>
  <c r="DA146" i="53"/>
  <c r="BY145" i="53"/>
  <c r="X144" i="53"/>
  <c r="BT139" i="53"/>
  <c r="AX138" i="53"/>
  <c r="AI137" i="53"/>
  <c r="AH137" i="53" s="1"/>
  <c r="CJ135" i="53"/>
  <c r="BM134" i="53"/>
  <c r="AO133" i="53"/>
  <c r="AI131" i="53"/>
  <c r="AH131" i="53" s="1"/>
  <c r="T130" i="53"/>
  <c r="I129" i="53"/>
  <c r="CT127" i="53"/>
  <c r="BH126" i="53"/>
  <c r="BN125" i="53"/>
  <c r="BV124" i="53"/>
  <c r="CT123" i="53"/>
  <c r="AD123" i="53"/>
  <c r="BK122" i="53"/>
  <c r="DB121" i="53"/>
  <c r="AG121" i="53"/>
  <c r="BW120" i="53"/>
  <c r="G120" i="53"/>
  <c r="AW119" i="53"/>
  <c r="CM118" i="53"/>
  <c r="T118" i="53"/>
  <c r="BI115" i="53"/>
  <c r="CS114" i="53"/>
  <c r="AI114" i="53"/>
  <c r="AH114" i="53" s="1"/>
  <c r="CE113" i="53"/>
  <c r="N113" i="53"/>
  <c r="BN112" i="53"/>
  <c r="CY111" i="53"/>
  <c r="AQ111" i="53"/>
  <c r="CK110" i="53"/>
  <c r="T110" i="53"/>
  <c r="BO109" i="53"/>
  <c r="L109" i="53"/>
  <c r="BP108" i="53"/>
  <c r="AA108" i="53"/>
  <c r="CE107" i="53"/>
  <c r="AK107" i="53"/>
  <c r="AJ107" i="53" s="1"/>
  <c r="AX106" i="53"/>
  <c r="I106" i="53"/>
  <c r="BJ105" i="53"/>
  <c r="R105" i="53"/>
  <c r="BU103" i="53"/>
  <c r="AC103" i="53"/>
  <c r="CN102" i="53"/>
  <c r="AQ102" i="53"/>
  <c r="CZ101" i="53"/>
  <c r="BB101" i="53"/>
  <c r="K101" i="53"/>
  <c r="BT98" i="53"/>
  <c r="D213" i="53"/>
  <c r="BG197" i="53"/>
  <c r="CC188" i="53"/>
  <c r="CB188" i="53" s="1"/>
  <c r="DB183" i="53"/>
  <c r="BC177" i="53"/>
  <c r="S174" i="53"/>
  <c r="X171" i="53"/>
  <c r="CX167" i="53"/>
  <c r="CW167" i="53" s="1"/>
  <c r="I165" i="53"/>
  <c r="BV159" i="53"/>
  <c r="AR157" i="53"/>
  <c r="AG155" i="53"/>
  <c r="AM153" i="53"/>
  <c r="Z148" i="53"/>
  <c r="CY146" i="53"/>
  <c r="CW146" i="53" s="1"/>
  <c r="AY145" i="53"/>
  <c r="F144" i="53"/>
  <c r="CS142" i="53"/>
  <c r="BQ139" i="53"/>
  <c r="AV138" i="53"/>
  <c r="E137" i="53"/>
  <c r="CH135" i="53"/>
  <c r="BH134" i="53"/>
  <c r="AM133" i="53"/>
  <c r="X131" i="53"/>
  <c r="R130" i="53"/>
  <c r="G129" i="53"/>
  <c r="BN127" i="53"/>
  <c r="BE126" i="53"/>
  <c r="BJ125" i="53"/>
  <c r="BT124" i="53"/>
  <c r="CQ123" i="53"/>
  <c r="L123" i="53"/>
  <c r="BB122" i="53"/>
  <c r="CI121" i="53"/>
  <c r="W121" i="53"/>
  <c r="BU120" i="53"/>
  <c r="CV119" i="53"/>
  <c r="CU119" i="53" s="1"/>
  <c r="AT119" i="53"/>
  <c r="BT118" i="53"/>
  <c r="R118" i="53"/>
  <c r="BG115" i="53"/>
  <c r="CQ114" i="53"/>
  <c r="AG114" i="53"/>
  <c r="BS113" i="53"/>
  <c r="L113" i="53"/>
  <c r="BD112" i="53"/>
  <c r="CO111" i="53"/>
  <c r="AN111" i="53"/>
  <c r="BY110" i="53"/>
  <c r="R110" i="53"/>
  <c r="BM109" i="53"/>
  <c r="H109" i="53"/>
  <c r="BN108" i="53"/>
  <c r="Q108" i="53"/>
  <c r="CA107" i="53"/>
  <c r="BZ107" i="53" s="1"/>
  <c r="AG107" i="53"/>
  <c r="CJ106" i="53"/>
  <c r="AV106" i="53"/>
  <c r="CY105" i="53"/>
  <c r="BH105" i="53"/>
  <c r="P105" i="53"/>
  <c r="BS103" i="53"/>
  <c r="AA103" i="53"/>
  <c r="AN102" i="53"/>
  <c r="CX101" i="53"/>
  <c r="F216" i="53"/>
  <c r="P189" i="53"/>
  <c r="G177" i="53"/>
  <c r="BX168" i="53"/>
  <c r="BW159" i="53"/>
  <c r="H155" i="53"/>
  <c r="CQ148" i="53"/>
  <c r="BX145" i="53"/>
  <c r="BX142" i="53"/>
  <c r="AR137" i="53"/>
  <c r="BJ134" i="53"/>
  <c r="O131" i="53"/>
  <c r="H128" i="53"/>
  <c r="BK125" i="53"/>
  <c r="H122" i="53"/>
  <c r="BV120" i="53"/>
  <c r="AE119" i="53"/>
  <c r="BP115" i="53"/>
  <c r="F113" i="53"/>
  <c r="AX111" i="53"/>
  <c r="S110" i="53"/>
  <c r="D109" i="53"/>
  <c r="CJ107" i="53"/>
  <c r="CK106" i="53"/>
  <c r="CS105" i="53"/>
  <c r="CI103" i="53"/>
  <c r="CM102" i="53"/>
  <c r="CJ101" i="53"/>
  <c r="DA98" i="53"/>
  <c r="I98" i="53"/>
  <c r="S97" i="53"/>
  <c r="BC94" i="53"/>
  <c r="CS93" i="53"/>
  <c r="AC93" i="53"/>
  <c r="BV92" i="53"/>
  <c r="F92" i="53"/>
  <c r="AX91" i="53"/>
  <c r="CP90" i="53"/>
  <c r="W90" i="53"/>
  <c r="BP89" i="53"/>
  <c r="E89" i="53"/>
  <c r="AZ88" i="53"/>
  <c r="DB87" i="53"/>
  <c r="AN87" i="53"/>
  <c r="CH73" i="53"/>
  <c r="Q73" i="53"/>
  <c r="BI72" i="53"/>
  <c r="CZ70" i="53"/>
  <c r="AM70" i="53"/>
  <c r="CO69" i="53"/>
  <c r="AD69" i="53"/>
  <c r="CN68" i="53"/>
  <c r="AV68" i="53"/>
  <c r="CV67" i="53"/>
  <c r="CU67" i="53" s="1"/>
  <c r="BE67" i="53"/>
  <c r="F67" i="53"/>
  <c r="BO66" i="53"/>
  <c r="V66" i="53"/>
  <c r="BW65" i="53"/>
  <c r="AD65" i="53"/>
  <c r="CH63" i="53"/>
  <c r="AQ63" i="53"/>
  <c r="CY62" i="53"/>
  <c r="AZ62" i="53"/>
  <c r="H62" i="53"/>
  <c r="BH60" i="53"/>
  <c r="Q60" i="53"/>
  <c r="BY59" i="53"/>
  <c r="AA59" i="53"/>
  <c r="CJ58" i="53"/>
  <c r="AI58" i="53"/>
  <c r="AH58" i="53" s="1"/>
  <c r="CS57" i="53"/>
  <c r="BB57" i="53"/>
  <c r="D57" i="53"/>
  <c r="BJ56" i="53"/>
  <c r="M56" i="53"/>
  <c r="BV55" i="53"/>
  <c r="AC55" i="53"/>
  <c r="CF54" i="53"/>
  <c r="AM54" i="53"/>
  <c r="CN53" i="53"/>
  <c r="AW53" i="53"/>
  <c r="G53" i="53"/>
  <c r="BI52" i="53"/>
  <c r="T52" i="53"/>
  <c r="CG50" i="53"/>
  <c r="AG50" i="53"/>
  <c r="CS47" i="53"/>
  <c r="BD47" i="53"/>
  <c r="F47" i="53"/>
  <c r="BO46" i="53"/>
  <c r="X46" i="53"/>
  <c r="CA45" i="53"/>
  <c r="BZ45" i="53" s="1"/>
  <c r="AK45" i="53"/>
  <c r="AJ45" i="53" s="1"/>
  <c r="CV44" i="53"/>
  <c r="CU44" i="53" s="1"/>
  <c r="AX44" i="53"/>
  <c r="H44" i="53"/>
  <c r="BT43" i="53"/>
  <c r="AE43" i="53"/>
  <c r="CO42" i="53"/>
  <c r="BE42" i="53"/>
  <c r="V42" i="53"/>
  <c r="CP41" i="53"/>
  <c r="BH41" i="53"/>
  <c r="Z41" i="53"/>
  <c r="CS40" i="53"/>
  <c r="BK40" i="53"/>
  <c r="AC40" i="53"/>
  <c r="CX39" i="53"/>
  <c r="BP39" i="53"/>
  <c r="AG39" i="53"/>
  <c r="DB38" i="53"/>
  <c r="BU38" i="53"/>
  <c r="AN38" i="53"/>
  <c r="G38" i="53"/>
  <c r="BY37" i="53"/>
  <c r="AS37" i="53"/>
  <c r="L37" i="53"/>
  <c r="CF36" i="53"/>
  <c r="AX36" i="53"/>
  <c r="P36" i="53"/>
  <c r="CI33" i="53"/>
  <c r="BB33" i="53"/>
  <c r="S33" i="53"/>
  <c r="CM32" i="53"/>
  <c r="BE32" i="53"/>
  <c r="V32" i="53"/>
  <c r="CP31" i="53"/>
  <c r="BH31" i="53"/>
  <c r="Z31" i="53"/>
  <c r="CS30" i="53"/>
  <c r="BK30" i="53"/>
  <c r="AC30" i="53"/>
  <c r="CX29" i="53"/>
  <c r="BO29" i="53"/>
  <c r="AF29" i="53"/>
  <c r="DA28" i="53"/>
  <c r="BT28" i="53"/>
  <c r="AM28" i="53"/>
  <c r="G28" i="53"/>
  <c r="BX27" i="53"/>
  <c r="AR27" i="53"/>
  <c r="K27" i="53"/>
  <c r="CC26" i="53"/>
  <c r="CB26" i="53" s="1"/>
  <c r="AV26" i="53"/>
  <c r="N26" i="53"/>
  <c r="CG25" i="53"/>
  <c r="AY25" i="53"/>
  <c r="Q25" i="53"/>
  <c r="CJ24" i="53"/>
  <c r="BD24" i="53"/>
  <c r="U24" i="53"/>
  <c r="CO23" i="53"/>
  <c r="BG23" i="53"/>
  <c r="X23" i="53"/>
  <c r="CR22" i="53"/>
  <c r="BJ22" i="53"/>
  <c r="AC22" i="53"/>
  <c r="CX19" i="53"/>
  <c r="BO19" i="53"/>
  <c r="AF19" i="53"/>
  <c r="DA18" i="53"/>
  <c r="BS18" i="53"/>
  <c r="AK18" i="53"/>
  <c r="AJ18" i="53" s="1"/>
  <c r="E18" i="53"/>
  <c r="BV17" i="53"/>
  <c r="AO17" i="53"/>
  <c r="I17" i="53"/>
  <c r="CA16" i="53"/>
  <c r="BZ16" i="53" s="1"/>
  <c r="AT16" i="53"/>
  <c r="M16" i="53"/>
  <c r="CF15" i="53"/>
  <c r="AX15" i="53"/>
  <c r="P15" i="53"/>
  <c r="CI14" i="53"/>
  <c r="BB14" i="53"/>
  <c r="CX215" i="53"/>
  <c r="CW215" i="53" s="1"/>
  <c r="BX188" i="53"/>
  <c r="CZ176" i="53"/>
  <c r="BT168" i="53"/>
  <c r="BT159" i="53"/>
  <c r="G155" i="53"/>
  <c r="CP148" i="53"/>
  <c r="AX145" i="53"/>
  <c r="BW142" i="53"/>
  <c r="AQ137" i="53"/>
  <c r="BG134" i="53"/>
  <c r="CX130" i="53"/>
  <c r="F128" i="53"/>
  <c r="BI125" i="53"/>
  <c r="CC123" i="53"/>
  <c r="CB123" i="53" s="1"/>
  <c r="G122" i="53"/>
  <c r="BT120" i="53"/>
  <c r="AD119" i="53"/>
  <c r="BO115" i="53"/>
  <c r="AF114" i="53"/>
  <c r="E113" i="53"/>
  <c r="AW111" i="53"/>
  <c r="P110" i="53"/>
  <c r="DA108" i="53"/>
  <c r="CI107" i="53"/>
  <c r="CI106" i="53"/>
  <c r="CH103" i="53"/>
  <c r="CC102" i="53"/>
  <c r="CB102" i="53" s="1"/>
  <c r="CI101" i="53"/>
  <c r="CZ98" i="53"/>
  <c r="CJ97" i="53"/>
  <c r="R97" i="53"/>
  <c r="AZ94" i="53"/>
  <c r="CR93" i="53"/>
  <c r="AB93" i="53"/>
  <c r="BU92" i="53"/>
  <c r="E92" i="53"/>
  <c r="AV91" i="53"/>
  <c r="CN90" i="53"/>
  <c r="BO89" i="53"/>
  <c r="D89" i="53"/>
  <c r="AX88" i="53"/>
  <c r="DA87" i="53"/>
  <c r="AE87" i="53"/>
  <c r="CG73" i="53"/>
  <c r="P73" i="53"/>
  <c r="BG72" i="53"/>
  <c r="CY70" i="53"/>
  <c r="AK70" i="53"/>
  <c r="AJ70" i="53" s="1"/>
  <c r="CN69" i="53"/>
  <c r="AC69" i="53"/>
  <c r="CK68" i="53"/>
  <c r="AT68" i="53"/>
  <c r="BD67" i="53"/>
  <c r="E67" i="53"/>
  <c r="BM66" i="53"/>
  <c r="U66" i="53"/>
  <c r="BV65" i="53"/>
  <c r="AC65" i="53"/>
  <c r="CG63" i="53"/>
  <c r="AN63" i="53"/>
  <c r="CX62" i="53"/>
  <c r="AY62" i="53"/>
  <c r="G62" i="53"/>
  <c r="BG60" i="53"/>
  <c r="O60" i="53"/>
  <c r="BX59" i="53"/>
  <c r="Z59" i="53"/>
  <c r="CI58" i="53"/>
  <c r="AG58" i="53"/>
  <c r="CQ57" i="53"/>
  <c r="AZ57" i="53"/>
  <c r="DB56" i="53"/>
  <c r="BI56" i="53"/>
  <c r="L56" i="53"/>
  <c r="BT55" i="53"/>
  <c r="AB55" i="53"/>
  <c r="CE54" i="53"/>
  <c r="AK54" i="53"/>
  <c r="AJ54" i="53" s="1"/>
  <c r="AT53" i="53"/>
  <c r="F53" i="53"/>
  <c r="BH52" i="53"/>
  <c r="S52" i="53"/>
  <c r="CF50" i="53"/>
  <c r="AF50" i="53"/>
  <c r="CR47" i="53"/>
  <c r="BC47" i="53"/>
  <c r="E47" i="53"/>
  <c r="BN46" i="53"/>
  <c r="W46" i="53"/>
  <c r="BY45" i="53"/>
  <c r="AI45" i="53"/>
  <c r="AH45" i="53" s="1"/>
  <c r="CT44" i="53"/>
  <c r="AW44" i="53"/>
  <c r="G44" i="53"/>
  <c r="BS43" i="53"/>
  <c r="AA43" i="53"/>
  <c r="CN42" i="53"/>
  <c r="BD42" i="53"/>
  <c r="U42" i="53"/>
  <c r="CO41" i="53"/>
  <c r="BG41" i="53"/>
  <c r="X41" i="53"/>
  <c r="BJ40" i="53"/>
  <c r="AB40" i="53"/>
  <c r="CV39" i="53"/>
  <c r="CU39" i="53" s="1"/>
  <c r="BO39" i="53"/>
  <c r="AF39" i="53"/>
  <c r="DA38" i="53"/>
  <c r="BT38" i="53"/>
  <c r="AM38" i="53"/>
  <c r="F38" i="53"/>
  <c r="BX37" i="53"/>
  <c r="AR37" i="53"/>
  <c r="CE36" i="53"/>
  <c r="AW36" i="53"/>
  <c r="O36" i="53"/>
  <c r="CH33" i="53"/>
  <c r="AZ33" i="53"/>
  <c r="R33" i="53"/>
  <c r="CK32" i="53"/>
  <c r="BD32" i="53"/>
  <c r="U32" i="53"/>
  <c r="CO31" i="53"/>
  <c r="BG31" i="53"/>
  <c r="X31" i="53"/>
  <c r="BJ30" i="53"/>
  <c r="AB30" i="53"/>
  <c r="CV29" i="53"/>
  <c r="CU29" i="53" s="1"/>
  <c r="BN29" i="53"/>
  <c r="AE29" i="53"/>
  <c r="CZ28" i="53"/>
  <c r="BS28" i="53"/>
  <c r="AK28" i="53"/>
  <c r="AJ28" i="53" s="1"/>
  <c r="F28" i="53"/>
  <c r="BW27" i="53"/>
  <c r="AQ27" i="53"/>
  <c r="I27" i="53"/>
  <c r="CA26" i="53"/>
  <c r="BZ26" i="53" s="1"/>
  <c r="AT26" i="53"/>
  <c r="M26" i="53"/>
  <c r="CF25" i="53"/>
  <c r="AX25" i="53"/>
  <c r="P25" i="53"/>
  <c r="CI24" i="53"/>
  <c r="BC24" i="53"/>
  <c r="T24" i="53"/>
  <c r="CN23" i="53"/>
  <c r="BF23" i="53"/>
  <c r="W23" i="53"/>
  <c r="CQ22" i="53"/>
  <c r="BI22" i="53"/>
  <c r="AB22" i="53"/>
  <c r="CV19" i="53"/>
  <c r="CU19" i="53" s="1"/>
  <c r="BN19" i="53"/>
  <c r="AE19" i="53"/>
  <c r="CZ18" i="53"/>
  <c r="BQ18" i="53"/>
  <c r="AI18" i="53"/>
  <c r="AH18" i="53" s="1"/>
  <c r="D18" i="53"/>
  <c r="BU17" i="53"/>
  <c r="AN17" i="53"/>
  <c r="H17" i="53"/>
  <c r="BY16" i="53"/>
  <c r="AE215" i="53"/>
  <c r="BU188" i="53"/>
  <c r="CH176" i="53"/>
  <c r="BN168" i="53"/>
  <c r="BK159" i="53"/>
  <c r="F155" i="53"/>
  <c r="CO148" i="53"/>
  <c r="AE145" i="53"/>
  <c r="BE142" i="53"/>
  <c r="AO137" i="53"/>
  <c r="BF134" i="53"/>
  <c r="CV130" i="53"/>
  <c r="CU130" i="53" s="1"/>
  <c r="CY127" i="53"/>
  <c r="BH125" i="53"/>
  <c r="CA123" i="53"/>
  <c r="BZ123" i="53" s="1"/>
  <c r="F122" i="53"/>
  <c r="BS120" i="53"/>
  <c r="AC119" i="53"/>
  <c r="BN115" i="53"/>
  <c r="AE114" i="53"/>
  <c r="D113" i="53"/>
  <c r="AV111" i="53"/>
  <c r="O110" i="53"/>
  <c r="CZ108" i="53"/>
  <c r="CH107" i="53"/>
  <c r="CH106" i="53"/>
  <c r="CQ105" i="53"/>
  <c r="CG103" i="53"/>
  <c r="CA102" i="53"/>
  <c r="BZ102" i="53" s="1"/>
  <c r="CH101" i="53"/>
  <c r="BY98" i="53"/>
  <c r="CI97" i="53"/>
  <c r="I97" i="53"/>
  <c r="AY94" i="53"/>
  <c r="CQ93" i="53"/>
  <c r="AA93" i="53"/>
  <c r="BT92" i="53"/>
  <c r="D92" i="53"/>
  <c r="AT91" i="53"/>
  <c r="U90" i="53"/>
  <c r="BN89" i="53"/>
  <c r="DB88" i="53"/>
  <c r="AW88" i="53"/>
  <c r="CR87" i="53"/>
  <c r="AD87" i="53"/>
  <c r="CF73" i="53"/>
  <c r="O73" i="53"/>
  <c r="BF72" i="53"/>
  <c r="CX70" i="53"/>
  <c r="AI70" i="53"/>
  <c r="AH70" i="53" s="1"/>
  <c r="CM69" i="53"/>
  <c r="AB69" i="53"/>
  <c r="CJ68" i="53"/>
  <c r="AS68" i="53"/>
  <c r="CT67" i="53"/>
  <c r="BC67" i="53"/>
  <c r="D67" i="53"/>
  <c r="BK66" i="53"/>
  <c r="T66" i="53"/>
  <c r="BU65" i="53"/>
  <c r="AB65" i="53"/>
  <c r="CF63" i="53"/>
  <c r="AM63" i="53"/>
  <c r="CV62" i="53"/>
  <c r="CU62" i="53" s="1"/>
  <c r="AX62" i="53"/>
  <c r="F62" i="53"/>
  <c r="BF60" i="53"/>
  <c r="N60" i="53"/>
  <c r="BW59" i="53"/>
  <c r="X59" i="53"/>
  <c r="CH58" i="53"/>
  <c r="AF58" i="53"/>
  <c r="CP57" i="53"/>
  <c r="AY57" i="53"/>
  <c r="DA56" i="53"/>
  <c r="BH56" i="53"/>
  <c r="BS55" i="53"/>
  <c r="AA55" i="53"/>
  <c r="CC54" i="53"/>
  <c r="CB54" i="53" s="1"/>
  <c r="AI54" i="53"/>
  <c r="AH54" i="53" s="1"/>
  <c r="CK53" i="53"/>
  <c r="AS53" i="53"/>
  <c r="E53" i="53"/>
  <c r="BG52" i="53"/>
  <c r="R52" i="53"/>
  <c r="CE50" i="53"/>
  <c r="AE50" i="53"/>
  <c r="CQ47" i="53"/>
  <c r="BB47" i="53"/>
  <c r="D47" i="53"/>
  <c r="BM46" i="53"/>
  <c r="V46" i="53"/>
  <c r="BX45" i="53"/>
  <c r="AG45" i="53"/>
  <c r="CS44" i="53"/>
  <c r="AV44" i="53"/>
  <c r="F44" i="53"/>
  <c r="BQ43" i="53"/>
  <c r="X43" i="53"/>
  <c r="CM42" i="53"/>
  <c r="BC42" i="53"/>
  <c r="T42" i="53"/>
  <c r="CN41" i="53"/>
  <c r="BF41" i="53"/>
  <c r="W41" i="53"/>
  <c r="CQ40" i="53"/>
  <c r="BI40" i="53"/>
  <c r="AA40" i="53"/>
  <c r="CT39" i="53"/>
  <c r="BN39" i="53"/>
  <c r="AE39" i="53"/>
  <c r="CZ38" i="53"/>
  <c r="BS38" i="53"/>
  <c r="AK38" i="53"/>
  <c r="AJ38" i="53" s="1"/>
  <c r="E38" i="53"/>
  <c r="BW37" i="53"/>
  <c r="AQ37" i="53"/>
  <c r="I37" i="53"/>
  <c r="CC36" i="53"/>
  <c r="CB36" i="53" s="1"/>
  <c r="AV36" i="53"/>
  <c r="N36" i="53"/>
  <c r="CG33" i="53"/>
  <c r="AY33" i="53"/>
  <c r="Q33" i="53"/>
  <c r="CJ32" i="53"/>
  <c r="BC32" i="53"/>
  <c r="T32" i="53"/>
  <c r="CN31" i="53"/>
  <c r="BF31" i="53"/>
  <c r="W31" i="53"/>
  <c r="CQ30" i="53"/>
  <c r="BI30" i="53"/>
  <c r="AA30" i="53"/>
  <c r="CT29" i="53"/>
  <c r="BM29" i="53"/>
  <c r="AD29" i="53"/>
  <c r="CY28" i="53"/>
  <c r="BQ28" i="53"/>
  <c r="AI28" i="53"/>
  <c r="AH28" i="53" s="1"/>
  <c r="E28" i="53"/>
  <c r="BV27" i="53"/>
  <c r="AO27" i="53"/>
  <c r="H27" i="53"/>
  <c r="BY26" i="53"/>
  <c r="AS26" i="53"/>
  <c r="L26" i="53"/>
  <c r="CE25" i="53"/>
  <c r="AW25" i="53"/>
  <c r="O25" i="53"/>
  <c r="CH24" i="53"/>
  <c r="BB24" i="53"/>
  <c r="S24" i="53"/>
  <c r="BE23" i="53"/>
  <c r="CP22" i="53"/>
  <c r="BH22" i="53"/>
  <c r="AA22" i="53"/>
  <c r="CT19" i="53"/>
  <c r="BM19" i="53"/>
  <c r="AD19" i="53"/>
  <c r="CY18" i="53"/>
  <c r="BP18" i="53"/>
  <c r="AG18" i="53"/>
  <c r="DB17" i="53"/>
  <c r="BT17" i="53"/>
  <c r="AM17" i="53"/>
  <c r="G17" i="53"/>
  <c r="Z215" i="53"/>
  <c r="BS188" i="53"/>
  <c r="CG176" i="53"/>
  <c r="BK168" i="53"/>
  <c r="BH159" i="53"/>
  <c r="E155" i="53"/>
  <c r="AS148" i="53"/>
  <c r="AC145" i="53"/>
  <c r="AY142" i="53"/>
  <c r="AK137" i="53"/>
  <c r="AJ137" i="53" s="1"/>
  <c r="BE134" i="53"/>
  <c r="CG130" i="53"/>
  <c r="CV127" i="53"/>
  <c r="CU127" i="53" s="1"/>
  <c r="BG125" i="53"/>
  <c r="BY123" i="53"/>
  <c r="D122" i="53"/>
  <c r="BI120" i="53"/>
  <c r="AB119" i="53"/>
  <c r="BJ115" i="53"/>
  <c r="AD114" i="53"/>
  <c r="DB112" i="53"/>
  <c r="AR111" i="53"/>
  <c r="N110" i="53"/>
  <c r="CY108" i="53"/>
  <c r="CF107" i="53"/>
  <c r="CG106" i="53"/>
  <c r="CP105" i="53"/>
  <c r="BV103" i="53"/>
  <c r="BY102" i="53"/>
  <c r="CG101" i="53"/>
  <c r="BX98" i="53"/>
  <c r="CH97" i="53"/>
  <c r="CZ94" i="53"/>
  <c r="AX94" i="53"/>
  <c r="CP93" i="53"/>
  <c r="Z93" i="53"/>
  <c r="BS92" i="53"/>
  <c r="DB91" i="53"/>
  <c r="AS91" i="53"/>
  <c r="CK90" i="53"/>
  <c r="T90" i="53"/>
  <c r="BM89" i="53"/>
  <c r="DA88" i="53"/>
  <c r="AV88" i="53"/>
  <c r="CQ87" i="53"/>
  <c r="AC87" i="53"/>
  <c r="CE73" i="53"/>
  <c r="N73" i="53"/>
  <c r="BE72" i="53"/>
  <c r="CV70" i="53"/>
  <c r="CU70" i="53" s="1"/>
  <c r="AG70" i="53"/>
  <c r="CG69" i="53"/>
  <c r="AA69" i="53"/>
  <c r="CI68" i="53"/>
  <c r="AR68" i="53"/>
  <c r="CS67" i="53"/>
  <c r="BB67" i="53"/>
  <c r="DB66" i="53"/>
  <c r="BJ66" i="53"/>
  <c r="S66" i="53"/>
  <c r="BT65" i="53"/>
  <c r="AA65" i="53"/>
  <c r="CE63" i="53"/>
  <c r="AK63" i="53"/>
  <c r="AJ63" i="53" s="1"/>
  <c r="AW62" i="53"/>
  <c r="E62" i="53"/>
  <c r="BE60" i="53"/>
  <c r="M60" i="53"/>
  <c r="BV59" i="53"/>
  <c r="W59" i="53"/>
  <c r="CG58" i="53"/>
  <c r="AE58" i="53"/>
  <c r="CO57" i="53"/>
  <c r="AX57" i="53"/>
  <c r="CZ56" i="53"/>
  <c r="BG56" i="53"/>
  <c r="I56" i="53"/>
  <c r="BQ55" i="53"/>
  <c r="Z55" i="53"/>
  <c r="CA54" i="53"/>
  <c r="BZ54" i="53" s="1"/>
  <c r="AG54" i="53"/>
  <c r="CJ53" i="53"/>
  <c r="AR53" i="53"/>
  <c r="D53" i="53"/>
  <c r="BF52" i="53"/>
  <c r="Q52" i="53"/>
  <c r="CC50" i="53"/>
  <c r="AD50" i="53"/>
  <c r="CP47" i="53"/>
  <c r="AZ47" i="53"/>
  <c r="DB46" i="53"/>
  <c r="BK46" i="53"/>
  <c r="U46" i="53"/>
  <c r="BW45" i="53"/>
  <c r="AF45" i="53"/>
  <c r="CR44" i="53"/>
  <c r="AT44" i="53"/>
  <c r="E44" i="53"/>
  <c r="BP43" i="53"/>
  <c r="V43" i="53"/>
  <c r="CK42" i="53"/>
  <c r="BB42" i="53"/>
  <c r="S42" i="53"/>
  <c r="BE41" i="53"/>
  <c r="CP40" i="53"/>
  <c r="BH40" i="53"/>
  <c r="Z40" i="53"/>
  <c r="CS39" i="53"/>
  <c r="BM39" i="53"/>
  <c r="AD39" i="53"/>
  <c r="CY38" i="53"/>
  <c r="BQ38" i="53"/>
  <c r="AI38" i="53"/>
  <c r="AH38" i="53" s="1"/>
  <c r="D38" i="53"/>
  <c r="BV37" i="53"/>
  <c r="AO37" i="53"/>
  <c r="H37" i="53"/>
  <c r="CA36" i="53"/>
  <c r="BZ36" i="53" s="1"/>
  <c r="AT36" i="53"/>
  <c r="M36" i="53"/>
  <c r="CF33" i="53"/>
  <c r="AX33" i="53"/>
  <c r="P33" i="53"/>
  <c r="CI32" i="53"/>
  <c r="BB32" i="53"/>
  <c r="S32" i="53"/>
  <c r="CM31" i="53"/>
  <c r="BE31" i="53"/>
  <c r="V31" i="53"/>
  <c r="CP30" i="53"/>
  <c r="BH30" i="53"/>
  <c r="Z30" i="53"/>
  <c r="CS29" i="53"/>
  <c r="BK29" i="53"/>
  <c r="AC29" i="53"/>
  <c r="CX28" i="53"/>
  <c r="BP28" i="53"/>
  <c r="D28" i="53"/>
  <c r="BU27" i="53"/>
  <c r="AN27" i="53"/>
  <c r="G27" i="53"/>
  <c r="BX26" i="53"/>
  <c r="AR26" i="53"/>
  <c r="CC25" i="53"/>
  <c r="CB25" i="53" s="1"/>
  <c r="AV25" i="53"/>
  <c r="N25" i="53"/>
  <c r="CG24" i="53"/>
  <c r="AZ24" i="53"/>
  <c r="R24" i="53"/>
  <c r="CK23" i="53"/>
  <c r="BD23" i="53"/>
  <c r="U23" i="53"/>
  <c r="CO22" i="53"/>
  <c r="BG22" i="53"/>
  <c r="Z22" i="53"/>
  <c r="CS19" i="53"/>
  <c r="BK19" i="53"/>
  <c r="AC19" i="53"/>
  <c r="CX18" i="53"/>
  <c r="BO18" i="53"/>
  <c r="AF18" i="53"/>
  <c r="DA17" i="53"/>
  <c r="BS17" i="53"/>
  <c r="AK17" i="53"/>
  <c r="AJ17" i="53" s="1"/>
  <c r="F17" i="53"/>
  <c r="I214" i="53"/>
  <c r="BQ188" i="53"/>
  <c r="AN175" i="53"/>
  <c r="BH168" i="53"/>
  <c r="P159" i="53"/>
  <c r="BU153" i="53"/>
  <c r="AC148" i="53"/>
  <c r="AA145" i="53"/>
  <c r="CF139" i="53"/>
  <c r="AD137" i="53"/>
  <c r="BD134" i="53"/>
  <c r="AF130" i="53"/>
  <c r="BO127" i="53"/>
  <c r="BE125" i="53"/>
  <c r="AM123" i="53"/>
  <c r="DA121" i="53"/>
  <c r="AZ120" i="53"/>
  <c r="CS118" i="53"/>
  <c r="BH115" i="53"/>
  <c r="AC114" i="53"/>
  <c r="BT112" i="53"/>
  <c r="AO111" i="53"/>
  <c r="M110" i="53"/>
  <c r="BW108" i="53"/>
  <c r="CC107" i="53"/>
  <c r="CB107" i="53" s="1"/>
  <c r="CF106" i="53"/>
  <c r="BP105" i="53"/>
  <c r="BT103" i="53"/>
  <c r="BX102" i="53"/>
  <c r="BO101" i="53"/>
  <c r="BW98" i="53"/>
  <c r="CF97" i="53"/>
  <c r="CY94" i="53"/>
  <c r="AO94" i="53"/>
  <c r="BY93" i="53"/>
  <c r="X93" i="53"/>
  <c r="BQ92" i="53"/>
  <c r="DA91" i="53"/>
  <c r="AR91" i="53"/>
  <c r="CA90" i="53"/>
  <c r="BZ90" i="53" s="1"/>
  <c r="S90" i="53"/>
  <c r="BK89" i="53"/>
  <c r="CZ88" i="53"/>
  <c r="AT88" i="53"/>
  <c r="CH87" i="53"/>
  <c r="AB87" i="53"/>
  <c r="CC73" i="53"/>
  <c r="CB73" i="53" s="1"/>
  <c r="M73" i="53"/>
  <c r="BD72" i="53"/>
  <c r="AF70" i="53"/>
  <c r="CF69" i="53"/>
  <c r="Z69" i="53"/>
  <c r="CH68" i="53"/>
  <c r="AF68" i="53"/>
  <c r="AZ67" i="53"/>
  <c r="DA66" i="53"/>
  <c r="BI66" i="53"/>
  <c r="K66" i="53"/>
  <c r="BS65" i="53"/>
  <c r="Z65" i="53"/>
  <c r="CC63" i="53"/>
  <c r="CB63" i="53" s="1"/>
  <c r="AI63" i="53"/>
  <c r="AH63" i="53" s="1"/>
  <c r="CM62" i="53"/>
  <c r="AV62" i="53"/>
  <c r="D62" i="53"/>
  <c r="BD60" i="53"/>
  <c r="L60" i="53"/>
  <c r="BM59" i="53"/>
  <c r="CF58" i="53"/>
  <c r="AD58" i="53"/>
  <c r="CN57" i="53"/>
  <c r="AN57" i="53"/>
  <c r="CY56" i="53"/>
  <c r="BF56" i="53"/>
  <c r="H56" i="53"/>
  <c r="BP55" i="53"/>
  <c r="Q55" i="53"/>
  <c r="BY54" i="53"/>
  <c r="AF54" i="53"/>
  <c r="CI53" i="53"/>
  <c r="AQ53" i="53"/>
  <c r="DB52" i="53"/>
  <c r="BE52" i="53"/>
  <c r="P52" i="53"/>
  <c r="AC50" i="53"/>
  <c r="CO47" i="53"/>
  <c r="AY47" i="53"/>
  <c r="DA46" i="53"/>
  <c r="BJ46" i="53"/>
  <c r="T46" i="53"/>
  <c r="BV45" i="53"/>
  <c r="AE45" i="53"/>
  <c r="CQ44" i="53"/>
  <c r="AS44" i="53"/>
  <c r="D44" i="53"/>
  <c r="BO43" i="53"/>
  <c r="U43" i="53"/>
  <c r="CJ42" i="53"/>
  <c r="AZ42" i="53"/>
  <c r="R42" i="53"/>
  <c r="CK41" i="53"/>
  <c r="BD41" i="53"/>
  <c r="U41" i="53"/>
  <c r="CO40" i="53"/>
  <c r="BG40" i="53"/>
  <c r="X40" i="53"/>
  <c r="CR39" i="53"/>
  <c r="BK39" i="53"/>
  <c r="AC39" i="53"/>
  <c r="CX38" i="53"/>
  <c r="BP38" i="53"/>
  <c r="AG38" i="53"/>
  <c r="DB37" i="53"/>
  <c r="BU37" i="53"/>
  <c r="AN37" i="53"/>
  <c r="G37" i="53"/>
  <c r="BY36" i="53"/>
  <c r="AS36" i="53"/>
  <c r="L36" i="53"/>
  <c r="CE33" i="53"/>
  <c r="AW33" i="53"/>
  <c r="O33" i="53"/>
  <c r="CH32" i="53"/>
  <c r="AZ32" i="53"/>
  <c r="R32" i="53"/>
  <c r="CK31" i="53"/>
  <c r="BD31" i="53"/>
  <c r="U31" i="53"/>
  <c r="CO30" i="53"/>
  <c r="BG30" i="53"/>
  <c r="X30" i="53"/>
  <c r="BJ29" i="53"/>
  <c r="AB29" i="53"/>
  <c r="CV28" i="53"/>
  <c r="CU28" i="53" s="1"/>
  <c r="BO28" i="53"/>
  <c r="AG28" i="53"/>
  <c r="DB27" i="53"/>
  <c r="BT27" i="53"/>
  <c r="AM27" i="53"/>
  <c r="F27" i="53"/>
  <c r="BW26" i="53"/>
  <c r="AQ26" i="53"/>
  <c r="I26" i="53"/>
  <c r="CA25" i="53"/>
  <c r="BZ25" i="53" s="1"/>
  <c r="AT25" i="53"/>
  <c r="M25" i="53"/>
  <c r="CF24" i="53"/>
  <c r="AY24" i="53"/>
  <c r="Q24" i="53"/>
  <c r="CJ23" i="53"/>
  <c r="BC23" i="53"/>
  <c r="T23" i="53"/>
  <c r="CN22" i="53"/>
  <c r="BF22" i="53"/>
  <c r="X22" i="53"/>
  <c r="CR19" i="53"/>
  <c r="BJ19" i="53"/>
  <c r="AB19" i="53"/>
  <c r="CV18" i="53"/>
  <c r="CU18" i="53" s="1"/>
  <c r="BN18" i="53"/>
  <c r="AE18" i="53"/>
  <c r="CZ17" i="53"/>
  <c r="BQ17" i="53"/>
  <c r="CF212" i="53"/>
  <c r="BO188" i="53"/>
  <c r="AM175" i="53"/>
  <c r="CS167" i="53"/>
  <c r="N159" i="53"/>
  <c r="BT153" i="53"/>
  <c r="S148" i="53"/>
  <c r="X145" i="53"/>
  <c r="CA139" i="53"/>
  <c r="BZ139" i="53" s="1"/>
  <c r="CY136" i="53"/>
  <c r="BB134" i="53"/>
  <c r="AD130" i="53"/>
  <c r="BM127" i="53"/>
  <c r="BD125" i="53"/>
  <c r="AK123" i="53"/>
  <c r="AJ123" i="53" s="1"/>
  <c r="CH121" i="53"/>
  <c r="AX120" i="53"/>
  <c r="CR118" i="53"/>
  <c r="BF115" i="53"/>
  <c r="AB114" i="53"/>
  <c r="BS112" i="53"/>
  <c r="AM111" i="53"/>
  <c r="L110" i="53"/>
  <c r="BV108" i="53"/>
  <c r="BX107" i="53"/>
  <c r="CC106" i="53"/>
  <c r="CB106" i="53" s="1"/>
  <c r="BO105" i="53"/>
  <c r="BQ103" i="53"/>
  <c r="BW102" i="53"/>
  <c r="BN101" i="53"/>
  <c r="BU98" i="53"/>
  <c r="CE97" i="53"/>
  <c r="CV94" i="53"/>
  <c r="CU94" i="53" s="1"/>
  <c r="AN94" i="53"/>
  <c r="BX93" i="53"/>
  <c r="O93" i="53"/>
  <c r="BP92" i="53"/>
  <c r="AQ91" i="53"/>
  <c r="BQ90" i="53"/>
  <c r="Q90" i="53"/>
  <c r="BJ89" i="53"/>
  <c r="CY88" i="53"/>
  <c r="AS88" i="53"/>
  <c r="CG87" i="53"/>
  <c r="Z87" i="53"/>
  <c r="CA73" i="53"/>
  <c r="BZ73" i="53" s="1"/>
  <c r="D73" i="53"/>
  <c r="BC72" i="53"/>
  <c r="CK70" i="53"/>
  <c r="AD70" i="53"/>
  <c r="CE69" i="53"/>
  <c r="X69" i="53"/>
  <c r="CG68" i="53"/>
  <c r="AE68" i="53"/>
  <c r="CP67" i="53"/>
  <c r="AY67" i="53"/>
  <c r="CZ66" i="53"/>
  <c r="BH66" i="53"/>
  <c r="I66" i="53"/>
  <c r="BP65" i="53"/>
  <c r="X65" i="53"/>
  <c r="CA63" i="53"/>
  <c r="BZ63" i="53" s="1"/>
  <c r="AG63" i="53"/>
  <c r="CK62" i="53"/>
  <c r="AS62" i="53"/>
  <c r="DB60" i="53"/>
  <c r="BC60" i="53"/>
  <c r="K60" i="53"/>
  <c r="BK59" i="53"/>
  <c r="T59" i="53"/>
  <c r="CE58" i="53"/>
  <c r="AC58" i="53"/>
  <c r="AM57" i="53"/>
  <c r="CV56" i="53"/>
  <c r="CU56" i="53" s="1"/>
  <c r="BE56" i="53"/>
  <c r="G56" i="53"/>
  <c r="BO55" i="53"/>
  <c r="P55" i="53"/>
  <c r="BW54" i="53"/>
  <c r="AE54" i="53"/>
  <c r="CH53" i="53"/>
  <c r="AO53" i="53"/>
  <c r="CS52" i="53"/>
  <c r="BD52" i="53"/>
  <c r="O52" i="53"/>
  <c r="BS50" i="53"/>
  <c r="AB50" i="53"/>
  <c r="CN47" i="53"/>
  <c r="AO47" i="53"/>
  <c r="CZ46" i="53"/>
  <c r="BI46" i="53"/>
  <c r="L46" i="53"/>
  <c r="BU45" i="53"/>
  <c r="AD45" i="53"/>
  <c r="CH44" i="53"/>
  <c r="AR44" i="53"/>
  <c r="DB43" i="53"/>
  <c r="BN43" i="53"/>
  <c r="T43" i="53"/>
  <c r="CI42" i="53"/>
  <c r="AY42" i="53"/>
  <c r="Q42" i="53"/>
  <c r="CJ41" i="53"/>
  <c r="BC41" i="53"/>
  <c r="T41" i="53"/>
  <c r="CN40" i="53"/>
  <c r="BF40" i="53"/>
  <c r="W40" i="53"/>
  <c r="CQ39" i="53"/>
  <c r="BJ39" i="53"/>
  <c r="AB39" i="53"/>
  <c r="CV38" i="53"/>
  <c r="CU38" i="53" s="1"/>
  <c r="BO38" i="53"/>
  <c r="AF38" i="53"/>
  <c r="DA37" i="53"/>
  <c r="BT37" i="53"/>
  <c r="AM37" i="53"/>
  <c r="F37" i="53"/>
  <c r="BX36" i="53"/>
  <c r="AR36" i="53"/>
  <c r="CC33" i="53"/>
  <c r="CB33" i="53" s="1"/>
  <c r="AV33" i="53"/>
  <c r="N33" i="53"/>
  <c r="CG32" i="53"/>
  <c r="AY32" i="53"/>
  <c r="Q32" i="53"/>
  <c r="CJ31" i="53"/>
  <c r="BC31" i="53"/>
  <c r="T31" i="53"/>
  <c r="CN30" i="53"/>
  <c r="BF30" i="53"/>
  <c r="W30" i="53"/>
  <c r="CQ29" i="53"/>
  <c r="BI29" i="53"/>
  <c r="AA29" i="53"/>
  <c r="BN28" i="53"/>
  <c r="AF28" i="53"/>
  <c r="DA27" i="53"/>
  <c r="BS27" i="53"/>
  <c r="AK27" i="53"/>
  <c r="AJ27" i="53" s="1"/>
  <c r="E27" i="53"/>
  <c r="BV26" i="53"/>
  <c r="AO26" i="53"/>
  <c r="H26" i="53"/>
  <c r="BY25" i="53"/>
  <c r="AS25" i="53"/>
  <c r="L25" i="53"/>
  <c r="CE24" i="53"/>
  <c r="AX24" i="53"/>
  <c r="P24" i="53"/>
  <c r="CI23" i="53"/>
  <c r="BB23" i="53"/>
  <c r="S23" i="53"/>
  <c r="CM22" i="53"/>
  <c r="BE22" i="53"/>
  <c r="W22" i="53"/>
  <c r="CQ19" i="53"/>
  <c r="BI19" i="53"/>
  <c r="AA19" i="53"/>
  <c r="CT18" i="53"/>
  <c r="BM18" i="53"/>
  <c r="AD18" i="53"/>
  <c r="CY17" i="53"/>
  <c r="BP17" i="53"/>
  <c r="AI17" i="53"/>
  <c r="AH17" i="53" s="1"/>
  <c r="P212" i="53"/>
  <c r="BI188" i="53"/>
  <c r="AG175" i="53"/>
  <c r="M159" i="53"/>
  <c r="BQ153" i="53"/>
  <c r="P148" i="53"/>
  <c r="W145" i="53"/>
  <c r="BX139" i="53"/>
  <c r="CT136" i="53"/>
  <c r="AC130" i="53"/>
  <c r="BI127" i="53"/>
  <c r="BC125" i="53"/>
  <c r="AG123" i="53"/>
  <c r="CG121" i="53"/>
  <c r="AW120" i="53"/>
  <c r="CQ118" i="53"/>
  <c r="BE115" i="53"/>
  <c r="AA114" i="53"/>
  <c r="BQ112" i="53"/>
  <c r="AK111" i="53"/>
  <c r="AJ111" i="53" s="1"/>
  <c r="BU108" i="53"/>
  <c r="BW107" i="53"/>
  <c r="CA106" i="53"/>
  <c r="BZ106" i="53" s="1"/>
  <c r="BN105" i="53"/>
  <c r="BP103" i="53"/>
  <c r="BV102" i="53"/>
  <c r="BM101" i="53"/>
  <c r="BS98" i="53"/>
  <c r="CC97" i="53"/>
  <c r="CB97" i="53" s="1"/>
  <c r="AM94" i="53"/>
  <c r="BW93" i="53"/>
  <c r="N93" i="53"/>
  <c r="BO92" i="53"/>
  <c r="CQ91" i="53"/>
  <c r="AO91" i="53"/>
  <c r="BP90" i="53"/>
  <c r="P90" i="53"/>
  <c r="BI89" i="53"/>
  <c r="CX88" i="53"/>
  <c r="AR88" i="53"/>
  <c r="CF87" i="53"/>
  <c r="X87" i="53"/>
  <c r="BQ73" i="53"/>
  <c r="DB72" i="53"/>
  <c r="BB72" i="53"/>
  <c r="CJ70" i="53"/>
  <c r="AC70" i="53"/>
  <c r="CC69" i="53"/>
  <c r="CB69" i="53" s="1"/>
  <c r="W69" i="53"/>
  <c r="CF68" i="53"/>
  <c r="AD68" i="53"/>
  <c r="CO67" i="53"/>
  <c r="AX67" i="53"/>
  <c r="CY66" i="53"/>
  <c r="BG66" i="53"/>
  <c r="H66" i="53"/>
  <c r="BO65" i="53"/>
  <c r="W65" i="53"/>
  <c r="BY63" i="53"/>
  <c r="AF63" i="53"/>
  <c r="CJ62" i="53"/>
  <c r="AR62" i="53"/>
  <c r="DA60" i="53"/>
  <c r="BB60" i="53"/>
  <c r="I60" i="53"/>
  <c r="BJ59" i="53"/>
  <c r="S59" i="53"/>
  <c r="CC58" i="53"/>
  <c r="CB58" i="53" s="1"/>
  <c r="AB58" i="53"/>
  <c r="CK57" i="53"/>
  <c r="CT56" i="53"/>
  <c r="BD56" i="53"/>
  <c r="F56" i="53"/>
  <c r="BN55" i="53"/>
  <c r="O55" i="53"/>
  <c r="BV54" i="53"/>
  <c r="AD54" i="53"/>
  <c r="CG53" i="53"/>
  <c r="AN53" i="53"/>
  <c r="BC52" i="53"/>
  <c r="N52" i="53"/>
  <c r="BQ50" i="53"/>
  <c r="AA50" i="53"/>
  <c r="CM47" i="53"/>
  <c r="AN47" i="53"/>
  <c r="CY46" i="53"/>
  <c r="BH46" i="53"/>
  <c r="K46" i="53"/>
  <c r="BT45" i="53"/>
  <c r="AC45" i="53"/>
  <c r="CG44" i="53"/>
  <c r="AQ44" i="53"/>
  <c r="DA43" i="53"/>
  <c r="BI43" i="53"/>
  <c r="S43" i="53"/>
  <c r="CH42" i="53"/>
  <c r="AX42" i="53"/>
  <c r="P42" i="53"/>
  <c r="CI41" i="53"/>
  <c r="BB41" i="53"/>
  <c r="S41" i="53"/>
  <c r="BE40" i="53"/>
  <c r="CP39" i="53"/>
  <c r="BI39" i="53"/>
  <c r="AA39" i="53"/>
  <c r="CT38" i="53"/>
  <c r="BN38" i="53"/>
  <c r="AE38" i="53"/>
  <c r="CZ37" i="53"/>
  <c r="BS37" i="53"/>
  <c r="AK37" i="53"/>
  <c r="AJ37" i="53" s="1"/>
  <c r="E37" i="53"/>
  <c r="BW36" i="53"/>
  <c r="AQ36" i="53"/>
  <c r="I36" i="53"/>
  <c r="CA33" i="53"/>
  <c r="BZ33" i="53" s="1"/>
  <c r="AT33" i="53"/>
  <c r="M33" i="53"/>
  <c r="CF32" i="53"/>
  <c r="AX32" i="53"/>
  <c r="P32" i="53"/>
  <c r="CI31" i="53"/>
  <c r="BB31" i="53"/>
  <c r="S31" i="53"/>
  <c r="BE30" i="53"/>
  <c r="CP29" i="53"/>
  <c r="BH29" i="53"/>
  <c r="Z29" i="53"/>
  <c r="CT28" i="53"/>
  <c r="BM28" i="53"/>
  <c r="AE28" i="53"/>
  <c r="CZ27" i="53"/>
  <c r="BQ27" i="53"/>
  <c r="AI27" i="53"/>
  <c r="AH27" i="53" s="1"/>
  <c r="D27" i="53"/>
  <c r="BU26" i="53"/>
  <c r="AN26" i="53"/>
  <c r="G26" i="53"/>
  <c r="BX25" i="53"/>
  <c r="AR25" i="53"/>
  <c r="K25" i="53"/>
  <c r="CC24" i="53"/>
  <c r="CB24" i="53" s="1"/>
  <c r="AW24" i="53"/>
  <c r="O24" i="53"/>
  <c r="CH23" i="53"/>
  <c r="AZ23" i="53"/>
  <c r="R23" i="53"/>
  <c r="CK22" i="53"/>
  <c r="BD22" i="53"/>
  <c r="V22" i="53"/>
  <c r="CP19" i="53"/>
  <c r="BH19" i="53"/>
  <c r="Z19" i="53"/>
  <c r="CS18" i="53"/>
  <c r="BK18" i="53"/>
  <c r="AC18" i="53"/>
  <c r="CX17" i="53"/>
  <c r="BO17" i="53"/>
  <c r="AG17" i="53"/>
  <c r="DB16" i="53"/>
  <c r="F212" i="53"/>
  <c r="DA187" i="53"/>
  <c r="AQ174" i="53"/>
  <c r="BQ167" i="53"/>
  <c r="AR153" i="53"/>
  <c r="O148" i="53"/>
  <c r="V145" i="53"/>
  <c r="BV139" i="53"/>
  <c r="CQ136" i="53"/>
  <c r="AZ134" i="53"/>
  <c r="W130" i="53"/>
  <c r="BG127" i="53"/>
  <c r="BB125" i="53"/>
  <c r="AE123" i="53"/>
  <c r="CF121" i="53"/>
  <c r="AV120" i="53"/>
  <c r="CN118" i="53"/>
  <c r="BD115" i="53"/>
  <c r="Z114" i="53"/>
  <c r="BO112" i="53"/>
  <c r="AI111" i="53"/>
  <c r="AH111" i="53" s="1"/>
  <c r="I110" i="53"/>
  <c r="BQ108" i="53"/>
  <c r="BV107" i="53"/>
  <c r="BK105" i="53"/>
  <c r="BO103" i="53"/>
  <c r="BU102" i="53"/>
  <c r="BC101" i="53"/>
  <c r="BI98" i="53"/>
  <c r="CA97" i="53"/>
  <c r="BZ97" i="53" s="1"/>
  <c r="CT94" i="53"/>
  <c r="AK94" i="53"/>
  <c r="AJ94" i="53" s="1"/>
  <c r="BV93" i="53"/>
  <c r="M93" i="53"/>
  <c r="BN92" i="53"/>
  <c r="CP91" i="53"/>
  <c r="AN91" i="53"/>
  <c r="BO90" i="53"/>
  <c r="O90" i="53"/>
  <c r="BH89" i="53"/>
  <c r="CV88" i="53"/>
  <c r="CU88" i="53" s="1"/>
  <c r="AQ88" i="53"/>
  <c r="CE87" i="53"/>
  <c r="W87" i="53"/>
  <c r="BP73" i="53"/>
  <c r="DA72" i="53"/>
  <c r="AZ72" i="53"/>
  <c r="CI70" i="53"/>
  <c r="AB70" i="53"/>
  <c r="CA69" i="53"/>
  <c r="BZ69" i="53" s="1"/>
  <c r="V69" i="53"/>
  <c r="CE68" i="53"/>
  <c r="AC68" i="53"/>
  <c r="CN67" i="53"/>
  <c r="AW67" i="53"/>
  <c r="CX66" i="53"/>
  <c r="BF66" i="53"/>
  <c r="G66" i="53"/>
  <c r="BN65" i="53"/>
  <c r="BX63" i="53"/>
  <c r="AE63" i="53"/>
  <c r="CI62" i="53"/>
  <c r="AQ62" i="53"/>
  <c r="CZ60" i="53"/>
  <c r="AZ60" i="53"/>
  <c r="H60" i="53"/>
  <c r="BI59" i="53"/>
  <c r="R59" i="53"/>
  <c r="CA58" i="53"/>
  <c r="BZ58" i="53" s="1"/>
  <c r="AA58" i="53"/>
  <c r="CJ57" i="53"/>
  <c r="AK57" i="53"/>
  <c r="AJ57" i="53" s="1"/>
  <c r="CS56" i="53"/>
  <c r="BC56" i="53"/>
  <c r="E56" i="53"/>
  <c r="BM55" i="53"/>
  <c r="N55" i="53"/>
  <c r="BF206" i="53"/>
  <c r="BV184" i="53"/>
  <c r="AI174" i="53"/>
  <c r="AH174" i="53" s="1"/>
  <c r="BO167" i="53"/>
  <c r="CS157" i="53"/>
  <c r="AO153" i="53"/>
  <c r="M148" i="53"/>
  <c r="BM144" i="53"/>
  <c r="BS139" i="53"/>
  <c r="CO136" i="53"/>
  <c r="CK133" i="53"/>
  <c r="S130" i="53"/>
  <c r="BF127" i="53"/>
  <c r="CK124" i="53"/>
  <c r="N123" i="53"/>
  <c r="CE121" i="53"/>
  <c r="U120" i="53"/>
  <c r="CK118" i="53"/>
  <c r="AK115" i="53"/>
  <c r="AJ115" i="53" s="1"/>
  <c r="CR113" i="53"/>
  <c r="BM112" i="53"/>
  <c r="AA111" i="53"/>
  <c r="BW109" i="53"/>
  <c r="BO108" i="53"/>
  <c r="BU107" i="53"/>
  <c r="BE106" i="53"/>
  <c r="BI105" i="53"/>
  <c r="BN103" i="53"/>
  <c r="AW102" i="53"/>
  <c r="AZ101" i="53"/>
  <c r="BH98" i="53"/>
  <c r="BY97" i="53"/>
  <c r="CS94" i="53"/>
  <c r="AI94" i="53"/>
  <c r="AH94" i="53" s="1"/>
  <c r="BU93" i="53"/>
  <c r="L93" i="53"/>
  <c r="AW92" i="53"/>
  <c r="CO91" i="53"/>
  <c r="AD91" i="53"/>
  <c r="BN90" i="53"/>
  <c r="F90" i="53"/>
  <c r="AR89" i="53"/>
  <c r="AO88" i="53"/>
  <c r="CC87" i="53"/>
  <c r="V87" i="53"/>
  <c r="BG73" i="53"/>
  <c r="CZ72" i="53"/>
  <c r="AY72" i="53"/>
  <c r="CH70" i="53"/>
  <c r="AA70" i="53"/>
  <c r="BQ69" i="53"/>
  <c r="T69" i="53"/>
  <c r="CC68" i="53"/>
  <c r="CB68" i="53" s="1"/>
  <c r="AB68" i="53"/>
  <c r="AM67" i="53"/>
  <c r="CV66" i="53"/>
  <c r="CU66" i="53" s="1"/>
  <c r="BE66" i="53"/>
  <c r="F66" i="53"/>
  <c r="BM65" i="53"/>
  <c r="N65" i="53"/>
  <c r="BW63" i="53"/>
  <c r="AD63" i="53"/>
  <c r="CH62" i="53"/>
  <c r="AO62" i="53"/>
  <c r="CP60" i="53"/>
  <c r="AY60" i="53"/>
  <c r="G60" i="53"/>
  <c r="BH59" i="53"/>
  <c r="Q59" i="53"/>
  <c r="BQ58" i="53"/>
  <c r="Z58" i="53"/>
  <c r="CI57" i="53"/>
  <c r="AI57" i="53"/>
  <c r="AH57" i="53" s="1"/>
  <c r="AS56" i="53"/>
  <c r="AB206" i="53"/>
  <c r="BQ184" i="53"/>
  <c r="O174" i="53"/>
  <c r="AT167" i="53"/>
  <c r="CP157" i="53"/>
  <c r="AC153" i="53"/>
  <c r="L148" i="53"/>
  <c r="BK144" i="53"/>
  <c r="BP139" i="53"/>
  <c r="CN136" i="53"/>
  <c r="BK133" i="53"/>
  <c r="Q130" i="53"/>
  <c r="BE127" i="53"/>
  <c r="CJ124" i="53"/>
  <c r="CA121" i="53"/>
  <c r="BZ121" i="53" s="1"/>
  <c r="T120" i="53"/>
  <c r="BS118" i="53"/>
  <c r="AI115" i="53"/>
  <c r="AH115" i="53" s="1"/>
  <c r="CQ113" i="53"/>
  <c r="BC112" i="53"/>
  <c r="Z111" i="53"/>
  <c r="BT109" i="53"/>
  <c r="BM108" i="53"/>
  <c r="BT107" i="53"/>
  <c r="BD106" i="53"/>
  <c r="BF105" i="53"/>
  <c r="BK103" i="53"/>
  <c r="AV102" i="53"/>
  <c r="AY101" i="53"/>
  <c r="BG98" i="53"/>
  <c r="BX97" i="53"/>
  <c r="AG94" i="53"/>
  <c r="BT93" i="53"/>
  <c r="K93" i="53"/>
  <c r="AV92" i="53"/>
  <c r="AC91" i="53"/>
  <c r="BM90" i="53"/>
  <c r="E90" i="53"/>
  <c r="AQ89" i="53"/>
  <c r="CS88" i="53"/>
  <c r="AN88" i="53"/>
  <c r="CA87" i="53"/>
  <c r="U87" i="53"/>
  <c r="BF73" i="53"/>
  <c r="CX72" i="53"/>
  <c r="AX72" i="53"/>
  <c r="CA70" i="53"/>
  <c r="BZ70" i="53" s="1"/>
  <c r="Z70" i="53"/>
  <c r="BP69" i="53"/>
  <c r="R69" i="53"/>
  <c r="CA68" i="53"/>
  <c r="BZ68" i="53" s="1"/>
  <c r="AA68" i="53"/>
  <c r="CK67" i="53"/>
  <c r="AK67" i="53"/>
  <c r="AJ67" i="53" s="1"/>
  <c r="CT66" i="53"/>
  <c r="BD66" i="53"/>
  <c r="E66" i="53"/>
  <c r="BK65" i="53"/>
  <c r="M65" i="53"/>
  <c r="BU63" i="53"/>
  <c r="AC63" i="53"/>
  <c r="CG62" i="53"/>
  <c r="AN62" i="53"/>
  <c r="CO60" i="53"/>
  <c r="AW60" i="53"/>
  <c r="F60" i="53"/>
  <c r="BG59" i="53"/>
  <c r="P59" i="53"/>
  <c r="BP58" i="53"/>
  <c r="W58" i="53"/>
  <c r="CH57" i="53"/>
  <c r="E206" i="53"/>
  <c r="BO184" i="53"/>
  <c r="L174" i="53"/>
  <c r="AS167" i="53"/>
  <c r="CO157" i="53"/>
  <c r="Z153" i="53"/>
  <c r="BB144" i="53"/>
  <c r="BO139" i="53"/>
  <c r="CM136" i="53"/>
  <c r="BJ133" i="53"/>
  <c r="H130" i="53"/>
  <c r="BD127" i="53"/>
  <c r="CI124" i="53"/>
  <c r="I123" i="53"/>
  <c r="BY121" i="53"/>
  <c r="S120" i="53"/>
  <c r="BQ118" i="53"/>
  <c r="AG115" i="53"/>
  <c r="CP113" i="53"/>
  <c r="BB112" i="53"/>
  <c r="X111" i="53"/>
  <c r="BS109" i="53"/>
  <c r="BK108" i="53"/>
  <c r="BS107" i="53"/>
  <c r="BC106" i="53"/>
  <c r="BE105" i="53"/>
  <c r="BJ103" i="53"/>
  <c r="AT102" i="53"/>
  <c r="AX101" i="53"/>
  <c r="BF98" i="53"/>
  <c r="BW97" i="53"/>
  <c r="CO94" i="53"/>
  <c r="AF94" i="53"/>
  <c r="BQ93" i="53"/>
  <c r="I93" i="53"/>
  <c r="AS92" i="53"/>
  <c r="CK91" i="53"/>
  <c r="AB91" i="53"/>
  <c r="BK90" i="53"/>
  <c r="D90" i="53"/>
  <c r="AO89" i="53"/>
  <c r="AM88" i="53"/>
  <c r="T87" i="53"/>
  <c r="BE73" i="53"/>
  <c r="CV72" i="53"/>
  <c r="CU72" i="53" s="1"/>
  <c r="AN72" i="53"/>
  <c r="BX70" i="53"/>
  <c r="X70" i="53"/>
  <c r="BO69" i="53"/>
  <c r="Q69" i="53"/>
  <c r="BY68" i="53"/>
  <c r="Z68" i="53"/>
  <c r="CJ67" i="53"/>
  <c r="AI67" i="53"/>
  <c r="AH67" i="53" s="1"/>
  <c r="CS66" i="53"/>
  <c r="BC66" i="53"/>
  <c r="D66" i="53"/>
  <c r="BJ65" i="53"/>
  <c r="L65" i="53"/>
  <c r="BT63" i="53"/>
  <c r="AB63" i="53"/>
  <c r="CF62" i="53"/>
  <c r="AM62" i="53"/>
  <c r="CN60" i="53"/>
  <c r="AV60" i="53"/>
  <c r="E60" i="53"/>
  <c r="BF59" i="53"/>
  <c r="O59" i="53"/>
  <c r="BO58" i="53"/>
  <c r="CG57" i="53"/>
  <c r="AF57" i="53"/>
  <c r="CV205" i="53"/>
  <c r="CU205" i="53" s="1"/>
  <c r="AW184" i="53"/>
  <c r="K174" i="53"/>
  <c r="AR167" i="53"/>
  <c r="CK157" i="53"/>
  <c r="X153" i="53"/>
  <c r="I148" i="53"/>
  <c r="Z144" i="53"/>
  <c r="AY139" i="53"/>
  <c r="CK136" i="53"/>
  <c r="DC136" i="53" s="1"/>
  <c r="BG133" i="53"/>
  <c r="CJ129" i="53"/>
  <c r="BC127" i="53"/>
  <c r="CF124" i="53"/>
  <c r="G123" i="53"/>
  <c r="BX121" i="53"/>
  <c r="H120" i="53"/>
  <c r="BP118" i="53"/>
  <c r="AF115" i="53"/>
  <c r="CF113" i="53"/>
  <c r="AZ112" i="53"/>
  <c r="W111" i="53"/>
  <c r="BP109" i="53"/>
  <c r="BJ108" i="53"/>
  <c r="BQ107" i="53"/>
  <c r="AY106" i="53"/>
  <c r="BD105" i="53"/>
  <c r="BI103" i="53"/>
  <c r="AR102" i="53"/>
  <c r="AW101" i="53"/>
  <c r="BE98" i="53"/>
  <c r="BN97" i="53"/>
  <c r="CN94" i="53"/>
  <c r="AE94" i="53"/>
  <c r="BP93" i="53"/>
  <c r="H93" i="53"/>
  <c r="AR92" i="53"/>
  <c r="CJ91" i="53"/>
  <c r="AA91" i="53"/>
  <c r="BJ90" i="53"/>
  <c r="AN89" i="53"/>
  <c r="CI88" i="53"/>
  <c r="BY87" i="53"/>
  <c r="S87" i="53"/>
  <c r="BD73" i="53"/>
  <c r="CT72" i="53"/>
  <c r="AM72" i="53"/>
  <c r="BW70" i="53"/>
  <c r="W70" i="53"/>
  <c r="BN69" i="53"/>
  <c r="P69" i="53"/>
  <c r="BX68" i="53"/>
  <c r="X68" i="53"/>
  <c r="CI67" i="53"/>
  <c r="AG67" i="53"/>
  <c r="CR66" i="53"/>
  <c r="BB66" i="53"/>
  <c r="DB65" i="53"/>
  <c r="BI65" i="53"/>
  <c r="BS63" i="53"/>
  <c r="AA63" i="53"/>
  <c r="CE62" i="53"/>
  <c r="AK62" i="53"/>
  <c r="AJ62" i="53" s="1"/>
  <c r="CM60" i="53"/>
  <c r="AT60" i="53"/>
  <c r="D60" i="53"/>
  <c r="BE59" i="53"/>
  <c r="N59" i="53"/>
  <c r="BN58" i="53"/>
  <c r="U58" i="53"/>
  <c r="CF57" i="53"/>
  <c r="AE57" i="53"/>
  <c r="CO56" i="53"/>
  <c r="AO56" i="53"/>
  <c r="CY55" i="53"/>
  <c r="D184" i="53"/>
  <c r="I174" i="53"/>
  <c r="R166" i="53"/>
  <c r="CI157" i="53"/>
  <c r="CH152" i="53"/>
  <c r="S147" i="53"/>
  <c r="V144" i="53"/>
  <c r="AE139" i="53"/>
  <c r="U136" i="53"/>
  <c r="AN133" i="53"/>
  <c r="CI129" i="53"/>
  <c r="CQ126" i="53"/>
  <c r="BU124" i="53"/>
  <c r="F123" i="53"/>
  <c r="AO121" i="53"/>
  <c r="F120" i="53"/>
  <c r="BO118" i="53"/>
  <c r="H115" i="53"/>
  <c r="CC113" i="53"/>
  <c r="CB113" i="53" s="1"/>
  <c r="AQ112" i="53"/>
  <c r="CQ110" i="53"/>
  <c r="BN109" i="53"/>
  <c r="BI108" i="53"/>
  <c r="AR107" i="53"/>
  <c r="AW106" i="53"/>
  <c r="BC105" i="53"/>
  <c r="AK103" i="53"/>
  <c r="AJ103" i="53" s="1"/>
  <c r="AO102" i="53"/>
  <c r="AV101" i="53"/>
  <c r="BD98" i="53"/>
  <c r="BM97" i="53"/>
  <c r="U94" i="53"/>
  <c r="BO93" i="53"/>
  <c r="G93" i="53"/>
  <c r="AQ92" i="53"/>
  <c r="CI91" i="53"/>
  <c r="Q91" i="53"/>
  <c r="BI90" i="53"/>
  <c r="DB89" i="53"/>
  <c r="AM89" i="53"/>
  <c r="CH88" i="53"/>
  <c r="U88" i="53"/>
  <c r="BX87" i="53"/>
  <c r="R87" i="53"/>
  <c r="BC73" i="53"/>
  <c r="CS72" i="53"/>
  <c r="AB72" i="53"/>
  <c r="BV70" i="53"/>
  <c r="BM69" i="53"/>
  <c r="O69" i="53"/>
  <c r="BO68" i="53"/>
  <c r="W68" i="53"/>
  <c r="CH67" i="53"/>
  <c r="AF67" i="53"/>
  <c r="CQ66" i="53"/>
  <c r="AR66" i="53"/>
  <c r="DA65" i="53"/>
  <c r="BH65" i="53"/>
  <c r="I65" i="53"/>
  <c r="BQ63" i="53"/>
  <c r="R63" i="53"/>
  <c r="CC62" i="53"/>
  <c r="CB62" i="53" s="1"/>
  <c r="AI62" i="53"/>
  <c r="AH62" i="53" s="1"/>
  <c r="CK60" i="53"/>
  <c r="AS60" i="53"/>
  <c r="CS59" i="53"/>
  <c r="BD59" i="53"/>
  <c r="M59" i="53"/>
  <c r="BM58" i="53"/>
  <c r="T58" i="53"/>
  <c r="BU57" i="53"/>
  <c r="AD57" i="53"/>
  <c r="CN56" i="53"/>
  <c r="AN56" i="53"/>
  <c r="CX55" i="53"/>
  <c r="AO199" i="53"/>
  <c r="CY182" i="53"/>
  <c r="CH171" i="53"/>
  <c r="N165" i="53"/>
  <c r="M157" i="53"/>
  <c r="BM151" i="53"/>
  <c r="CZ146" i="53"/>
  <c r="CZ143" i="53"/>
  <c r="BK138" i="53"/>
  <c r="CI135" i="53"/>
  <c r="AF133" i="53"/>
  <c r="O129" i="53"/>
  <c r="BG126" i="53"/>
  <c r="BO124" i="53"/>
  <c r="BS122" i="53"/>
  <c r="AF121" i="53"/>
  <c r="CQ119" i="53"/>
  <c r="Z118" i="53"/>
  <c r="CR114" i="53"/>
  <c r="BN113" i="53"/>
  <c r="M112" i="53"/>
  <c r="CJ110" i="53"/>
  <c r="AF108" i="53"/>
  <c r="AI107" i="53"/>
  <c r="AH107" i="53" s="1"/>
  <c r="AQ106" i="53"/>
  <c r="W105" i="53"/>
  <c r="AB103" i="53"/>
  <c r="AG102" i="53"/>
  <c r="AO101" i="53"/>
  <c r="X98" i="53"/>
  <c r="AS97" i="53"/>
  <c r="CH94" i="53"/>
  <c r="Q94" i="53"/>
  <c r="BI93" i="53"/>
  <c r="CS92" i="53"/>
  <c r="AM92" i="53"/>
  <c r="CC91" i="53"/>
  <c r="CB91" i="53" s="1"/>
  <c r="M91" i="53"/>
  <c r="BC90" i="53"/>
  <c r="CN89" i="53"/>
  <c r="AG89" i="53"/>
  <c r="CC88" i="53"/>
  <c r="CB88" i="53" s="1"/>
  <c r="Q88" i="53"/>
  <c r="BJ87" i="53"/>
  <c r="CX73" i="53"/>
  <c r="AX73" i="53"/>
  <c r="CO72" i="53"/>
  <c r="W72" i="53"/>
  <c r="BP70" i="53"/>
  <c r="E70" i="53"/>
  <c r="BH69" i="53"/>
  <c r="K69" i="53"/>
  <c r="BJ68" i="53"/>
  <c r="R68" i="53"/>
  <c r="BT67" i="53"/>
  <c r="AB67" i="53"/>
  <c r="CM66" i="53"/>
  <c r="AM66" i="53"/>
  <c r="CT65" i="53"/>
  <c r="AV65" i="53"/>
  <c r="E65" i="53"/>
  <c r="BM63" i="53"/>
  <c r="N63" i="53"/>
  <c r="BV62" i="53"/>
  <c r="V62" i="53"/>
  <c r="CG60" i="53"/>
  <c r="AN60" i="53"/>
  <c r="CO59" i="53"/>
  <c r="AY59" i="53"/>
  <c r="CZ58" i="53"/>
  <c r="BH58" i="53"/>
  <c r="P58" i="53"/>
  <c r="BP57" i="53"/>
  <c r="X57" i="53"/>
  <c r="BY56" i="53"/>
  <c r="AT55" i="53"/>
  <c r="DB54" i="53"/>
  <c r="BC54" i="53"/>
  <c r="L54" i="53"/>
  <c r="BS53" i="53"/>
  <c r="T53" i="53"/>
  <c r="CG52" i="53"/>
  <c r="AQ52" i="53"/>
  <c r="CT50" i="53"/>
  <c r="BF50" i="53"/>
  <c r="P50" i="53"/>
  <c r="BQ47" i="53"/>
  <c r="AA47" i="53"/>
  <c r="CM46" i="53"/>
  <c r="AN46" i="53"/>
  <c r="CY45" i="53"/>
  <c r="BH45" i="53"/>
  <c r="K45" i="53"/>
  <c r="BT44" i="53"/>
  <c r="AC44" i="53"/>
  <c r="CI43" i="53"/>
  <c r="AV43" i="53"/>
  <c r="H43" i="53"/>
  <c r="BU42" i="53"/>
  <c r="AK42" i="53"/>
  <c r="AJ42" i="53" s="1"/>
  <c r="E42" i="53"/>
  <c r="BV41" i="53"/>
  <c r="AO41" i="53"/>
  <c r="H41" i="53"/>
  <c r="BY40" i="53"/>
  <c r="AS40" i="53"/>
  <c r="L40" i="53"/>
  <c r="CE39" i="53"/>
  <c r="AX39" i="53"/>
  <c r="P39" i="53"/>
  <c r="CI38" i="53"/>
  <c r="BC38" i="53"/>
  <c r="T38" i="53"/>
  <c r="CN37" i="53"/>
  <c r="BG37" i="53"/>
  <c r="X37" i="53"/>
  <c r="CS36" i="53"/>
  <c r="BK36" i="53"/>
  <c r="AC36" i="53"/>
  <c r="CX33" i="53"/>
  <c r="BO33" i="53"/>
  <c r="AF33" i="53"/>
  <c r="DA32" i="53"/>
  <c r="BS32" i="53"/>
  <c r="AK32" i="53"/>
  <c r="AJ32" i="53" s="1"/>
  <c r="E32" i="53"/>
  <c r="BV31" i="53"/>
  <c r="AO31" i="53"/>
  <c r="H31" i="53"/>
  <c r="BY30" i="53"/>
  <c r="AS30" i="53"/>
  <c r="L30" i="53"/>
  <c r="CE29" i="53"/>
  <c r="AW29" i="53"/>
  <c r="O29" i="53"/>
  <c r="CI28" i="53"/>
  <c r="BB28" i="53"/>
  <c r="T28" i="53"/>
  <c r="CN27" i="53"/>
  <c r="BF27" i="53"/>
  <c r="W27" i="53"/>
  <c r="CQ26" i="53"/>
  <c r="BI26" i="53"/>
  <c r="AA26" i="53"/>
  <c r="CT25" i="53"/>
  <c r="BM25" i="53"/>
  <c r="AD25" i="53"/>
  <c r="CY24" i="53"/>
  <c r="BE197" i="53"/>
  <c r="CI182" i="53"/>
  <c r="BQ171" i="53"/>
  <c r="CY163" i="53"/>
  <c r="CZ156" i="53"/>
  <c r="BJ151" i="53"/>
  <c r="CO146" i="53"/>
  <c r="CX143" i="53"/>
  <c r="BB138" i="53"/>
  <c r="CC135" i="53"/>
  <c r="CB135" i="53" s="1"/>
  <c r="AD133" i="53"/>
  <c r="M129" i="53"/>
  <c r="AZ126" i="53"/>
  <c r="BM124" i="53"/>
  <c r="BP122" i="53"/>
  <c r="T121" i="53"/>
  <c r="CN119" i="53"/>
  <c r="W118" i="53"/>
  <c r="CO114" i="53"/>
  <c r="BK113" i="53"/>
  <c r="BW110" i="53"/>
  <c r="AY109" i="53"/>
  <c r="AD108" i="53"/>
  <c r="AE107" i="53"/>
  <c r="AN106" i="53"/>
  <c r="U105" i="53"/>
  <c r="X103" i="53"/>
  <c r="AE102" i="53"/>
  <c r="P101" i="53"/>
  <c r="U98" i="53"/>
  <c r="AQ97" i="53"/>
  <c r="CF94" i="53"/>
  <c r="G94" i="53"/>
  <c r="BG93" i="53"/>
  <c r="CI92" i="53"/>
  <c r="AG92" i="53"/>
  <c r="AZ90" i="53"/>
  <c r="CK89" i="53"/>
  <c r="AD89" i="53"/>
  <c r="CA88" i="53"/>
  <c r="BZ88" i="53" s="1"/>
  <c r="O88" i="53"/>
  <c r="BH87" i="53"/>
  <c r="CT73" i="53"/>
  <c r="AT73" i="53"/>
  <c r="U72" i="53"/>
  <c r="BN70" i="53"/>
  <c r="DB69" i="53"/>
  <c r="BE69" i="53"/>
  <c r="H69" i="53"/>
  <c r="BH68" i="53"/>
  <c r="P68" i="53"/>
  <c r="BQ67" i="53"/>
  <c r="X67" i="53"/>
  <c r="CJ66" i="53"/>
  <c r="AI66" i="53"/>
  <c r="AH66" i="53" s="1"/>
  <c r="AS65" i="53"/>
  <c r="DA63" i="53"/>
  <c r="BJ63" i="53"/>
  <c r="L63" i="53"/>
  <c r="BT62" i="53"/>
  <c r="T62" i="53"/>
  <c r="CC60" i="53"/>
  <c r="CB60" i="53" s="1"/>
  <c r="AK60" i="53"/>
  <c r="AJ60" i="53" s="1"/>
  <c r="AW59" i="53"/>
  <c r="CX58" i="53"/>
  <c r="BE58" i="53"/>
  <c r="BF196" i="53"/>
  <c r="BI178" i="53"/>
  <c r="AB171" i="53"/>
  <c r="CT163" i="53"/>
  <c r="M156" i="53"/>
  <c r="BE151" i="53"/>
  <c r="BF146" i="53"/>
  <c r="E143" i="53"/>
  <c r="AW138" i="53"/>
  <c r="BT135" i="53"/>
  <c r="AS131" i="53"/>
  <c r="H129" i="53"/>
  <c r="AX126" i="53"/>
  <c r="E124" i="53"/>
  <c r="BC122" i="53"/>
  <c r="R121" i="53"/>
  <c r="BD119" i="53"/>
  <c r="S118" i="53"/>
  <c r="CM114" i="53"/>
  <c r="AA113" i="53"/>
  <c r="CP111" i="53"/>
  <c r="BM110" i="53"/>
  <c r="AA109" i="53"/>
  <c r="Z108" i="53"/>
  <c r="U107" i="53"/>
  <c r="O106" i="53"/>
  <c r="Q105" i="53"/>
  <c r="F102" i="53"/>
  <c r="L101" i="53"/>
  <c r="S98" i="53"/>
  <c r="AC97" i="53"/>
  <c r="CC94" i="53"/>
  <c r="CB94" i="53" s="1"/>
  <c r="E94" i="53"/>
  <c r="AW93" i="53"/>
  <c r="CG92" i="53"/>
  <c r="W92" i="53"/>
  <c r="BH91" i="53"/>
  <c r="H91" i="53"/>
  <c r="AX90" i="53"/>
  <c r="CI89" i="53"/>
  <c r="AB89" i="53"/>
  <c r="BQ88" i="53"/>
  <c r="M88" i="53"/>
  <c r="BF87" i="53"/>
  <c r="AG73" i="53"/>
  <c r="BS72" i="53"/>
  <c r="S72" i="53"/>
  <c r="BK70" i="53"/>
  <c r="CZ69" i="53"/>
  <c r="AX69" i="53"/>
  <c r="CX68" i="53"/>
  <c r="BF68" i="53"/>
  <c r="N68" i="53"/>
  <c r="BO67" i="53"/>
  <c r="BX66" i="53"/>
  <c r="AF66" i="53"/>
  <c r="CP65" i="53"/>
  <c r="AQ65" i="53"/>
  <c r="CY63" i="53"/>
  <c r="AZ63" i="53"/>
  <c r="I63" i="53"/>
  <c r="BQ62" i="53"/>
  <c r="R62" i="53"/>
  <c r="BY60" i="53"/>
  <c r="Z60" i="53"/>
  <c r="CJ59" i="53"/>
  <c r="AT59" i="53"/>
  <c r="BM199" i="53"/>
  <c r="BH171" i="53"/>
  <c r="AM155" i="53"/>
  <c r="D144" i="53"/>
  <c r="BY135" i="53"/>
  <c r="BV128" i="53"/>
  <c r="E123" i="53"/>
  <c r="AR114" i="53"/>
  <c r="CP110" i="53"/>
  <c r="AB108" i="53"/>
  <c r="H106" i="53"/>
  <c r="AK102" i="53"/>
  <c r="AJ102" i="53" s="1"/>
  <c r="T98" i="53"/>
  <c r="BG94" i="53"/>
  <c r="E93" i="53"/>
  <c r="BY91" i="53"/>
  <c r="AB90" i="53"/>
  <c r="CG88" i="53"/>
  <c r="BG87" i="53"/>
  <c r="AC73" i="53"/>
  <c r="BT70" i="53"/>
  <c r="AY69" i="53"/>
  <c r="AZ68" i="53"/>
  <c r="AE67" i="53"/>
  <c r="AG66" i="53"/>
  <c r="AK65" i="53"/>
  <c r="AJ65" i="53" s="1"/>
  <c r="Q63" i="53"/>
  <c r="S62" i="53"/>
  <c r="U60" i="53"/>
  <c r="L59" i="53"/>
  <c r="Q58" i="53"/>
  <c r="AA57" i="53"/>
  <c r="BK56" i="53"/>
  <c r="CC55" i="53"/>
  <c r="CB55" i="53" s="1"/>
  <c r="I55" i="53"/>
  <c r="AX54" i="53"/>
  <c r="CF53" i="53"/>
  <c r="U53" i="53"/>
  <c r="BV52" i="53"/>
  <c r="H52" i="53"/>
  <c r="BB50" i="53"/>
  <c r="CK47" i="53"/>
  <c r="AB47" i="53"/>
  <c r="BT46" i="53"/>
  <c r="E46" i="53"/>
  <c r="AV45" i="53"/>
  <c r="CF44" i="53"/>
  <c r="AD44" i="53"/>
  <c r="BX43" i="53"/>
  <c r="N43" i="53"/>
  <c r="BO42" i="53"/>
  <c r="O42" i="53"/>
  <c r="BW41" i="53"/>
  <c r="AD41" i="53"/>
  <c r="CG40" i="53"/>
  <c r="AN40" i="53"/>
  <c r="CO39" i="53"/>
  <c r="AY39" i="53"/>
  <c r="G39" i="53"/>
  <c r="BH38" i="53"/>
  <c r="P38" i="53"/>
  <c r="BQ37" i="53"/>
  <c r="Z37" i="53"/>
  <c r="CJ36" i="53"/>
  <c r="AI36" i="53"/>
  <c r="AH36" i="53" s="1"/>
  <c r="AS33" i="53"/>
  <c r="DB32" i="53"/>
  <c r="BI32" i="53"/>
  <c r="K32" i="53"/>
  <c r="BQ31" i="53"/>
  <c r="R31" i="53"/>
  <c r="CA30" i="53"/>
  <c r="BZ30" i="53" s="1"/>
  <c r="AG30" i="53"/>
  <c r="CJ29" i="53"/>
  <c r="AR29" i="53"/>
  <c r="CS28" i="53"/>
  <c r="BC28" i="53"/>
  <c r="L28" i="53"/>
  <c r="BK27" i="53"/>
  <c r="S27" i="53"/>
  <c r="BT26" i="53"/>
  <c r="AB26" i="53"/>
  <c r="CK25" i="53"/>
  <c r="AK25" i="53"/>
  <c r="AJ25" i="53" s="1"/>
  <c r="CS24" i="53"/>
  <c r="BE24" i="53"/>
  <c r="G24" i="53"/>
  <c r="BP23" i="53"/>
  <c r="Z23" i="53"/>
  <c r="CC22" i="53"/>
  <c r="CB22" i="53" s="1"/>
  <c r="AM22" i="53"/>
  <c r="CY19" i="53"/>
  <c r="AZ19" i="53"/>
  <c r="K19" i="53"/>
  <c r="BT18" i="53"/>
  <c r="U18" i="53"/>
  <c r="CG17" i="53"/>
  <c r="AQ17" i="53"/>
  <c r="CV16" i="53"/>
  <c r="CU16" i="53" s="1"/>
  <c r="BK16" i="53"/>
  <c r="AB16" i="53"/>
  <c r="CT15" i="53"/>
  <c r="BK15" i="53"/>
  <c r="AB15" i="53"/>
  <c r="CT14" i="53"/>
  <c r="BK14" i="53"/>
  <c r="AB14" i="53"/>
  <c r="CV13" i="53"/>
  <c r="CU13" i="53" s="1"/>
  <c r="BO13" i="53"/>
  <c r="AF13" i="53"/>
  <c r="DA12" i="53"/>
  <c r="BS12" i="53"/>
  <c r="AK12" i="53"/>
  <c r="AJ12" i="53" s="1"/>
  <c r="E12" i="53"/>
  <c r="BV11" i="53"/>
  <c r="AO11" i="53"/>
  <c r="I11" i="53"/>
  <c r="CC10" i="53"/>
  <c r="CB10" i="53" s="1"/>
  <c r="AV10" i="53"/>
  <c r="N10" i="53"/>
  <c r="CG9" i="53"/>
  <c r="AY9" i="53"/>
  <c r="R9" i="53"/>
  <c r="CK8" i="53"/>
  <c r="BD8" i="53"/>
  <c r="U8" i="53"/>
  <c r="CO7" i="53"/>
  <c r="BG7" i="53"/>
  <c r="X7" i="53"/>
  <c r="BF199" i="53"/>
  <c r="W171" i="53"/>
  <c r="AE155" i="53"/>
  <c r="DB143" i="53"/>
  <c r="BP135" i="53"/>
  <c r="BT128" i="53"/>
  <c r="DA122" i="53"/>
  <c r="BC119" i="53"/>
  <c r="AQ114" i="53"/>
  <c r="CO110" i="53"/>
  <c r="P108" i="53"/>
  <c r="CX105" i="53"/>
  <c r="R98" i="53"/>
  <c r="BF94" i="53"/>
  <c r="D93" i="53"/>
  <c r="BG91" i="53"/>
  <c r="AA90" i="53"/>
  <c r="CF88" i="53"/>
  <c r="BE87" i="53"/>
  <c r="AB73" i="53"/>
  <c r="BS70" i="53"/>
  <c r="AW69" i="53"/>
  <c r="AY68" i="53"/>
  <c r="AD67" i="53"/>
  <c r="AD66" i="53"/>
  <c r="AG65" i="53"/>
  <c r="P63" i="53"/>
  <c r="Q62" i="53"/>
  <c r="T60" i="53"/>
  <c r="O58" i="53"/>
  <c r="Z57" i="53"/>
  <c r="AR56" i="53"/>
  <c r="H55" i="53"/>
  <c r="AW54" i="53"/>
  <c r="CE53" i="53"/>
  <c r="S53" i="53"/>
  <c r="BU52" i="53"/>
  <c r="CY50" i="53"/>
  <c r="AZ50" i="53"/>
  <c r="CJ47" i="53"/>
  <c r="Z47" i="53"/>
  <c r="BS46" i="53"/>
  <c r="D46" i="53"/>
  <c r="AT45" i="53"/>
  <c r="CE44" i="53"/>
  <c r="AB44" i="53"/>
  <c r="BW43" i="53"/>
  <c r="M43" i="53"/>
  <c r="BN42" i="53"/>
  <c r="N42" i="53"/>
  <c r="BU41" i="53"/>
  <c r="AC41" i="53"/>
  <c r="CF40" i="53"/>
  <c r="AM40" i="53"/>
  <c r="CN39" i="53"/>
  <c r="AW39" i="53"/>
  <c r="F39" i="53"/>
  <c r="BG38" i="53"/>
  <c r="O38" i="53"/>
  <c r="BP37" i="53"/>
  <c r="W37" i="53"/>
  <c r="CI36" i="53"/>
  <c r="AG36" i="53"/>
  <c r="CQ33" i="53"/>
  <c r="AR33" i="53"/>
  <c r="CZ32" i="53"/>
  <c r="BH32" i="53"/>
  <c r="I32" i="53"/>
  <c r="BP31" i="53"/>
  <c r="Q31" i="53"/>
  <c r="BX30" i="53"/>
  <c r="AF30" i="53"/>
  <c r="CI29" i="53"/>
  <c r="AQ29" i="53"/>
  <c r="AZ28" i="53"/>
  <c r="BJ27" i="53"/>
  <c r="R27" i="53"/>
  <c r="BS26" i="53"/>
  <c r="Z26" i="53"/>
  <c r="CJ25" i="53"/>
  <c r="AI25" i="53"/>
  <c r="AH25" i="53" s="1"/>
  <c r="AV24" i="53"/>
  <c r="F24" i="53"/>
  <c r="BO23" i="53"/>
  <c r="Q23" i="53"/>
  <c r="CA22" i="53"/>
  <c r="BZ22" i="53" s="1"/>
  <c r="AK22" i="53"/>
  <c r="AJ22" i="53" s="1"/>
  <c r="CO19" i="53"/>
  <c r="AY19" i="53"/>
  <c r="I19" i="53"/>
  <c r="BJ18" i="53"/>
  <c r="T18" i="53"/>
  <c r="CF17" i="53"/>
  <c r="AF17" i="53"/>
  <c r="CT16" i="53"/>
  <c r="BJ16" i="53"/>
  <c r="AA16" i="53"/>
  <c r="CS15" i="53"/>
  <c r="BJ15" i="53"/>
  <c r="AA15" i="53"/>
  <c r="CS14" i="53"/>
  <c r="BJ14" i="53"/>
  <c r="AA14" i="53"/>
  <c r="BN13" i="53"/>
  <c r="AE13" i="53"/>
  <c r="CZ12" i="53"/>
  <c r="BQ12" i="53"/>
  <c r="AI12" i="53"/>
  <c r="AH12" i="53" s="1"/>
  <c r="D12" i="53"/>
  <c r="BU11" i="53"/>
  <c r="AN11" i="53"/>
  <c r="H11" i="53"/>
  <c r="CA10" i="53"/>
  <c r="BZ10" i="53" s="1"/>
  <c r="AT10" i="53"/>
  <c r="M10" i="53"/>
  <c r="CF9" i="53"/>
  <c r="AX9" i="53"/>
  <c r="Q9" i="53"/>
  <c r="CJ8" i="53"/>
  <c r="BC8" i="53"/>
  <c r="T8" i="53"/>
  <c r="CN7" i="53"/>
  <c r="BF7" i="53"/>
  <c r="W7" i="53"/>
  <c r="AY199" i="53"/>
  <c r="R171" i="53"/>
  <c r="AD155" i="53"/>
  <c r="DA143" i="53"/>
  <c r="BO135" i="53"/>
  <c r="BQ128" i="53"/>
  <c r="CZ122" i="53"/>
  <c r="BB119" i="53"/>
  <c r="AO114" i="53"/>
  <c r="AL114" i="53" s="1"/>
  <c r="O108" i="53"/>
  <c r="CV105" i="53"/>
  <c r="CU105" i="53" s="1"/>
  <c r="AI102" i="53"/>
  <c r="AH102" i="53" s="1"/>
  <c r="P98" i="53"/>
  <c r="BE94" i="53"/>
  <c r="DB92" i="53"/>
  <c r="BF91" i="53"/>
  <c r="CE88" i="53"/>
  <c r="BD87" i="53"/>
  <c r="AA73" i="53"/>
  <c r="BQ70" i="53"/>
  <c r="AV69" i="53"/>
  <c r="AX68" i="53"/>
  <c r="AC67" i="53"/>
  <c r="AC66" i="53"/>
  <c r="AF65" i="53"/>
  <c r="O63" i="53"/>
  <c r="P62" i="53"/>
  <c r="S60" i="53"/>
  <c r="I59" i="53"/>
  <c r="N58" i="53"/>
  <c r="W57" i="53"/>
  <c r="AQ56" i="53"/>
  <c r="CA55" i="53"/>
  <c r="BZ55" i="53" s="1"/>
  <c r="F55" i="53"/>
  <c r="AV54" i="53"/>
  <c r="CA53" i="53"/>
  <c r="BZ53" i="53" s="1"/>
  <c r="R53" i="53"/>
  <c r="BK52" i="53"/>
  <c r="CX50" i="53"/>
  <c r="AY50" i="53"/>
  <c r="CI47" i="53"/>
  <c r="X47" i="53"/>
  <c r="BQ46" i="53"/>
  <c r="DB45" i="53"/>
  <c r="AS45" i="53"/>
  <c r="CC44" i="53"/>
  <c r="CB44" i="53" s="1"/>
  <c r="AA44" i="53"/>
  <c r="BV43" i="53"/>
  <c r="L43" i="53"/>
  <c r="BM42" i="53"/>
  <c r="M42" i="53"/>
  <c r="BT41" i="53"/>
  <c r="AB41" i="53"/>
  <c r="CE40" i="53"/>
  <c r="AK40" i="53"/>
  <c r="AJ40" i="53" s="1"/>
  <c r="CM39" i="53"/>
  <c r="AV39" i="53"/>
  <c r="E39" i="53"/>
  <c r="BF38" i="53"/>
  <c r="N38" i="53"/>
  <c r="BO37" i="53"/>
  <c r="CH36" i="53"/>
  <c r="AF36" i="53"/>
  <c r="CP33" i="53"/>
  <c r="AQ33" i="53"/>
  <c r="CY32" i="53"/>
  <c r="BG32" i="53"/>
  <c r="H32" i="53"/>
  <c r="BO31" i="53"/>
  <c r="P31" i="53"/>
  <c r="BW30" i="53"/>
  <c r="AE30" i="53"/>
  <c r="CH29" i="53"/>
  <c r="AO29" i="53"/>
  <c r="CQ28" i="53"/>
  <c r="AY28" i="53"/>
  <c r="I28" i="53"/>
  <c r="BI27" i="53"/>
  <c r="Q27" i="53"/>
  <c r="BQ26" i="53"/>
  <c r="X26" i="53"/>
  <c r="CI25" i="53"/>
  <c r="AG25" i="53"/>
  <c r="CQ24" i="53"/>
  <c r="AT24" i="53"/>
  <c r="E24" i="53"/>
  <c r="BN23" i="53"/>
  <c r="P23" i="53"/>
  <c r="BY22" i="53"/>
  <c r="AI22" i="53"/>
  <c r="AH22" i="53" s="1"/>
  <c r="CN19" i="53"/>
  <c r="AX19" i="53"/>
  <c r="H19" i="53"/>
  <c r="BI18" i="53"/>
  <c r="S18" i="53"/>
  <c r="CE17" i="53"/>
  <c r="AE17" i="53"/>
  <c r="CS16" i="53"/>
  <c r="BI16" i="53"/>
  <c r="Z16" i="53"/>
  <c r="CR15" i="53"/>
  <c r="BI15" i="53"/>
  <c r="Z15" i="53"/>
  <c r="CR14" i="53"/>
  <c r="BI14" i="53"/>
  <c r="Z14" i="53"/>
  <c r="CT13" i="53"/>
  <c r="BM13" i="53"/>
  <c r="AD13" i="53"/>
  <c r="CY12" i="53"/>
  <c r="BP12" i="53"/>
  <c r="AG12" i="53"/>
  <c r="DB11" i="53"/>
  <c r="BT11" i="53"/>
  <c r="AM11" i="53"/>
  <c r="G11" i="53"/>
  <c r="BY10" i="53"/>
  <c r="AS10" i="53"/>
  <c r="L10" i="53"/>
  <c r="CE9" i="53"/>
  <c r="AW9" i="53"/>
  <c r="P9" i="53"/>
  <c r="CI8" i="53"/>
  <c r="BB8" i="53"/>
  <c r="S8" i="53"/>
  <c r="CM7" i="53"/>
  <c r="BE7" i="53"/>
  <c r="V7" i="53"/>
  <c r="BF197" i="53"/>
  <c r="O171" i="53"/>
  <c r="AC155" i="53"/>
  <c r="CY143" i="53"/>
  <c r="BN135" i="53"/>
  <c r="BN128" i="53"/>
  <c r="BQ122" i="53"/>
  <c r="AX119" i="53"/>
  <c r="AK114" i="53"/>
  <c r="AJ114" i="53" s="1"/>
  <c r="BX110" i="53"/>
  <c r="N108" i="53"/>
  <c r="CT105" i="53"/>
  <c r="AF102" i="53"/>
  <c r="O98" i="53"/>
  <c r="BD94" i="53"/>
  <c r="CJ92" i="53"/>
  <c r="BE91" i="53"/>
  <c r="X90" i="53"/>
  <c r="BC87" i="53"/>
  <c r="Z73" i="53"/>
  <c r="BO70" i="53"/>
  <c r="AT69" i="53"/>
  <c r="AW68" i="53"/>
  <c r="Z67" i="53"/>
  <c r="AB66" i="53"/>
  <c r="AE65" i="53"/>
  <c r="M63" i="53"/>
  <c r="O62" i="53"/>
  <c r="R60" i="53"/>
  <c r="CY58" i="53"/>
  <c r="M58" i="53"/>
  <c r="AM56" i="53"/>
  <c r="BY55" i="53"/>
  <c r="E55" i="53"/>
  <c r="AT54" i="53"/>
  <c r="BY53" i="53"/>
  <c r="Q53" i="53"/>
  <c r="BJ52" i="53"/>
  <c r="AX50" i="53"/>
  <c r="CH47" i="53"/>
  <c r="W47" i="53"/>
  <c r="BP46" i="53"/>
  <c r="DA45" i="53"/>
  <c r="AR45" i="53"/>
  <c r="CA44" i="53"/>
  <c r="BZ44" i="53" s="1"/>
  <c r="R44" i="53"/>
  <c r="BU43" i="53"/>
  <c r="K43" i="53"/>
  <c r="BJ42" i="53"/>
  <c r="L42" i="53"/>
  <c r="BS41" i="53"/>
  <c r="AA41" i="53"/>
  <c r="CC40" i="53"/>
  <c r="CB40" i="53" s="1"/>
  <c r="AI40" i="53"/>
  <c r="AH40" i="53" s="1"/>
  <c r="CK39" i="53"/>
  <c r="AT39" i="53"/>
  <c r="D39" i="53"/>
  <c r="BE38" i="53"/>
  <c r="M38" i="53"/>
  <c r="BN37" i="53"/>
  <c r="U37" i="53"/>
  <c r="CG36" i="53"/>
  <c r="AE36" i="53"/>
  <c r="CO33" i="53"/>
  <c r="AO33" i="53"/>
  <c r="CX32" i="53"/>
  <c r="BF32" i="53"/>
  <c r="G32" i="53"/>
  <c r="BN31" i="53"/>
  <c r="O31" i="53"/>
  <c r="BV30" i="53"/>
  <c r="AD30" i="53"/>
  <c r="CG29" i="53"/>
  <c r="AN29" i="53"/>
  <c r="CP28" i="53"/>
  <c r="AX28" i="53"/>
  <c r="H28" i="53"/>
  <c r="BH27" i="53"/>
  <c r="P27" i="53"/>
  <c r="BP26" i="53"/>
  <c r="W26" i="53"/>
  <c r="CH25" i="53"/>
  <c r="AF25" i="53"/>
  <c r="CP24" i="53"/>
  <c r="AS24" i="53"/>
  <c r="D24" i="53"/>
  <c r="BM23" i="53"/>
  <c r="O23" i="53"/>
  <c r="BX22" i="53"/>
  <c r="CM19" i="53"/>
  <c r="AW19" i="53"/>
  <c r="G19" i="53"/>
  <c r="BH18" i="53"/>
  <c r="R18" i="53"/>
  <c r="CC17" i="53"/>
  <c r="CB17" i="53" s="1"/>
  <c r="AD17" i="53"/>
  <c r="CR16" i="53"/>
  <c r="BH16" i="53"/>
  <c r="X16" i="53"/>
  <c r="CQ15" i="53"/>
  <c r="BH15" i="53"/>
  <c r="X15" i="53"/>
  <c r="CQ14" i="53"/>
  <c r="BH14" i="53"/>
  <c r="X14" i="53"/>
  <c r="CS13" i="53"/>
  <c r="BK13" i="53"/>
  <c r="AC13" i="53"/>
  <c r="CX12" i="53"/>
  <c r="BO12" i="53"/>
  <c r="AF12" i="53"/>
  <c r="DA11" i="53"/>
  <c r="BS11" i="53"/>
  <c r="AK11" i="53"/>
  <c r="AJ11" i="53" s="1"/>
  <c r="F11" i="53"/>
  <c r="BX10" i="53"/>
  <c r="AR10" i="53"/>
  <c r="K10" i="53"/>
  <c r="CC9" i="53"/>
  <c r="CB9" i="53" s="1"/>
  <c r="AV9" i="53"/>
  <c r="O9" i="53"/>
  <c r="CH8" i="53"/>
  <c r="AZ8" i="53"/>
  <c r="R8" i="53"/>
  <c r="CK7" i="53"/>
  <c r="BD7" i="53"/>
  <c r="U7" i="53"/>
  <c r="BC197" i="53"/>
  <c r="BD170" i="53"/>
  <c r="CG152" i="53"/>
  <c r="CV143" i="53"/>
  <c r="CU143" i="53" s="1"/>
  <c r="CZ134" i="53"/>
  <c r="CP126" i="53"/>
  <c r="BM122" i="53"/>
  <c r="AV119" i="53"/>
  <c r="BQ113" i="53"/>
  <c r="BN110" i="53"/>
  <c r="M108" i="53"/>
  <c r="BB105" i="53"/>
  <c r="AD102" i="53"/>
  <c r="N98" i="53"/>
  <c r="T94" i="53"/>
  <c r="CH92" i="53"/>
  <c r="BD91" i="53"/>
  <c r="DA89" i="53"/>
  <c r="AS87" i="53"/>
  <c r="BM70" i="53"/>
  <c r="AS69" i="53"/>
  <c r="U68" i="53"/>
  <c r="W67" i="53"/>
  <c r="AA66" i="53"/>
  <c r="H65" i="53"/>
  <c r="K63" i="53"/>
  <c r="N62" i="53"/>
  <c r="CV58" i="53"/>
  <c r="CU58" i="53" s="1"/>
  <c r="D58" i="53"/>
  <c r="U57" i="53"/>
  <c r="AK56" i="53"/>
  <c r="AJ56" i="53" s="1"/>
  <c r="BX55" i="53"/>
  <c r="D55" i="53"/>
  <c r="AS54" i="53"/>
  <c r="BX53" i="53"/>
  <c r="P53" i="53"/>
  <c r="BB52" i="53"/>
  <c r="CV50" i="53"/>
  <c r="AW50" i="53"/>
  <c r="CG47" i="53"/>
  <c r="V47" i="53"/>
  <c r="BG46" i="53"/>
  <c r="CZ45" i="53"/>
  <c r="AQ45" i="53"/>
  <c r="BY44" i="53"/>
  <c r="Q44" i="53"/>
  <c r="BG43" i="53"/>
  <c r="I43" i="53"/>
  <c r="BI42" i="53"/>
  <c r="K42" i="53"/>
  <c r="BQ41" i="53"/>
  <c r="R41" i="53"/>
  <c r="CA40" i="53"/>
  <c r="BZ40" i="53" s="1"/>
  <c r="AG40" i="53"/>
  <c r="CJ39" i="53"/>
  <c r="AS39" i="53"/>
  <c r="CS38" i="53"/>
  <c r="BD38" i="53"/>
  <c r="L38" i="53"/>
  <c r="BM37" i="53"/>
  <c r="T37" i="53"/>
  <c r="BV36" i="53"/>
  <c r="AD36" i="53"/>
  <c r="CN33" i="53"/>
  <c r="AN33" i="53"/>
  <c r="CV32" i="53"/>
  <c r="CU32" i="53" s="1"/>
  <c r="AW32" i="53"/>
  <c r="F32" i="53"/>
  <c r="BM31" i="53"/>
  <c r="N31" i="53"/>
  <c r="BU30" i="53"/>
  <c r="U30" i="53"/>
  <c r="CF29" i="53"/>
  <c r="AM29" i="53"/>
  <c r="CO28" i="53"/>
  <c r="AW28" i="53"/>
  <c r="CY27" i="53"/>
  <c r="BG27" i="53"/>
  <c r="O27" i="53"/>
  <c r="BO26" i="53"/>
  <c r="BW25" i="53"/>
  <c r="AE25" i="53"/>
  <c r="CO24" i="53"/>
  <c r="AR24" i="53"/>
  <c r="DB23" i="53"/>
  <c r="BK23" i="53"/>
  <c r="N23" i="53"/>
  <c r="BW22" i="53"/>
  <c r="AG22" i="53"/>
  <c r="CK19" i="53"/>
  <c r="AV19" i="53"/>
  <c r="F19" i="53"/>
  <c r="BG18" i="53"/>
  <c r="Q18" i="53"/>
  <c r="CA17" i="53"/>
  <c r="BZ17" i="53" s="1"/>
  <c r="AC17" i="53"/>
  <c r="CQ16" i="53"/>
  <c r="BG16" i="53"/>
  <c r="W16" i="53"/>
  <c r="CP15" i="53"/>
  <c r="BG15" i="53"/>
  <c r="W15" i="53"/>
  <c r="CP14" i="53"/>
  <c r="BG14" i="53"/>
  <c r="W14" i="53"/>
  <c r="CR13" i="53"/>
  <c r="BJ13" i="53"/>
  <c r="AB13" i="53"/>
  <c r="CV12" i="53"/>
  <c r="CU12" i="53" s="1"/>
  <c r="BN12" i="53"/>
  <c r="AE12" i="53"/>
  <c r="CZ11" i="53"/>
  <c r="BQ11" i="53"/>
  <c r="AI11" i="53"/>
  <c r="AH11" i="53" s="1"/>
  <c r="E11" i="53"/>
  <c r="BW10" i="53"/>
  <c r="AQ10" i="53"/>
  <c r="I10" i="53"/>
  <c r="CA9" i="53"/>
  <c r="BZ9" i="53" s="1"/>
  <c r="AT9" i="53"/>
  <c r="N9" i="53"/>
  <c r="CG8" i="53"/>
  <c r="AY8" i="53"/>
  <c r="Q8" i="53"/>
  <c r="CJ7" i="53"/>
  <c r="BC7" i="53"/>
  <c r="T7" i="53"/>
  <c r="BB196" i="53"/>
  <c r="BC170" i="53"/>
  <c r="CF152" i="53"/>
  <c r="D143" i="53"/>
  <c r="CY134" i="53"/>
  <c r="CO126" i="53"/>
  <c r="AZ122" i="53"/>
  <c r="AS119" i="53"/>
  <c r="BP113" i="53"/>
  <c r="BK110" i="53"/>
  <c r="L108" i="53"/>
  <c r="AZ105" i="53"/>
  <c r="E102" i="53"/>
  <c r="M98" i="53"/>
  <c r="S94" i="53"/>
  <c r="CF92" i="53"/>
  <c r="BC91" i="53"/>
  <c r="CZ89" i="53"/>
  <c r="BP88" i="53"/>
  <c r="AR87" i="53"/>
  <c r="CQ72" i="53"/>
  <c r="BJ70" i="53"/>
  <c r="AR69" i="53"/>
  <c r="T68" i="53"/>
  <c r="U67" i="53"/>
  <c r="Z66" i="53"/>
  <c r="G65" i="53"/>
  <c r="G63" i="53"/>
  <c r="L62" i="53"/>
  <c r="CQ59" i="53"/>
  <c r="CT58" i="53"/>
  <c r="DB57" i="53"/>
  <c r="T57" i="53"/>
  <c r="AI56" i="53"/>
  <c r="AH56" i="53" s="1"/>
  <c r="BW55" i="53"/>
  <c r="DA54" i="53"/>
  <c r="AQ54" i="53"/>
  <c r="BW53" i="53"/>
  <c r="O53" i="53"/>
  <c r="AZ52" i="53"/>
  <c r="CS50" i="53"/>
  <c r="AV50" i="53"/>
  <c r="BV47" i="53"/>
  <c r="U47" i="53"/>
  <c r="BF46" i="53"/>
  <c r="CX45" i="53"/>
  <c r="AO45" i="53"/>
  <c r="BX44" i="53"/>
  <c r="P44" i="53"/>
  <c r="BE43" i="53"/>
  <c r="G43" i="53"/>
  <c r="BH42" i="53"/>
  <c r="I42" i="53"/>
  <c r="BP41" i="53"/>
  <c r="Q41" i="53"/>
  <c r="BX40" i="53"/>
  <c r="AF40" i="53"/>
  <c r="CI39" i="53"/>
  <c r="AR39" i="53"/>
  <c r="CR38" i="53"/>
  <c r="BB38" i="53"/>
  <c r="K38" i="53"/>
  <c r="BK37" i="53"/>
  <c r="S37" i="53"/>
  <c r="BU36" i="53"/>
  <c r="AB36" i="53"/>
  <c r="AM33" i="53"/>
  <c r="CT32" i="53"/>
  <c r="AV32" i="53"/>
  <c r="D32" i="53"/>
  <c r="BK31" i="53"/>
  <c r="M31" i="53"/>
  <c r="BT30" i="53"/>
  <c r="T30" i="53"/>
  <c r="CC29" i="53"/>
  <c r="CB29" i="53" s="1"/>
  <c r="AK29" i="53"/>
  <c r="AJ29" i="53" s="1"/>
  <c r="CN28" i="53"/>
  <c r="AV28" i="53"/>
  <c r="CX27" i="53"/>
  <c r="BE27" i="53"/>
  <c r="N27" i="53"/>
  <c r="BN26" i="53"/>
  <c r="U26" i="53"/>
  <c r="BV25" i="53"/>
  <c r="AC25" i="53"/>
  <c r="CN24" i="53"/>
  <c r="AQ24" i="53"/>
  <c r="DA23" i="53"/>
  <c r="BJ23" i="53"/>
  <c r="M23" i="53"/>
  <c r="BV22" i="53"/>
  <c r="AF22" i="53"/>
  <c r="CJ19" i="53"/>
  <c r="AT19" i="53"/>
  <c r="E19" i="53"/>
  <c r="BF18" i="53"/>
  <c r="P18" i="53"/>
  <c r="BY17" i="53"/>
  <c r="AB17" i="53"/>
  <c r="CP16" i="53"/>
  <c r="BF16" i="53"/>
  <c r="V16" i="53"/>
  <c r="CO15" i="53"/>
  <c r="BF15" i="53"/>
  <c r="V15" i="53"/>
  <c r="CO14" i="53"/>
  <c r="BF14" i="53"/>
  <c r="V14" i="53"/>
  <c r="CQ13" i="53"/>
  <c r="BI13" i="53"/>
  <c r="AA13" i="53"/>
  <c r="CT12" i="53"/>
  <c r="BM12" i="53"/>
  <c r="AD12" i="53"/>
  <c r="CY11" i="53"/>
  <c r="BP11" i="53"/>
  <c r="D11" i="53"/>
  <c r="BV10" i="53"/>
  <c r="AO10" i="53"/>
  <c r="H10" i="53"/>
  <c r="BY9" i="53"/>
  <c r="AS9" i="53"/>
  <c r="M9" i="53"/>
  <c r="CF8" i="53"/>
  <c r="AX8" i="53"/>
  <c r="P8" i="53"/>
  <c r="CI7" i="53"/>
  <c r="BB7" i="53"/>
  <c r="S7" i="53"/>
  <c r="AT196" i="53"/>
  <c r="AP196" i="53" s="1"/>
  <c r="AW170" i="53"/>
  <c r="CC152" i="53"/>
  <c r="CB152" i="53" s="1"/>
  <c r="DB142" i="53"/>
  <c r="CX134" i="53"/>
  <c r="BI126" i="53"/>
  <c r="AY122" i="53"/>
  <c r="AR119" i="53"/>
  <c r="BO113" i="53"/>
  <c r="BJ110" i="53"/>
  <c r="AY105" i="53"/>
  <c r="D102" i="53"/>
  <c r="L98" i="53"/>
  <c r="R94" i="53"/>
  <c r="CE92" i="53"/>
  <c r="AZ91" i="53"/>
  <c r="CY89" i="53"/>
  <c r="BO88" i="53"/>
  <c r="AQ87" i="53"/>
  <c r="CP72" i="53"/>
  <c r="BI70" i="53"/>
  <c r="AQ69" i="53"/>
  <c r="S68" i="53"/>
  <c r="T67" i="53"/>
  <c r="X66" i="53"/>
  <c r="F65" i="53"/>
  <c r="F63" i="53"/>
  <c r="K62" i="53"/>
  <c r="CP59" i="53"/>
  <c r="CS58" i="53"/>
  <c r="DA57" i="53"/>
  <c r="S57" i="53"/>
  <c r="AF56" i="53"/>
  <c r="BK55" i="53"/>
  <c r="CZ54" i="53"/>
  <c r="AO54" i="53"/>
  <c r="BV53" i="53"/>
  <c r="N53" i="53"/>
  <c r="AY52" i="53"/>
  <c r="CR50" i="53"/>
  <c r="AK50" i="53"/>
  <c r="BU47" i="53"/>
  <c r="T47" i="53"/>
  <c r="BE46" i="53"/>
  <c r="CV45" i="53"/>
  <c r="CU45" i="53" s="1"/>
  <c r="AN45" i="53"/>
  <c r="BW44" i="53"/>
  <c r="O44" i="53"/>
  <c r="BD43" i="53"/>
  <c r="F43" i="53"/>
  <c r="BG42" i="53"/>
  <c r="H42" i="53"/>
  <c r="BO41" i="53"/>
  <c r="P41" i="53"/>
  <c r="BW40" i="53"/>
  <c r="AE40" i="53"/>
  <c r="CH39" i="53"/>
  <c r="AQ39" i="53"/>
  <c r="CQ38" i="53"/>
  <c r="AZ38" i="53"/>
  <c r="I38" i="53"/>
  <c r="BJ37" i="53"/>
  <c r="R37" i="53"/>
  <c r="BT36" i="53"/>
  <c r="AA36" i="53"/>
  <c r="CK33" i="53"/>
  <c r="AK33" i="53"/>
  <c r="AJ33" i="53" s="1"/>
  <c r="CS32" i="53"/>
  <c r="AT32" i="53"/>
  <c r="DB31" i="53"/>
  <c r="BJ31" i="53"/>
  <c r="L31" i="53"/>
  <c r="BS30" i="53"/>
  <c r="S30" i="53"/>
  <c r="CA29" i="53"/>
  <c r="BZ29" i="53" s="1"/>
  <c r="AI29" i="53"/>
  <c r="AH29" i="53" s="1"/>
  <c r="AT28" i="53"/>
  <c r="CV27" i="53"/>
  <c r="CU27" i="53" s="1"/>
  <c r="BD27" i="53"/>
  <c r="M27" i="53"/>
  <c r="BM26" i="53"/>
  <c r="T26" i="53"/>
  <c r="BU25" i="53"/>
  <c r="AB25" i="53"/>
  <c r="AO24" i="53"/>
  <c r="CZ23" i="53"/>
  <c r="BI23" i="53"/>
  <c r="L23" i="53"/>
  <c r="BU22" i="53"/>
  <c r="AE22" i="53"/>
  <c r="CI19" i="53"/>
  <c r="AS19" i="53"/>
  <c r="D19" i="53"/>
  <c r="BE18" i="53"/>
  <c r="O18" i="53"/>
  <c r="BX17" i="53"/>
  <c r="AA17" i="53"/>
  <c r="CO16" i="53"/>
  <c r="BE16" i="53"/>
  <c r="U16" i="53"/>
  <c r="CN15" i="53"/>
  <c r="BE15" i="53"/>
  <c r="U15" i="53"/>
  <c r="CN14" i="53"/>
  <c r="BE14" i="53"/>
  <c r="U14" i="53"/>
  <c r="CP13" i="53"/>
  <c r="BH13" i="53"/>
  <c r="Z13" i="53"/>
  <c r="CS12" i="53"/>
  <c r="BK12" i="53"/>
  <c r="AC12" i="53"/>
  <c r="CX11" i="53"/>
  <c r="BO11" i="53"/>
  <c r="AG11" i="53"/>
  <c r="DB10" i="53"/>
  <c r="BU10" i="53"/>
  <c r="AN10" i="53"/>
  <c r="G10" i="53"/>
  <c r="BX9" i="53"/>
  <c r="AR9" i="53"/>
  <c r="L9" i="53"/>
  <c r="CE8" i="53"/>
  <c r="AW8" i="53"/>
  <c r="O8" i="53"/>
  <c r="CH7" i="53"/>
  <c r="AZ7" i="53"/>
  <c r="R7" i="53"/>
  <c r="AM196" i="53"/>
  <c r="AI170" i="53"/>
  <c r="AH170" i="53" s="1"/>
  <c r="BK151" i="53"/>
  <c r="CV142" i="53"/>
  <c r="CU142" i="53" s="1"/>
  <c r="CE134" i="53"/>
  <c r="BC126" i="53"/>
  <c r="AX122" i="53"/>
  <c r="AF119" i="53"/>
  <c r="BM113" i="53"/>
  <c r="BI110" i="53"/>
  <c r="I108" i="53"/>
  <c r="DA101" i="53"/>
  <c r="K98" i="53"/>
  <c r="H94" i="53"/>
  <c r="CC92" i="53"/>
  <c r="CB92" i="53" s="1"/>
  <c r="AY91" i="53"/>
  <c r="BN88" i="53"/>
  <c r="AO87" i="53"/>
  <c r="CN72" i="53"/>
  <c r="BH70" i="53"/>
  <c r="AO69" i="53"/>
  <c r="Q68" i="53"/>
  <c r="S67" i="53"/>
  <c r="W66" i="53"/>
  <c r="DB63" i="53"/>
  <c r="E63" i="53"/>
  <c r="I62" i="53"/>
  <c r="CN59" i="53"/>
  <c r="CZ57" i="53"/>
  <c r="R57" i="53"/>
  <c r="AE56" i="53"/>
  <c r="BJ55" i="53"/>
  <c r="CY54" i="53"/>
  <c r="AN54" i="53"/>
  <c r="BU53" i="53"/>
  <c r="M53" i="53"/>
  <c r="AX52" i="53"/>
  <c r="CQ50" i="53"/>
  <c r="AI50" i="53"/>
  <c r="BT47" i="53"/>
  <c r="S47" i="53"/>
  <c r="BD46" i="53"/>
  <c r="CT45" i="53"/>
  <c r="AM45" i="53"/>
  <c r="BV44" i="53"/>
  <c r="N44" i="53"/>
  <c r="BC43" i="53"/>
  <c r="E43" i="53"/>
  <c r="BF42" i="53"/>
  <c r="G42" i="53"/>
  <c r="BN41" i="53"/>
  <c r="O41" i="53"/>
  <c r="BV40" i="53"/>
  <c r="AD40" i="53"/>
  <c r="CG39" i="53"/>
  <c r="AO39" i="53"/>
  <c r="CP38" i="53"/>
  <c r="AY38" i="53"/>
  <c r="H38" i="53"/>
  <c r="BI37" i="53"/>
  <c r="Q37" i="53"/>
  <c r="BS36" i="53"/>
  <c r="Z36" i="53"/>
  <c r="CJ33" i="53"/>
  <c r="AI33" i="53"/>
  <c r="AH33" i="53" s="1"/>
  <c r="CR32" i="53"/>
  <c r="AS32" i="53"/>
  <c r="DA31" i="53"/>
  <c r="BI31" i="53"/>
  <c r="K31" i="53"/>
  <c r="BQ30" i="53"/>
  <c r="R30" i="53"/>
  <c r="BY29" i="53"/>
  <c r="AG29" i="53"/>
  <c r="CK28" i="53"/>
  <c r="AS28" i="53"/>
  <c r="CT27" i="53"/>
  <c r="BC27" i="53"/>
  <c r="L27" i="53"/>
  <c r="BK26" i="53"/>
  <c r="P191" i="53"/>
  <c r="Q166" i="53"/>
  <c r="BG151" i="53"/>
  <c r="CT142" i="53"/>
  <c r="AK133" i="53"/>
  <c r="AJ133" i="53" s="1"/>
  <c r="AY126" i="53"/>
  <c r="AW122" i="53"/>
  <c r="BN118" i="53"/>
  <c r="BJ113" i="53"/>
  <c r="Z110" i="53"/>
  <c r="AQ107" i="53"/>
  <c r="S105" i="53"/>
  <c r="CY101" i="53"/>
  <c r="BK97" i="53"/>
  <c r="F94" i="53"/>
  <c r="P91" i="53"/>
  <c r="CJ89" i="53"/>
  <c r="BM88" i="53"/>
  <c r="Q87" i="53"/>
  <c r="CK72" i="53"/>
  <c r="AR70" i="53"/>
  <c r="N69" i="53"/>
  <c r="O68" i="53"/>
  <c r="R67" i="53"/>
  <c r="CY65" i="53"/>
  <c r="CZ63" i="53"/>
  <c r="D63" i="53"/>
  <c r="CJ60" i="53"/>
  <c r="CK59" i="53"/>
  <c r="CQ58" i="53"/>
  <c r="CY57" i="53"/>
  <c r="Q57" i="53"/>
  <c r="AD56" i="53"/>
  <c r="BI55" i="53"/>
  <c r="CX54" i="53"/>
  <c r="AC54" i="53"/>
  <c r="BT53" i="53"/>
  <c r="L53" i="53"/>
  <c r="AW52" i="53"/>
  <c r="CP50" i="53"/>
  <c r="Z50" i="53"/>
  <c r="BS47" i="53"/>
  <c r="R47" i="53"/>
  <c r="BC46" i="53"/>
  <c r="CS45" i="53"/>
  <c r="AB45" i="53"/>
  <c r="BU44" i="53"/>
  <c r="M44" i="53"/>
  <c r="BB43" i="53"/>
  <c r="D43" i="53"/>
  <c r="AW42" i="53"/>
  <c r="F42" i="53"/>
  <c r="BM41" i="53"/>
  <c r="N41" i="53"/>
  <c r="BU40" i="53"/>
  <c r="U40" i="53"/>
  <c r="CF39" i="53"/>
  <c r="AN39" i="53"/>
  <c r="CO38" i="53"/>
  <c r="AX38" i="53"/>
  <c r="CY37" i="53"/>
  <c r="BH37" i="53"/>
  <c r="P37" i="53"/>
  <c r="BQ36" i="53"/>
  <c r="X36" i="53"/>
  <c r="BY33" i="53"/>
  <c r="AG33" i="53"/>
  <c r="CQ32" i="53"/>
  <c r="AR32" i="53"/>
  <c r="CZ31" i="53"/>
  <c r="AZ31" i="53"/>
  <c r="I31" i="53"/>
  <c r="BP30" i="53"/>
  <c r="Q30" i="53"/>
  <c r="BX29" i="53"/>
  <c r="X29" i="53"/>
  <c r="CJ28" i="53"/>
  <c r="AR28" i="53"/>
  <c r="CS27" i="53"/>
  <c r="BB27" i="53"/>
  <c r="DB26" i="53"/>
  <c r="BJ26" i="53"/>
  <c r="R26" i="53"/>
  <c r="BS25" i="53"/>
  <c r="Z25" i="53"/>
  <c r="O191" i="53"/>
  <c r="CK165" i="53"/>
  <c r="DC165" i="53" s="1"/>
  <c r="CQ149" i="53"/>
  <c r="CC142" i="53"/>
  <c r="CB142" i="53" s="1"/>
  <c r="AI133" i="53"/>
  <c r="AH133" i="53" s="1"/>
  <c r="AW126" i="53"/>
  <c r="AV122" i="53"/>
  <c r="BM118" i="53"/>
  <c r="Z113" i="53"/>
  <c r="X110" i="53"/>
  <c r="AO107" i="53"/>
  <c r="O105" i="53"/>
  <c r="CV101" i="53"/>
  <c r="CU101" i="53" s="1"/>
  <c r="BJ97" i="53"/>
  <c r="DB93" i="53"/>
  <c r="BY92" i="53"/>
  <c r="O91" i="53"/>
  <c r="BY89" i="53"/>
  <c r="BD88" i="53"/>
  <c r="P87" i="53"/>
  <c r="BQ72" i="53"/>
  <c r="AQ70" i="53"/>
  <c r="M69" i="53"/>
  <c r="M68" i="53"/>
  <c r="Q67" i="53"/>
  <c r="CX65" i="53"/>
  <c r="CX63" i="53"/>
  <c r="DB62" i="53"/>
  <c r="CI60" i="53"/>
  <c r="CH59" i="53"/>
  <c r="CP58" i="53"/>
  <c r="CX57" i="53"/>
  <c r="H57" i="53"/>
  <c r="AC56" i="53"/>
  <c r="BH55" i="53"/>
  <c r="CV54" i="53"/>
  <c r="CU54" i="53" s="1"/>
  <c r="T54" i="53"/>
  <c r="BQ53" i="53"/>
  <c r="AV52" i="53"/>
  <c r="CO50" i="53"/>
  <c r="X50" i="53"/>
  <c r="BP47" i="53"/>
  <c r="Q47" i="53"/>
  <c r="AS46" i="53"/>
  <c r="CR45" i="53"/>
  <c r="AA45" i="53"/>
  <c r="BS44" i="53"/>
  <c r="L44" i="53"/>
  <c r="AZ43" i="53"/>
  <c r="DB42" i="53"/>
  <c r="AV42" i="53"/>
  <c r="D42" i="53"/>
  <c r="BK41" i="53"/>
  <c r="M41" i="53"/>
  <c r="BT40" i="53"/>
  <c r="T40" i="53"/>
  <c r="CC39" i="53"/>
  <c r="CB39" i="53" s="1"/>
  <c r="AM39" i="53"/>
  <c r="CN38" i="53"/>
  <c r="AW38" i="53"/>
  <c r="CX37" i="53"/>
  <c r="BF37" i="53"/>
  <c r="O37" i="53"/>
  <c r="BP36" i="53"/>
  <c r="W36" i="53"/>
  <c r="BX33" i="53"/>
  <c r="AE33" i="53"/>
  <c r="CP32" i="53"/>
  <c r="AQ32" i="53"/>
  <c r="CY31" i="53"/>
  <c r="AY31" i="53"/>
  <c r="G31" i="53"/>
  <c r="BO30" i="53"/>
  <c r="P30" i="53"/>
  <c r="BW29" i="53"/>
  <c r="W29" i="53"/>
  <c r="CH28" i="53"/>
  <c r="AQ28" i="53"/>
  <c r="CR27" i="53"/>
  <c r="AZ27" i="53"/>
  <c r="DA26" i="53"/>
  <c r="BH26" i="53"/>
  <c r="M191" i="53"/>
  <c r="AA165" i="53"/>
  <c r="CP149" i="53"/>
  <c r="CA142" i="53"/>
  <c r="BZ142" i="53" s="1"/>
  <c r="AG133" i="53"/>
  <c r="AV126" i="53"/>
  <c r="AT122" i="53"/>
  <c r="BK118" i="53"/>
  <c r="Q113" i="53"/>
  <c r="W110" i="53"/>
  <c r="AM107" i="53"/>
  <c r="N105" i="53"/>
  <c r="CT101" i="53"/>
  <c r="AT97" i="53"/>
  <c r="DA93" i="53"/>
  <c r="BX92" i="53"/>
  <c r="N91" i="53"/>
  <c r="BX89" i="53"/>
  <c r="BC88" i="53"/>
  <c r="O87" i="53"/>
  <c r="BP72" i="53"/>
  <c r="AO70" i="53"/>
  <c r="L69" i="53"/>
  <c r="L68" i="53"/>
  <c r="P67" i="53"/>
  <c r="CV65" i="53"/>
  <c r="CU65" i="53" s="1"/>
  <c r="CV63" i="53"/>
  <c r="CU63" i="53" s="1"/>
  <c r="DA62" i="53"/>
  <c r="CH60" i="53"/>
  <c r="CG59" i="53"/>
  <c r="CN58" i="53"/>
  <c r="CV57" i="53"/>
  <c r="CU57" i="53" s="1"/>
  <c r="G57" i="53"/>
  <c r="AB56" i="53"/>
  <c r="AY55" i="53"/>
  <c r="CT54" i="53"/>
  <c r="S54" i="53"/>
  <c r="BP53" i="53"/>
  <c r="I53" i="53"/>
  <c r="AT52" i="53"/>
  <c r="CN50" i="53"/>
  <c r="W50" i="53"/>
  <c r="BO47" i="53"/>
  <c r="H47" i="53"/>
  <c r="AR46" i="53"/>
  <c r="CQ45" i="53"/>
  <c r="Z45" i="53"/>
  <c r="BQ44" i="53"/>
  <c r="K44" i="53"/>
  <c r="AY43" i="53"/>
  <c r="DA42" i="53"/>
  <c r="AT42" i="53"/>
  <c r="DB41" i="53"/>
  <c r="BJ41" i="53"/>
  <c r="L41" i="53"/>
  <c r="BS40" i="53"/>
  <c r="S40" i="53"/>
  <c r="AK39" i="53"/>
  <c r="AJ39" i="53" s="1"/>
  <c r="CM38" i="53"/>
  <c r="AV38" i="53"/>
  <c r="CV37" i="53"/>
  <c r="CU37" i="53" s="1"/>
  <c r="BE37" i="53"/>
  <c r="N37" i="53"/>
  <c r="BO36" i="53"/>
  <c r="BW33" i="53"/>
  <c r="AD33" i="53"/>
  <c r="CO32" i="53"/>
  <c r="AO32" i="53"/>
  <c r="CX31" i="53"/>
  <c r="AX31" i="53"/>
  <c r="F31" i="53"/>
  <c r="BN30" i="53"/>
  <c r="O30" i="53"/>
  <c r="BV29" i="53"/>
  <c r="CG28" i="53"/>
  <c r="AO28" i="53"/>
  <c r="CQ27" i="53"/>
  <c r="AY27" i="53"/>
  <c r="CZ26" i="53"/>
  <c r="BG26" i="53"/>
  <c r="P26" i="53"/>
  <c r="AB189" i="53"/>
  <c r="DB163" i="53"/>
  <c r="CN149" i="53"/>
  <c r="BY142" i="53"/>
  <c r="AE133" i="53"/>
  <c r="AT126" i="53"/>
  <c r="AS122" i="53"/>
  <c r="X118" i="53"/>
  <c r="O113" i="53"/>
  <c r="U110" i="53"/>
  <c r="AF107" i="53"/>
  <c r="M105" i="53"/>
  <c r="CS101" i="53"/>
  <c r="AR97" i="53"/>
  <c r="CZ93" i="53"/>
  <c r="BW92" i="53"/>
  <c r="L91" i="53"/>
  <c r="BW89" i="53"/>
  <c r="BB88" i="53"/>
  <c r="CV73" i="53"/>
  <c r="CU73" i="53" s="1"/>
  <c r="BO72" i="53"/>
  <c r="AN70" i="53"/>
  <c r="I69" i="53"/>
  <c r="K68" i="53"/>
  <c r="O67" i="53"/>
  <c r="CS65" i="53"/>
  <c r="CZ62" i="53"/>
  <c r="CE60" i="53"/>
  <c r="CF59" i="53"/>
  <c r="CT57" i="53"/>
  <c r="F57" i="53"/>
  <c r="AA56" i="53"/>
  <c r="AX55" i="53"/>
  <c r="CS54" i="53"/>
  <c r="R54" i="53"/>
  <c r="BO53" i="53"/>
  <c r="H53" i="53"/>
  <c r="AS52" i="53"/>
  <c r="CM50" i="53"/>
  <c r="V50" i="53"/>
  <c r="BN47" i="53"/>
  <c r="G47" i="53"/>
  <c r="AQ46" i="53"/>
  <c r="CP45" i="53"/>
  <c r="X45" i="53"/>
  <c r="BP44" i="53"/>
  <c r="I44" i="53"/>
  <c r="AX43" i="53"/>
  <c r="CZ42" i="53"/>
  <c r="AS42" i="53"/>
  <c r="DA41" i="53"/>
  <c r="BI41" i="53"/>
  <c r="BQ40" i="53"/>
  <c r="R40" i="53"/>
  <c r="CA39" i="53"/>
  <c r="BZ39" i="53" s="1"/>
  <c r="AI39" i="53"/>
  <c r="AH39" i="53" s="1"/>
  <c r="CK38" i="53"/>
  <c r="AT38" i="53"/>
  <c r="CT37" i="53"/>
  <c r="BD37" i="53"/>
  <c r="M37" i="53"/>
  <c r="BN36" i="53"/>
  <c r="U36" i="53"/>
  <c r="BV33" i="53"/>
  <c r="AC33" i="53"/>
  <c r="CN32" i="53"/>
  <c r="AN32" i="53"/>
  <c r="CV31" i="53"/>
  <c r="CU31" i="53" s="1"/>
  <c r="AW31" i="53"/>
  <c r="E31" i="53"/>
  <c r="BM30" i="53"/>
  <c r="N30" i="53"/>
  <c r="BU29" i="53"/>
  <c r="U29" i="53"/>
  <c r="CF28" i="53"/>
  <c r="AN28" i="53"/>
  <c r="CP27" i="53"/>
  <c r="AX27" i="53"/>
  <c r="CY26" i="53"/>
  <c r="BF26" i="53"/>
  <c r="O26" i="53"/>
  <c r="BO25" i="53"/>
  <c r="DA183" i="53"/>
  <c r="CV163" i="53"/>
  <c r="CU163" i="53" s="1"/>
  <c r="CJ149" i="53"/>
  <c r="CD149" i="53" s="1"/>
  <c r="AD139" i="53"/>
  <c r="CY131" i="53"/>
  <c r="CT125" i="53"/>
  <c r="AN121" i="53"/>
  <c r="U118" i="53"/>
  <c r="M113" i="53"/>
  <c r="BK109" i="53"/>
  <c r="AD107" i="53"/>
  <c r="D105" i="53"/>
  <c r="AT101" i="53"/>
  <c r="AD97" i="53"/>
  <c r="CY93" i="53"/>
  <c r="I91" i="53"/>
  <c r="BV89" i="53"/>
  <c r="T88" i="53"/>
  <c r="CS73" i="53"/>
  <c r="BN72" i="53"/>
  <c r="U70" i="53"/>
  <c r="G69" i="53"/>
  <c r="DA67" i="53"/>
  <c r="CP66" i="53"/>
  <c r="CQ65" i="53"/>
  <c r="CT63" i="53"/>
  <c r="BY62" i="53"/>
  <c r="CA60" i="53"/>
  <c r="BZ60" i="53" s="1"/>
  <c r="CE59" i="53"/>
  <c r="CK58" i="53"/>
  <c r="BT57" i="53"/>
  <c r="E57" i="53"/>
  <c r="Z56" i="53"/>
  <c r="AW55" i="53"/>
  <c r="CJ54" i="53"/>
  <c r="Q54" i="53"/>
  <c r="BF53" i="53"/>
  <c r="CQ52" i="53"/>
  <c r="AR52" i="53"/>
  <c r="CK50" i="53"/>
  <c r="U50" i="53"/>
  <c r="BM47" i="53"/>
  <c r="CX46" i="53"/>
  <c r="AO46" i="53"/>
  <c r="CO45" i="53"/>
  <c r="W45" i="53"/>
  <c r="BO44" i="53"/>
  <c r="CZ43" i="53"/>
  <c r="AW43" i="53"/>
  <c r="CV42" i="53"/>
  <c r="CU42" i="53" s="1"/>
  <c r="AR42" i="53"/>
  <c r="CZ41" i="53"/>
  <c r="AZ41" i="53"/>
  <c r="I41" i="53"/>
  <c r="BP40" i="53"/>
  <c r="Q40" i="53"/>
  <c r="BY39" i="53"/>
  <c r="Z39" i="53"/>
  <c r="CJ38" i="53"/>
  <c r="AS38" i="53"/>
  <c r="CS37" i="53"/>
  <c r="BC37" i="53"/>
  <c r="D37" i="53"/>
  <c r="BM36" i="53"/>
  <c r="T36" i="53"/>
  <c r="BU33" i="53"/>
  <c r="AB33" i="53"/>
  <c r="CE32" i="53"/>
  <c r="AM32" i="53"/>
  <c r="CT31" i="53"/>
  <c r="AV31" i="53"/>
  <c r="D31" i="53"/>
  <c r="BD30" i="53"/>
  <c r="M30" i="53"/>
  <c r="BT29" i="53"/>
  <c r="T29" i="53"/>
  <c r="CE28" i="53"/>
  <c r="AD28" i="53"/>
  <c r="CO27" i="53"/>
  <c r="AW27" i="53"/>
  <c r="CX26" i="53"/>
  <c r="BE26" i="53"/>
  <c r="F26" i="53"/>
  <c r="BN25" i="53"/>
  <c r="CE182" i="53"/>
  <c r="G162" i="53"/>
  <c r="R147" i="53"/>
  <c r="AY138" i="53"/>
  <c r="AG131" i="53"/>
  <c r="BS124" i="53"/>
  <c r="S121" i="53"/>
  <c r="E118" i="53"/>
  <c r="AO112" i="53"/>
  <c r="AX109" i="53"/>
  <c r="DA106" i="53"/>
  <c r="AI103" i="53"/>
  <c r="AH103" i="53" s="1"/>
  <c r="O101" i="53"/>
  <c r="X97" i="53"/>
  <c r="BM93" i="53"/>
  <c r="AF92" i="53"/>
  <c r="CT90" i="53"/>
  <c r="AK89" i="53"/>
  <c r="AJ89" i="53" s="1"/>
  <c r="N88" i="53"/>
  <c r="CN73" i="53"/>
  <c r="AA72" i="53"/>
  <c r="DA69" i="53"/>
  <c r="CR68" i="53"/>
  <c r="CG67" i="53"/>
  <c r="CI66" i="53"/>
  <c r="CC65" i="53"/>
  <c r="CB65" i="53" s="1"/>
  <c r="BP63" i="53"/>
  <c r="BS62" i="53"/>
  <c r="BU60" i="53"/>
  <c r="BB59" i="53"/>
  <c r="BF58" i="53"/>
  <c r="BN57" i="53"/>
  <c r="CK56" i="53"/>
  <c r="U56" i="53"/>
  <c r="AQ55" i="53"/>
  <c r="BU54" i="53"/>
  <c r="M54" i="53"/>
  <c r="BB53" i="53"/>
  <c r="AC52" i="53"/>
  <c r="BP50" i="53"/>
  <c r="Q50" i="53"/>
  <c r="BH47" i="53"/>
  <c r="CR46" i="53"/>
  <c r="AG46" i="53"/>
  <c r="BS45" i="53"/>
  <c r="L45" i="53"/>
  <c r="BJ44" i="53"/>
  <c r="AQ43" i="53"/>
  <c r="CG42" i="53"/>
  <c r="AM42" i="53"/>
  <c r="AL42" i="53" s="1"/>
  <c r="CT41" i="53"/>
  <c r="AV41" i="53"/>
  <c r="D41" i="53"/>
  <c r="BD40" i="53"/>
  <c r="M40" i="53"/>
  <c r="BU39" i="53"/>
  <c r="U39" i="53"/>
  <c r="CE38" i="53"/>
  <c r="AD38" i="53"/>
  <c r="CO37" i="53"/>
  <c r="AX37" i="53"/>
  <c r="CY36" i="53"/>
  <c r="BG36" i="53"/>
  <c r="H36" i="53"/>
  <c r="BP33" i="53"/>
  <c r="W33" i="53"/>
  <c r="BX32" i="53"/>
  <c r="AE32" i="53"/>
  <c r="CH31" i="53"/>
  <c r="AQ31" i="53"/>
  <c r="CY30" i="53"/>
  <c r="AY30" i="53"/>
  <c r="G30" i="53"/>
  <c r="BG29" i="53"/>
  <c r="P29" i="53"/>
  <c r="BX28" i="53"/>
  <c r="Z28" i="53"/>
  <c r="CI27" i="53"/>
  <c r="AG27" i="53"/>
  <c r="AZ26" i="53"/>
  <c r="DA25" i="53"/>
  <c r="BH25" i="53"/>
  <c r="I25" i="53"/>
  <c r="BS24" i="53"/>
  <c r="AB24" i="53"/>
  <c r="CF23" i="53"/>
  <c r="AO23" i="53"/>
  <c r="CZ22" i="53"/>
  <c r="BB22" i="53"/>
  <c r="M22" i="53"/>
  <c r="BV19" i="53"/>
  <c r="W19" i="53"/>
  <c r="CI18" i="53"/>
  <c r="AS18" i="53"/>
  <c r="CT17" i="53"/>
  <c r="BE17" i="53"/>
  <c r="P17" i="53"/>
  <c r="CC16" i="53"/>
  <c r="CB16" i="53" s="1"/>
  <c r="AR16" i="53"/>
  <c r="I16" i="53"/>
  <c r="BY15" i="53"/>
  <c r="AR15" i="53"/>
  <c r="I15" i="53"/>
  <c r="BY14" i="53"/>
  <c r="AR14" i="53"/>
  <c r="K14" i="53"/>
  <c r="CE13" i="53"/>
  <c r="AW13" i="53"/>
  <c r="O13" i="53"/>
  <c r="CH12" i="53"/>
  <c r="AZ12" i="53"/>
  <c r="R12" i="53"/>
  <c r="CK11" i="53"/>
  <c r="BD11" i="53"/>
  <c r="CQ10" i="53"/>
  <c r="BI10" i="53"/>
  <c r="AA10" i="53"/>
  <c r="CT9" i="53"/>
  <c r="BM9" i="53"/>
  <c r="AE9" i="53"/>
  <c r="CZ8" i="53"/>
  <c r="BQ8" i="53"/>
  <c r="AI8" i="53"/>
  <c r="AH8" i="53" s="1"/>
  <c r="D8" i="53"/>
  <c r="BU7" i="53"/>
  <c r="AN7" i="53"/>
  <c r="G7" i="53"/>
  <c r="BB178" i="53"/>
  <c r="D162" i="53"/>
  <c r="DB146" i="53"/>
  <c r="M138" i="53"/>
  <c r="U131" i="53"/>
  <c r="BP124" i="53"/>
  <c r="P121" i="53"/>
  <c r="DB115" i="53"/>
  <c r="AM112" i="53"/>
  <c r="X109" i="53"/>
  <c r="CY106" i="53"/>
  <c r="CW106" i="53" s="1"/>
  <c r="AD103" i="53"/>
  <c r="H101" i="53"/>
  <c r="BJ93" i="53"/>
  <c r="U92" i="53"/>
  <c r="AI89" i="53"/>
  <c r="AH89" i="53" s="1"/>
  <c r="I88" i="53"/>
  <c r="CJ73" i="53"/>
  <c r="X72" i="53"/>
  <c r="CX69" i="53"/>
  <c r="CP68" i="53"/>
  <c r="CE67" i="53"/>
  <c r="BV66" i="53"/>
  <c r="BY65" i="53"/>
  <c r="BN63" i="53"/>
  <c r="BO62" i="53"/>
  <c r="BS60" i="53"/>
  <c r="AZ59" i="53"/>
  <c r="BC58" i="53"/>
  <c r="BK57" i="53"/>
  <c r="BX56" i="53"/>
  <c r="DA55" i="53"/>
  <c r="AM55" i="53"/>
  <c r="BS54" i="53"/>
  <c r="H54" i="53"/>
  <c r="AY53" i="53"/>
  <c r="CJ52" i="53"/>
  <c r="AA52" i="53"/>
  <c r="BN50" i="53"/>
  <c r="N50" i="53"/>
  <c r="BF47" i="53"/>
  <c r="CP46" i="53"/>
  <c r="AE46" i="53"/>
  <c r="BP45" i="53"/>
  <c r="H45" i="53"/>
  <c r="AZ44" i="53"/>
  <c r="CM43" i="53"/>
  <c r="AN43" i="53"/>
  <c r="CE42" i="53"/>
  <c r="AG42" i="53"/>
  <c r="AS41" i="53"/>
  <c r="DA40" i="53"/>
  <c r="BB40" i="53"/>
  <c r="I40" i="53"/>
  <c r="BS39" i="53"/>
  <c r="S39" i="53"/>
  <c r="AB38" i="53"/>
  <c r="CK37" i="53"/>
  <c r="AV37" i="53"/>
  <c r="BE36" i="53"/>
  <c r="F36" i="53"/>
  <c r="BM33" i="53"/>
  <c r="U33" i="53"/>
  <c r="BV32" i="53"/>
  <c r="AC32" i="53"/>
  <c r="CF31" i="53"/>
  <c r="AM31" i="53"/>
  <c r="CV30" i="53"/>
  <c r="CU30" i="53" s="1"/>
  <c r="AW30" i="53"/>
  <c r="E30" i="53"/>
  <c r="BE29" i="53"/>
  <c r="M29" i="53"/>
  <c r="BV28" i="53"/>
  <c r="W28" i="53"/>
  <c r="CG27" i="53"/>
  <c r="AE27" i="53"/>
  <c r="CO26" i="53"/>
  <c r="AX26" i="53"/>
  <c r="CZ183" i="53"/>
  <c r="BV149" i="53"/>
  <c r="R131" i="53"/>
  <c r="CC120" i="53"/>
  <c r="CB120" i="53" s="1"/>
  <c r="CK111" i="53"/>
  <c r="N106" i="53"/>
  <c r="W98" i="53"/>
  <c r="AN92" i="53"/>
  <c r="BB73" i="53"/>
  <c r="CQ69" i="53"/>
  <c r="BJ67" i="53"/>
  <c r="AN65" i="53"/>
  <c r="BX60" i="53"/>
  <c r="BI58" i="53"/>
  <c r="BW56" i="53"/>
  <c r="AG55" i="53"/>
  <c r="DB53" i="53"/>
  <c r="BY52" i="53"/>
  <c r="BC50" i="53"/>
  <c r="CT46" i="53"/>
  <c r="BQ45" i="53"/>
  <c r="AO44" i="53"/>
  <c r="AG43" i="53"/>
  <c r="AA42" i="53"/>
  <c r="AF41" i="53"/>
  <c r="P40" i="53"/>
  <c r="V39" i="53"/>
  <c r="AA38" i="53"/>
  <c r="AG37" i="53"/>
  <c r="AY36" i="53"/>
  <c r="BE33" i="53"/>
  <c r="BJ32" i="53"/>
  <c r="AS31" i="53"/>
  <c r="AX30" i="53"/>
  <c r="BC29" i="53"/>
  <c r="BI28" i="53"/>
  <c r="BP27" i="53"/>
  <c r="CF26" i="53"/>
  <c r="CO25" i="53"/>
  <c r="H25" i="53"/>
  <c r="BH24" i="53"/>
  <c r="AG23" i="53"/>
  <c r="BS22" i="53"/>
  <c r="L22" i="53"/>
  <c r="BD19" i="53"/>
  <c r="CN18" i="53"/>
  <c r="AM18" i="53"/>
  <c r="AL18" i="53" s="1"/>
  <c r="BN17" i="53"/>
  <c r="O17" i="53"/>
  <c r="BO16" i="53"/>
  <c r="O16" i="53"/>
  <c r="BT15" i="53"/>
  <c r="S15" i="53"/>
  <c r="BX14" i="53"/>
  <c r="AE14" i="53"/>
  <c r="CI13" i="53"/>
  <c r="AQ13" i="53"/>
  <c r="CQ12" i="53"/>
  <c r="AY12" i="53"/>
  <c r="H12" i="53"/>
  <c r="BH11" i="53"/>
  <c r="Q11" i="53"/>
  <c r="BS10" i="53"/>
  <c r="Z10" i="53"/>
  <c r="CJ9" i="53"/>
  <c r="AK9" i="53"/>
  <c r="AJ9" i="53" s="1"/>
  <c r="CS8" i="53"/>
  <c r="AT8" i="53"/>
  <c r="DB7" i="53"/>
  <c r="BJ7" i="53"/>
  <c r="L7" i="53"/>
  <c r="BQ163" i="53"/>
  <c r="CC59" i="53"/>
  <c r="CB59" i="53" s="1"/>
  <c r="BO57" i="53"/>
  <c r="CZ55" i="53"/>
  <c r="BO54" i="53"/>
  <c r="L52" i="53"/>
  <c r="CT47" i="53"/>
  <c r="AK46" i="53"/>
  <c r="AJ46" i="53" s="1"/>
  <c r="I45" i="53"/>
  <c r="CJ43" i="53"/>
  <c r="BX42" i="53"/>
  <c r="CI40" i="53"/>
  <c r="BX39" i="53"/>
  <c r="CJ37" i="53"/>
  <c r="CZ33" i="53"/>
  <c r="DA30" i="53"/>
  <c r="AD26" i="53"/>
  <c r="D23" i="53"/>
  <c r="G18" i="53"/>
  <c r="AV15" i="53"/>
  <c r="BY12" i="53"/>
  <c r="CI11" i="53"/>
  <c r="T9" i="53"/>
  <c r="AK7" i="53"/>
  <c r="AJ7" i="53" s="1"/>
  <c r="BN163" i="53"/>
  <c r="CA59" i="53"/>
  <c r="BZ59" i="53" s="1"/>
  <c r="BM57" i="53"/>
  <c r="CV55" i="53"/>
  <c r="CU55" i="53" s="1"/>
  <c r="BN54" i="53"/>
  <c r="AG53" i="53"/>
  <c r="BK47" i="53"/>
  <c r="AI46" i="53"/>
  <c r="AH46" i="53" s="1"/>
  <c r="G45" i="53"/>
  <c r="CH43" i="53"/>
  <c r="BW42" i="53"/>
  <c r="CA41" i="53"/>
  <c r="BZ41" i="53" s="1"/>
  <c r="CH40" i="53"/>
  <c r="BW39" i="53"/>
  <c r="CC38" i="53"/>
  <c r="CB38" i="53" s="1"/>
  <c r="CI37" i="53"/>
  <c r="CQ36" i="53"/>
  <c r="CY33" i="53"/>
  <c r="E33" i="53"/>
  <c r="CS31" i="53"/>
  <c r="I29" i="53"/>
  <c r="V27" i="53"/>
  <c r="AC26" i="53"/>
  <c r="BQ23" i="53"/>
  <c r="BU18" i="53"/>
  <c r="CV15" i="53"/>
  <c r="CU15" i="53" s="1"/>
  <c r="G14" i="53"/>
  <c r="BP13" i="53"/>
  <c r="AQ11" i="53"/>
  <c r="BI9" i="53"/>
  <c r="AA8" i="53"/>
  <c r="CV183" i="53"/>
  <c r="CU183" i="53" s="1"/>
  <c r="P147" i="53"/>
  <c r="CH129" i="53"/>
  <c r="CA120" i="53"/>
  <c r="BZ120" i="53" s="1"/>
  <c r="CJ111" i="53"/>
  <c r="M106" i="53"/>
  <c r="AB97" i="53"/>
  <c r="AI92" i="53"/>
  <c r="AH92" i="53" s="1"/>
  <c r="AE89" i="53"/>
  <c r="AZ73" i="53"/>
  <c r="CP69" i="53"/>
  <c r="BH67" i="53"/>
  <c r="AM65" i="53"/>
  <c r="BW60" i="53"/>
  <c r="BD58" i="53"/>
  <c r="BV56" i="53"/>
  <c r="AF55" i="53"/>
  <c r="DA53" i="53"/>
  <c r="BX52" i="53"/>
  <c r="T50" i="53"/>
  <c r="CS46" i="53"/>
  <c r="BO45" i="53"/>
  <c r="AN44" i="53"/>
  <c r="AF43" i="53"/>
  <c r="Z42" i="53"/>
  <c r="AE41" i="53"/>
  <c r="O40" i="53"/>
  <c r="T39" i="53"/>
  <c r="Z38" i="53"/>
  <c r="AF37" i="53"/>
  <c r="AO36" i="53"/>
  <c r="BD33" i="53"/>
  <c r="AI32" i="53"/>
  <c r="AH32" i="53" s="1"/>
  <c r="AR31" i="53"/>
  <c r="AV30" i="53"/>
  <c r="BB29" i="53"/>
  <c r="BH28" i="53"/>
  <c r="BO27" i="53"/>
  <c r="CE26" i="53"/>
  <c r="CN25" i="53"/>
  <c r="G25" i="53"/>
  <c r="BG24" i="53"/>
  <c r="CQ23" i="53"/>
  <c r="AF23" i="53"/>
  <c r="BQ22" i="53"/>
  <c r="K22" i="53"/>
  <c r="BC19" i="53"/>
  <c r="AB18" i="53"/>
  <c r="BM17" i="53"/>
  <c r="N17" i="53"/>
  <c r="BN16" i="53"/>
  <c r="N16" i="53"/>
  <c r="BS15" i="53"/>
  <c r="R15" i="53"/>
  <c r="BW14" i="53"/>
  <c r="AD14" i="53"/>
  <c r="CH13" i="53"/>
  <c r="AO13" i="53"/>
  <c r="CP12" i="53"/>
  <c r="AX12" i="53"/>
  <c r="G12" i="53"/>
  <c r="BG11" i="53"/>
  <c r="P11" i="53"/>
  <c r="BQ10" i="53"/>
  <c r="X10" i="53"/>
  <c r="CI9" i="53"/>
  <c r="AI9" i="53"/>
  <c r="AH9" i="53" s="1"/>
  <c r="CR8" i="53"/>
  <c r="AS8" i="53"/>
  <c r="DA7" i="53"/>
  <c r="BI7" i="53"/>
  <c r="K7" i="53"/>
  <c r="BN124" i="53"/>
  <c r="CF38" i="53"/>
  <c r="F30" i="53"/>
  <c r="Z24" i="53"/>
  <c r="BV18" i="53"/>
  <c r="R13" i="53"/>
  <c r="D10" i="53"/>
  <c r="CE7" i="53"/>
  <c r="AT138" i="53"/>
  <c r="AY14" i="53"/>
  <c r="CX182" i="53"/>
  <c r="CF129" i="53"/>
  <c r="BX120" i="53"/>
  <c r="CH111" i="53"/>
  <c r="AA97" i="53"/>
  <c r="AC89" i="53"/>
  <c r="AY73" i="53"/>
  <c r="BK69" i="53"/>
  <c r="BG67" i="53"/>
  <c r="CS63" i="53"/>
  <c r="BV60" i="53"/>
  <c r="BB58" i="53"/>
  <c r="BU56" i="53"/>
  <c r="AE55" i="53"/>
  <c r="CZ53" i="53"/>
  <c r="BW52" i="53"/>
  <c r="S50" i="53"/>
  <c r="CQ46" i="53"/>
  <c r="BN45" i="53"/>
  <c r="AM44" i="53"/>
  <c r="R43" i="53"/>
  <c r="X42" i="53"/>
  <c r="G41" i="53"/>
  <c r="N40" i="53"/>
  <c r="R39" i="53"/>
  <c r="X38" i="53"/>
  <c r="AE37" i="53"/>
  <c r="AN36" i="53"/>
  <c r="BC33" i="53"/>
  <c r="AG32" i="53"/>
  <c r="AN31" i="53"/>
  <c r="AT30" i="53"/>
  <c r="AZ29" i="53"/>
  <c r="BG28" i="53"/>
  <c r="BN27" i="53"/>
  <c r="BD26" i="53"/>
  <c r="CM25" i="53"/>
  <c r="F25" i="53"/>
  <c r="BF24" i="53"/>
  <c r="CP23" i="53"/>
  <c r="AE23" i="53"/>
  <c r="BP22" i="53"/>
  <c r="I22" i="53"/>
  <c r="BB19" i="53"/>
  <c r="CK18" i="53"/>
  <c r="AA18" i="53"/>
  <c r="BK17" i="53"/>
  <c r="M17" i="53"/>
  <c r="BM16" i="53"/>
  <c r="L16" i="53"/>
  <c r="BQ15" i="53"/>
  <c r="Q15" i="53"/>
  <c r="BV14" i="53"/>
  <c r="AC14" i="53"/>
  <c r="CG13" i="53"/>
  <c r="AN13" i="53"/>
  <c r="CO12" i="53"/>
  <c r="AW12" i="53"/>
  <c r="F12" i="53"/>
  <c r="BF11" i="53"/>
  <c r="O11" i="53"/>
  <c r="BP10" i="53"/>
  <c r="W10" i="53"/>
  <c r="CH9" i="53"/>
  <c r="AG9" i="53"/>
  <c r="CQ8" i="53"/>
  <c r="AR8" i="53"/>
  <c r="CZ7" i="53"/>
  <c r="BH7" i="53"/>
  <c r="I7" i="53"/>
  <c r="F115" i="53"/>
  <c r="CC41" i="53"/>
  <c r="CB41" i="53" s="1"/>
  <c r="X27" i="53"/>
  <c r="U19" i="53"/>
  <c r="AZ14" i="53"/>
  <c r="AR11" i="53"/>
  <c r="AB8" i="53"/>
  <c r="CQ102" i="53"/>
  <c r="AN16" i="53"/>
  <c r="BH178" i="53"/>
  <c r="CN146" i="53"/>
  <c r="BT129" i="53"/>
  <c r="CT119" i="53"/>
  <c r="CG111" i="53"/>
  <c r="DB103" i="53"/>
  <c r="Z97" i="53"/>
  <c r="T92" i="53"/>
  <c r="AA89" i="53"/>
  <c r="AV73" i="53"/>
  <c r="BJ69" i="53"/>
  <c r="BF67" i="53"/>
  <c r="CR63" i="53"/>
  <c r="BT60" i="53"/>
  <c r="AZ58" i="53"/>
  <c r="BT56" i="53"/>
  <c r="AD55" i="53"/>
  <c r="CY53" i="53"/>
  <c r="AO52" i="53"/>
  <c r="R50" i="53"/>
  <c r="CO46" i="53"/>
  <c r="BM45" i="53"/>
  <c r="AK44" i="53"/>
  <c r="AJ44" i="53" s="1"/>
  <c r="Q43" i="53"/>
  <c r="W42" i="53"/>
  <c r="F41" i="53"/>
  <c r="Q39" i="53"/>
  <c r="W38" i="53"/>
  <c r="AD37" i="53"/>
  <c r="AM36" i="53"/>
  <c r="AA33" i="53"/>
  <c r="AF32" i="53"/>
  <c r="AK31" i="53"/>
  <c r="AJ31" i="53" s="1"/>
  <c r="AR30" i="53"/>
  <c r="AY29" i="53"/>
  <c r="BF28" i="53"/>
  <c r="BM27" i="53"/>
  <c r="BC26" i="53"/>
  <c r="BT25" i="53"/>
  <c r="E25" i="53"/>
  <c r="AN24" i="53"/>
  <c r="CG23" i="53"/>
  <c r="AD23" i="53"/>
  <c r="BO22" i="53"/>
  <c r="H22" i="53"/>
  <c r="AR19" i="53"/>
  <c r="CJ18" i="53"/>
  <c r="Z18" i="53"/>
  <c r="BJ17" i="53"/>
  <c r="L17" i="53"/>
  <c r="BD16" i="53"/>
  <c r="K16" i="53"/>
  <c r="BP15" i="53"/>
  <c r="O15" i="53"/>
  <c r="BU14" i="53"/>
  <c r="T14" i="53"/>
  <c r="CF13" i="53"/>
  <c r="AM13" i="53"/>
  <c r="CN12" i="53"/>
  <c r="AV12" i="53"/>
  <c r="CV11" i="53"/>
  <c r="CU11" i="53" s="1"/>
  <c r="BE11" i="53"/>
  <c r="N11" i="53"/>
  <c r="BO10" i="53"/>
  <c r="V10" i="53"/>
  <c r="BW9" i="53"/>
  <c r="AF9" i="53"/>
  <c r="CP8" i="53"/>
  <c r="AQ8" i="53"/>
  <c r="CY7" i="53"/>
  <c r="AY7" i="53"/>
  <c r="H7" i="53"/>
  <c r="BI94" i="53"/>
  <c r="L32" i="53"/>
  <c r="CF19" i="53"/>
  <c r="BQ13" i="53"/>
  <c r="BC10" i="53"/>
  <c r="CT114" i="53"/>
  <c r="CJ16" i="53"/>
  <c r="AI7" i="53"/>
  <c r="AH7" i="53" s="1"/>
  <c r="AD178" i="53"/>
  <c r="BE146" i="53"/>
  <c r="N129" i="53"/>
  <c r="CS119" i="53"/>
  <c r="CF111" i="53"/>
  <c r="DA103" i="53"/>
  <c r="W97" i="53"/>
  <c r="S92" i="53"/>
  <c r="Z89" i="53"/>
  <c r="AI73" i="53"/>
  <c r="AH73" i="53" s="1"/>
  <c r="BI69" i="53"/>
  <c r="CO66" i="53"/>
  <c r="CQ63" i="53"/>
  <c r="BQ60" i="53"/>
  <c r="AY58" i="53"/>
  <c r="BS56" i="53"/>
  <c r="M55" i="53"/>
  <c r="CX53" i="53"/>
  <c r="AN52" i="53"/>
  <c r="O50" i="53"/>
  <c r="CN46" i="53"/>
  <c r="BK45" i="53"/>
  <c r="AI44" i="53"/>
  <c r="AH44" i="53" s="1"/>
  <c r="P43" i="53"/>
  <c r="CY41" i="53"/>
  <c r="E41" i="53"/>
  <c r="H40" i="53"/>
  <c r="O39" i="53"/>
  <c r="V38" i="53"/>
  <c r="AC37" i="53"/>
  <c r="AK36" i="53"/>
  <c r="AJ36" i="53" s="1"/>
  <c r="Z33" i="53"/>
  <c r="AD32" i="53"/>
  <c r="AI31" i="53"/>
  <c r="AH31" i="53" s="1"/>
  <c r="AQ30" i="53"/>
  <c r="AX29" i="53"/>
  <c r="BE28" i="53"/>
  <c r="AV27" i="53"/>
  <c r="BB26" i="53"/>
  <c r="BQ25" i="53"/>
  <c r="D25" i="53"/>
  <c r="AM24" i="53"/>
  <c r="CE23" i="53"/>
  <c r="AC23" i="53"/>
  <c r="BN22" i="53"/>
  <c r="G22" i="53"/>
  <c r="AQ19" i="53"/>
  <c r="CH18" i="53"/>
  <c r="X18" i="53"/>
  <c r="BI17" i="53"/>
  <c r="K17" i="53"/>
  <c r="BC16" i="53"/>
  <c r="H16" i="53"/>
  <c r="BO15" i="53"/>
  <c r="N15" i="53"/>
  <c r="BT14" i="53"/>
  <c r="S14" i="53"/>
  <c r="CC13" i="53"/>
  <c r="CB13" i="53" s="1"/>
  <c r="AK13" i="53"/>
  <c r="AJ13" i="53" s="1"/>
  <c r="CM12" i="53"/>
  <c r="AT12" i="53"/>
  <c r="CT11" i="53"/>
  <c r="BC11" i="53"/>
  <c r="M11" i="53"/>
  <c r="BN10" i="53"/>
  <c r="U10" i="53"/>
  <c r="BV9" i="53"/>
  <c r="AD9" i="53"/>
  <c r="CO8" i="53"/>
  <c r="AO8" i="53"/>
  <c r="CX7" i="53"/>
  <c r="AX7" i="53"/>
  <c r="F7" i="53"/>
  <c r="E109" i="53"/>
  <c r="CX15" i="53"/>
  <c r="CT10" i="53"/>
  <c r="BH108" i="53"/>
  <c r="D30" i="53"/>
  <c r="AS22" i="53"/>
  <c r="AT15" i="53"/>
  <c r="Q13" i="53"/>
  <c r="DB9" i="53"/>
  <c r="Z178" i="53"/>
  <c r="BD146" i="53"/>
  <c r="K129" i="53"/>
  <c r="BJ109" i="53"/>
  <c r="CZ103" i="53"/>
  <c r="T97" i="53"/>
  <c r="R92" i="53"/>
  <c r="AF73" i="53"/>
  <c r="BF69" i="53"/>
  <c r="CN66" i="53"/>
  <c r="BO63" i="53"/>
  <c r="AR60" i="53"/>
  <c r="AX58" i="53"/>
  <c r="BQ56" i="53"/>
  <c r="L55" i="53"/>
  <c r="BE53" i="53"/>
  <c r="AD52" i="53"/>
  <c r="E50" i="53"/>
  <c r="CK46" i="53"/>
  <c r="BJ45" i="53"/>
  <c r="AG44" i="53"/>
  <c r="O43" i="53"/>
  <c r="CX41" i="53"/>
  <c r="DB40" i="53"/>
  <c r="G40" i="53"/>
  <c r="N39" i="53"/>
  <c r="U38" i="53"/>
  <c r="AB37" i="53"/>
  <c r="S36" i="53"/>
  <c r="X33" i="53"/>
  <c r="AB32" i="53"/>
  <c r="AG31" i="53"/>
  <c r="AO30" i="53"/>
  <c r="AV29" i="53"/>
  <c r="BD28" i="53"/>
  <c r="AT27" i="53"/>
  <c r="AY26" i="53"/>
  <c r="BP25" i="53"/>
  <c r="DB24" i="53"/>
  <c r="AK24" i="53"/>
  <c r="AJ24" i="53" s="1"/>
  <c r="CC23" i="53"/>
  <c r="CB23" i="53" s="1"/>
  <c r="AB23" i="53"/>
  <c r="BM22" i="53"/>
  <c r="F22" i="53"/>
  <c r="AO19" i="53"/>
  <c r="CG18" i="53"/>
  <c r="W18" i="53"/>
  <c r="BH17" i="53"/>
  <c r="E17" i="53"/>
  <c r="BB16" i="53"/>
  <c r="G16" i="53"/>
  <c r="BN15" i="53"/>
  <c r="M15" i="53"/>
  <c r="BS14" i="53"/>
  <c r="R14" i="53"/>
  <c r="CA13" i="53"/>
  <c r="BZ13" i="53" s="1"/>
  <c r="AI13" i="53"/>
  <c r="AH13" i="53" s="1"/>
  <c r="CK12" i="53"/>
  <c r="AS12" i="53"/>
  <c r="CS11" i="53"/>
  <c r="BB11" i="53"/>
  <c r="L11" i="53"/>
  <c r="BM10" i="53"/>
  <c r="T10" i="53"/>
  <c r="BU9" i="53"/>
  <c r="AC9" i="53"/>
  <c r="CN8" i="53"/>
  <c r="AN8" i="53"/>
  <c r="CV7" i="53"/>
  <c r="CU7" i="53" s="1"/>
  <c r="AW7" i="53"/>
  <c r="E7" i="53"/>
  <c r="BK68" i="53"/>
  <c r="R28" i="53"/>
  <c r="AX17" i="53"/>
  <c r="Z12" i="53"/>
  <c r="BU8" i="53"/>
  <c r="Q72" i="53"/>
  <c r="T19" i="53"/>
  <c r="X12" i="53"/>
  <c r="CC7" i="53"/>
  <c r="CB7" i="53" s="1"/>
  <c r="BB177" i="53"/>
  <c r="BA177" i="53" s="1"/>
  <c r="BB146" i="53"/>
  <c r="CA128" i="53"/>
  <c r="BZ128" i="53" s="1"/>
  <c r="CO119" i="53"/>
  <c r="BI109" i="53"/>
  <c r="AG103" i="53"/>
  <c r="CK94" i="53"/>
  <c r="Q92" i="53"/>
  <c r="X89" i="53"/>
  <c r="AE73" i="53"/>
  <c r="CV68" i="53"/>
  <c r="CU68" i="53" s="1"/>
  <c r="CK66" i="53"/>
  <c r="BK63" i="53"/>
  <c r="AQ60" i="53"/>
  <c r="AW58" i="53"/>
  <c r="BP56" i="53"/>
  <c r="BD53" i="53"/>
  <c r="AB52" i="53"/>
  <c r="D50" i="53"/>
  <c r="CJ46" i="53"/>
  <c r="BI45" i="53"/>
  <c r="AF44" i="53"/>
  <c r="CT42" i="53"/>
  <c r="CV41" i="53"/>
  <c r="CU41" i="53" s="1"/>
  <c r="CZ40" i="53"/>
  <c r="F40" i="53"/>
  <c r="M39" i="53"/>
  <c r="S38" i="53"/>
  <c r="AA37" i="53"/>
  <c r="R36" i="53"/>
  <c r="AA32" i="53"/>
  <c r="AF31" i="53"/>
  <c r="AN30" i="53"/>
  <c r="AT29" i="53"/>
  <c r="AC28" i="53"/>
  <c r="AS27" i="53"/>
  <c r="AW26" i="53"/>
  <c r="BK25" i="53"/>
  <c r="DA24" i="53"/>
  <c r="AI24" i="53"/>
  <c r="AH24" i="53" s="1"/>
  <c r="CA23" i="53"/>
  <c r="BZ23" i="53" s="1"/>
  <c r="AA23" i="53"/>
  <c r="BK22" i="53"/>
  <c r="E22" i="53"/>
  <c r="AN19" i="53"/>
  <c r="CF18" i="53"/>
  <c r="BG17" i="53"/>
  <c r="D17" i="53"/>
  <c r="AZ16" i="53"/>
  <c r="F16" i="53"/>
  <c r="BM15" i="53"/>
  <c r="L15" i="53"/>
  <c r="BQ14" i="53"/>
  <c r="Q14" i="53"/>
  <c r="BY13" i="53"/>
  <c r="AG13" i="53"/>
  <c r="CJ12" i="53"/>
  <c r="AR12" i="53"/>
  <c r="AZ11" i="53"/>
  <c r="BK10" i="53"/>
  <c r="S10" i="53"/>
  <c r="BT9" i="53"/>
  <c r="AB9" i="53"/>
  <c r="CM8" i="53"/>
  <c r="AM8" i="53"/>
  <c r="CT7" i="53"/>
  <c r="AV7" i="53"/>
  <c r="D7" i="53"/>
  <c r="CR102" i="53"/>
  <c r="H14" i="53"/>
  <c r="BJ9" i="53"/>
  <c r="H88" i="53"/>
  <c r="CZ30" i="53"/>
  <c r="BY24" i="53"/>
  <c r="F18" i="53"/>
  <c r="DA14" i="53"/>
  <c r="BX12" i="53"/>
  <c r="BB10" i="53"/>
  <c r="BT8" i="53"/>
  <c r="AZ177" i="53"/>
  <c r="CO145" i="53"/>
  <c r="BY128" i="53"/>
  <c r="P118" i="53"/>
  <c r="AZ109" i="53"/>
  <c r="Z103" i="53"/>
  <c r="CJ94" i="53"/>
  <c r="P92" i="53"/>
  <c r="W89" i="53"/>
  <c r="AD73" i="53"/>
  <c r="CT68" i="53"/>
  <c r="BW66" i="53"/>
  <c r="BI63" i="53"/>
  <c r="AO60" i="53"/>
  <c r="AV58" i="53"/>
  <c r="BN56" i="53"/>
  <c r="CI54" i="53"/>
  <c r="BC53" i="53"/>
  <c r="Z52" i="53"/>
  <c r="DB47" i="53"/>
  <c r="BY46" i="53"/>
  <c r="BG45" i="53"/>
  <c r="AE44" i="53"/>
  <c r="CR42" i="53"/>
  <c r="CS41" i="53"/>
  <c r="CY40" i="53"/>
  <c r="E40" i="53"/>
  <c r="L39" i="53"/>
  <c r="R38" i="53"/>
  <c r="DB36" i="53"/>
  <c r="Q36" i="53"/>
  <c r="T33" i="53"/>
  <c r="Z32" i="53"/>
  <c r="AE31" i="53"/>
  <c r="AM30" i="53"/>
  <c r="AS29" i="53"/>
  <c r="AB28" i="53"/>
  <c r="AF27" i="53"/>
  <c r="AM26" i="53"/>
  <c r="BJ25" i="53"/>
  <c r="CZ24" i="53"/>
  <c r="AG24" i="53"/>
  <c r="BY23" i="53"/>
  <c r="BC22" i="53"/>
  <c r="D22" i="53"/>
  <c r="AM19" i="53"/>
  <c r="CE18" i="53"/>
  <c r="N18" i="53"/>
  <c r="BF17" i="53"/>
  <c r="DA16" i="53"/>
  <c r="AY16" i="53"/>
  <c r="E16" i="53"/>
  <c r="BD15" i="53"/>
  <c r="K15" i="53"/>
  <c r="BP14" i="53"/>
  <c r="P14" i="53"/>
  <c r="BX13" i="53"/>
  <c r="X13" i="53"/>
  <c r="CI12" i="53"/>
  <c r="AQ12" i="53"/>
  <c r="CQ11" i="53"/>
  <c r="AY11" i="53"/>
  <c r="DA10" i="53"/>
  <c r="BJ10" i="53"/>
  <c r="R10" i="53"/>
  <c r="BS9" i="53"/>
  <c r="AA9" i="53"/>
  <c r="CC8" i="53"/>
  <c r="CB8" i="53" s="1"/>
  <c r="AK8" i="53"/>
  <c r="AJ8" i="53" s="1"/>
  <c r="CS7" i="53"/>
  <c r="AT7" i="53"/>
  <c r="AS63" i="53"/>
  <c r="DB14" i="53"/>
  <c r="AO66" i="53"/>
  <c r="AW17" i="53"/>
  <c r="L177" i="53"/>
  <c r="CN145" i="53"/>
  <c r="BX128" i="53"/>
  <c r="O118" i="53"/>
  <c r="Z109" i="53"/>
  <c r="W103" i="53"/>
  <c r="CI94" i="53"/>
  <c r="CG91" i="53"/>
  <c r="O89" i="53"/>
  <c r="BM72" i="53"/>
  <c r="CS68" i="53"/>
  <c r="BU66" i="53"/>
  <c r="AY63" i="53"/>
  <c r="AM60" i="53"/>
  <c r="AT58" i="53"/>
  <c r="BM56" i="53"/>
  <c r="CH54" i="53"/>
  <c r="AZ53" i="53"/>
  <c r="X52" i="53"/>
  <c r="DA47" i="53"/>
  <c r="BX46" i="53"/>
  <c r="BF45" i="53"/>
  <c r="CY43" i="53"/>
  <c r="CP42" i="53"/>
  <c r="CQ41" i="53"/>
  <c r="CX40" i="53"/>
  <c r="D40" i="53"/>
  <c r="K39" i="53"/>
  <c r="Q38" i="53"/>
  <c r="DA36" i="53"/>
  <c r="G36" i="53"/>
  <c r="L33" i="53"/>
  <c r="X32" i="53"/>
  <c r="AD31" i="53"/>
  <c r="AK30" i="53"/>
  <c r="AJ30" i="53" s="1"/>
  <c r="S29" i="53"/>
  <c r="AA28" i="53"/>
  <c r="AD27" i="53"/>
  <c r="AK26" i="53"/>
  <c r="AJ26" i="53" s="1"/>
  <c r="BI25" i="53"/>
  <c r="CX24" i="53"/>
  <c r="AF24" i="53"/>
  <c r="BX23" i="53"/>
  <c r="I23" i="53"/>
  <c r="AZ22" i="53"/>
  <c r="DB19" i="53"/>
  <c r="AK19" i="53"/>
  <c r="AJ19" i="53" s="1"/>
  <c r="CC18" i="53"/>
  <c r="CB18" i="53" s="1"/>
  <c r="M18" i="53"/>
  <c r="BD17" i="53"/>
  <c r="CZ16" i="53"/>
  <c r="AX16" i="53"/>
  <c r="D16" i="53"/>
  <c r="BC15" i="53"/>
  <c r="H15" i="53"/>
  <c r="BO14" i="53"/>
  <c r="O14" i="53"/>
  <c r="BW13" i="53"/>
  <c r="W13" i="53"/>
  <c r="CG12" i="53"/>
  <c r="AO12" i="53"/>
  <c r="CP11" i="53"/>
  <c r="AX11" i="53"/>
  <c r="CZ10" i="53"/>
  <c r="BH10" i="53"/>
  <c r="Q10" i="53"/>
  <c r="BQ9" i="53"/>
  <c r="Z9" i="53"/>
  <c r="CA8" i="53"/>
  <c r="BZ8" i="53" s="1"/>
  <c r="AG8" i="53"/>
  <c r="CR7" i="53"/>
  <c r="AS7" i="53"/>
  <c r="F33" i="53"/>
  <c r="AO16" i="53"/>
  <c r="AN124" i="53"/>
  <c r="Q28" i="53"/>
  <c r="CH11" i="53"/>
  <c r="H174" i="53"/>
  <c r="CC145" i="53"/>
  <c r="CB145" i="53" s="1"/>
  <c r="CS125" i="53"/>
  <c r="F118" i="53"/>
  <c r="O109" i="53"/>
  <c r="U103" i="53"/>
  <c r="CG94" i="53"/>
  <c r="CF91" i="53"/>
  <c r="N89" i="53"/>
  <c r="BK72" i="53"/>
  <c r="CQ68" i="53"/>
  <c r="BT66" i="53"/>
  <c r="AX63" i="53"/>
  <c r="AI60" i="53"/>
  <c r="AH60" i="53" s="1"/>
  <c r="S58" i="53"/>
  <c r="X56" i="53"/>
  <c r="CG54" i="53"/>
  <c r="AX53" i="53"/>
  <c r="W52" i="53"/>
  <c r="CZ47" i="53"/>
  <c r="BW46" i="53"/>
  <c r="AW45" i="53"/>
  <c r="CX43" i="53"/>
  <c r="CF42" i="53"/>
  <c r="CH41" i="53"/>
  <c r="CV40" i="53"/>
  <c r="CU40" i="53" s="1"/>
  <c r="DB39" i="53"/>
  <c r="I39" i="53"/>
  <c r="CZ36" i="53"/>
  <c r="E36" i="53"/>
  <c r="W32" i="53"/>
  <c r="AC31" i="53"/>
  <c r="AI30" i="53"/>
  <c r="AH30" i="53" s="1"/>
  <c r="R29" i="53"/>
  <c r="X28" i="53"/>
  <c r="AC27" i="53"/>
  <c r="AI26" i="53"/>
  <c r="AH26" i="53" s="1"/>
  <c r="BG25" i="53"/>
  <c r="CV24" i="53"/>
  <c r="CU24" i="53" s="1"/>
  <c r="AE24" i="53"/>
  <c r="BW23" i="53"/>
  <c r="H23" i="53"/>
  <c r="AY22" i="53"/>
  <c r="DA19" i="53"/>
  <c r="AI19" i="53"/>
  <c r="AH19" i="53" s="1"/>
  <c r="CA18" i="53"/>
  <c r="BZ18" i="53" s="1"/>
  <c r="L18" i="53"/>
  <c r="BC17" i="53"/>
  <c r="CY16" i="53"/>
  <c r="AW16" i="53"/>
  <c r="DB15" i="53"/>
  <c r="BB15" i="53"/>
  <c r="G15" i="53"/>
  <c r="BN14" i="53"/>
  <c r="N14" i="53"/>
  <c r="BV13" i="53"/>
  <c r="V13" i="53"/>
  <c r="CF12" i="53"/>
  <c r="AN12" i="53"/>
  <c r="CO11" i="53"/>
  <c r="AW11" i="53"/>
  <c r="CY10" i="53"/>
  <c r="BG10" i="53"/>
  <c r="P10" i="53"/>
  <c r="BP9" i="53"/>
  <c r="X9" i="53"/>
  <c r="BY8" i="53"/>
  <c r="AF8" i="53"/>
  <c r="CQ7" i="53"/>
  <c r="AR7" i="53"/>
  <c r="AQ66" i="53"/>
  <c r="CK16" i="53"/>
  <c r="CV90" i="53"/>
  <c r="CU90" i="53" s="1"/>
  <c r="CE19" i="53"/>
  <c r="CC173" i="53"/>
  <c r="CB173" i="53" s="1"/>
  <c r="CA125" i="53"/>
  <c r="BZ125" i="53" s="1"/>
  <c r="D118" i="53"/>
  <c r="T103" i="53"/>
  <c r="CE94" i="53"/>
  <c r="CE91" i="53"/>
  <c r="S88" i="53"/>
  <c r="BJ72" i="53"/>
  <c r="CO68" i="53"/>
  <c r="BS66" i="53"/>
  <c r="AW63" i="53"/>
  <c r="X60" i="53"/>
  <c r="R58" i="53"/>
  <c r="W56" i="53"/>
  <c r="BT54" i="53"/>
  <c r="AM53" i="53"/>
  <c r="CY47" i="53"/>
  <c r="BV46" i="53"/>
  <c r="O45" i="53"/>
  <c r="CV43" i="53"/>
  <c r="CU43" i="53" s="1"/>
  <c r="CC42" i="53"/>
  <c r="CB42" i="53" s="1"/>
  <c r="CG41" i="53"/>
  <c r="CT40" i="53"/>
  <c r="DA39" i="53"/>
  <c r="H39" i="53"/>
  <c r="CQ37" i="53"/>
  <c r="CX36" i="53"/>
  <c r="D36" i="53"/>
  <c r="I33" i="53"/>
  <c r="O32" i="53"/>
  <c r="AB31" i="53"/>
  <c r="Q29" i="53"/>
  <c r="AB27" i="53"/>
  <c r="AG26" i="53"/>
  <c r="BF25" i="53"/>
  <c r="CT24" i="53"/>
  <c r="AD24" i="53"/>
  <c r="BV23" i="53"/>
  <c r="G23" i="53"/>
  <c r="AX22" i="53"/>
  <c r="CZ19" i="53"/>
  <c r="AG19" i="53"/>
  <c r="BY18" i="53"/>
  <c r="BB17" i="53"/>
  <c r="CX16" i="53"/>
  <c r="AV16" i="53"/>
  <c r="DA15" i="53"/>
  <c r="AZ15" i="53"/>
  <c r="F15" i="53"/>
  <c r="BM14" i="53"/>
  <c r="M14" i="53"/>
  <c r="BU13" i="53"/>
  <c r="U13" i="53"/>
  <c r="CE12" i="53"/>
  <c r="AM12" i="53"/>
  <c r="CN11" i="53"/>
  <c r="AV11" i="53"/>
  <c r="CX10" i="53"/>
  <c r="BF10" i="53"/>
  <c r="O10" i="53"/>
  <c r="BO9" i="53"/>
  <c r="W9" i="53"/>
  <c r="BX8" i="53"/>
  <c r="AE8" i="53"/>
  <c r="CP7" i="53"/>
  <c r="AQ7" i="53"/>
  <c r="BS23" i="53"/>
  <c r="AR63" i="53"/>
  <c r="BB25" i="53"/>
  <c r="CS10" i="53"/>
  <c r="CA173" i="53"/>
  <c r="BZ173" i="53" s="1"/>
  <c r="AC139" i="53"/>
  <c r="BP125" i="53"/>
  <c r="DA115" i="53"/>
  <c r="G109" i="53"/>
  <c r="S103" i="53"/>
  <c r="BM94" i="53"/>
  <c r="CA91" i="53"/>
  <c r="BZ91" i="53" s="1"/>
  <c r="R88" i="53"/>
  <c r="Z72" i="53"/>
  <c r="BN68" i="53"/>
  <c r="BQ66" i="53"/>
  <c r="AV63" i="53"/>
  <c r="W60" i="53"/>
  <c r="BS57" i="53"/>
  <c r="BQ54" i="53"/>
  <c r="AK53" i="53"/>
  <c r="AJ53" i="53" s="1"/>
  <c r="U52" i="53"/>
  <c r="CX47" i="53"/>
  <c r="BU46" i="53"/>
  <c r="N45" i="53"/>
  <c r="CO43" i="53"/>
  <c r="CA42" i="53"/>
  <c r="BZ42" i="53" s="1"/>
  <c r="CF41" i="53"/>
  <c r="CK40" i="53"/>
  <c r="CZ39" i="53"/>
  <c r="CH38" i="53"/>
  <c r="CP37" i="53"/>
  <c r="CV36" i="53"/>
  <c r="CU36" i="53" s="1"/>
  <c r="DB33" i="53"/>
  <c r="H33" i="53"/>
  <c r="N32" i="53"/>
  <c r="AA31" i="53"/>
  <c r="I30" i="53"/>
  <c r="N29" i="53"/>
  <c r="U28" i="53"/>
  <c r="AA27" i="53"/>
  <c r="AF26" i="53"/>
  <c r="BE25" i="53"/>
  <c r="CK24" i="53"/>
  <c r="AC24" i="53"/>
  <c r="BU23" i="53"/>
  <c r="F23" i="53"/>
  <c r="AW22" i="53"/>
  <c r="CH19" i="53"/>
  <c r="X19" i="53"/>
  <c r="BX18" i="53"/>
  <c r="I18" i="53"/>
  <c r="AZ17" i="53"/>
  <c r="CN16" i="53"/>
  <c r="AS16" i="53"/>
  <c r="CZ15" i="53"/>
  <c r="AY15" i="53"/>
  <c r="E15" i="53"/>
  <c r="BD14" i="53"/>
  <c r="L14" i="53"/>
  <c r="BT13" i="53"/>
  <c r="T13" i="53"/>
  <c r="CC12" i="53"/>
  <c r="CB12" i="53" s="1"/>
  <c r="AB12" i="53"/>
  <c r="AT11" i="53"/>
  <c r="CV10" i="53"/>
  <c r="CU10" i="53" s="1"/>
  <c r="BE10" i="53"/>
  <c r="F10" i="53"/>
  <c r="BN9" i="53"/>
  <c r="V9" i="53"/>
  <c r="BW8" i="53"/>
  <c r="AD8" i="53"/>
  <c r="CG7" i="53"/>
  <c r="AO7" i="53"/>
  <c r="BC138" i="53"/>
  <c r="BC25" i="53"/>
  <c r="CV93" i="53"/>
  <c r="CU93" i="53" s="1"/>
  <c r="DB22" i="53"/>
  <c r="CG171" i="53"/>
  <c r="AA139" i="53"/>
  <c r="BQ124" i="53"/>
  <c r="G115" i="53"/>
  <c r="F109" i="53"/>
  <c r="CS102" i="53"/>
  <c r="BK94" i="53"/>
  <c r="CX90" i="53"/>
  <c r="P88" i="53"/>
  <c r="BM68" i="53"/>
  <c r="BP66" i="53"/>
  <c r="AT63" i="53"/>
  <c r="V60" i="53"/>
  <c r="BQ57" i="53"/>
  <c r="D56" i="53"/>
  <c r="BP54" i="53"/>
  <c r="AI53" i="53"/>
  <c r="AH53" i="53" s="1"/>
  <c r="M52" i="53"/>
  <c r="CV47" i="53"/>
  <c r="CU47" i="53" s="1"/>
  <c r="AM46" i="53"/>
  <c r="M45" i="53"/>
  <c r="CK43" i="53"/>
  <c r="BY42" i="53"/>
  <c r="CE41" i="53"/>
  <c r="CJ40" i="53"/>
  <c r="CY39" i="53"/>
  <c r="CG38" i="53"/>
  <c r="CT36" i="53"/>
  <c r="DA33" i="53"/>
  <c r="G33" i="53"/>
  <c r="M32" i="53"/>
  <c r="DB30" i="53"/>
  <c r="H30" i="53"/>
  <c r="L29" i="53"/>
  <c r="S28" i="53"/>
  <c r="Z27" i="53"/>
  <c r="AE26" i="53"/>
  <c r="BD25" i="53"/>
  <c r="CA24" i="53"/>
  <c r="BZ24" i="53" s="1"/>
  <c r="AA24" i="53"/>
  <c r="BT23" i="53"/>
  <c r="E23" i="53"/>
  <c r="AV22" i="53"/>
  <c r="CG19" i="53"/>
  <c r="V19" i="53"/>
  <c r="BW18" i="53"/>
  <c r="H18" i="53"/>
  <c r="AY17" i="53"/>
  <c r="CM16" i="53"/>
  <c r="AQ16" i="53"/>
  <c r="CY15" i="53"/>
  <c r="AW15" i="53"/>
  <c r="D15" i="53"/>
  <c r="BC14" i="53"/>
  <c r="I14" i="53"/>
  <c r="BS13" i="53"/>
  <c r="S13" i="53"/>
  <c r="CA12" i="53"/>
  <c r="BZ12" i="53" s="1"/>
  <c r="AA12" i="53"/>
  <c r="CJ11" i="53"/>
  <c r="AS11" i="53"/>
  <c r="BD10" i="53"/>
  <c r="E10" i="53"/>
  <c r="BK9" i="53"/>
  <c r="U9" i="53"/>
  <c r="BV8" i="53"/>
  <c r="AC8" i="53"/>
  <c r="CF7" i="53"/>
  <c r="AM7" i="53"/>
  <c r="T72" i="53"/>
  <c r="AT22" i="53"/>
  <c r="BI68" i="53"/>
  <c r="X24" i="53"/>
  <c r="S9" i="53"/>
  <c r="F162" i="53"/>
  <c r="DA123" i="53"/>
  <c r="CN114" i="53"/>
  <c r="BF108" i="53"/>
  <c r="AR101" i="53"/>
  <c r="CT93" i="53"/>
  <c r="CQ90" i="53"/>
  <c r="F88" i="53"/>
  <c r="G72" i="53"/>
  <c r="BD68" i="53"/>
  <c r="AK66" i="53"/>
  <c r="AJ66" i="53" s="1"/>
  <c r="BW62" i="53"/>
  <c r="BH57" i="53"/>
  <c r="CS55" i="53"/>
  <c r="BK54" i="53"/>
  <c r="W53" i="53"/>
  <c r="CJ50" i="53"/>
  <c r="BI47" i="53"/>
  <c r="AD46" i="53"/>
  <c r="E45" i="53"/>
  <c r="CF43" i="53"/>
  <c r="BT42" i="53"/>
  <c r="BX41" i="53"/>
  <c r="BN40" i="53"/>
  <c r="BT39" i="53"/>
  <c r="BY38" i="53"/>
  <c r="CG37" i="53"/>
  <c r="CO36" i="53"/>
  <c r="CT33" i="53"/>
  <c r="CC32" i="53"/>
  <c r="CB32" i="53" s="1"/>
  <c r="CQ31" i="53"/>
  <c r="CT30" i="53"/>
  <c r="DA29" i="53"/>
  <c r="G29" i="53"/>
  <c r="O28" i="53"/>
  <c r="T27" i="53"/>
  <c r="Q26" i="53"/>
  <c r="AQ25" i="53"/>
  <c r="BW24" i="53"/>
  <c r="AY23" i="53"/>
  <c r="CY22" i="53"/>
  <c r="AQ22" i="53"/>
  <c r="CA19" i="53"/>
  <c r="BZ19" i="53" s="1"/>
  <c r="R19" i="53"/>
  <c r="BC18" i="53"/>
  <c r="CS17" i="53"/>
  <c r="AT17" i="53"/>
  <c r="CH16" i="53"/>
  <c r="AK16" i="53"/>
  <c r="AJ16" i="53" s="1"/>
  <c r="CK15" i="53"/>
  <c r="AQ15" i="53"/>
  <c r="CY14" i="53"/>
  <c r="AW14" i="53"/>
  <c r="E14" i="53"/>
  <c r="BF13" i="53"/>
  <c r="N13" i="53"/>
  <c r="BV12" i="53"/>
  <c r="V12" i="53"/>
  <c r="CF11" i="53"/>
  <c r="AE11" i="53"/>
  <c r="CP10" i="53"/>
  <c r="AY10" i="53"/>
  <c r="CZ9" i="53"/>
  <c r="BG9" i="53"/>
  <c r="I9" i="53"/>
  <c r="BP8" i="53"/>
  <c r="X8" i="53"/>
  <c r="BY7" i="53"/>
  <c r="AF7" i="53"/>
  <c r="BY159" i="53"/>
  <c r="H138" i="53"/>
  <c r="CA114" i="53"/>
  <c r="BZ114" i="53" s="1"/>
  <c r="AE108" i="53"/>
  <c r="AQ101" i="53"/>
  <c r="BK93" i="53"/>
  <c r="BF90" i="53"/>
  <c r="E88" i="53"/>
  <c r="F72" i="53"/>
  <c r="BC68" i="53"/>
  <c r="CO65" i="53"/>
  <c r="BU62" i="53"/>
  <c r="AX59" i="53"/>
  <c r="BG57" i="53"/>
  <c r="CQ55" i="53"/>
  <c r="BB54" i="53"/>
  <c r="CI50" i="53"/>
  <c r="BG47" i="53"/>
  <c r="AC46" i="53"/>
  <c r="D45" i="53"/>
  <c r="CE43" i="53"/>
  <c r="BS42" i="53"/>
  <c r="AY41" i="53"/>
  <c r="BM40" i="53"/>
  <c r="BQ39" i="53"/>
  <c r="BX38" i="53"/>
  <c r="CF37" i="53"/>
  <c r="CN36" i="53"/>
  <c r="CS33" i="53"/>
  <c r="CA32" i="53"/>
  <c r="BZ32" i="53" s="1"/>
  <c r="CG31" i="53"/>
  <c r="CK30" i="53"/>
  <c r="CZ29" i="53"/>
  <c r="F29" i="53"/>
  <c r="N28" i="53"/>
  <c r="CV26" i="53"/>
  <c r="CU26" i="53" s="1"/>
  <c r="E26" i="53"/>
  <c r="AO25" i="53"/>
  <c r="BV24" i="53"/>
  <c r="N24" i="53"/>
  <c r="AX23" i="53"/>
  <c r="CX22" i="53"/>
  <c r="AO22" i="53"/>
  <c r="BY19" i="53"/>
  <c r="Q19" i="53"/>
  <c r="BB18" i="53"/>
  <c r="CR17" i="53"/>
  <c r="AS17" i="53"/>
  <c r="CG16" i="53"/>
  <c r="AI16" i="53"/>
  <c r="AH16" i="53" s="1"/>
  <c r="CJ15" i="53"/>
  <c r="AO15" i="53"/>
  <c r="CX14" i="53"/>
  <c r="AV14" i="53"/>
  <c r="D14" i="53"/>
  <c r="BE13" i="53"/>
  <c r="M13" i="53"/>
  <c r="BU12" i="53"/>
  <c r="U12" i="53"/>
  <c r="CE11" i="53"/>
  <c r="AD11" i="53"/>
  <c r="CO10" i="53"/>
  <c r="AX10" i="53"/>
  <c r="CY9" i="53"/>
  <c r="BF9" i="53"/>
  <c r="H9" i="53"/>
  <c r="BO8" i="53"/>
  <c r="W8" i="53"/>
  <c r="BX7" i="53"/>
  <c r="AE7" i="53"/>
  <c r="AK157" i="53"/>
  <c r="AJ157" i="53" s="1"/>
  <c r="F138" i="53"/>
  <c r="BY114" i="53"/>
  <c r="T107" i="53"/>
  <c r="Q101" i="53"/>
  <c r="BH93" i="53"/>
  <c r="BE90" i="53"/>
  <c r="D88" i="53"/>
  <c r="E72" i="53"/>
  <c r="BB68" i="53"/>
  <c r="CN65" i="53"/>
  <c r="BP62" i="53"/>
  <c r="AV59" i="53"/>
  <c r="BF57" i="53"/>
  <c r="CP55" i="53"/>
  <c r="AZ54" i="53"/>
  <c r="CP52" i="53"/>
  <c r="CH50" i="53"/>
  <c r="BE47" i="53"/>
  <c r="AB46" i="53"/>
  <c r="DB44" i="53"/>
  <c r="CC43" i="53"/>
  <c r="CB43" i="53" s="1"/>
  <c r="BQ42" i="53"/>
  <c r="AX41" i="53"/>
  <c r="BC40" i="53"/>
  <c r="BH39" i="53"/>
  <c r="BW38" i="53"/>
  <c r="CE37" i="53"/>
  <c r="BT33" i="53"/>
  <c r="BY32" i="53"/>
  <c r="CE31" i="53"/>
  <c r="CJ30" i="53"/>
  <c r="CY29" i="53"/>
  <c r="CW29" i="53" s="1"/>
  <c r="E29" i="53"/>
  <c r="M28" i="53"/>
  <c r="CT26" i="53"/>
  <c r="D26" i="53"/>
  <c r="AN25" i="53"/>
  <c r="BU24" i="53"/>
  <c r="M24" i="53"/>
  <c r="AW23" i="53"/>
  <c r="CV22" i="53"/>
  <c r="CU22" i="53" s="1"/>
  <c r="AN22" i="53"/>
  <c r="BX19" i="53"/>
  <c r="P19" i="53"/>
  <c r="AZ18" i="53"/>
  <c r="CQ17" i="53"/>
  <c r="AR17" i="53"/>
  <c r="CF16" i="53"/>
  <c r="AG16" i="53"/>
  <c r="CI15" i="53"/>
  <c r="AN15" i="53"/>
  <c r="CV14" i="53"/>
  <c r="CU14" i="53" s="1"/>
  <c r="AT14" i="53"/>
  <c r="DB13" i="53"/>
  <c r="BD13" i="53"/>
  <c r="L13" i="53"/>
  <c r="BT12" i="53"/>
  <c r="T12" i="53"/>
  <c r="CC11" i="53"/>
  <c r="CB11" i="53" s="1"/>
  <c r="AC11" i="53"/>
  <c r="CN10" i="53"/>
  <c r="AW10" i="53"/>
  <c r="CX9" i="53"/>
  <c r="BE9" i="53"/>
  <c r="G9" i="53"/>
  <c r="BN8" i="53"/>
  <c r="V8" i="53"/>
  <c r="BW7" i="53"/>
  <c r="AD7" i="53"/>
  <c r="R157" i="53"/>
  <c r="E138" i="53"/>
  <c r="CP123" i="53"/>
  <c r="BX114" i="53"/>
  <c r="S107" i="53"/>
  <c r="I101" i="53"/>
  <c r="BF93" i="53"/>
  <c r="BD90" i="53"/>
  <c r="BV87" i="53"/>
  <c r="DB70" i="53"/>
  <c r="CZ67" i="53"/>
  <c r="BN62" i="53"/>
  <c r="AK43" i="53"/>
  <c r="AJ43" i="53" s="1"/>
  <c r="AN66" i="53"/>
  <c r="F9" i="53"/>
  <c r="BJ58" i="53"/>
  <c r="CE16" i="53"/>
  <c r="L8" i="53"/>
  <c r="AQ9" i="53"/>
  <c r="CF10" i="53"/>
  <c r="I12" i="53"/>
  <c r="K13" i="53"/>
  <c r="AO14" i="53"/>
  <c r="AL14" i="53" s="1"/>
  <c r="CA15" i="53"/>
  <c r="BZ15" i="53" s="1"/>
  <c r="S17" i="53"/>
  <c r="CO18" i="53"/>
  <c r="AD22" i="53"/>
  <c r="I24" i="53"/>
  <c r="CV25" i="53"/>
  <c r="CU25" i="53" s="1"/>
  <c r="BU28" i="53"/>
  <c r="AT31" i="53"/>
  <c r="BS33" i="53"/>
  <c r="BK38" i="53"/>
  <c r="AN41" i="53"/>
  <c r="BK44" i="53"/>
  <c r="BD50" i="53"/>
  <c r="AY54" i="53"/>
  <c r="AQ59" i="53"/>
  <c r="CX67" i="53"/>
  <c r="BB90" i="53"/>
  <c r="BG108" i="53"/>
  <c r="BW149" i="53"/>
  <c r="BC62" i="53"/>
  <c r="BE39" i="53"/>
  <c r="BM7" i="53"/>
  <c r="U121" i="53"/>
  <c r="I46" i="53"/>
  <c r="BQ32" i="53"/>
  <c r="U25" i="53"/>
  <c r="AA25" i="53"/>
  <c r="AT43" i="53"/>
  <c r="M8" i="53"/>
  <c r="AZ9" i="53"/>
  <c r="CG10" i="53"/>
  <c r="K12" i="53"/>
  <c r="P13" i="53"/>
  <c r="AQ14" i="53"/>
  <c r="CC15" i="53"/>
  <c r="CB15" i="53" s="1"/>
  <c r="T17" i="53"/>
  <c r="CP18" i="53"/>
  <c r="AR22" i="53"/>
  <c r="CX25" i="53"/>
  <c r="BW28" i="53"/>
  <c r="BS31" i="53"/>
  <c r="CV33" i="53"/>
  <c r="CU33" i="53" s="1"/>
  <c r="BM38" i="53"/>
  <c r="AQ41" i="53"/>
  <c r="BM44" i="53"/>
  <c r="BE50" i="53"/>
  <c r="BM54" i="53"/>
  <c r="AR59" i="53"/>
  <c r="CY67" i="53"/>
  <c r="CS90" i="53"/>
  <c r="CM111" i="53"/>
  <c r="BX149" i="53"/>
  <c r="BF29" i="53"/>
  <c r="CT22" i="53"/>
  <c r="BE62" i="53"/>
  <c r="BX24" i="53"/>
  <c r="AM23" i="53"/>
  <c r="U27" i="53"/>
  <c r="BB37" i="53"/>
  <c r="AY40" i="53"/>
  <c r="AU40" i="53" s="1"/>
  <c r="CJ27" i="53"/>
  <c r="BB9" i="53"/>
  <c r="CH10" i="53"/>
  <c r="L12" i="53"/>
  <c r="AR13" i="53"/>
  <c r="AS14" i="53"/>
  <c r="CE15" i="53"/>
  <c r="U17" i="53"/>
  <c r="CQ18" i="53"/>
  <c r="L24" i="53"/>
  <c r="CY25" i="53"/>
  <c r="BY28" i="53"/>
  <c r="BT31" i="53"/>
  <c r="AZ36" i="53"/>
  <c r="BV38" i="53"/>
  <c r="AR41" i="53"/>
  <c r="BN44" i="53"/>
  <c r="BG50" i="53"/>
  <c r="AI55" i="53"/>
  <c r="AH55" i="53" s="1"/>
  <c r="AS59" i="53"/>
  <c r="BG68" i="53"/>
  <c r="AO92" i="53"/>
  <c r="CN111" i="53"/>
  <c r="AT155" i="53"/>
  <c r="I52" i="53"/>
  <c r="CP9" i="53"/>
  <c r="CE120" i="53"/>
  <c r="CP36" i="53"/>
  <c r="CP26" i="53"/>
  <c r="CT8" i="53"/>
  <c r="DB98" i="53"/>
  <c r="DA9" i="53"/>
  <c r="AT65" i="53"/>
  <c r="BI87" i="53"/>
  <c r="E54" i="53"/>
  <c r="F54" i="53"/>
  <c r="M7" i="53"/>
  <c r="N8" i="53"/>
  <c r="BT22" i="53"/>
  <c r="N7" i="53"/>
  <c r="Z8" i="53"/>
  <c r="BC9" i="53"/>
  <c r="CI10" i="53"/>
  <c r="M12" i="53"/>
  <c r="AS13" i="53"/>
  <c r="AX14" i="53"/>
  <c r="CG15" i="53"/>
  <c r="V17" i="53"/>
  <c r="CE22" i="53"/>
  <c r="W24" i="53"/>
  <c r="CZ25" i="53"/>
  <c r="CA28" i="53"/>
  <c r="BZ28" i="53" s="1"/>
  <c r="BU31" i="53"/>
  <c r="BB36" i="53"/>
  <c r="CA38" i="53"/>
  <c r="BZ38" i="53" s="1"/>
  <c r="AT41" i="53"/>
  <c r="CX44" i="53"/>
  <c r="BH50" i="53"/>
  <c r="AK55" i="53"/>
  <c r="AJ55" i="53" s="1"/>
  <c r="CR69" i="53"/>
  <c r="AD93" i="53"/>
  <c r="CZ111" i="53"/>
  <c r="CS155" i="53"/>
  <c r="CR31" i="53"/>
  <c r="CO55" i="53"/>
  <c r="CC52" i="53"/>
  <c r="CB52" i="53" s="1"/>
  <c r="BP19" i="53"/>
  <c r="BP32" i="53"/>
  <c r="BS19" i="53"/>
  <c r="AG57" i="53"/>
  <c r="BQ89" i="53"/>
  <c r="AC38" i="53"/>
  <c r="O7" i="53"/>
  <c r="AV8" i="53"/>
  <c r="BD9" i="53"/>
  <c r="CJ10" i="53"/>
  <c r="N12" i="53"/>
  <c r="AT13" i="53"/>
  <c r="CA14" i="53"/>
  <c r="BZ14" i="53" s="1"/>
  <c r="W17" i="53"/>
  <c r="DB18" i="53"/>
  <c r="CF22" i="53"/>
  <c r="BI24" i="53"/>
  <c r="DB25" i="53"/>
  <c r="CC28" i="53"/>
  <c r="CB28" i="53" s="1"/>
  <c r="BW31" i="53"/>
  <c r="BC36" i="53"/>
  <c r="W39" i="53"/>
  <c r="AW41" i="53"/>
  <c r="CY44" i="53"/>
  <c r="BI50" i="53"/>
  <c r="AO55" i="53"/>
  <c r="U62" i="53"/>
  <c r="CT69" i="53"/>
  <c r="AE93" i="53"/>
  <c r="L112" i="53"/>
  <c r="CT155" i="53"/>
  <c r="BI8" i="53"/>
  <c r="CF55" i="53"/>
  <c r="BD62" i="53"/>
  <c r="BF39" i="53"/>
  <c r="CK29" i="53"/>
  <c r="CS26" i="53"/>
  <c r="BV42" i="53"/>
  <c r="BU32" i="53"/>
  <c r="AO106" i="53"/>
  <c r="CE30" i="53"/>
  <c r="CH15" i="53"/>
  <c r="P7" i="53"/>
  <c r="BE8" i="53"/>
  <c r="BH9" i="53"/>
  <c r="CK10" i="53"/>
  <c r="O12" i="53"/>
  <c r="AV13" i="53"/>
  <c r="CC14" i="53"/>
  <c r="CB14" i="53" s="1"/>
  <c r="CM15" i="53"/>
  <c r="X17" i="53"/>
  <c r="L19" i="53"/>
  <c r="CG22" i="53"/>
  <c r="BJ24" i="53"/>
  <c r="S26" i="53"/>
  <c r="DB28" i="53"/>
  <c r="BX31" i="53"/>
  <c r="BD36" i="53"/>
  <c r="X39" i="53"/>
  <c r="BY41" i="53"/>
  <c r="CZ44" i="53"/>
  <c r="BJ50" i="53"/>
  <c r="AR55" i="53"/>
  <c r="AE62" i="53"/>
  <c r="CV69" i="53"/>
  <c r="CU69" i="53" s="1"/>
  <c r="AF93" i="53"/>
  <c r="AN112" i="53"/>
  <c r="CY156" i="53"/>
  <c r="BO24" i="53"/>
  <c r="CI17" i="53"/>
  <c r="AI42" i="53"/>
  <c r="AH42" i="53" s="1"/>
  <c r="AO65" i="53"/>
  <c r="AY37" i="53"/>
  <c r="DB29" i="53"/>
  <c r="CC30" i="53"/>
  <c r="CB30" i="53" s="1"/>
  <c r="BH33" i="53"/>
  <c r="BF8" i="53"/>
  <c r="CM10" i="53"/>
  <c r="P12" i="53"/>
  <c r="CE14" i="53"/>
  <c r="P16" i="53"/>
  <c r="Z17" i="53"/>
  <c r="M19" i="53"/>
  <c r="CH22" i="53"/>
  <c r="BK24" i="53"/>
  <c r="CG26" i="53"/>
  <c r="D29" i="53"/>
  <c r="BY31" i="53"/>
  <c r="BF36" i="53"/>
  <c r="AZ39" i="53"/>
  <c r="AB42" i="53"/>
  <c r="DA44" i="53"/>
  <c r="BK50" i="53"/>
  <c r="AS55" i="53"/>
  <c r="AF62" i="53"/>
  <c r="CY69" i="53"/>
  <c r="AG93" i="53"/>
  <c r="G113" i="53"/>
  <c r="DA156" i="53"/>
  <c r="CS22" i="53"/>
  <c r="CK26" i="53"/>
  <c r="Z98" i="53"/>
  <c r="BO32" i="53"/>
  <c r="R25" i="53"/>
  <c r="Z46" i="53"/>
  <c r="AF46" i="53"/>
  <c r="CH27" i="53"/>
  <c r="AF47" i="53"/>
  <c r="CR10" i="53"/>
  <c r="Q16" i="53"/>
  <c r="N19" i="53"/>
  <c r="CI22" i="53"/>
  <c r="BM24" i="53"/>
  <c r="H29" i="53"/>
  <c r="CA31" i="53"/>
  <c r="BZ31" i="53" s="1"/>
  <c r="BH36" i="53"/>
  <c r="BB39" i="53"/>
  <c r="AC42" i="53"/>
  <c r="F45" i="53"/>
  <c r="BM50" i="53"/>
  <c r="AV55" i="53"/>
  <c r="AG62" i="53"/>
  <c r="D70" i="53"/>
  <c r="AS93" i="53"/>
  <c r="H113" i="53"/>
  <c r="P157" i="53"/>
  <c r="AB7" i="53"/>
  <c r="S11" i="53"/>
  <c r="W12" i="53"/>
  <c r="BB13" i="53"/>
  <c r="CH14" i="53"/>
  <c r="S16" i="53"/>
  <c r="T11" i="53"/>
  <c r="BC13" i="53"/>
  <c r="CJ14" i="53"/>
  <c r="T16" i="53"/>
  <c r="CQ9" i="53"/>
  <c r="U11" i="53"/>
  <c r="BC12" i="53"/>
  <c r="BG13" i="53"/>
  <c r="CK14" i="53"/>
  <c r="AC16" i="53"/>
  <c r="BS8" i="53"/>
  <c r="X11" i="53"/>
  <c r="BE12" i="53"/>
  <c r="CK13" i="53"/>
  <c r="CZ14" i="53"/>
  <c r="AE16" i="53"/>
  <c r="CM17" i="53"/>
  <c r="CV9" i="53"/>
  <c r="CU9" i="53" s="1"/>
  <c r="Z11" i="53"/>
  <c r="BF12" i="53"/>
  <c r="CM13" i="53"/>
  <c r="T15" i="53"/>
  <c r="AF16" i="53"/>
  <c r="CN17" i="53"/>
  <c r="BO7" i="53"/>
  <c r="AA11" i="53"/>
  <c r="BG12" i="53"/>
  <c r="CN13" i="53"/>
  <c r="AC15" i="53"/>
  <c r="AM16" i="53"/>
  <c r="CO17" i="53"/>
  <c r="AF11" i="53"/>
  <c r="BF65" i="53"/>
  <c r="CA7" i="53"/>
  <c r="BZ7" i="53" s="1"/>
  <c r="E9" i="53"/>
  <c r="AG10" i="53"/>
  <c r="BM11" i="53"/>
  <c r="DB12" i="53"/>
  <c r="F14" i="53"/>
  <c r="AK15" i="53"/>
  <c r="AJ15" i="53" s="1"/>
  <c r="BV16" i="53"/>
  <c r="AR18" i="53"/>
  <c r="O22" i="53"/>
  <c r="BH23" i="53"/>
  <c r="AO131" i="53"/>
  <c r="AI10" i="53"/>
  <c r="AH10" i="53" s="1"/>
  <c r="BN11" i="53"/>
  <c r="D13" i="53"/>
  <c r="AF14" i="53"/>
  <c r="AM15" i="53"/>
  <c r="BW16" i="53"/>
  <c r="AT18" i="53"/>
  <c r="P22" i="53"/>
  <c r="CS23" i="53"/>
  <c r="BS89" i="53"/>
  <c r="Q7" i="53"/>
  <c r="CK9" i="53"/>
  <c r="AX13" i="53"/>
  <c r="Z7" i="53"/>
  <c r="BG8" i="53"/>
  <c r="CM9" i="53"/>
  <c r="Q12" i="53"/>
  <c r="AY13" i="53"/>
  <c r="CF14" i="53"/>
  <c r="AV17" i="53"/>
  <c r="CH26" i="53"/>
  <c r="AA7" i="53"/>
  <c r="BH8" i="53"/>
  <c r="CN9" i="53"/>
  <c r="R11" i="53"/>
  <c r="S12" i="53"/>
  <c r="AZ13" i="53"/>
  <c r="CG14" i="53"/>
  <c r="R16" i="53"/>
  <c r="BW17" i="53"/>
  <c r="O19" i="53"/>
  <c r="CJ22" i="53"/>
  <c r="BN24" i="53"/>
  <c r="CI26" i="53"/>
  <c r="BD29" i="53"/>
  <c r="CC31" i="53"/>
  <c r="CB31" i="53" s="1"/>
  <c r="BI36" i="53"/>
  <c r="BC39" i="53"/>
  <c r="AD42" i="53"/>
  <c r="CC45" i="53"/>
  <c r="CB45" i="53" s="1"/>
  <c r="BO50" i="53"/>
  <c r="CE55" i="53"/>
  <c r="BB62" i="53"/>
  <c r="S70" i="53"/>
  <c r="AT93" i="53"/>
  <c r="I113" i="53"/>
  <c r="BM163" i="53"/>
  <c r="DF197" i="53"/>
  <c r="DD197" i="53"/>
  <c r="DE197" i="53"/>
  <c r="DG197" i="53"/>
  <c r="DH197" i="53"/>
  <c r="DI197" i="53"/>
  <c r="AU33" i="53"/>
  <c r="J230" i="53"/>
  <c r="AL236" i="53"/>
  <c r="CW242" i="53"/>
  <c r="DC244" i="53"/>
  <c r="BR242" i="53"/>
  <c r="CD230" i="53"/>
  <c r="AL238" i="53"/>
  <c r="CL245" i="53"/>
  <c r="AP236" i="53"/>
  <c r="Y228" i="53"/>
  <c r="CW229" i="53"/>
  <c r="AP242" i="53"/>
  <c r="AP244" i="53"/>
  <c r="Y245" i="53"/>
  <c r="AL240" i="53"/>
  <c r="BA236" i="53"/>
  <c r="AL228" i="53"/>
  <c r="BA242" i="53"/>
  <c r="AP243" i="53"/>
  <c r="Y242" i="53"/>
  <c r="CL242" i="53"/>
  <c r="DC229" i="53"/>
  <c r="AU237" i="53"/>
  <c r="Y222" i="53"/>
  <c r="CW218" i="53"/>
  <c r="AP210" i="53"/>
  <c r="AL222" i="53"/>
  <c r="AU222" i="53"/>
  <c r="AP215" i="53"/>
  <c r="AL224" i="53"/>
  <c r="CW212" i="53"/>
  <c r="DC211" i="53"/>
  <c r="AL210" i="53"/>
  <c r="CW199" i="53"/>
  <c r="Y204" i="53"/>
  <c r="BL200" i="53"/>
  <c r="AU195" i="53"/>
  <c r="AP188" i="53"/>
  <c r="AP190" i="53"/>
  <c r="Y188" i="53"/>
  <c r="AP182" i="53"/>
  <c r="BL168" i="53"/>
  <c r="AP165" i="53"/>
  <c r="Y163" i="53"/>
  <c r="CW169" i="53"/>
  <c r="CD172" i="53"/>
  <c r="AU165" i="53"/>
  <c r="AL157" i="53"/>
  <c r="CD142" i="53"/>
  <c r="AL145" i="53"/>
  <c r="CW147" i="53"/>
  <c r="CW149" i="53"/>
  <c r="CD155" i="53"/>
  <c r="AP145" i="53"/>
  <c r="AP149" i="53"/>
  <c r="AL154" i="53"/>
  <c r="BL155" i="53"/>
  <c r="Y157" i="53"/>
  <c r="AU133" i="53"/>
  <c r="AP125" i="53"/>
  <c r="AU135" i="53"/>
  <c r="CD123" i="53"/>
  <c r="AL122" i="53"/>
  <c r="AP134" i="53"/>
  <c r="CW135" i="53"/>
  <c r="AP133" i="53"/>
  <c r="CW119" i="53"/>
  <c r="AL127" i="53"/>
  <c r="DC121" i="53"/>
  <c r="AL125" i="53"/>
  <c r="AL110" i="53"/>
  <c r="CW114" i="53"/>
  <c r="DC114" i="53"/>
  <c r="AP110" i="53"/>
  <c r="BL111" i="53"/>
  <c r="AU103" i="53"/>
  <c r="AP115" i="53"/>
  <c r="AU115" i="53"/>
  <c r="CW60" i="53"/>
  <c r="BR27" i="53"/>
  <c r="CW19" i="53"/>
  <c r="CT85" i="53"/>
  <c r="AR84" i="53"/>
  <c r="R81" i="53"/>
  <c r="AO84" i="53"/>
  <c r="AM84" i="53"/>
  <c r="BW84" i="53"/>
  <c r="CK75" i="53"/>
  <c r="AO77" i="53"/>
  <c r="AB77" i="53"/>
  <c r="AQ84" i="53"/>
  <c r="CE86" i="53"/>
  <c r="CA86" i="53"/>
  <c r="BZ86" i="53" s="1"/>
  <c r="BY86" i="53"/>
  <c r="BS79" i="53"/>
  <c r="M79" i="53"/>
  <c r="L79" i="53"/>
  <c r="I79" i="53"/>
  <c r="DB82" i="53"/>
  <c r="G79" i="53"/>
  <c r="DA82" i="53"/>
  <c r="BT74" i="53"/>
  <c r="BS74" i="53"/>
  <c r="BU74" i="53"/>
  <c r="CS85" i="53"/>
  <c r="CY82" i="53"/>
  <c r="BW74" i="53"/>
  <c r="O84" i="53"/>
  <c r="CV82" i="53"/>
  <c r="CU82" i="53" s="1"/>
  <c r="CI74" i="53"/>
  <c r="CO85" i="53"/>
  <c r="AO82" i="53"/>
  <c r="CP80" i="53"/>
  <c r="BQ85" i="53"/>
  <c r="AN82" i="53"/>
  <c r="CO80" i="53"/>
  <c r="DA76" i="53"/>
  <c r="AM85" i="53"/>
  <c r="CN80" i="53"/>
  <c r="CK76" i="53"/>
  <c r="AQ82" i="53"/>
  <c r="AK85" i="53"/>
  <c r="AJ85" i="53" s="1"/>
  <c r="AI82" i="53"/>
  <c r="AH82" i="53" s="1"/>
  <c r="CJ80" i="53"/>
  <c r="CI76" i="53"/>
  <c r="CP85" i="53"/>
  <c r="AI85" i="53"/>
  <c r="AH85" i="53" s="1"/>
  <c r="BK78" i="53"/>
  <c r="BX74" i="53"/>
  <c r="BJ78" i="53"/>
  <c r="CI80" i="53"/>
  <c r="CG86" i="53"/>
  <c r="AF85" i="53"/>
  <c r="AA80" i="53"/>
  <c r="U76" i="53"/>
  <c r="CF86" i="53"/>
  <c r="AE85" i="53"/>
  <c r="CS83" i="53"/>
  <c r="Z80" i="53"/>
  <c r="BI78" i="53"/>
  <c r="T76" i="53"/>
  <c r="CQ83" i="53"/>
  <c r="X80" i="53"/>
  <c r="BF78" i="53"/>
  <c r="Q76" i="53"/>
  <c r="CP83" i="53"/>
  <c r="U80" i="53"/>
  <c r="T80" i="53"/>
  <c r="AZ83" i="53"/>
  <c r="AY83" i="53"/>
  <c r="AS83" i="53"/>
  <c r="CI81" i="53"/>
  <c r="BM74" i="53"/>
  <c r="H74" i="53"/>
  <c r="R86" i="53"/>
  <c r="DB84" i="53"/>
  <c r="U83" i="53"/>
  <c r="CG81" i="53"/>
  <c r="CQ77" i="53"/>
  <c r="AS78" i="53"/>
  <c r="BJ80" i="53"/>
  <c r="X82" i="53"/>
  <c r="BV76" i="53"/>
  <c r="G81" i="53"/>
  <c r="BW82" i="53"/>
  <c r="BB75" i="53"/>
  <c r="AT79" i="53"/>
  <c r="BT81" i="53"/>
  <c r="BP85" i="53"/>
  <c r="CS78" i="53"/>
  <c r="BV82" i="53"/>
  <c r="CP77" i="53"/>
  <c r="AA77" i="53"/>
  <c r="BH80" i="53"/>
  <c r="CJ76" i="53"/>
  <c r="BE78" i="53"/>
  <c r="BQ79" i="53"/>
  <c r="P76" i="53"/>
  <c r="BN75" i="53"/>
  <c r="F79" i="53"/>
  <c r="BV74" i="53"/>
  <c r="AD78" i="53"/>
  <c r="BN74" i="53"/>
  <c r="AF75" i="53"/>
  <c r="W86" i="53"/>
  <c r="BW77" i="53"/>
  <c r="AT83" i="53"/>
  <c r="AM74" i="53"/>
  <c r="G74" i="53"/>
  <c r="I86" i="53"/>
  <c r="DA84" i="53"/>
  <c r="AM81" i="53"/>
  <c r="BH77" i="53"/>
  <c r="CI75" i="53"/>
  <c r="BD86" i="53"/>
  <c r="BJ74" i="53"/>
  <c r="BI74" i="53"/>
  <c r="S86" i="53"/>
  <c r="F74" i="53"/>
  <c r="CY84" i="53"/>
  <c r="W81" i="53"/>
  <c r="BX79" i="53"/>
  <c r="BG77" i="53"/>
  <c r="CF75" i="53"/>
  <c r="CG83" i="53"/>
  <c r="BE80" i="53"/>
  <c r="AW83" i="53"/>
  <c r="U86" i="53"/>
  <c r="CQ75" i="53"/>
  <c r="CV84" i="53"/>
  <c r="CU84" i="53" s="1"/>
  <c r="BW79" i="53"/>
  <c r="BF77" i="53"/>
  <c r="BO75" i="53"/>
  <c r="DA81" i="53"/>
  <c r="CK81" i="53"/>
  <c r="CT84" i="53"/>
  <c r="T81" i="53"/>
  <c r="BU79" i="53"/>
  <c r="AQ77" i="53"/>
  <c r="BK74" i="53"/>
  <c r="E74" i="53"/>
  <c r="CC86" i="53"/>
  <c r="CB86" i="53" s="1"/>
  <c r="T86" i="53"/>
  <c r="CQ85" i="53"/>
  <c r="AG85" i="53"/>
  <c r="CX84" i="53"/>
  <c r="AN84" i="53"/>
  <c r="AV83" i="53"/>
  <c r="CZ82" i="53"/>
  <c r="AM82" i="53"/>
  <c r="CJ81" i="53"/>
  <c r="U81" i="53"/>
  <c r="W80" i="53"/>
  <c r="BT79" i="53"/>
  <c r="H79" i="53"/>
  <c r="BH78" i="53"/>
  <c r="AR77" i="53"/>
  <c r="S76" i="53"/>
  <c r="BP75" i="53"/>
  <c r="Q86" i="53"/>
  <c r="AN77" i="53"/>
  <c r="BB78" i="53"/>
  <c r="O86" i="53"/>
  <c r="AB85" i="53"/>
  <c r="AA83" i="53"/>
  <c r="AE82" i="53"/>
  <c r="CA81" i="53"/>
  <c r="BZ81" i="53" s="1"/>
  <c r="N81" i="53"/>
  <c r="BQ80" i="53"/>
  <c r="E80" i="53"/>
  <c r="BM79" i="53"/>
  <c r="AZ78" i="53"/>
  <c r="CZ77" i="53"/>
  <c r="AI77" i="53"/>
  <c r="AH77" i="53" s="1"/>
  <c r="CF76" i="53"/>
  <c r="L76" i="53"/>
  <c r="BI75" i="53"/>
  <c r="BY74" i="53"/>
  <c r="CN85" i="53"/>
  <c r="D79" i="53"/>
  <c r="CA74" i="53"/>
  <c r="BW86" i="53"/>
  <c r="AC85" i="53"/>
  <c r="AB83" i="53"/>
  <c r="CG76" i="53"/>
  <c r="CJ85" i="53"/>
  <c r="BH74" i="53"/>
  <c r="AD85" i="53"/>
  <c r="CO83" i="53"/>
  <c r="CT82" i="53"/>
  <c r="CF81" i="53"/>
  <c r="S80" i="53"/>
  <c r="N76" i="53"/>
  <c r="P86" i="53"/>
  <c r="AG84" i="53"/>
  <c r="CS82" i="53"/>
  <c r="CC81" i="53"/>
  <c r="CB81" i="53" s="1"/>
  <c r="R80" i="53"/>
  <c r="M76" i="53"/>
  <c r="AS74" i="53"/>
  <c r="CE84" i="53"/>
  <c r="N86" i="53"/>
  <c r="CC84" i="53"/>
  <c r="CB84" i="53" s="1"/>
  <c r="CK83" i="53"/>
  <c r="CP82" i="53"/>
  <c r="M81" i="53"/>
  <c r="D80" i="53"/>
  <c r="AY78" i="53"/>
  <c r="AQ74" i="53"/>
  <c r="CI85" i="53"/>
  <c r="CA84" i="53"/>
  <c r="BZ84" i="53" s="1"/>
  <c r="CJ83" i="53"/>
  <c r="AB82" i="53"/>
  <c r="L81" i="53"/>
  <c r="AW78" i="53"/>
  <c r="AF77" i="53"/>
  <c r="CA76" i="53"/>
  <c r="BZ76" i="53" s="1"/>
  <c r="BF75" i="53"/>
  <c r="BX86" i="53"/>
  <c r="CG84" i="53"/>
  <c r="AI84" i="53"/>
  <c r="AH84" i="53" s="1"/>
  <c r="AC83" i="53"/>
  <c r="AG82" i="53"/>
  <c r="Q81" i="53"/>
  <c r="CH80" i="53"/>
  <c r="BO79" i="53"/>
  <c r="BC78" i="53"/>
  <c r="BM75" i="53"/>
  <c r="AT74" i="53"/>
  <c r="CF84" i="53"/>
  <c r="CN83" i="53"/>
  <c r="AF82" i="53"/>
  <c r="O81" i="53"/>
  <c r="CG80" i="53"/>
  <c r="BN79" i="53"/>
  <c r="DA77" i="53"/>
  <c r="AK77" i="53"/>
  <c r="AJ77" i="53" s="1"/>
  <c r="BJ75" i="53"/>
  <c r="CC74" i="53"/>
  <c r="BV86" i="53"/>
  <c r="CK85" i="53"/>
  <c r="AF84" i="53"/>
  <c r="CE74" i="53"/>
  <c r="AR74" i="53"/>
  <c r="BH86" i="53"/>
  <c r="AA85" i="53"/>
  <c r="AE84" i="53"/>
  <c r="Z83" i="53"/>
  <c r="AD82" i="53"/>
  <c r="BY81" i="53"/>
  <c r="BP80" i="53"/>
  <c r="BK79" i="53"/>
  <c r="CX77" i="53"/>
  <c r="AG77" i="53"/>
  <c r="CC76" i="53"/>
  <c r="CB76" i="53" s="1"/>
  <c r="BG75" i="53"/>
  <c r="CF74" i="53"/>
  <c r="BG86" i="53"/>
  <c r="M86" i="53"/>
  <c r="Z85" i="53"/>
  <c r="R84" i="53"/>
  <c r="X83" i="53"/>
  <c r="CO82" i="53"/>
  <c r="BX81" i="53"/>
  <c r="BO80" i="53"/>
  <c r="AX79" i="53"/>
  <c r="CV77" i="53"/>
  <c r="CU77" i="53" s="1"/>
  <c r="H76" i="53"/>
  <c r="CG74" i="53"/>
  <c r="AO74" i="53"/>
  <c r="BO74" i="53"/>
  <c r="BF86" i="53"/>
  <c r="L86" i="53"/>
  <c r="BT85" i="53"/>
  <c r="X85" i="53"/>
  <c r="BY84" i="53"/>
  <c r="Q84" i="53"/>
  <c r="CI83" i="53"/>
  <c r="W83" i="53"/>
  <c r="CN82" i="53"/>
  <c r="AA82" i="53"/>
  <c r="BV81" i="53"/>
  <c r="I81" i="53"/>
  <c r="BN80" i="53"/>
  <c r="AW79" i="53"/>
  <c r="AV78" i="53"/>
  <c r="CT77" i="53"/>
  <c r="AE77" i="53"/>
  <c r="BY76" i="53"/>
  <c r="E76" i="53"/>
  <c r="BE75" i="53"/>
  <c r="CH74" i="53"/>
  <c r="AN74" i="53"/>
  <c r="D74" i="53"/>
  <c r="BE86" i="53"/>
  <c r="BS85" i="53"/>
  <c r="W85" i="53"/>
  <c r="BX84" i="53"/>
  <c r="P84" i="53"/>
  <c r="CH83" i="53"/>
  <c r="Z82" i="53"/>
  <c r="BU81" i="53"/>
  <c r="H81" i="53"/>
  <c r="BK80" i="53"/>
  <c r="AV79" i="53"/>
  <c r="AT78" i="53"/>
  <c r="CS77" i="53"/>
  <c r="AD77" i="53"/>
  <c r="BX76" i="53"/>
  <c r="BD75" i="53"/>
  <c r="BU82" i="53"/>
  <c r="AC78" i="53"/>
  <c r="AG75" i="53"/>
  <c r="BN85" i="53"/>
  <c r="R85" i="53"/>
  <c r="AA78" i="53"/>
  <c r="BX77" i="53"/>
  <c r="L77" i="53"/>
  <c r="BD76" i="53"/>
  <c r="AE75" i="53"/>
  <c r="BS84" i="53"/>
  <c r="I84" i="53"/>
  <c r="AK79" i="53"/>
  <c r="AJ79" i="53" s="1"/>
  <c r="CN78" i="53"/>
  <c r="BC76" i="53"/>
  <c r="AD75" i="53"/>
  <c r="BS82" i="53"/>
  <c r="N83" i="53"/>
  <c r="CN77" i="53"/>
  <c r="F82" i="53"/>
  <c r="H77" i="53"/>
  <c r="CA75" i="53"/>
  <c r="BZ75" i="53" s="1"/>
  <c r="AB74" i="53"/>
  <c r="CO86" i="53"/>
  <c r="AT86" i="53"/>
  <c r="BH85" i="53"/>
  <c r="BM84" i="53"/>
  <c r="F84" i="53"/>
  <c r="BH83" i="53"/>
  <c r="L83" i="53"/>
  <c r="BM82" i="53"/>
  <c r="AW81" i="53"/>
  <c r="AY80" i="53"/>
  <c r="CV79" i="53"/>
  <c r="CU79" i="53" s="1"/>
  <c r="AG79" i="53"/>
  <c r="CI78" i="53"/>
  <c r="T78" i="53"/>
  <c r="BS77" i="53"/>
  <c r="F77" i="53"/>
  <c r="AX76" i="53"/>
  <c r="CV75" i="53"/>
  <c r="CU75" i="53" s="1"/>
  <c r="X75" i="53"/>
  <c r="AQ79" i="53"/>
  <c r="AM79" i="53"/>
  <c r="BB76" i="53"/>
  <c r="DB85" i="53"/>
  <c r="W75" i="53"/>
  <c r="X77" i="53"/>
  <c r="DA79" i="53"/>
  <c r="I77" i="53"/>
  <c r="CN86" i="53"/>
  <c r="AW84" i="53"/>
  <c r="AS81" i="53"/>
  <c r="CF79" i="53"/>
  <c r="P78" i="53"/>
  <c r="AK74" i="53"/>
  <c r="H86" i="53"/>
  <c r="N84" i="53"/>
  <c r="L82" i="53"/>
  <c r="AR79" i="53"/>
  <c r="AX75" i="53"/>
  <c r="AI74" i="53"/>
  <c r="BU84" i="53"/>
  <c r="S83" i="53"/>
  <c r="BG80" i="53"/>
  <c r="BQ76" i="53"/>
  <c r="AG74" i="53"/>
  <c r="BT84" i="53"/>
  <c r="BT82" i="53"/>
  <c r="BF80" i="53"/>
  <c r="AB78" i="53"/>
  <c r="H82" i="53"/>
  <c r="DB79" i="53"/>
  <c r="AX86" i="53"/>
  <c r="BP84" i="53"/>
  <c r="BQ82" i="53"/>
  <c r="X78" i="53"/>
  <c r="CE75" i="53"/>
  <c r="BE77" i="53"/>
  <c r="BX78" i="53"/>
  <c r="AX80" i="53"/>
  <c r="BQ81" i="53"/>
  <c r="AD84" i="53"/>
  <c r="G86" i="53"/>
  <c r="X74" i="53"/>
  <c r="O75" i="53"/>
  <c r="CZ76" i="53"/>
  <c r="L78" i="53"/>
  <c r="AD79" i="53"/>
  <c r="CF80" i="53"/>
  <c r="W82" i="53"/>
  <c r="BX83" i="53"/>
  <c r="CH85" i="53"/>
  <c r="BG74" i="53"/>
  <c r="D76" i="53"/>
  <c r="Q80" i="53"/>
  <c r="AK81" i="53"/>
  <c r="AJ81" i="53" s="1"/>
  <c r="CK82" i="53"/>
  <c r="CS84" i="53"/>
  <c r="AN86" i="53"/>
  <c r="AI76" i="53"/>
  <c r="AH76" i="53" s="1"/>
  <c r="BJ79" i="53"/>
  <c r="E81" i="53"/>
  <c r="BD82" i="53"/>
  <c r="BK84" i="53"/>
  <c r="AW75" i="53"/>
  <c r="W77" i="53"/>
  <c r="AR78" i="53"/>
  <c r="CZ81" i="53"/>
  <c r="AR83" i="53"/>
  <c r="AZ85" i="53"/>
  <c r="BU86" i="53"/>
  <c r="AY75" i="53"/>
  <c r="CG75" i="53"/>
  <c r="F76" i="53"/>
  <c r="AM76" i="53"/>
  <c r="BT76" i="53"/>
  <c r="DB76" i="53"/>
  <c r="R75" i="53"/>
  <c r="AZ75" i="53"/>
  <c r="CH75" i="53"/>
  <c r="G76" i="53"/>
  <c r="AN76" i="53"/>
  <c r="BU76" i="53"/>
  <c r="P83" i="53"/>
  <c r="AX83" i="53"/>
  <c r="CF83" i="53"/>
  <c r="E84" i="53"/>
  <c r="AK84" i="53"/>
  <c r="AJ84" i="53" s="1"/>
  <c r="BQ84" i="53"/>
  <c r="CZ84" i="53"/>
  <c r="CQ80" i="53"/>
  <c r="P81" i="53"/>
  <c r="AX81" i="53"/>
  <c r="CE81" i="53"/>
  <c r="D82" i="53"/>
  <c r="BO82" i="53"/>
  <c r="CX82" i="53"/>
  <c r="AE80" i="53"/>
  <c r="BM80" i="53"/>
  <c r="CT80" i="53"/>
  <c r="S81" i="53"/>
  <c r="BB81" i="53"/>
  <c r="CH81" i="53"/>
  <c r="G82" i="53"/>
  <c r="AK82" i="53"/>
  <c r="AJ82" i="53" s="1"/>
  <c r="AW86" i="53"/>
  <c r="BO84" i="53"/>
  <c r="BP82" i="53"/>
  <c r="BB80" i="53"/>
  <c r="CY75" i="53"/>
  <c r="BI85" i="53"/>
  <c r="G84" i="53"/>
  <c r="BN82" i="53"/>
  <c r="CX79" i="53"/>
  <c r="U78" i="53"/>
  <c r="CX75" i="53"/>
  <c r="AA74" i="53"/>
  <c r="BG85" i="53"/>
  <c r="BK82" i="53"/>
  <c r="CZ80" i="53"/>
  <c r="AF79" i="53"/>
  <c r="S78" i="53"/>
  <c r="CT75" i="53"/>
  <c r="Z74" i="53"/>
  <c r="AR86" i="53"/>
  <c r="AX84" i="53"/>
  <c r="AT81" i="53"/>
  <c r="CS79" i="53"/>
  <c r="R78" i="53"/>
  <c r="CK86" i="53"/>
  <c r="CZ85" i="53"/>
  <c r="BH82" i="53"/>
  <c r="AG80" i="53"/>
  <c r="R79" i="53"/>
  <c r="CE78" i="53"/>
  <c r="BN77" i="53"/>
  <c r="U75" i="53"/>
  <c r="AI75" i="53"/>
  <c r="AH75" i="53" s="1"/>
  <c r="L74" i="53"/>
  <c r="CJ86" i="53"/>
  <c r="AO86" i="53"/>
  <c r="CY85" i="53"/>
  <c r="BD85" i="53"/>
  <c r="AV84" i="53"/>
  <c r="BD83" i="53"/>
  <c r="BG82" i="53"/>
  <c r="AQ81" i="53"/>
  <c r="CV80" i="53"/>
  <c r="CU80" i="53" s="1"/>
  <c r="AF80" i="53"/>
  <c r="CE79" i="53"/>
  <c r="Q79" i="53"/>
  <c r="CC78" i="53"/>
  <c r="CB78" i="53" s="1"/>
  <c r="O78" i="53"/>
  <c r="BM77" i="53"/>
  <c r="AR76" i="53"/>
  <c r="CO75" i="53"/>
  <c r="S75" i="53"/>
  <c r="BC86" i="53"/>
  <c r="BV84" i="53"/>
  <c r="T83" i="53"/>
  <c r="F81" i="53"/>
  <c r="BS76" i="53"/>
  <c r="CK74" i="53"/>
  <c r="BO85" i="53"/>
  <c r="M84" i="53"/>
  <c r="BF81" i="53"/>
  <c r="CO77" i="53"/>
  <c r="S85" i="53"/>
  <c r="CA83" i="53"/>
  <c r="BZ83" i="53" s="1"/>
  <c r="I82" i="53"/>
  <c r="AN79" i="53"/>
  <c r="BE76" i="53"/>
  <c r="AF74" i="53"/>
  <c r="BM85" i="53"/>
  <c r="BY83" i="53"/>
  <c r="BD81" i="53"/>
  <c r="CP78" i="53"/>
  <c r="AE74" i="53"/>
  <c r="BK85" i="53"/>
  <c r="BK83" i="53"/>
  <c r="BC81" i="53"/>
  <c r="AD74" i="53"/>
  <c r="BJ85" i="53"/>
  <c r="H84" i="53"/>
  <c r="E82" i="53"/>
  <c r="BV77" i="53"/>
  <c r="AC74" i="53"/>
  <c r="AV86" i="53"/>
  <c r="D85" i="53"/>
  <c r="M83" i="53"/>
  <c r="AZ80" i="53"/>
  <c r="BU77" i="53"/>
  <c r="AA75" i="53"/>
  <c r="AS86" i="53"/>
  <c r="D84" i="53"/>
  <c r="AV81" i="53"/>
  <c r="CT79" i="53"/>
  <c r="E77" i="53"/>
  <c r="CT76" i="53"/>
  <c r="DA85" i="53"/>
  <c r="BJ82" i="53"/>
  <c r="AE79" i="53"/>
  <c r="AT76" i="53"/>
  <c r="M74" i="53"/>
  <c r="BE85" i="53"/>
  <c r="AS76" i="53"/>
  <c r="CI86" i="53"/>
  <c r="Z86" i="53"/>
  <c r="CX85" i="53"/>
  <c r="BC85" i="53"/>
  <c r="AT84" i="53"/>
  <c r="BC83" i="53"/>
  <c r="BF82" i="53"/>
  <c r="AO81" i="53"/>
  <c r="CS80" i="53"/>
  <c r="AD80" i="53"/>
  <c r="CC79" i="53"/>
  <c r="CB79" i="53" s="1"/>
  <c r="P79" i="53"/>
  <c r="CA78" i="53"/>
  <c r="BZ78" i="53" s="1"/>
  <c r="N78" i="53"/>
  <c r="BK77" i="53"/>
  <c r="AO76" i="53"/>
  <c r="CN75" i="53"/>
  <c r="P75" i="53"/>
  <c r="CJ74" i="53"/>
  <c r="U85" i="53"/>
  <c r="CE83" i="53"/>
  <c r="BS81" i="53"/>
  <c r="BB86" i="53"/>
  <c r="T85" i="53"/>
  <c r="CC83" i="53"/>
  <c r="CB83" i="53" s="1"/>
  <c r="Z77" i="53"/>
  <c r="AZ86" i="53"/>
  <c r="L84" i="53"/>
  <c r="R83" i="53"/>
  <c r="BE81" i="53"/>
  <c r="CQ78" i="53"/>
  <c r="CN74" i="53"/>
  <c r="AY86" i="53"/>
  <c r="Q83" i="53"/>
  <c r="DA74" i="53"/>
  <c r="F85" i="53"/>
  <c r="O83" i="53"/>
  <c r="BC80" i="53"/>
  <c r="DB74" i="53"/>
  <c r="E85" i="53"/>
  <c r="BJ83" i="53"/>
  <c r="AZ81" i="53"/>
  <c r="CZ79" i="53"/>
  <c r="W78" i="53"/>
  <c r="AB75" i="53"/>
  <c r="CP86" i="53"/>
  <c r="BN84" i="53"/>
  <c r="BI83" i="53"/>
  <c r="AY81" i="53"/>
  <c r="CJ78" i="53"/>
  <c r="AY76" i="53"/>
  <c r="L75" i="53"/>
  <c r="AY84" i="53"/>
  <c r="BG83" i="53"/>
  <c r="AI80" i="53"/>
  <c r="AH80" i="53" s="1"/>
  <c r="CH78" i="53"/>
  <c r="BQ77" i="53"/>
  <c r="AV76" i="53"/>
  <c r="BF85" i="53"/>
  <c r="BF83" i="53"/>
  <c r="CY80" i="53"/>
  <c r="CG78" i="53"/>
  <c r="BO77" i="53"/>
  <c r="AQ86" i="53"/>
  <c r="BE83" i="53"/>
  <c r="CX80" i="53"/>
  <c r="I74" i="53"/>
  <c r="CH86" i="53"/>
  <c r="X86" i="53"/>
  <c r="CV85" i="53"/>
  <c r="CU85" i="53" s="1"/>
  <c r="BB85" i="53"/>
  <c r="AS84" i="53"/>
  <c r="BB83" i="53"/>
  <c r="BE82" i="53"/>
  <c r="DB81" i="53"/>
  <c r="AN81" i="53"/>
  <c r="AC80" i="53"/>
  <c r="CA79" i="53"/>
  <c r="BZ79" i="53" s="1"/>
  <c r="O79" i="53"/>
  <c r="BY78" i="53"/>
  <c r="M78" i="53"/>
  <c r="BI77" i="53"/>
  <c r="AK76" i="53"/>
  <c r="AJ76" i="53" s="1"/>
  <c r="BY79" i="53"/>
  <c r="AS79" i="53"/>
  <c r="N79" i="53"/>
  <c r="CO78" i="53"/>
  <c r="BG78" i="53"/>
  <c r="Z78" i="53"/>
  <c r="DB77" i="53"/>
  <c r="BT77" i="53"/>
  <c r="AM77" i="53"/>
  <c r="G77" i="53"/>
  <c r="CH76" i="53"/>
  <c r="AZ76" i="53"/>
  <c r="R76" i="53"/>
  <c r="CS75" i="53"/>
  <c r="BK75" i="53"/>
  <c r="AC75" i="53"/>
  <c r="BI80" i="53"/>
  <c r="AB80" i="53"/>
  <c r="BV79" i="53"/>
  <c r="AO79" i="53"/>
  <c r="CK78" i="53"/>
  <c r="BD78" i="53"/>
  <c r="CY77" i="53"/>
  <c r="BP77" i="53"/>
  <c r="D77" i="53"/>
  <c r="CE76" i="53"/>
  <c r="AW76" i="53"/>
  <c r="O76" i="53"/>
  <c r="CP75" i="53"/>
  <c r="BH75" i="53"/>
  <c r="Z75" i="53"/>
  <c r="CQ82" i="53"/>
  <c r="BI82" i="53"/>
  <c r="AC82" i="53"/>
  <c r="BW81" i="53"/>
  <c r="AR81" i="53"/>
  <c r="CK80" i="53"/>
  <c r="BD80" i="53"/>
  <c r="CY79" i="53"/>
  <c r="BP79" i="53"/>
  <c r="AI79" i="53"/>
  <c r="AH79" i="53" s="1"/>
  <c r="E79" i="53"/>
  <c r="CF78" i="53"/>
  <c r="AX78" i="53"/>
  <c r="Q78" i="53"/>
  <c r="BJ77" i="53"/>
  <c r="AC77" i="53"/>
  <c r="BW76" i="53"/>
  <c r="AQ76" i="53"/>
  <c r="I76" i="53"/>
  <c r="CJ75" i="53"/>
  <c r="BC75" i="53"/>
  <c r="T75" i="53"/>
  <c r="Q75" i="53"/>
  <c r="BT86" i="53"/>
  <c r="AC84" i="53"/>
  <c r="AQ83" i="53"/>
  <c r="CY81" i="53"/>
  <c r="BP81" i="53"/>
  <c r="AI81" i="53"/>
  <c r="AH81" i="53" s="1"/>
  <c r="D81" i="53"/>
  <c r="CE80" i="53"/>
  <c r="AW80" i="53"/>
  <c r="P80" i="53"/>
  <c r="CQ79" i="53"/>
  <c r="BI79" i="53"/>
  <c r="AC79" i="53"/>
  <c r="BW78" i="53"/>
  <c r="AQ78" i="53"/>
  <c r="CK77" i="53"/>
  <c r="BD77" i="53"/>
  <c r="CY76" i="53"/>
  <c r="BP76" i="53"/>
  <c r="AG76" i="53"/>
  <c r="CC75" i="53"/>
  <c r="CB75" i="53" s="1"/>
  <c r="AV75" i="53"/>
  <c r="N75" i="53"/>
  <c r="CG85" i="53"/>
  <c r="BW83" i="53"/>
  <c r="BE74" i="53"/>
  <c r="AK86" i="53"/>
  <c r="AJ86" i="53" s="1"/>
  <c r="P85" i="53"/>
  <c r="AO83" i="53"/>
  <c r="CX81" i="53"/>
  <c r="BH79" i="53"/>
  <c r="CJ77" i="53"/>
  <c r="BO76" i="53"/>
  <c r="BD74" i="53"/>
  <c r="BQ86" i="53"/>
  <c r="O85" i="53"/>
  <c r="AN83" i="53"/>
  <c r="CV81" i="53"/>
  <c r="CU81" i="53" s="1"/>
  <c r="N80" i="53"/>
  <c r="BU78" i="53"/>
  <c r="AE76" i="53"/>
  <c r="T74" i="53"/>
  <c r="BP86" i="53"/>
  <c r="N85" i="53"/>
  <c r="DB83" i="53"/>
  <c r="AY82" i="53"/>
  <c r="BY80" i="53"/>
  <c r="CN79" i="53"/>
  <c r="AM78" i="53"/>
  <c r="S77" i="53"/>
  <c r="BX75" i="53"/>
  <c r="CS74" i="53"/>
  <c r="BB74" i="53"/>
  <c r="S74" i="53"/>
  <c r="CX86" i="53"/>
  <c r="BO86" i="53"/>
  <c r="AF86" i="53"/>
  <c r="CA85" i="53"/>
  <c r="BZ85" i="53" s="1"/>
  <c r="AT85" i="53"/>
  <c r="M85" i="53"/>
  <c r="CN84" i="53"/>
  <c r="BF84" i="53"/>
  <c r="X84" i="53"/>
  <c r="DA83" i="53"/>
  <c r="BS83" i="53"/>
  <c r="AK83" i="53"/>
  <c r="AJ83" i="53" s="1"/>
  <c r="E83" i="53"/>
  <c r="CF82" i="53"/>
  <c r="AX82" i="53"/>
  <c r="R82" i="53"/>
  <c r="CS81" i="53"/>
  <c r="AD81" i="53"/>
  <c r="BX80" i="53"/>
  <c r="AR80" i="53"/>
  <c r="L80" i="53"/>
  <c r="BE79" i="53"/>
  <c r="X79" i="53"/>
  <c r="DA78" i="53"/>
  <c r="BS78" i="53"/>
  <c r="AK78" i="53"/>
  <c r="AJ78" i="53" s="1"/>
  <c r="F78" i="53"/>
  <c r="CG77" i="53"/>
  <c r="AY77" i="53"/>
  <c r="R77" i="53"/>
  <c r="CS76" i="53"/>
  <c r="BK76" i="53"/>
  <c r="AC76" i="53"/>
  <c r="BW75" i="53"/>
  <c r="AQ75" i="53"/>
  <c r="I75" i="53"/>
  <c r="CT74" i="53"/>
  <c r="AZ74" i="53"/>
  <c r="R74" i="53"/>
  <c r="CV86" i="53"/>
  <c r="CU86" i="53" s="1"/>
  <c r="BN86" i="53"/>
  <c r="AE86" i="53"/>
  <c r="BY85" i="53"/>
  <c r="AS85" i="53"/>
  <c r="L85" i="53"/>
  <c r="BE84" i="53"/>
  <c r="W84" i="53"/>
  <c r="CZ83" i="53"/>
  <c r="BQ83" i="53"/>
  <c r="AI83" i="53"/>
  <c r="AH83" i="53" s="1"/>
  <c r="D83" i="53"/>
  <c r="CE82" i="53"/>
  <c r="AW82" i="53"/>
  <c r="Q82" i="53"/>
  <c r="BK81" i="53"/>
  <c r="AC81" i="53"/>
  <c r="BW80" i="53"/>
  <c r="AQ80" i="53"/>
  <c r="CK79" i="53"/>
  <c r="BD79" i="53"/>
  <c r="W79" i="53"/>
  <c r="CZ78" i="53"/>
  <c r="BQ78" i="53"/>
  <c r="E78" i="53"/>
  <c r="CF77" i="53"/>
  <c r="AX77" i="53"/>
  <c r="Q77" i="53"/>
  <c r="BJ76" i="53"/>
  <c r="AB76" i="53"/>
  <c r="BV75" i="53"/>
  <c r="AO75" i="53"/>
  <c r="G75" i="53"/>
  <c r="BF74" i="53"/>
  <c r="F86" i="53"/>
  <c r="BC82" i="53"/>
  <c r="BS86" i="53"/>
  <c r="AB84" i="53"/>
  <c r="U82" i="53"/>
  <c r="AV80" i="53"/>
  <c r="AF76" i="53"/>
  <c r="U74" i="53"/>
  <c r="AW85" i="53"/>
  <c r="BU83" i="53"/>
  <c r="T82" i="53"/>
  <c r="AT80" i="53"/>
  <c r="CI77" i="53"/>
  <c r="AS75" i="53"/>
  <c r="CY86" i="53"/>
  <c r="CO84" i="53"/>
  <c r="F83" i="53"/>
  <c r="AE81" i="53"/>
  <c r="BF79" i="53"/>
  <c r="AD76" i="53"/>
  <c r="CV74" i="53"/>
  <c r="AY74" i="53"/>
  <c r="Q74" i="53"/>
  <c r="CT86" i="53"/>
  <c r="BM86" i="53"/>
  <c r="AD86" i="53"/>
  <c r="BX85" i="53"/>
  <c r="AR85" i="53"/>
  <c r="CK84" i="53"/>
  <c r="BD84" i="53"/>
  <c r="CY83" i="53"/>
  <c r="BP83" i="53"/>
  <c r="AG83" i="53"/>
  <c r="CC82" i="53"/>
  <c r="CB82" i="53" s="1"/>
  <c r="AV82" i="53"/>
  <c r="P82" i="53"/>
  <c r="CQ81" i="53"/>
  <c r="BJ81" i="53"/>
  <c r="AB81" i="53"/>
  <c r="BV80" i="53"/>
  <c r="AO80" i="53"/>
  <c r="I80" i="53"/>
  <c r="CJ79" i="53"/>
  <c r="BC79" i="53"/>
  <c r="CY78" i="53"/>
  <c r="BP78" i="53"/>
  <c r="AI78" i="53"/>
  <c r="AH78" i="53" s="1"/>
  <c r="D78" i="53"/>
  <c r="CE77" i="53"/>
  <c r="AW77" i="53"/>
  <c r="P77" i="53"/>
  <c r="CQ76" i="53"/>
  <c r="BI76" i="53"/>
  <c r="AA76" i="53"/>
  <c r="BU75" i="53"/>
  <c r="AN75" i="53"/>
  <c r="F75" i="53"/>
  <c r="CO74" i="53"/>
  <c r="W74" i="53"/>
  <c r="AM86" i="53"/>
  <c r="Q85" i="53"/>
  <c r="CJ82" i="53"/>
  <c r="CF85" i="53"/>
  <c r="CQ84" i="53"/>
  <c r="BB82" i="53"/>
  <c r="CC80" i="53"/>
  <c r="CB80" i="53" s="1"/>
  <c r="AB79" i="53"/>
  <c r="I78" i="53"/>
  <c r="U77" i="53"/>
  <c r="M75" i="53"/>
  <c r="CQ74" i="53"/>
  <c r="AI86" i="53"/>
  <c r="AH86" i="53" s="1"/>
  <c r="CP84" i="53"/>
  <c r="CH82" i="53"/>
  <c r="AF81" i="53"/>
  <c r="AA79" i="53"/>
  <c r="H78" i="53"/>
  <c r="CV76" i="53"/>
  <c r="CU76" i="53" s="1"/>
  <c r="CC85" i="53"/>
  <c r="CB85" i="53" s="1"/>
  <c r="BT83" i="53"/>
  <c r="S82" i="53"/>
  <c r="AS80" i="53"/>
  <c r="Z79" i="53"/>
  <c r="G78" i="53"/>
  <c r="BM76" i="53"/>
  <c r="CX74" i="53"/>
  <c r="AX74" i="53"/>
  <c r="P74" i="53"/>
  <c r="CS86" i="53"/>
  <c r="BK86" i="53"/>
  <c r="AC86" i="53"/>
  <c r="BW85" i="53"/>
  <c r="AQ85" i="53"/>
  <c r="I85" i="53"/>
  <c r="CJ84" i="53"/>
  <c r="BC84" i="53"/>
  <c r="U84" i="53"/>
  <c r="CX83" i="53"/>
  <c r="BO83" i="53"/>
  <c r="AF83" i="53"/>
  <c r="CA82" i="53"/>
  <c r="BZ82" i="53" s="1"/>
  <c r="AT82" i="53"/>
  <c r="O82" i="53"/>
  <c r="CP81" i="53"/>
  <c r="BI81" i="53"/>
  <c r="AA81" i="53"/>
  <c r="BU80" i="53"/>
  <c r="AN80" i="53"/>
  <c r="H80" i="53"/>
  <c r="CI79" i="53"/>
  <c r="BB79" i="53"/>
  <c r="U79" i="53"/>
  <c r="CX78" i="53"/>
  <c r="BO78" i="53"/>
  <c r="AG78" i="53"/>
  <c r="CC77" i="53"/>
  <c r="CB77" i="53" s="1"/>
  <c r="AV77" i="53"/>
  <c r="O77" i="53"/>
  <c r="CP76" i="53"/>
  <c r="BH76" i="53"/>
  <c r="Z76" i="53"/>
  <c r="DB75" i="53"/>
  <c r="BT75" i="53"/>
  <c r="AM75" i="53"/>
  <c r="E75" i="53"/>
  <c r="DB86" i="53"/>
  <c r="AY85" i="53"/>
  <c r="BJ84" i="53"/>
  <c r="I83" i="53"/>
  <c r="DA86" i="53"/>
  <c r="AX85" i="53"/>
  <c r="BV83" i="53"/>
  <c r="H83" i="53"/>
  <c r="BO81" i="53"/>
  <c r="O80" i="53"/>
  <c r="BV78" i="53"/>
  <c r="CX76" i="53"/>
  <c r="AT75" i="53"/>
  <c r="CZ86" i="53"/>
  <c r="D86" i="53"/>
  <c r="BH84" i="53"/>
  <c r="G83" i="53"/>
  <c r="BN81" i="53"/>
  <c r="CO79" i="53"/>
  <c r="AN78" i="53"/>
  <c r="T77" i="53"/>
  <c r="BY75" i="53"/>
  <c r="AV85" i="53"/>
  <c r="Z84" i="53"/>
  <c r="CG82" i="53"/>
  <c r="BM81" i="53"/>
  <c r="M80" i="53"/>
  <c r="DB78" i="53"/>
  <c r="CH77" i="53"/>
  <c r="AR75" i="53"/>
  <c r="BP74" i="53"/>
  <c r="CY74" i="53"/>
  <c r="AW74" i="53"/>
  <c r="O74" i="53"/>
  <c r="BJ86" i="53"/>
  <c r="AB86" i="53"/>
  <c r="BV85" i="53"/>
  <c r="AO85" i="53"/>
  <c r="H85" i="53"/>
  <c r="CI84" i="53"/>
  <c r="BB84" i="53"/>
  <c r="T84" i="53"/>
  <c r="CV83" i="53"/>
  <c r="CU83" i="53" s="1"/>
  <c r="BN83" i="53"/>
  <c r="AE83" i="53"/>
  <c r="BY82" i="53"/>
  <c r="AS82" i="53"/>
  <c r="N82" i="53"/>
  <c r="CO81" i="53"/>
  <c r="BH81" i="53"/>
  <c r="Z81" i="53"/>
  <c r="DB80" i="53"/>
  <c r="BT80" i="53"/>
  <c r="AM80" i="53"/>
  <c r="G80" i="53"/>
  <c r="CH79" i="53"/>
  <c r="AZ79" i="53"/>
  <c r="T79" i="53"/>
  <c r="CV78" i="53"/>
  <c r="CU78" i="53" s="1"/>
  <c r="BN78" i="53"/>
  <c r="AF78" i="53"/>
  <c r="CA77" i="53"/>
  <c r="BZ77" i="53" s="1"/>
  <c r="AT77" i="53"/>
  <c r="N77" i="53"/>
  <c r="CO76" i="53"/>
  <c r="BG76" i="53"/>
  <c r="X76" i="53"/>
  <c r="DA75" i="53"/>
  <c r="BS75" i="53"/>
  <c r="AK75" i="53"/>
  <c r="AJ75" i="53" s="1"/>
  <c r="D75" i="53"/>
  <c r="CP74" i="53"/>
  <c r="E86" i="53"/>
  <c r="BI84" i="53"/>
  <c r="CI82" i="53"/>
  <c r="AG81" i="53"/>
  <c r="CP79" i="53"/>
  <c r="AO78" i="53"/>
  <c r="BC77" i="53"/>
  <c r="CE85" i="53"/>
  <c r="AA84" i="53"/>
  <c r="AZ82" i="53"/>
  <c r="CA80" i="53"/>
  <c r="BZ80" i="53" s="1"/>
  <c r="BG79" i="53"/>
  <c r="BB77" i="53"/>
  <c r="BN76" i="53"/>
  <c r="BC74" i="53"/>
  <c r="AG86" i="53"/>
  <c r="BG84" i="53"/>
  <c r="AM83" i="53"/>
  <c r="CT81" i="53"/>
  <c r="BT78" i="53"/>
  <c r="AZ77" i="53"/>
  <c r="BQ74" i="53"/>
  <c r="CZ74" i="53"/>
  <c r="AV74" i="53"/>
  <c r="N74" i="53"/>
  <c r="CQ86" i="53"/>
  <c r="BI86" i="53"/>
  <c r="AA86" i="53"/>
  <c r="BU85" i="53"/>
  <c r="AN85" i="53"/>
  <c r="G85" i="53"/>
  <c r="CH84" i="53"/>
  <c r="AZ84" i="53"/>
  <c r="S84" i="53"/>
  <c r="CT83" i="53"/>
  <c r="BM83" i="53"/>
  <c r="AD83" i="53"/>
  <c r="BX82" i="53"/>
  <c r="AR82" i="53"/>
  <c r="M82" i="53"/>
  <c r="CN81" i="53"/>
  <c r="BG81" i="53"/>
  <c r="X81" i="53"/>
  <c r="DA80" i="53"/>
  <c r="BS80" i="53"/>
  <c r="AK80" i="53"/>
  <c r="AJ80" i="53" s="1"/>
  <c r="F80" i="53"/>
  <c r="CG79" i="53"/>
  <c r="AY79" i="53"/>
  <c r="S79" i="53"/>
  <c r="CT78" i="53"/>
  <c r="BM78" i="53"/>
  <c r="AE78" i="53"/>
  <c r="BY77" i="53"/>
  <c r="AS77" i="53"/>
  <c r="M77" i="53"/>
  <c r="CN76" i="53"/>
  <c r="BF76" i="53"/>
  <c r="W76" i="53"/>
  <c r="CZ75" i="53"/>
  <c r="BQ75" i="53"/>
  <c r="H75" i="53"/>
  <c r="AU202" i="53" l="1"/>
  <c r="AP203" i="53"/>
  <c r="CW13" i="53"/>
  <c r="AL27" i="53"/>
  <c r="Y209" i="53"/>
  <c r="BL206" i="53"/>
  <c r="BL241" i="53"/>
  <c r="CD127" i="53"/>
  <c r="AU151" i="53"/>
  <c r="CL233" i="53"/>
  <c r="AP127" i="53"/>
  <c r="J137" i="53"/>
  <c r="AL162" i="53"/>
  <c r="AP57" i="53"/>
  <c r="AP67" i="53"/>
  <c r="AP120" i="53"/>
  <c r="CD97" i="53"/>
  <c r="BL29" i="53"/>
  <c r="CW102" i="53"/>
  <c r="Y53" i="53"/>
  <c r="CL115" i="53"/>
  <c r="Y126" i="53"/>
  <c r="BL145" i="53"/>
  <c r="AU153" i="53"/>
  <c r="AL159" i="53"/>
  <c r="BA182" i="53"/>
  <c r="AP166" i="53"/>
  <c r="BR239" i="53"/>
  <c r="AU46" i="53"/>
  <c r="AU147" i="53"/>
  <c r="DC131" i="53"/>
  <c r="BA131" i="53"/>
  <c r="BA158" i="53"/>
  <c r="BL120" i="53"/>
  <c r="AL138" i="53"/>
  <c r="BR182" i="53"/>
  <c r="AL203" i="53"/>
  <c r="CW235" i="53"/>
  <c r="AP26" i="53"/>
  <c r="CW38" i="53"/>
  <c r="AU206" i="53"/>
  <c r="AU230" i="53"/>
  <c r="AL109" i="53"/>
  <c r="DC130" i="53"/>
  <c r="AU169" i="53"/>
  <c r="CD162" i="53"/>
  <c r="BA181" i="53"/>
  <c r="DC243" i="53"/>
  <c r="DC219" i="53"/>
  <c r="DC214" i="53"/>
  <c r="BL18" i="53"/>
  <c r="Y69" i="53"/>
  <c r="BL126" i="53"/>
  <c r="AU124" i="53"/>
  <c r="BA139" i="53"/>
  <c r="CD133" i="53"/>
  <c r="BR157" i="53"/>
  <c r="BR183" i="53"/>
  <c r="DC175" i="53"/>
  <c r="AL191" i="53"/>
  <c r="BL242" i="53"/>
  <c r="BL186" i="53"/>
  <c r="Y201" i="53"/>
  <c r="BL190" i="53"/>
  <c r="DC221" i="53"/>
  <c r="DC236" i="53"/>
  <c r="J245" i="53"/>
  <c r="BL236" i="53"/>
  <c r="BL230" i="53"/>
  <c r="CW133" i="53"/>
  <c r="AL37" i="53"/>
  <c r="CD69" i="53"/>
  <c r="CD63" i="53"/>
  <c r="AL38" i="53"/>
  <c r="CW56" i="53"/>
  <c r="AL63" i="53"/>
  <c r="AL50" i="53"/>
  <c r="BL52" i="53"/>
  <c r="AU57" i="53"/>
  <c r="CD229" i="53"/>
  <c r="Y128" i="53"/>
  <c r="CD138" i="53"/>
  <c r="CL107" i="53"/>
  <c r="BR113" i="53"/>
  <c r="DC120" i="53"/>
  <c r="BL148" i="53"/>
  <c r="Y137" i="53"/>
  <c r="BR73" i="53"/>
  <c r="BL123" i="53"/>
  <c r="CW129" i="53"/>
  <c r="DC148" i="53"/>
  <c r="BA149" i="53"/>
  <c r="Y168" i="53"/>
  <c r="BA169" i="53"/>
  <c r="AU114" i="53"/>
  <c r="AU130" i="53"/>
  <c r="Y143" i="53"/>
  <c r="BR146" i="53"/>
  <c r="BR152" i="53"/>
  <c r="AP118" i="53"/>
  <c r="CL135" i="53"/>
  <c r="AP183" i="53"/>
  <c r="BR143" i="53"/>
  <c r="BA156" i="53"/>
  <c r="BL174" i="53"/>
  <c r="BL182" i="53"/>
  <c r="CW120" i="53"/>
  <c r="CD198" i="53"/>
  <c r="DC153" i="53"/>
  <c r="Y177" i="53"/>
  <c r="J192" i="53"/>
  <c r="BA130" i="53"/>
  <c r="BL136" i="53"/>
  <c r="Y159" i="53"/>
  <c r="CD173" i="53"/>
  <c r="BR134" i="53"/>
  <c r="DC135" i="53"/>
  <c r="Y146" i="53"/>
  <c r="Y162" i="53"/>
  <c r="AU185" i="53"/>
  <c r="AU149" i="53"/>
  <c r="DC152" i="53"/>
  <c r="CD126" i="53"/>
  <c r="BL137" i="53"/>
  <c r="AU156" i="53"/>
  <c r="DC158" i="53"/>
  <c r="DC167" i="53"/>
  <c r="BL169" i="53"/>
  <c r="AU173" i="53"/>
  <c r="DC170" i="53"/>
  <c r="AP178" i="53"/>
  <c r="BA191" i="53"/>
  <c r="Y183" i="53"/>
  <c r="AL239" i="53"/>
  <c r="Y166" i="53"/>
  <c r="BL172" i="53"/>
  <c r="Y173" i="53"/>
  <c r="AP199" i="53"/>
  <c r="AP185" i="53"/>
  <c r="Y181" i="53"/>
  <c r="AL188" i="53"/>
  <c r="Y192" i="53"/>
  <c r="AP191" i="53"/>
  <c r="Y238" i="53"/>
  <c r="CL182" i="53"/>
  <c r="BR231" i="53"/>
  <c r="BL222" i="53"/>
  <c r="BR240" i="53"/>
  <c r="BA213" i="53"/>
  <c r="AU238" i="53"/>
  <c r="Y196" i="53"/>
  <c r="AU241" i="53"/>
  <c r="AU197" i="53"/>
  <c r="DC215" i="53"/>
  <c r="BL238" i="53"/>
  <c r="BR236" i="53"/>
  <c r="BL240" i="53"/>
  <c r="J233" i="53"/>
  <c r="CD195" i="53"/>
  <c r="AU214" i="53"/>
  <c r="AU217" i="53"/>
  <c r="AU228" i="53"/>
  <c r="BR244" i="53"/>
  <c r="CL192" i="53"/>
  <c r="BA243" i="53"/>
  <c r="CD228" i="53"/>
  <c r="AU234" i="53"/>
  <c r="DC202" i="53"/>
  <c r="BR216" i="53"/>
  <c r="AL241" i="53"/>
  <c r="BL228" i="53"/>
  <c r="BR241" i="53"/>
  <c r="Y219" i="53"/>
  <c r="AL242" i="53"/>
  <c r="Y214" i="53"/>
  <c r="AU204" i="53"/>
  <c r="BR230" i="53"/>
  <c r="DC245" i="53"/>
  <c r="BL234" i="53"/>
  <c r="BA224" i="53"/>
  <c r="BR229" i="53"/>
  <c r="AL218" i="53"/>
  <c r="AU240" i="53"/>
  <c r="BL217" i="53"/>
  <c r="Y235" i="53"/>
  <c r="BL237" i="53"/>
  <c r="BA241" i="53"/>
  <c r="BR243" i="53"/>
  <c r="CW219" i="53"/>
  <c r="DC224" i="53"/>
  <c r="AL235" i="53"/>
  <c r="Y236" i="53"/>
  <c r="CD237" i="53"/>
  <c r="DC241" i="53"/>
  <c r="BA244" i="53"/>
  <c r="DC228" i="53"/>
  <c r="BA230" i="53"/>
  <c r="BR220" i="53"/>
  <c r="AP222" i="53"/>
  <c r="BR232" i="53"/>
  <c r="BL235" i="53"/>
  <c r="CD222" i="53"/>
  <c r="BA228" i="53"/>
  <c r="BR235" i="53"/>
  <c r="Y244" i="53"/>
  <c r="BR245" i="53"/>
  <c r="AP217" i="53"/>
  <c r="Y229" i="53"/>
  <c r="DC233" i="53"/>
  <c r="BL243" i="53"/>
  <c r="AL243" i="53"/>
  <c r="CW245" i="53"/>
  <c r="BR233" i="53"/>
  <c r="Y243" i="53"/>
  <c r="CW23" i="53"/>
  <c r="CW8" i="53"/>
  <c r="DC185" i="53"/>
  <c r="BR201" i="53"/>
  <c r="AU213" i="53"/>
  <c r="J219" i="53"/>
  <c r="BA229" i="53"/>
  <c r="BA234" i="53"/>
  <c r="DC209" i="53"/>
  <c r="Y231" i="53"/>
  <c r="CD231" i="53"/>
  <c r="BL19" i="53"/>
  <c r="CD120" i="53"/>
  <c r="BL94" i="53"/>
  <c r="DC105" i="53"/>
  <c r="DC163" i="53"/>
  <c r="Y110" i="53"/>
  <c r="AU170" i="53"/>
  <c r="AU139" i="53"/>
  <c r="DC157" i="53"/>
  <c r="BL90" i="53"/>
  <c r="BL55" i="53"/>
  <c r="AL94" i="53"/>
  <c r="BA188" i="53"/>
  <c r="BA60" i="53"/>
  <c r="AP68" i="53"/>
  <c r="AP37" i="53"/>
  <c r="BR63" i="53"/>
  <c r="CW72" i="53"/>
  <c r="BL138" i="53"/>
  <c r="BA111" i="53"/>
  <c r="DC133" i="53"/>
  <c r="J228" i="53"/>
  <c r="AU123" i="53"/>
  <c r="CD131" i="53"/>
  <c r="BR69" i="53"/>
  <c r="BR101" i="53"/>
  <c r="AL67" i="53"/>
  <c r="AP98" i="53"/>
  <c r="AP47" i="53"/>
  <c r="CD56" i="53"/>
  <c r="BR59" i="53"/>
  <c r="BA204" i="53"/>
  <c r="AU47" i="53"/>
  <c r="BA135" i="53"/>
  <c r="DC112" i="53"/>
  <c r="Y112" i="53"/>
  <c r="CW113" i="53"/>
  <c r="AU137" i="53"/>
  <c r="BR197" i="53"/>
  <c r="AU235" i="53"/>
  <c r="BR177" i="53"/>
  <c r="Y230" i="53"/>
  <c r="Y241" i="53"/>
  <c r="AP239" i="53"/>
  <c r="CW90" i="53"/>
  <c r="AL43" i="53"/>
  <c r="CW30" i="53"/>
  <c r="BL199" i="53"/>
  <c r="AP40" i="53"/>
  <c r="BL153" i="53"/>
  <c r="CD205" i="53"/>
  <c r="AU18" i="53"/>
  <c r="CD46" i="53"/>
  <c r="Y171" i="53"/>
  <c r="AP106" i="53"/>
  <c r="AL209" i="53"/>
  <c r="AP209" i="53"/>
  <c r="BL239" i="53"/>
  <c r="AU67" i="53"/>
  <c r="CD130" i="53"/>
  <c r="BR125" i="53"/>
  <c r="CW142" i="53"/>
  <c r="DC178" i="53"/>
  <c r="BR174" i="53"/>
  <c r="BL218" i="53"/>
  <c r="AU220" i="53"/>
  <c r="DC171" i="53"/>
  <c r="CW181" i="53"/>
  <c r="CW188" i="53"/>
  <c r="CD220" i="53"/>
  <c r="DC191" i="53"/>
  <c r="AP151" i="53"/>
  <c r="AP213" i="53"/>
  <c r="AU225" i="53"/>
  <c r="CD188" i="53"/>
  <c r="BL203" i="53"/>
  <c r="CD235" i="53"/>
  <c r="CD221" i="53"/>
  <c r="BL134" i="53"/>
  <c r="AL186" i="53"/>
  <c r="BL178" i="53"/>
  <c r="DC198" i="53"/>
  <c r="CD211" i="53"/>
  <c r="BR225" i="53"/>
  <c r="AP225" i="53"/>
  <c r="BR210" i="53"/>
  <c r="CW244" i="53"/>
  <c r="DC110" i="53"/>
  <c r="BA184" i="53"/>
  <c r="DC172" i="53"/>
  <c r="AP187" i="53"/>
  <c r="BL201" i="53"/>
  <c r="AL190" i="53"/>
  <c r="CD197" i="53"/>
  <c r="CW183" i="53"/>
  <c r="BA209" i="53"/>
  <c r="AL187" i="53"/>
  <c r="CW18" i="53"/>
  <c r="Y124" i="53"/>
  <c r="AU72" i="53"/>
  <c r="Y58" i="53"/>
  <c r="AL147" i="53"/>
  <c r="BR120" i="53"/>
  <c r="Y68" i="53"/>
  <c r="BL28" i="53"/>
  <c r="AP36" i="53"/>
  <c r="AP62" i="53"/>
  <c r="CD58" i="53"/>
  <c r="DC73" i="53"/>
  <c r="BR98" i="53"/>
  <c r="Y70" i="53"/>
  <c r="CD24" i="53"/>
  <c r="AP53" i="53"/>
  <c r="BR123" i="53"/>
  <c r="AL17" i="53"/>
  <c r="AU62" i="53"/>
  <c r="Y19" i="53"/>
  <c r="AP157" i="53"/>
  <c r="AU107" i="53"/>
  <c r="Y136" i="53"/>
  <c r="BA137" i="53"/>
  <c r="AP152" i="53"/>
  <c r="BR58" i="53"/>
  <c r="CD65" i="53"/>
  <c r="AP113" i="53"/>
  <c r="BA123" i="53"/>
  <c r="Y154" i="53"/>
  <c r="DC68" i="53"/>
  <c r="AU128" i="53"/>
  <c r="BR166" i="53"/>
  <c r="BL59" i="53"/>
  <c r="AL93" i="53"/>
  <c r="BR111" i="53"/>
  <c r="CD45" i="53"/>
  <c r="AP50" i="53"/>
  <c r="Y122" i="53"/>
  <c r="DC52" i="53"/>
  <c r="BA128" i="53"/>
  <c r="CW103" i="53"/>
  <c r="AU108" i="53"/>
  <c r="AP123" i="53"/>
  <c r="Y129" i="53"/>
  <c r="AU131" i="53"/>
  <c r="AU148" i="53"/>
  <c r="CD125" i="53"/>
  <c r="BR127" i="53"/>
  <c r="AL135" i="53"/>
  <c r="DC154" i="53"/>
  <c r="BA124" i="53"/>
  <c r="BA148" i="53"/>
  <c r="AL73" i="53"/>
  <c r="CD118" i="53"/>
  <c r="BR133" i="53"/>
  <c r="CW121" i="53"/>
  <c r="Y127" i="53"/>
  <c r="CW154" i="53"/>
  <c r="CD165" i="53"/>
  <c r="BA107" i="53"/>
  <c r="AU121" i="53"/>
  <c r="BR131" i="53"/>
  <c r="CD148" i="53"/>
  <c r="BL159" i="53"/>
  <c r="BA175" i="53"/>
  <c r="CD128" i="53"/>
  <c r="AL149" i="53"/>
  <c r="BR154" i="53"/>
  <c r="AU190" i="53"/>
  <c r="BR170" i="53"/>
  <c r="BR148" i="53"/>
  <c r="CD163" i="53"/>
  <c r="AU171" i="53"/>
  <c r="BA176" i="53"/>
  <c r="BL152" i="53"/>
  <c r="BL157" i="53"/>
  <c r="BR167" i="53"/>
  <c r="AU182" i="53"/>
  <c r="BR136" i="53"/>
  <c r="AP211" i="53"/>
  <c r="BA225" i="53"/>
  <c r="AL229" i="53"/>
  <c r="AU215" i="53"/>
  <c r="CD214" i="53"/>
  <c r="AP224" i="53"/>
  <c r="CW236" i="53"/>
  <c r="BL39" i="53"/>
  <c r="AL69" i="53"/>
  <c r="BL151" i="53"/>
  <c r="AP171" i="53"/>
  <c r="CL137" i="53"/>
  <c r="BA165" i="53"/>
  <c r="AL151" i="53"/>
  <c r="AL212" i="53"/>
  <c r="AU210" i="53"/>
  <c r="DC203" i="53"/>
  <c r="CW237" i="53"/>
  <c r="AP177" i="53"/>
  <c r="AP195" i="53"/>
  <c r="AP176" i="53"/>
  <c r="DC200" i="53"/>
  <c r="Y216" i="53"/>
  <c r="DC204" i="53"/>
  <c r="DC217" i="53"/>
  <c r="Y220" i="53"/>
  <c r="Y98" i="53"/>
  <c r="CW39" i="53"/>
  <c r="AU93" i="53"/>
  <c r="J153" i="53"/>
  <c r="CL133" i="53"/>
  <c r="AL142" i="53"/>
  <c r="BR129" i="53"/>
  <c r="Y43" i="53"/>
  <c r="Y165" i="53"/>
  <c r="DC59" i="53"/>
  <c r="BR50" i="53"/>
  <c r="AP58" i="53"/>
  <c r="CW73" i="53"/>
  <c r="AP112" i="53"/>
  <c r="AU155" i="53"/>
  <c r="BA129" i="53"/>
  <c r="CD170" i="53"/>
  <c r="AU216" i="53"/>
  <c r="CD183" i="53"/>
  <c r="DC129" i="53"/>
  <c r="AU205" i="53"/>
  <c r="BA215" i="53"/>
  <c r="AP184" i="53"/>
  <c r="AU189" i="53"/>
  <c r="CD191" i="53"/>
  <c r="BA189" i="53"/>
  <c r="BR224" i="53"/>
  <c r="BA145" i="53"/>
  <c r="AU157" i="53"/>
  <c r="CD190" i="53"/>
  <c r="CD204" i="53"/>
  <c r="BR147" i="53"/>
  <c r="BR211" i="53"/>
  <c r="AL211" i="53"/>
  <c r="Y187" i="53"/>
  <c r="BL173" i="53"/>
  <c r="AU188" i="53"/>
  <c r="BR190" i="53"/>
  <c r="BR217" i="53"/>
  <c r="AP111" i="53"/>
  <c r="Y158" i="53"/>
  <c r="Y175" i="53"/>
  <c r="BA166" i="53"/>
  <c r="Y156" i="53"/>
  <c r="BR155" i="53"/>
  <c r="AU172" i="53"/>
  <c r="J165" i="53"/>
  <c r="BR153" i="53"/>
  <c r="BL112" i="53"/>
  <c r="BA211" i="53"/>
  <c r="J200" i="53"/>
  <c r="Y198" i="53"/>
  <c r="CW192" i="53"/>
  <c r="Y189" i="53"/>
  <c r="BL188" i="53"/>
  <c r="BR186" i="53"/>
  <c r="DC176" i="53"/>
  <c r="DC177" i="53"/>
  <c r="DC142" i="53"/>
  <c r="BR215" i="53"/>
  <c r="BL43" i="53"/>
  <c r="CL171" i="53"/>
  <c r="BA216" i="53"/>
  <c r="AP174" i="53"/>
  <c r="DC159" i="53"/>
  <c r="DC189" i="53"/>
  <c r="BR115" i="53"/>
  <c r="BR168" i="53"/>
  <c r="AP154" i="53"/>
  <c r="Y111" i="53"/>
  <c r="J198" i="53"/>
  <c r="CD206" i="53"/>
  <c r="AL113" i="53"/>
  <c r="BA210" i="53"/>
  <c r="AP198" i="53"/>
  <c r="DC195" i="53"/>
  <c r="AU118" i="53"/>
  <c r="BR130" i="53"/>
  <c r="BL205" i="53"/>
  <c r="J135" i="53"/>
  <c r="AU136" i="53"/>
  <c r="CD210" i="53"/>
  <c r="CD212" i="53"/>
  <c r="Y213" i="53"/>
  <c r="BR176" i="53"/>
  <c r="BR196" i="53"/>
  <c r="DC186" i="53"/>
  <c r="BA114" i="53"/>
  <c r="DC113" i="53"/>
  <c r="AP212" i="53"/>
  <c r="BR158" i="53"/>
  <c r="DC147" i="53"/>
  <c r="BA157" i="53"/>
  <c r="DC182" i="53"/>
  <c r="AU183" i="53"/>
  <c r="J181" i="53"/>
  <c r="BA143" i="53"/>
  <c r="BA159" i="53"/>
  <c r="BR118" i="53"/>
  <c r="Y130" i="53"/>
  <c r="BA171" i="53"/>
  <c r="DC196" i="53"/>
  <c r="BR184" i="53"/>
  <c r="DC187" i="53"/>
  <c r="BR159" i="53"/>
  <c r="BL121" i="53"/>
  <c r="BA118" i="53"/>
  <c r="CD166" i="53"/>
  <c r="BL176" i="53"/>
  <c r="DC192" i="53"/>
  <c r="Y191" i="53"/>
  <c r="Y215" i="53"/>
  <c r="BR169" i="53"/>
  <c r="Y123" i="53"/>
  <c r="DC199" i="53"/>
  <c r="AU219" i="53"/>
  <c r="BR222" i="53"/>
  <c r="AU152" i="53"/>
  <c r="AU187" i="53"/>
  <c r="BL220" i="53"/>
  <c r="BR181" i="53"/>
  <c r="AL216" i="53"/>
  <c r="DC225" i="53"/>
  <c r="CL225" i="53"/>
  <c r="BA190" i="53"/>
  <c r="BA147" i="53"/>
  <c r="BL147" i="53"/>
  <c r="J176" i="53"/>
  <c r="Y205" i="53"/>
  <c r="BR212" i="53"/>
  <c r="DC166" i="53"/>
  <c r="Y115" i="53"/>
  <c r="BA192" i="53"/>
  <c r="BR145" i="53"/>
  <c r="AU221" i="53"/>
  <c r="AU218" i="53"/>
  <c r="Y176" i="53"/>
  <c r="BR192" i="53"/>
  <c r="AL175" i="53"/>
  <c r="CD115" i="53"/>
  <c r="AL123" i="53"/>
  <c r="Y224" i="53"/>
  <c r="Y190" i="53"/>
  <c r="BA195" i="53"/>
  <c r="BA162" i="53"/>
  <c r="Y169" i="53"/>
  <c r="AL176" i="53"/>
  <c r="J214" i="53"/>
  <c r="BL170" i="53"/>
  <c r="CW201" i="53"/>
  <c r="AP200" i="53"/>
  <c r="J197" i="53"/>
  <c r="BA220" i="53"/>
  <c r="J143" i="53"/>
  <c r="BL204" i="53"/>
  <c r="CD109" i="53"/>
  <c r="BL114" i="53"/>
  <c r="BA201" i="53"/>
  <c r="DC218" i="53"/>
  <c r="CD174" i="53"/>
  <c r="Y211" i="53"/>
  <c r="AU181" i="53"/>
  <c r="J184" i="53"/>
  <c r="AU198" i="53"/>
  <c r="CL175" i="53"/>
  <c r="Y210" i="53"/>
  <c r="BA214" i="53"/>
  <c r="AL143" i="53"/>
  <c r="BA172" i="53"/>
  <c r="Y195" i="53"/>
  <c r="BL202" i="53"/>
  <c r="AL195" i="53"/>
  <c r="AP175" i="53"/>
  <c r="AL172" i="53"/>
  <c r="BA198" i="53"/>
  <c r="BA203" i="53"/>
  <c r="BL115" i="53"/>
  <c r="DC169" i="53"/>
  <c r="Y221" i="53"/>
  <c r="DC206" i="53"/>
  <c r="AU201" i="53"/>
  <c r="AU166" i="53"/>
  <c r="AP220" i="53"/>
  <c r="CD217" i="53"/>
  <c r="BR202" i="53"/>
  <c r="BA221" i="53"/>
  <c r="AP148" i="53"/>
  <c r="BR151" i="53"/>
  <c r="AL146" i="53"/>
  <c r="AU154" i="53"/>
  <c r="Y147" i="53"/>
  <c r="BR175" i="53"/>
  <c r="AU186" i="53"/>
  <c r="Y149" i="53"/>
  <c r="BR191" i="53"/>
  <c r="BR214" i="53"/>
  <c r="BL211" i="53"/>
  <c r="Y135" i="53"/>
  <c r="BR185" i="53"/>
  <c r="DC181" i="53"/>
  <c r="Y182" i="53"/>
  <c r="BL185" i="53"/>
  <c r="AU203" i="53"/>
  <c r="BA205" i="53"/>
  <c r="BR213" i="53"/>
  <c r="BL192" i="53"/>
  <c r="Y148" i="53"/>
  <c r="BA112" i="53"/>
  <c r="BR102" i="53"/>
  <c r="AU120" i="53"/>
  <c r="BA125" i="53"/>
  <c r="Y114" i="53"/>
  <c r="BL105" i="53"/>
  <c r="AL111" i="53"/>
  <c r="BA115" i="53"/>
  <c r="AP114" i="53"/>
  <c r="DC27" i="53"/>
  <c r="CD139" i="53"/>
  <c r="DC144" i="53"/>
  <c r="AU184" i="53"/>
  <c r="AL196" i="53"/>
  <c r="J182" i="53"/>
  <c r="CD169" i="53"/>
  <c r="DC162" i="53"/>
  <c r="AP155" i="53"/>
  <c r="AL155" i="53"/>
  <c r="CW24" i="53"/>
  <c r="AP25" i="53"/>
  <c r="AP131" i="53"/>
  <c r="CW55" i="53"/>
  <c r="BL65" i="53"/>
  <c r="BL196" i="53"/>
  <c r="D99" i="53"/>
  <c r="AP38" i="53"/>
  <c r="CW63" i="53"/>
  <c r="CW26" i="53"/>
  <c r="AP66" i="53"/>
  <c r="Y63" i="53"/>
  <c r="BR67" i="53"/>
  <c r="AU96" i="53"/>
  <c r="CL219" i="53"/>
  <c r="AP121" i="53"/>
  <c r="J46" i="53"/>
  <c r="CL156" i="53"/>
  <c r="Y29" i="53"/>
  <c r="CL153" i="53"/>
  <c r="J242" i="53"/>
  <c r="J152" i="53"/>
  <c r="BL69" i="53"/>
  <c r="BL108" i="53"/>
  <c r="BL64" i="53"/>
  <c r="AP64" i="53"/>
  <c r="J111" i="53"/>
  <c r="AL64" i="53"/>
  <c r="Y96" i="53"/>
  <c r="DC60" i="53"/>
  <c r="CD64" i="53"/>
  <c r="Y64" i="53"/>
  <c r="AU64" i="53"/>
  <c r="BR96" i="53"/>
  <c r="BA96" i="53"/>
  <c r="DC64" i="53"/>
  <c r="J96" i="53"/>
  <c r="BL110" i="53"/>
  <c r="CL96" i="53"/>
  <c r="CL64" i="53"/>
  <c r="DC122" i="53"/>
  <c r="BL135" i="53"/>
  <c r="AL62" i="53"/>
  <c r="BA144" i="53"/>
  <c r="CW64" i="53"/>
  <c r="BR64" i="53"/>
  <c r="AP122" i="53"/>
  <c r="DC96" i="53"/>
  <c r="BR26" i="53"/>
  <c r="BL96" i="53"/>
  <c r="BA64" i="53"/>
  <c r="Y118" i="53"/>
  <c r="CD96" i="53"/>
  <c r="J64" i="53"/>
  <c r="BA23" i="53"/>
  <c r="AU60" i="53"/>
  <c r="AP96" i="53"/>
  <c r="CD32" i="53"/>
  <c r="Y60" i="53"/>
  <c r="AU44" i="53"/>
  <c r="AP103" i="53"/>
  <c r="CD151" i="53"/>
  <c r="CD157" i="53"/>
  <c r="BL150" i="53"/>
  <c r="BL171" i="53"/>
  <c r="CW150" i="53"/>
  <c r="BR72" i="53"/>
  <c r="AL107" i="53"/>
  <c r="CD66" i="53"/>
  <c r="Y54" i="53"/>
  <c r="BR110" i="53"/>
  <c r="AU25" i="53"/>
  <c r="AL106" i="53"/>
  <c r="DC38" i="53"/>
  <c r="AL232" i="53"/>
  <c r="CD150" i="53"/>
  <c r="BL125" i="53"/>
  <c r="AL173" i="53"/>
  <c r="CL150" i="53"/>
  <c r="J150" i="53"/>
  <c r="Y150" i="53"/>
  <c r="DC94" i="53"/>
  <c r="CW32" i="53"/>
  <c r="AU150" i="53"/>
  <c r="AP150" i="53"/>
  <c r="AL150" i="53"/>
  <c r="DC150" i="53"/>
  <c r="AU138" i="53"/>
  <c r="J144" i="53"/>
  <c r="BA150" i="53"/>
  <c r="BR150" i="53"/>
  <c r="DC17" i="53"/>
  <c r="CW68" i="53"/>
  <c r="AU39" i="53"/>
  <c r="BL245" i="53"/>
  <c r="AL130" i="53"/>
  <c r="BA113" i="53"/>
  <c r="CD44" i="53"/>
  <c r="DC46" i="53"/>
  <c r="DC51" i="53"/>
  <c r="AL51" i="53"/>
  <c r="J136" i="53"/>
  <c r="CW134" i="53"/>
  <c r="DC183" i="53"/>
  <c r="BR51" i="53"/>
  <c r="CL174" i="53"/>
  <c r="J51" i="53"/>
  <c r="AU51" i="53"/>
  <c r="CW51" i="53"/>
  <c r="AP51" i="53"/>
  <c r="J133" i="53"/>
  <c r="BL51" i="53"/>
  <c r="BA51" i="53"/>
  <c r="CL144" i="53"/>
  <c r="J206" i="53"/>
  <c r="J115" i="53"/>
  <c r="CD51" i="53"/>
  <c r="Y51" i="53"/>
  <c r="J113" i="53"/>
  <c r="CL51" i="53"/>
  <c r="AU199" i="53"/>
  <c r="Y65" i="53"/>
  <c r="AU24" i="53"/>
  <c r="AL40" i="53"/>
  <c r="AU106" i="53"/>
  <c r="AL39" i="53"/>
  <c r="AU119" i="53"/>
  <c r="BL139" i="53"/>
  <c r="AP52" i="53"/>
  <c r="DC156" i="53"/>
  <c r="BR97" i="53"/>
  <c r="CW27" i="53"/>
  <c r="AL33" i="53"/>
  <c r="BR68" i="53"/>
  <c r="AP33" i="53"/>
  <c r="Y57" i="53"/>
  <c r="CW101" i="53"/>
  <c r="AL26" i="53"/>
  <c r="AU9" i="53"/>
  <c r="DC45" i="53"/>
  <c r="Y39" i="53"/>
  <c r="AU32" i="53"/>
  <c r="BA151" i="53"/>
  <c r="AP173" i="53"/>
  <c r="BA66" i="53"/>
  <c r="BR55" i="53"/>
  <c r="AL53" i="53"/>
  <c r="CD134" i="53"/>
  <c r="Y144" i="53"/>
  <c r="AU45" i="53"/>
  <c r="BL37" i="53"/>
  <c r="BR43" i="53"/>
  <c r="BA196" i="53"/>
  <c r="CD182" i="53"/>
  <c r="BL46" i="53"/>
  <c r="BA52" i="53"/>
  <c r="Y50" i="53"/>
  <c r="AU52" i="53"/>
  <c r="Y47" i="53"/>
  <c r="AU105" i="53"/>
  <c r="BL184" i="53"/>
  <c r="BR11" i="53"/>
  <c r="BL67" i="53"/>
  <c r="CW12" i="53"/>
  <c r="BL109" i="53"/>
  <c r="Y113" i="53"/>
  <c r="CW148" i="53"/>
  <c r="Y155" i="53"/>
  <c r="BA103" i="53"/>
  <c r="CW58" i="53"/>
  <c r="AU28" i="53"/>
  <c r="BL33" i="53"/>
  <c r="AL29" i="53"/>
  <c r="CD36" i="53"/>
  <c r="DC32" i="53"/>
  <c r="BA197" i="53"/>
  <c r="DC143" i="53"/>
  <c r="BA56" i="53"/>
  <c r="BR135" i="53"/>
  <c r="BA44" i="53"/>
  <c r="DC106" i="53"/>
  <c r="AL56" i="53"/>
  <c r="J66" i="53"/>
  <c r="DC54" i="53"/>
  <c r="DC55" i="53"/>
  <c r="BA55" i="53"/>
  <c r="BA126" i="53"/>
  <c r="Y109" i="53"/>
  <c r="AL213" i="53"/>
  <c r="BL38" i="53"/>
  <c r="BA38" i="53"/>
  <c r="Y186" i="53"/>
  <c r="BA97" i="53"/>
  <c r="DC125" i="53"/>
  <c r="AU8" i="53"/>
  <c r="Y107" i="53"/>
  <c r="AU38" i="53"/>
  <c r="CW37" i="53"/>
  <c r="DC57" i="53"/>
  <c r="BR30" i="53"/>
  <c r="AP32" i="53"/>
  <c r="CD29" i="53"/>
  <c r="AP56" i="53"/>
  <c r="BL41" i="53"/>
  <c r="CW65" i="53"/>
  <c r="BA42" i="53"/>
  <c r="BL26" i="53"/>
  <c r="Y66" i="53"/>
  <c r="BL31" i="53"/>
  <c r="Y30" i="53"/>
  <c r="BL23" i="53"/>
  <c r="CL113" i="53"/>
  <c r="DC58" i="53"/>
  <c r="BA70" i="53"/>
  <c r="AL11" i="53"/>
  <c r="BR138" i="53"/>
  <c r="Y13" i="53"/>
  <c r="BR70" i="53"/>
  <c r="AP97" i="53"/>
  <c r="BA98" i="53"/>
  <c r="BR37" i="53"/>
  <c r="BA31" i="53"/>
  <c r="DC146" i="53"/>
  <c r="Y17" i="53"/>
  <c r="BR45" i="53"/>
  <c r="BA65" i="53"/>
  <c r="BR36" i="53"/>
  <c r="AL54" i="53"/>
  <c r="AP69" i="53"/>
  <c r="BL12" i="53"/>
  <c r="J63" i="53"/>
  <c r="CW46" i="53"/>
  <c r="BR53" i="53"/>
  <c r="Y22" i="53"/>
  <c r="Y25" i="53"/>
  <c r="BA138" i="53"/>
  <c r="J69" i="53"/>
  <c r="CD47" i="53"/>
  <c r="BR44" i="53"/>
  <c r="DC42" i="53"/>
  <c r="CD39" i="53"/>
  <c r="Y56" i="53"/>
  <c r="AP45" i="53"/>
  <c r="CD184" i="53"/>
  <c r="AP228" i="53"/>
  <c r="AP24" i="53"/>
  <c r="AP9" i="53"/>
  <c r="AP70" i="53"/>
  <c r="AU42" i="53"/>
  <c r="CD25" i="53"/>
  <c r="BA46" i="53"/>
  <c r="AP39" i="53"/>
  <c r="CW182" i="53"/>
  <c r="CW105" i="53"/>
  <c r="Y15" i="53"/>
  <c r="BR17" i="53"/>
  <c r="BR122" i="53"/>
  <c r="AL45" i="53"/>
  <c r="AU31" i="53"/>
  <c r="DC31" i="53"/>
  <c r="Y40" i="53"/>
  <c r="BA30" i="53"/>
  <c r="CW155" i="53"/>
  <c r="CW33" i="53"/>
  <c r="BA59" i="53"/>
  <c r="DC92" i="53"/>
  <c r="AL181" i="53"/>
  <c r="BL131" i="53"/>
  <c r="DC72" i="53"/>
  <c r="BL42" i="53"/>
  <c r="BA73" i="53"/>
  <c r="AL32" i="53"/>
  <c r="BA43" i="53"/>
  <c r="AL233" i="53"/>
  <c r="AL92" i="53"/>
  <c r="Y41" i="53"/>
  <c r="BL223" i="53"/>
  <c r="AL44" i="53"/>
  <c r="J147" i="53"/>
  <c r="BL144" i="53"/>
  <c r="BR89" i="53"/>
  <c r="CW196" i="53"/>
  <c r="AL185" i="53"/>
  <c r="DC28" i="53"/>
  <c r="DC23" i="53"/>
  <c r="AU122" i="53"/>
  <c r="CL54" i="53"/>
  <c r="BL47" i="53"/>
  <c r="AU55" i="53"/>
  <c r="CW176" i="53"/>
  <c r="BA54" i="53"/>
  <c r="DC62" i="53"/>
  <c r="DC67" i="53"/>
  <c r="DC11" i="53"/>
  <c r="AL46" i="53"/>
  <c r="Y72" i="53"/>
  <c r="BR25" i="53"/>
  <c r="DC111" i="53"/>
  <c r="AL16" i="53"/>
  <c r="BL36" i="53"/>
  <c r="CW241" i="53"/>
  <c r="AU175" i="53"/>
  <c r="BR29" i="53"/>
  <c r="BL68" i="53"/>
  <c r="BA178" i="53"/>
  <c r="CW223" i="53"/>
  <c r="BL17" i="53"/>
  <c r="BA22" i="53"/>
  <c r="Y55" i="53"/>
  <c r="AL167" i="53"/>
  <c r="CW91" i="53"/>
  <c r="CW184" i="53"/>
  <c r="BL13" i="53"/>
  <c r="AL97" i="53"/>
  <c r="AP22" i="53"/>
  <c r="CD27" i="53"/>
  <c r="CW118" i="53"/>
  <c r="Y10" i="53"/>
  <c r="BA63" i="53"/>
  <c r="AU37" i="53"/>
  <c r="BA37" i="53"/>
  <c r="DC7" i="53"/>
  <c r="AU158" i="53"/>
  <c r="CW44" i="53"/>
  <c r="CW82" i="53"/>
  <c r="CD30" i="53"/>
  <c r="J44" i="53"/>
  <c r="CD54" i="53"/>
  <c r="CW84" i="53"/>
  <c r="AP101" i="53"/>
  <c r="CL39" i="53"/>
  <c r="BA146" i="53"/>
  <c r="CW7" i="53"/>
  <c r="CD23" i="53"/>
  <c r="BL56" i="53"/>
  <c r="AL31" i="53"/>
  <c r="AU27" i="53"/>
  <c r="DC41" i="53"/>
  <c r="CL45" i="53"/>
  <c r="J31" i="53"/>
  <c r="AU12" i="53"/>
  <c r="J225" i="53"/>
  <c r="AP107" i="53"/>
  <c r="CD38" i="53"/>
  <c r="CL19" i="53"/>
  <c r="J93" i="53"/>
  <c r="J171" i="53"/>
  <c r="CL200" i="53"/>
  <c r="BA41" i="53"/>
  <c r="BR121" i="53"/>
  <c r="AL134" i="53"/>
  <c r="J68" i="53"/>
  <c r="CD111" i="53"/>
  <c r="CL136" i="53"/>
  <c r="J145" i="53"/>
  <c r="Y97" i="53"/>
  <c r="CL44" i="53"/>
  <c r="CL32" i="53"/>
  <c r="CW110" i="53"/>
  <c r="AL129" i="53"/>
  <c r="J196" i="53"/>
  <c r="DC19" i="53"/>
  <c r="AL8" i="53"/>
  <c r="CL101" i="53"/>
  <c r="CL62" i="53"/>
  <c r="DC97" i="53"/>
  <c r="AP11" i="53"/>
  <c r="CL38" i="53"/>
  <c r="CL14" i="53"/>
  <c r="J174" i="53"/>
  <c r="CL60" i="53"/>
  <c r="CW138" i="53"/>
  <c r="CL15" i="53"/>
  <c r="CL50" i="53"/>
  <c r="J54" i="53"/>
  <c r="J47" i="53"/>
  <c r="J114" i="53"/>
  <c r="J240" i="53"/>
  <c r="CL47" i="53"/>
  <c r="CL176" i="53"/>
  <c r="J9" i="53"/>
  <c r="CL66" i="53"/>
  <c r="J62" i="53"/>
  <c r="CL43" i="53"/>
  <c r="AP43" i="53"/>
  <c r="CL223" i="53"/>
  <c r="DC36" i="53"/>
  <c r="AP19" i="53"/>
  <c r="BL16" i="53"/>
  <c r="DC43" i="53"/>
  <c r="AU102" i="53"/>
  <c r="DC109" i="53"/>
  <c r="AL59" i="53"/>
  <c r="DC210" i="53"/>
  <c r="CL31" i="53"/>
  <c r="AL68" i="53"/>
  <c r="AP72" i="53"/>
  <c r="CW137" i="53"/>
  <c r="DC12" i="53"/>
  <c r="AP41" i="53"/>
  <c r="DC115" i="53"/>
  <c r="AU98" i="53"/>
  <c r="AP201" i="53"/>
  <c r="BL163" i="53"/>
  <c r="AU54" i="53"/>
  <c r="CD7" i="53"/>
  <c r="Y139" i="53"/>
  <c r="AP144" i="53"/>
  <c r="DC24" i="53"/>
  <c r="Y37" i="53"/>
  <c r="BA33" i="53"/>
  <c r="AL219" i="53"/>
  <c r="CW47" i="53"/>
  <c r="CW43" i="53"/>
  <c r="AL30" i="53"/>
  <c r="AL120" i="53"/>
  <c r="AP90" i="53"/>
  <c r="Y212" i="53"/>
  <c r="J223" i="53"/>
  <c r="CW159" i="53"/>
  <c r="DC18" i="53"/>
  <c r="AL60" i="53"/>
  <c r="CW115" i="53"/>
  <c r="Y36" i="53"/>
  <c r="AU125" i="53"/>
  <c r="BR223" i="53"/>
  <c r="CD178" i="53"/>
  <c r="AP143" i="53"/>
  <c r="CD223" i="53"/>
  <c r="J118" i="53"/>
  <c r="AU16" i="53"/>
  <c r="Y44" i="53"/>
  <c r="BL25" i="53"/>
  <c r="CD13" i="53"/>
  <c r="AP223" i="53"/>
  <c r="AU58" i="53"/>
  <c r="CD129" i="53"/>
  <c r="AU146" i="53"/>
  <c r="BL156" i="53"/>
  <c r="Y223" i="53"/>
  <c r="CW42" i="53"/>
  <c r="BA223" i="53"/>
  <c r="BL91" i="53"/>
  <c r="AP202" i="53"/>
  <c r="AL223" i="53"/>
  <c r="J107" i="53"/>
  <c r="DC39" i="53"/>
  <c r="BA11" i="53"/>
  <c r="J129" i="53"/>
  <c r="AU30" i="53"/>
  <c r="CL147" i="53"/>
  <c r="CW209" i="53"/>
  <c r="BL9" i="53"/>
  <c r="Y103" i="53"/>
  <c r="AL23" i="53"/>
  <c r="CW53" i="53"/>
  <c r="BL189" i="53"/>
  <c r="AU223" i="53"/>
  <c r="AP55" i="53"/>
  <c r="BA40" i="53"/>
  <c r="CW112" i="53"/>
  <c r="BR74" i="53"/>
  <c r="Y38" i="53"/>
  <c r="AL22" i="53"/>
  <c r="CL42" i="53"/>
  <c r="CD102" i="53"/>
  <c r="BL62" i="53"/>
  <c r="AU22" i="53"/>
  <c r="CD28" i="53"/>
  <c r="AL7" i="53"/>
  <c r="DC40" i="53"/>
  <c r="AL19" i="53"/>
  <c r="CW66" i="53"/>
  <c r="CD156" i="53"/>
  <c r="CW178" i="53"/>
  <c r="AP197" i="53"/>
  <c r="AU83" i="53"/>
  <c r="AP17" i="53"/>
  <c r="AP146" i="53"/>
  <c r="AL201" i="53"/>
  <c r="AP159" i="53"/>
  <c r="CL214" i="53"/>
  <c r="DC239" i="53"/>
  <c r="AU41" i="53"/>
  <c r="BL127" i="53"/>
  <c r="BR94" i="53"/>
  <c r="CW124" i="53"/>
  <c r="AL119" i="53"/>
  <c r="AP31" i="53"/>
  <c r="CL102" i="53"/>
  <c r="Y178" i="53"/>
  <c r="CW157" i="53"/>
  <c r="BL219" i="53"/>
  <c r="AP139" i="53"/>
  <c r="Y152" i="53"/>
  <c r="J25" i="53"/>
  <c r="CW186" i="53"/>
  <c r="DC232" i="53"/>
  <c r="AP29" i="53"/>
  <c r="BA19" i="53"/>
  <c r="BR52" i="53"/>
  <c r="CD112" i="53"/>
  <c r="CD119" i="53"/>
  <c r="BL224" i="53"/>
  <c r="AP10" i="53"/>
  <c r="CD216" i="53"/>
  <c r="AP205" i="53"/>
  <c r="CL9" i="53"/>
  <c r="BL8" i="53"/>
  <c r="CW143" i="53"/>
  <c r="BA187" i="53"/>
  <c r="BA7" i="53"/>
  <c r="AP83" i="53"/>
  <c r="J15" i="53"/>
  <c r="BR40" i="53"/>
  <c r="CD153" i="53"/>
  <c r="AU144" i="53"/>
  <c r="CW158" i="53"/>
  <c r="BR57" i="53"/>
  <c r="BA16" i="53"/>
  <c r="J43" i="53"/>
  <c r="BA110" i="53"/>
  <c r="BL119" i="53"/>
  <c r="CW191" i="53"/>
  <c r="DC223" i="53"/>
  <c r="CW36" i="53"/>
  <c r="CW122" i="53"/>
  <c r="CD59" i="53"/>
  <c r="AL202" i="53"/>
  <c r="J16" i="53"/>
  <c r="CW67" i="53"/>
  <c r="BR38" i="53"/>
  <c r="J60" i="53"/>
  <c r="BR9" i="53"/>
  <c r="AU26" i="53"/>
  <c r="BA28" i="53"/>
  <c r="AP30" i="53"/>
  <c r="CL12" i="53"/>
  <c r="Y33" i="53"/>
  <c r="AL36" i="53"/>
  <c r="AU23" i="53"/>
  <c r="AU63" i="53"/>
  <c r="Y73" i="53"/>
  <c r="AP27" i="53"/>
  <c r="AU29" i="53"/>
  <c r="BR18" i="53"/>
  <c r="AU13" i="53"/>
  <c r="CL10" i="53"/>
  <c r="AL25" i="53"/>
  <c r="CL7" i="53"/>
  <c r="BR23" i="53"/>
  <c r="CL69" i="53"/>
  <c r="DC26" i="53"/>
  <c r="AP63" i="53"/>
  <c r="BA29" i="53"/>
  <c r="CL22" i="53"/>
  <c r="BA24" i="53"/>
  <c r="CD11" i="53"/>
  <c r="DC30" i="53"/>
  <c r="BL66" i="53"/>
  <c r="Y28" i="53"/>
  <c r="Y18" i="53"/>
  <c r="CL46" i="53"/>
  <c r="BR10" i="53"/>
  <c r="DC37" i="53"/>
  <c r="CL68" i="53"/>
  <c r="CL27" i="53"/>
  <c r="AP42" i="53"/>
  <c r="AL28" i="53"/>
  <c r="AL70" i="53"/>
  <c r="AP28" i="53"/>
  <c r="AL65" i="53"/>
  <c r="CW70" i="53"/>
  <c r="DC53" i="53"/>
  <c r="Y45" i="53"/>
  <c r="J42" i="53"/>
  <c r="BA32" i="53"/>
  <c r="AU50" i="53"/>
  <c r="CW11" i="53"/>
  <c r="AP88" i="53"/>
  <c r="Y62" i="53"/>
  <c r="CL111" i="53"/>
  <c r="DC33" i="53"/>
  <c r="BR56" i="53"/>
  <c r="CL25" i="53"/>
  <c r="CD31" i="53"/>
  <c r="J50" i="53"/>
  <c r="AL72" i="53"/>
  <c r="CW77" i="53"/>
  <c r="J27" i="53"/>
  <c r="DC22" i="53"/>
  <c r="AL24" i="53"/>
  <c r="BA69" i="53"/>
  <c r="BL27" i="53"/>
  <c r="AU73" i="53"/>
  <c r="BR15" i="53"/>
  <c r="DC8" i="53"/>
  <c r="DC50" i="53"/>
  <c r="DC13" i="53"/>
  <c r="BR32" i="53"/>
  <c r="BA18" i="53"/>
  <c r="BL11" i="53"/>
  <c r="AL66" i="53"/>
  <c r="BA108" i="53"/>
  <c r="BA72" i="53"/>
  <c r="BA45" i="53"/>
  <c r="AU126" i="53"/>
  <c r="BA127" i="53"/>
  <c r="AL103" i="53"/>
  <c r="BR42" i="53"/>
  <c r="J13" i="53"/>
  <c r="CW14" i="53"/>
  <c r="AL156" i="53"/>
  <c r="AU174" i="53"/>
  <c r="BA235" i="53"/>
  <c r="BR54" i="53"/>
  <c r="BL93" i="53"/>
  <c r="DC91" i="53"/>
  <c r="Y101" i="53"/>
  <c r="CW52" i="53"/>
  <c r="CL152" i="53"/>
  <c r="CW166" i="53"/>
  <c r="Y199" i="53"/>
  <c r="BR199" i="53"/>
  <c r="BA58" i="53"/>
  <c r="Y106" i="53"/>
  <c r="DC137" i="53"/>
  <c r="CL206" i="53"/>
  <c r="BR206" i="53"/>
  <c r="BR12" i="53"/>
  <c r="AU15" i="53"/>
  <c r="Y234" i="53"/>
  <c r="AU17" i="53"/>
  <c r="BL24" i="53"/>
  <c r="Y8" i="53"/>
  <c r="BR31" i="53"/>
  <c r="BL44" i="53"/>
  <c r="BR33" i="53"/>
  <c r="J10" i="53"/>
  <c r="BA136" i="53"/>
  <c r="Y131" i="53"/>
  <c r="CD145" i="53"/>
  <c r="CD75" i="53"/>
  <c r="AP186" i="53"/>
  <c r="BR22" i="53"/>
  <c r="CW57" i="53"/>
  <c r="BA15" i="53"/>
  <c r="BA92" i="53"/>
  <c r="BA62" i="53"/>
  <c r="DC70" i="53"/>
  <c r="AU59" i="53"/>
  <c r="CD37" i="53"/>
  <c r="J32" i="53"/>
  <c r="Y134" i="53"/>
  <c r="CD55" i="53"/>
  <c r="CD15" i="53"/>
  <c r="CW25" i="53"/>
  <c r="BR24" i="53"/>
  <c r="CD12" i="53"/>
  <c r="BR107" i="53"/>
  <c r="AU162" i="53"/>
  <c r="CW98" i="53"/>
  <c r="J39" i="53"/>
  <c r="AP13" i="53"/>
  <c r="CD16" i="53"/>
  <c r="AP15" i="53"/>
  <c r="Y31" i="53"/>
  <c r="CD158" i="53"/>
  <c r="AU129" i="53"/>
  <c r="Y42" i="53"/>
  <c r="BA36" i="53"/>
  <c r="DC56" i="53"/>
  <c r="AP12" i="53"/>
  <c r="Y32" i="53"/>
  <c r="BL15" i="53"/>
  <c r="AL112" i="53"/>
  <c r="CW174" i="53"/>
  <c r="CW168" i="53"/>
  <c r="CD114" i="53"/>
  <c r="Y85" i="53"/>
  <c r="AU113" i="53"/>
  <c r="AL115" i="53"/>
  <c r="CD154" i="53"/>
  <c r="DC174" i="53"/>
  <c r="BA39" i="53"/>
  <c r="AL76" i="53"/>
  <c r="BL7" i="53"/>
  <c r="AP14" i="53"/>
  <c r="BR28" i="53"/>
  <c r="J19" i="53"/>
  <c r="Y12" i="53"/>
  <c r="AU92" i="53"/>
  <c r="BR90" i="53"/>
  <c r="BA10" i="53"/>
  <c r="BR172" i="53"/>
  <c r="BR16" i="53"/>
  <c r="AU111" i="53"/>
  <c r="CD105" i="53"/>
  <c r="CL98" i="53"/>
  <c r="CD93" i="53"/>
  <c r="CD168" i="53"/>
  <c r="Y14" i="53"/>
  <c r="BR7" i="53"/>
  <c r="BA57" i="53"/>
  <c r="BA121" i="53"/>
  <c r="AP94" i="53"/>
  <c r="BL98" i="53"/>
  <c r="CW144" i="53"/>
  <c r="CW69" i="53"/>
  <c r="AP129" i="53"/>
  <c r="BA173" i="53"/>
  <c r="BL183" i="53"/>
  <c r="DC85" i="53"/>
  <c r="BR76" i="53"/>
  <c r="AP219" i="53"/>
  <c r="CL17" i="53"/>
  <c r="Y16" i="53"/>
  <c r="DC44" i="53"/>
  <c r="J17" i="53"/>
  <c r="AP59" i="53"/>
  <c r="BL32" i="53"/>
  <c r="CW9" i="53"/>
  <c r="BL40" i="53"/>
  <c r="AP16" i="53"/>
  <c r="CW10" i="53"/>
  <c r="J38" i="53"/>
  <c r="Y52" i="53"/>
  <c r="BL22" i="53"/>
  <c r="AP8" i="53"/>
  <c r="CD40" i="53"/>
  <c r="BR47" i="53"/>
  <c r="AP44" i="53"/>
  <c r="BL85" i="53"/>
  <c r="AL81" i="53"/>
  <c r="J22" i="53"/>
  <c r="DC14" i="53"/>
  <c r="DC29" i="53"/>
  <c r="CD10" i="53"/>
  <c r="AU10" i="53"/>
  <c r="CL16" i="53"/>
  <c r="AP7" i="53"/>
  <c r="AU11" i="53"/>
  <c r="BL14" i="53"/>
  <c r="DC47" i="53"/>
  <c r="BA53" i="53"/>
  <c r="Y23" i="53"/>
  <c r="CL8" i="53"/>
  <c r="CL63" i="53"/>
  <c r="BR39" i="53"/>
  <c r="CD67" i="53"/>
  <c r="CW88" i="53"/>
  <c r="AP18" i="53"/>
  <c r="AP91" i="53"/>
  <c r="CW127" i="53"/>
  <c r="BA85" i="53"/>
  <c r="BA50" i="53"/>
  <c r="CW45" i="53"/>
  <c r="BL84" i="53"/>
  <c r="AL74" i="53"/>
  <c r="CD50" i="53"/>
  <c r="BR8" i="53"/>
  <c r="BR41" i="53"/>
  <c r="BL54" i="53"/>
  <c r="DC15" i="53"/>
  <c r="BR66" i="53"/>
  <c r="AU7" i="53"/>
  <c r="Y9" i="53"/>
  <c r="BL10" i="53"/>
  <c r="BL118" i="53"/>
  <c r="CW54" i="53"/>
  <c r="BL122" i="53"/>
  <c r="CD86" i="53"/>
  <c r="BR19" i="53"/>
  <c r="Y11" i="53"/>
  <c r="BA25" i="53"/>
  <c r="CD19" i="53"/>
  <c r="CD41" i="53"/>
  <c r="Y27" i="53"/>
  <c r="CD14" i="53"/>
  <c r="AU76" i="53"/>
  <c r="DC82" i="53"/>
  <c r="BR84" i="53"/>
  <c r="AP74" i="53"/>
  <c r="Y7" i="53"/>
  <c r="BR62" i="53"/>
  <c r="AU14" i="53"/>
  <c r="CW16" i="53"/>
  <c r="AP54" i="53"/>
  <c r="CD62" i="53"/>
  <c r="DC9" i="53"/>
  <c r="Y46" i="53"/>
  <c r="BA68" i="53"/>
  <c r="AL89" i="53"/>
  <c r="CW28" i="53"/>
  <c r="DC76" i="53"/>
  <c r="BA13" i="53"/>
  <c r="BR114" i="53"/>
  <c r="BA47" i="53"/>
  <c r="CD43" i="53"/>
  <c r="Y24" i="53"/>
  <c r="DC16" i="53"/>
  <c r="AU53" i="53"/>
  <c r="BA27" i="53"/>
  <c r="CD8" i="53"/>
  <c r="CD68" i="53"/>
  <c r="CW17" i="53"/>
  <c r="J14" i="53"/>
  <c r="Y105" i="53"/>
  <c r="CD26" i="53"/>
  <c r="BA8" i="53"/>
  <c r="CD22" i="53"/>
  <c r="J12" i="53"/>
  <c r="DC10" i="53"/>
  <c r="BR112" i="53"/>
  <c r="AL15" i="53"/>
  <c r="J7" i="53"/>
  <c r="CL13" i="53"/>
  <c r="BA17" i="53"/>
  <c r="J45" i="53"/>
  <c r="BL72" i="53"/>
  <c r="AL57" i="53"/>
  <c r="BL75" i="53"/>
  <c r="BA12" i="53"/>
  <c r="J8" i="53"/>
  <c r="BA14" i="53"/>
  <c r="BR46" i="53"/>
  <c r="AL12" i="53"/>
  <c r="BL88" i="53"/>
  <c r="AU69" i="53"/>
  <c r="Y74" i="53"/>
  <c r="Y77" i="53"/>
  <c r="CD81" i="53"/>
  <c r="Y26" i="53"/>
  <c r="CL114" i="53"/>
  <c r="AP92" i="53"/>
  <c r="DC90" i="53"/>
  <c r="DC102" i="53"/>
  <c r="BA153" i="53"/>
  <c r="AL168" i="53"/>
  <c r="BA202" i="53"/>
  <c r="DC235" i="53"/>
  <c r="BL212" i="53"/>
  <c r="BR237" i="53"/>
  <c r="AP232" i="53"/>
  <c r="AP87" i="53"/>
  <c r="BA94" i="53"/>
  <c r="CD89" i="53"/>
  <c r="Y151" i="53"/>
  <c r="BL143" i="53"/>
  <c r="BL158" i="53"/>
  <c r="BA155" i="53"/>
  <c r="AL174" i="53"/>
  <c r="CW171" i="53"/>
  <c r="BR195" i="53"/>
  <c r="BR228" i="53"/>
  <c r="CD202" i="53"/>
  <c r="DC222" i="53"/>
  <c r="CD240" i="53"/>
  <c r="DC220" i="53"/>
  <c r="CW41" i="53"/>
  <c r="AU43" i="53"/>
  <c r="BA88" i="53"/>
  <c r="AL88" i="53"/>
  <c r="CL87" i="53"/>
  <c r="BL53" i="53"/>
  <c r="CW130" i="53"/>
  <c r="BR137" i="53"/>
  <c r="CD103" i="53"/>
  <c r="AL184" i="53"/>
  <c r="CL197" i="53"/>
  <c r="BA219" i="53"/>
  <c r="BA222" i="53"/>
  <c r="CD239" i="53"/>
  <c r="CW222" i="53"/>
  <c r="CD244" i="53"/>
  <c r="BR238" i="53"/>
  <c r="J87" i="53"/>
  <c r="Y87" i="53"/>
  <c r="CD107" i="53"/>
  <c r="AL124" i="53"/>
  <c r="CU87" i="53"/>
  <c r="CD110" i="53"/>
  <c r="AP142" i="53"/>
  <c r="AU145" i="53"/>
  <c r="CL198" i="53"/>
  <c r="BL128" i="53"/>
  <c r="CW165" i="53"/>
  <c r="CD192" i="53"/>
  <c r="BR203" i="53"/>
  <c r="AP245" i="53"/>
  <c r="AP218" i="53"/>
  <c r="AP230" i="53"/>
  <c r="DC25" i="53"/>
  <c r="AL153" i="53"/>
  <c r="BA106" i="53"/>
  <c r="DC103" i="53"/>
  <c r="DC98" i="53"/>
  <c r="BL60" i="53"/>
  <c r="AU89" i="53"/>
  <c r="AL91" i="53"/>
  <c r="BA152" i="53"/>
  <c r="DC145" i="53"/>
  <c r="DC138" i="53"/>
  <c r="Y174" i="53"/>
  <c r="BL146" i="53"/>
  <c r="AU178" i="53"/>
  <c r="DC190" i="53"/>
  <c r="BR204" i="53"/>
  <c r="BA238" i="53"/>
  <c r="BA239" i="53"/>
  <c r="DC242" i="53"/>
  <c r="CW15" i="53"/>
  <c r="BL97" i="53"/>
  <c r="AU88" i="53"/>
  <c r="CD144" i="53"/>
  <c r="BL102" i="53"/>
  <c r="CW59" i="53"/>
  <c r="CW89" i="53"/>
  <c r="BL133" i="53"/>
  <c r="Y119" i="53"/>
  <c r="BA186" i="53"/>
  <c r="AL118" i="53"/>
  <c r="BR119" i="53"/>
  <c r="CD213" i="53"/>
  <c r="AL163" i="53"/>
  <c r="BL197" i="53"/>
  <c r="BL221" i="53"/>
  <c r="Y203" i="53"/>
  <c r="BA212" i="53"/>
  <c r="CL239" i="53"/>
  <c r="BA237" i="53"/>
  <c r="CD52" i="53"/>
  <c r="BR149" i="53"/>
  <c r="BL30" i="53"/>
  <c r="CW31" i="53"/>
  <c r="BA119" i="53"/>
  <c r="CD73" i="53"/>
  <c r="AU110" i="53"/>
  <c r="DC65" i="53"/>
  <c r="AP130" i="53"/>
  <c r="CD143" i="53"/>
  <c r="BL130" i="53"/>
  <c r="BR187" i="53"/>
  <c r="CW139" i="53"/>
  <c r="DC119" i="53"/>
  <c r="CL145" i="53"/>
  <c r="CW162" i="53"/>
  <c r="BA183" i="53"/>
  <c r="CD225" i="53"/>
  <c r="AP235" i="53"/>
  <c r="DC212" i="53"/>
  <c r="Y225" i="53"/>
  <c r="CD224" i="53"/>
  <c r="DC231" i="53"/>
  <c r="DC237" i="53"/>
  <c r="CD18" i="53"/>
  <c r="BR60" i="53"/>
  <c r="AP46" i="53"/>
  <c r="AH50" i="53"/>
  <c r="Y102" i="53"/>
  <c r="AU90" i="53"/>
  <c r="CD87" i="53"/>
  <c r="AL102" i="53"/>
  <c r="AU97" i="53"/>
  <c r="Y90" i="53"/>
  <c r="AP105" i="53"/>
  <c r="CW173" i="53"/>
  <c r="AP109" i="53"/>
  <c r="AU159" i="53"/>
  <c r="CD181" i="53"/>
  <c r="CW175" i="53"/>
  <c r="BL162" i="53"/>
  <c r="BL167" i="53"/>
  <c r="AP168" i="53"/>
  <c r="AL165" i="53"/>
  <c r="BL229" i="53"/>
  <c r="BL225" i="53"/>
  <c r="BR221" i="53"/>
  <c r="BL50" i="53"/>
  <c r="CU50" i="53"/>
  <c r="Y67" i="53"/>
  <c r="DC88" i="53"/>
  <c r="DC87" i="53"/>
  <c r="AU68" i="53"/>
  <c r="BL103" i="53"/>
  <c r="DC69" i="53"/>
  <c r="BL92" i="53"/>
  <c r="Y120" i="53"/>
  <c r="AL178" i="53"/>
  <c r="DC155" i="53"/>
  <c r="DC168" i="53"/>
  <c r="BA167" i="53"/>
  <c r="AP170" i="53"/>
  <c r="CL184" i="53"/>
  <c r="CW225" i="53"/>
  <c r="Y218" i="53"/>
  <c r="BA217" i="53"/>
  <c r="Y237" i="53"/>
  <c r="CW240" i="53"/>
  <c r="AU233" i="53"/>
  <c r="CW224" i="53"/>
  <c r="BL63" i="53"/>
  <c r="BL89" i="53"/>
  <c r="CD121" i="53"/>
  <c r="AU91" i="53"/>
  <c r="CW108" i="53"/>
  <c r="Y145" i="53"/>
  <c r="Y133" i="53"/>
  <c r="AL139" i="53"/>
  <c r="BL154" i="53"/>
  <c r="CD167" i="53"/>
  <c r="BA185" i="53"/>
  <c r="Y206" i="53"/>
  <c r="BL191" i="53"/>
  <c r="BA206" i="53"/>
  <c r="AU243" i="53"/>
  <c r="BL213" i="53"/>
  <c r="DC240" i="53"/>
  <c r="Y232" i="53"/>
  <c r="AL121" i="53"/>
  <c r="BR13" i="53"/>
  <c r="BA26" i="53"/>
  <c r="AU19" i="53"/>
  <c r="DC118" i="53"/>
  <c r="BA122" i="53"/>
  <c r="AL131" i="53"/>
  <c r="AU87" i="53"/>
  <c r="AU109" i="53"/>
  <c r="CW131" i="53"/>
  <c r="CL143" i="53"/>
  <c r="Y185" i="53"/>
  <c r="CW111" i="53"/>
  <c r="BA218" i="53"/>
  <c r="AL169" i="53"/>
  <c r="AU177" i="53"/>
  <c r="CW204" i="53"/>
  <c r="DC213" i="53"/>
  <c r="BL232" i="53"/>
  <c r="CW40" i="53"/>
  <c r="BA134" i="53"/>
  <c r="Y59" i="53"/>
  <c r="BA105" i="53"/>
  <c r="CW109" i="53"/>
  <c r="AU134" i="53"/>
  <c r="CD152" i="53"/>
  <c r="BL187" i="53"/>
  <c r="AP162" i="53"/>
  <c r="AL90" i="53"/>
  <c r="Y121" i="53"/>
  <c r="BA133" i="53"/>
  <c r="CD146" i="53"/>
  <c r="AU167" i="53"/>
  <c r="J175" i="53"/>
  <c r="AL171" i="53"/>
  <c r="BR200" i="53"/>
  <c r="CD196" i="53"/>
  <c r="AL230" i="53"/>
  <c r="CD238" i="53"/>
  <c r="CD241" i="53"/>
  <c r="BL79" i="53"/>
  <c r="BL113" i="53"/>
  <c r="CD17" i="53"/>
  <c r="J98" i="53"/>
  <c r="Y153" i="53"/>
  <c r="CB87" i="53"/>
  <c r="BR92" i="53"/>
  <c r="BA109" i="53"/>
  <c r="AP128" i="53"/>
  <c r="BA174" i="53"/>
  <c r="BA120" i="53"/>
  <c r="BR189" i="53"/>
  <c r="Y170" i="53"/>
  <c r="AL166" i="53"/>
  <c r="Y138" i="53"/>
  <c r="BA170" i="53"/>
  <c r="CW195" i="53"/>
  <c r="CW189" i="53"/>
  <c r="CD232" i="53"/>
  <c r="BR234" i="53"/>
  <c r="AL197" i="53"/>
  <c r="CW220" i="53"/>
  <c r="BL209" i="53"/>
  <c r="BL214" i="53"/>
  <c r="BL216" i="53"/>
  <c r="CD242" i="53"/>
  <c r="AU239" i="53"/>
  <c r="AL244" i="53"/>
  <c r="AL225" i="53"/>
  <c r="AU36" i="53"/>
  <c r="CW94" i="53"/>
  <c r="BL107" i="53"/>
  <c r="AP93" i="53"/>
  <c r="BL142" i="53"/>
  <c r="DC123" i="53"/>
  <c r="AP147" i="53"/>
  <c r="AP135" i="53"/>
  <c r="BR178" i="53"/>
  <c r="AU196" i="53"/>
  <c r="BL231" i="53"/>
  <c r="AU229" i="53"/>
  <c r="CW228" i="53"/>
  <c r="AP234" i="53"/>
  <c r="CB74" i="53"/>
  <c r="CW50" i="53"/>
  <c r="AP65" i="53"/>
  <c r="BL58" i="53"/>
  <c r="CD113" i="53"/>
  <c r="AL137" i="53"/>
  <c r="AU65" i="53"/>
  <c r="CW97" i="53"/>
  <c r="CD70" i="53"/>
  <c r="CD72" i="53"/>
  <c r="BR156" i="53"/>
  <c r="BL149" i="53"/>
  <c r="AU192" i="53"/>
  <c r="CW128" i="53"/>
  <c r="Y197" i="53"/>
  <c r="Y202" i="53"/>
  <c r="CD209" i="53"/>
  <c r="AL237" i="53"/>
  <c r="AL215" i="53"/>
  <c r="AP204" i="53"/>
  <c r="AL231" i="53"/>
  <c r="AP238" i="53"/>
  <c r="AP60" i="53"/>
  <c r="BL45" i="53"/>
  <c r="DC66" i="53"/>
  <c r="CL93" i="53"/>
  <c r="CD57" i="53"/>
  <c r="CD106" i="53"/>
  <c r="BA93" i="53"/>
  <c r="AU94" i="53"/>
  <c r="CD159" i="53"/>
  <c r="CD136" i="53"/>
  <c r="CD176" i="53"/>
  <c r="AL144" i="53"/>
  <c r="BA154" i="53"/>
  <c r="CD245" i="53"/>
  <c r="BA231" i="53"/>
  <c r="BZ74" i="53"/>
  <c r="Y89" i="53"/>
  <c r="CD9" i="53"/>
  <c r="BR65" i="53"/>
  <c r="AL98" i="53"/>
  <c r="CD90" i="53"/>
  <c r="AP108" i="53"/>
  <c r="CD147" i="53"/>
  <c r="AL183" i="53"/>
  <c r="CD124" i="53"/>
  <c r="AP136" i="53"/>
  <c r="AL148" i="53"/>
  <c r="AL136" i="53"/>
  <c r="AL214" i="53"/>
  <c r="CD185" i="53"/>
  <c r="DC197" i="53"/>
  <c r="CW172" i="53"/>
  <c r="CD187" i="53"/>
  <c r="CD203" i="53"/>
  <c r="AP189" i="53"/>
  <c r="CD175" i="53"/>
  <c r="AL198" i="53"/>
  <c r="DC205" i="53"/>
  <c r="CL230" i="53"/>
  <c r="Y217" i="53"/>
  <c r="AL220" i="53"/>
  <c r="J239" i="53"/>
  <c r="BR87" i="53"/>
  <c r="BA90" i="53"/>
  <c r="CD91" i="53"/>
  <c r="BA87" i="53"/>
  <c r="Y91" i="53"/>
  <c r="CW62" i="53"/>
  <c r="BR106" i="53"/>
  <c r="BL129" i="53"/>
  <c r="BR91" i="53"/>
  <c r="BL87" i="53"/>
  <c r="CD177" i="53"/>
  <c r="AU70" i="53"/>
  <c r="CD137" i="53"/>
  <c r="AP172" i="53"/>
  <c r="DC139" i="53"/>
  <c r="CD171" i="53"/>
  <c r="AP163" i="53"/>
  <c r="CD201" i="53"/>
  <c r="CD189" i="53"/>
  <c r="AU209" i="53"/>
  <c r="AP241" i="53"/>
  <c r="AL199" i="53"/>
  <c r="CW198" i="53"/>
  <c r="AP231" i="53"/>
  <c r="BA232" i="53"/>
  <c r="Y233" i="53"/>
  <c r="CD233" i="53"/>
  <c r="DC74" i="53"/>
  <c r="AL77" i="53"/>
  <c r="CW22" i="53"/>
  <c r="CD94" i="53"/>
  <c r="CB50" i="53"/>
  <c r="J101" i="53"/>
  <c r="AP153" i="53"/>
  <c r="CW107" i="53"/>
  <c r="BR88" i="53"/>
  <c r="CW93" i="53"/>
  <c r="CL129" i="53"/>
  <c r="BL165" i="53"/>
  <c r="Y172" i="53"/>
  <c r="DC108" i="53"/>
  <c r="CD122" i="53"/>
  <c r="AP138" i="53"/>
  <c r="DC124" i="53"/>
  <c r="AP158" i="53"/>
  <c r="CL165" i="53"/>
  <c r="CD199" i="53"/>
  <c r="CD186" i="53"/>
  <c r="AU168" i="53"/>
  <c r="CW210" i="53"/>
  <c r="BL244" i="53"/>
  <c r="AL221" i="53"/>
  <c r="BR205" i="53"/>
  <c r="BL233" i="53"/>
  <c r="AL41" i="53"/>
  <c r="AH74" i="53"/>
  <c r="AL13" i="53"/>
  <c r="BA91" i="53"/>
  <c r="BZ87" i="53"/>
  <c r="BR139" i="53"/>
  <c r="BR188" i="53"/>
  <c r="BA101" i="53"/>
  <c r="CL118" i="53"/>
  <c r="AU66" i="53"/>
  <c r="BL106" i="53"/>
  <c r="AP73" i="53"/>
  <c r="AL87" i="53"/>
  <c r="BA142" i="53"/>
  <c r="AL152" i="53"/>
  <c r="AU176" i="53"/>
  <c r="BR163" i="53"/>
  <c r="DC173" i="53"/>
  <c r="CD236" i="53"/>
  <c r="AL189" i="53"/>
  <c r="AP216" i="53"/>
  <c r="CW221" i="53"/>
  <c r="BA233" i="53"/>
  <c r="CU74" i="53"/>
  <c r="Y82" i="53"/>
  <c r="CD42" i="53"/>
  <c r="CD60" i="53"/>
  <c r="BL124" i="53"/>
  <c r="BA67" i="53"/>
  <c r="AL133" i="53"/>
  <c r="DC101" i="53"/>
  <c r="J102" i="53"/>
  <c r="CD98" i="53"/>
  <c r="CW92" i="53"/>
  <c r="AL108" i="53"/>
  <c r="CW151" i="53"/>
  <c r="BA168" i="53"/>
  <c r="BR126" i="53"/>
  <c r="CW170" i="53"/>
  <c r="J156" i="53"/>
  <c r="AL128" i="53"/>
  <c r="AP206" i="53"/>
  <c r="AU200" i="53"/>
  <c r="BL198" i="53"/>
  <c r="CW211" i="53"/>
  <c r="BR209" i="53"/>
  <c r="CW232" i="53"/>
  <c r="CW233" i="53"/>
  <c r="AL234" i="53"/>
  <c r="CD215" i="53"/>
  <c r="BR93" i="53"/>
  <c r="AP102" i="53"/>
  <c r="BA102" i="53"/>
  <c r="Y142" i="53"/>
  <c r="BR108" i="53"/>
  <c r="DC149" i="53"/>
  <c r="AL126" i="53"/>
  <c r="DC184" i="53"/>
  <c r="BR128" i="53"/>
  <c r="AP169" i="53"/>
  <c r="BR165" i="53"/>
  <c r="BL210" i="53"/>
  <c r="CW177" i="53"/>
  <c r="CD200" i="53"/>
  <c r="CW213" i="53"/>
  <c r="AL217" i="53"/>
  <c r="Y239" i="53"/>
  <c r="AL206" i="53"/>
  <c r="CL240" i="53"/>
  <c r="BR14" i="53"/>
  <c r="DC63" i="53"/>
  <c r="DC89" i="53"/>
  <c r="AP89" i="53"/>
  <c r="CD53" i="53"/>
  <c r="CD135" i="53"/>
  <c r="AU56" i="53"/>
  <c r="DC93" i="53"/>
  <c r="AL101" i="53"/>
  <c r="DC134" i="53"/>
  <c r="AL105" i="53"/>
  <c r="BA163" i="53"/>
  <c r="BR142" i="53"/>
  <c r="AJ87" i="53"/>
  <c r="BL195" i="53"/>
  <c r="AP156" i="53"/>
  <c r="AU143" i="53"/>
  <c r="BL181" i="53"/>
  <c r="CW185" i="53"/>
  <c r="BA200" i="53"/>
  <c r="AL9" i="53"/>
  <c r="Y108" i="53"/>
  <c r="BR124" i="53"/>
  <c r="BR109" i="53"/>
  <c r="CD33" i="53"/>
  <c r="DC107" i="53"/>
  <c r="Y94" i="53"/>
  <c r="CD101" i="53"/>
  <c r="AP181" i="53"/>
  <c r="BR105" i="53"/>
  <c r="AP126" i="53"/>
  <c r="AL200" i="53"/>
  <c r="AU127" i="53"/>
  <c r="DC188" i="53"/>
  <c r="AP192" i="53"/>
  <c r="AU211" i="53"/>
  <c r="BR219" i="53"/>
  <c r="CW239" i="53"/>
  <c r="AL47" i="53"/>
  <c r="AL84" i="53"/>
  <c r="CD92" i="53"/>
  <c r="CD88" i="53"/>
  <c r="AP137" i="53"/>
  <c r="BR103" i="53"/>
  <c r="BZ50" i="53"/>
  <c r="CW156" i="53"/>
  <c r="Y125" i="53"/>
  <c r="Y92" i="53"/>
  <c r="CW87" i="53"/>
  <c r="BR173" i="53"/>
  <c r="AP124" i="53"/>
  <c r="CW153" i="53"/>
  <c r="AL170" i="53"/>
  <c r="BL166" i="53"/>
  <c r="AU224" i="53"/>
  <c r="AP214" i="53"/>
  <c r="BL215" i="53"/>
  <c r="AP229" i="53"/>
  <c r="CD219" i="53"/>
  <c r="Y240" i="53"/>
  <c r="CD234" i="53"/>
  <c r="AP240" i="53"/>
  <c r="AJ74" i="53"/>
  <c r="Y88" i="53"/>
  <c r="DC127" i="53"/>
  <c r="Y184" i="53"/>
  <c r="BR162" i="53"/>
  <c r="AU163" i="53"/>
  <c r="AU212" i="53"/>
  <c r="AU242" i="53"/>
  <c r="AP233" i="53"/>
  <c r="AU232" i="53"/>
  <c r="AU231" i="53"/>
  <c r="BA9" i="53"/>
  <c r="AL55" i="53"/>
  <c r="AJ50" i="53"/>
  <c r="BL57" i="53"/>
  <c r="AU101" i="53"/>
  <c r="AL58" i="53"/>
  <c r="AL52" i="53"/>
  <c r="AH87" i="53"/>
  <c r="BA89" i="53"/>
  <c r="AL158" i="53"/>
  <c r="BA199" i="53"/>
  <c r="AL182" i="53"/>
  <c r="CL196" i="53"/>
  <c r="AU142" i="53"/>
  <c r="CW136" i="53"/>
  <c r="Y167" i="53"/>
  <c r="DC216" i="53"/>
  <c r="AL10" i="53"/>
  <c r="BL70" i="53"/>
  <c r="Y93" i="53"/>
  <c r="BL101" i="53"/>
  <c r="BL73" i="53"/>
  <c r="AP167" i="53"/>
  <c r="CL181" i="53"/>
  <c r="AU112" i="53"/>
  <c r="DC151" i="53"/>
  <c r="AP119" i="53"/>
  <c r="CW163" i="53"/>
  <c r="Y200" i="53"/>
  <c r="BR171" i="53"/>
  <c r="AU191" i="53"/>
  <c r="CD218" i="53"/>
  <c r="AP237" i="53"/>
  <c r="AP221" i="53"/>
  <c r="BA75" i="53"/>
  <c r="AP78" i="53"/>
  <c r="CD74" i="53"/>
  <c r="CD83" i="53"/>
  <c r="BR79" i="53"/>
  <c r="BR81" i="53"/>
  <c r="DC81" i="53"/>
  <c r="BR82" i="53"/>
  <c r="CD76" i="53"/>
  <c r="AU86" i="53"/>
  <c r="AP76" i="53"/>
  <c r="BL80" i="53"/>
  <c r="BA78" i="53"/>
  <c r="CD78" i="53"/>
  <c r="AU78" i="53"/>
  <c r="AP84" i="53"/>
  <c r="DC79" i="53"/>
  <c r="AP81" i="53"/>
  <c r="Y80" i="53"/>
  <c r="AU80" i="53"/>
  <c r="CW83" i="53"/>
  <c r="AU81" i="53"/>
  <c r="AP85" i="53"/>
  <c r="Y75" i="53"/>
  <c r="AL86" i="53"/>
  <c r="DC84" i="53"/>
  <c r="CD85" i="53"/>
  <c r="DC77" i="53"/>
  <c r="BL77" i="53"/>
  <c r="BA83" i="53"/>
  <c r="AL79" i="53"/>
  <c r="BL86" i="53"/>
  <c r="DC78" i="53"/>
  <c r="BL83" i="53"/>
  <c r="CW76" i="53"/>
  <c r="DC83" i="53"/>
  <c r="BR83" i="53"/>
  <c r="BL74" i="53"/>
  <c r="AU79" i="53"/>
  <c r="AL83" i="53"/>
  <c r="AU82" i="53"/>
  <c r="Y83" i="53"/>
  <c r="Y84" i="53"/>
  <c r="AL80" i="53"/>
  <c r="CW85" i="53"/>
  <c r="AU85" i="53"/>
  <c r="AU75" i="53"/>
  <c r="BR78" i="53"/>
  <c r="DC75" i="53"/>
  <c r="BL76" i="53"/>
  <c r="BA82" i="53"/>
  <c r="BA86" i="53"/>
  <c r="CD77" i="53"/>
  <c r="BR80" i="53"/>
  <c r="AP86" i="53"/>
  <c r="BL81" i="53"/>
  <c r="Y79" i="53"/>
  <c r="BA77" i="53"/>
  <c r="BA81" i="53"/>
  <c r="AL85" i="53"/>
  <c r="Y78" i="53"/>
  <c r="BR75" i="53"/>
  <c r="AU74" i="53"/>
  <c r="Y86" i="53"/>
  <c r="Y76" i="53"/>
  <c r="CD82" i="53"/>
  <c r="DC80" i="53"/>
  <c r="BL78" i="53"/>
  <c r="CW78" i="53"/>
  <c r="AP75" i="53"/>
  <c r="BA79" i="53"/>
  <c r="AL75" i="53"/>
  <c r="AL78" i="53"/>
  <c r="BR85" i="53"/>
  <c r="CD79" i="53"/>
  <c r="AP82" i="53"/>
  <c r="CD84" i="53"/>
  <c r="AU84" i="53"/>
  <c r="BA84" i="53"/>
  <c r="CW75" i="53"/>
  <c r="AP80" i="53"/>
  <c r="CW79" i="53"/>
  <c r="CW81" i="53"/>
  <c r="CW80" i="53"/>
  <c r="BA76" i="53"/>
  <c r="CW86" i="53"/>
  <c r="CW74" i="53"/>
  <c r="BA80" i="53"/>
  <c r="AP77" i="53"/>
  <c r="BA74" i="53"/>
  <c r="AL82" i="53"/>
  <c r="BR77" i="53"/>
  <c r="BR86" i="53"/>
  <c r="DC86" i="53"/>
  <c r="CD80" i="53"/>
  <c r="AU77" i="53"/>
  <c r="Y81" i="53"/>
  <c r="AP79" i="53"/>
  <c r="BL82" i="53"/>
  <c r="A99" i="53" l="1"/>
  <c r="V18" i="53"/>
  <c r="CR18" i="53"/>
  <c r="K18" i="53"/>
  <c r="CM18" i="53"/>
  <c r="V84" i="53"/>
  <c r="CR84" i="53"/>
  <c r="CM84" i="53"/>
  <c r="K84" i="53"/>
  <c r="CR170" i="53"/>
  <c r="CM170" i="53"/>
  <c r="V170" i="53"/>
  <c r="K170" i="53"/>
  <c r="CR40" i="53"/>
  <c r="CM40" i="53"/>
  <c r="V40" i="53"/>
  <c r="K40" i="53"/>
  <c r="V149" i="53"/>
  <c r="K149" i="53"/>
  <c r="CM149" i="53"/>
  <c r="CR149" i="53"/>
  <c r="K218" i="53"/>
  <c r="CR218" i="53"/>
  <c r="V218" i="53"/>
  <c r="CM218" i="53"/>
  <c r="V168" i="53"/>
  <c r="CM168" i="53"/>
  <c r="CR168" i="53"/>
  <c r="K168" i="53"/>
  <c r="CR172" i="53"/>
  <c r="CM172" i="53"/>
  <c r="K172" i="53"/>
  <c r="V172" i="53"/>
  <c r="K195" i="53"/>
  <c r="V195" i="53"/>
  <c r="CM195" i="53"/>
  <c r="CR195" i="53"/>
  <c r="V234" i="53"/>
  <c r="K234" i="53"/>
  <c r="CR234" i="53"/>
  <c r="CM234" i="53"/>
  <c r="CR73" i="53"/>
  <c r="V73" i="53"/>
  <c r="CM73" i="53"/>
  <c r="K73" i="53"/>
  <c r="K221" i="53"/>
  <c r="CM221" i="53"/>
  <c r="CR221" i="53"/>
  <c r="V221" i="53"/>
  <c r="CM67" i="53"/>
  <c r="CR67" i="53"/>
  <c r="K67" i="53"/>
  <c r="V67" i="53"/>
  <c r="CR131" i="53"/>
  <c r="K131" i="53"/>
  <c r="CM131" i="53"/>
  <c r="V131" i="53"/>
  <c r="V201" i="53"/>
  <c r="K201" i="53"/>
  <c r="CR201" i="53"/>
  <c r="CM201" i="53"/>
  <c r="CR37" i="53"/>
  <c r="CM37" i="53"/>
  <c r="V37" i="53"/>
  <c r="K37" i="53"/>
  <c r="CM183" i="53"/>
  <c r="V183" i="53"/>
  <c r="CR183" i="53"/>
  <c r="K183" i="53"/>
  <c r="K162" i="53"/>
  <c r="V162" i="53"/>
  <c r="CR162" i="53"/>
  <c r="CM162" i="53"/>
  <c r="CR213" i="53"/>
  <c r="CM213" i="53"/>
  <c r="V213" i="53"/>
  <c r="K213" i="53"/>
  <c r="K148" i="53"/>
  <c r="CR148" i="53"/>
  <c r="CM148" i="53"/>
  <c r="V148" i="53"/>
  <c r="CM173" i="53"/>
  <c r="CR173" i="53"/>
  <c r="V173" i="53"/>
  <c r="K173" i="53"/>
  <c r="CR159" i="53"/>
  <c r="CM159" i="53"/>
  <c r="V159" i="53"/>
  <c r="K159" i="53"/>
  <c r="CM229" i="53"/>
  <c r="CR229" i="53"/>
  <c r="V229" i="53"/>
  <c r="K229" i="53"/>
  <c r="CR65" i="53"/>
  <c r="K65" i="53"/>
  <c r="V65" i="53"/>
  <c r="CM65" i="53"/>
  <c r="CM72" i="53"/>
  <c r="V72" i="53"/>
  <c r="CR72" i="53"/>
  <c r="K72" i="53"/>
  <c r="V237" i="53"/>
  <c r="K237" i="53"/>
  <c r="CR237" i="53"/>
  <c r="CM237" i="53"/>
  <c r="V108" i="53"/>
  <c r="CM108" i="53"/>
  <c r="K108" i="53"/>
  <c r="CR108" i="53"/>
  <c r="V56" i="53"/>
  <c r="CR56" i="53"/>
  <c r="K56" i="53"/>
  <c r="CM56" i="53"/>
  <c r="CM157" i="53"/>
  <c r="V157" i="53"/>
  <c r="CR157" i="53"/>
  <c r="K157" i="53"/>
  <c r="CR216" i="53"/>
  <c r="K216" i="53"/>
  <c r="CM216" i="53"/>
  <c r="V216" i="53"/>
  <c r="CM94" i="53"/>
  <c r="CR94" i="53"/>
  <c r="K94" i="53"/>
  <c r="V94" i="53"/>
  <c r="K106" i="53"/>
  <c r="CM106" i="53"/>
  <c r="CR106" i="53"/>
  <c r="V106" i="53"/>
  <c r="CM167" i="53"/>
  <c r="V167" i="53"/>
  <c r="K167" i="53"/>
  <c r="CR167" i="53"/>
  <c r="V187" i="53"/>
  <c r="K187" i="53"/>
  <c r="CR187" i="53"/>
  <c r="CM187" i="53"/>
  <c r="CM142" i="53"/>
  <c r="CR142" i="53"/>
  <c r="V142" i="53"/>
  <c r="K142" i="53"/>
  <c r="K26" i="53"/>
  <c r="CM26" i="53"/>
  <c r="CR26" i="53"/>
  <c r="V26" i="53"/>
  <c r="K33" i="53"/>
  <c r="V33" i="53"/>
  <c r="CR33" i="53"/>
  <c r="CM33" i="53"/>
  <c r="CR30" i="53"/>
  <c r="CM30" i="53"/>
  <c r="V30" i="53"/>
  <c r="K30" i="53"/>
  <c r="K55" i="53"/>
  <c r="CM55" i="53"/>
  <c r="V55" i="53"/>
  <c r="CR55" i="53"/>
  <c r="K59" i="53"/>
  <c r="V59" i="53"/>
  <c r="CM59" i="53"/>
  <c r="CR59" i="53"/>
  <c r="V53" i="53"/>
  <c r="CR53" i="53"/>
  <c r="K53" i="53"/>
  <c r="CM53" i="53"/>
  <c r="V78" i="53"/>
  <c r="CR78" i="53"/>
  <c r="CM78" i="53"/>
  <c r="K78" i="53"/>
  <c r="K235" i="53"/>
  <c r="CM235" i="53"/>
  <c r="CR235" i="53"/>
  <c r="V235" i="53"/>
  <c r="K29" i="53"/>
  <c r="V29" i="53"/>
  <c r="CM29" i="53"/>
  <c r="CR29" i="53"/>
  <c r="K188" i="53"/>
  <c r="CM188" i="53"/>
  <c r="CR188" i="53"/>
  <c r="V188" i="53"/>
  <c r="CR121" i="53"/>
  <c r="K121" i="53"/>
  <c r="CM121" i="53"/>
  <c r="V121" i="53"/>
  <c r="V177" i="53"/>
  <c r="CR177" i="53"/>
  <c r="CM177" i="53"/>
  <c r="K177" i="53"/>
  <c r="CR205" i="53"/>
  <c r="V205" i="53"/>
  <c r="K205" i="53"/>
  <c r="CM205" i="53"/>
  <c r="CM244" i="53"/>
  <c r="CR244" i="53"/>
  <c r="V244" i="53"/>
  <c r="K244" i="53"/>
  <c r="CR97" i="53"/>
  <c r="CM97" i="53"/>
  <c r="K97" i="53"/>
  <c r="V97" i="53"/>
  <c r="CR80" i="53"/>
  <c r="K80" i="53"/>
  <c r="CM80" i="53"/>
  <c r="V80" i="53"/>
  <c r="V217" i="53"/>
  <c r="K217" i="53"/>
  <c r="CM217" i="53"/>
  <c r="CR217" i="53"/>
  <c r="CM11" i="53"/>
  <c r="CR11" i="53"/>
  <c r="K11" i="53"/>
  <c r="V11" i="53"/>
  <c r="CM36" i="53"/>
  <c r="V36" i="53"/>
  <c r="K36" i="53"/>
  <c r="CR36" i="53"/>
  <c r="CM57" i="53"/>
  <c r="V57" i="53"/>
  <c r="K57" i="53"/>
  <c r="CR57" i="53"/>
  <c r="CR215" i="53"/>
  <c r="CM215" i="53"/>
  <c r="K215" i="53"/>
  <c r="V215" i="53"/>
  <c r="K212" i="53"/>
  <c r="CR212" i="53"/>
  <c r="CM212" i="53"/>
  <c r="V212" i="53"/>
  <c r="V109" i="53"/>
  <c r="CR109" i="53"/>
  <c r="K109" i="53"/>
  <c r="CM109" i="53"/>
  <c r="K204" i="53"/>
  <c r="CR204" i="53"/>
  <c r="CM204" i="53"/>
  <c r="V204" i="53"/>
  <c r="CR220" i="53"/>
  <c r="K220" i="53"/>
  <c r="V220" i="53"/>
  <c r="CM220" i="53"/>
  <c r="CM110" i="53"/>
  <c r="V110" i="53"/>
  <c r="CR110" i="53"/>
  <c r="K110" i="53"/>
  <c r="CM232" i="53"/>
  <c r="K232" i="53"/>
  <c r="V232" i="53"/>
  <c r="CR232" i="53"/>
  <c r="V91" i="53"/>
  <c r="CR91" i="53"/>
  <c r="CM91" i="53"/>
  <c r="K91" i="53"/>
  <c r="V243" i="53"/>
  <c r="CM243" i="53"/>
  <c r="CR243" i="53"/>
  <c r="K243" i="53"/>
  <c r="CM222" i="53"/>
  <c r="V222" i="53"/>
  <c r="CR222" i="53"/>
  <c r="K222" i="53"/>
  <c r="CM241" i="53"/>
  <c r="K241" i="53"/>
  <c r="V241" i="53"/>
  <c r="CR241" i="53"/>
  <c r="V119" i="53"/>
  <c r="K119" i="53"/>
  <c r="CM119" i="53"/>
  <c r="CR119" i="53"/>
  <c r="CR90" i="53"/>
  <c r="V90" i="53"/>
  <c r="CM90" i="53"/>
  <c r="K90" i="53"/>
  <c r="CR151" i="53"/>
  <c r="K151" i="53"/>
  <c r="CM151" i="53"/>
  <c r="V151" i="53"/>
  <c r="CR210" i="53"/>
  <c r="CM210" i="53"/>
  <c r="V210" i="53"/>
  <c r="K210" i="53"/>
  <c r="V139" i="53"/>
  <c r="K139" i="53"/>
  <c r="CR139" i="53"/>
  <c r="CM139" i="53"/>
  <c r="CR41" i="53"/>
  <c r="CM41" i="53"/>
  <c r="V41" i="53"/>
  <c r="K41" i="53"/>
  <c r="K130" i="53"/>
  <c r="V130" i="53"/>
  <c r="CR130" i="53"/>
  <c r="CM130" i="53"/>
  <c r="V92" i="53"/>
  <c r="CR92" i="53"/>
  <c r="CM92" i="53"/>
  <c r="K92" i="53"/>
  <c r="CR211" i="53"/>
  <c r="V211" i="53"/>
  <c r="CM211" i="53"/>
  <c r="K211" i="53"/>
  <c r="V105" i="53"/>
  <c r="K105" i="53"/>
  <c r="CM105" i="53"/>
  <c r="CR105" i="53"/>
  <c r="K88" i="53"/>
  <c r="CM88" i="53"/>
  <c r="CR88" i="53"/>
  <c r="V88" i="53"/>
  <c r="V70" i="53"/>
  <c r="CM70" i="53"/>
  <c r="CR70" i="53"/>
  <c r="K70" i="53"/>
  <c r="CR189" i="53"/>
  <c r="K189" i="53"/>
  <c r="V189" i="53"/>
  <c r="CM189" i="53"/>
  <c r="V186" i="53"/>
  <c r="CM186" i="53"/>
  <c r="K186" i="53"/>
  <c r="CR186" i="53"/>
  <c r="CR127" i="53"/>
  <c r="K127" i="53"/>
  <c r="CM127" i="53"/>
  <c r="V127" i="53"/>
  <c r="V126" i="53"/>
  <c r="CM126" i="53"/>
  <c r="CR126" i="53"/>
  <c r="K126" i="53"/>
  <c r="CM238" i="53"/>
  <c r="V238" i="53"/>
  <c r="CR238" i="53"/>
  <c r="K238" i="53"/>
  <c r="K76" i="53"/>
  <c r="V76" i="53"/>
  <c r="CM76" i="53"/>
  <c r="CR76" i="53"/>
  <c r="V28" i="53"/>
  <c r="CR28" i="53"/>
  <c r="K28" i="53"/>
  <c r="CM28" i="53"/>
  <c r="CR236" i="53"/>
  <c r="V236" i="53"/>
  <c r="CM236" i="53"/>
  <c r="K236" i="53"/>
  <c r="CR134" i="53"/>
  <c r="CM134" i="53"/>
  <c r="V134" i="53"/>
  <c r="K134" i="53"/>
  <c r="V146" i="53"/>
  <c r="CM146" i="53"/>
  <c r="CR146" i="53"/>
  <c r="K146" i="53"/>
  <c r="CM138" i="53"/>
  <c r="V138" i="53"/>
  <c r="CR138" i="53"/>
  <c r="K138" i="53"/>
  <c r="K209" i="53"/>
  <c r="CM209" i="53"/>
  <c r="V209" i="53"/>
  <c r="CR209" i="53"/>
  <c r="V154" i="53"/>
  <c r="K154" i="53"/>
  <c r="CR154" i="53"/>
  <c r="CM154" i="53"/>
  <c r="CR155" i="53"/>
  <c r="V155" i="53"/>
  <c r="CM155" i="53"/>
  <c r="K155" i="53"/>
  <c r="CR24" i="53"/>
  <c r="CM24" i="53"/>
  <c r="V24" i="53"/>
  <c r="K24" i="53"/>
  <c r="CR166" i="53"/>
  <c r="CM166" i="53"/>
  <c r="V166" i="53"/>
  <c r="K166" i="53"/>
  <c r="CM125" i="53"/>
  <c r="V125" i="53"/>
  <c r="CR125" i="53"/>
  <c r="K125" i="53"/>
  <c r="CR224" i="53"/>
  <c r="CM224" i="53"/>
  <c r="K224" i="53"/>
  <c r="V224" i="53"/>
  <c r="K58" i="53"/>
  <c r="V58" i="53"/>
  <c r="CM58" i="53"/>
  <c r="CR58" i="53"/>
  <c r="CM191" i="53"/>
  <c r="CR191" i="53"/>
  <c r="V191" i="53"/>
  <c r="K191" i="53"/>
  <c r="CR112" i="53"/>
  <c r="K112" i="53"/>
  <c r="CM112" i="53"/>
  <c r="V112" i="53"/>
  <c r="K185" i="53"/>
  <c r="V185" i="53"/>
  <c r="CM185" i="53"/>
  <c r="CR185" i="53"/>
  <c r="CR89" i="53"/>
  <c r="K89" i="53"/>
  <c r="CM89" i="53"/>
  <c r="V89" i="53"/>
  <c r="CR190" i="53"/>
  <c r="CM190" i="53"/>
  <c r="K190" i="53"/>
  <c r="V190" i="53"/>
  <c r="K158" i="53"/>
  <c r="CM158" i="53"/>
  <c r="CR158" i="53"/>
  <c r="V158" i="53"/>
  <c r="K203" i="53"/>
  <c r="CR203" i="53"/>
  <c r="CM203" i="53"/>
  <c r="V203" i="53"/>
  <c r="CM178" i="53"/>
  <c r="V178" i="53"/>
  <c r="CR178" i="53"/>
  <c r="K178" i="53"/>
  <c r="K231" i="53"/>
  <c r="V231" i="53"/>
  <c r="CM231" i="53"/>
  <c r="CR231" i="53"/>
  <c r="CM199" i="53"/>
  <c r="V199" i="53"/>
  <c r="CR199" i="53"/>
  <c r="K199" i="53"/>
  <c r="K23" i="53"/>
  <c r="CM23" i="53"/>
  <c r="V23" i="53"/>
  <c r="CR23" i="53"/>
  <c r="CM103" i="53"/>
  <c r="CR103" i="53"/>
  <c r="K103" i="53"/>
  <c r="V103" i="53"/>
  <c r="V122" i="53"/>
  <c r="CM122" i="53"/>
  <c r="CR122" i="53"/>
  <c r="K122" i="53"/>
  <c r="CR123" i="53"/>
  <c r="V123" i="53"/>
  <c r="K123" i="53"/>
  <c r="CM123" i="53"/>
  <c r="CR81" i="53"/>
  <c r="K81" i="53"/>
  <c r="V81" i="53"/>
  <c r="CM81" i="53"/>
  <c r="CM52" i="53"/>
  <c r="V52" i="53"/>
  <c r="CR52" i="53"/>
  <c r="K52" i="53"/>
  <c r="K128" i="53"/>
  <c r="CR128" i="53"/>
  <c r="V128" i="53"/>
  <c r="CM128" i="53"/>
  <c r="CR169" i="53"/>
  <c r="CM169" i="53"/>
  <c r="V169" i="53"/>
  <c r="K169" i="53"/>
  <c r="K163" i="53"/>
  <c r="CR163" i="53"/>
  <c r="V163" i="53"/>
  <c r="CM163" i="53"/>
  <c r="CR120" i="53"/>
  <c r="V120" i="53"/>
  <c r="K120" i="53"/>
  <c r="CM120" i="53"/>
  <c r="V124" i="53"/>
  <c r="CR124" i="53"/>
  <c r="K124" i="53"/>
  <c r="CM124" i="53"/>
  <c r="V202" i="53"/>
  <c r="CM202" i="53"/>
  <c r="CR202" i="53"/>
  <c r="K202" i="53"/>
  <c r="D21" i="53"/>
  <c r="D34" i="53" s="1"/>
  <c r="D35" i="53"/>
  <c r="D48" i="53" s="1"/>
  <c r="D6" i="53"/>
  <c r="V77" i="53"/>
  <c r="K77" i="53"/>
  <c r="CM77" i="53"/>
  <c r="CR77" i="53"/>
  <c r="CR86" i="53"/>
  <c r="CM86" i="53"/>
  <c r="K86" i="53"/>
  <c r="V86" i="53"/>
  <c r="CM79" i="53"/>
  <c r="CR79" i="53"/>
  <c r="V79" i="53"/>
  <c r="K79" i="53"/>
  <c r="CR75" i="53"/>
  <c r="CM75" i="53"/>
  <c r="V75" i="53"/>
  <c r="K75" i="53"/>
  <c r="CM83" i="53"/>
  <c r="V83" i="53"/>
  <c r="CR83" i="53"/>
  <c r="K83" i="53"/>
  <c r="K74" i="53"/>
  <c r="V74" i="53"/>
  <c r="CM74" i="53"/>
  <c r="CR74" i="53"/>
  <c r="CR85" i="53"/>
  <c r="K85" i="53"/>
  <c r="V85" i="53"/>
  <c r="CM85" i="53"/>
  <c r="V82" i="53"/>
  <c r="CR82" i="53"/>
  <c r="CM82" i="53"/>
  <c r="K82" i="53"/>
  <c r="BO35" i="53"/>
  <c r="BO21" i="53"/>
  <c r="BG99" i="53" l="1"/>
  <c r="AE99" i="53"/>
  <c r="AV99" i="53"/>
  <c r="CN99" i="53"/>
  <c r="CT99" i="53"/>
  <c r="AW99" i="53"/>
  <c r="Z99" i="53"/>
  <c r="AF99" i="53"/>
  <c r="CC99" i="53"/>
  <c r="CB99" i="53" s="1"/>
  <c r="BH99" i="53"/>
  <c r="CV99" i="53"/>
  <c r="CU99" i="53" s="1"/>
  <c r="AX99" i="53"/>
  <c r="AG99" i="53"/>
  <c r="CE99" i="53"/>
  <c r="BK99" i="53"/>
  <c r="BP99" i="53"/>
  <c r="AY99" i="53"/>
  <c r="BM99" i="53"/>
  <c r="CX99" i="53"/>
  <c r="CF99" i="53"/>
  <c r="BN99" i="53"/>
  <c r="AI99" i="53"/>
  <c r="AH99" i="53" s="1"/>
  <c r="CG99" i="53"/>
  <c r="BO99" i="53"/>
  <c r="CY99" i="53"/>
  <c r="CH99" i="53"/>
  <c r="AK99" i="53"/>
  <c r="AJ99" i="53" s="1"/>
  <c r="CI99" i="53"/>
  <c r="CZ99" i="53"/>
  <c r="BS99" i="53"/>
  <c r="AM99" i="53"/>
  <c r="BX99" i="53"/>
  <c r="AN99" i="53"/>
  <c r="BF99" i="53"/>
  <c r="BW99" i="53"/>
  <c r="AA99" i="53"/>
  <c r="CK99" i="53"/>
  <c r="CM99" i="53"/>
  <c r="DB99" i="53"/>
  <c r="CQ99" i="53"/>
  <c r="AC99" i="53"/>
  <c r="CR99" i="53"/>
  <c r="CA99" i="53"/>
  <c r="BZ99" i="53" s="1"/>
  <c r="CO99" i="53"/>
  <c r="BQ99" i="53"/>
  <c r="BE99" i="53"/>
  <c r="BU99" i="53"/>
  <c r="BT99" i="53"/>
  <c r="DA99" i="53"/>
  <c r="AO99" i="53"/>
  <c r="AR99" i="53"/>
  <c r="AZ99" i="53"/>
  <c r="BC99" i="53"/>
  <c r="BD99" i="53"/>
  <c r="AD99" i="53"/>
  <c r="BV99" i="53"/>
  <c r="BB99" i="53"/>
  <c r="CJ99" i="53"/>
  <c r="AQ99" i="53"/>
  <c r="BI99" i="53"/>
  <c r="CP99" i="53"/>
  <c r="AB99" i="53"/>
  <c r="BJ99" i="53"/>
  <c r="AS99" i="53"/>
  <c r="BY99" i="53"/>
  <c r="AT99" i="53"/>
  <c r="CS99" i="53"/>
  <c r="D20" i="53"/>
  <c r="CL124" i="53"/>
  <c r="J168" i="53"/>
  <c r="CL205" i="53"/>
  <c r="J224" i="53"/>
  <c r="J139" i="53"/>
  <c r="CL97" i="53"/>
  <c r="CL159" i="53"/>
  <c r="J201" i="53"/>
  <c r="CL172" i="53"/>
  <c r="J91" i="53"/>
  <c r="J78" i="53"/>
  <c r="J53" i="53"/>
  <c r="J108" i="53"/>
  <c r="CL33" i="53"/>
  <c r="J169" i="53"/>
  <c r="J166" i="53"/>
  <c r="J134" i="53"/>
  <c r="CL130" i="53"/>
  <c r="CL189" i="53"/>
  <c r="CL183" i="53"/>
  <c r="J231" i="53"/>
  <c r="CL243" i="53"/>
  <c r="CL235" i="53"/>
  <c r="J210" i="53"/>
  <c r="J244" i="53"/>
  <c r="J142" i="53"/>
  <c r="CL56" i="53"/>
  <c r="J173" i="53"/>
  <c r="J146" i="53"/>
  <c r="CL162" i="53"/>
  <c r="J40" i="53"/>
  <c r="J55" i="53"/>
  <c r="CL217" i="53"/>
  <c r="J94" i="53"/>
  <c r="J23" i="53"/>
  <c r="J130" i="53"/>
  <c r="J241" i="53"/>
  <c r="CL188" i="53"/>
  <c r="J65" i="53"/>
  <c r="CL128" i="53"/>
  <c r="J199" i="53"/>
  <c r="J236" i="53"/>
  <c r="CL241" i="53"/>
  <c r="J204" i="53"/>
  <c r="J188" i="53"/>
  <c r="J155" i="53"/>
  <c r="CL28" i="53"/>
  <c r="CL26" i="53"/>
  <c r="J178" i="53"/>
  <c r="CL123" i="53"/>
  <c r="J124" i="53"/>
  <c r="CL53" i="53"/>
  <c r="CL218" i="53"/>
  <c r="J105" i="53"/>
  <c r="CL151" i="53"/>
  <c r="J57" i="53"/>
  <c r="J205" i="53"/>
  <c r="CL148" i="53"/>
  <c r="CL67" i="53"/>
  <c r="CL237" i="53"/>
  <c r="J213" i="53"/>
  <c r="J103" i="53"/>
  <c r="J190" i="53"/>
  <c r="CL127" i="53"/>
  <c r="J72" i="53"/>
  <c r="J73" i="53"/>
  <c r="CL11" i="53"/>
  <c r="J162" i="53"/>
  <c r="J41" i="53"/>
  <c r="J229" i="53"/>
  <c r="J37" i="53"/>
  <c r="J185" i="53"/>
  <c r="CL222" i="53"/>
  <c r="CL112" i="53"/>
  <c r="CL139" i="53"/>
  <c r="J243" i="53"/>
  <c r="J159" i="53"/>
  <c r="CL201" i="53"/>
  <c r="CL18" i="53"/>
  <c r="J202" i="53"/>
  <c r="CL81" i="53"/>
  <c r="CL76" i="53"/>
  <c r="J154" i="53"/>
  <c r="CL91" i="53"/>
  <c r="CL78" i="53"/>
  <c r="J238" i="53"/>
  <c r="CL244" i="53"/>
  <c r="CL142" i="53"/>
  <c r="CL173" i="53"/>
  <c r="CL187" i="53"/>
  <c r="CL120" i="53"/>
  <c r="J122" i="53"/>
  <c r="J126" i="53"/>
  <c r="CL211" i="53"/>
  <c r="J90" i="53"/>
  <c r="J110" i="53"/>
  <c r="J177" i="53"/>
  <c r="CL122" i="53"/>
  <c r="CL158" i="53"/>
  <c r="CL224" i="53"/>
  <c r="CL126" i="53"/>
  <c r="CL90" i="53"/>
  <c r="J36" i="53"/>
  <c r="CL177" i="53"/>
  <c r="J167" i="53"/>
  <c r="CL190" i="53"/>
  <c r="CL146" i="53"/>
  <c r="J127" i="53"/>
  <c r="CL119" i="53"/>
  <c r="J11" i="53"/>
  <c r="CL73" i="53"/>
  <c r="CL169" i="53"/>
  <c r="CL23" i="53"/>
  <c r="J89" i="53"/>
  <c r="CL166" i="53"/>
  <c r="CL134" i="53"/>
  <c r="CL186" i="53"/>
  <c r="J217" i="53"/>
  <c r="CL30" i="53"/>
  <c r="J234" i="53"/>
  <c r="CL170" i="53"/>
  <c r="CL185" i="53"/>
  <c r="CL236" i="53"/>
  <c r="J222" i="53"/>
  <c r="CL109" i="53"/>
  <c r="CL84" i="53"/>
  <c r="J70" i="53"/>
  <c r="J33" i="53"/>
  <c r="CL229" i="53"/>
  <c r="J195" i="53"/>
  <c r="CL155" i="53"/>
  <c r="J28" i="53"/>
  <c r="J157" i="53"/>
  <c r="CL157" i="53"/>
  <c r="CL202" i="53"/>
  <c r="J81" i="53"/>
  <c r="CL88" i="53"/>
  <c r="J215" i="53"/>
  <c r="J56" i="53"/>
  <c r="CL131" i="53"/>
  <c r="CL178" i="53"/>
  <c r="CL191" i="53"/>
  <c r="J76" i="53"/>
  <c r="J88" i="53"/>
  <c r="CL210" i="53"/>
  <c r="CL215" i="53"/>
  <c r="J131" i="53"/>
  <c r="CL168" i="53"/>
  <c r="J123" i="53"/>
  <c r="CL203" i="53"/>
  <c r="CL58" i="53"/>
  <c r="CL105" i="53"/>
  <c r="CL209" i="53"/>
  <c r="J67" i="53"/>
  <c r="J203" i="53"/>
  <c r="J58" i="53"/>
  <c r="J209" i="53"/>
  <c r="CL238" i="53"/>
  <c r="J151" i="53"/>
  <c r="J232" i="53"/>
  <c r="J187" i="53"/>
  <c r="CL108" i="53"/>
  <c r="J138" i="53"/>
  <c r="J211" i="53"/>
  <c r="CL232" i="53"/>
  <c r="CL57" i="53"/>
  <c r="J148" i="53"/>
  <c r="J218" i="53"/>
  <c r="J120" i="53"/>
  <c r="CL59" i="53"/>
  <c r="CL149" i="53"/>
  <c r="J158" i="53"/>
  <c r="CL138" i="53"/>
  <c r="J237" i="53"/>
  <c r="CL213" i="53"/>
  <c r="CL221" i="53"/>
  <c r="J149" i="53"/>
  <c r="CL163" i="53"/>
  <c r="J125" i="53"/>
  <c r="J92" i="53"/>
  <c r="CL110" i="53"/>
  <c r="CL36" i="53"/>
  <c r="J59" i="53"/>
  <c r="CL167" i="53"/>
  <c r="J221" i="53"/>
  <c r="CL92" i="53"/>
  <c r="CL220" i="53"/>
  <c r="CL121" i="53"/>
  <c r="J163" i="53"/>
  <c r="CL103" i="53"/>
  <c r="CL125" i="53"/>
  <c r="J119" i="53"/>
  <c r="J220" i="53"/>
  <c r="J121" i="53"/>
  <c r="CL55" i="53"/>
  <c r="CL106" i="53"/>
  <c r="CL40" i="53"/>
  <c r="J106" i="53"/>
  <c r="CL72" i="53"/>
  <c r="CL89" i="53"/>
  <c r="J186" i="53"/>
  <c r="J30" i="53"/>
  <c r="CL65" i="53"/>
  <c r="J183" i="53"/>
  <c r="CL234" i="53"/>
  <c r="J170" i="53"/>
  <c r="CL204" i="53"/>
  <c r="J24" i="53"/>
  <c r="CL94" i="53"/>
  <c r="J84" i="53"/>
  <c r="CL24" i="53"/>
  <c r="J189" i="53"/>
  <c r="J109" i="53"/>
  <c r="CL80" i="53"/>
  <c r="CL29" i="53"/>
  <c r="CL216" i="53"/>
  <c r="CL195" i="53"/>
  <c r="J128" i="53"/>
  <c r="CL199" i="53"/>
  <c r="CL41" i="53"/>
  <c r="J80" i="53"/>
  <c r="J29" i="53"/>
  <c r="J216" i="53"/>
  <c r="CL37" i="53"/>
  <c r="J52" i="53"/>
  <c r="CL231" i="53"/>
  <c r="J112" i="53"/>
  <c r="CL70" i="53"/>
  <c r="CL212" i="53"/>
  <c r="J97" i="53"/>
  <c r="J172" i="53"/>
  <c r="J18" i="53"/>
  <c r="CL52" i="53"/>
  <c r="J191" i="53"/>
  <c r="CL154" i="53"/>
  <c r="J212" i="53"/>
  <c r="J235" i="53"/>
  <c r="J26" i="53"/>
  <c r="J75" i="53"/>
  <c r="CL85" i="53"/>
  <c r="J83" i="53"/>
  <c r="J82" i="53"/>
  <c r="J77" i="53"/>
  <c r="CL74" i="53"/>
  <c r="J74" i="53"/>
  <c r="CL86" i="53"/>
  <c r="J85" i="53"/>
  <c r="CL83" i="53"/>
  <c r="CL75" i="53"/>
  <c r="J79" i="53"/>
  <c r="CL79" i="53"/>
  <c r="J86" i="53"/>
  <c r="CL82" i="53"/>
  <c r="CL77" i="53"/>
  <c r="DJ123" i="53"/>
  <c r="DJ23" i="53"/>
  <c r="DJ195" i="53"/>
  <c r="DJ210" i="53"/>
  <c r="DJ36" i="53"/>
  <c r="DJ177" i="53"/>
  <c r="DJ154" i="53"/>
  <c r="DJ37" i="53"/>
  <c r="DJ120" i="53"/>
  <c r="DJ107" i="53"/>
  <c r="DJ65" i="53"/>
  <c r="DJ128" i="53"/>
  <c r="DJ63" i="53"/>
  <c r="DJ89" i="53"/>
  <c r="DJ244" i="53"/>
  <c r="DJ188" i="53"/>
  <c r="DJ199" i="53"/>
  <c r="DJ191" i="53"/>
  <c r="DJ198" i="53"/>
  <c r="DJ87" i="53"/>
  <c r="DJ93" i="53"/>
  <c r="DJ82" i="53"/>
  <c r="DJ49" i="53"/>
  <c r="DD49" i="53" l="1"/>
  <c r="DE49" i="53"/>
  <c r="DF49" i="53"/>
  <c r="DG49" i="53"/>
  <c r="DH49" i="53"/>
  <c r="DI49" i="53"/>
  <c r="AL99" i="53"/>
  <c r="DC99" i="53"/>
  <c r="CW99" i="53"/>
  <c r="BL99" i="53"/>
  <c r="CD99" i="53"/>
  <c r="CL99" i="53"/>
  <c r="Y99" i="53"/>
  <c r="AP99" i="53"/>
  <c r="AU99" i="53"/>
  <c r="BR99" i="53"/>
  <c r="BA99" i="53"/>
  <c r="DF219" i="53"/>
  <c r="DD219" i="53"/>
  <c r="DG219" i="53"/>
  <c r="DE219" i="53"/>
  <c r="DH219" i="53"/>
  <c r="DJ219" i="53"/>
  <c r="DI219" i="53"/>
  <c r="DJ162" i="53"/>
  <c r="DJ57" i="53"/>
  <c r="DJ192" i="53"/>
  <c r="DJ206" i="53"/>
  <c r="DJ40" i="53"/>
  <c r="DJ88" i="53"/>
  <c r="DJ106" i="53"/>
  <c r="DJ56" i="53"/>
  <c r="DJ153" i="53"/>
  <c r="DJ131" i="53"/>
  <c r="DJ108" i="53"/>
  <c r="DJ196" i="53"/>
  <c r="DJ114" i="53"/>
  <c r="DJ170" i="53"/>
  <c r="DJ167" i="53"/>
  <c r="DJ127" i="53"/>
  <c r="DJ119" i="53"/>
  <c r="DJ240" i="53"/>
  <c r="DJ230" i="53"/>
  <c r="DJ118" i="53"/>
  <c r="DJ165" i="53"/>
  <c r="DJ142" i="53"/>
  <c r="DJ111" i="53"/>
  <c r="DJ26" i="53"/>
  <c r="DJ62" i="53"/>
  <c r="DJ214" i="53"/>
  <c r="DJ178" i="53"/>
  <c r="DJ221" i="53"/>
  <c r="DJ121" i="53"/>
  <c r="DJ98" i="53"/>
  <c r="DJ234" i="53"/>
  <c r="DJ148" i="53"/>
  <c r="DJ217" i="53"/>
  <c r="DJ66" i="53"/>
  <c r="DJ172" i="53"/>
  <c r="DJ11" i="53"/>
  <c r="DJ133" i="53"/>
  <c r="DJ29" i="53"/>
  <c r="DJ175" i="53"/>
  <c r="DJ137" i="53"/>
  <c r="DJ204" i="53"/>
  <c r="DJ173" i="53"/>
  <c r="DJ18" i="53"/>
  <c r="DJ74" i="53"/>
  <c r="DJ32" i="53"/>
  <c r="DJ231" i="53"/>
  <c r="DJ28" i="53"/>
  <c r="DJ10" i="53"/>
  <c r="DJ77" i="53"/>
  <c r="DJ213" i="53"/>
  <c r="DJ92" i="53"/>
  <c r="DJ22" i="53"/>
  <c r="DJ235" i="53"/>
  <c r="DJ222" i="53"/>
  <c r="DJ136" i="53"/>
  <c r="DJ158" i="53"/>
  <c r="DJ30" i="53"/>
  <c r="DJ176" i="53"/>
  <c r="DJ186" i="53"/>
  <c r="DJ241" i="53"/>
  <c r="DJ47" i="53"/>
  <c r="DJ46" i="53"/>
  <c r="DJ245" i="53"/>
  <c r="DJ243" i="53"/>
  <c r="DJ129" i="53"/>
  <c r="DJ55" i="53"/>
  <c r="DJ185" i="53"/>
  <c r="DJ25" i="53"/>
  <c r="DJ215" i="53"/>
  <c r="DJ232" i="53"/>
  <c r="DJ91" i="53"/>
  <c r="DJ184" i="53"/>
  <c r="DJ168" i="53"/>
  <c r="DJ163" i="53"/>
  <c r="DJ220" i="53"/>
  <c r="DJ183" i="53"/>
  <c r="DJ146" i="53"/>
  <c r="DJ44" i="53"/>
  <c r="DJ212" i="53"/>
  <c r="DJ130" i="53"/>
  <c r="DJ242" i="53"/>
  <c r="DJ94" i="53"/>
  <c r="DJ203" i="53"/>
  <c r="DJ169" i="53"/>
  <c r="DJ126" i="53"/>
  <c r="DJ31" i="53"/>
  <c r="DJ181" i="53"/>
  <c r="DJ68" i="53"/>
  <c r="DJ58" i="53"/>
  <c r="DJ174" i="53"/>
  <c r="DJ209" i="53"/>
  <c r="DJ229" i="53"/>
  <c r="DJ43" i="53"/>
  <c r="DJ190" i="53"/>
  <c r="DJ233" i="53"/>
  <c r="DJ53" i="53"/>
  <c r="DJ73" i="53"/>
  <c r="DJ157" i="53"/>
  <c r="DJ105" i="53"/>
  <c r="DJ182" i="53"/>
  <c r="DJ225" i="53"/>
  <c r="DJ69" i="53"/>
  <c r="DJ156" i="53"/>
  <c r="DJ60" i="53"/>
  <c r="DJ138" i="53"/>
  <c r="DJ17" i="53"/>
  <c r="DJ86" i="53"/>
  <c r="DJ7" i="53"/>
  <c r="DJ205" i="53"/>
  <c r="DJ139" i="53"/>
  <c r="DJ38" i="53"/>
  <c r="DJ224" i="53"/>
  <c r="DJ134" i="53"/>
  <c r="DJ200" i="53"/>
  <c r="DJ145" i="53"/>
  <c r="DJ113" i="53"/>
  <c r="DJ78" i="53"/>
  <c r="DJ42" i="53"/>
  <c r="DJ189" i="53"/>
  <c r="DJ125" i="53"/>
  <c r="DJ12" i="53"/>
  <c r="DJ85" i="53"/>
  <c r="DJ52" i="53"/>
  <c r="DJ72" i="53"/>
  <c r="DJ6" i="53"/>
  <c r="DJ35" i="53"/>
  <c r="DJ100" i="53"/>
  <c r="DJ117" i="53"/>
  <c r="DJ141" i="53"/>
  <c r="DJ143" i="53"/>
  <c r="DJ27" i="53"/>
  <c r="DJ223" i="53"/>
  <c r="DJ201" i="53"/>
  <c r="DJ122" i="53"/>
  <c r="DJ75" i="53"/>
  <c r="DJ110" i="53"/>
  <c r="DJ21" i="53"/>
  <c r="DJ216" i="53"/>
  <c r="DJ171" i="53"/>
  <c r="DJ81" i="53"/>
  <c r="DJ70" i="53"/>
  <c r="DJ202" i="53"/>
  <c r="DJ161" i="53"/>
  <c r="DJ238" i="53"/>
  <c r="DJ135" i="53"/>
  <c r="DJ228" i="53"/>
  <c r="DJ152" i="53"/>
  <c r="DJ45" i="53"/>
  <c r="DJ13" i="53"/>
  <c r="DJ180" i="53"/>
  <c r="DJ84" i="53"/>
  <c r="DJ59" i="53"/>
  <c r="DJ16" i="53"/>
  <c r="DJ101" i="53"/>
  <c r="DJ227" i="53"/>
  <c r="DJ124" i="53"/>
  <c r="DJ41" i="53"/>
  <c r="DJ239" i="53"/>
  <c r="DJ166" i="53"/>
  <c r="DJ97" i="53"/>
  <c r="DJ76" i="53"/>
  <c r="DJ211" i="53"/>
  <c r="DJ218" i="53"/>
  <c r="DJ187" i="53"/>
  <c r="DJ14" i="53"/>
  <c r="DJ194" i="53"/>
  <c r="DJ112" i="53"/>
  <c r="DJ19" i="53"/>
  <c r="DJ80" i="53"/>
  <c r="DJ9" i="53"/>
  <c r="DJ208" i="53"/>
  <c r="DJ33" i="53"/>
  <c r="DJ115" i="53"/>
  <c r="DJ50" i="53"/>
  <c r="DJ236" i="53"/>
  <c r="DJ79" i="53"/>
  <c r="DJ151" i="53"/>
  <c r="DJ15" i="53"/>
  <c r="DJ147" i="53"/>
  <c r="DJ155" i="53"/>
  <c r="DJ54" i="53"/>
  <c r="DD223" i="53"/>
  <c r="DI223" i="53"/>
  <c r="DH223" i="53"/>
  <c r="DG223" i="53"/>
  <c r="DF223" i="53"/>
  <c r="DE223" i="53"/>
  <c r="DH159" i="53"/>
  <c r="DI159" i="53"/>
  <c r="DE159" i="53"/>
  <c r="DD159" i="53"/>
  <c r="DF159" i="53"/>
  <c r="DG159" i="53"/>
  <c r="DG39" i="53"/>
  <c r="DH39" i="53"/>
  <c r="DI39" i="53"/>
  <c r="DE39" i="53"/>
  <c r="DF39" i="53"/>
  <c r="DD39" i="53"/>
  <c r="DF144" i="53"/>
  <c r="DI144" i="53"/>
  <c r="DH144" i="53"/>
  <c r="DD144" i="53"/>
  <c r="DG144" i="53"/>
  <c r="DE144" i="53"/>
  <c r="DF237" i="53"/>
  <c r="DG237" i="53"/>
  <c r="DH237" i="53"/>
  <c r="DD237" i="53"/>
  <c r="DE237" i="53"/>
  <c r="DI237" i="53"/>
  <c r="DE149" i="53"/>
  <c r="DI149" i="53"/>
  <c r="DF149" i="53"/>
  <c r="DG149" i="53"/>
  <c r="DH149" i="53"/>
  <c r="DD149" i="53"/>
  <c r="DG102" i="53"/>
  <c r="DI102" i="53"/>
  <c r="DE102" i="53"/>
  <c r="DF102" i="53"/>
  <c r="DD102" i="53"/>
  <c r="DH102" i="53"/>
  <c r="DD8" i="53"/>
  <c r="DE8" i="53"/>
  <c r="DF8" i="53"/>
  <c r="DH8" i="53"/>
  <c r="DI8" i="53"/>
  <c r="DG8" i="53"/>
  <c r="DF109" i="53"/>
  <c r="DH109" i="53"/>
  <c r="DD109" i="53"/>
  <c r="DG109" i="53"/>
  <c r="DI109" i="53"/>
  <c r="DE109" i="53"/>
  <c r="DI212" i="53"/>
  <c r="DH212" i="53"/>
  <c r="DG212" i="53"/>
  <c r="DF212" i="53"/>
  <c r="DE212" i="53"/>
  <c r="DD212" i="53"/>
  <c r="DF128" i="53"/>
  <c r="DI128" i="53"/>
  <c r="DH128" i="53"/>
  <c r="DG128" i="53"/>
  <c r="DE128" i="53"/>
  <c r="DD128" i="53"/>
  <c r="DH217" i="53"/>
  <c r="DG217" i="53"/>
  <c r="DI217" i="53"/>
  <c r="DF217" i="53"/>
  <c r="DE217" i="53"/>
  <c r="DD217" i="53"/>
  <c r="DH12" i="53"/>
  <c r="DG12" i="53"/>
  <c r="DI12" i="53"/>
  <c r="DF12" i="53"/>
  <c r="DE12" i="53"/>
  <c r="DD12" i="53"/>
  <c r="DI22" i="53"/>
  <c r="DG22" i="53"/>
  <c r="DH22" i="53"/>
  <c r="DE22" i="53"/>
  <c r="DF22" i="53"/>
  <c r="DD22" i="53"/>
  <c r="DH70" i="53"/>
  <c r="DE70" i="53"/>
  <c r="DI70" i="53"/>
  <c r="DG70" i="53"/>
  <c r="DF70" i="53"/>
  <c r="DD70" i="53"/>
  <c r="DF103" i="53"/>
  <c r="DI103" i="53"/>
  <c r="DH103" i="53"/>
  <c r="DG103" i="53"/>
  <c r="DE103" i="53"/>
  <c r="DD103" i="53"/>
  <c r="DI37" i="53"/>
  <c r="DH37" i="53"/>
  <c r="DG37" i="53"/>
  <c r="DF37" i="53"/>
  <c r="DE37" i="53"/>
  <c r="DD37" i="53"/>
  <c r="DI33" i="53"/>
  <c r="DH33" i="53"/>
  <c r="DF33" i="53"/>
  <c r="DG33" i="53"/>
  <c r="DE33" i="53"/>
  <c r="DD33" i="53"/>
  <c r="DI32" i="53"/>
  <c r="DH32" i="53"/>
  <c r="DG32" i="53"/>
  <c r="DF32" i="53"/>
  <c r="DE32" i="53"/>
  <c r="DD32" i="53"/>
  <c r="DH152" i="53"/>
  <c r="DE152" i="53"/>
  <c r="DD152" i="53"/>
  <c r="DI152" i="53"/>
  <c r="DG152" i="53"/>
  <c r="DF152" i="53"/>
  <c r="DG230" i="53"/>
  <c r="DF230" i="53"/>
  <c r="DI230" i="53"/>
  <c r="DH230" i="53"/>
  <c r="DE230" i="53"/>
  <c r="DD230" i="53"/>
  <c r="DD55" i="53"/>
  <c r="DI55" i="53"/>
  <c r="DH55" i="53"/>
  <c r="DG55" i="53"/>
  <c r="DF55" i="53"/>
  <c r="DE55" i="53"/>
  <c r="DI130" i="53"/>
  <c r="DE130" i="53"/>
  <c r="DH130" i="53"/>
  <c r="DG130" i="53"/>
  <c r="DF130" i="53"/>
  <c r="DD130" i="53"/>
  <c r="DI105" i="53"/>
  <c r="DH105" i="53"/>
  <c r="DE105" i="53"/>
  <c r="DF105" i="53"/>
  <c r="DG105" i="53"/>
  <c r="DD105" i="53"/>
  <c r="DI62" i="53"/>
  <c r="DH62" i="53"/>
  <c r="DG62" i="53"/>
  <c r="DF62" i="53"/>
  <c r="DE62" i="53"/>
  <c r="DD62" i="53"/>
  <c r="DI233" i="53"/>
  <c r="DH233" i="53"/>
  <c r="DG233" i="53"/>
  <c r="DF233" i="53"/>
  <c r="DE233" i="53"/>
  <c r="DD233" i="53"/>
  <c r="DI196" i="53"/>
  <c r="DH196" i="53"/>
  <c r="DG196" i="53"/>
  <c r="DF196" i="53"/>
  <c r="DE196" i="53"/>
  <c r="DD196" i="53"/>
  <c r="DI239" i="53"/>
  <c r="DH239" i="53"/>
  <c r="DG239" i="53"/>
  <c r="DF239" i="53"/>
  <c r="DE239" i="53"/>
  <c r="DD239" i="53"/>
  <c r="DI148" i="53"/>
  <c r="DG148" i="53"/>
  <c r="DF148" i="53"/>
  <c r="DH148" i="53"/>
  <c r="DE148" i="53"/>
  <c r="DD148" i="53"/>
  <c r="DH162" i="53"/>
  <c r="DG162" i="53"/>
  <c r="DF162" i="53"/>
  <c r="DE162" i="53"/>
  <c r="DD162" i="53"/>
  <c r="DI162" i="53"/>
  <c r="DH24" i="53"/>
  <c r="DI24" i="53"/>
  <c r="DG24" i="53"/>
  <c r="DF24" i="53"/>
  <c r="DE24" i="53"/>
  <c r="DD24" i="53"/>
  <c r="DI97" i="53"/>
  <c r="DD97" i="53"/>
  <c r="DH97" i="53"/>
  <c r="DG97" i="53"/>
  <c r="DF97" i="53"/>
  <c r="DE97" i="53"/>
  <c r="DI88" i="53"/>
  <c r="DF88" i="53"/>
  <c r="DD88" i="53"/>
  <c r="DE88" i="53"/>
  <c r="DH88" i="53"/>
  <c r="DG88" i="53"/>
  <c r="DI57" i="53"/>
  <c r="DF57" i="53"/>
  <c r="DG57" i="53"/>
  <c r="DE57" i="53"/>
  <c r="DD57" i="53"/>
  <c r="DH57" i="53"/>
  <c r="DI133" i="53"/>
  <c r="DF133" i="53"/>
  <c r="DE133" i="53"/>
  <c r="DD133" i="53"/>
  <c r="DH133" i="53"/>
  <c r="DG133" i="53"/>
  <c r="DI118" i="53"/>
  <c r="DF118" i="53"/>
  <c r="DE118" i="53"/>
  <c r="DD118" i="53"/>
  <c r="DH118" i="53"/>
  <c r="DG118" i="53"/>
  <c r="DI175" i="53"/>
  <c r="DH175" i="53"/>
  <c r="DG175" i="53"/>
  <c r="DE175" i="53"/>
  <c r="DD175" i="53"/>
  <c r="DF175" i="53"/>
  <c r="DG191" i="53"/>
  <c r="DI191" i="53"/>
  <c r="DH191" i="53"/>
  <c r="DF191" i="53"/>
  <c r="DE191" i="53"/>
  <c r="DD191" i="53"/>
  <c r="DI13" i="53"/>
  <c r="DH13" i="53"/>
  <c r="DG13" i="53"/>
  <c r="DF13" i="53"/>
  <c r="DE13" i="53"/>
  <c r="DD13" i="53"/>
  <c r="DI245" i="53"/>
  <c r="DH245" i="53"/>
  <c r="DG245" i="53"/>
  <c r="DF245" i="53"/>
  <c r="DE245" i="53"/>
  <c r="DD245" i="53"/>
  <c r="DI176" i="53"/>
  <c r="DF176" i="53"/>
  <c r="DE176" i="53"/>
  <c r="DD176" i="53"/>
  <c r="DH176" i="53"/>
  <c r="DG176" i="53"/>
  <c r="DG46" i="53"/>
  <c r="DD46" i="53"/>
  <c r="DF46" i="53"/>
  <c r="DE46" i="53"/>
  <c r="DH46" i="53"/>
  <c r="DI46" i="53"/>
  <c r="DI188" i="53"/>
  <c r="DF188" i="53"/>
  <c r="DE188" i="53"/>
  <c r="DD188" i="53"/>
  <c r="DH188" i="53"/>
  <c r="DG188" i="53"/>
  <c r="DD101" i="53"/>
  <c r="DI101" i="53"/>
  <c r="DH101" i="53"/>
  <c r="DG101" i="53"/>
  <c r="DF101" i="53"/>
  <c r="DE101" i="53"/>
  <c r="DI58" i="53"/>
  <c r="DH58" i="53"/>
  <c r="DG58" i="53"/>
  <c r="DF58" i="53"/>
  <c r="DE58" i="53"/>
  <c r="DD58" i="53"/>
  <c r="DG44" i="53"/>
  <c r="DI44" i="53"/>
  <c r="DH44" i="53"/>
  <c r="DF44" i="53"/>
  <c r="DD44" i="53"/>
  <c r="DE44" i="53"/>
  <c r="DI131" i="53"/>
  <c r="DH131" i="53"/>
  <c r="DG131" i="53"/>
  <c r="DF131" i="53"/>
  <c r="DE131" i="53"/>
  <c r="DD131" i="53"/>
  <c r="DI171" i="53"/>
  <c r="DH171" i="53"/>
  <c r="DE171" i="53"/>
  <c r="DD171" i="53"/>
  <c r="DG171" i="53"/>
  <c r="DF171" i="53"/>
  <c r="DI165" i="53"/>
  <c r="DG165" i="53"/>
  <c r="DF165" i="53"/>
  <c r="DE165" i="53"/>
  <c r="DD165" i="53"/>
  <c r="DH165" i="53"/>
  <c r="DE41" i="53"/>
  <c r="DI41" i="53"/>
  <c r="DH41" i="53"/>
  <c r="DG41" i="53"/>
  <c r="DF41" i="53"/>
  <c r="DD41" i="53"/>
  <c r="DI10" i="53"/>
  <c r="DH10" i="53"/>
  <c r="DG10" i="53"/>
  <c r="DF10" i="53"/>
  <c r="DE10" i="53"/>
  <c r="DD10" i="53"/>
  <c r="DI216" i="53"/>
  <c r="DH216" i="53"/>
  <c r="DG216" i="53"/>
  <c r="DF216" i="53"/>
  <c r="DE216" i="53"/>
  <c r="DD216" i="53"/>
  <c r="DI68" i="53"/>
  <c r="DH68" i="53"/>
  <c r="DG68" i="53"/>
  <c r="DE68" i="53"/>
  <c r="DD68" i="53"/>
  <c r="DF68" i="53"/>
  <c r="DH87" i="53"/>
  <c r="DE87" i="53"/>
  <c r="DI87" i="53"/>
  <c r="DG87" i="53"/>
  <c r="DF87" i="53"/>
  <c r="DD87" i="53"/>
  <c r="DI229" i="53"/>
  <c r="DH229" i="53"/>
  <c r="DG229" i="53"/>
  <c r="DF229" i="53"/>
  <c r="DE229" i="53"/>
  <c r="DD229" i="53"/>
  <c r="DI69" i="53"/>
  <c r="DH69" i="53"/>
  <c r="DG69" i="53"/>
  <c r="DF69" i="53"/>
  <c r="DE69" i="53"/>
  <c r="DD69" i="53"/>
  <c r="DH158" i="53"/>
  <c r="DG158" i="53"/>
  <c r="DF158" i="53"/>
  <c r="DI158" i="53"/>
  <c r="DE158" i="53"/>
  <c r="DD158" i="53"/>
  <c r="DI169" i="53"/>
  <c r="DH169" i="53"/>
  <c r="DG169" i="53"/>
  <c r="DF169" i="53"/>
  <c r="DE169" i="53"/>
  <c r="DD169" i="53"/>
  <c r="DI236" i="53"/>
  <c r="DH236" i="53"/>
  <c r="DG236" i="53"/>
  <c r="DF236" i="53"/>
  <c r="DD236" i="53"/>
  <c r="DE236" i="53"/>
  <c r="DD31" i="53"/>
  <c r="DE31" i="53"/>
  <c r="DG31" i="53"/>
  <c r="DI31" i="53"/>
  <c r="DH31" i="53"/>
  <c r="DF31" i="53"/>
  <c r="DI234" i="53"/>
  <c r="DH234" i="53"/>
  <c r="DG234" i="53"/>
  <c r="DF234" i="53"/>
  <c r="DE234" i="53"/>
  <c r="DD234" i="53"/>
  <c r="DH25" i="53"/>
  <c r="DF25" i="53"/>
  <c r="DE25" i="53"/>
  <c r="DG25" i="53"/>
  <c r="DD25" i="53"/>
  <c r="DI25" i="53"/>
  <c r="DE63" i="53"/>
  <c r="DD63" i="53"/>
  <c r="DG63" i="53"/>
  <c r="DI63" i="53"/>
  <c r="DH63" i="53"/>
  <c r="DF63" i="53"/>
  <c r="DI127" i="53"/>
  <c r="DF127" i="53"/>
  <c r="DE127" i="53"/>
  <c r="DD127" i="53"/>
  <c r="DH127" i="53"/>
  <c r="DG127" i="53"/>
  <c r="DG107" i="53"/>
  <c r="DI107" i="53"/>
  <c r="DH107" i="53"/>
  <c r="DF107" i="53"/>
  <c r="DE107" i="53"/>
  <c r="DD107" i="53"/>
  <c r="DH135" i="53"/>
  <c r="DG135" i="53"/>
  <c r="DF135" i="53"/>
  <c r="DE135" i="53"/>
  <c r="DD135" i="53"/>
  <c r="DI135" i="53"/>
  <c r="DI52" i="53"/>
  <c r="DH52" i="53"/>
  <c r="DG52" i="53"/>
  <c r="DF52" i="53"/>
  <c r="DE52" i="53"/>
  <c r="DD52" i="53"/>
  <c r="DI67" i="53"/>
  <c r="DH67" i="53"/>
  <c r="DF67" i="53"/>
  <c r="DG67" i="53"/>
  <c r="DE67" i="53"/>
  <c r="DD67" i="53"/>
  <c r="DI120" i="53"/>
  <c r="DH120" i="53"/>
  <c r="DF120" i="53"/>
  <c r="DE120" i="53"/>
  <c r="DG120" i="53"/>
  <c r="DD120" i="53"/>
  <c r="DI124" i="53"/>
  <c r="DF124" i="53"/>
  <c r="DE124" i="53"/>
  <c r="DD124" i="53"/>
  <c r="DH124" i="53"/>
  <c r="DG124" i="53"/>
  <c r="DI225" i="53"/>
  <c r="DH225" i="53"/>
  <c r="DG225" i="53"/>
  <c r="DF225" i="53"/>
  <c r="DE225" i="53"/>
  <c r="DD225" i="53"/>
  <c r="DI221" i="53"/>
  <c r="DH221" i="53"/>
  <c r="DG221" i="53"/>
  <c r="DF221" i="53"/>
  <c r="DD221" i="53"/>
  <c r="DE221" i="53"/>
  <c r="DI66" i="53"/>
  <c r="DH66" i="53"/>
  <c r="DG66" i="53"/>
  <c r="DF66" i="53"/>
  <c r="DE66" i="53"/>
  <c r="DD66" i="53"/>
  <c r="DE27" i="53"/>
  <c r="DI27" i="53"/>
  <c r="DH27" i="53"/>
  <c r="DG27" i="53"/>
  <c r="DF27" i="53"/>
  <c r="DD27" i="53"/>
  <c r="DG60" i="53"/>
  <c r="DH60" i="53"/>
  <c r="DF60" i="53"/>
  <c r="DE60" i="53"/>
  <c r="DD60" i="53"/>
  <c r="DI60" i="53"/>
  <c r="DI231" i="53"/>
  <c r="DG231" i="53"/>
  <c r="DF231" i="53"/>
  <c r="DE231" i="53"/>
  <c r="DD231" i="53"/>
  <c r="DH231" i="53"/>
  <c r="DI235" i="53"/>
  <c r="DH235" i="53"/>
  <c r="DG235" i="53"/>
  <c r="DF235" i="53"/>
  <c r="DD235" i="53"/>
  <c r="DE235" i="53"/>
  <c r="DI40" i="53"/>
  <c r="DH40" i="53"/>
  <c r="DG40" i="53"/>
  <c r="DF40" i="53"/>
  <c r="DE40" i="53"/>
  <c r="DD40" i="53"/>
  <c r="DH146" i="53"/>
  <c r="DD146" i="53"/>
  <c r="DG146" i="53"/>
  <c r="DF146" i="53"/>
  <c r="DE146" i="53"/>
  <c r="DI146" i="53"/>
  <c r="DF111" i="53"/>
  <c r="DH111" i="53"/>
  <c r="DI111" i="53"/>
  <c r="DG111" i="53"/>
  <c r="DE111" i="53"/>
  <c r="DD111" i="53"/>
  <c r="DF36" i="53"/>
  <c r="DE36" i="53"/>
  <c r="DD36" i="53"/>
  <c r="DH36" i="53"/>
  <c r="DG36" i="53"/>
  <c r="DI36" i="53"/>
  <c r="DI42" i="53"/>
  <c r="DG42" i="53"/>
  <c r="DD42" i="53"/>
  <c r="DF42" i="53"/>
  <c r="DH42" i="53"/>
  <c r="DE42" i="53"/>
  <c r="DH189" i="53"/>
  <c r="DG189" i="53"/>
  <c r="DF189" i="53"/>
  <c r="DE189" i="53"/>
  <c r="DD189" i="53"/>
  <c r="DI189" i="53"/>
  <c r="DI123" i="53"/>
  <c r="DF123" i="53"/>
  <c r="DE123" i="53"/>
  <c r="DD123" i="53"/>
  <c r="DH123" i="53"/>
  <c r="DG123" i="53"/>
  <c r="DI174" i="53"/>
  <c r="DH174" i="53"/>
  <c r="DG174" i="53"/>
  <c r="DF174" i="53"/>
  <c r="DE174" i="53"/>
  <c r="DD174" i="53"/>
  <c r="DG185" i="53"/>
  <c r="DF185" i="53"/>
  <c r="DE185" i="53"/>
  <c r="DD185" i="53"/>
  <c r="DI185" i="53"/>
  <c r="DH185" i="53"/>
  <c r="DD18" i="53"/>
  <c r="DI18" i="53"/>
  <c r="DH18" i="53"/>
  <c r="DG18" i="53"/>
  <c r="DF18" i="53"/>
  <c r="DE18" i="53"/>
  <c r="DG190" i="53"/>
  <c r="DF190" i="53"/>
  <c r="DE190" i="53"/>
  <c r="DD190" i="53"/>
  <c r="DI190" i="53"/>
  <c r="DH190" i="53"/>
  <c r="DF201" i="53"/>
  <c r="DE201" i="53"/>
  <c r="DD201" i="53"/>
  <c r="DI201" i="53"/>
  <c r="DH201" i="53"/>
  <c r="DG201" i="53"/>
  <c r="DI215" i="53"/>
  <c r="DH215" i="53"/>
  <c r="DG215" i="53"/>
  <c r="DF215" i="53"/>
  <c r="DE215" i="53"/>
  <c r="DD215" i="53"/>
  <c r="DI153" i="53"/>
  <c r="DH153" i="53"/>
  <c r="DE153" i="53"/>
  <c r="DD153" i="53"/>
  <c r="DG153" i="53"/>
  <c r="DF153" i="53"/>
  <c r="DE38" i="53"/>
  <c r="DD38" i="53"/>
  <c r="DI38" i="53"/>
  <c r="DH38" i="53"/>
  <c r="DG38" i="53"/>
  <c r="DF38" i="53"/>
  <c r="DI199" i="53"/>
  <c r="DH199" i="53"/>
  <c r="DF199" i="53"/>
  <c r="DE199" i="53"/>
  <c r="DD199" i="53"/>
  <c r="DG199" i="53"/>
  <c r="DI157" i="53"/>
  <c r="DG157" i="53"/>
  <c r="DF157" i="53"/>
  <c r="DE157" i="53"/>
  <c r="DD157" i="53"/>
  <c r="DH157" i="53"/>
  <c r="DI43" i="53"/>
  <c r="DF43" i="53"/>
  <c r="DH43" i="53"/>
  <c r="DG43" i="53"/>
  <c r="DE43" i="53"/>
  <c r="DD43" i="53"/>
  <c r="DH151" i="53"/>
  <c r="DG151" i="53"/>
  <c r="DF151" i="53"/>
  <c r="DI151" i="53"/>
  <c r="DE151" i="53"/>
  <c r="DD151" i="53"/>
  <c r="DG115" i="53"/>
  <c r="DF115" i="53"/>
  <c r="DE115" i="53"/>
  <c r="DI115" i="53"/>
  <c r="DH115" i="53"/>
  <c r="DD115" i="53"/>
  <c r="DD89" i="53"/>
  <c r="DH89" i="53"/>
  <c r="DI89" i="53"/>
  <c r="DG89" i="53"/>
  <c r="DF89" i="53"/>
  <c r="DE89" i="53"/>
  <c r="DI204" i="53"/>
  <c r="DH204" i="53"/>
  <c r="DG204" i="53"/>
  <c r="DE204" i="53"/>
  <c r="DD204" i="53"/>
  <c r="DF204" i="53"/>
  <c r="DI232" i="53"/>
  <c r="DH232" i="53"/>
  <c r="DG232" i="53"/>
  <c r="DF232" i="53"/>
  <c r="DE232" i="53"/>
  <c r="DD232" i="53"/>
  <c r="DI16" i="53"/>
  <c r="DH16" i="53"/>
  <c r="DG16" i="53"/>
  <c r="DF16" i="53"/>
  <c r="DE16" i="53"/>
  <c r="DD16" i="53"/>
  <c r="DH154" i="53"/>
  <c r="DG154" i="53"/>
  <c r="DF154" i="53"/>
  <c r="DE154" i="53"/>
  <c r="DD154" i="53"/>
  <c r="DI154" i="53"/>
  <c r="DH139" i="53"/>
  <c r="DF139" i="53"/>
  <c r="DG139" i="53"/>
  <c r="DE139" i="53"/>
  <c r="DD139" i="53"/>
  <c r="DI139" i="53"/>
  <c r="DD218" i="53"/>
  <c r="DH218" i="53"/>
  <c r="DG218" i="53"/>
  <c r="DF218" i="53"/>
  <c r="DE218" i="53"/>
  <c r="DI218" i="53"/>
  <c r="DD11" i="53"/>
  <c r="DI11" i="53"/>
  <c r="DH11" i="53"/>
  <c r="DF11" i="53"/>
  <c r="DG11" i="53"/>
  <c r="DE11" i="53"/>
  <c r="DI59" i="53"/>
  <c r="DH59" i="53"/>
  <c r="DG59" i="53"/>
  <c r="DF59" i="53"/>
  <c r="DE59" i="53"/>
  <c r="DD59" i="53"/>
  <c r="DF108" i="53"/>
  <c r="DI108" i="53"/>
  <c r="DH108" i="53"/>
  <c r="DG108" i="53"/>
  <c r="DD108" i="53"/>
  <c r="DE108" i="53"/>
  <c r="DI210" i="53"/>
  <c r="DH210" i="53"/>
  <c r="DG210" i="53"/>
  <c r="DF210" i="53"/>
  <c r="DE210" i="53"/>
  <c r="DD210" i="53"/>
  <c r="DI200" i="53"/>
  <c r="DH200" i="53"/>
  <c r="DE200" i="53"/>
  <c r="DD200" i="53"/>
  <c r="DG200" i="53"/>
  <c r="DF200" i="53"/>
  <c r="DD28" i="53"/>
  <c r="DE28" i="53"/>
  <c r="DF28" i="53"/>
  <c r="DG28" i="53"/>
  <c r="DI28" i="53"/>
  <c r="DH28" i="53"/>
  <c r="DI29" i="53"/>
  <c r="DH29" i="53"/>
  <c r="DG29" i="53"/>
  <c r="DF29" i="53"/>
  <c r="DE29" i="53"/>
  <c r="DD29" i="53"/>
  <c r="DF91" i="53"/>
  <c r="DI91" i="53"/>
  <c r="DH91" i="53"/>
  <c r="DG91" i="53"/>
  <c r="DE91" i="53"/>
  <c r="DD91" i="53"/>
  <c r="DI50" i="53"/>
  <c r="DF50" i="53"/>
  <c r="DE50" i="53"/>
  <c r="DD50" i="53"/>
  <c r="DH50" i="53"/>
  <c r="DG50" i="53"/>
  <c r="DI182" i="53"/>
  <c r="DG182" i="53"/>
  <c r="DF182" i="53"/>
  <c r="DE182" i="53"/>
  <c r="DD182" i="53"/>
  <c r="DH182" i="53"/>
  <c r="DG181" i="53"/>
  <c r="DI181" i="53"/>
  <c r="DH181" i="53"/>
  <c r="DF181" i="53"/>
  <c r="DE181" i="53"/>
  <c r="DD181" i="53"/>
  <c r="DI113" i="53"/>
  <c r="DH113" i="53"/>
  <c r="DG113" i="53"/>
  <c r="DF113" i="53"/>
  <c r="DD113" i="53"/>
  <c r="DE113" i="53"/>
  <c r="DF93" i="53"/>
  <c r="DI93" i="53"/>
  <c r="DH93" i="53"/>
  <c r="DG93" i="53"/>
  <c r="DD93" i="53"/>
  <c r="DE93" i="53"/>
  <c r="DI186" i="53"/>
  <c r="DF186" i="53"/>
  <c r="DH186" i="53"/>
  <c r="DG186" i="53"/>
  <c r="DE186" i="53"/>
  <c r="DD186" i="53"/>
  <c r="DI166" i="53"/>
  <c r="DF166" i="53"/>
  <c r="DE166" i="53"/>
  <c r="DD166" i="53"/>
  <c r="DH166" i="53"/>
  <c r="DG166" i="53"/>
  <c r="DI211" i="53"/>
  <c r="DH211" i="53"/>
  <c r="DG211" i="53"/>
  <c r="DF211" i="53"/>
  <c r="DD211" i="53"/>
  <c r="DE211" i="53"/>
  <c r="DI136" i="53"/>
  <c r="DG136" i="53"/>
  <c r="DF136" i="53"/>
  <c r="DH136" i="53"/>
  <c r="DE136" i="53"/>
  <c r="DD136" i="53"/>
  <c r="DI240" i="53"/>
  <c r="DH240" i="53"/>
  <c r="DG240" i="53"/>
  <c r="DF240" i="53"/>
  <c r="DE240" i="53"/>
  <c r="DD240" i="53"/>
  <c r="DH177" i="53"/>
  <c r="DG177" i="53"/>
  <c r="DF177" i="53"/>
  <c r="DE177" i="53"/>
  <c r="DD177" i="53"/>
  <c r="DI177" i="53"/>
  <c r="DI205" i="53"/>
  <c r="DH205" i="53"/>
  <c r="DG205" i="53"/>
  <c r="DD205" i="53"/>
  <c r="DF205" i="53"/>
  <c r="DE205" i="53"/>
  <c r="DH23" i="53"/>
  <c r="DI23" i="53"/>
  <c r="DG23" i="53"/>
  <c r="DF23" i="53"/>
  <c r="DE23" i="53"/>
  <c r="DD23" i="53"/>
  <c r="DI129" i="53"/>
  <c r="DF129" i="53"/>
  <c r="DE129" i="53"/>
  <c r="DD129" i="53"/>
  <c r="DH129" i="53"/>
  <c r="DG129" i="53"/>
  <c r="DG15" i="53"/>
  <c r="DF15" i="53"/>
  <c r="DE15" i="53"/>
  <c r="DD15" i="53"/>
  <c r="DH15" i="53"/>
  <c r="DI15" i="53"/>
  <c r="DG224" i="53"/>
  <c r="DF224" i="53"/>
  <c r="DE224" i="53"/>
  <c r="DD224" i="53"/>
  <c r="DI224" i="53"/>
  <c r="DH224" i="53"/>
  <c r="DG72" i="53"/>
  <c r="DF72" i="53"/>
  <c r="DH72" i="53"/>
  <c r="DE72" i="53"/>
  <c r="DD72" i="53"/>
  <c r="DI72" i="53"/>
  <c r="DI9" i="53"/>
  <c r="DH9" i="53"/>
  <c r="DG9" i="53"/>
  <c r="DF9" i="53"/>
  <c r="DD9" i="53"/>
  <c r="DE9" i="53"/>
  <c r="DD17" i="53"/>
  <c r="DG17" i="53"/>
  <c r="DF17" i="53"/>
  <c r="DE17" i="53"/>
  <c r="DI17" i="53"/>
  <c r="DH17" i="53"/>
  <c r="DI112" i="53"/>
  <c r="DH112" i="53"/>
  <c r="DE112" i="53"/>
  <c r="DD112" i="53"/>
  <c r="DG112" i="53"/>
  <c r="DF112" i="53"/>
  <c r="DI241" i="53"/>
  <c r="DH241" i="53"/>
  <c r="DG241" i="53"/>
  <c r="DF241" i="53"/>
  <c r="DD241" i="53"/>
  <c r="DE241" i="53"/>
  <c r="DG122" i="53"/>
  <c r="DF122" i="53"/>
  <c r="DE122" i="53"/>
  <c r="DI122" i="53"/>
  <c r="DH122" i="53"/>
  <c r="DD122" i="53"/>
  <c r="DE121" i="53"/>
  <c r="DI121" i="53"/>
  <c r="DH121" i="53"/>
  <c r="DG121" i="53"/>
  <c r="DF121" i="53"/>
  <c r="DD121" i="53"/>
  <c r="DE167" i="53"/>
  <c r="DD167" i="53"/>
  <c r="DI167" i="53"/>
  <c r="DH167" i="53"/>
  <c r="DG167" i="53"/>
  <c r="DF167" i="53"/>
  <c r="DI170" i="53"/>
  <c r="DH170" i="53"/>
  <c r="DG170" i="53"/>
  <c r="DE170" i="53"/>
  <c r="DD170" i="53"/>
  <c r="DF170" i="53"/>
  <c r="DI98" i="53"/>
  <c r="DG98" i="53"/>
  <c r="DF98" i="53"/>
  <c r="DE98" i="53"/>
  <c r="DD98" i="53"/>
  <c r="DH98" i="53"/>
  <c r="DF156" i="53"/>
  <c r="DI156" i="53"/>
  <c r="DH156" i="53"/>
  <c r="DG156" i="53"/>
  <c r="DE156" i="53"/>
  <c r="DD156" i="53"/>
  <c r="DI173" i="53"/>
  <c r="DH173" i="53"/>
  <c r="DG173" i="53"/>
  <c r="DD173" i="53"/>
  <c r="DF173" i="53"/>
  <c r="DE173" i="53"/>
  <c r="DH138" i="53"/>
  <c r="DG138" i="53"/>
  <c r="DF138" i="53"/>
  <c r="DE138" i="53"/>
  <c r="DI138" i="53"/>
  <c r="DD138" i="53"/>
  <c r="DH56" i="53"/>
  <c r="DE56" i="53"/>
  <c r="DI56" i="53"/>
  <c r="DG56" i="53"/>
  <c r="DF56" i="53"/>
  <c r="DD56" i="53"/>
  <c r="DG94" i="53"/>
  <c r="DE94" i="53"/>
  <c r="DF94" i="53"/>
  <c r="DD94" i="53"/>
  <c r="DI94" i="53"/>
  <c r="DH94" i="53"/>
  <c r="DH106" i="53"/>
  <c r="DE106" i="53"/>
  <c r="DD106" i="53"/>
  <c r="DI106" i="53"/>
  <c r="DG106" i="53"/>
  <c r="DF106" i="53"/>
  <c r="DH54" i="53"/>
  <c r="DF54" i="53"/>
  <c r="DD54" i="53"/>
  <c r="DG54" i="53"/>
  <c r="DE54" i="53"/>
  <c r="DI54" i="53"/>
  <c r="DH125" i="53"/>
  <c r="DI125" i="53"/>
  <c r="DG125" i="53"/>
  <c r="DF125" i="53"/>
  <c r="DD125" i="53"/>
  <c r="DE125" i="53"/>
  <c r="DI90" i="53"/>
  <c r="DF90" i="53"/>
  <c r="DE90" i="53"/>
  <c r="DD90" i="53"/>
  <c r="DH90" i="53"/>
  <c r="DG90" i="53"/>
  <c r="DI203" i="53"/>
  <c r="DH203" i="53"/>
  <c r="DG203" i="53"/>
  <c r="DF203" i="53"/>
  <c r="DE203" i="53"/>
  <c r="DD203" i="53"/>
  <c r="DI222" i="53"/>
  <c r="DH222" i="53"/>
  <c r="DG222" i="53"/>
  <c r="DF222" i="53"/>
  <c r="DE222" i="53"/>
  <c r="DD222" i="53"/>
  <c r="DG214" i="53"/>
  <c r="DF214" i="53"/>
  <c r="DE214" i="53"/>
  <c r="DD214" i="53"/>
  <c r="DI214" i="53"/>
  <c r="DH214" i="53"/>
  <c r="DH178" i="53"/>
  <c r="DG178" i="53"/>
  <c r="DF178" i="53"/>
  <c r="DE178" i="53"/>
  <c r="DD178" i="53"/>
  <c r="DI178" i="53"/>
  <c r="DG73" i="53"/>
  <c r="DE73" i="53"/>
  <c r="DF73" i="53"/>
  <c r="DD73" i="53"/>
  <c r="DI73" i="53"/>
  <c r="DH73" i="53"/>
  <c r="DF163" i="53"/>
  <c r="DI163" i="53"/>
  <c r="DH163" i="53"/>
  <c r="DG163" i="53"/>
  <c r="DE163" i="53"/>
  <c r="DD163" i="53"/>
  <c r="DI228" i="53"/>
  <c r="DD228" i="53"/>
  <c r="DH228" i="53"/>
  <c r="DE228" i="53"/>
  <c r="DG228" i="53"/>
  <c r="DF228" i="53"/>
  <c r="DE14" i="53"/>
  <c r="DF14" i="53"/>
  <c r="DD14" i="53"/>
  <c r="DH14" i="53"/>
  <c r="DI14" i="53"/>
  <c r="DG14" i="53"/>
  <c r="DI147" i="53"/>
  <c r="DH147" i="53"/>
  <c r="DG147" i="53"/>
  <c r="DF147" i="53"/>
  <c r="DE147" i="53"/>
  <c r="DD147" i="53"/>
  <c r="DH134" i="53"/>
  <c r="DE134" i="53"/>
  <c r="DD134" i="53"/>
  <c r="DI134" i="53"/>
  <c r="DG134" i="53"/>
  <c r="DF134" i="53"/>
  <c r="DG198" i="53"/>
  <c r="DI198" i="53"/>
  <c r="DH198" i="53"/>
  <c r="DF198" i="53"/>
  <c r="DE198" i="53"/>
  <c r="DD198" i="53"/>
  <c r="DI126" i="53"/>
  <c r="DH126" i="53"/>
  <c r="DG126" i="53"/>
  <c r="DF126" i="53"/>
  <c r="DE126" i="53"/>
  <c r="DD126" i="53"/>
  <c r="DI184" i="53"/>
  <c r="DH184" i="53"/>
  <c r="DG184" i="53"/>
  <c r="DF184" i="53"/>
  <c r="DE184" i="53"/>
  <c r="DD184" i="53"/>
  <c r="DH19" i="53"/>
  <c r="DI19" i="53"/>
  <c r="DG19" i="53"/>
  <c r="DF19" i="53"/>
  <c r="DE19" i="53"/>
  <c r="DD19" i="53"/>
  <c r="DI145" i="53"/>
  <c r="DH145" i="53"/>
  <c r="DG145" i="53"/>
  <c r="DD145" i="53"/>
  <c r="DF145" i="53"/>
  <c r="DE145" i="53"/>
  <c r="DI30" i="53"/>
  <c r="DH30" i="53"/>
  <c r="DG30" i="53"/>
  <c r="DF30" i="53"/>
  <c r="DE30" i="53"/>
  <c r="DD30" i="53"/>
  <c r="DI168" i="53"/>
  <c r="DH168" i="53"/>
  <c r="DG168" i="53"/>
  <c r="DD168" i="53"/>
  <c r="DF168" i="53"/>
  <c r="DE168" i="53"/>
  <c r="DG92" i="53"/>
  <c r="DF92" i="53"/>
  <c r="DE92" i="53"/>
  <c r="DD92" i="53"/>
  <c r="DH92" i="53"/>
  <c r="DI92" i="53"/>
  <c r="DI244" i="53"/>
  <c r="DH244" i="53"/>
  <c r="DG244" i="53"/>
  <c r="DF244" i="53"/>
  <c r="DE244" i="53"/>
  <c r="DD244" i="53"/>
  <c r="DI65" i="53"/>
  <c r="DH65" i="53"/>
  <c r="DF65" i="53"/>
  <c r="DE65" i="53"/>
  <c r="DG65" i="53"/>
  <c r="DD65" i="53"/>
  <c r="DG243" i="53"/>
  <c r="DF243" i="53"/>
  <c r="DE243" i="53"/>
  <c r="DD243" i="53"/>
  <c r="DI243" i="53"/>
  <c r="DH243" i="53"/>
  <c r="DE192" i="53"/>
  <c r="DD192" i="53"/>
  <c r="DI192" i="53"/>
  <c r="DH192" i="53"/>
  <c r="DG192" i="53"/>
  <c r="DF192" i="53"/>
  <c r="DI114" i="53"/>
  <c r="DH114" i="53"/>
  <c r="DG114" i="53"/>
  <c r="DF114" i="53"/>
  <c r="DE114" i="53"/>
  <c r="DD114" i="53"/>
  <c r="DG53" i="53"/>
  <c r="DD53" i="53"/>
  <c r="DI53" i="53"/>
  <c r="DH53" i="53"/>
  <c r="DF53" i="53"/>
  <c r="DE53" i="53"/>
  <c r="DI209" i="53"/>
  <c r="DH209" i="53"/>
  <c r="DG209" i="53"/>
  <c r="DF209" i="53"/>
  <c r="DE209" i="53"/>
  <c r="DD209" i="53"/>
  <c r="DI137" i="53"/>
  <c r="DH137" i="53"/>
  <c r="DG137" i="53"/>
  <c r="DF137" i="53"/>
  <c r="DE137" i="53"/>
  <c r="DD137" i="53"/>
  <c r="DG206" i="53"/>
  <c r="DF206" i="53"/>
  <c r="DE206" i="53"/>
  <c r="DD206" i="53"/>
  <c r="DI206" i="53"/>
  <c r="DH206" i="53"/>
  <c r="DI202" i="53"/>
  <c r="DH202" i="53"/>
  <c r="DG202" i="53"/>
  <c r="DF202" i="53"/>
  <c r="DE202" i="53"/>
  <c r="DD202" i="53"/>
  <c r="DF213" i="53"/>
  <c r="DE213" i="53"/>
  <c r="DD213" i="53"/>
  <c r="DI213" i="53"/>
  <c r="DH213" i="53"/>
  <c r="DG213" i="53"/>
  <c r="DH172" i="53"/>
  <c r="DG172" i="53"/>
  <c r="DF172" i="53"/>
  <c r="DE172" i="53"/>
  <c r="DD172" i="53"/>
  <c r="DI172" i="53"/>
  <c r="DI142" i="53"/>
  <c r="DH142" i="53"/>
  <c r="DG142" i="53"/>
  <c r="DF142" i="53"/>
  <c r="DE142" i="53"/>
  <c r="DD142" i="53"/>
  <c r="DG7" i="53"/>
  <c r="DE7" i="53"/>
  <c r="DF7" i="53"/>
  <c r="DD7" i="53"/>
  <c r="DI7" i="53"/>
  <c r="DH7" i="53"/>
  <c r="DI47" i="53"/>
  <c r="DH47" i="53"/>
  <c r="DF47" i="53"/>
  <c r="DG47" i="53"/>
  <c r="DE47" i="53"/>
  <c r="DD47" i="53"/>
  <c r="DI220" i="53"/>
  <c r="DH220" i="53"/>
  <c r="DG220" i="53"/>
  <c r="DF220" i="53"/>
  <c r="DD220" i="53"/>
  <c r="DE220" i="53"/>
  <c r="DH195" i="53"/>
  <c r="DG195" i="53"/>
  <c r="DF195" i="53"/>
  <c r="DD195" i="53"/>
  <c r="DI195" i="53"/>
  <c r="DE195" i="53"/>
  <c r="DH119" i="53"/>
  <c r="DG119" i="53"/>
  <c r="DF119" i="53"/>
  <c r="DE119" i="53"/>
  <c r="DD119" i="53"/>
  <c r="DI119" i="53"/>
  <c r="DG183" i="53"/>
  <c r="DF183" i="53"/>
  <c r="DE183" i="53"/>
  <c r="DI183" i="53"/>
  <c r="DH183" i="53"/>
  <c r="DD183" i="53"/>
  <c r="DD238" i="53"/>
  <c r="DH238" i="53"/>
  <c r="DG238" i="53"/>
  <c r="DF238" i="53"/>
  <c r="DE238" i="53"/>
  <c r="DI238" i="53"/>
  <c r="DI45" i="53"/>
  <c r="DF45" i="53"/>
  <c r="DE45" i="53"/>
  <c r="DD45" i="53"/>
  <c r="DH45" i="53"/>
  <c r="DG45" i="53"/>
  <c r="DI110" i="53"/>
  <c r="DH110" i="53"/>
  <c r="DE110" i="53"/>
  <c r="DD110" i="53"/>
  <c r="DG110" i="53"/>
  <c r="DF110" i="53"/>
  <c r="DI242" i="53"/>
  <c r="DH242" i="53"/>
  <c r="DG242" i="53"/>
  <c r="DF242" i="53"/>
  <c r="DE242" i="53"/>
  <c r="DD242" i="53"/>
  <c r="DI155" i="53"/>
  <c r="DH155" i="53"/>
  <c r="DG155" i="53"/>
  <c r="DF155" i="53"/>
  <c r="DD155" i="53"/>
  <c r="DE155" i="53"/>
  <c r="DI187" i="53"/>
  <c r="DH187" i="53"/>
  <c r="DF187" i="53"/>
  <c r="DE187" i="53"/>
  <c r="DD187" i="53"/>
  <c r="DG187" i="53"/>
  <c r="DI26" i="53"/>
  <c r="DH26" i="53"/>
  <c r="DG26" i="53"/>
  <c r="DF26" i="53"/>
  <c r="DD26" i="53"/>
  <c r="DE26" i="53"/>
  <c r="DI143" i="53"/>
  <c r="DH143" i="53"/>
  <c r="DE143" i="53"/>
  <c r="DD143" i="53"/>
  <c r="DG143" i="53"/>
  <c r="DF143" i="53"/>
  <c r="DG83" i="53"/>
  <c r="DF83" i="53"/>
  <c r="DH83" i="53"/>
  <c r="DE83" i="53"/>
  <c r="DI83" i="53"/>
  <c r="DD83" i="53"/>
  <c r="DD79" i="53"/>
  <c r="DH79" i="53"/>
  <c r="DI79" i="53"/>
  <c r="DF79" i="53"/>
  <c r="DE79" i="53"/>
  <c r="DG79" i="53"/>
  <c r="DD80" i="53"/>
  <c r="DH80" i="53"/>
  <c r="DF80" i="53"/>
  <c r="DI80" i="53"/>
  <c r="DG80" i="53"/>
  <c r="DE80" i="53"/>
  <c r="DF76" i="53"/>
  <c r="DD76" i="53"/>
  <c r="DE76" i="53"/>
  <c r="DI76" i="53"/>
  <c r="DG76" i="53"/>
  <c r="DH76" i="53"/>
  <c r="DI86" i="53"/>
  <c r="DG86" i="53"/>
  <c r="DH86" i="53"/>
  <c r="DD86" i="53"/>
  <c r="DF86" i="53"/>
  <c r="DE86" i="53"/>
  <c r="DD75" i="53"/>
  <c r="DI75" i="53"/>
  <c r="DH75" i="53"/>
  <c r="DG75" i="53"/>
  <c r="DE75" i="53"/>
  <c r="DF75" i="53"/>
  <c r="DG81" i="53"/>
  <c r="DF81" i="53"/>
  <c r="DE81" i="53"/>
  <c r="DD81" i="53"/>
  <c r="DI81" i="53"/>
  <c r="DH81" i="53"/>
  <c r="DG77" i="53"/>
  <c r="DF77" i="53"/>
  <c r="DE77" i="53"/>
  <c r="DD77" i="53"/>
  <c r="DI77" i="53"/>
  <c r="DH77" i="53"/>
  <c r="DG85" i="53"/>
  <c r="DF85" i="53"/>
  <c r="DE85" i="53"/>
  <c r="DD85" i="53"/>
  <c r="DI85" i="53"/>
  <c r="DH85" i="53"/>
  <c r="DD74" i="53"/>
  <c r="DG74" i="53"/>
  <c r="DH74" i="53"/>
  <c r="DE74" i="53"/>
  <c r="DI74" i="53"/>
  <c r="DF74" i="53"/>
  <c r="DF84" i="53"/>
  <c r="DI84" i="53"/>
  <c r="DH84" i="53"/>
  <c r="DG84" i="53"/>
  <c r="DE84" i="53"/>
  <c r="DD84" i="53"/>
  <c r="DD78" i="53"/>
  <c r="DI78" i="53"/>
  <c r="DG78" i="53"/>
  <c r="DF78" i="53"/>
  <c r="DE78" i="53"/>
  <c r="DH78" i="53"/>
  <c r="DI82" i="53"/>
  <c r="DF82" i="53"/>
  <c r="DG82" i="53"/>
  <c r="DE82" i="53"/>
  <c r="DD82" i="53"/>
  <c r="DH82" i="53"/>
  <c r="X6" i="53"/>
  <c r="X21" i="53"/>
  <c r="X141" i="53"/>
  <c r="X35" i="53"/>
  <c r="X100" i="53"/>
  <c r="X117" i="53"/>
  <c r="X161" i="53"/>
  <c r="X180" i="53"/>
  <c r="X208" i="53"/>
  <c r="X194" i="53"/>
  <c r="X227" i="53"/>
  <c r="DE99" i="53" l="1"/>
  <c r="DI99" i="53"/>
  <c r="DD99" i="53"/>
  <c r="DJ99" i="53"/>
  <c r="DJ5" i="53" s="1"/>
  <c r="DF99" i="53"/>
  <c r="DG99" i="53"/>
  <c r="DH99" i="53"/>
  <c r="X5" i="53"/>
  <c r="DJ160" i="53"/>
  <c r="DJ207" i="53"/>
  <c r="DJ246" i="53"/>
  <c r="DJ193" i="53"/>
  <c r="DJ226" i="53"/>
  <c r="DJ179" i="53"/>
  <c r="DJ48" i="53"/>
  <c r="DJ140" i="53"/>
  <c r="DJ116" i="53"/>
  <c r="DA21" i="53"/>
  <c r="CZ141" i="53"/>
  <c r="DA141" i="53"/>
  <c r="CZ194" i="53"/>
  <c r="CZ227" i="53"/>
  <c r="CZ35" i="53"/>
  <c r="DA35" i="53"/>
  <c r="CZ180" i="53"/>
  <c r="DA180" i="53"/>
  <c r="CZ100" i="53"/>
  <c r="CK100" i="53"/>
  <c r="CZ6" i="53"/>
  <c r="CK227" i="53"/>
  <c r="DA208" i="53"/>
  <c r="DA6" i="53"/>
  <c r="CK194" i="53"/>
  <c r="CZ21" i="53"/>
  <c r="CZ117" i="53"/>
  <c r="CK6" i="53"/>
  <c r="DA161" i="53"/>
  <c r="CK35" i="53"/>
  <c r="CZ208" i="53"/>
  <c r="CK141" i="53"/>
  <c r="CK161" i="53"/>
  <c r="DA227" i="53"/>
  <c r="DA194" i="53"/>
  <c r="CK21" i="53"/>
  <c r="DA117" i="53"/>
  <c r="CZ161" i="53"/>
  <c r="CK117" i="53"/>
  <c r="CK180" i="53"/>
  <c r="CK208" i="53"/>
  <c r="DA100" i="53"/>
  <c r="BI208" i="53"/>
  <c r="AD100" i="53"/>
  <c r="AV35" i="53"/>
  <c r="CR117" i="53"/>
  <c r="CI194" i="53"/>
  <c r="V21" i="53"/>
  <c r="BM180" i="53"/>
  <c r="AC161" i="53"/>
  <c r="T227" i="53"/>
  <c r="K6" i="53"/>
  <c r="CC100" i="53"/>
  <c r="CB100" i="53" s="1"/>
  <c r="CE227" i="53"/>
  <c r="CN161" i="53"/>
  <c r="AR227" i="53"/>
  <c r="BP21" i="53"/>
  <c r="BB6" i="53"/>
  <c r="AB100" i="53"/>
  <c r="DB21" i="53"/>
  <c r="AX35" i="53"/>
  <c r="I6" i="53"/>
  <c r="CJ6" i="53"/>
  <c r="U21" i="53"/>
  <c r="BN21" i="53"/>
  <c r="AM35" i="53"/>
  <c r="CI35" i="53"/>
  <c r="Z100" i="53"/>
  <c r="AG117" i="53"/>
  <c r="CP117" i="53"/>
  <c r="BQ141" i="53"/>
  <c r="AB161" i="53"/>
  <c r="W194" i="53"/>
  <c r="CG194" i="53"/>
  <c r="BH208" i="53"/>
  <c r="S227" i="53"/>
  <c r="CC227" i="53"/>
  <c r="CB227" i="53" s="1"/>
  <c r="L6" i="53"/>
  <c r="CO6" i="53"/>
  <c r="Z21" i="53"/>
  <c r="BS21" i="53"/>
  <c r="AY35" i="53"/>
  <c r="CO35" i="53"/>
  <c r="AE100" i="53"/>
  <c r="CH100" i="53"/>
  <c r="K141" i="53"/>
  <c r="BU141" i="53"/>
  <c r="AF161" i="53"/>
  <c r="F180" i="53"/>
  <c r="BQ180" i="53"/>
  <c r="AB194" i="53"/>
  <c r="DB194" i="53"/>
  <c r="W227" i="53"/>
  <c r="CX227" i="53"/>
  <c r="AW35" i="53"/>
  <c r="CN35" i="53"/>
  <c r="BQ21" i="53"/>
  <c r="BK208" i="53"/>
  <c r="AO117" i="53"/>
  <c r="AK21" i="53"/>
  <c r="AJ21" i="53" s="1"/>
  <c r="AD227" i="53"/>
  <c r="Z6" i="53"/>
  <c r="BI6" i="53"/>
  <c r="CS6" i="53"/>
  <c r="BW21" i="53"/>
  <c r="H35" i="53"/>
  <c r="BC35" i="53"/>
  <c r="DB35" i="53"/>
  <c r="AT100" i="53"/>
  <c r="CX100" i="53"/>
  <c r="BD117" i="53"/>
  <c r="O141" i="53"/>
  <c r="BY141" i="53"/>
  <c r="AZ161" i="53"/>
  <c r="K180" i="53"/>
  <c r="BU180" i="53"/>
  <c r="AV194" i="53"/>
  <c r="F208" i="53"/>
  <c r="BQ208" i="53"/>
  <c r="BC6" i="53"/>
  <c r="U227" i="53"/>
  <c r="BD6" i="53"/>
  <c r="CN194" i="53"/>
  <c r="N6" i="53"/>
  <c r="BF6" i="53"/>
  <c r="G180" i="53"/>
  <c r="BN208" i="53"/>
  <c r="BW180" i="53"/>
  <c r="BN180" i="53"/>
  <c r="BP180" i="53"/>
  <c r="CY227" i="53"/>
  <c r="AG194" i="53"/>
  <c r="BB35" i="53"/>
  <c r="BJ6" i="53"/>
  <c r="L180" i="53"/>
  <c r="AW194" i="53"/>
  <c r="G208" i="53"/>
  <c r="AS227" i="53"/>
  <c r="BT227" i="53"/>
  <c r="AQ227" i="53"/>
  <c r="N227" i="53"/>
  <c r="CJ208" i="53"/>
  <c r="BG208" i="53"/>
  <c r="AE208" i="53"/>
  <c r="BX194" i="53"/>
  <c r="R194" i="53"/>
  <c r="CO180" i="53"/>
  <c r="BK180" i="53"/>
  <c r="AI180" i="53"/>
  <c r="AH180" i="53" s="1"/>
  <c r="E180" i="53"/>
  <c r="AY161" i="53"/>
  <c r="V161" i="53"/>
  <c r="CS141" i="53"/>
  <c r="BP141" i="53"/>
  <c r="AM141" i="53"/>
  <c r="I141" i="53"/>
  <c r="CF117" i="53"/>
  <c r="BC117" i="53"/>
  <c r="AA117" i="53"/>
  <c r="BT100" i="53"/>
  <c r="AQ100" i="53"/>
  <c r="N100" i="53"/>
  <c r="BX35" i="53"/>
  <c r="R35" i="53"/>
  <c r="CO21" i="53"/>
  <c r="BK21" i="53"/>
  <c r="AI21" i="53"/>
  <c r="AH21" i="53" s="1"/>
  <c r="E21" i="53"/>
  <c r="AZ6" i="53"/>
  <c r="W6" i="53"/>
  <c r="CA6" i="53"/>
  <c r="BY6" i="53"/>
  <c r="AT6" i="53"/>
  <c r="CT35" i="53"/>
  <c r="BQ35" i="53"/>
  <c r="CG21" i="53"/>
  <c r="AB21" i="53"/>
  <c r="CV227" i="53"/>
  <c r="CU227" i="53" s="1"/>
  <c r="BS227" i="53"/>
  <c r="M227" i="53"/>
  <c r="CI208" i="53"/>
  <c r="BF208" i="53"/>
  <c r="AD208" i="53"/>
  <c r="BW194" i="53"/>
  <c r="AT194" i="53"/>
  <c r="Q194" i="53"/>
  <c r="CN180" i="53"/>
  <c r="BJ180" i="53"/>
  <c r="D180" i="53"/>
  <c r="D193" i="53" s="1"/>
  <c r="CA161" i="53"/>
  <c r="BZ161" i="53" s="1"/>
  <c r="AX161" i="53"/>
  <c r="U161" i="53"/>
  <c r="CR141" i="53"/>
  <c r="BN141" i="53"/>
  <c r="H141" i="53"/>
  <c r="CE117" i="53"/>
  <c r="BB117" i="53"/>
  <c r="Z117" i="53"/>
  <c r="CV100" i="53"/>
  <c r="CU100" i="53" s="1"/>
  <c r="BS100" i="53"/>
  <c r="M100" i="53"/>
  <c r="BW35" i="53"/>
  <c r="AT35" i="53"/>
  <c r="Q35" i="53"/>
  <c r="CN21" i="53"/>
  <c r="BJ21" i="53"/>
  <c r="AY6" i="53"/>
  <c r="V6" i="53"/>
  <c r="T6" i="53"/>
  <c r="AO227" i="53"/>
  <c r="L227" i="53"/>
  <c r="CH208" i="53"/>
  <c r="BE208" i="53"/>
  <c r="AC208" i="53"/>
  <c r="CY194" i="53"/>
  <c r="BV194" i="53"/>
  <c r="AS194" i="53"/>
  <c r="P194" i="53"/>
  <c r="CM180" i="53"/>
  <c r="BI180" i="53"/>
  <c r="AG180" i="53"/>
  <c r="AW161" i="53"/>
  <c r="T161" i="53"/>
  <c r="CQ141" i="53"/>
  <c r="BM141" i="53"/>
  <c r="AK141" i="53"/>
  <c r="AJ141" i="53" s="1"/>
  <c r="G141" i="53"/>
  <c r="AO100" i="53"/>
  <c r="L100" i="53"/>
  <c r="CY35" i="53"/>
  <c r="BV35" i="53"/>
  <c r="AS35" i="53"/>
  <c r="P35" i="53"/>
  <c r="CM21" i="53"/>
  <c r="BI21" i="53"/>
  <c r="AG21" i="53"/>
  <c r="AX6" i="53"/>
  <c r="U6" i="53"/>
  <c r="BH21" i="53"/>
  <c r="BD21" i="53"/>
  <c r="CT227" i="53"/>
  <c r="BQ227" i="53"/>
  <c r="AN227" i="53"/>
  <c r="K227" i="53"/>
  <c r="CG208" i="53"/>
  <c r="BD208" i="53"/>
  <c r="AB208" i="53"/>
  <c r="CX194" i="53"/>
  <c r="BU194" i="53"/>
  <c r="AR194" i="53"/>
  <c r="O194" i="53"/>
  <c r="BH180" i="53"/>
  <c r="AF180" i="53"/>
  <c r="DB161" i="53"/>
  <c r="BY161" i="53"/>
  <c r="AV161" i="53"/>
  <c r="S161" i="53"/>
  <c r="CP141" i="53"/>
  <c r="F141" i="53"/>
  <c r="CC117" i="53"/>
  <c r="CB117" i="53" s="1"/>
  <c r="AZ117" i="53"/>
  <c r="W117" i="53"/>
  <c r="CT100" i="53"/>
  <c r="BQ100" i="53"/>
  <c r="AN100" i="53"/>
  <c r="K100" i="53"/>
  <c r="CX35" i="53"/>
  <c r="BU35" i="53"/>
  <c r="AR35" i="53"/>
  <c r="O35" i="53"/>
  <c r="AF21" i="53"/>
  <c r="DB6" i="53"/>
  <c r="AW6" i="53"/>
  <c r="Q6" i="53"/>
  <c r="CS227" i="53"/>
  <c r="BP227" i="53"/>
  <c r="AM227" i="53"/>
  <c r="I227" i="53"/>
  <c r="CF208" i="53"/>
  <c r="BC208" i="53"/>
  <c r="AA208" i="53"/>
  <c r="BT194" i="53"/>
  <c r="AQ194" i="53"/>
  <c r="N194" i="53"/>
  <c r="CJ180" i="53"/>
  <c r="BG180" i="53"/>
  <c r="AE180" i="53"/>
  <c r="BX161" i="53"/>
  <c r="R161" i="53"/>
  <c r="CO141" i="53"/>
  <c r="BK141" i="53"/>
  <c r="AI141" i="53"/>
  <c r="AH141" i="53" s="1"/>
  <c r="E141" i="53"/>
  <c r="AY117" i="53"/>
  <c r="V117" i="53"/>
  <c r="CS100" i="53"/>
  <c r="BP100" i="53"/>
  <c r="AM100" i="53"/>
  <c r="I100" i="53"/>
  <c r="BT35" i="53"/>
  <c r="AQ35" i="53"/>
  <c r="N35" i="53"/>
  <c r="CJ21" i="53"/>
  <c r="BG21" i="53"/>
  <c r="AE21" i="53"/>
  <c r="BX6" i="53"/>
  <c r="AV6" i="53"/>
  <c r="S6" i="53"/>
  <c r="CR227" i="53"/>
  <c r="BN227" i="53"/>
  <c r="H227" i="53"/>
  <c r="CE208" i="53"/>
  <c r="BB208" i="53"/>
  <c r="Z208" i="53"/>
  <c r="CV194" i="53"/>
  <c r="CU194" i="53" s="1"/>
  <c r="BS194" i="53"/>
  <c r="M194" i="53"/>
  <c r="CI180" i="53"/>
  <c r="BF180" i="53"/>
  <c r="AD180" i="53"/>
  <c r="BW161" i="53"/>
  <c r="AT161" i="53"/>
  <c r="Q161" i="53"/>
  <c r="CN141" i="53"/>
  <c r="BJ141" i="53"/>
  <c r="D141" i="53"/>
  <c r="D160" i="53" s="1"/>
  <c r="CA117" i="53"/>
  <c r="BZ117" i="53" s="1"/>
  <c r="AX117" i="53"/>
  <c r="U117" i="53"/>
  <c r="CR100" i="53"/>
  <c r="BN100" i="53"/>
  <c r="H100" i="53"/>
  <c r="CV35" i="53"/>
  <c r="CU35" i="53" s="1"/>
  <c r="BS35" i="53"/>
  <c r="M35" i="53"/>
  <c r="CI21" i="53"/>
  <c r="BF21" i="53"/>
  <c r="AD21" i="53"/>
  <c r="BW6" i="53"/>
  <c r="R6" i="53"/>
  <c r="CQ227" i="53"/>
  <c r="BM227" i="53"/>
  <c r="AK227" i="53"/>
  <c r="AJ227" i="53" s="1"/>
  <c r="G227" i="53"/>
  <c r="AO194" i="53"/>
  <c r="L194" i="53"/>
  <c r="CH180" i="53"/>
  <c r="BE180" i="53"/>
  <c r="AC180" i="53"/>
  <c r="CY161" i="53"/>
  <c r="BV161" i="53"/>
  <c r="AS161" i="53"/>
  <c r="P161" i="53"/>
  <c r="CM141" i="53"/>
  <c r="BI141" i="53"/>
  <c r="AG141" i="53"/>
  <c r="AW117" i="53"/>
  <c r="T117" i="53"/>
  <c r="CQ100" i="53"/>
  <c r="BM100" i="53"/>
  <c r="AK100" i="53"/>
  <c r="AJ100" i="53" s="1"/>
  <c r="G100" i="53"/>
  <c r="AO35" i="53"/>
  <c r="L35" i="53"/>
  <c r="CH21" i="53"/>
  <c r="BE21" i="53"/>
  <c r="AC21" i="53"/>
  <c r="CY6" i="53"/>
  <c r="BV6" i="53"/>
  <c r="F100" i="53"/>
  <c r="K35" i="53"/>
  <c r="CP227" i="53"/>
  <c r="F227" i="53"/>
  <c r="CC208" i="53"/>
  <c r="CB208" i="53" s="1"/>
  <c r="AZ208" i="53"/>
  <c r="W208" i="53"/>
  <c r="CT194" i="53"/>
  <c r="BQ194" i="53"/>
  <c r="AN194" i="53"/>
  <c r="K194" i="53"/>
  <c r="CG180" i="53"/>
  <c r="BD180" i="53"/>
  <c r="AB180" i="53"/>
  <c r="CX161" i="53"/>
  <c r="BU161" i="53"/>
  <c r="AR161" i="53"/>
  <c r="O161" i="53"/>
  <c r="BH141" i="53"/>
  <c r="AF141" i="53"/>
  <c r="DB117" i="53"/>
  <c r="BY117" i="53"/>
  <c r="AV117" i="53"/>
  <c r="AN35" i="53"/>
  <c r="CO227" i="53"/>
  <c r="BK227" i="53"/>
  <c r="AI227" i="53"/>
  <c r="AH227" i="53" s="1"/>
  <c r="E227" i="53"/>
  <c r="AY208" i="53"/>
  <c r="V208" i="53"/>
  <c r="CS194" i="53"/>
  <c r="BP194" i="53"/>
  <c r="AM194" i="53"/>
  <c r="I194" i="53"/>
  <c r="CF180" i="53"/>
  <c r="BC180" i="53"/>
  <c r="AA180" i="53"/>
  <c r="BT161" i="53"/>
  <c r="AQ161" i="53"/>
  <c r="N161" i="53"/>
  <c r="CJ141" i="53"/>
  <c r="BG141" i="53"/>
  <c r="AE141" i="53"/>
  <c r="BX117" i="53"/>
  <c r="R117" i="53"/>
  <c r="CO100" i="53"/>
  <c r="BK100" i="53"/>
  <c r="AI100" i="53"/>
  <c r="AH100" i="53" s="1"/>
  <c r="E100" i="53"/>
  <c r="CN227" i="53"/>
  <c r="BJ227" i="53"/>
  <c r="D227" i="53"/>
  <c r="D246" i="53" s="1"/>
  <c r="CA208" i="53"/>
  <c r="BZ208" i="53" s="1"/>
  <c r="AX208" i="53"/>
  <c r="U208" i="53"/>
  <c r="CR194" i="53"/>
  <c r="BN194" i="53"/>
  <c r="H194" i="53"/>
  <c r="CE180" i="53"/>
  <c r="BB180" i="53"/>
  <c r="Z180" i="53"/>
  <c r="CV161" i="53"/>
  <c r="CU161" i="53" s="1"/>
  <c r="BS161" i="53"/>
  <c r="M161" i="53"/>
  <c r="CI141" i="53"/>
  <c r="BF141" i="53"/>
  <c r="AD141" i="53"/>
  <c r="BW117" i="53"/>
  <c r="AT117" i="53"/>
  <c r="Q117" i="53"/>
  <c r="CN100" i="53"/>
  <c r="CM227" i="53"/>
  <c r="BI227" i="53"/>
  <c r="AG227" i="53"/>
  <c r="AW208" i="53"/>
  <c r="T208" i="53"/>
  <c r="CQ194" i="53"/>
  <c r="BM194" i="53"/>
  <c r="AK194" i="53"/>
  <c r="AJ194" i="53" s="1"/>
  <c r="G194" i="53"/>
  <c r="AO161" i="53"/>
  <c r="L161" i="53"/>
  <c r="CH141" i="53"/>
  <c r="BE141" i="53"/>
  <c r="AC141" i="53"/>
  <c r="CY117" i="53"/>
  <c r="BV117" i="53"/>
  <c r="AS117" i="53"/>
  <c r="P117" i="53"/>
  <c r="CM100" i="53"/>
  <c r="BI100" i="53"/>
  <c r="AG100" i="53"/>
  <c r="CQ35" i="53"/>
  <c r="BM35" i="53"/>
  <c r="AK35" i="53"/>
  <c r="AJ35" i="53" s="1"/>
  <c r="BH227" i="53"/>
  <c r="AF227" i="53"/>
  <c r="DB208" i="53"/>
  <c r="BY208" i="53"/>
  <c r="AV208" i="53"/>
  <c r="S208" i="53"/>
  <c r="CP194" i="53"/>
  <c r="F194" i="53"/>
  <c r="CC180" i="53"/>
  <c r="CB180" i="53" s="1"/>
  <c r="AZ180" i="53"/>
  <c r="W180" i="53"/>
  <c r="CT161" i="53"/>
  <c r="BQ161" i="53"/>
  <c r="AN161" i="53"/>
  <c r="K161" i="53"/>
  <c r="CG141" i="53"/>
  <c r="BD141" i="53"/>
  <c r="AB141" i="53"/>
  <c r="CX117" i="53"/>
  <c r="BU117" i="53"/>
  <c r="AR117" i="53"/>
  <c r="O117" i="53"/>
  <c r="BH100" i="53"/>
  <c r="AF100" i="53"/>
  <c r="CJ227" i="53"/>
  <c r="BG227" i="53"/>
  <c r="AE227" i="53"/>
  <c r="BX208" i="53"/>
  <c r="R208" i="53"/>
  <c r="CO194" i="53"/>
  <c r="BK194" i="53"/>
  <c r="AI194" i="53"/>
  <c r="AH194" i="53" s="1"/>
  <c r="E194" i="53"/>
  <c r="AY180" i="53"/>
  <c r="V180" i="53"/>
  <c r="CS161" i="53"/>
  <c r="BP161" i="53"/>
  <c r="AM161" i="53"/>
  <c r="I161" i="53"/>
  <c r="CF141" i="53"/>
  <c r="BC141" i="53"/>
  <c r="AA141" i="53"/>
  <c r="BT117" i="53"/>
  <c r="CG227" i="53"/>
  <c r="BD227" i="53"/>
  <c r="AB227" i="53"/>
  <c r="CX208" i="53"/>
  <c r="BU208" i="53"/>
  <c r="AR208" i="53"/>
  <c r="O208" i="53"/>
  <c r="BH194" i="53"/>
  <c r="AF194" i="53"/>
  <c r="DB180" i="53"/>
  <c r="BY180" i="53"/>
  <c r="AV180" i="53"/>
  <c r="S180" i="53"/>
  <c r="CP161" i="53"/>
  <c r="F161" i="53"/>
  <c r="CC141" i="53"/>
  <c r="CB141" i="53" s="1"/>
  <c r="AZ141" i="53"/>
  <c r="W141" i="53"/>
  <c r="CT117" i="53"/>
  <c r="BQ117" i="53"/>
  <c r="AN117" i="53"/>
  <c r="CF227" i="53"/>
  <c r="BC227" i="53"/>
  <c r="AA227" i="53"/>
  <c r="BT208" i="53"/>
  <c r="AQ208" i="53"/>
  <c r="N208" i="53"/>
  <c r="CJ194" i="53"/>
  <c r="BG194" i="53"/>
  <c r="AE194" i="53"/>
  <c r="BX180" i="53"/>
  <c r="R180" i="53"/>
  <c r="CO161" i="53"/>
  <c r="BK161" i="53"/>
  <c r="AI161" i="53"/>
  <c r="AH161" i="53" s="1"/>
  <c r="E161" i="53"/>
  <c r="AY141" i="53"/>
  <c r="V141" i="53"/>
  <c r="CS117" i="53"/>
  <c r="BP117" i="53"/>
  <c r="AM117" i="53"/>
  <c r="I117" i="53"/>
  <c r="CF100" i="53"/>
  <c r="BC100" i="53"/>
  <c r="AA100" i="53"/>
  <c r="CJ35" i="53"/>
  <c r="BG35" i="53"/>
  <c r="AO208" i="53"/>
  <c r="L208" i="53"/>
  <c r="CH194" i="53"/>
  <c r="BE194" i="53"/>
  <c r="AC194" i="53"/>
  <c r="CY180" i="53"/>
  <c r="BV180" i="53"/>
  <c r="AS180" i="53"/>
  <c r="P180" i="53"/>
  <c r="CM161" i="53"/>
  <c r="BI161" i="53"/>
  <c r="AG161" i="53"/>
  <c r="AW141" i="53"/>
  <c r="T141" i="53"/>
  <c r="CQ117" i="53"/>
  <c r="BM117" i="53"/>
  <c r="AK117" i="53"/>
  <c r="AJ117" i="53" s="1"/>
  <c r="G117" i="53"/>
  <c r="CH35" i="53"/>
  <c r="DB227" i="53"/>
  <c r="AB6" i="53"/>
  <c r="BK6" i="53"/>
  <c r="BY21" i="53"/>
  <c r="S35" i="53"/>
  <c r="AV100" i="53"/>
  <c r="BF117" i="53"/>
  <c r="Q141" i="53"/>
  <c r="BB161" i="53"/>
  <c r="M180" i="53"/>
  <c r="AX194" i="53"/>
  <c r="H208" i="53"/>
  <c r="BV208" i="53"/>
  <c r="AT227" i="53"/>
  <c r="M6" i="53"/>
  <c r="CP35" i="53"/>
  <c r="D208" i="53"/>
  <c r="D226" i="53" s="1"/>
  <c r="CA141" i="53"/>
  <c r="BZ141" i="53" s="1"/>
  <c r="BS208" i="53"/>
  <c r="AN21" i="53"/>
  <c r="BE35" i="53"/>
  <c r="AC6" i="53"/>
  <c r="CV6" i="53"/>
  <c r="AO21" i="53"/>
  <c r="T35" i="53"/>
  <c r="BF35" i="53"/>
  <c r="AW100" i="53"/>
  <c r="BG117" i="53"/>
  <c r="R141" i="53"/>
  <c r="CE141" i="53"/>
  <c r="BC161" i="53"/>
  <c r="N180" i="53"/>
  <c r="CA180" i="53"/>
  <c r="BZ180" i="53" s="1"/>
  <c r="AY194" i="53"/>
  <c r="I208" i="53"/>
  <c r="BW208" i="53"/>
  <c r="AI117" i="53"/>
  <c r="AH117" i="53" s="1"/>
  <c r="Z227" i="53"/>
  <c r="F35" i="53"/>
  <c r="AV227" i="53"/>
  <c r="M208" i="53"/>
  <c r="BO6" i="53"/>
  <c r="BO5" i="53" s="1"/>
  <c r="BB194" i="53"/>
  <c r="E117" i="53"/>
  <c r="BK117" i="53"/>
  <c r="Z141" i="53"/>
  <c r="BG161" i="53"/>
  <c r="U180" i="53"/>
  <c r="CS180" i="53"/>
  <c r="BC194" i="53"/>
  <c r="Q208" i="53"/>
  <c r="CO208" i="53"/>
  <c r="AY227" i="53"/>
  <c r="CQ161" i="53"/>
  <c r="E35" i="53"/>
  <c r="CR35" i="53"/>
  <c r="AQ117" i="53"/>
  <c r="P141" i="53"/>
  <c r="CT141" i="53"/>
  <c r="AZ100" i="53"/>
  <c r="BD100" i="53"/>
  <c r="F117" i="53"/>
  <c r="AN141" i="53"/>
  <c r="CX141" i="53"/>
  <c r="BH161" i="53"/>
  <c r="CT180" i="53"/>
  <c r="BD194" i="53"/>
  <c r="AF208" i="53"/>
  <c r="CP208" i="53"/>
  <c r="AZ227" i="53"/>
  <c r="CE100" i="53"/>
  <c r="CR161" i="53"/>
  <c r="BV141" i="53"/>
  <c r="BX141" i="53"/>
  <c r="AM21" i="53"/>
  <c r="U35" i="53"/>
  <c r="O180" i="53"/>
  <c r="AQ21" i="53"/>
  <c r="T180" i="53"/>
  <c r="BN35" i="53"/>
  <c r="H117" i="53"/>
  <c r="BN117" i="53"/>
  <c r="AO141" i="53"/>
  <c r="CY141" i="53"/>
  <c r="BJ161" i="53"/>
  <c r="AK180" i="53"/>
  <c r="AJ180" i="53" s="1"/>
  <c r="BF194" i="53"/>
  <c r="AG208" i="53"/>
  <c r="CQ208" i="53"/>
  <c r="BB227" i="53"/>
  <c r="CH227" i="53"/>
  <c r="AC227" i="53"/>
  <c r="AS100" i="53"/>
  <c r="DB100" i="53"/>
  <c r="BF161" i="53"/>
  <c r="BK35" i="53"/>
  <c r="K21" i="53"/>
  <c r="K117" i="53"/>
  <c r="BM161" i="53"/>
  <c r="CV180" i="53"/>
  <c r="CU180" i="53" s="1"/>
  <c r="BI194" i="53"/>
  <c r="CR208" i="53"/>
  <c r="BE227" i="53"/>
  <c r="CG100" i="53"/>
  <c r="AA21" i="53"/>
  <c r="M141" i="53"/>
  <c r="BT180" i="53"/>
  <c r="I35" i="53"/>
  <c r="CA21" i="53"/>
  <c r="BZ21" i="53" s="1"/>
  <c r="S141" i="53"/>
  <c r="CM208" i="53"/>
  <c r="F21" i="53"/>
  <c r="CN208" i="53"/>
  <c r="H21" i="53"/>
  <c r="CQ21" i="53"/>
  <c r="BS117" i="53"/>
  <c r="AQ141" i="53"/>
  <c r="BN161" i="53"/>
  <c r="AM180" i="53"/>
  <c r="BJ194" i="53"/>
  <c r="AI208" i="53"/>
  <c r="AH208" i="53" s="1"/>
  <c r="CS208" i="53"/>
  <c r="BF227" i="53"/>
  <c r="AC100" i="53"/>
  <c r="BT141" i="53"/>
  <c r="AR100" i="53"/>
  <c r="N141" i="53"/>
  <c r="CT6" i="53"/>
  <c r="K208" i="53"/>
  <c r="U141" i="53"/>
  <c r="AG6" i="53"/>
  <c r="D100" i="53"/>
  <c r="M21" i="53"/>
  <c r="DB141" i="53"/>
  <c r="CC161" i="53"/>
  <c r="CB161" i="53" s="1"/>
  <c r="AN180" i="53"/>
  <c r="CX180" i="53"/>
  <c r="BY194" i="53"/>
  <c r="CT208" i="53"/>
  <c r="BU227" i="53"/>
  <c r="CM35" i="53"/>
  <c r="AE161" i="53"/>
  <c r="AK161" i="53"/>
  <c r="AJ161" i="53" s="1"/>
  <c r="AE6" i="53"/>
  <c r="CQ180" i="53"/>
  <c r="BJ117" i="53"/>
  <c r="AA35" i="53"/>
  <c r="BP35" i="53"/>
  <c r="BU6" i="53"/>
  <c r="BJ100" i="53"/>
  <c r="N21" i="53"/>
  <c r="Q100" i="53"/>
  <c r="BU100" i="53"/>
  <c r="N117" i="53"/>
  <c r="CH117" i="53"/>
  <c r="AS141" i="53"/>
  <c r="D161" i="53"/>
  <c r="D179" i="53" s="1"/>
  <c r="AO180" i="53"/>
  <c r="AK208" i="53"/>
  <c r="AJ208" i="53" s="1"/>
  <c r="CV208" i="53"/>
  <c r="CU208" i="53" s="1"/>
  <c r="BV227" i="53"/>
  <c r="Z194" i="53"/>
  <c r="CV117" i="53"/>
  <c r="CU117" i="53" s="1"/>
  <c r="O6" i="53"/>
  <c r="L141" i="53"/>
  <c r="BG6" i="53"/>
  <c r="CS35" i="53"/>
  <c r="E208" i="53"/>
  <c r="BD35" i="53"/>
  <c r="BH117" i="53"/>
  <c r="AY100" i="53"/>
  <c r="BP6" i="53"/>
  <c r="CE21" i="53"/>
  <c r="AB35" i="53"/>
  <c r="BG100" i="53"/>
  <c r="AX21" i="53"/>
  <c r="AN6" i="53"/>
  <c r="O21" i="53"/>
  <c r="AZ21" i="53"/>
  <c r="CT21" i="53"/>
  <c r="AF35" i="53"/>
  <c r="R100" i="53"/>
  <c r="BV100" i="53"/>
  <c r="S117" i="53"/>
  <c r="CI117" i="53"/>
  <c r="AT141" i="53"/>
  <c r="G161" i="53"/>
  <c r="CE161" i="53"/>
  <c r="CA194" i="53"/>
  <c r="BZ194" i="53" s="1"/>
  <c r="CY208" i="53"/>
  <c r="BW227" i="53"/>
  <c r="BS141" i="53"/>
  <c r="CI100" i="53"/>
  <c r="BH6" i="53"/>
  <c r="CP100" i="53"/>
  <c r="AD6" i="53"/>
  <c r="AZ194" i="53"/>
  <c r="BN6" i="53"/>
  <c r="BI117" i="53"/>
  <c r="BJ35" i="53"/>
  <c r="G21" i="53"/>
  <c r="Z35" i="53"/>
  <c r="I21" i="53"/>
  <c r="BF100" i="53"/>
  <c r="AC35" i="53"/>
  <c r="CR21" i="53"/>
  <c r="AE35" i="53"/>
  <c r="AO6" i="53"/>
  <c r="CE6" i="53"/>
  <c r="P21" i="53"/>
  <c r="AG35" i="53"/>
  <c r="CC35" i="53"/>
  <c r="CB35" i="53" s="1"/>
  <c r="S100" i="53"/>
  <c r="BW100" i="53"/>
  <c r="AB117" i="53"/>
  <c r="CJ117" i="53"/>
  <c r="H161" i="53"/>
  <c r="CF161" i="53"/>
  <c r="AQ180" i="53"/>
  <c r="D194" i="53"/>
  <c r="D207" i="53" s="1"/>
  <c r="AM208" i="53"/>
  <c r="BX227" i="53"/>
  <c r="W21" i="53"/>
  <c r="V227" i="53"/>
  <c r="AD194" i="53"/>
  <c r="CQ6" i="53"/>
  <c r="H180" i="53"/>
  <c r="CR6" i="53"/>
  <c r="BX21" i="53"/>
  <c r="BI35" i="53"/>
  <c r="Q180" i="53"/>
  <c r="AF6" i="53"/>
  <c r="CR180" i="53"/>
  <c r="BQ6" i="53"/>
  <c r="AV21" i="53"/>
  <c r="AK6" i="53"/>
  <c r="CG117" i="53"/>
  <c r="CC6" i="53"/>
  <c r="E6" i="53"/>
  <c r="CF6" i="53"/>
  <c r="Q21" i="53"/>
  <c r="BB21" i="53"/>
  <c r="CV21" i="53"/>
  <c r="CU21" i="53" s="1"/>
  <c r="T100" i="53"/>
  <c r="BX100" i="53"/>
  <c r="AC117" i="53"/>
  <c r="AV141" i="53"/>
  <c r="W161" i="53"/>
  <c r="CG161" i="53"/>
  <c r="AR180" i="53"/>
  <c r="S194" i="53"/>
  <c r="CC194" i="53"/>
  <c r="CB194" i="53" s="1"/>
  <c r="AN208" i="53"/>
  <c r="O227" i="53"/>
  <c r="BY227" i="53"/>
  <c r="CM194" i="53"/>
  <c r="AZ35" i="53"/>
  <c r="P6" i="53"/>
  <c r="BW141" i="53"/>
  <c r="G35" i="53"/>
  <c r="BP208" i="53"/>
  <c r="CY100" i="53"/>
  <c r="BH35" i="53"/>
  <c r="BD161" i="53"/>
  <c r="W35" i="53"/>
  <c r="P208" i="53"/>
  <c r="BB100" i="53"/>
  <c r="BE100" i="53"/>
  <c r="BT6" i="53"/>
  <c r="BY35" i="53"/>
  <c r="AR141" i="53"/>
  <c r="AY21" i="53"/>
  <c r="CG6" i="53"/>
  <c r="BC21" i="53"/>
  <c r="AI35" i="53"/>
  <c r="AH35" i="53" s="1"/>
  <c r="CE35" i="53"/>
  <c r="U100" i="53"/>
  <c r="BY100" i="53"/>
  <c r="AD117" i="53"/>
  <c r="CM117" i="53"/>
  <c r="AX141" i="53"/>
  <c r="CH161" i="53"/>
  <c r="AT180" i="53"/>
  <c r="T194" i="53"/>
  <c r="P227" i="53"/>
  <c r="AD161" i="53"/>
  <c r="CN6" i="53"/>
  <c r="AA194" i="53"/>
  <c r="BT21" i="53"/>
  <c r="CJ100" i="53"/>
  <c r="I180" i="53"/>
  <c r="AA6" i="53"/>
  <c r="BE117" i="53"/>
  <c r="AX100" i="53"/>
  <c r="AR21" i="53"/>
  <c r="CV141" i="53"/>
  <c r="CU141" i="53" s="1"/>
  <c r="AS21" i="53"/>
  <c r="AT21" i="53"/>
  <c r="CF21" i="53"/>
  <c r="BS6" i="53"/>
  <c r="CP21" i="53"/>
  <c r="L21" i="53"/>
  <c r="O100" i="53"/>
  <c r="M117" i="53"/>
  <c r="CS21" i="53"/>
  <c r="AQ6" i="53"/>
  <c r="G6" i="53"/>
  <c r="CH6" i="53"/>
  <c r="S21" i="53"/>
  <c r="CX21" i="53"/>
  <c r="CF35" i="53"/>
  <c r="V100" i="53"/>
  <c r="AE117" i="53"/>
  <c r="CN117" i="53"/>
  <c r="Z161" i="53"/>
  <c r="CI161" i="53"/>
  <c r="AW180" i="53"/>
  <c r="U194" i="53"/>
  <c r="CE194" i="53"/>
  <c r="AS208" i="53"/>
  <c r="Q227" i="53"/>
  <c r="CA227" i="53"/>
  <c r="BZ227" i="53" s="1"/>
  <c r="CM6" i="53"/>
  <c r="BJ208" i="53"/>
  <c r="CI227" i="53"/>
  <c r="BE6" i="53"/>
  <c r="CP6" i="53"/>
  <c r="BM208" i="53"/>
  <c r="BU21" i="53"/>
  <c r="BS180" i="53"/>
  <c r="BV21" i="53"/>
  <c r="BM6" i="53"/>
  <c r="CP180" i="53"/>
  <c r="CX6" i="53"/>
  <c r="V35" i="53"/>
  <c r="BE161" i="53"/>
  <c r="AW227" i="53"/>
  <c r="CC21" i="53"/>
  <c r="CB21" i="53" s="1"/>
  <c r="D117" i="53"/>
  <c r="D140" i="53" s="1"/>
  <c r="AX227" i="53"/>
  <c r="AI6" i="53"/>
  <c r="AW21" i="53"/>
  <c r="L117" i="53"/>
  <c r="AD35" i="53"/>
  <c r="P100" i="53"/>
  <c r="AM6" i="53"/>
  <c r="CA35" i="53"/>
  <c r="BZ35" i="53" s="1"/>
  <c r="F6" i="53"/>
  <c r="R21" i="53"/>
  <c r="AR6" i="53"/>
  <c r="H6" i="53"/>
  <c r="AS6" i="53"/>
  <c r="CI6" i="53"/>
  <c r="T21" i="53"/>
  <c r="BM21" i="53"/>
  <c r="CY21" i="53"/>
  <c r="CG35" i="53"/>
  <c r="W100" i="53"/>
  <c r="CA100" i="53"/>
  <c r="BZ100" i="53" s="1"/>
  <c r="AF117" i="53"/>
  <c r="CO117" i="53"/>
  <c r="BB141" i="53"/>
  <c r="AA161" i="53"/>
  <c r="CJ161" i="53"/>
  <c r="AX180" i="53"/>
  <c r="V194" i="53"/>
  <c r="CF194" i="53"/>
  <c r="AT208" i="53"/>
  <c r="R227" i="53"/>
  <c r="DH35" i="53"/>
  <c r="DH48" i="53" s="1"/>
  <c r="DD117" i="53"/>
  <c r="DD140" i="53" s="1"/>
  <c r="DE194" i="53"/>
  <c r="DE207" i="53" s="1"/>
  <c r="DD21" i="53"/>
  <c r="DD34" i="53" s="1"/>
  <c r="DF194" i="53"/>
  <c r="DF207" i="53" s="1"/>
  <c r="DE21" i="53"/>
  <c r="DE34" i="53" s="1"/>
  <c r="DG194" i="53"/>
  <c r="DG207" i="53" s="1"/>
  <c r="DF21" i="53"/>
  <c r="DF34" i="53" s="1"/>
  <c r="DH194" i="53"/>
  <c r="DH207" i="53" s="1"/>
  <c r="DG21" i="53"/>
  <c r="DG34" i="53" s="1"/>
  <c r="DI194" i="53"/>
  <c r="DI207" i="53" s="1"/>
  <c r="DF141" i="53"/>
  <c r="DF160" i="53" s="1"/>
  <c r="DH208" i="53"/>
  <c r="DH226" i="53" s="1"/>
  <c r="DH161" i="53"/>
  <c r="DH179" i="53" s="1"/>
  <c r="DG141" i="53"/>
  <c r="DG160" i="53" s="1"/>
  <c r="DI35" i="53"/>
  <c r="DI48" i="53" s="1"/>
  <c r="DE180" i="53"/>
  <c r="DE193" i="53" s="1"/>
  <c r="DI161" i="53"/>
  <c r="DI179" i="53" s="1"/>
  <c r="DE141" i="53"/>
  <c r="DE160" i="53" s="1"/>
  <c r="DH141" i="53"/>
  <c r="DH160" i="53" s="1"/>
  <c r="DI227" i="53"/>
  <c r="DI246" i="53" s="1"/>
  <c r="DE6" i="53"/>
  <c r="DE117" i="53"/>
  <c r="DE140" i="53" s="1"/>
  <c r="DF6" i="53"/>
  <c r="DD6" i="53"/>
  <c r="DF117" i="53"/>
  <c r="DF140" i="53" s="1"/>
  <c r="DH21" i="53"/>
  <c r="DH34" i="53" s="1"/>
  <c r="DG117" i="53"/>
  <c r="DG140" i="53" s="1"/>
  <c r="DI21" i="53"/>
  <c r="DI34" i="53" s="1"/>
  <c r="DJ34" i="53"/>
  <c r="DI180" i="53"/>
  <c r="DI193" i="53" s="1"/>
  <c r="DE161" i="53"/>
  <c r="DE179" i="53" s="1"/>
  <c r="DH180" i="53"/>
  <c r="DH193" i="53" s="1"/>
  <c r="DD161" i="53"/>
  <c r="DD179" i="53" s="1"/>
  <c r="DI141" i="53"/>
  <c r="DI160" i="53" s="1"/>
  <c r="DD180" i="53"/>
  <c r="DD193" i="53" s="1"/>
  <c r="DG180" i="53"/>
  <c r="DG193" i="53" s="1"/>
  <c r="DG35" i="53"/>
  <c r="DG48" i="53" s="1"/>
  <c r="DF161" i="53"/>
  <c r="DF179" i="53" s="1"/>
  <c r="DF35" i="53"/>
  <c r="DF48" i="53" s="1"/>
  <c r="DD141" i="53"/>
  <c r="DD160" i="53" s="1"/>
  <c r="DG161" i="53"/>
  <c r="DG179" i="53" s="1"/>
  <c r="DI6" i="53"/>
  <c r="DG6" i="53"/>
  <c r="DE208" i="53"/>
  <c r="DE226" i="53" s="1"/>
  <c r="DH6" i="53"/>
  <c r="DF208" i="53"/>
  <c r="DF226" i="53" s="1"/>
  <c r="DD100" i="53"/>
  <c r="DD116" i="53" s="1"/>
  <c r="DG208" i="53"/>
  <c r="DG226" i="53" s="1"/>
  <c r="DG227" i="53"/>
  <c r="DG246" i="53" s="1"/>
  <c r="DD208" i="53"/>
  <c r="DD226" i="53" s="1"/>
  <c r="DE227" i="53"/>
  <c r="DE246" i="53" s="1"/>
  <c r="DH227" i="53"/>
  <c r="DH246" i="53" s="1"/>
  <c r="DE35" i="53"/>
  <c r="DE48" i="53" s="1"/>
  <c r="DH117" i="53"/>
  <c r="DH140" i="53" s="1"/>
  <c r="DF227" i="53"/>
  <c r="DF246" i="53" s="1"/>
  <c r="DD35" i="53"/>
  <c r="DD48" i="53" s="1"/>
  <c r="DD227" i="53"/>
  <c r="DD246" i="53" s="1"/>
  <c r="DI100" i="53"/>
  <c r="DI116" i="53" s="1"/>
  <c r="DE100" i="53"/>
  <c r="DE116" i="53" s="1"/>
  <c r="DH100" i="53"/>
  <c r="DH116" i="53" s="1"/>
  <c r="DF100" i="53"/>
  <c r="DF116" i="53" s="1"/>
  <c r="DG100" i="53"/>
  <c r="DG116" i="53" s="1"/>
  <c r="DI117" i="53"/>
  <c r="DI140" i="53" s="1"/>
  <c r="DF180" i="53"/>
  <c r="DF193" i="53" s="1"/>
  <c r="DJ20" i="53"/>
  <c r="DD194" i="53"/>
  <c r="DD207" i="53" s="1"/>
  <c r="DI208" i="53"/>
  <c r="DI226" i="53" s="1"/>
  <c r="BL21" i="53" l="1"/>
  <c r="CQ5" i="53"/>
  <c r="BN5" i="53"/>
  <c r="F5" i="53"/>
  <c r="BQ5" i="53"/>
  <c r="G5" i="53"/>
  <c r="AM5" i="53"/>
  <c r="AQ5" i="53"/>
  <c r="CH5" i="53"/>
  <c r="CI5" i="53"/>
  <c r="H5" i="53"/>
  <c r="CM5" i="53"/>
  <c r="E5" i="53"/>
  <c r="AR5" i="53"/>
  <c r="CE5" i="53"/>
  <c r="AO5" i="53"/>
  <c r="CN5" i="53"/>
  <c r="DB5" i="53"/>
  <c r="CS5" i="53"/>
  <c r="P5" i="53"/>
  <c r="BI5" i="53"/>
  <c r="AI5" i="53"/>
  <c r="Z5" i="53"/>
  <c r="CR5" i="53"/>
  <c r="BP5" i="53"/>
  <c r="AE5" i="53"/>
  <c r="BK5" i="53"/>
  <c r="DD5" i="53"/>
  <c r="AB5" i="53"/>
  <c r="DF5" i="53"/>
  <c r="U5" i="53"/>
  <c r="AD5" i="53"/>
  <c r="AX5" i="53"/>
  <c r="T5" i="53"/>
  <c r="BF5" i="53"/>
  <c r="DE5" i="53"/>
  <c r="V5" i="53"/>
  <c r="N5" i="53"/>
  <c r="CX5" i="53"/>
  <c r="BH5" i="53"/>
  <c r="BG5" i="53"/>
  <c r="AY5" i="53"/>
  <c r="BD5" i="53"/>
  <c r="BM5" i="53"/>
  <c r="O5" i="53"/>
  <c r="CV5" i="53"/>
  <c r="BC5" i="53"/>
  <c r="DH5" i="53"/>
  <c r="AC5" i="53"/>
  <c r="CJ5" i="53"/>
  <c r="DG5" i="53"/>
  <c r="CG5" i="53"/>
  <c r="I5" i="53"/>
  <c r="DI5" i="53"/>
  <c r="BS5" i="53"/>
  <c r="D5" i="53"/>
  <c r="BV5" i="53"/>
  <c r="AT5" i="53"/>
  <c r="CP5" i="53"/>
  <c r="AG5" i="53"/>
  <c r="CY5" i="53"/>
  <c r="R5" i="53"/>
  <c r="BY5" i="53"/>
  <c r="BE5" i="53"/>
  <c r="BW5" i="53"/>
  <c r="CA5" i="53"/>
  <c r="BT5" i="53"/>
  <c r="W5" i="53"/>
  <c r="BB5" i="53"/>
  <c r="AS5" i="53"/>
  <c r="CF5" i="53"/>
  <c r="CT5" i="53"/>
  <c r="AZ5" i="53"/>
  <c r="M5" i="53"/>
  <c r="S5" i="53"/>
  <c r="CK5" i="53"/>
  <c r="CC5" i="53"/>
  <c r="AV5" i="53"/>
  <c r="BX5" i="53"/>
  <c r="AA5" i="53"/>
  <c r="AK5" i="53"/>
  <c r="K5" i="53"/>
  <c r="DA5" i="53"/>
  <c r="CO5" i="53"/>
  <c r="AN5" i="53"/>
  <c r="BU5" i="53"/>
  <c r="Q5" i="53"/>
  <c r="BJ5" i="53"/>
  <c r="L5" i="53"/>
  <c r="AF5" i="53"/>
  <c r="AW5" i="53"/>
  <c r="CZ5" i="53"/>
  <c r="DE20" i="53"/>
  <c r="DH20" i="53"/>
  <c r="DF20" i="53"/>
  <c r="DI20" i="53"/>
  <c r="DG20" i="53"/>
  <c r="DD20" i="53"/>
  <c r="D116" i="53"/>
  <c r="DC6" i="53"/>
  <c r="DC227" i="53"/>
  <c r="DC21" i="53"/>
  <c r="DC100" i="53"/>
  <c r="DC161" i="53"/>
  <c r="DC141" i="53"/>
  <c r="DC35" i="53"/>
  <c r="DC208" i="53"/>
  <c r="DC180" i="53"/>
  <c r="DC194" i="53"/>
  <c r="DC117" i="53"/>
  <c r="J6" i="53"/>
  <c r="J208" i="53"/>
  <c r="J117" i="53"/>
  <c r="J194" i="53"/>
  <c r="J21" i="53"/>
  <c r="J227" i="53"/>
  <c r="J180" i="53"/>
  <c r="J35" i="53"/>
  <c r="J161" i="53"/>
  <c r="J100" i="53"/>
  <c r="J141" i="53"/>
  <c r="BL208" i="53"/>
  <c r="CD227" i="53"/>
  <c r="AP117" i="53"/>
  <c r="BA141" i="53"/>
  <c r="BR180" i="53"/>
  <c r="AU161" i="53"/>
  <c r="Y141" i="53"/>
  <c r="CW180" i="53"/>
  <c r="BA180" i="53"/>
  <c r="AL194" i="53"/>
  <c r="BL227" i="53"/>
  <c r="CW35" i="53"/>
  <c r="BL180" i="53"/>
  <c r="BA21" i="53"/>
  <c r="AL117" i="53"/>
  <c r="CD208" i="53"/>
  <c r="BR208" i="53"/>
  <c r="CW117" i="53"/>
  <c r="BL141" i="53"/>
  <c r="AL21" i="53"/>
  <c r="CD21" i="53"/>
  <c r="BL161" i="53"/>
  <c r="AU35" i="53"/>
  <c r="AU208" i="53"/>
  <c r="CL227" i="53"/>
  <c r="BL100" i="53"/>
  <c r="BA227" i="53"/>
  <c r="CL194" i="53"/>
  <c r="BL35" i="53"/>
  <c r="AP194" i="53"/>
  <c r="CW161" i="53"/>
  <c r="AP161" i="53"/>
  <c r="AU100" i="53"/>
  <c r="AL100" i="53"/>
  <c r="AP180" i="53"/>
  <c r="CW194" i="53"/>
  <c r="Y161" i="53"/>
  <c r="AL161" i="53"/>
  <c r="BR100" i="53"/>
  <c r="CB6" i="53"/>
  <c r="CB5" i="53" s="1"/>
  <c r="CW6" i="53"/>
  <c r="BR141" i="53"/>
  <c r="CD100" i="53"/>
  <c r="Y117" i="53"/>
  <c r="BZ6" i="53"/>
  <c r="BZ5" i="53" s="1"/>
  <c r="BA117" i="53"/>
  <c r="AJ6" i="53"/>
  <c r="AJ5" i="53" s="1"/>
  <c r="BL194" i="53"/>
  <c r="BR194" i="53"/>
  <c r="CL180" i="53"/>
  <c r="CD117" i="53"/>
  <c r="AH6" i="53"/>
  <c r="AH5" i="53" s="1"/>
  <c r="AU21" i="53"/>
  <c r="CD161" i="53"/>
  <c r="AL180" i="53"/>
  <c r="CU6" i="53"/>
  <c r="CU5" i="53" s="1"/>
  <c r="AU117" i="53"/>
  <c r="Y208" i="53"/>
  <c r="CW21" i="53"/>
  <c r="BA194" i="53"/>
  <c r="BA208" i="53"/>
  <c r="AU194" i="53"/>
  <c r="CW227" i="53"/>
  <c r="AP141" i="53"/>
  <c r="CW141" i="53"/>
  <c r="BL6" i="53"/>
  <c r="CL117" i="53"/>
  <c r="CL35" i="53"/>
  <c r="BR117" i="53"/>
  <c r="AU227" i="53"/>
  <c r="AU180" i="53"/>
  <c r="BR35" i="53"/>
  <c r="AP227" i="53"/>
  <c r="Y100" i="53"/>
  <c r="AP6" i="53"/>
  <c r="CD6" i="53"/>
  <c r="Y194" i="53"/>
  <c r="BL117" i="53"/>
  <c r="Y227" i="53"/>
  <c r="AU6" i="53"/>
  <c r="CL21" i="53"/>
  <c r="CW100" i="53"/>
  <c r="AL35" i="53"/>
  <c r="CL208" i="53"/>
  <c r="CD35" i="53"/>
  <c r="AP100" i="53"/>
  <c r="BR6" i="53"/>
  <c r="AU141" i="53"/>
  <c r="CL161" i="53"/>
  <c r="CL141" i="53"/>
  <c r="BA35" i="53"/>
  <c r="AL6" i="53"/>
  <c r="CW208" i="53"/>
  <c r="BA6" i="53"/>
  <c r="Y35" i="53"/>
  <c r="CL100" i="53"/>
  <c r="BR161" i="53"/>
  <c r="AP35" i="53"/>
  <c r="AL227" i="53"/>
  <c r="CL6" i="53"/>
  <c r="BA161" i="53"/>
  <c r="Y180" i="53"/>
  <c r="BR227" i="53"/>
  <c r="AL141" i="53"/>
  <c r="AP21" i="53"/>
  <c r="CD141" i="53"/>
  <c r="BR21" i="53"/>
  <c r="CD194" i="53"/>
  <c r="AP208" i="53"/>
  <c r="CD180" i="53"/>
  <c r="Y6" i="53"/>
  <c r="Y21" i="53"/>
  <c r="BA100" i="53"/>
  <c r="AL208" i="53"/>
  <c r="DC5" i="53" l="1"/>
  <c r="BR5" i="53"/>
  <c r="Y5" i="53"/>
  <c r="CD5" i="53"/>
  <c r="AP5" i="53"/>
  <c r="J5" i="53"/>
  <c r="CL5" i="53"/>
  <c r="AU5" i="53"/>
  <c r="CW5" i="53"/>
  <c r="BA5" i="53"/>
  <c r="BL5" i="53"/>
  <c r="AL5" i="53"/>
</calcChain>
</file>

<file path=xl/sharedStrings.xml><?xml version="1.0" encoding="utf-8"?>
<sst xmlns="http://schemas.openxmlformats.org/spreadsheetml/2006/main" count="36702" uniqueCount="10641">
  <si>
    <t>№</t>
  </si>
  <si>
    <t>Ro'yxatdan o'tkazish ma'lumotlarini tekshirish</t>
  </si>
  <si>
    <t>O'lchov natijalarini kiritish</t>
  </si>
  <si>
    <t>Tranzaksiya raqami</t>
  </si>
  <si>
    <t>Tuman nomi</t>
  </si>
  <si>
    <t>Bugun muddati o`tadigan</t>
  </si>
  <si>
    <t>Yakunlashga qolgan kun</t>
  </si>
  <si>
    <t>Yakunlash sanasi</t>
  </si>
  <si>
    <t>Yer uchastkasiga huquq yaratish</t>
  </si>
  <si>
    <t>Huquqlarni tekshirish</t>
  </si>
  <si>
    <t>Kadastr passportini shakllantirish</t>
  </si>
  <si>
    <t>Arizani qabul qilish</t>
  </si>
  <si>
    <t>Tekshirish</t>
  </si>
  <si>
    <t>Yer uchastkasini yaratish</t>
  </si>
  <si>
    <t>Bugungi kun</t>
  </si>
  <si>
    <t>Bino va inshootlarni yaratish</t>
  </si>
  <si>
    <t>Inventarizatsiya ma'lumotlarini to‘ldirish</t>
  </si>
  <si>
    <t>Kadastr yig'majildini shakllantirish</t>
  </si>
  <si>
    <t>Худудлар</t>
  </si>
  <si>
    <t>Жами якунлаш керак</t>
  </si>
  <si>
    <t>Рахбар, Бош мухандис</t>
  </si>
  <si>
    <t>Kadastr muhandisini tanlash</t>
  </si>
  <si>
    <t>Ko'chmas mulk turini tanlash</t>
  </si>
  <si>
    <t>Rad qilish</t>
  </si>
  <si>
    <t>Кадастр мухандис</t>
  </si>
  <si>
    <t>Ijroga qabul qilish</t>
  </si>
  <si>
    <t>Топограф</t>
  </si>
  <si>
    <t>ДКЯТ</t>
  </si>
  <si>
    <t>ДКЯТ Бошқарма</t>
  </si>
  <si>
    <t>Kelishish (Boshqarma)</t>
  </si>
  <si>
    <t>Soliq maydonini tekshirish</t>
  </si>
  <si>
    <t>ДКП Келишиш</t>
  </si>
  <si>
    <t>Kelishish (DKP)</t>
  </si>
  <si>
    <t>Manzil biriktirish</t>
  </si>
  <si>
    <t>Ер баланс</t>
  </si>
  <si>
    <t>Yer toifasi va maqsadini kiritish</t>
  </si>
  <si>
    <t>Bino va inshoot ma'lumotlarini to‘ldirish</t>
  </si>
  <si>
    <t>Kadastr qiymatini hisoblash va kiritish</t>
  </si>
  <si>
    <t>Hujjatlarni tekshirish</t>
  </si>
  <si>
    <t>Регистрация текшириш</t>
  </si>
  <si>
    <t>Hisobga olish</t>
  </si>
  <si>
    <t>Bino-inshootga huquq yaratish</t>
  </si>
  <si>
    <t>Cheklov yaratish</t>
  </si>
  <si>
    <t>Taqiq yaratish</t>
  </si>
  <si>
    <t>Бино Бошқарма</t>
  </si>
  <si>
    <t>Tasdiqlash</t>
  </si>
  <si>
    <t>To'lov yoki bepul tasdiqlash</t>
  </si>
  <si>
    <t>To'lovga chiqarish</t>
  </si>
  <si>
    <t>Hisobga qo'yish</t>
  </si>
  <si>
    <t>Тўлов кутилмоқда</t>
  </si>
  <si>
    <t>Регистрация ўтказиш</t>
  </si>
  <si>
    <t>Ro'yxatdan o'tkazish</t>
  </si>
  <si>
    <t>Kadastr pasporti va ko'chirmani yuborish</t>
  </si>
  <si>
    <t>Kadastr yig'majildini chop etish va arxiv ishiga tikish</t>
  </si>
  <si>
    <t>Архивариус</t>
  </si>
  <si>
    <t>Kadastr yig‘majildini qabul qilish, arizani yakunlash</t>
  </si>
  <si>
    <t>Next Cloudga yuklash</t>
  </si>
  <si>
    <t>Келишиш кутилмоқда</t>
  </si>
  <si>
    <t>ЯКУНЛАНДИ</t>
  </si>
  <si>
    <t>ҚОЛДИ</t>
  </si>
  <si>
    <t>НАМАНГАН</t>
  </si>
  <si>
    <t>Косонсой тумани</t>
  </si>
  <si>
    <t>Мингбулоқ тумани</t>
  </si>
  <si>
    <t>Наманган тумани</t>
  </si>
  <si>
    <t>Наманган шаҳар</t>
  </si>
  <si>
    <t>Норин тумани</t>
  </si>
  <si>
    <t>Тўрақўрғон тумани</t>
  </si>
  <si>
    <t>Уйчи тумани</t>
  </si>
  <si>
    <t>Учқўрғон тумани</t>
  </si>
  <si>
    <t>Чортоқ тумани</t>
  </si>
  <si>
    <t>Чуст тумани</t>
  </si>
  <si>
    <t>Янгиқўрғон тумани</t>
  </si>
  <si>
    <t>KSST</t>
  </si>
  <si>
    <t>MINT</t>
  </si>
  <si>
    <t>NAMT</t>
  </si>
  <si>
    <t>NAMS</t>
  </si>
  <si>
    <t>NORT</t>
  </si>
  <si>
    <t>POPT</t>
  </si>
  <si>
    <t>TORT</t>
  </si>
  <si>
    <t>UYCT</t>
  </si>
  <si>
    <t>UCQT</t>
  </si>
  <si>
    <t>CHOT</t>
  </si>
  <si>
    <t>CHUT</t>
  </si>
  <si>
    <t>YGQT</t>
  </si>
  <si>
    <t>Yer uchastkasiga huquqiy hujjatlarni kiritsh</t>
  </si>
  <si>
    <t>Bino-inshootlarga huquqiy hujjatlarni kiritsh</t>
  </si>
  <si>
    <t>Auksion yer tekshirish</t>
  </si>
  <si>
    <t>ijrochi tanlash</t>
  </si>
  <si>
    <t>tekshirish/tasdiqlash</t>
  </si>
  <si>
    <t>Kadastr raqam biriktirish</t>
  </si>
  <si>
    <t>Kadastr yig'ma jildni tayyorlash</t>
  </si>
  <si>
    <t>Huquqni yaratish</t>
  </si>
  <si>
    <t>Hujjatlarni o'rganish</t>
  </si>
  <si>
    <t>Yer turlarini kiritish</t>
  </si>
  <si>
    <t>Yer uchastkasini tahrirlash</t>
  </si>
  <si>
    <t>Ma'lumotlarni kiritish</t>
  </si>
  <si>
    <t>Arizani qabul qilish2</t>
  </si>
  <si>
    <t>Ko'chirmani yuborish</t>
  </si>
  <si>
    <t>Yer tekshirish</t>
  </si>
  <si>
    <t>Rad qilish2</t>
  </si>
  <si>
    <t>Asosiy qismdan ajratish jarayonida</t>
  </si>
  <si>
    <t>Ma'lumotlarni tekshirish</t>
  </si>
  <si>
    <t>Ma‘lumotlarni tekshirish</t>
  </si>
  <si>
    <t>Регистрация
томонидан ўтган</t>
  </si>
  <si>
    <t>Arizani ko'rib chiqish</t>
  </si>
  <si>
    <t>Yig'ma jildni tasdiqlash</t>
  </si>
  <si>
    <t>Ko'chmas mulkni ro'yhatdan o'tkazishga qabul qilish</t>
  </si>
  <si>
    <t>Ko‘chmas mulkni tanlash</t>
  </si>
  <si>
    <t>Объект тури</t>
  </si>
  <si>
    <t>Umumiy foydalanishdagi obyekt yaratilish</t>
  </si>
  <si>
    <t>Priznak</t>
  </si>
  <si>
    <t>Dov daraxtlarni yaratish</t>
  </si>
  <si>
    <t>Шундан
Муддати ўтган аризалар</t>
  </si>
  <si>
    <t>Шундан жараёнда турган рўллар кесмида</t>
  </si>
  <si>
    <t>Migratsiya qilinadigan kadastr raqamini kiritish</t>
  </si>
  <si>
    <t>Ko'chmas mulkni UZKAD ga migratsiya qilish</t>
  </si>
  <si>
    <t>Migratisya qilingan obyekt holatini tekshirish</t>
  </si>
  <si>
    <t>O'zida qolgan obyektni yaratish</t>
  </si>
  <si>
    <t>Ariza kelib tushgan sana</t>
  </si>
  <si>
    <t>KOD</t>
  </si>
  <si>
    <t>Filialda muddat o'tgan</t>
  </si>
  <si>
    <t>Registratorda muddati o'tgan</t>
  </si>
  <si>
    <t>Formula</t>
  </si>
  <si>
    <t>Formula ariza qabul qilish</t>
  </si>
  <si>
    <t>Rad etish</t>
  </si>
  <si>
    <t>Muddati o`tgan arizalar</t>
  </si>
  <si>
    <t>Бугун муддати тугайдиган</t>
  </si>
  <si>
    <t>Турар</t>
  </si>
  <si>
    <t>Нотурар</t>
  </si>
  <si>
    <t>Kelishish</t>
  </si>
  <si>
    <t>Kelishish (Registratsiya DKP)</t>
  </si>
  <si>
    <t>Ma'lumotlarni tasdiqlash</t>
  </si>
  <si>
    <t>Joyida o'rganish va ma'lumotlarni kiritish</t>
  </si>
  <si>
    <t>Arizani rad etish</t>
  </si>
  <si>
    <t>Rad qilish sababini o'rganish</t>
  </si>
  <si>
    <t>Buyurtmachi</t>
  </si>
  <si>
    <t>Arizani tasdiqlash</t>
  </si>
  <si>
    <t>Arizani yo'naltirish</t>
  </si>
  <si>
    <t>Филиал
томонида ўтган</t>
  </si>
  <si>
    <t>Рад этилганлар</t>
  </si>
  <si>
    <t>Obyekt turi 2</t>
  </si>
  <si>
    <t>Ariza turi</t>
  </si>
  <si>
    <t>Turar
1</t>
  </si>
  <si>
    <t>Noturar
1</t>
  </si>
  <si>
    <t>Ijrochi muhandis</t>
  </si>
  <si>
    <t>Bog'liq arizani kutish</t>
  </si>
  <si>
    <t>Ijrochi bosh muhandis</t>
  </si>
  <si>
    <t>Oxirgi jarayon nomi</t>
  </si>
  <si>
    <t>Ariza manbasi</t>
  </si>
  <si>
    <t>Ariza raqami</t>
  </si>
  <si>
    <t>Муддат бузилишни олдини-олиш мақсадида тахлил</t>
  </si>
  <si>
    <t>Якунлаш санаси</t>
  </si>
  <si>
    <t>Kadastr passport olish turi</t>
  </si>
  <si>
    <t>Kamchiliklar bo'yicha habarnoma yuborish va 3 kunga to'xtatish</t>
  </si>
  <si>
    <t>Umumiy foydalanishdagi ko'chmas mulk qismini yaratish</t>
  </si>
  <si>
    <t>Noturar kompozit</t>
  </si>
  <si>
    <t>Turar kompozit</t>
  </si>
  <si>
    <t>Noturar obyektning kadastr pasportini shakllantirish va davlat ro'yxatidan o'tkazish</t>
  </si>
  <si>
    <t>Turar joy obyektning kadastr pasportini shakllantirish va davlat ro'yxatidan o'tkazish</t>
  </si>
  <si>
    <t>Qurilishi tugallangan ko'chmas mulkni foydalanishga qabul qilish</t>
  </si>
  <si>
    <t>Notarius uchun ma'lumotnoma (uz)</t>
  </si>
  <si>
    <t>Noturar joy xizmati</t>
  </si>
  <si>
    <t>Turar joy xizmati</t>
  </si>
  <si>
    <t>Foydalanishga ruxsatnoma berish xizmati</t>
  </si>
  <si>
    <t>Notarius uchun maʼlumotnoma</t>
  </si>
  <si>
    <t>Ko‘p yillik daraxtlar xizmati</t>
  </si>
  <si>
    <t>Noturar bino</t>
  </si>
  <si>
    <t>Yakka tartibdagi turar joy</t>
  </si>
  <si>
    <t>Noturar yer maydoni</t>
  </si>
  <si>
    <t>Turar yer maydoni</t>
  </si>
  <si>
    <t>DXM</t>
  </si>
  <si>
    <t>Notarius</t>
  </si>
  <si>
    <t>Topoxaritani tayyorlash (dwg, pdf)</t>
  </si>
  <si>
    <t>AKMAL BOLTABAYEV</t>
  </si>
  <si>
    <t>MUXAMMADJON SHARIPOV</t>
  </si>
  <si>
    <t>OYBEK QODIROV</t>
  </si>
  <si>
    <t>SAIDAXON DADAXANOVA</t>
  </si>
  <si>
    <t>AVAZXON ALIMOV</t>
  </si>
  <si>
    <t>XURSHIDBEK KARIMOV</t>
  </si>
  <si>
    <t>NODIRBEK YUSUBJONOV</t>
  </si>
  <si>
    <t>MA’RUF XIKMATOV</t>
  </si>
  <si>
    <t>HUSANXON AHADXONOV</t>
  </si>
  <si>
    <t>DONIYOR XASANOV</t>
  </si>
  <si>
    <t>SHERZOD MAMAJONOV</t>
  </si>
  <si>
    <t>MIRZAOLIM MAMADJANOV</t>
  </si>
  <si>
    <t>AZIZBEK ABDULLAJANOV</t>
  </si>
  <si>
    <t>MUXAMMADYUSUF MUKARRAMOV</t>
  </si>
  <si>
    <t>NIZOMJON ASHRABOV</t>
  </si>
  <si>
    <t>SHAVKATJON MULLAJONOV</t>
  </si>
  <si>
    <t>DONIYORBEK ALIMBEKOV</t>
  </si>
  <si>
    <t>OYBEK TO‘LANOV</t>
  </si>
  <si>
    <t>QOBILJON G‘OFIRJONOV</t>
  </si>
  <si>
    <t>DILMUROD NURMATOV</t>
  </si>
  <si>
    <t>MUXAMMADAMIN USMANOV</t>
  </si>
  <si>
    <t>IBODULLA XASANBAYEV</t>
  </si>
  <si>
    <t>OBIDXON TOJIMIRZAYEV</t>
  </si>
  <si>
    <t>RASHIDXON BUVAXONOV</t>
  </si>
  <si>
    <t>ABDUQODIR MAMAJANOV</t>
  </si>
  <si>
    <t>SHOIRBEK KUVANOV</t>
  </si>
  <si>
    <t>ANVARJON ADXAMJONOV</t>
  </si>
  <si>
    <t>JAMSHIDXON UMAROV</t>
  </si>
  <si>
    <t>SHARIP TADJIDDINOV</t>
  </si>
  <si>
    <t>ZUXRIDDIN TILLAYEV</t>
  </si>
  <si>
    <t>MUXTORJON TOJIBOYEV</t>
  </si>
  <si>
    <t>ABDURAXMON BOBANAZAROV</t>
  </si>
  <si>
    <t>SHUHRATJON IBROHIMOV</t>
  </si>
  <si>
    <t>ANVAR ASHUROV</t>
  </si>
  <si>
    <t>O‘LMASALI YUSUPOV</t>
  </si>
  <si>
    <t>MURODJON NE’MATULLAYEV</t>
  </si>
  <si>
    <t>OTABEK ABDULLAYEV</t>
  </si>
  <si>
    <t>TO‘LANBOY BOYZOQBOYEV</t>
  </si>
  <si>
    <t>POZILJON MAXMUDOV</t>
  </si>
  <si>
    <t>ISLOMJON YUSUBJONOV</t>
  </si>
  <si>
    <t>ISLOMBEK ATAXANOV</t>
  </si>
  <si>
    <t>ABDUBANNO OZATOV</t>
  </si>
  <si>
    <t>ISLOMJON ERKAYEV</t>
  </si>
  <si>
    <t>SIROJIDDIN RAXMONBERDIYEV</t>
  </si>
  <si>
    <t>ISLOMJON ABDUG‘ANIYEV</t>
  </si>
  <si>
    <t>AZIZJON TAVAKKALOV</t>
  </si>
  <si>
    <t>JAMOLXON BOBOXONOV</t>
  </si>
  <si>
    <t>ULUG‘BEK SOBIRJONOV</t>
  </si>
  <si>
    <t>XALILILLO MAMADALIYEV</t>
  </si>
  <si>
    <t>SARDOR XABIBULLAYEV</t>
  </si>
  <si>
    <t>ZOIRJON ISAQOV</t>
  </si>
  <si>
    <t>SODIRJON AXMEDOV</t>
  </si>
  <si>
    <t>KAMOLIDDIN RISQULOV</t>
  </si>
  <si>
    <t>MUZAFAR TURSUNOV</t>
  </si>
  <si>
    <t>OLIM ABDULLAYEV</t>
  </si>
  <si>
    <t>XOJIMUROD AXMADOV</t>
  </si>
  <si>
    <t>ILXOM NABIYEV</t>
  </si>
  <si>
    <t>KOMILJON ANVARJONOV</t>
  </si>
  <si>
    <t>ABDUXAKIMJON UMAROV</t>
  </si>
  <si>
    <t>MUHAMMADABDULLO MURODILLAYEV</t>
  </si>
  <si>
    <t>ISLOM ILXOMOV</t>
  </si>
  <si>
    <t>OLIM USMANOV</t>
  </si>
  <si>
    <t>ATXAM MAMATOV</t>
  </si>
  <si>
    <t>ISMOILXON PATILLAYEV</t>
  </si>
  <si>
    <t>BAHROMJON SOATALIYEV</t>
  </si>
  <si>
    <t>ABBOS ERGASHEV</t>
  </si>
  <si>
    <t>MAXAMMADISMOIL SOBIROV</t>
  </si>
  <si>
    <t>FARXODJON OXUNOV</t>
  </si>
  <si>
    <t>ALISHERJON VALIJONOV</t>
  </si>
  <si>
    <t>XURSHID UMARJONOV</t>
  </si>
  <si>
    <t>ABDULXAKIM RAXIMOV</t>
  </si>
  <si>
    <t>KOMOLDIN MO‘YDINOV</t>
  </si>
  <si>
    <t>BOBURBEK NORMATALIYEV</t>
  </si>
  <si>
    <t>JAXONGIR QODIROV</t>
  </si>
  <si>
    <t>SARDOR RASULOV</t>
  </si>
  <si>
    <t>VOXIDJON XUDAYBERGANOV</t>
  </si>
  <si>
    <t>MUYASSARXON RAXMONBERDIYEVA</t>
  </si>
  <si>
    <t>XURSANALI AXMEDOV</t>
  </si>
  <si>
    <t>XUSNIDIN YO‘LDOSHALIYEV</t>
  </si>
  <si>
    <t>DIYORBEK DAVLATSHEROV</t>
  </si>
  <si>
    <t>YASHNARJON YULDASHEV</t>
  </si>
  <si>
    <t>MUZAFFAR MUYDINOV</t>
  </si>
  <si>
    <t>MIRZOHID BOZOROV</t>
  </si>
  <si>
    <t>ULUG‘BEK TOIRXANOV</t>
  </si>
  <si>
    <t>JAVLONBEK XOSHIMJONOV</t>
  </si>
  <si>
    <t>ZAXROXON KAMOLOVA</t>
  </si>
  <si>
    <t>ABDULAXAD AKRAMOV</t>
  </si>
  <si>
    <t>IBROHIMJON ISMOILJONOV</t>
  </si>
  <si>
    <t>FARRUXJON BOQIJONOV</t>
  </si>
  <si>
    <t>JAMOLXON ZIYAVIDDINOV</t>
  </si>
  <si>
    <t>RAXIMJON RAXMATULLAYEV</t>
  </si>
  <si>
    <t>JAMOL ABDUSAMATOV</t>
  </si>
  <si>
    <t>SHOXRUXMIRZO OTAXONOV</t>
  </si>
  <si>
    <t>OTABEK TO‘LANOV</t>
  </si>
  <si>
    <t>KOMIL MAJITOV</t>
  </si>
  <si>
    <t>ODILJON KULDASHEV</t>
  </si>
  <si>
    <t>IBROXIMJON SOBIRJONOV</t>
  </si>
  <si>
    <t>XOSHIMJON AZIZOV</t>
  </si>
  <si>
    <t>MUXIDDIN MAXMUDJONOV</t>
  </si>
  <si>
    <t>NODIRBEK TURSUNBOYEV</t>
  </si>
  <si>
    <t>ONORXON MADALIYEVA</t>
  </si>
  <si>
    <t>ASRORXON UMAROV</t>
  </si>
  <si>
    <t>RUSTAMBEK XAMRAQULOV</t>
  </si>
  <si>
    <t>MUSLIMBEK XAMIDULLAYEV</t>
  </si>
  <si>
    <t>JAVLONBEK NAZIROV</t>
  </si>
  <si>
    <t>BEKZOD VALIYEV</t>
  </si>
  <si>
    <t>NOSIR NURITDINOV</t>
  </si>
  <si>
    <t>ILXOMJON USMONOV</t>
  </si>
  <si>
    <t>AZIZBEK SOLOHIDDINOV</t>
  </si>
  <si>
    <t>UMIDJON BAXRAMOV</t>
  </si>
  <si>
    <t>NODIRJON RAXIMJONOV</t>
  </si>
  <si>
    <t>XAFIZULLOXON QOSIMOV</t>
  </si>
  <si>
    <t>ANZOR YULDASHEV</t>
  </si>
  <si>
    <t>MURODXON ABDUHAMIDXONOV</t>
  </si>
  <si>
    <t>NOZIMJON TOXIRJANOV</t>
  </si>
  <si>
    <t>XUSANBOY ABDULLAYEV</t>
  </si>
  <si>
    <t>ABBOS TOSHMATOV</t>
  </si>
  <si>
    <t>DILSHODJON G‘ANIYEV</t>
  </si>
  <si>
    <t>AXMADJON ABDIQODIROV</t>
  </si>
  <si>
    <t>BOBUR TEMIROV</t>
  </si>
  <si>
    <t>SARDORBEK TURSUNBOYEV</t>
  </si>
  <si>
    <t>ASADTILLO IBROXIMOV</t>
  </si>
  <si>
    <t>ZAFARJON QURANOV</t>
  </si>
  <si>
    <t>SARDORBEK KAXRAMONOV</t>
  </si>
  <si>
    <t>IXTIYOR UBAYDULLAYEV</t>
  </si>
  <si>
    <t>SANJAR ERGASHEV</t>
  </si>
  <si>
    <t>SHOHRUH TURG‘UNOV</t>
  </si>
  <si>
    <t>ANVARJON SAYFITDINOV</t>
  </si>
  <si>
    <t>BAXTIYOR ABDULLAYEV</t>
  </si>
  <si>
    <t>TIMURMALIK OLIMJONOV</t>
  </si>
  <si>
    <t>MUZAFFARXON YUNUSXONOV</t>
  </si>
  <si>
    <t>OLIMJON UMAROV</t>
  </si>
  <si>
    <t>ALISHER AZIZOV</t>
  </si>
  <si>
    <t>MUHAMMADJON ABDUKADIROV</t>
  </si>
  <si>
    <t>RAHMONJON MARAJABOV</t>
  </si>
  <si>
    <t>ULUG‘BEK TURG‘UNBOYEV</t>
  </si>
  <si>
    <t>FURQATJON AXMADJONOV</t>
  </si>
  <si>
    <t>ULUG‘BEK YOQUBBEKOV</t>
  </si>
  <si>
    <t>BOBUR MAXMUDOV</t>
  </si>
  <si>
    <t>ORIFJON TURG‘UNBOYEV</t>
  </si>
  <si>
    <t>SHERZOD TURABOV</t>
  </si>
  <si>
    <t>BOBUR DJORABAYEV</t>
  </si>
  <si>
    <t>OXUNJON TURDALIYEV</t>
  </si>
  <si>
    <t>MURODJON ABDUJOBBOROV</t>
  </si>
  <si>
    <t>XAYRULLOXON QOSIMOV</t>
  </si>
  <si>
    <t>ABDUJABBOR ABDURAXMANOV</t>
  </si>
  <si>
    <t>JAVOHIR RAXMONBERDIYEV</t>
  </si>
  <si>
    <t>ELMUROD SHOBAROV</t>
  </si>
  <si>
    <t>BOBIR XOLMATOV</t>
  </si>
  <si>
    <t>ABRORBEK MAXAMADJONOV</t>
  </si>
  <si>
    <t>ZAFARJON ABDULLAYEV</t>
  </si>
  <si>
    <t>MARDON AKBAROV</t>
  </si>
  <si>
    <t>OLIMJON YOKUBJANOV</t>
  </si>
  <si>
    <t>AKRAMJON SHAXOBIDDINOV</t>
  </si>
  <si>
    <t>XUMOYUN MUBOROV</t>
  </si>
  <si>
    <t>AKRAMJON TURG‘UNOV</t>
  </si>
  <si>
    <t>JAXONGIR JANOBIDDINOV</t>
  </si>
  <si>
    <t>MADINAXON ABDUG‘AFFOROVA</t>
  </si>
  <si>
    <t>ABRORJON PAZLIDDINOV</t>
  </si>
  <si>
    <t>ISLOMJON MUTALIMOV</t>
  </si>
  <si>
    <t>BOBUR-MIRZO RAXMATOV</t>
  </si>
  <si>
    <t>MUXRIDDIN ERKINBOYEV</t>
  </si>
  <si>
    <t>SULAYMONXO‘JA SULAYMANOV</t>
  </si>
  <si>
    <t>AZAMATJON MAMASOLIYEV</t>
  </si>
  <si>
    <t>SHUXRATJON QAYUMOV</t>
  </si>
  <si>
    <t>VASILYA KARIMOVA</t>
  </si>
  <si>
    <t>ABRORJON XOLMUXAMEDOV</t>
  </si>
  <si>
    <t>AXRORBEK ISAQBAYEV</t>
  </si>
  <si>
    <t>JAVLONBEK AKBARALIYEV</t>
  </si>
  <si>
    <t>SOHIBJON XAMRAYEV</t>
  </si>
  <si>
    <t>UMIDJON JO‘RAYEV</t>
  </si>
  <si>
    <t>ALISHER RAZAQOV</t>
  </si>
  <si>
    <t>MUSOXON ABDURAXMONOV</t>
  </si>
  <si>
    <t>KAXRAMON ALIYEV</t>
  </si>
  <si>
    <t>ABDULAZIZ KURBANOV</t>
  </si>
  <si>
    <t>AZIZBEK USMANOV</t>
  </si>
  <si>
    <t>ASRORBEK ZAYNIDDINOV</t>
  </si>
  <si>
    <t>MA’MURJON HALIMJONOV</t>
  </si>
  <si>
    <t>JAVOXIR ODILOV</t>
  </si>
  <si>
    <t>HASANBOY YURSINALIYEV</t>
  </si>
  <si>
    <t>OLOVIDDIN YULDASHEV</t>
  </si>
  <si>
    <t>SHUXRATJON ABDUVOXIDOV</t>
  </si>
  <si>
    <t>BEHZOD SHAMSIDDINOV</t>
  </si>
  <si>
    <t>MURODBEK NEMATULLAYEV</t>
  </si>
  <si>
    <t>FARXODJON KOMILOV</t>
  </si>
  <si>
    <t>YUSUBJON MA’RUFJONOV</t>
  </si>
  <si>
    <t>PAID</t>
  </si>
  <si>
    <t>UMIDJON ORIFJONOV</t>
  </si>
  <si>
    <t>AKRAMJON XASANOV</t>
  </si>
  <si>
    <r>
      <t xml:space="preserve">Муддати бузилишга
</t>
    </r>
    <r>
      <rPr>
        <b/>
        <sz val="20"/>
        <color rgb="FFFF0000"/>
        <rFont val="Cambria"/>
        <family val="1"/>
        <charset val="204"/>
      </rPr>
      <t>1-кун</t>
    </r>
    <r>
      <rPr>
        <b/>
        <sz val="20"/>
        <rFont val="Cambria"/>
        <family val="1"/>
        <charset val="204"/>
      </rPr>
      <t xml:space="preserve"> </t>
    </r>
    <r>
      <rPr>
        <b/>
        <sz val="16"/>
        <rFont val="Cambria"/>
        <family val="1"/>
        <charset val="204"/>
      </rPr>
      <t>қолган</t>
    </r>
  </si>
  <si>
    <r>
      <t xml:space="preserve">Муддати бузилишга
</t>
    </r>
    <r>
      <rPr>
        <b/>
        <sz val="20"/>
        <color rgb="FFFF0000"/>
        <rFont val="Cambria"/>
        <family val="1"/>
        <charset val="204"/>
      </rPr>
      <t>2-кун</t>
    </r>
    <r>
      <rPr>
        <b/>
        <sz val="20"/>
        <rFont val="Cambria"/>
        <family val="1"/>
        <charset val="204"/>
      </rPr>
      <t xml:space="preserve"> </t>
    </r>
    <r>
      <rPr>
        <b/>
        <sz val="16"/>
        <rFont val="Cambria"/>
        <family val="1"/>
        <charset val="204"/>
      </rPr>
      <t>қолган</t>
    </r>
  </si>
  <si>
    <r>
      <t xml:space="preserve">Муддати бузилишга
</t>
    </r>
    <r>
      <rPr>
        <b/>
        <sz val="20"/>
        <color rgb="FFFF0000"/>
        <rFont val="Cambria"/>
        <family val="1"/>
        <charset val="204"/>
      </rPr>
      <t>3-кун</t>
    </r>
    <r>
      <rPr>
        <b/>
        <sz val="20"/>
        <rFont val="Cambria"/>
        <family val="1"/>
        <charset val="204"/>
      </rPr>
      <t xml:space="preserve"> </t>
    </r>
    <r>
      <rPr>
        <b/>
        <sz val="16"/>
        <rFont val="Cambria"/>
        <family val="1"/>
        <charset val="204"/>
      </rPr>
      <t>қолган</t>
    </r>
  </si>
  <si>
    <r>
      <t xml:space="preserve">Муддати бузилишга
</t>
    </r>
    <r>
      <rPr>
        <b/>
        <sz val="20"/>
        <color rgb="FFFF0000"/>
        <rFont val="Cambria"/>
        <family val="1"/>
        <charset val="204"/>
      </rPr>
      <t>4-кун</t>
    </r>
    <r>
      <rPr>
        <b/>
        <sz val="16"/>
        <rFont val="Cambria"/>
        <family val="1"/>
        <charset val="204"/>
      </rPr>
      <t xml:space="preserve"> қолган</t>
    </r>
  </si>
  <si>
    <r>
      <t xml:space="preserve">Муддати бузилишга
</t>
    </r>
    <r>
      <rPr>
        <b/>
        <sz val="20"/>
        <color rgb="FFFF0000"/>
        <rFont val="Cambria"/>
        <family val="1"/>
        <charset val="204"/>
      </rPr>
      <t xml:space="preserve">5-кун </t>
    </r>
    <r>
      <rPr>
        <b/>
        <sz val="16"/>
        <rFont val="Cambria"/>
        <family val="1"/>
        <charset val="204"/>
      </rPr>
      <t>қолган</t>
    </r>
  </si>
  <si>
    <r>
      <t xml:space="preserve">Муддати бузилишга
</t>
    </r>
    <r>
      <rPr>
        <b/>
        <sz val="20"/>
        <color rgb="FFFF0000"/>
        <rFont val="Cambria"/>
        <family val="1"/>
        <charset val="204"/>
      </rPr>
      <t xml:space="preserve">6-10-кун </t>
    </r>
    <r>
      <rPr>
        <b/>
        <sz val="16"/>
        <rFont val="Cambria"/>
        <family val="1"/>
        <charset val="204"/>
      </rPr>
      <t>қолган</t>
    </r>
  </si>
  <si>
    <t>UZKAD</t>
  </si>
  <si>
    <t>KARIMMULLO YUSUPOV</t>
  </si>
  <si>
    <t>ISLOMJON IBROHIMJONOV</t>
  </si>
  <si>
    <t>OTABEK YO‘LDOSHEV</t>
  </si>
  <si>
    <t>JAMSHID SULTANOV</t>
  </si>
  <si>
    <t>VASILA SOXIBOVA</t>
  </si>
  <si>
    <t>BUNYODBEK HAKIMJONOV</t>
  </si>
  <si>
    <t>BOBURMIRZO DAVLATALIYEV</t>
  </si>
  <si>
    <t>MADINA XAMIDOVA</t>
  </si>
  <si>
    <t>AHMADJON SODIQOV</t>
  </si>
  <si>
    <t>XUSANBOY IBROHIMOV</t>
  </si>
  <si>
    <t>NOSIR RAZZAQOV</t>
  </si>
  <si>
    <t>Kadastr raqami</t>
  </si>
  <si>
    <t>16:12</t>
  </si>
  <si>
    <t>16:11</t>
  </si>
  <si>
    <t>16:01</t>
  </si>
  <si>
    <t>16:09</t>
  </si>
  <si>
    <t>16:05</t>
  </si>
  <si>
    <t>16:07</t>
  </si>
  <si>
    <t>QOBILJON KARIMOV</t>
  </si>
  <si>
    <t>AXRORBEK ABDILXAYEV</t>
  </si>
  <si>
    <t>MUHAMMADKARIM XAMIDOV</t>
  </si>
  <si>
    <t>ABDULLO MURODULLAYEV</t>
  </si>
  <si>
    <t>AZIZBEK QURBONBOYEV</t>
  </si>
  <si>
    <t>NAMS48487602</t>
  </si>
  <si>
    <t>16:12:41:02:02:3476</t>
  </si>
  <si>
    <t>270176874</t>
  </si>
  <si>
    <t>2026.03.16 17:10</t>
  </si>
  <si>
    <t>XODJIYEV ISLOM SABITXANOVICH</t>
  </si>
  <si>
    <t>FAZLIDDIN RASULOV</t>
  </si>
  <si>
    <t>NODIRBEK MAHAMMADALIYEV</t>
  </si>
  <si>
    <t>ISOXON ABDUSAMATOV</t>
  </si>
  <si>
    <t>UMIDJON JABARALIYEV</t>
  </si>
  <si>
    <t>SHUXRAT DJURAYEV</t>
  </si>
  <si>
    <t>ISMAIL RAXMANOV</t>
  </si>
  <si>
    <t>AZIMJON MUMINOV</t>
  </si>
  <si>
    <t>AZAMATJON XUSANOV</t>
  </si>
  <si>
    <t>ABDULAZIZ AKBARJONOV</t>
  </si>
  <si>
    <t>G‘OLIBJON BUVAMIRZAYEV</t>
  </si>
  <si>
    <t>MAQSADBEK ABDURAYIMOV</t>
  </si>
  <si>
    <t>Tashqi o'lchovlar bo'yicha maydon</t>
  </si>
  <si>
    <t>ASADBEK TURSUNPO‘LATOV</t>
  </si>
  <si>
    <t>YaIDXP</t>
  </si>
  <si>
    <t/>
  </si>
  <si>
    <t>Аризани муддати кун</t>
  </si>
  <si>
    <t>ABDUSAMATOV JAMOL</t>
  </si>
  <si>
    <t>AKRAMOV ABDULAXAD</t>
  </si>
  <si>
    <t>ALIMOV AVAZXON</t>
  </si>
  <si>
    <t>IBROXIMOV ASADTILLO</t>
  </si>
  <si>
    <t>JANOBIDDINOV JAXONGIR</t>
  </si>
  <si>
    <t>NABIYEV ILXOM</t>
  </si>
  <si>
    <t>RASULOV SARDOR</t>
  </si>
  <si>
    <t>RAXMANOV ISMAIL</t>
  </si>
  <si>
    <t>RAXMATOV BOBUR-MIRZO</t>
  </si>
  <si>
    <t>RAXMONBERDIYEV JAVOHIR</t>
  </si>
  <si>
    <t>SODIQOV AHMADJON</t>
  </si>
  <si>
    <t>UMAROV OLIMJON</t>
  </si>
  <si>
    <t>YUSUPOV O‘LMASALI</t>
  </si>
  <si>
    <t>32407752170062</t>
  </si>
  <si>
    <t>33012942170121</t>
  </si>
  <si>
    <t>30202915960070</t>
  </si>
  <si>
    <t>51110025960044</t>
  </si>
  <si>
    <t>30108932170088</t>
  </si>
  <si>
    <t>30302852070015</t>
  </si>
  <si>
    <t>32602902170105</t>
  </si>
  <si>
    <t>31408622170123</t>
  </si>
  <si>
    <t>31309942170160</t>
  </si>
  <si>
    <t>52005045930030</t>
  </si>
  <si>
    <t>50511025950027</t>
  </si>
  <si>
    <t>30302965960014</t>
  </si>
  <si>
    <t>31007955980023</t>
  </si>
  <si>
    <t>Узкад</t>
  </si>
  <si>
    <t>Давреестр</t>
  </si>
  <si>
    <t>Названия строк</t>
  </si>
  <si>
    <t>ABDILXAYEV AXRORBEK AKRAM O‘G‘LI</t>
  </si>
  <si>
    <t>30402942170073</t>
  </si>
  <si>
    <t>Namangan shahar filiali</t>
  </si>
  <si>
    <t>Chortoq tumani</t>
  </si>
  <si>
    <t>ABDUHAMIDXONOV MURODXON YOQUBXON O‘G‘LI</t>
  </si>
  <si>
    <t>50709025980034</t>
  </si>
  <si>
    <t>Kosonsoy tumani filiali</t>
  </si>
  <si>
    <t>30610995890040</t>
  </si>
  <si>
    <t>ABDULLAJANOV AZIZBEK ISROILJON O‘G‘LI</t>
  </si>
  <si>
    <t>30510945890013</t>
  </si>
  <si>
    <t>Chortoq tumani filiali</t>
  </si>
  <si>
    <t>ABDULLAYEV BAXTIYOR XASANBOYEVICH</t>
  </si>
  <si>
    <t>31112742180075</t>
  </si>
  <si>
    <t>Yangi Namangan tumani filiali</t>
  </si>
  <si>
    <t>MAQSADJON DAVLATOV</t>
  </si>
  <si>
    <t>30104995890026</t>
  </si>
  <si>
    <t>ABDURAXMONOV MUSOXON MUXAMMAD O‘G‘LI</t>
  </si>
  <si>
    <t>52407055960122</t>
  </si>
  <si>
    <t>32904975890057</t>
  </si>
  <si>
    <t>ABDUSAMATOV JAMOL XAMIDXANOVICH</t>
  </si>
  <si>
    <t>Davlatobod tumani filiali</t>
  </si>
  <si>
    <t>30608892100030</t>
  </si>
  <si>
    <t>ADXAMJONOV ANVARJON ADXAMJON O‘G‘LI</t>
  </si>
  <si>
    <t>30510922140032</t>
  </si>
  <si>
    <t>Uychi tumani filiali</t>
  </si>
  <si>
    <t>30308922100022</t>
  </si>
  <si>
    <t>AHADXONOV HUSANXON AKRAMXON O‘G‘LI</t>
  </si>
  <si>
    <t>31611995980026</t>
  </si>
  <si>
    <t>32906975890046</t>
  </si>
  <si>
    <t>AKBARJONOV ABDULAZIZ BOXODIR</t>
  </si>
  <si>
    <t>52601025870013</t>
  </si>
  <si>
    <t>31904922100113</t>
  </si>
  <si>
    <t>AKBAROV MARDON MUXTORJONOVICH</t>
  </si>
  <si>
    <t>31509882180058</t>
  </si>
  <si>
    <t>Chust tumani filiali</t>
  </si>
  <si>
    <t>50205015890036</t>
  </si>
  <si>
    <t>AKRAMOV ABDULAXAD XAKIM O‘G‘LI</t>
  </si>
  <si>
    <t>Chust tumani</t>
  </si>
  <si>
    <t>ALIMBEKOV DONIYORBEK RAXMONJON</t>
  </si>
  <si>
    <t>51705025890024</t>
  </si>
  <si>
    <t>30901882180031</t>
  </si>
  <si>
    <t>ALIMOV AVAZXON AYUB O‘G‘LI</t>
  </si>
  <si>
    <t>30202885970013</t>
  </si>
  <si>
    <t>ASHRABOV NIZOMJON NO‘’MONJON</t>
  </si>
  <si>
    <t>32910975980025</t>
  </si>
  <si>
    <t>32006862180015</t>
  </si>
  <si>
    <t>ATAXANOV ISLOMBEK MUSLIMBEK O‘G‘LI</t>
  </si>
  <si>
    <t>51503005950056</t>
  </si>
  <si>
    <t>50309005970046</t>
  </si>
  <si>
    <t>AXMEDOV SODIRJON SIDIQJONOVICH</t>
  </si>
  <si>
    <t>33107902120019</t>
  </si>
  <si>
    <t>Pop tumani filiali</t>
  </si>
  <si>
    <t>31910975970049</t>
  </si>
  <si>
    <t>AZIZOV ALISHER TOLIBJONOVICH</t>
  </si>
  <si>
    <t>33110905910015</t>
  </si>
  <si>
    <t>32003822180063</t>
  </si>
  <si>
    <t>AZIZOV XOSHIMJON SHAROFIDDINOVICH</t>
  </si>
  <si>
    <t>32211772130034</t>
  </si>
  <si>
    <t>To'raqo'rg'on tumani filiali</t>
  </si>
  <si>
    <t>32511965970037</t>
  </si>
  <si>
    <t>BOQIJONOV FARRUXJON YUNUSXON O‘G‘LI</t>
  </si>
  <si>
    <t>30309975930028</t>
  </si>
  <si>
    <t>52508015970048</t>
  </si>
  <si>
    <t>DADAXANOVA SAIDAXON ABDULVAXABOVNA</t>
  </si>
  <si>
    <t>42005872150022</t>
  </si>
  <si>
    <t>Uchqo'rg'on tumani filiali</t>
  </si>
  <si>
    <t>DAVLATSHEROV DIYORBEK DARXONSHER</t>
  </si>
  <si>
    <t>51604025990014</t>
  </si>
  <si>
    <t>Mingbuloq tumani filiali</t>
  </si>
  <si>
    <t>33112995970023</t>
  </si>
  <si>
    <t>DJURAYEV SHUXRAT YULDASHBAYEVICH</t>
  </si>
  <si>
    <t>32503832170037</t>
  </si>
  <si>
    <t>51009035910014</t>
  </si>
  <si>
    <t>ERGASHEV ABBOS XAYDARJONOVICH</t>
  </si>
  <si>
    <t>30409785970022</t>
  </si>
  <si>
    <t>ERGASHEV SANJAR XOSHIMJONOVICH</t>
  </si>
  <si>
    <t>31111862150069</t>
  </si>
  <si>
    <t>52801005970043</t>
  </si>
  <si>
    <t>G‘ANIYEV DILSHODJON MANSURJON O‘G‘LI</t>
  </si>
  <si>
    <t>SHOHRUX TO‘YCHIYEV</t>
  </si>
  <si>
    <t>50905015970078</t>
  </si>
  <si>
    <t>G‘OFIRJONOV QOBILJON QODIRJONOVICH</t>
  </si>
  <si>
    <t>31608922180118</t>
  </si>
  <si>
    <t>IBROXIMOV ASADTILLO NE’MATXON</t>
  </si>
  <si>
    <t>31312912180061</t>
  </si>
  <si>
    <t>ILXOMOV ISLOM ILXOM O‘G‘LI</t>
  </si>
  <si>
    <t>30605910241443</t>
  </si>
  <si>
    <t>Kosonsoy tumani</t>
  </si>
  <si>
    <t>JANOBIDDINOV JAXONGIR SOBITXON O‘G‘LI</t>
  </si>
  <si>
    <t>30703792190108</t>
  </si>
  <si>
    <t>KARIMOV XURSHIDBEK XAMIDILLA O‘G‘LI</t>
  </si>
  <si>
    <t>30906922130016</t>
  </si>
  <si>
    <t>KOMILOV FARXODJON OLIMJONOVICH</t>
  </si>
  <si>
    <t>31710772120029</t>
  </si>
  <si>
    <t>30205975980020</t>
  </si>
  <si>
    <t>MADALIYEVA ONORXON ABDULAJONOVNA</t>
  </si>
  <si>
    <t>40306812090034</t>
  </si>
  <si>
    <t>Namangan tumani filiali</t>
  </si>
  <si>
    <t>31204985980041</t>
  </si>
  <si>
    <t>MAJITOV KOMIL JAMILOVICH</t>
  </si>
  <si>
    <t>31608732170178</t>
  </si>
  <si>
    <t>30507932190090</t>
  </si>
  <si>
    <t>MAMADALIYEV XALILILLO MAXMUDJONOVICH</t>
  </si>
  <si>
    <t>30910905990010</t>
  </si>
  <si>
    <t>MAMAJONOV SHERZOD XAKIMJONOVICH</t>
  </si>
  <si>
    <t>33103892160125</t>
  </si>
  <si>
    <t>Yangiqo'rg'on tumani filiali</t>
  </si>
  <si>
    <t>32503912190045</t>
  </si>
  <si>
    <t>MAXMUDJONOV MUXIDDIN ORIBJON O‘G‘LI</t>
  </si>
  <si>
    <t>31205995920018</t>
  </si>
  <si>
    <t>MULLAJONOV SHAVKATJON MUHIDDIN O‘G‘LI</t>
  </si>
  <si>
    <t>31407932190092</t>
  </si>
  <si>
    <t>OTABEK ABDURAXMONOV</t>
  </si>
  <si>
    <t>NABIYEV ILXOM IBRAGIMDJANOVICH</t>
  </si>
  <si>
    <t>52812015980061</t>
  </si>
  <si>
    <t>NAZIROV JAVLONBEK ULUG‘BEK</t>
  </si>
  <si>
    <t>31609965940024</t>
  </si>
  <si>
    <t>31810912190036</t>
  </si>
  <si>
    <t>OLIMJONOV TIMURMALIK TOLIBJON O‘G‘LI</t>
  </si>
  <si>
    <t>51910015960115</t>
  </si>
  <si>
    <t>ORIFJONOV UMIDJON RAVSHANBEK</t>
  </si>
  <si>
    <t>30411985980017</t>
  </si>
  <si>
    <t>QODIROV JAXONGIR DAVRON</t>
  </si>
  <si>
    <t>52503015960039</t>
  </si>
  <si>
    <t>Mingbuloq tumani</t>
  </si>
  <si>
    <t>RASULOV SARDOR SAYDAMIN O‘G‘LI</t>
  </si>
  <si>
    <t>30703975990033</t>
  </si>
  <si>
    <t>RAXIMJONOV NODIRJON NABIJON O‘G‘LI</t>
  </si>
  <si>
    <t>50608025910024</t>
  </si>
  <si>
    <t>RAXIMOV ABDULXAKIM JAMOLDIN O‘G‘LI</t>
  </si>
  <si>
    <t>32607902090019</t>
  </si>
  <si>
    <t>30109882130063</t>
  </si>
  <si>
    <t>RAXMATOV BOBUR-MIRZO TOXIR O‘G‘LI</t>
  </si>
  <si>
    <t>53110035990017</t>
  </si>
  <si>
    <t>RAXMONBERDIYEV JAVOHIR HASAN O‘G‘LI</t>
  </si>
  <si>
    <t>31802912200033</t>
  </si>
  <si>
    <t>RAXMONBERDIYEVA MUYASSARXON ALISHEROVNA</t>
  </si>
  <si>
    <t>40601902150077</t>
  </si>
  <si>
    <t>Norin tumani filiali</t>
  </si>
  <si>
    <t>SAYFITDINOV ANVARJON XATAMBOYEVICH</t>
  </si>
  <si>
    <t>32609882110022</t>
  </si>
  <si>
    <t>52912005920018</t>
  </si>
  <si>
    <t>SHARIPOV MUXAMMADJON KADIR O‘G‘LI</t>
  </si>
  <si>
    <t>32207925880019</t>
  </si>
  <si>
    <t>31710662200035</t>
  </si>
  <si>
    <t>SOATALIYEV BAHROMJON BOTIRJONOVICH</t>
  </si>
  <si>
    <t>31309932190035</t>
  </si>
  <si>
    <t>31005942200035</t>
  </si>
  <si>
    <t>TADJIDDINOV SHARIP AKPARJANOVICH</t>
  </si>
  <si>
    <t>31601642170089</t>
  </si>
  <si>
    <t>TILLAYEV ZUXRIDDIN XUSNIDDIN O‘G‘LI</t>
  </si>
  <si>
    <t>31102965920024</t>
  </si>
  <si>
    <t>TOIRXANOV ULUG‘BEK BAXODIR O‘G‘LI</t>
  </si>
  <si>
    <t>52410005950025</t>
  </si>
  <si>
    <t>TOJIMIRZAYEV OBIDXON ABDUBOSIT O‘G‘LI</t>
  </si>
  <si>
    <t>30507995950053</t>
  </si>
  <si>
    <t>Namangan shahri</t>
  </si>
  <si>
    <t>TOSHMATOV ABBOS ASQARALIYEVICH</t>
  </si>
  <si>
    <t>TOXIRJANOV NOZIMJON DILMUROD O‘G‘LI</t>
  </si>
  <si>
    <t>32712965950014</t>
  </si>
  <si>
    <t>TURDALIYEV OXUNJON XAYDARALI</t>
  </si>
  <si>
    <t>TURG‘UNBOYEV ULUG‘BEK ILXOMJONOVICH</t>
  </si>
  <si>
    <t>32105902160025</t>
  </si>
  <si>
    <t>TURG‘UNOV SHOHRUH VALIJON O‘G‘LI</t>
  </si>
  <si>
    <t>31101985930022</t>
  </si>
  <si>
    <t>51406015960142</t>
  </si>
  <si>
    <t>TURSUNBOYEV NODIRBEK XUSANBOY O‘G‘LI</t>
  </si>
  <si>
    <t>52009035950022</t>
  </si>
  <si>
    <t>52710005960025</t>
  </si>
  <si>
    <t>UMAROV ABDUXAKIMJON SAMADOVICH</t>
  </si>
  <si>
    <t>UMAROV ASRORXON MAXMUD O‘G‘LI</t>
  </si>
  <si>
    <t>UMAROV JAMSHIDXON NOSIRXONOVICH</t>
  </si>
  <si>
    <t>53008015960094</t>
  </si>
  <si>
    <t>UMAROV OLIMJON ODIL O‘G‘LI</t>
  </si>
  <si>
    <t>52107015960107</t>
  </si>
  <si>
    <t>USMONOV ILXOMJON IBROXIMJON O‘G‘LI</t>
  </si>
  <si>
    <t>31609912130025</t>
  </si>
  <si>
    <t>30710995970093</t>
  </si>
  <si>
    <t>VALIJONOV ALISHERJON VALIJON O‘G‘LI</t>
  </si>
  <si>
    <t>51605005910024</t>
  </si>
  <si>
    <t>XABIBULLAYEV SARDOR QODIRALI O‘G‘LI</t>
  </si>
  <si>
    <t>XAMRAQULOV RUSTAMBEK ABDUJABBOROVICH</t>
  </si>
  <si>
    <t>31501762160017</t>
  </si>
  <si>
    <t>30304915960053</t>
  </si>
  <si>
    <t>YO‘LDOSHEV OTABEK ASQARALI</t>
  </si>
  <si>
    <t>51911035960011</t>
  </si>
  <si>
    <t>50308015960081</t>
  </si>
  <si>
    <t>YOKUBJANOV OLIMJON ODIL O‘G‘LI</t>
  </si>
  <si>
    <t>30302942170072</t>
  </si>
  <si>
    <t>YULDASHEV ANZOR AXMADJONOVICH</t>
  </si>
  <si>
    <t>31503892210028</t>
  </si>
  <si>
    <t>30809892160183</t>
  </si>
  <si>
    <t>YULDASHEV YASHNARJON IBROXIMJONOVICH</t>
  </si>
  <si>
    <t>32307772120077</t>
  </si>
  <si>
    <t>YUSUPOV O‘LMASALI QUDRATILLA O‘G‘LI</t>
  </si>
  <si>
    <t>ZAYNIDDINOV ASRORBEK XUSNIDDIN O‘G‘LI</t>
  </si>
  <si>
    <t>ZIYAVIDDINOV JAMOLXON YOQUBJONOVICH</t>
  </si>
  <si>
    <t>31312985950011</t>
  </si>
  <si>
    <t>32211885960016</t>
  </si>
  <si>
    <t>41006772170195</t>
  </si>
  <si>
    <t>Namangan tumani</t>
  </si>
  <si>
    <t>DONIYORBEK DADAXANOV</t>
  </si>
  <si>
    <t>31801965880036</t>
  </si>
  <si>
    <t>50706025880010</t>
  </si>
  <si>
    <t>31702942090041</t>
  </si>
  <si>
    <t>31303965880044</t>
  </si>
  <si>
    <t>31205812090050</t>
  </si>
  <si>
    <t>51605015880043</t>
  </si>
  <si>
    <t>32204892090133</t>
  </si>
  <si>
    <t>52012025880014</t>
  </si>
  <si>
    <t>30107862090057</t>
  </si>
  <si>
    <t>32610955880027</t>
  </si>
  <si>
    <t>Norin tumani</t>
  </si>
  <si>
    <t>51304005900090</t>
  </si>
  <si>
    <t>31609962110019</t>
  </si>
  <si>
    <t>30902932150046</t>
  </si>
  <si>
    <t>GULMIRA AZIMOVA</t>
  </si>
  <si>
    <t>42911862110021</t>
  </si>
  <si>
    <t>40906905900015</t>
  </si>
  <si>
    <t>30110922110044</t>
  </si>
  <si>
    <t>30308662110024</t>
  </si>
  <si>
    <t>32907985900051</t>
  </si>
  <si>
    <t>31709822110011</t>
  </si>
  <si>
    <t>51810035900046</t>
  </si>
  <si>
    <t>32103985900068</t>
  </si>
  <si>
    <t>XURSHIDBEK QODIROV</t>
  </si>
  <si>
    <t>32109995900025</t>
  </si>
  <si>
    <t>Pop tumani</t>
  </si>
  <si>
    <t>30809922120031</t>
  </si>
  <si>
    <t>30304872210053</t>
  </si>
  <si>
    <t>50902005910032</t>
  </si>
  <si>
    <t>30201912120065</t>
  </si>
  <si>
    <t>32901912210017</t>
  </si>
  <si>
    <t>30201995910023</t>
  </si>
  <si>
    <t>31707832120033</t>
  </si>
  <si>
    <t>31103842180041</t>
  </si>
  <si>
    <t>32209966000029</t>
  </si>
  <si>
    <t>42003875910018</t>
  </si>
  <si>
    <t>30609882120085</t>
  </si>
  <si>
    <t>30808922120014</t>
  </si>
  <si>
    <t>30901742120047</t>
  </si>
  <si>
    <t>30608945910016</t>
  </si>
  <si>
    <t>To‘raqo‘rg‘on tumani</t>
  </si>
  <si>
    <t>30708792130017</t>
  </si>
  <si>
    <t>31704782130035</t>
  </si>
  <si>
    <t>32801762130050</t>
  </si>
  <si>
    <t>52603025920015</t>
  </si>
  <si>
    <t>31701915920077</t>
  </si>
  <si>
    <t>31110892130070</t>
  </si>
  <si>
    <t>31306842130078</t>
  </si>
  <si>
    <t>JAMSHIDBEK ERGASHALIYEV</t>
  </si>
  <si>
    <t>51205015920024</t>
  </si>
  <si>
    <t>30702995920011</t>
  </si>
  <si>
    <t>51305035920029</t>
  </si>
  <si>
    <t>NILUFAR ALIXONOVA</t>
  </si>
  <si>
    <t>41412942180060</t>
  </si>
  <si>
    <t>50908015920034</t>
  </si>
  <si>
    <t>30612832130021</t>
  </si>
  <si>
    <t>40302922130046</t>
  </si>
  <si>
    <t>ZIYOVIDDIN XAYDAROV</t>
  </si>
  <si>
    <t>31006975920039</t>
  </si>
  <si>
    <t>Uchqo'rg'on tumani</t>
  </si>
  <si>
    <t>31206892150069</t>
  </si>
  <si>
    <t>32911835940021</t>
  </si>
  <si>
    <t>31402915940019</t>
  </si>
  <si>
    <t>32805962150027</t>
  </si>
  <si>
    <t>40906955940018</t>
  </si>
  <si>
    <t>30307955940049</t>
  </si>
  <si>
    <t>52405005940019</t>
  </si>
  <si>
    <t>51107025940051</t>
  </si>
  <si>
    <t>Uychi tumani</t>
  </si>
  <si>
    <t>31004952140036</t>
  </si>
  <si>
    <t>51501005930032</t>
  </si>
  <si>
    <t>32002975930037</t>
  </si>
  <si>
    <t>31810995930075</t>
  </si>
  <si>
    <t>31310995930032</t>
  </si>
  <si>
    <t>32906985930035</t>
  </si>
  <si>
    <t>52009025890053</t>
  </si>
  <si>
    <t>31007985930029</t>
  </si>
  <si>
    <t>52811025930077</t>
  </si>
  <si>
    <t>31703985930055</t>
  </si>
  <si>
    <t>31007942140083</t>
  </si>
  <si>
    <t>53007005930024</t>
  </si>
  <si>
    <t>53108025930053</t>
  </si>
  <si>
    <t>Yangiqo‘rg‘on tumani</t>
  </si>
  <si>
    <t>30502995950058</t>
  </si>
  <si>
    <t>52010015950028</t>
  </si>
  <si>
    <t>52802005950028</t>
  </si>
  <si>
    <t>BAXODIR NIYAZOV</t>
  </si>
  <si>
    <t>32107862160091</t>
  </si>
  <si>
    <t>31005985950058</t>
  </si>
  <si>
    <t>30602822170087</t>
  </si>
  <si>
    <t>30903902160122</t>
  </si>
  <si>
    <t>30107965950010</t>
  </si>
  <si>
    <t>50110025950020</t>
  </si>
  <si>
    <t>32806922160043</t>
  </si>
  <si>
    <t>50710015950029</t>
  </si>
  <si>
    <t>30101922100050</t>
  </si>
  <si>
    <t>31108942160081</t>
  </si>
  <si>
    <t>30809995950021</t>
  </si>
  <si>
    <t>ABDUHAMIDXONOV MURODXON</t>
  </si>
  <si>
    <t>ABDURAXMONOV OTABEK</t>
  </si>
  <si>
    <t>AHADXONOV HUSANXON</t>
  </si>
  <si>
    <t>ASHRABOV NIZOMJON</t>
  </si>
  <si>
    <t>BUVAXONOV RASHIDXON</t>
  </si>
  <si>
    <t>IBROHIMJONOV ISLOMJON</t>
  </si>
  <si>
    <t>MARAJABOV RAHMONJON</t>
  </si>
  <si>
    <t>MULLAJONOV SHAVKATJON</t>
  </si>
  <si>
    <t>MURODILLAYEV MUHAMMADABDULLO</t>
  </si>
  <si>
    <t>MUYDINOV MUZAFFAR</t>
  </si>
  <si>
    <t>ORIFJONOV UMIDJON</t>
  </si>
  <si>
    <t>PATILLAYEV ISMOILXON</t>
  </si>
  <si>
    <t>UMAROV ABDUXAKIMJON</t>
  </si>
  <si>
    <t>ABDIQODIROV AXMADJON</t>
  </si>
  <si>
    <t>DAVLATSHEROV DIYORBEK</t>
  </si>
  <si>
    <t>ERKINBOYEV MUXRIDDIN</t>
  </si>
  <si>
    <t>KARIMOV XURSHIDBEK</t>
  </si>
  <si>
    <t>KULDASHEV ODILJON</t>
  </si>
  <si>
    <t>MAMADALIYEV XALILILLO</t>
  </si>
  <si>
    <t>MAXMUDJONOV MUXIDDIN</t>
  </si>
  <si>
    <t>QOSIMOV XAYRULLOXON</t>
  </si>
  <si>
    <t>RISQULOV KAMOLIDDIN</t>
  </si>
  <si>
    <t>SULTANOV JAMSHID</t>
  </si>
  <si>
    <t>XABIBULLAYEV SARDOR</t>
  </si>
  <si>
    <t>ZIYAVIDDINOV JAMOLXON</t>
  </si>
  <si>
    <t>ABDUG‘ANIYEV ISLOMJON</t>
  </si>
  <si>
    <t>ABDULLAYEV XUSANBOY</t>
  </si>
  <si>
    <t>ALIYEV KAXRAMON</t>
  </si>
  <si>
    <t>JO‘RAYEV UMIDJON</t>
  </si>
  <si>
    <t>KUVANOV SHOIRBEK</t>
  </si>
  <si>
    <t>MADALIYEVA ONORXON</t>
  </si>
  <si>
    <t>RASULOV FAZLIDDIN</t>
  </si>
  <si>
    <t>RAXIMOV ABDULXAKIM</t>
  </si>
  <si>
    <t>RAXMONBERDIYEV SIROJIDDIN</t>
  </si>
  <si>
    <t>XASANBAYEV IBODULLA</t>
  </si>
  <si>
    <t>ABDILXAYEV AXRORBEK</t>
  </si>
  <si>
    <t>ABDURAXMONOV MUSOXON</t>
  </si>
  <si>
    <t>AKBARJONOV ABDULAZIZ</t>
  </si>
  <si>
    <t>ALIMBEKOV DONIYORBEK</t>
  </si>
  <si>
    <t>DAVLATALIYEV BOBURMIRZO</t>
  </si>
  <si>
    <t>DJORABAYEV BOBUR</t>
  </si>
  <si>
    <t>DJURAYEV SHUXRAT</t>
  </si>
  <si>
    <t>ILXOMOV ISLOM</t>
  </si>
  <si>
    <t>MUMINOV AZIMJON</t>
  </si>
  <si>
    <t>OLIMJONOV TIMURMALIK</t>
  </si>
  <si>
    <t>QODIROV JAXONGIR</t>
  </si>
  <si>
    <t>SHARIPOV MUXAMMADJON</t>
  </si>
  <si>
    <t>SOATALIYEV BAHROMJON</t>
  </si>
  <si>
    <t>TADJIDDINOV SHARIP</t>
  </si>
  <si>
    <t>TOJIMIRZAYEV OBIDXON</t>
  </si>
  <si>
    <t>TURSUNBOYEV NODIRBEK</t>
  </si>
  <si>
    <t>UMAROV ASRORXON</t>
  </si>
  <si>
    <t>USMANOV AZIZBEK</t>
  </si>
  <si>
    <t>YO‘LDOSHEV OTABEK</t>
  </si>
  <si>
    <t>ZAYNIDDINOV ASRORBEK</t>
  </si>
  <si>
    <t>ABDULLAYEV BAXTIYOR</t>
  </si>
  <si>
    <t>ATAXANOV ISLOMBEK</t>
  </si>
  <si>
    <t>KARIMOVA VASILYA</t>
  </si>
  <si>
    <t>MAJITOV KOMIL</t>
  </si>
  <si>
    <t>NURITDINOV NOSIR</t>
  </si>
  <si>
    <t>NURMATOV DILMUROD</t>
  </si>
  <si>
    <t>TAVAKKALOV AZIZJON</t>
  </si>
  <si>
    <t>TOXIRJANOV NOZIMJON</t>
  </si>
  <si>
    <t>YOKUBJANOV OLIMJON</t>
  </si>
  <si>
    <t>YUNUSXONOV MUZAFFARXON</t>
  </si>
  <si>
    <t>ABDUVOXIDOV SHUXRATJON</t>
  </si>
  <si>
    <t>AZIMOVA GULMIRA</t>
  </si>
  <si>
    <t>JABARALIYEV UMIDJON</t>
  </si>
  <si>
    <t>MAMASOLIYEV AZAMATJON</t>
  </si>
  <si>
    <t>MAXMUDOV POZILJON</t>
  </si>
  <si>
    <t>MUBOROV XUMOYUN</t>
  </si>
  <si>
    <t>NORMATALIYEV BOBURBEK</t>
  </si>
  <si>
    <t>QODIROV XURSHIDBEK</t>
  </si>
  <si>
    <t>RAXMONBERDIYEVA MUYASSARXON</t>
  </si>
  <si>
    <t>SAYFITDINOV ANVARJON</t>
  </si>
  <si>
    <t>SHAMSIDDINOV BEHZOD</t>
  </si>
  <si>
    <t>SOBIROV MAXAMMADISMOIL</t>
  </si>
  <si>
    <t>TURSUNBOYEV SARDORBEK</t>
  </si>
  <si>
    <t>XAMIDOVA MADINA</t>
  </si>
  <si>
    <t>ABDULLAYEV ZAFARJON</t>
  </si>
  <si>
    <t>AXMEDOV SODIRJON</t>
  </si>
  <si>
    <t>AZIZOV ALISHER</t>
  </si>
  <si>
    <t>BAXRAMOV UMIDJON</t>
  </si>
  <si>
    <t>ERKAYEV ISLOMJON</t>
  </si>
  <si>
    <t>KOMILOV FARXODJON</t>
  </si>
  <si>
    <t>MAMATOV ATXAM</t>
  </si>
  <si>
    <t>QAYUMOV SHUXRATJON</t>
  </si>
  <si>
    <t>QURANOV ZAFARJON</t>
  </si>
  <si>
    <t>RAXIMJONOV NODIRJON</t>
  </si>
  <si>
    <t>SOBIRJONOV IBROXIMJON</t>
  </si>
  <si>
    <t>SOXIBOVA VASILA</t>
  </si>
  <si>
    <t>TURABOV SHERZOD</t>
  </si>
  <si>
    <t>UMARJONOV XURSHID</t>
  </si>
  <si>
    <t>VALIJONOV ALISHERJON</t>
  </si>
  <si>
    <t>VALIYEV BEKZOD</t>
  </si>
  <si>
    <t>XOLMUXAMEDOV ABRORJON</t>
  </si>
  <si>
    <t>XUDAYBERGANOV VOXIDJON</t>
  </si>
  <si>
    <t>YULDASHEV ANZOR</t>
  </si>
  <si>
    <t>YULDASHEV OLOVIDDIN</t>
  </si>
  <si>
    <t>YULDASHEV YASHNARJON</t>
  </si>
  <si>
    <t>ABDUJOBBOROV MURODJON</t>
  </si>
  <si>
    <t>AKBARALIYEV JAVLONBEK</t>
  </si>
  <si>
    <t>ALIXONOVA NILUFAR</t>
  </si>
  <si>
    <t>ASHUROV ANVAR</t>
  </si>
  <si>
    <t>AZIZOV XOSHIMJON</t>
  </si>
  <si>
    <t>BOBANAZAROV ABDURAXMON</t>
  </si>
  <si>
    <t>BOBOXONOV JAMOLXON</t>
  </si>
  <si>
    <t>ERGASHALIYEV JAMSHIDBEK</t>
  </si>
  <si>
    <t>HAKIMJONOV BUNYODBEK</t>
  </si>
  <si>
    <t>IBROHIMOV SHUHRATJON</t>
  </si>
  <si>
    <t>KAMOLOVA ZAXROXON</t>
  </si>
  <si>
    <t>MUTALIMOV ISLOMJON</t>
  </si>
  <si>
    <t>RAZAQOV ALISHER</t>
  </si>
  <si>
    <t>UBAYDULLAYEV IXTIYOR</t>
  </si>
  <si>
    <t>USMONOV ILXOMJON</t>
  </si>
  <si>
    <t>XAMRAYEV SOHIBJON</t>
  </si>
  <si>
    <t>XAYDAROV ZIYOVIDDIN</t>
  </si>
  <si>
    <t>ABDURAYIMOV MAQSADBEK</t>
  </si>
  <si>
    <t>ABDUSAMATOV ISOXON</t>
  </si>
  <si>
    <t>ADXAMJONOV ANVARJON</t>
  </si>
  <si>
    <t>BOQIJONOV FARRUXJON</t>
  </si>
  <si>
    <t>IBROHIMOV XUSANBOY</t>
  </si>
  <si>
    <t>ISMOILJONOV IBROHIMJON</t>
  </si>
  <si>
    <t>MA’RUFJONOV YUSUBJON</t>
  </si>
  <si>
    <t>NEMATULLAYEV MURODBEK</t>
  </si>
  <si>
    <t>PAZLIDDINOV ABRORJON</t>
  </si>
  <si>
    <t>RAXMATULLAYEV RAXIMJON</t>
  </si>
  <si>
    <t>SHAXOBIDDINOV AKRAMJON</t>
  </si>
  <si>
    <t>TURG‘UNOV SHOHRUH</t>
  </si>
  <si>
    <t>XAMIDOV MUHAMMADKARIM</t>
  </si>
  <si>
    <t>XAMIDULLAYEV MUSLIMBEK</t>
  </si>
  <si>
    <t>XOSHIMJONOV JAVLONBEK</t>
  </si>
  <si>
    <t>YUSUBJONOV ISLOMJON</t>
  </si>
  <si>
    <t>ABDURAXMANOV ABDUJABBOR</t>
  </si>
  <si>
    <t>ABDUG‘AFFOROVA MADINAXON</t>
  </si>
  <si>
    <t>ABDUKADIROV MUHAMMADJON</t>
  </si>
  <si>
    <t>ABDULLAYEV OTABEK</t>
  </si>
  <si>
    <t>DADAXANOVA SAIDAXON</t>
  </si>
  <si>
    <t>ERGASHEV SANJAR</t>
  </si>
  <si>
    <t>KAXRAMONOV SARDORBEK</t>
  </si>
  <si>
    <t>NAZIROV JAVLONBEK</t>
  </si>
  <si>
    <t>TEMIROV BOBUR</t>
  </si>
  <si>
    <t>XASANOV AKRAMJON</t>
  </si>
  <si>
    <t>XOLMATOV BOBIR</t>
  </si>
  <si>
    <t>YUSUPOV KARIMMULLO</t>
  </si>
  <si>
    <t>ABDULLAJANOV AZIZBEK</t>
  </si>
  <si>
    <t>DAVLATOV MAQSADJON</t>
  </si>
  <si>
    <t>MAXAMADJONOV ABRORBEK</t>
  </si>
  <si>
    <t>SULAYMANOV SULAYMONXO‘JA</t>
  </si>
  <si>
    <t>TO‘LANOV OTABEK</t>
  </si>
  <si>
    <t>TO‘LANOV OYBEK</t>
  </si>
  <si>
    <t>TURSUNOV MUZAFAR</t>
  </si>
  <si>
    <t>YO‘LDOSHALIYEV XUSNIDIN</t>
  </si>
  <si>
    <t>YOQUBBEKOV ULUG‘BEK</t>
  </si>
  <si>
    <t>AKBAROV MARDON</t>
  </si>
  <si>
    <t>ERGASHEV ABBOS</t>
  </si>
  <si>
    <t>G‘ANIYEV DILSHODJON</t>
  </si>
  <si>
    <t>G‘OFIRJONOV QOBILJON</t>
  </si>
  <si>
    <t>HALIMJONOV MA’MURJON</t>
  </si>
  <si>
    <t>KARIMOV QOBILJON</t>
  </si>
  <si>
    <t>KURBANOV ABDULAZIZ</t>
  </si>
  <si>
    <t>ODILOV JAVOXIR</t>
  </si>
  <si>
    <t>QOSIMOV XAFIZULLOXON</t>
  </si>
  <si>
    <t>TILLAYEV ZUXRIDDIN</t>
  </si>
  <si>
    <t>TO‘YCHIYEV SHOHRUX</t>
  </si>
  <si>
    <t>TOSHMATOV ABBOS</t>
  </si>
  <si>
    <t>TURDALIYEV OXUNJON</t>
  </si>
  <si>
    <t>UMAROV JAMSHIDXON</t>
  </si>
  <si>
    <t>YURSINALIYEV HASANBOY</t>
  </si>
  <si>
    <t>YUSUBJONOV NODIRBEK</t>
  </si>
  <si>
    <t>ANVARJONOV KOMILJON</t>
  </si>
  <si>
    <t>AXMADOV XOJIMUROD</t>
  </si>
  <si>
    <t>ISAQBAYEV AXRORBEK</t>
  </si>
  <si>
    <t>ISAQOV ZOIRJON</t>
  </si>
  <si>
    <t>MAMAJONOV SHERZOD</t>
  </si>
  <si>
    <t>MAXMUDOV BOBUR</t>
  </si>
  <si>
    <t>MO‘YDINOV KOMOLDIN</t>
  </si>
  <si>
    <t>MUKARRAMOV MUXAMMADYUSUF</t>
  </si>
  <si>
    <t>NE’MATULLAYEV MURODJON</t>
  </si>
  <si>
    <t>NIYAZOV BAXODIR</t>
  </si>
  <si>
    <t>OTAXONOV SHOXRUXMIRZO</t>
  </si>
  <si>
    <t>QURBONBOYEV AZIZBEK</t>
  </si>
  <si>
    <t>SHOBAROV ELMUROD</t>
  </si>
  <si>
    <t>SOLOHIDDINOV AZIZBEK</t>
  </si>
  <si>
    <t>TOIRXANOV ULUG‘BEK</t>
  </si>
  <si>
    <t>TURG‘UNBOYEV ORIFJON</t>
  </si>
  <si>
    <t>TURG‘UNBOYEV ULUG‘BEK</t>
  </si>
  <si>
    <t>XAMRAQULOV RUSTAMBEK</t>
  </si>
  <si>
    <t>КАДАСТР МУҲАНДИСИГА БИРИКТИРИЛМАГАН</t>
  </si>
  <si>
    <t>ПНФЛ</t>
  </si>
  <si>
    <t>51408005890064</t>
  </si>
  <si>
    <t>50310015890046</t>
  </si>
  <si>
    <t>51507005890086</t>
  </si>
  <si>
    <t>BUVAMIRZAYEV G‘OLIBJON</t>
  </si>
  <si>
    <t>TURSUNPO‘LATOV ASADBEK</t>
  </si>
  <si>
    <t>XUSANOV AZAMATJON</t>
  </si>
  <si>
    <t>SUNNATILLA USMONOV</t>
  </si>
  <si>
    <t>32304995970021</t>
  </si>
  <si>
    <t>USMONOV SUNNATILLA</t>
  </si>
  <si>
    <r>
      <t xml:space="preserve">Муддати бузилишга
</t>
    </r>
    <r>
      <rPr>
        <b/>
        <sz val="20"/>
        <color rgb="FFFF0000"/>
        <rFont val="Cambria"/>
        <family val="1"/>
        <charset val="204"/>
      </rPr>
      <t>10 кундан кўп</t>
    </r>
  </si>
  <si>
    <t xml:space="preserve">Поп тумани </t>
  </si>
  <si>
    <r>
      <rPr>
        <b/>
        <sz val="26"/>
        <color rgb="FF0070C0"/>
        <rFont val="Cambria"/>
        <family val="1"/>
        <charset val="204"/>
      </rPr>
      <t xml:space="preserve"> Турар-жой ва нотурар-жой</t>
    </r>
    <r>
      <rPr>
        <b/>
        <sz val="26"/>
        <rFont val="Cambria"/>
        <family val="1"/>
        <charset val="204"/>
      </rPr>
      <t xml:space="preserve"> кўчмас мулк объектлари Жисмоний ва Юридик шахслар томонидан </t>
    </r>
    <r>
      <rPr>
        <b/>
        <sz val="26"/>
        <color rgb="FFFF0000"/>
        <rFont val="Cambria"/>
        <family val="1"/>
        <charset val="204"/>
      </rPr>
      <t xml:space="preserve">Узкад </t>
    </r>
    <r>
      <rPr>
        <b/>
        <sz val="26"/>
        <rFont val="Cambria"/>
        <family val="1"/>
        <charset val="204"/>
      </rPr>
      <t xml:space="preserve">дастурига келган аризаларни </t>
    </r>
    <r>
      <rPr>
        <b/>
        <u/>
        <sz val="26"/>
        <color rgb="FFFF0000"/>
        <rFont val="Cambria"/>
        <family val="1"/>
        <charset val="204"/>
      </rPr>
      <t>муддати</t>
    </r>
    <r>
      <rPr>
        <b/>
        <sz val="26"/>
        <rFont val="Cambria"/>
        <family val="1"/>
        <charset val="204"/>
      </rPr>
      <t xml:space="preserve"> бузилиш бўйича 
МАЪЛУМОТ</t>
    </r>
  </si>
  <si>
    <t>MUXAMMADAZIZ ABDULLAYEV</t>
  </si>
  <si>
    <t>шахар</t>
  </si>
  <si>
    <t>ABDULLAYEV MUXAMMADAZIZ</t>
  </si>
  <si>
    <t>XUSAN SHOKIROV</t>
  </si>
  <si>
    <t>AKMALXON SAYDULLAYEV</t>
  </si>
  <si>
    <t>ILHOMJON ZOHIDOV</t>
  </si>
  <si>
    <t>A’ZAMJON GAYIPOV</t>
  </si>
  <si>
    <t>GAYIPOV A’ZAMJON</t>
  </si>
  <si>
    <t>янги Наманган</t>
  </si>
  <si>
    <t>ZOHIDOV ILHOMJON</t>
  </si>
  <si>
    <t>SAYDULLAYEV AKMALXON</t>
  </si>
  <si>
    <t>ABDULBOQI YUSUPOV</t>
  </si>
  <si>
    <t>ALIJON ABDULAZIZOV</t>
  </si>
  <si>
    <t>Янги Нам.</t>
  </si>
  <si>
    <t>Давлатобод</t>
  </si>
  <si>
    <t>Шахар</t>
  </si>
  <si>
    <t>POPT50403301</t>
  </si>
  <si>
    <t>288361970</t>
  </si>
  <si>
    <t>2026.05.04 16:30</t>
  </si>
  <si>
    <t>OYBEKJON TO‘RAYEV</t>
  </si>
  <si>
    <t>AZIZJON JO‘RABOYEV</t>
  </si>
  <si>
    <t>FREE</t>
  </si>
  <si>
    <t>YUSUPOV ABDULBOQI</t>
  </si>
  <si>
    <t>50304035930044</t>
  </si>
  <si>
    <t>ABDULAZIZOV ALIJON</t>
  </si>
  <si>
    <t>30910985930021</t>
  </si>
  <si>
    <t>TO‘RAYEV OYBEKJON</t>
  </si>
  <si>
    <t>50310025910024</t>
  </si>
  <si>
    <t>JO‘RABOYEV AZIZJON</t>
  </si>
  <si>
    <t>BEHZOD JAMOLDINOV</t>
  </si>
  <si>
    <t>31111975900014</t>
  </si>
  <si>
    <t>JAMOLDINOV BEHZOD</t>
  </si>
  <si>
    <t>NAMS50565831</t>
  </si>
  <si>
    <t>16:05:42:02:01:0321</t>
  </si>
  <si>
    <t>16:12:41:02:02:0693</t>
  </si>
  <si>
    <t>16:07:41:02:01:0273</t>
  </si>
  <si>
    <t>289042261</t>
  </si>
  <si>
    <t>2026.05.08 17:31</t>
  </si>
  <si>
    <t>SHARIFXO‘JA IBROXIMOV</t>
  </si>
  <si>
    <t>ULUGBEK MUXIDDINOV</t>
  </si>
  <si>
    <t>IBROXIMOV SHARIFXO‘JA</t>
  </si>
  <si>
    <t>16:08:40:01:01:0021</t>
  </si>
  <si>
    <t>16:05:41:02:01:1242/0002</t>
  </si>
  <si>
    <t>292249111</t>
  </si>
  <si>
    <t>UCQT50958560</t>
  </si>
  <si>
    <t>NAMS50972856</t>
  </si>
  <si>
    <t>YGQT51070890</t>
  </si>
  <si>
    <t>16:11:03:01:02:1089</t>
  </si>
  <si>
    <t>16:08:42:02:01:0854</t>
  </si>
  <si>
    <t>16:06:40:02:01:0189</t>
  </si>
  <si>
    <t>16:08:41:02:01:0822</t>
  </si>
  <si>
    <t>16:12:42:02:01:1573</t>
  </si>
  <si>
    <t>16:07:11:01:02:1688</t>
  </si>
  <si>
    <t>16:10:41:01:02:0144</t>
  </si>
  <si>
    <t>16:05:41:02:01:2023</t>
  </si>
  <si>
    <t>16:02:41:01:01:2579</t>
  </si>
  <si>
    <t>16:05:09:01:02:0499</t>
  </si>
  <si>
    <t>16:06:41:02:01:0430</t>
  </si>
  <si>
    <t>16:10:11:01:02:0015</t>
  </si>
  <si>
    <t>16:12:01:01:05:3045</t>
  </si>
  <si>
    <t>16:04:01:03:01:1380</t>
  </si>
  <si>
    <t>16:12:42:02:03:0433</t>
  </si>
  <si>
    <t>16:12:40:01:01:0351</t>
  </si>
  <si>
    <t>16:11:40:01:01:0599</t>
  </si>
  <si>
    <t>16:02:08:01:04:0106</t>
  </si>
  <si>
    <t>293601799</t>
  </si>
  <si>
    <t>293744175</t>
  </si>
  <si>
    <t>294387996</t>
  </si>
  <si>
    <t>2026.05.20 11:10</t>
  </si>
  <si>
    <t>2026.05.20 16:20</t>
  </si>
  <si>
    <t>2026.05.22 14:00</t>
  </si>
  <si>
    <t>MUSLIMBEK O‘ROZBOYEV</t>
  </si>
  <si>
    <t>ABDURASHID YOQUBOV</t>
  </si>
  <si>
    <t>Davlat tashkilotlaridan ijaraga olingan yer uchastkasi</t>
  </si>
  <si>
    <t>YOQUBOV ABDURASHID</t>
  </si>
  <si>
    <t>O‘ROZBOYEV MUSLIMBEK</t>
  </si>
  <si>
    <t>UCQT51207954</t>
  </si>
  <si>
    <t>NAMS51390140</t>
  </si>
  <si>
    <t>CHUT51409266</t>
  </si>
  <si>
    <t>16:06:42:01:01:0372</t>
  </si>
  <si>
    <t>16:05:42:02:01:0062</t>
  </si>
  <si>
    <t>16:09:03:01:01:1903</t>
  </si>
  <si>
    <t>16:02</t>
  </si>
  <si>
    <t>16:12:41:01:01:0126</t>
  </si>
  <si>
    <t>16:01:08:01:04:0026</t>
  </si>
  <si>
    <t>16:12:41:02:01:0371</t>
  </si>
  <si>
    <t>16:11:01:01:01:7990</t>
  </si>
  <si>
    <t>16:07:40:02:01:0105</t>
  </si>
  <si>
    <t>16:01:41:01:01:0998</t>
  </si>
  <si>
    <t>16:02:41:01:02:2500</t>
  </si>
  <si>
    <t>16:10:41:01:03:2914</t>
  </si>
  <si>
    <t>16:11:41:01:02:0076</t>
  </si>
  <si>
    <t>16:10:12:04:02:0248</t>
  </si>
  <si>
    <t>16:12:01:02:08:3087</t>
  </si>
  <si>
    <t>16:12:41:01:02:1465</t>
  </si>
  <si>
    <t>16:09:41:02:01:1115</t>
  </si>
  <si>
    <t>16:04:05:01:02:0193</t>
  </si>
  <si>
    <t>16:06:01:01:01:0233</t>
  </si>
  <si>
    <t>16:02:41:01:01:4726</t>
  </si>
  <si>
    <t>16:10:41:01:02:1650</t>
  </si>
  <si>
    <t>16:12:01:01:05:3058</t>
  </si>
  <si>
    <t>16:04:40:01:01:0625</t>
  </si>
  <si>
    <t>16:11:41:03:01:1157</t>
  </si>
  <si>
    <t>16:10:12:01:01:0248</t>
  </si>
  <si>
    <t>16:11:41:03:02:0176</t>
  </si>
  <si>
    <t>16:03:41:01:01:1632</t>
  </si>
  <si>
    <t>16:03:41:02:02:0325</t>
  </si>
  <si>
    <t>16:03:05:01:02:1472</t>
  </si>
  <si>
    <t>16:07:41:01:01:5524</t>
  </si>
  <si>
    <t>16:07:41:02:01:0443</t>
  </si>
  <si>
    <t>16:04:41:02:01:2555</t>
  </si>
  <si>
    <t>16:06:40:02:02:0237</t>
  </si>
  <si>
    <t>16:06:42:01:02:0341</t>
  </si>
  <si>
    <t>16:10:40:02:01:0547</t>
  </si>
  <si>
    <t>16:09:01:01:01:5022</t>
  </si>
  <si>
    <t>16:10:41:01:01:1157</t>
  </si>
  <si>
    <t>16:01:41:02:01:0778</t>
  </si>
  <si>
    <t>295306093</t>
  </si>
  <si>
    <t>296729242</t>
  </si>
  <si>
    <t>296980520</t>
  </si>
  <si>
    <t>2026.05.26 12:13</t>
  </si>
  <si>
    <t>2026.06.02 09:20</t>
  </si>
  <si>
    <t>2026.06.02 17:35</t>
  </si>
  <si>
    <t>POPT51455895</t>
  </si>
  <si>
    <t>16:05:41:02:01:4056</t>
  </si>
  <si>
    <t>16:07:11:01:01:0007</t>
  </si>
  <si>
    <t>16:02:40:02:02:0395</t>
  </si>
  <si>
    <t>16:07:05:01:04:2599</t>
  </si>
  <si>
    <t>16:11:05:01:03:1464</t>
  </si>
  <si>
    <t>16:07:10:01:02:1533</t>
  </si>
  <si>
    <t>16:06:41:01:01:0096</t>
  </si>
  <si>
    <t>16:12:40:02:02:2838</t>
  </si>
  <si>
    <t>16:12:01:01:01:3071:0001:039</t>
  </si>
  <si>
    <t>16:12:42:03:02:1486</t>
  </si>
  <si>
    <t>16:08:42:02:02:0262/0004</t>
  </si>
  <si>
    <t>16:10:09:01:06:0088</t>
  </si>
  <si>
    <t>2026.06.03 18:00</t>
  </si>
  <si>
    <t>Kadastr muhandisi</t>
  </si>
  <si>
    <t>davreestr_private_engineers_cadastral_passport</t>
  </si>
  <si>
    <t>NAMS51505115</t>
  </si>
  <si>
    <t>297313190</t>
  </si>
  <si>
    <t>16:05:09:02:01:2615</t>
  </si>
  <si>
    <t>16:03:41:02:01:0458</t>
  </si>
  <si>
    <t>16:12:02:01:02:3132:0001:002</t>
  </si>
  <si>
    <t>16:03:41:01:01:2268</t>
  </si>
  <si>
    <t>16:07:06:01:02:5424</t>
  </si>
  <si>
    <t>16:02:40:02:02:0341</t>
  </si>
  <si>
    <t>16:08:41:02:01:3537/0002</t>
  </si>
  <si>
    <t>16:05:06:01:03:5431</t>
  </si>
  <si>
    <t>16:11:12:01:04:1067</t>
  </si>
  <si>
    <t>16:12:40:01:02:0126</t>
  </si>
  <si>
    <t>16:12:42:02:01:0012/0001</t>
  </si>
  <si>
    <t>16:12:02:01:02:0423</t>
  </si>
  <si>
    <t>16:10:42:01:01:0089</t>
  </si>
  <si>
    <t>16:12:40:01:02:0402/0002</t>
  </si>
  <si>
    <t>16:07:05:01:04:2592</t>
  </si>
  <si>
    <t>16:02:04:01:01:5450</t>
  </si>
  <si>
    <t>16:10:12:03:01:7506</t>
  </si>
  <si>
    <t>16:04:03:01:02:5013</t>
  </si>
  <si>
    <t>16:05:09:02:01:1922</t>
  </si>
  <si>
    <t>2026.06.04 17:25</t>
  </si>
  <si>
    <t>NURILLO MAHMUDJONOV</t>
  </si>
  <si>
    <t>POPT51549488</t>
  </si>
  <si>
    <t>NAMS51551920</t>
  </si>
  <si>
    <t>NORT51554831</t>
  </si>
  <si>
    <t>16:10</t>
  </si>
  <si>
    <t>16:03:41:02:01:0634</t>
  </si>
  <si>
    <t>16:12:01:02:04:5683</t>
  </si>
  <si>
    <t>16:05:06:02:02:6851</t>
  </si>
  <si>
    <t>16:11:40:02:02:0294</t>
  </si>
  <si>
    <t>16:07:09:01:01:7182</t>
  </si>
  <si>
    <t>16:05:41:02:02:0775</t>
  </si>
  <si>
    <t>16:11:40:02:01:0434</t>
  </si>
  <si>
    <t>16:12:42:02:02:0151</t>
  </si>
  <si>
    <t>16:07:01:01:01:0081</t>
  </si>
  <si>
    <t>16:07:05:01:02:0038</t>
  </si>
  <si>
    <t>16:09:42:01:01:1649</t>
  </si>
  <si>
    <t>16:06:42:02:01:2747</t>
  </si>
  <si>
    <t>16:09:40:02:01:0120</t>
  </si>
  <si>
    <t>16:09:03:01:01:1838</t>
  </si>
  <si>
    <t>16:04:40:02:01:0163</t>
  </si>
  <si>
    <t>16:06</t>
  </si>
  <si>
    <t>16:07:01:02:02:0010</t>
  </si>
  <si>
    <t>16:02:05:01:05:1830</t>
  </si>
  <si>
    <t>16:12:40:02:02:0954/0038</t>
  </si>
  <si>
    <t>297951000</t>
  </si>
  <si>
    <t>298035356</t>
  </si>
  <si>
    <t>298079203</t>
  </si>
  <si>
    <t>297916713</t>
  </si>
  <si>
    <t>296031774</t>
  </si>
  <si>
    <t>2026.06.05 15:00</t>
  </si>
  <si>
    <t>2026.06.05 16:10</t>
  </si>
  <si>
    <t>2026.06.05 18:00</t>
  </si>
  <si>
    <t>Kadastr
yig'majildini chop etish va arxiv ishiga tikish</t>
  </si>
  <si>
    <t>ILYOSBEK NURMATOV</t>
  </si>
  <si>
    <t>16:03</t>
  </si>
  <si>
    <t>16:02:41:01:01:1513/0002</t>
  </si>
  <si>
    <t>16:01:08:02:01:2324</t>
  </si>
  <si>
    <t>16:01:08:01:04:1251</t>
  </si>
  <si>
    <t>16:05:11:02:01:5077</t>
  </si>
  <si>
    <t>16:01:41:01:02:0303</t>
  </si>
  <si>
    <t>16:12:40:02:02:2038</t>
  </si>
  <si>
    <t>16:12:42:03:03:0474</t>
  </si>
  <si>
    <t>InfrastructureLandRegistration</t>
  </si>
  <si>
    <t>NAMS52166402</t>
  </si>
  <si>
    <t>MINT52166560</t>
  </si>
  <si>
    <t>NAMS52160439</t>
  </si>
  <si>
    <t>NAMS51938457</t>
  </si>
  <si>
    <t>UYCT52026802</t>
  </si>
  <si>
    <t>UCQT52035549</t>
  </si>
  <si>
    <t>NAMS52168193</t>
  </si>
  <si>
    <t>NAMT52155931</t>
  </si>
  <si>
    <t>CHUT52168349</t>
  </si>
  <si>
    <t>NAMS52168522</t>
  </si>
  <si>
    <t>UYCT52168520</t>
  </si>
  <si>
    <t>CHUT52168532</t>
  </si>
  <si>
    <t>YGQT52168507</t>
  </si>
  <si>
    <t>POPT51938125</t>
  </si>
  <si>
    <t>NAMT51938715</t>
  </si>
  <si>
    <t>POPT51938876</t>
  </si>
  <si>
    <t>NAMT52168204</t>
  </si>
  <si>
    <t>NAMS52168882</t>
  </si>
  <si>
    <t>NAMS52168895</t>
  </si>
  <si>
    <t>YGQT52169589</t>
  </si>
  <si>
    <t>TORT51999669</t>
  </si>
  <si>
    <t>NAMT52167308</t>
  </si>
  <si>
    <t>YGQT52169590</t>
  </si>
  <si>
    <t>YGQT51941271</t>
  </si>
  <si>
    <t>UYCT51988132</t>
  </si>
  <si>
    <t>UCQT52171854</t>
  </si>
  <si>
    <t>YGQT51945169</t>
  </si>
  <si>
    <t>NAMT51945168</t>
  </si>
  <si>
    <t>UYCT52170784</t>
  </si>
  <si>
    <t>NAMS52172149</t>
  </si>
  <si>
    <t>MINT51818681</t>
  </si>
  <si>
    <t>NAMS51946975</t>
  </si>
  <si>
    <t>UCQT51946051</t>
  </si>
  <si>
    <t>TORT51947054</t>
  </si>
  <si>
    <t>NAMS52172292</t>
  </si>
  <si>
    <t>CHUT51947113</t>
  </si>
  <si>
    <t>TORT51880614</t>
  </si>
  <si>
    <t>POPT52117915</t>
  </si>
  <si>
    <t>NAMS51948190</t>
  </si>
  <si>
    <t>MINT52172604</t>
  </si>
  <si>
    <t>UYCT51939282</t>
  </si>
  <si>
    <t>POPT51948393</t>
  </si>
  <si>
    <t>UCQT52172917</t>
  </si>
  <si>
    <t>CHUT52168047</t>
  </si>
  <si>
    <t>NAMS51948865</t>
  </si>
  <si>
    <t>YGQT51949732</t>
  </si>
  <si>
    <t>NAMS51950887</t>
  </si>
  <si>
    <t>UYCT52125244</t>
  </si>
  <si>
    <t>NAMS51951357</t>
  </si>
  <si>
    <t>YGQT51951978</t>
  </si>
  <si>
    <t>TORT51951837</t>
  </si>
  <si>
    <t>KSST51952350</t>
  </si>
  <si>
    <t>MINT51952381</t>
  </si>
  <si>
    <t>MINT52093114</t>
  </si>
  <si>
    <t>NAMS52169002</t>
  </si>
  <si>
    <t>KSST51940294</t>
  </si>
  <si>
    <t>NAMT51952689</t>
  </si>
  <si>
    <t>CHUT51952815</t>
  </si>
  <si>
    <t>NAMS51952942</t>
  </si>
  <si>
    <t>MINT51804185</t>
  </si>
  <si>
    <t>YGQT51953102</t>
  </si>
  <si>
    <t>YGQT51953323</t>
  </si>
  <si>
    <t>YGQT51953234</t>
  </si>
  <si>
    <t>UYCT51953451</t>
  </si>
  <si>
    <t>NAMS51953469</t>
  </si>
  <si>
    <t>MINT51938861</t>
  </si>
  <si>
    <t>CHUT52111318</t>
  </si>
  <si>
    <t>TORT51944967</t>
  </si>
  <si>
    <t>NAMS52175541</t>
  </si>
  <si>
    <t>CHUT52153227</t>
  </si>
  <si>
    <t>NAMS51956927</t>
  </si>
  <si>
    <t>TORT51957135</t>
  </si>
  <si>
    <t>CHUT51940126</t>
  </si>
  <si>
    <t>CHOT51948851</t>
  </si>
  <si>
    <t>NORT51942069</t>
  </si>
  <si>
    <t>POPT51958489</t>
  </si>
  <si>
    <t>NAMS51957916</t>
  </si>
  <si>
    <t>YGQT51693242</t>
  </si>
  <si>
    <t>YGQT52092405</t>
  </si>
  <si>
    <t>NAMT51958319</t>
  </si>
  <si>
    <t>NAMS51958509</t>
  </si>
  <si>
    <t>YGQT52167870</t>
  </si>
  <si>
    <t>NAMT51958974</t>
  </si>
  <si>
    <t>YGQT52167847</t>
  </si>
  <si>
    <t>TORT52002550</t>
  </si>
  <si>
    <t>CHUT51912477</t>
  </si>
  <si>
    <t>YGQT52168063</t>
  </si>
  <si>
    <t>YGQT52168046</t>
  </si>
  <si>
    <t>YGQT51941207</t>
  </si>
  <si>
    <t>UYCT51959646</t>
  </si>
  <si>
    <t>YGQT51960535</t>
  </si>
  <si>
    <t>NAMS51960561</t>
  </si>
  <si>
    <t>UYCT51960564</t>
  </si>
  <si>
    <t>CHUT51948247</t>
  </si>
  <si>
    <t>TORT52167363</t>
  </si>
  <si>
    <t>UYCT51938405</t>
  </si>
  <si>
    <t>NAMT51960934</t>
  </si>
  <si>
    <t>CHUT51955836</t>
  </si>
  <si>
    <t>NAMS51961073</t>
  </si>
  <si>
    <t>CHUT52172012</t>
  </si>
  <si>
    <t>NAMS51961543</t>
  </si>
  <si>
    <t>NAMS51961729</t>
  </si>
  <si>
    <t>NORT51962274</t>
  </si>
  <si>
    <t>POPT51941238</t>
  </si>
  <si>
    <t>POPT51940218</t>
  </si>
  <si>
    <t>YGQT52179693</t>
  </si>
  <si>
    <t>TORT51954837</t>
  </si>
  <si>
    <t>NAMT51958233</t>
  </si>
  <si>
    <t>UYCT52180055</t>
  </si>
  <si>
    <t>POPT51963768</t>
  </si>
  <si>
    <t>YGQT51940131</t>
  </si>
  <si>
    <t>YGQT51942554</t>
  </si>
  <si>
    <t>NAMS52185545</t>
  </si>
  <si>
    <t>NAMS51953197</t>
  </si>
  <si>
    <t>POPT52158767</t>
  </si>
  <si>
    <t>POPT52173438</t>
  </si>
  <si>
    <t>NAMS51965499</t>
  </si>
  <si>
    <t>KSST52185511</t>
  </si>
  <si>
    <t>MINT52185638</t>
  </si>
  <si>
    <t>NAMS52185699</t>
  </si>
  <si>
    <t>YGQT52167854</t>
  </si>
  <si>
    <t>YGQT52163425</t>
  </si>
  <si>
    <t>YGQT52173114</t>
  </si>
  <si>
    <t>NAMT51962615</t>
  </si>
  <si>
    <t>NAMT52167164</t>
  </si>
  <si>
    <t>TORT51803587</t>
  </si>
  <si>
    <t>NAMT51961693</t>
  </si>
  <si>
    <t>TORT52186275</t>
  </si>
  <si>
    <t>KSST51812651</t>
  </si>
  <si>
    <t>NAMT51957570</t>
  </si>
  <si>
    <t>CHUT52172289</t>
  </si>
  <si>
    <t>NAMS52187426</t>
  </si>
  <si>
    <t>TORT51953352</t>
  </si>
  <si>
    <t>CHOT52187492</t>
  </si>
  <si>
    <t>MINT52187236</t>
  </si>
  <si>
    <t>YGQT52167851</t>
  </si>
  <si>
    <t>YGQT52172937</t>
  </si>
  <si>
    <t>NAMS52189227</t>
  </si>
  <si>
    <t>TORT52185519</t>
  </si>
  <si>
    <t>NAMT51957171</t>
  </si>
  <si>
    <t>CHOT51957549</t>
  </si>
  <si>
    <t>MINT52189441</t>
  </si>
  <si>
    <t>UYCT52189443</t>
  </si>
  <si>
    <t>UCQT52033790</t>
  </si>
  <si>
    <t>YGQT52167837</t>
  </si>
  <si>
    <t>KSST52189609</t>
  </si>
  <si>
    <t>NAMS52189618</t>
  </si>
  <si>
    <t>NAMS52189642</t>
  </si>
  <si>
    <t>MINT52189830</t>
  </si>
  <si>
    <t>NAMS52190321</t>
  </si>
  <si>
    <t>NAMS52190478</t>
  </si>
  <si>
    <t>NAMS52190489</t>
  </si>
  <si>
    <t>NAMS52190538</t>
  </si>
  <si>
    <t>NAMS52190674</t>
  </si>
  <si>
    <t>UCQT52190801</t>
  </si>
  <si>
    <t>CHOT51941854</t>
  </si>
  <si>
    <t>TORT52166427</t>
  </si>
  <si>
    <t>POPT52191907</t>
  </si>
  <si>
    <t>NAMS52191955</t>
  </si>
  <si>
    <t>UYCT52173095</t>
  </si>
  <si>
    <t>UCQT52192442</t>
  </si>
  <si>
    <t>NAMS52192686</t>
  </si>
  <si>
    <t>MINT52192719</t>
  </si>
  <si>
    <t>YGQT52192792</t>
  </si>
  <si>
    <t>POPT52192795</t>
  </si>
  <si>
    <t>NAMT52192959</t>
  </si>
  <si>
    <t>KSST52192961</t>
  </si>
  <si>
    <t>MINT52192977</t>
  </si>
  <si>
    <t>NAMS51955687</t>
  </si>
  <si>
    <t>NAMS51815786</t>
  </si>
  <si>
    <t>NAMS52193534</t>
  </si>
  <si>
    <t>UCQT52193176</t>
  </si>
  <si>
    <t>CHUT52193183</t>
  </si>
  <si>
    <t>NAMS52193323</t>
  </si>
  <si>
    <t>YGQT52193322</t>
  </si>
  <si>
    <t>NAMS51906323</t>
  </si>
  <si>
    <t>POPT52193555</t>
  </si>
  <si>
    <t>TORT52193717</t>
  </si>
  <si>
    <t>NORT52186186</t>
  </si>
  <si>
    <t>MINT52193172</t>
  </si>
  <si>
    <t>YGQT52194691</t>
  </si>
  <si>
    <t>POPT52194724</t>
  </si>
  <si>
    <t>UYCT52194718</t>
  </si>
  <si>
    <t>CHUT52155454</t>
  </si>
  <si>
    <t>KSST52195134</t>
  </si>
  <si>
    <t>NAMS52195286</t>
  </si>
  <si>
    <t>YGQT52195300</t>
  </si>
  <si>
    <t>YGQT52195304</t>
  </si>
  <si>
    <t>YGQT52195329</t>
  </si>
  <si>
    <t>NAMS52195326</t>
  </si>
  <si>
    <t>UCQT52166594</t>
  </si>
  <si>
    <t>UCQT52185490</t>
  </si>
  <si>
    <t>UCQT52186862</t>
  </si>
  <si>
    <t>UCQT52187736</t>
  </si>
  <si>
    <t>UCQT52192027</t>
  </si>
  <si>
    <t>NAMT52192984</t>
  </si>
  <si>
    <t>UCQT52195626</t>
  </si>
  <si>
    <t>CHUT52195636</t>
  </si>
  <si>
    <t>NAMS51951438</t>
  </si>
  <si>
    <t>NAMS51948688</t>
  </si>
  <si>
    <t>NAMS51949504</t>
  </si>
  <si>
    <t>KSST52195844</t>
  </si>
  <si>
    <t>UYCT51720911</t>
  </si>
  <si>
    <t>NAMS51955573</t>
  </si>
  <si>
    <t>NAMS51958223</t>
  </si>
  <si>
    <t>NAMS52196210</t>
  </si>
  <si>
    <t>YGQT52167867</t>
  </si>
  <si>
    <t>POPT51945932</t>
  </si>
  <si>
    <t>POPT51958336</t>
  </si>
  <si>
    <t>NAMS51939294</t>
  </si>
  <si>
    <t>NAMS52196352</t>
  </si>
  <si>
    <t>NAMS52167494</t>
  </si>
  <si>
    <t>MINT52196461</t>
  </si>
  <si>
    <t>MINT52196524</t>
  </si>
  <si>
    <t>NAMS51941539</t>
  </si>
  <si>
    <t>NAMS51941557</t>
  </si>
  <si>
    <t>CHUT52196615</t>
  </si>
  <si>
    <t>MINT52196628</t>
  </si>
  <si>
    <t>NAMS52169206</t>
  </si>
  <si>
    <t>NAMT52195528</t>
  </si>
  <si>
    <t>MINT52197448</t>
  </si>
  <si>
    <t>YGQT52196749</t>
  </si>
  <si>
    <t>NAMS52196785</t>
  </si>
  <si>
    <t>NAMS52196792</t>
  </si>
  <si>
    <t>MINT52196784</t>
  </si>
  <si>
    <t>NAMT52196839</t>
  </si>
  <si>
    <t>CHOT52195309</t>
  </si>
  <si>
    <t>NAMS51949372</t>
  </si>
  <si>
    <t>NAMS51961529</t>
  </si>
  <si>
    <t>NAMS51939385</t>
  </si>
  <si>
    <t>NAMS51941095</t>
  </si>
  <si>
    <t>UYCT52196990</t>
  </si>
  <si>
    <t>MINT52196991</t>
  </si>
  <si>
    <t>NAMS51960563</t>
  </si>
  <si>
    <t>NAMS51939286</t>
  </si>
  <si>
    <t>NAMS51939382</t>
  </si>
  <si>
    <t>UYCT52196970</t>
  </si>
  <si>
    <t>NAMS51982550</t>
  </si>
  <si>
    <t>POPT52197085</t>
  </si>
  <si>
    <t>KSST52172192</t>
  </si>
  <si>
    <t>UCQT52197122</t>
  </si>
  <si>
    <t>NAMS51945153</t>
  </si>
  <si>
    <t>KSST51984061</t>
  </si>
  <si>
    <t>YGQT52197321</t>
  </si>
  <si>
    <t>POPT51940821</t>
  </si>
  <si>
    <t>POPT51955548</t>
  </si>
  <si>
    <t>NAMS51730585</t>
  </si>
  <si>
    <t>CHUT51984334</t>
  </si>
  <si>
    <t>NAMS51985709</t>
  </si>
  <si>
    <t>CHUT52198338</t>
  </si>
  <si>
    <t>UCQT52198354</t>
  </si>
  <si>
    <t>NAMS51962270</t>
  </si>
  <si>
    <t>NAMS52198258</t>
  </si>
  <si>
    <t>KSST51834761</t>
  </si>
  <si>
    <t>NAMS52168890</t>
  </si>
  <si>
    <t>UYCT51984580</t>
  </si>
  <si>
    <t>YGQT51984606</t>
  </si>
  <si>
    <t>NAMS51984629</t>
  </si>
  <si>
    <t>KSST51834763</t>
  </si>
  <si>
    <t>YGQT52197784</t>
  </si>
  <si>
    <t>NAMS52197788</t>
  </si>
  <si>
    <t>NAMT51961362</t>
  </si>
  <si>
    <t>MINT51984730</t>
  </si>
  <si>
    <t>TORT51985017</t>
  </si>
  <si>
    <t>KSST52168708</t>
  </si>
  <si>
    <t>KSST51946043</t>
  </si>
  <si>
    <t>KSST52172442</t>
  </si>
  <si>
    <t>KSST51940290</t>
  </si>
  <si>
    <t>NAMS51949734</t>
  </si>
  <si>
    <t>POPT52001982</t>
  </si>
  <si>
    <t>NAMS51985033</t>
  </si>
  <si>
    <t>NAMT51941114</t>
  </si>
  <si>
    <t>MINT52198030</t>
  </si>
  <si>
    <t>NAMT51946307</t>
  </si>
  <si>
    <t>YGQT52198100</t>
  </si>
  <si>
    <t>POPT51985306</t>
  </si>
  <si>
    <t>CHOT51985074</t>
  </si>
  <si>
    <t>CHOT51984885</t>
  </si>
  <si>
    <t>CHUT51772581</t>
  </si>
  <si>
    <t>NAMS51953349</t>
  </si>
  <si>
    <t>YGQT51862528</t>
  </si>
  <si>
    <t>CHUT52198433</t>
  </si>
  <si>
    <t>NAMT51944005</t>
  </si>
  <si>
    <t>KSST52198507</t>
  </si>
  <si>
    <t>NAMT51953499</t>
  </si>
  <si>
    <t>NAMS52189649</t>
  </si>
  <si>
    <t>CHUT51986057</t>
  </si>
  <si>
    <t>NAMT51983425</t>
  </si>
  <si>
    <t>MINT52195291</t>
  </si>
  <si>
    <t>NAMS52191971</t>
  </si>
  <si>
    <t>POPT51940410</t>
  </si>
  <si>
    <t>CHUT52198614</t>
  </si>
  <si>
    <t>YGQT52198613</t>
  </si>
  <si>
    <t>UCQT51984160</t>
  </si>
  <si>
    <t>NAMS51986459</t>
  </si>
  <si>
    <t>NORT52198697</t>
  </si>
  <si>
    <t>YGQT51962629</t>
  </si>
  <si>
    <t>YGQT51960727</t>
  </si>
  <si>
    <t>NAMS52198780</t>
  </si>
  <si>
    <t>YGQT51960014</t>
  </si>
  <si>
    <t>YGQT51957427</t>
  </si>
  <si>
    <t>YGQT51953297</t>
  </si>
  <si>
    <t>NAMS52122562</t>
  </si>
  <si>
    <t>CHUT52198814</t>
  </si>
  <si>
    <t>CHUT52198823</t>
  </si>
  <si>
    <t>CHUT52198695</t>
  </si>
  <si>
    <t>MINT51986638</t>
  </si>
  <si>
    <t>UCQT51986661</t>
  </si>
  <si>
    <t>CHOT52196219</t>
  </si>
  <si>
    <t>CHOT52168765</t>
  </si>
  <si>
    <t>YGQT51986635</t>
  </si>
  <si>
    <t>CHOT52167508</t>
  </si>
  <si>
    <t>UYCT51953283</t>
  </si>
  <si>
    <t>YGQT51949503</t>
  </si>
  <si>
    <t>TORT51816933</t>
  </si>
  <si>
    <t>CHUT52198907</t>
  </si>
  <si>
    <t>MINT52198916</t>
  </si>
  <si>
    <t>YGQT51949368</t>
  </si>
  <si>
    <t>NAMS51986793</t>
  </si>
  <si>
    <t>CHUT52199189</t>
  </si>
  <si>
    <t>CHUT51940211</t>
  </si>
  <si>
    <t>POPT52172940</t>
  </si>
  <si>
    <t>UCQT51987021</t>
  </si>
  <si>
    <t>CHUT52199521</t>
  </si>
  <si>
    <t>TORT51987136</t>
  </si>
  <si>
    <t>NAMS51987169</t>
  </si>
  <si>
    <t>NAMS51987186</t>
  </si>
  <si>
    <t>MINT52199655</t>
  </si>
  <si>
    <t>MINT51987364</t>
  </si>
  <si>
    <t>NAMS52193353</t>
  </si>
  <si>
    <t>NAMS52199761</t>
  </si>
  <si>
    <t>YGQT51986806</t>
  </si>
  <si>
    <t>YGQT51945712</t>
  </si>
  <si>
    <t>CHOT52199635</t>
  </si>
  <si>
    <t>NAMS51987682</t>
  </si>
  <si>
    <t>CHOT52199899</t>
  </si>
  <si>
    <t>YGQT52198252</t>
  </si>
  <si>
    <t>KSST52172462</t>
  </si>
  <si>
    <t>NAMS51987886</t>
  </si>
  <si>
    <t>NAMT51953474</t>
  </si>
  <si>
    <t>YGQT51947274</t>
  </si>
  <si>
    <t>CHUT52200102</t>
  </si>
  <si>
    <t>CHUT52200115</t>
  </si>
  <si>
    <t>NAMS51988074</t>
  </si>
  <si>
    <t>KSST51988091</t>
  </si>
  <si>
    <t>NORT52198812</t>
  </si>
  <si>
    <t>NAMS52200243</t>
  </si>
  <si>
    <t>YGQT52200267</t>
  </si>
  <si>
    <t>TORT52200264</t>
  </si>
  <si>
    <t>YGQT52200292</t>
  </si>
  <si>
    <t>NAMS51988269</t>
  </si>
  <si>
    <t>NORT51987520</t>
  </si>
  <si>
    <t>POPT51989451</t>
  </si>
  <si>
    <t>CHUT51984073</t>
  </si>
  <si>
    <t>CHUT52201404</t>
  </si>
  <si>
    <t>MINT51989283</t>
  </si>
  <si>
    <t>UYCT51989327</t>
  </si>
  <si>
    <t>UYCT51989362</t>
  </si>
  <si>
    <t>KSST51989475</t>
  </si>
  <si>
    <t>POPT51989476</t>
  </si>
  <si>
    <t>YGQT52200451</t>
  </si>
  <si>
    <t>YGQT52198901</t>
  </si>
  <si>
    <t>YGQT52196964</t>
  </si>
  <si>
    <t>YGQT52195319</t>
  </si>
  <si>
    <t>YGQT52195373</t>
  </si>
  <si>
    <t>YGQT52195310</t>
  </si>
  <si>
    <t>YGQT52194700</t>
  </si>
  <si>
    <t>CHOT52035637</t>
  </si>
  <si>
    <t>YGQT52189457</t>
  </si>
  <si>
    <t>TORT51989649</t>
  </si>
  <si>
    <t>NAMS52127316</t>
  </si>
  <si>
    <t>UYCT52189837</t>
  </si>
  <si>
    <t>NAMS52200757</t>
  </si>
  <si>
    <t>NAMS52200761</t>
  </si>
  <si>
    <t>UYCT52200799</t>
  </si>
  <si>
    <t>KSST52198587</t>
  </si>
  <si>
    <t>CHUT51991166</t>
  </si>
  <si>
    <t>NAMS51991259</t>
  </si>
  <si>
    <t>MINT51992641</t>
  </si>
  <si>
    <t>NAMS51992653</t>
  </si>
  <si>
    <t>YGQT51958071</t>
  </si>
  <si>
    <t>UYCT52199740</t>
  </si>
  <si>
    <t>NAMS51959632</t>
  </si>
  <si>
    <t>KSST51992942</t>
  </si>
  <si>
    <t>UCQT51992941</t>
  </si>
  <si>
    <t>NAMS51992965</t>
  </si>
  <si>
    <t>NAMS52198380</t>
  </si>
  <si>
    <t>NAMS52154703</t>
  </si>
  <si>
    <t>NAMS52201766</t>
  </si>
  <si>
    <t>POPT52201804</t>
  </si>
  <si>
    <t>MINT51993364</t>
  </si>
  <si>
    <t>CHUT51778055</t>
  </si>
  <si>
    <t>KSST51993387</t>
  </si>
  <si>
    <t>TORT51993426</t>
  </si>
  <si>
    <t>NAMS52171851</t>
  </si>
  <si>
    <t>UCQT51993579</t>
  </si>
  <si>
    <t>YGQT52201939</t>
  </si>
  <si>
    <t>YGQT52201960</t>
  </si>
  <si>
    <t>UCQT52201963</t>
  </si>
  <si>
    <t>TORT52201967</t>
  </si>
  <si>
    <t>NAMT51943951</t>
  </si>
  <si>
    <t>YGQT52201947</t>
  </si>
  <si>
    <t>YGQT52201936</t>
  </si>
  <si>
    <t>YGQT51993962</t>
  </si>
  <si>
    <t>UCQT52202197</t>
  </si>
  <si>
    <t>CHUT52202215</t>
  </si>
  <si>
    <t>NAMS51779222</t>
  </si>
  <si>
    <t>YGQT51994114</t>
  </si>
  <si>
    <t>UYCT51994123</t>
  </si>
  <si>
    <t>UCQT52202802</t>
  </si>
  <si>
    <t>YGQT52202817</t>
  </si>
  <si>
    <t>NORT51994190</t>
  </si>
  <si>
    <t>NAMS52202373</t>
  </si>
  <si>
    <t>NAMT51994241</t>
  </si>
  <si>
    <t>NORT51957125</t>
  </si>
  <si>
    <t>TORT52189230</t>
  </si>
  <si>
    <t>CHUT51994399</t>
  </si>
  <si>
    <t>YGQT52202581</t>
  </si>
  <si>
    <t>KSST51986063</t>
  </si>
  <si>
    <t>NAMS51942089</t>
  </si>
  <si>
    <t>KSST51957591</t>
  </si>
  <si>
    <t>NAMS51954812</t>
  </si>
  <si>
    <t>NORT51996042</t>
  </si>
  <si>
    <t>CHOT51996108</t>
  </si>
  <si>
    <t>NAMS51940219</t>
  </si>
  <si>
    <t>CHUT52202993</t>
  </si>
  <si>
    <t>NAMS52203063</t>
  </si>
  <si>
    <t>TORT51995388</t>
  </si>
  <si>
    <t>TORT52189868</t>
  </si>
  <si>
    <t>CHUT51947249</t>
  </si>
  <si>
    <t>NAMS51995381</t>
  </si>
  <si>
    <t>NAMT51983183</t>
  </si>
  <si>
    <t>KSST51989886</t>
  </si>
  <si>
    <t>CHUT51943872</t>
  </si>
  <si>
    <t>CHOT51955698</t>
  </si>
  <si>
    <t>KSST51995708</t>
  </si>
  <si>
    <t>CHUT52203693</t>
  </si>
  <si>
    <t>YGQT52203756</t>
  </si>
  <si>
    <t>KSST52160268</t>
  </si>
  <si>
    <t>TORT51953211</t>
  </si>
  <si>
    <t>MINT51995793</t>
  </si>
  <si>
    <t>TORT51960587</t>
  </si>
  <si>
    <t>NAMS51995818</t>
  </si>
  <si>
    <t>KSST52035020</t>
  </si>
  <si>
    <t>NAMS52203872</t>
  </si>
  <si>
    <t>TORT52203931</t>
  </si>
  <si>
    <t>NAMS51996052</t>
  </si>
  <si>
    <t>MINT51805189</t>
  </si>
  <si>
    <t>CHUT51996149</t>
  </si>
  <si>
    <t>NAMS51996167</t>
  </si>
  <si>
    <t>UYCT51948413</t>
  </si>
  <si>
    <t>YGQT51985347</t>
  </si>
  <si>
    <t>YGQT52118007</t>
  </si>
  <si>
    <t>TORT52204330</t>
  </si>
  <si>
    <t>CHOT51960863</t>
  </si>
  <si>
    <t>KSST52202369</t>
  </si>
  <si>
    <t>KSST51995982</t>
  </si>
  <si>
    <t>NAMS52204294</t>
  </si>
  <si>
    <t>UCQT52204512</t>
  </si>
  <si>
    <t>NAMS52204541</t>
  </si>
  <si>
    <t>KSST52198716</t>
  </si>
  <si>
    <t>NAMT51996539</t>
  </si>
  <si>
    <t>NAMT51996554</t>
  </si>
  <si>
    <t>UCQT51996558</t>
  </si>
  <si>
    <t>KSST52198605</t>
  </si>
  <si>
    <t>NAMS51996641</t>
  </si>
  <si>
    <t>YGQT52204736</t>
  </si>
  <si>
    <t>NORT51940422</t>
  </si>
  <si>
    <t>YGQT52204722</t>
  </si>
  <si>
    <t>NAMS52204754</t>
  </si>
  <si>
    <t>YGQT52204765</t>
  </si>
  <si>
    <t>UYCT51995491</t>
  </si>
  <si>
    <t>UYCT51996769</t>
  </si>
  <si>
    <t>NORT51996803</t>
  </si>
  <si>
    <t>KSST52186358</t>
  </si>
  <si>
    <t>NAMS51986791</t>
  </si>
  <si>
    <t>YGQT51996925</t>
  </si>
  <si>
    <t>UYCT51992639</t>
  </si>
  <si>
    <t>POPT51996970</t>
  </si>
  <si>
    <t>TORT51953185</t>
  </si>
  <si>
    <t>TORT51953321</t>
  </si>
  <si>
    <t>UYCT51984775</t>
  </si>
  <si>
    <t>TORT51956937</t>
  </si>
  <si>
    <t>NAMS51997056</t>
  </si>
  <si>
    <t>NAMS52187802</t>
  </si>
  <si>
    <t>MINT51951841</t>
  </si>
  <si>
    <t>TORT51984212</t>
  </si>
  <si>
    <t>UCQT51997104</t>
  </si>
  <si>
    <t>TORT51960712</t>
  </si>
  <si>
    <t>CHOT52205102</t>
  </si>
  <si>
    <t>MINT52205153</t>
  </si>
  <si>
    <t>UYCT52205157</t>
  </si>
  <si>
    <t>YGQT51997090</t>
  </si>
  <si>
    <t>UYCT52195494</t>
  </si>
  <si>
    <t>UYCT52205282</t>
  </si>
  <si>
    <t>NAMS52205285</t>
  </si>
  <si>
    <t>NAMT51997292</t>
  </si>
  <si>
    <t>YGQT51997519</t>
  </si>
  <si>
    <t>KSST52193347</t>
  </si>
  <si>
    <t>NAMS51997471</t>
  </si>
  <si>
    <t>CHUT51997659</t>
  </si>
  <si>
    <t>UYCT51997192</t>
  </si>
  <si>
    <t>TORT52205502</t>
  </si>
  <si>
    <t>YGQT51997660</t>
  </si>
  <si>
    <t>NAMT51996038</t>
  </si>
  <si>
    <t>TORT51938422</t>
  </si>
  <si>
    <t>TORT52203941</t>
  </si>
  <si>
    <t>UCQT51997799</t>
  </si>
  <si>
    <t>NAMS51997818</t>
  </si>
  <si>
    <t>KSST52185561</t>
  </si>
  <si>
    <t>UYCT51877596</t>
  </si>
  <si>
    <t>TORT52093576</t>
  </si>
  <si>
    <t>YGQT51998127</t>
  </si>
  <si>
    <t>YGQT51998135</t>
  </si>
  <si>
    <t>NAMT52204723</t>
  </si>
  <si>
    <t>YGQT52205942</t>
  </si>
  <si>
    <t>NAMS51999676</t>
  </si>
  <si>
    <t>TORT51997172</t>
  </si>
  <si>
    <t>NAMS51998318</t>
  </si>
  <si>
    <t>NAMS51984242</t>
  </si>
  <si>
    <t>NAMS52206165</t>
  </si>
  <si>
    <t>NAMS52206197</t>
  </si>
  <si>
    <t>NAMS52206231</t>
  </si>
  <si>
    <t>NAMT52199618</t>
  </si>
  <si>
    <t>NAMT52204358</t>
  </si>
  <si>
    <t>KSST51945207</t>
  </si>
  <si>
    <t>KSST51998605</t>
  </si>
  <si>
    <t>UYCT52204292</t>
  </si>
  <si>
    <t>NAMS52206392</t>
  </si>
  <si>
    <t>NAMT52206393</t>
  </si>
  <si>
    <t>NAMS52206374</t>
  </si>
  <si>
    <t>POPT51998773</t>
  </si>
  <si>
    <t>YGQT51998927</t>
  </si>
  <si>
    <t>NAMS52185351</t>
  </si>
  <si>
    <t>NAMS52187259</t>
  </si>
  <si>
    <t>NAMS52189550</t>
  </si>
  <si>
    <t>YGQT52000166</t>
  </si>
  <si>
    <t>NAMS52189583</t>
  </si>
  <si>
    <t>NAMS52206751</t>
  </si>
  <si>
    <t>MINT52000165</t>
  </si>
  <si>
    <t>NAMS52191936</t>
  </si>
  <si>
    <t>UYCT52206806</t>
  </si>
  <si>
    <t>NAMS52193689</t>
  </si>
  <si>
    <t>NAMS52194868</t>
  </si>
  <si>
    <t>NAMS52195273</t>
  </si>
  <si>
    <t>NAMS52196804</t>
  </si>
  <si>
    <t>NAMS52198836</t>
  </si>
  <si>
    <t>YGQT52000203</t>
  </si>
  <si>
    <t>NAMS52204361</t>
  </si>
  <si>
    <t>NAMT52168186</t>
  </si>
  <si>
    <t>NAMS52207740</t>
  </si>
  <si>
    <t>UYCT52206899</t>
  </si>
  <si>
    <t>YGQT52000208</t>
  </si>
  <si>
    <t>KSST51999077</t>
  </si>
  <si>
    <t>NAMS51999172</t>
  </si>
  <si>
    <t>CHUT51999183</t>
  </si>
  <si>
    <t>YGQT51999232</t>
  </si>
  <si>
    <t>NAMS52206938</t>
  </si>
  <si>
    <t>NAMS52206924</t>
  </si>
  <si>
    <t>POPT51902270</t>
  </si>
  <si>
    <t>UYCT51999346</t>
  </si>
  <si>
    <t>CHUT51999350</t>
  </si>
  <si>
    <t>CHUT52207056</t>
  </si>
  <si>
    <t>POPT52207045</t>
  </si>
  <si>
    <t>UCQT52207078</t>
  </si>
  <si>
    <t>UYCT51787565</t>
  </si>
  <si>
    <t>CHUT52207268</t>
  </si>
  <si>
    <t>NAMS52204067</t>
  </si>
  <si>
    <t>NAMS52203910</t>
  </si>
  <si>
    <t>NAMT51999334</t>
  </si>
  <si>
    <t>CHOT52185708</t>
  </si>
  <si>
    <t>NAMS52207395</t>
  </si>
  <si>
    <t>NAMS52207398</t>
  </si>
  <si>
    <t>UCQT52207405</t>
  </si>
  <si>
    <t>NAMS52207414</t>
  </si>
  <si>
    <t>NAMS52185878</t>
  </si>
  <si>
    <t>NAMS52207386</t>
  </si>
  <si>
    <t>NAMS52186521</t>
  </si>
  <si>
    <t>CHOT52165085</t>
  </si>
  <si>
    <t>UYCT52159014</t>
  </si>
  <si>
    <t>UYCT52204760</t>
  </si>
  <si>
    <t>NAMS52207553</t>
  </si>
  <si>
    <t>TORT52207559</t>
  </si>
  <si>
    <t>NAMS52207570</t>
  </si>
  <si>
    <t>YGQT51999920</t>
  </si>
  <si>
    <t>NAMS51949739</t>
  </si>
  <si>
    <t>YGQT51999939</t>
  </si>
  <si>
    <t>MINT51999946</t>
  </si>
  <si>
    <t>YGQT51999977</t>
  </si>
  <si>
    <t>YGQT51999979</t>
  </si>
  <si>
    <t>YGQT51999971</t>
  </si>
  <si>
    <t>YGQT51999991</t>
  </si>
  <si>
    <t>UYCT52205704</t>
  </si>
  <si>
    <t>YGQT51999992</t>
  </si>
  <si>
    <t>YGQT52000000</t>
  </si>
  <si>
    <t>NAMS52000006</t>
  </si>
  <si>
    <t>YGQT52000008</t>
  </si>
  <si>
    <t>KSST52185570</t>
  </si>
  <si>
    <t>NAMT52000170</t>
  </si>
  <si>
    <t>CHUT52207715</t>
  </si>
  <si>
    <t>NAMS52207755</t>
  </si>
  <si>
    <t>UYCT52199657</t>
  </si>
  <si>
    <t>NAMS52064629</t>
  </si>
  <si>
    <t>UYCT51999195</t>
  </si>
  <si>
    <t>KSST52000445</t>
  </si>
  <si>
    <t>YGQT52000493</t>
  </si>
  <si>
    <t>NAMS52196771</t>
  </si>
  <si>
    <t>UYCT51982595</t>
  </si>
  <si>
    <t>NAMS52193741</t>
  </si>
  <si>
    <t>NAMS52196162</t>
  </si>
  <si>
    <t>NAMS52196773</t>
  </si>
  <si>
    <t>KSST52209057</t>
  </si>
  <si>
    <t>NAMT52000640</t>
  </si>
  <si>
    <t>MINT52000647</t>
  </si>
  <si>
    <t>YGQT51953082</t>
  </si>
  <si>
    <t>UCQT52064404</t>
  </si>
  <si>
    <t>NAMS51995301</t>
  </si>
  <si>
    <t>KSST51952232</t>
  </si>
  <si>
    <t>CHOT51998298</t>
  </si>
  <si>
    <t>NAMS52208308</t>
  </si>
  <si>
    <t>NAMS52208321</t>
  </si>
  <si>
    <t>UYCT51952161</t>
  </si>
  <si>
    <t>KSST51952177</t>
  </si>
  <si>
    <t>UYCT51940094</t>
  </si>
  <si>
    <t>NAMS51997687</t>
  </si>
  <si>
    <t>POPT51946288</t>
  </si>
  <si>
    <t>TORT52208460</t>
  </si>
  <si>
    <t>TORT52208480</t>
  </si>
  <si>
    <t>YGQT52000942</t>
  </si>
  <si>
    <t>POPT52177872</t>
  </si>
  <si>
    <t>NAMS52153671</t>
  </si>
  <si>
    <t>NORT52208660</t>
  </si>
  <si>
    <t>CHUT52187846</t>
  </si>
  <si>
    <t>NAMS51996662</t>
  </si>
  <si>
    <t>NAMT52199645</t>
  </si>
  <si>
    <t>CHUT52187223</t>
  </si>
  <si>
    <t>CHUT52185628</t>
  </si>
  <si>
    <t>UYCT52174629</t>
  </si>
  <si>
    <t>NAMS52208867</t>
  </si>
  <si>
    <t>KSST52208893</t>
  </si>
  <si>
    <t>NAMS52001294</t>
  </si>
  <si>
    <t>KSST52205284</t>
  </si>
  <si>
    <t>KSST52207419</t>
  </si>
  <si>
    <t>UCQT52209080</t>
  </si>
  <si>
    <t>CHUT52001412</t>
  </si>
  <si>
    <t>CHUT52189822</t>
  </si>
  <si>
    <t>CHUT52190720</t>
  </si>
  <si>
    <t>NAMS52156767</t>
  </si>
  <si>
    <t>UYCT52001423</t>
  </si>
  <si>
    <t>YGQT52001603</t>
  </si>
  <si>
    <t>CHUT52196408</t>
  </si>
  <si>
    <t>KSST52209455</t>
  </si>
  <si>
    <t>MINT52001778</t>
  </si>
  <si>
    <t>TORT52192534</t>
  </si>
  <si>
    <t>TORT52192998</t>
  </si>
  <si>
    <t>CHUT52198777</t>
  </si>
  <si>
    <t>TORT52194928</t>
  </si>
  <si>
    <t>TORT52195698</t>
  </si>
  <si>
    <t>NAMS52001929</t>
  </si>
  <si>
    <t>NAMS52001953</t>
  </si>
  <si>
    <t>NAMS52001967</t>
  </si>
  <si>
    <t>UYCT52001981</t>
  </si>
  <si>
    <t>NAMS52001986</t>
  </si>
  <si>
    <t>TORT52200087</t>
  </si>
  <si>
    <t>CHUT52198619</t>
  </si>
  <si>
    <t>TORT52204114</t>
  </si>
  <si>
    <t>KSST52186154</t>
  </si>
  <si>
    <t>YGQT52209764</t>
  </si>
  <si>
    <t>MINT51939418</t>
  </si>
  <si>
    <t>NAMS52210032</t>
  </si>
  <si>
    <t>NAMS52002423</t>
  </si>
  <si>
    <t>CHUT52199364</t>
  </si>
  <si>
    <t>POPT52122782</t>
  </si>
  <si>
    <t>POPT51956367</t>
  </si>
  <si>
    <t>NAMS51938285</t>
  </si>
  <si>
    <t>NAMT51996804</t>
  </si>
  <si>
    <t>NAMS52195335</t>
  </si>
  <si>
    <t>CHUT52199159</t>
  </si>
  <si>
    <t>NAMS52189548</t>
  </si>
  <si>
    <t>TORT52189392</t>
  </si>
  <si>
    <t>CHUT52189625</t>
  </si>
  <si>
    <t>TORT52198893</t>
  </si>
  <si>
    <t>TORT52193144</t>
  </si>
  <si>
    <t>TORT52204335</t>
  </si>
  <si>
    <t>CHOT52003020</t>
  </si>
  <si>
    <t>NAMS52167499</t>
  </si>
  <si>
    <t>NAMS52167533</t>
  </si>
  <si>
    <t>NORT52192012</t>
  </si>
  <si>
    <t>CHUT52198903</t>
  </si>
  <si>
    <t>CHUT52198914</t>
  </si>
  <si>
    <t>CHUT51970151</t>
  </si>
  <si>
    <t>TORT52200455</t>
  </si>
  <si>
    <t>NAMS52210807</t>
  </si>
  <si>
    <t>UCQT52210853</t>
  </si>
  <si>
    <t>KSST51775893</t>
  </si>
  <si>
    <t>YGQT52003215</t>
  </si>
  <si>
    <t>TORT52185564</t>
  </si>
  <si>
    <t>UCQT52003616</t>
  </si>
  <si>
    <t>NAMT52003615</t>
  </si>
  <si>
    <t>NAMT52003614</t>
  </si>
  <si>
    <t>KSST51997691</t>
  </si>
  <si>
    <t>NAMT52164726</t>
  </si>
  <si>
    <t>KSST51729125</t>
  </si>
  <si>
    <t>NAMS52003980</t>
  </si>
  <si>
    <t>TORT52197490</t>
  </si>
  <si>
    <t>NAMS51743336</t>
  </si>
  <si>
    <t>TORT52186156</t>
  </si>
  <si>
    <t>UYCT52004364</t>
  </si>
  <si>
    <t>TORT52001564</t>
  </si>
  <si>
    <t>TORT52187759</t>
  </si>
  <si>
    <t>YGQT52004534</t>
  </si>
  <si>
    <t>NAMT52207933</t>
  </si>
  <si>
    <t>POPT52004637</t>
  </si>
  <si>
    <t>MINT51902025</t>
  </si>
  <si>
    <t>YGQT51953127</t>
  </si>
  <si>
    <t>YGQT52004880</t>
  </si>
  <si>
    <t>NORT52004884</t>
  </si>
  <si>
    <t>UCQT52196648</t>
  </si>
  <si>
    <t>CHUT51768180</t>
  </si>
  <si>
    <t>UYCT51795279</t>
  </si>
  <si>
    <t>NAMT51940849</t>
  </si>
  <si>
    <t>NAMT51952310</t>
  </si>
  <si>
    <t>NAMT51971168</t>
  </si>
  <si>
    <t>NAMT51986608</t>
  </si>
  <si>
    <t>MINT51955644</t>
  </si>
  <si>
    <t>UCQT51959817</t>
  </si>
  <si>
    <t>NAMS52166798</t>
  </si>
  <si>
    <t>CHOT51779908</t>
  </si>
  <si>
    <t>NAMS51957790</t>
  </si>
  <si>
    <t>KSST52208109</t>
  </si>
  <si>
    <t>NAMT52200584</t>
  </si>
  <si>
    <t>NAMS52005644</t>
  </si>
  <si>
    <t>CHUT51805325</t>
  </si>
  <si>
    <t>UYCT51805334</t>
  </si>
  <si>
    <t>CHOT52193372</t>
  </si>
  <si>
    <t>NAMT52207573</t>
  </si>
  <si>
    <t>NAMS51945605</t>
  </si>
  <si>
    <t>POPT51988099</t>
  </si>
  <si>
    <t>TORT51997803</t>
  </si>
  <si>
    <t>KSST52006250</t>
  </si>
  <si>
    <t>NAMS51803645</t>
  </si>
  <si>
    <t>UCQT51803724</t>
  </si>
  <si>
    <t>UCQT51803726</t>
  </si>
  <si>
    <t>UYCT51946308</t>
  </si>
  <si>
    <t>TORT51803962</t>
  </si>
  <si>
    <t>NAMT51803995</t>
  </si>
  <si>
    <t>UCQT52006337</t>
  </si>
  <si>
    <t>NAMS51804536</t>
  </si>
  <si>
    <t>NAMT51804141</t>
  </si>
  <si>
    <t>NAMT51803525</t>
  </si>
  <si>
    <t>UCQT51805618</t>
  </si>
  <si>
    <t>UCQT51804552</t>
  </si>
  <si>
    <t>NAMS52213418</t>
  </si>
  <si>
    <t>NORT51805156</t>
  </si>
  <si>
    <t>NAMS51805195</t>
  </si>
  <si>
    <t>UCQT51805841</t>
  </si>
  <si>
    <t>NAMT51778644</t>
  </si>
  <si>
    <t>NAMS52006891</t>
  </si>
  <si>
    <t>CHUT51916054</t>
  </si>
  <si>
    <t>NORT52213557</t>
  </si>
  <si>
    <t>NAMS52213558</t>
  </si>
  <si>
    <t>CHOT51806461</t>
  </si>
  <si>
    <t>UCQT51812327</t>
  </si>
  <si>
    <t>TORT51806750</t>
  </si>
  <si>
    <t>YGQT52179971</t>
  </si>
  <si>
    <t>NAMS51948544</t>
  </si>
  <si>
    <t>TORT51806475</t>
  </si>
  <si>
    <t>UYCT52167665</t>
  </si>
  <si>
    <t>YGQT52168029</t>
  </si>
  <si>
    <t>UYCT51807305</t>
  </si>
  <si>
    <t>NAMS51807333</t>
  </si>
  <si>
    <t>NORT52213767</t>
  </si>
  <si>
    <t>YGQT52213764</t>
  </si>
  <si>
    <t>CHUT51960134</t>
  </si>
  <si>
    <t>UCQT51808631</t>
  </si>
  <si>
    <t>TORT51808678</t>
  </si>
  <si>
    <t>NAMS51810365</t>
  </si>
  <si>
    <t>UCQT51810417</t>
  </si>
  <si>
    <t>CHUT51960140</t>
  </si>
  <si>
    <t>TORT51955570</t>
  </si>
  <si>
    <t>UYCT52200450</t>
  </si>
  <si>
    <t>TORT52213982</t>
  </si>
  <si>
    <t>CHUT51811695</t>
  </si>
  <si>
    <t>TORT52196612</t>
  </si>
  <si>
    <t>CHUT51959595</t>
  </si>
  <si>
    <t>TORT51811864</t>
  </si>
  <si>
    <t>UCQT51811919</t>
  </si>
  <si>
    <t>NAMS51982544</t>
  </si>
  <si>
    <t>CHUT51961064</t>
  </si>
  <si>
    <t>CHUT51957926</t>
  </si>
  <si>
    <t>CHOT51812071</t>
  </si>
  <si>
    <t>NAMS52235183</t>
  </si>
  <si>
    <t>NAMS52005855</t>
  </si>
  <si>
    <t>NAMS51948231</t>
  </si>
  <si>
    <t>NAMS52235188</t>
  </si>
  <si>
    <t>POPT52220590</t>
  </si>
  <si>
    <t>MINT52235214</t>
  </si>
  <si>
    <t>MINT52235193</t>
  </si>
  <si>
    <t>UYCT51812744</t>
  </si>
  <si>
    <t>NAMT51812775</t>
  </si>
  <si>
    <t>NAMS51993920</t>
  </si>
  <si>
    <t>NAMT52220658</t>
  </si>
  <si>
    <t>NAMS51995314</t>
  </si>
  <si>
    <t>POPT52202636</t>
  </si>
  <si>
    <t>KSST52009880</t>
  </si>
  <si>
    <t>POPT52200661</t>
  </si>
  <si>
    <t>NAMS51985663</t>
  </si>
  <si>
    <t>NAMS51694800</t>
  </si>
  <si>
    <t>POPT52199864</t>
  </si>
  <si>
    <t>NAMS51989831</t>
  </si>
  <si>
    <t>POPT52198712</t>
  </si>
  <si>
    <t>NAMS51995700</t>
  </si>
  <si>
    <t>NAMS51997094</t>
  </si>
  <si>
    <t>POPT52190664</t>
  </si>
  <si>
    <t>POPT52189387</t>
  </si>
  <si>
    <t>POPT51813298</t>
  </si>
  <si>
    <t>NAMS52010238</t>
  </si>
  <si>
    <t>NAMS52235373</t>
  </si>
  <si>
    <t>UCQT52233895</t>
  </si>
  <si>
    <t>POPT52235417</t>
  </si>
  <si>
    <t>TORT52235419</t>
  </si>
  <si>
    <t>NORT52186158</t>
  </si>
  <si>
    <t>YGQT52233898</t>
  </si>
  <si>
    <t>MINT52235435</t>
  </si>
  <si>
    <t>UYCT51795400</t>
  </si>
  <si>
    <t>NAMS51813642</t>
  </si>
  <si>
    <t>CHUT52196394</t>
  </si>
  <si>
    <t>YGQT52187241</t>
  </si>
  <si>
    <t>TORT52043580</t>
  </si>
  <si>
    <t>YGQT51953660</t>
  </si>
  <si>
    <t>UYCT52173101</t>
  </si>
  <si>
    <t>YGQT52003026</t>
  </si>
  <si>
    <t>MINT52233983</t>
  </si>
  <si>
    <t>UYCT52173240</t>
  </si>
  <si>
    <t>UCQT52233977</t>
  </si>
  <si>
    <t>UYCT51951958</t>
  </si>
  <si>
    <t>UYCT52175240</t>
  </si>
  <si>
    <t>NAMS51941878</t>
  </si>
  <si>
    <t>UYCT52108455</t>
  </si>
  <si>
    <t>NAMS52233994</t>
  </si>
  <si>
    <t>NAMS52234006</t>
  </si>
  <si>
    <t>UYCT51813875</t>
  </si>
  <si>
    <t>UYCT51982689</t>
  </si>
  <si>
    <t>MINT52234105</t>
  </si>
  <si>
    <t>NAMS52009875</t>
  </si>
  <si>
    <t>TORT52234184</t>
  </si>
  <si>
    <t>YGQT52234190</t>
  </si>
  <si>
    <t>NAMS51807257</t>
  </si>
  <si>
    <t>CHOT52112502</t>
  </si>
  <si>
    <t>CHOT52233995</t>
  </si>
  <si>
    <t>UCQT52234289</t>
  </si>
  <si>
    <t>NAMS51771761</t>
  </si>
  <si>
    <t>UYCT51806785</t>
  </si>
  <si>
    <t>KSST51814375</t>
  </si>
  <si>
    <t>UCQT51816008</t>
  </si>
  <si>
    <t>TORT52234414</t>
  </si>
  <si>
    <t>TORT52234429</t>
  </si>
  <si>
    <t>NAMS52234418</t>
  </si>
  <si>
    <t>UYCT52191201</t>
  </si>
  <si>
    <t>NAMS51616593</t>
  </si>
  <si>
    <t>UCQT51814556</t>
  </si>
  <si>
    <t>UCQT51814562</t>
  </si>
  <si>
    <t>UCQT51814580</t>
  </si>
  <si>
    <t>NORT51999201</t>
  </si>
  <si>
    <t>NAMS52234652</t>
  </si>
  <si>
    <t>NAMT52199384</t>
  </si>
  <si>
    <t>YGQT52200461</t>
  </si>
  <si>
    <t>CHUT52234807</t>
  </si>
  <si>
    <t>UCQT52234821</t>
  </si>
  <si>
    <t>YGQT52234826</t>
  </si>
  <si>
    <t>UYCT51957141</t>
  </si>
  <si>
    <t>UYCT52208322</t>
  </si>
  <si>
    <t>CHOT52234956</t>
  </si>
  <si>
    <t>POPT52234950</t>
  </si>
  <si>
    <t>MINT52234978</t>
  </si>
  <si>
    <t>UYCT52235002</t>
  </si>
  <si>
    <t>UYCT51959668</t>
  </si>
  <si>
    <t>NAMS52048415</t>
  </si>
  <si>
    <t>NAMS52193345</t>
  </si>
  <si>
    <t>YGQT52110911</t>
  </si>
  <si>
    <t>MINT52235165</t>
  </si>
  <si>
    <t>NAMS52235539</t>
  </si>
  <si>
    <t>NAMT52003221</t>
  </si>
  <si>
    <t>NAMS52235618</t>
  </si>
  <si>
    <t>MINT52235678</t>
  </si>
  <si>
    <t>UCQT51996776</t>
  </si>
  <si>
    <t>NAMS51913105</t>
  </si>
  <si>
    <t>CHOT51807328</t>
  </si>
  <si>
    <t>MINT51818848</t>
  </si>
  <si>
    <t>YGQT52235847</t>
  </si>
  <si>
    <t>MINT51818894</t>
  </si>
  <si>
    <t>NAMS52012963</t>
  </si>
  <si>
    <t>NAMS52012962</t>
  </si>
  <si>
    <t>NAMS52012964</t>
  </si>
  <si>
    <t>POPT52030696</t>
  </si>
  <si>
    <t>UYCT52235404</t>
  </si>
  <si>
    <t>MINT52187834</t>
  </si>
  <si>
    <t>CHOT52236025</t>
  </si>
  <si>
    <t>TORT52236007</t>
  </si>
  <si>
    <t>NAMS51864135</t>
  </si>
  <si>
    <t>UYCT52103520</t>
  </si>
  <si>
    <t>YGQT52030729</t>
  </si>
  <si>
    <t>NAMS52030730</t>
  </si>
  <si>
    <t>TORT52030722</t>
  </si>
  <si>
    <t>POPT52030731</t>
  </si>
  <si>
    <t>YGQT52236221</t>
  </si>
  <si>
    <t>YGQT52236225</t>
  </si>
  <si>
    <t>POPT52212895</t>
  </si>
  <si>
    <t>MINT52169026</t>
  </si>
  <si>
    <t>UYCT51957387</t>
  </si>
  <si>
    <t>YGQT52236422</t>
  </si>
  <si>
    <t>NAMS52236439</t>
  </si>
  <si>
    <t>MINT52236473</t>
  </si>
  <si>
    <t>NAMS52236468</t>
  </si>
  <si>
    <t>NAMS51816132</t>
  </si>
  <si>
    <t>UCQT52236840</t>
  </si>
  <si>
    <t>NAMS51816307</t>
  </si>
  <si>
    <t>NAMS52239447</t>
  </si>
  <si>
    <t>POPT52236944</t>
  </si>
  <si>
    <t>NAMS52236948</t>
  </si>
  <si>
    <t>TORT52237009</t>
  </si>
  <si>
    <t>NAMS51812107</t>
  </si>
  <si>
    <t>NAMS51816045</t>
  </si>
  <si>
    <t>YGQT52195703</t>
  </si>
  <si>
    <t>YGQT52168561</t>
  </si>
  <si>
    <t>TORT52237110</t>
  </si>
  <si>
    <t>POPT51912077</t>
  </si>
  <si>
    <t>NAMS52237165</t>
  </si>
  <si>
    <t>YGQT52237200</t>
  </si>
  <si>
    <t>UYCT52237196</t>
  </si>
  <si>
    <t>TORT52237210</t>
  </si>
  <si>
    <t>POPT51984893</t>
  </si>
  <si>
    <t>NAMS51948887</t>
  </si>
  <si>
    <t>CHOT52043609</t>
  </si>
  <si>
    <t>NAMS52235845</t>
  </si>
  <si>
    <t>KSST52239508</t>
  </si>
  <si>
    <t>CHOT51995688</t>
  </si>
  <si>
    <t>NAMS52237328</t>
  </si>
  <si>
    <t>KSST52237394</t>
  </si>
  <si>
    <t>UCQT51819050</t>
  </si>
  <si>
    <t>YGQT52237404</t>
  </si>
  <si>
    <t>POPT52192536</t>
  </si>
  <si>
    <t>TORT51859960</t>
  </si>
  <si>
    <t>MINT52026043</t>
  </si>
  <si>
    <t>NAMS52030828</t>
  </si>
  <si>
    <t>NAMS52237512</t>
  </si>
  <si>
    <t>TORT52237508</t>
  </si>
  <si>
    <t>UYCT52237524</t>
  </si>
  <si>
    <t>MINT52237592</t>
  </si>
  <si>
    <t>TORT52237593</t>
  </si>
  <si>
    <t>NAMS51806527</t>
  </si>
  <si>
    <t>TORT51875041</t>
  </si>
  <si>
    <t>CHUT52026741</t>
  </si>
  <si>
    <t>KSST51817143</t>
  </si>
  <si>
    <t>TORT52026762</t>
  </si>
  <si>
    <t>TORT51940279</t>
  </si>
  <si>
    <t>NAMS52238823</t>
  </si>
  <si>
    <t>NAMS52237934</t>
  </si>
  <si>
    <t>NAMS52237982</t>
  </si>
  <si>
    <t>MINT52237999</t>
  </si>
  <si>
    <t>YGQT52195357</t>
  </si>
  <si>
    <t>NAMS52238004</t>
  </si>
  <si>
    <t>NAMS52237940</t>
  </si>
  <si>
    <t>KSST51952366</t>
  </si>
  <si>
    <t>NAMS51912763</t>
  </si>
  <si>
    <t>UCQT51805577</t>
  </si>
  <si>
    <t>TORT52159395</t>
  </si>
  <si>
    <t>NORT52238825</t>
  </si>
  <si>
    <t>CHUT52238831</t>
  </si>
  <si>
    <t>NAMS52238834</t>
  </si>
  <si>
    <t>NAMS52026980</t>
  </si>
  <si>
    <t>NORT52238780</t>
  </si>
  <si>
    <t>NORT51948405</t>
  </si>
  <si>
    <t>UCQT51805752</t>
  </si>
  <si>
    <t>NAMS52239014</t>
  </si>
  <si>
    <t>POPT52239009</t>
  </si>
  <si>
    <t>MINT51818523</t>
  </si>
  <si>
    <t>MINT52239091</t>
  </si>
  <si>
    <t>UYCT52027374</t>
  </si>
  <si>
    <t>NAMS52027390</t>
  </si>
  <si>
    <t>MINT51939520</t>
  </si>
  <si>
    <t>TORT52239173</t>
  </si>
  <si>
    <t>KSST52028748</t>
  </si>
  <si>
    <t>CHUT51942539</t>
  </si>
  <si>
    <t>CHUT52028820</t>
  </si>
  <si>
    <t>YGQT51822490</t>
  </si>
  <si>
    <t>TORT51811749</t>
  </si>
  <si>
    <t>MINT52239227</t>
  </si>
  <si>
    <t>NAMS52239262</t>
  </si>
  <si>
    <t>NAMS52239268</t>
  </si>
  <si>
    <t>UCQT52239275</t>
  </si>
  <si>
    <t>NAMS52239277</t>
  </si>
  <si>
    <t>NAMS52239293</t>
  </si>
  <si>
    <t>MINT51818749</t>
  </si>
  <si>
    <t>NAMS52156884</t>
  </si>
  <si>
    <t>UCQT52030559</t>
  </si>
  <si>
    <t>NAMS51945978</t>
  </si>
  <si>
    <t>UCQT52243204</t>
  </si>
  <si>
    <t>CHUT51649156</t>
  </si>
  <si>
    <t>NAMS52151818</t>
  </si>
  <si>
    <t>NAMS52239882</t>
  </si>
  <si>
    <t>YGQT52031991</t>
  </si>
  <si>
    <t>NORT52035351</t>
  </si>
  <si>
    <t>NAMT52240092</t>
  </si>
  <si>
    <t>TORT52240157</t>
  </si>
  <si>
    <t>YGQT52240156</t>
  </si>
  <si>
    <t>MINT52032109</t>
  </si>
  <si>
    <t>YGQT52032128</t>
  </si>
  <si>
    <t>UCQT52032135</t>
  </si>
  <si>
    <t>CHUT52032164</t>
  </si>
  <si>
    <t>TORT52240290</t>
  </si>
  <si>
    <t>UYCT51805192</t>
  </si>
  <si>
    <t>UCQT51806518</t>
  </si>
  <si>
    <t>UCQT52035399</t>
  </si>
  <si>
    <t>MINT52240282</t>
  </si>
  <si>
    <t>YGQT52200269</t>
  </si>
  <si>
    <t>TORT52035400</t>
  </si>
  <si>
    <t>UCQT51819961</t>
  </si>
  <si>
    <t>UYCT52032260</t>
  </si>
  <si>
    <t>NAMS51982542</t>
  </si>
  <si>
    <t>NAMS52240906</t>
  </si>
  <si>
    <t>NAMS52237059</t>
  </si>
  <si>
    <t>NORT51945957</t>
  </si>
  <si>
    <t>CHOT52240329</t>
  </si>
  <si>
    <t>KSST52032742</t>
  </si>
  <si>
    <t>NAMS52032757</t>
  </si>
  <si>
    <t>YGQT51962445</t>
  </si>
  <si>
    <t>NAMS52241190</t>
  </si>
  <si>
    <t>TORT52241189</t>
  </si>
  <si>
    <t>UYCT52241195</t>
  </si>
  <si>
    <t>NORT52241228</t>
  </si>
  <si>
    <t>UYCT52032710</t>
  </si>
  <si>
    <t>UYCT52032148</t>
  </si>
  <si>
    <t>POPT52032929</t>
  </si>
  <si>
    <t>UCQT51820582</t>
  </si>
  <si>
    <t>NAMS52241415</t>
  </si>
  <si>
    <t>NAMS52241458</t>
  </si>
  <si>
    <t>POPT52241485</t>
  </si>
  <si>
    <t>NAMS52241478</t>
  </si>
  <si>
    <t>TORT51806914</t>
  </si>
  <si>
    <t>KSST51820772</t>
  </si>
  <si>
    <t>KSST51820736</t>
  </si>
  <si>
    <t>NAMS52033030</t>
  </si>
  <si>
    <t>TORT52033063</t>
  </si>
  <si>
    <t>NAMT52200066</t>
  </si>
  <si>
    <t>NAMS52033096</t>
  </si>
  <si>
    <t>YGQT52033107</t>
  </si>
  <si>
    <t>NAMS52241576</t>
  </si>
  <si>
    <t>NAMT52033182</t>
  </si>
  <si>
    <t>CHOT52030857</t>
  </si>
  <si>
    <t>YGQT52241646</t>
  </si>
  <si>
    <t>MINT52241641</t>
  </si>
  <si>
    <t>UCQT52006339</t>
  </si>
  <si>
    <t>NAMT52033167</t>
  </si>
  <si>
    <t>NAMT51821071</t>
  </si>
  <si>
    <t>TORT51821084</t>
  </si>
  <si>
    <t>MINT52033300</t>
  </si>
  <si>
    <t>UYCT51821110</t>
  </si>
  <si>
    <t>MINT52241738</t>
  </si>
  <si>
    <t>NORT52241776</t>
  </si>
  <si>
    <t>CHOT52241830</t>
  </si>
  <si>
    <t>CHUT52195313</t>
  </si>
  <si>
    <t>CHUT52186184</t>
  </si>
  <si>
    <t>TORT52033413</t>
  </si>
  <si>
    <t>NAMS52033421</t>
  </si>
  <si>
    <t>YGQT51821197</t>
  </si>
  <si>
    <t>UCQT51821225</t>
  </si>
  <si>
    <t>UCQT51821243</t>
  </si>
  <si>
    <t>POPT51949493</t>
  </si>
  <si>
    <t>NAMS52241950</t>
  </si>
  <si>
    <t>MINT52033804</t>
  </si>
  <si>
    <t>MINT52033807</t>
  </si>
  <si>
    <t>KSST52033825</t>
  </si>
  <si>
    <t>NAMS51821313</t>
  </si>
  <si>
    <t>UCQT52033947</t>
  </si>
  <si>
    <t>MINT52033928</t>
  </si>
  <si>
    <t>CHOT52241973</t>
  </si>
  <si>
    <t>YGQT51821227</t>
  </si>
  <si>
    <t>TORT52242144</t>
  </si>
  <si>
    <t>NAMS51612935</t>
  </si>
  <si>
    <t>MINT51806503</t>
  </si>
  <si>
    <t>NAMS52034036</t>
  </si>
  <si>
    <t>KSST52034028</t>
  </si>
  <si>
    <t>UCQT52034042</t>
  </si>
  <si>
    <t>NAMS52034070</t>
  </si>
  <si>
    <t>TORT52034059</t>
  </si>
  <si>
    <t>NAMS51821560</t>
  </si>
  <si>
    <t>NAMS52034092</t>
  </si>
  <si>
    <t>TORT52242359</t>
  </si>
  <si>
    <t>YGQT52242368</t>
  </si>
  <si>
    <t>NAMS51989607</t>
  </si>
  <si>
    <t>TORT51821707</t>
  </si>
  <si>
    <t>TORT51821716</t>
  </si>
  <si>
    <t>POPT52239233</t>
  </si>
  <si>
    <t>TORT51822338</t>
  </si>
  <si>
    <t>CHUT52034406</t>
  </si>
  <si>
    <t>NAMS52034422</t>
  </si>
  <si>
    <t>UCQT51995861</t>
  </si>
  <si>
    <t>NAMS52242495</t>
  </si>
  <si>
    <t>NAMT52242521</t>
  </si>
  <si>
    <t>CHUT52242545</t>
  </si>
  <si>
    <t>NAMT52242554</t>
  </si>
  <si>
    <t>YGQT52242563</t>
  </si>
  <si>
    <t>NAMT52242565</t>
  </si>
  <si>
    <t>CHOT52242569</t>
  </si>
  <si>
    <t>POPT52034669</t>
  </si>
  <si>
    <t>NAMS52242632</t>
  </si>
  <si>
    <t>NAMT52242650</t>
  </si>
  <si>
    <t>NAMT52242658</t>
  </si>
  <si>
    <t>NAMT52242666</t>
  </si>
  <si>
    <t>NAMT52242698</t>
  </si>
  <si>
    <t>NAMS52034840</t>
  </si>
  <si>
    <t>POPT52034863</t>
  </si>
  <si>
    <t>UYCT52034877</t>
  </si>
  <si>
    <t>UYCT52034899</t>
  </si>
  <si>
    <t>NAMT52034835</t>
  </si>
  <si>
    <t>TORT51821868</t>
  </si>
  <si>
    <t>MINT51805331</t>
  </si>
  <si>
    <t>NAMT52242836</t>
  </si>
  <si>
    <t>YGQT51986836</t>
  </si>
  <si>
    <t>UYCT52242872</t>
  </si>
  <si>
    <t>POPT51823106</t>
  </si>
  <si>
    <t>UYCT52034990</t>
  </si>
  <si>
    <t>UCQT52034995</t>
  </si>
  <si>
    <t>YGQT52035018</t>
  </si>
  <si>
    <t>YGQT52035036</t>
  </si>
  <si>
    <t>UYCT52035045</t>
  </si>
  <si>
    <t>NAMT52243033</t>
  </si>
  <si>
    <t>NAMT52243049</t>
  </si>
  <si>
    <t>NAMT52243084</t>
  </si>
  <si>
    <t>CHUT52035207</t>
  </si>
  <si>
    <t>NAMT51998932</t>
  </si>
  <si>
    <t>UYCT52189166</t>
  </si>
  <si>
    <t>TORT52243166</t>
  </si>
  <si>
    <t>UYCT52243174</t>
  </si>
  <si>
    <t>NORT52243383</t>
  </si>
  <si>
    <t>UCQT52243426</t>
  </si>
  <si>
    <t>MINT51812520</t>
  </si>
  <si>
    <t>NAMS52035527</t>
  </si>
  <si>
    <t>CHOT52035541</t>
  </si>
  <si>
    <t>NAMT51822445</t>
  </si>
  <si>
    <t>POPT51864128</t>
  </si>
  <si>
    <t>CHUT51822451</t>
  </si>
  <si>
    <t>YGQT51992612</t>
  </si>
  <si>
    <t>NAMT52035611</t>
  </si>
  <si>
    <t>KSST52035606</t>
  </si>
  <si>
    <t>NAMT52243586</t>
  </si>
  <si>
    <t>NAMS52035799</t>
  </si>
  <si>
    <t>NAMT52243646</t>
  </si>
  <si>
    <t>NAMT51816310</t>
  </si>
  <si>
    <t>NAMT52032548</t>
  </si>
  <si>
    <t>NAMT52032971</t>
  </si>
  <si>
    <t>NAMS52035885</t>
  </si>
  <si>
    <t>CHUT52035877</t>
  </si>
  <si>
    <t>NAMS52035911</t>
  </si>
  <si>
    <t>TORT51994951</t>
  </si>
  <si>
    <t>POPT52243783</t>
  </si>
  <si>
    <t>UCQT52243794</t>
  </si>
  <si>
    <t>NAMS52036047</t>
  </si>
  <si>
    <t>KSST52036104</t>
  </si>
  <si>
    <t>MINT51822799</t>
  </si>
  <si>
    <t>NAMS52036207</t>
  </si>
  <si>
    <t>KSST52036244</t>
  </si>
  <si>
    <t>NAMS52036246</t>
  </si>
  <si>
    <t>KSST52036242</t>
  </si>
  <si>
    <t>NAMS52036251</t>
  </si>
  <si>
    <t>NAMS52036252</t>
  </si>
  <si>
    <t>KSST52036257</t>
  </si>
  <si>
    <t>UYCT51822956</t>
  </si>
  <si>
    <t>NAMS51939353</t>
  </si>
  <si>
    <t>KSST51803983</t>
  </si>
  <si>
    <t>NAMS52036344</t>
  </si>
  <si>
    <t>NAMS51989640</t>
  </si>
  <si>
    <t>UCQT52036365</t>
  </si>
  <si>
    <t>POPT52243983</t>
  </si>
  <si>
    <t>NAMS52237425</t>
  </si>
  <si>
    <t>NAMS52244155</t>
  </si>
  <si>
    <t>NORT52244185</t>
  </si>
  <si>
    <t>UYCT52036791</t>
  </si>
  <si>
    <t>CHUT52037338</t>
  </si>
  <si>
    <t>KSST52037457</t>
  </si>
  <si>
    <t>YGQT52037490</t>
  </si>
  <si>
    <t>CHOT52037537</t>
  </si>
  <si>
    <t>POPT51695096</t>
  </si>
  <si>
    <t>UYCT52196322</t>
  </si>
  <si>
    <t>CHOT52203202</t>
  </si>
  <si>
    <t>NAMS52197978</t>
  </si>
  <si>
    <t>UCQT52037797</t>
  </si>
  <si>
    <t>YGQT52037810</t>
  </si>
  <si>
    <t>CHUT52172942</t>
  </si>
  <si>
    <t>NORT52244565</t>
  </si>
  <si>
    <t>NAMS52244585</t>
  </si>
  <si>
    <t>CHOT52036501</t>
  </si>
  <si>
    <t>UYCT51823758</t>
  </si>
  <si>
    <t>MINT51952297</t>
  </si>
  <si>
    <t>CHOT52036495</t>
  </si>
  <si>
    <t>POPT52038040</t>
  </si>
  <si>
    <t>NAMS52038272</t>
  </si>
  <si>
    <t>UYCT52244880</t>
  </si>
  <si>
    <t>POPT52244899</t>
  </si>
  <si>
    <t>NAMS52244934</t>
  </si>
  <si>
    <t>UYCT52245775</t>
  </si>
  <si>
    <t>UYCT51820788</t>
  </si>
  <si>
    <t>NAMS52038566</t>
  </si>
  <si>
    <t>MINT52245144</t>
  </si>
  <si>
    <t>POPT52245173</t>
  </si>
  <si>
    <t>CHOT52243195</t>
  </si>
  <si>
    <t>NAMS51901260</t>
  </si>
  <si>
    <t>YGQT52245258</t>
  </si>
  <si>
    <t>KSST52039559</t>
  </si>
  <si>
    <t>NAMS52245297</t>
  </si>
  <si>
    <t>POPT51825008</t>
  </si>
  <si>
    <t>CHOT52245239</t>
  </si>
  <si>
    <t>CHOT52189471</t>
  </si>
  <si>
    <t>TORT52245434</t>
  </si>
  <si>
    <t>NAMS52245473</t>
  </si>
  <si>
    <t>NAMS52039151</t>
  </si>
  <si>
    <t>KSST51723876</t>
  </si>
  <si>
    <t>UCQT52245519</t>
  </si>
  <si>
    <t>NAMS52245524</t>
  </si>
  <si>
    <t>NAMS51998909</t>
  </si>
  <si>
    <t>YGQT52001535</t>
  </si>
  <si>
    <t>YGQT52002584</t>
  </si>
  <si>
    <t>TORT52239250</t>
  </si>
  <si>
    <t>NAMS52245567</t>
  </si>
  <si>
    <t>YGQT51814359</t>
  </si>
  <si>
    <t>NAMT52245825</t>
  </si>
  <si>
    <t>YGQT52039593</t>
  </si>
  <si>
    <t>NAMS52039601</t>
  </si>
  <si>
    <t>UYCT52245851</t>
  </si>
  <si>
    <t>NAMS52039726</t>
  </si>
  <si>
    <t>MINT52039736</t>
  </si>
  <si>
    <t>KSST52039749</t>
  </si>
  <si>
    <t>NAMS52040925</t>
  </si>
  <si>
    <t>NAMS52040957</t>
  </si>
  <si>
    <t>KSST52245874</t>
  </si>
  <si>
    <t>NAMT52245876</t>
  </si>
  <si>
    <t>MINT51877273</t>
  </si>
  <si>
    <t>CHUT52198342</t>
  </si>
  <si>
    <t>NAMT52243787</t>
  </si>
  <si>
    <t>MINT51872108</t>
  </si>
  <si>
    <t>CHUT52041504</t>
  </si>
  <si>
    <t>POPT52041526</t>
  </si>
  <si>
    <t>UCQT52245929</t>
  </si>
  <si>
    <t>YGQT52245932</t>
  </si>
  <si>
    <t>NAMS52245925</t>
  </si>
  <si>
    <t>NAMS52245940</t>
  </si>
  <si>
    <t>MINT52245949</t>
  </si>
  <si>
    <t>KSST52245947</t>
  </si>
  <si>
    <t>NAMS52243851</t>
  </si>
  <si>
    <t>NORT52203059</t>
  </si>
  <si>
    <t>KSST52245984</t>
  </si>
  <si>
    <t>NAMS52246021</t>
  </si>
  <si>
    <t>KSST52245994</t>
  </si>
  <si>
    <t>KSST52001311</t>
  </si>
  <si>
    <t>NAMS52041716</t>
  </si>
  <si>
    <t>CHUT52044581</t>
  </si>
  <si>
    <t>KSST52041758</t>
  </si>
  <si>
    <t>TORT52239549</t>
  </si>
  <si>
    <t>UCQT52041781</t>
  </si>
  <si>
    <t>NAMT52041786</t>
  </si>
  <si>
    <t>UCQT51948553</t>
  </si>
  <si>
    <t>UYCT52041853</t>
  </si>
  <si>
    <t>UCQT52041858</t>
  </si>
  <si>
    <t>UYCT52246130</t>
  </si>
  <si>
    <t>NAMS52246162</t>
  </si>
  <si>
    <t>MINT52246176</t>
  </si>
  <si>
    <t>TORT52001100</t>
  </si>
  <si>
    <t>UCQT52246259</t>
  </si>
  <si>
    <t>KSST52246279</t>
  </si>
  <si>
    <t>CHUT52042194</t>
  </si>
  <si>
    <t>NAMS52042195</t>
  </si>
  <si>
    <t>NAMS51945393</t>
  </si>
  <si>
    <t>NAMS52246490</t>
  </si>
  <si>
    <t>NAMS52246486</t>
  </si>
  <si>
    <t>NAMS51943936</t>
  </si>
  <si>
    <t>NAMS52042622</t>
  </si>
  <si>
    <t>NAMS52005857</t>
  </si>
  <si>
    <t>CHUT52247608</t>
  </si>
  <si>
    <t>NAMS51951860</t>
  </si>
  <si>
    <t>NAMS52235409</t>
  </si>
  <si>
    <t>NORT52246692</t>
  </si>
  <si>
    <t>NORT51985299</t>
  </si>
  <si>
    <t>UCQT52042724</t>
  </si>
  <si>
    <t>POPT52042740</t>
  </si>
  <si>
    <t>NAMT52246674</t>
  </si>
  <si>
    <t>MINT51938560</t>
  </si>
  <si>
    <t>NAMS52236074</t>
  </si>
  <si>
    <t>NORT52030853</t>
  </si>
  <si>
    <t>CHUT52246755</t>
  </si>
  <si>
    <t>NAMS51686702</t>
  </si>
  <si>
    <t>POPT52035082</t>
  </si>
  <si>
    <t>POPT51719673</t>
  </si>
  <si>
    <t>POPT51995737</t>
  </si>
  <si>
    <t>NAMS52247549</t>
  </si>
  <si>
    <t>CHUT52158393</t>
  </si>
  <si>
    <t>CHUT52042917</t>
  </si>
  <si>
    <t>CHUT52042931</t>
  </si>
  <si>
    <t>NAMS52042939</t>
  </si>
  <si>
    <t>NAMS52042953</t>
  </si>
  <si>
    <t>MINT51720005</t>
  </si>
  <si>
    <t>KSST52042612</t>
  </si>
  <si>
    <t>CHUT52172795</t>
  </si>
  <si>
    <t>NAMS52043026</t>
  </si>
  <si>
    <t>KSST52043039</t>
  </si>
  <si>
    <t>UYCT52246843</t>
  </si>
  <si>
    <t>CHUT52043041</t>
  </si>
  <si>
    <t>NAMT52043058</t>
  </si>
  <si>
    <t>NAMS52043057</t>
  </si>
  <si>
    <t>KSST52043064</t>
  </si>
  <si>
    <t>NAMS52246867</t>
  </si>
  <si>
    <t>CHUT52043195</t>
  </si>
  <si>
    <t>NAMS52043228</t>
  </si>
  <si>
    <t>YGQT52043244</t>
  </si>
  <si>
    <t>KSST52043240</t>
  </si>
  <si>
    <t>CHUT52043254</t>
  </si>
  <si>
    <t>CHUT52246930</t>
  </si>
  <si>
    <t>TORT51806486</t>
  </si>
  <si>
    <t>NAMS52043405</t>
  </si>
  <si>
    <t>YGQT52043383</t>
  </si>
  <si>
    <t>NAMS52043429</t>
  </si>
  <si>
    <t>CHUT52043437</t>
  </si>
  <si>
    <t>NAMS51998601</t>
  </si>
  <si>
    <t>NAMS51951721</t>
  </si>
  <si>
    <t>POPT51863701</t>
  </si>
  <si>
    <t>POPT52247072</t>
  </si>
  <si>
    <t>MINT52247084</t>
  </si>
  <si>
    <t>TORT52247111</t>
  </si>
  <si>
    <t>NAMS52043543</t>
  </si>
  <si>
    <t>KSST52043542</t>
  </si>
  <si>
    <t>CHUT52043561</t>
  </si>
  <si>
    <t>KSST51952935</t>
  </si>
  <si>
    <t>TORT51806517</t>
  </si>
  <si>
    <t>YGQT51873693</t>
  </si>
  <si>
    <t>MINT52043721</t>
  </si>
  <si>
    <t>POPT52043729</t>
  </si>
  <si>
    <t>CHUT52043732</t>
  </si>
  <si>
    <t>NAMS52043752</t>
  </si>
  <si>
    <t>NAMT52043758</t>
  </si>
  <si>
    <t>NAMS52043789</t>
  </si>
  <si>
    <t>CHOT51949188</t>
  </si>
  <si>
    <t>KSST52247221</t>
  </si>
  <si>
    <t>UYCT51953487</t>
  </si>
  <si>
    <t>TORT51808676</t>
  </si>
  <si>
    <t>NAMT52043926</t>
  </si>
  <si>
    <t>CHUT52043929</t>
  </si>
  <si>
    <t>NAMS52043940</t>
  </si>
  <si>
    <t>UYCT52043947</t>
  </si>
  <si>
    <t>KSST52043965</t>
  </si>
  <si>
    <t>CHUT52043973</t>
  </si>
  <si>
    <t>CHUT52043987</t>
  </si>
  <si>
    <t>NAMS52185548</t>
  </si>
  <si>
    <t>UYCT51999216</t>
  </si>
  <si>
    <t>NAMS52247298</t>
  </si>
  <si>
    <t>NAMS52247306</t>
  </si>
  <si>
    <t>TORT52247319</t>
  </si>
  <si>
    <t>KSST52044090</t>
  </si>
  <si>
    <t>NORT52044096</t>
  </si>
  <si>
    <t>NORT52044097</t>
  </si>
  <si>
    <t>NORT52044122</t>
  </si>
  <si>
    <t>NAMT52044126</t>
  </si>
  <si>
    <t>CHOT52043755</t>
  </si>
  <si>
    <t>NAMS51728987</t>
  </si>
  <si>
    <t>CHUT52044256</t>
  </si>
  <si>
    <t>NAMT52044255</t>
  </si>
  <si>
    <t>MINT52247417</t>
  </si>
  <si>
    <t>NAMS52247432</t>
  </si>
  <si>
    <t>NAMS52247456</t>
  </si>
  <si>
    <t>TORT52234033</t>
  </si>
  <si>
    <t>MINT52044460</t>
  </si>
  <si>
    <t>NAMS52035906</t>
  </si>
  <si>
    <t>NAMS51982539</t>
  </si>
  <si>
    <t>UYCT52166758</t>
  </si>
  <si>
    <t>POPT51830399</t>
  </si>
  <si>
    <t>TORT52243986</t>
  </si>
  <si>
    <t>TORT51749280</t>
  </si>
  <si>
    <t>NAMS52001562</t>
  </si>
  <si>
    <t>NAMS52247590</t>
  </si>
  <si>
    <t>CHUT51838877</t>
  </si>
  <si>
    <t>CHUT52044843</t>
  </si>
  <si>
    <t>YGQT52044857</t>
  </si>
  <si>
    <t>MINT52247903</t>
  </si>
  <si>
    <t>POPT52044847</t>
  </si>
  <si>
    <t>CHUT52044865</t>
  </si>
  <si>
    <t>NAMS52242819</t>
  </si>
  <si>
    <t>NAMS52244895</t>
  </si>
  <si>
    <t>NAMS52244929</t>
  </si>
  <si>
    <t>CHUT52044973</t>
  </si>
  <si>
    <t>KSST52044980</t>
  </si>
  <si>
    <t>UYCT52248119</t>
  </si>
  <si>
    <t>UYCT52248176</t>
  </si>
  <si>
    <t>NAMS52246464</t>
  </si>
  <si>
    <t>UYCT51849401</t>
  </si>
  <si>
    <t>NAMS52246470</t>
  </si>
  <si>
    <t>NAMS52247920</t>
  </si>
  <si>
    <t>MINT51873165</t>
  </si>
  <si>
    <t>UCQT52248266</t>
  </si>
  <si>
    <t>CHUT52248286</t>
  </si>
  <si>
    <t>KSST52248299</t>
  </si>
  <si>
    <t>UCQT51849904</t>
  </si>
  <si>
    <t>CHUT52045098</t>
  </si>
  <si>
    <t>CHUT51831904</t>
  </si>
  <si>
    <t>TORT51831962</t>
  </si>
  <si>
    <t>UYCT51945597</t>
  </si>
  <si>
    <t>TORT51832850</t>
  </si>
  <si>
    <t>NAMT52041507</t>
  </si>
  <si>
    <t>TORT51832917</t>
  </si>
  <si>
    <t>UYCT52032737</t>
  </si>
  <si>
    <t>NAMT52045238</t>
  </si>
  <si>
    <t>YGQT51905772</t>
  </si>
  <si>
    <t>NAMS51833125</t>
  </si>
  <si>
    <t>TORT52248404</t>
  </si>
  <si>
    <t>CHOT52045540</t>
  </si>
  <si>
    <t>UYCT52045545</t>
  </si>
  <si>
    <t>UYCT51833164</t>
  </si>
  <si>
    <t>UYCT52045542</t>
  </si>
  <si>
    <t>KSST52045580</t>
  </si>
  <si>
    <t>POPT51833281</t>
  </si>
  <si>
    <t>NAMS52010738</t>
  </si>
  <si>
    <t>NAMS52045774</t>
  </si>
  <si>
    <t>TORT51940281</t>
  </si>
  <si>
    <t>TORT52250031</t>
  </si>
  <si>
    <t>UYCT51833812</t>
  </si>
  <si>
    <t>YGQT52049806</t>
  </si>
  <si>
    <t>CHUT52242346</t>
  </si>
  <si>
    <t>CHUT52246269</t>
  </si>
  <si>
    <t>YGQT52250062</t>
  </si>
  <si>
    <t>UCQT51834038</t>
  </si>
  <si>
    <t>TORT51834032</t>
  </si>
  <si>
    <t>NAMS51834153</t>
  </si>
  <si>
    <t>NAMT52046024</t>
  </si>
  <si>
    <t>POPT52248741</t>
  </si>
  <si>
    <t>YGQT52248759</t>
  </si>
  <si>
    <t>NAMT52046141</t>
  </si>
  <si>
    <t>KSST51834457</t>
  </si>
  <si>
    <t>NAMT52046177</t>
  </si>
  <si>
    <t>NAMT52046187</t>
  </si>
  <si>
    <t>NAMT52046202</t>
  </si>
  <si>
    <t>NAMT52046194</t>
  </si>
  <si>
    <t>UYCT51780107</t>
  </si>
  <si>
    <t>NAMS52204564</t>
  </si>
  <si>
    <t>CHUT52248890</t>
  </si>
  <si>
    <t>TORT51961074</t>
  </si>
  <si>
    <t>MINT52045581</t>
  </si>
  <si>
    <t>CHOT52246487</t>
  </si>
  <si>
    <t>KSST51834765</t>
  </si>
  <si>
    <t>KSST51834775</t>
  </si>
  <si>
    <t>NORT51963896</t>
  </si>
  <si>
    <t>UYCT52117619</t>
  </si>
  <si>
    <t>NAMT52046374</t>
  </si>
  <si>
    <t>NAMT52046405</t>
  </si>
  <si>
    <t>YGQT52046437</t>
  </si>
  <si>
    <t>POPT52249012</t>
  </si>
  <si>
    <t>NAMS51946450</t>
  </si>
  <si>
    <t>YGQT51835109</t>
  </si>
  <si>
    <t>YGQT52249116</t>
  </si>
  <si>
    <t>KSST51836313</t>
  </si>
  <si>
    <t>CHOT52046814</t>
  </si>
  <si>
    <t>NAMS52046815</t>
  </si>
  <si>
    <t>NAMS51836363</t>
  </si>
  <si>
    <t>NAMS52046847</t>
  </si>
  <si>
    <t>MINT52046866</t>
  </si>
  <si>
    <t>POPT52046880</t>
  </si>
  <si>
    <t>NAMS52046879</t>
  </si>
  <si>
    <t>NORT52046852</t>
  </si>
  <si>
    <t>UCQT51836500</t>
  </si>
  <si>
    <t>TORT51938420</t>
  </si>
  <si>
    <t>YGQT52051067</t>
  </si>
  <si>
    <t>KSST52047021</t>
  </si>
  <si>
    <t>NAMS52047099</t>
  </si>
  <si>
    <t>NAMT52047477</t>
  </si>
  <si>
    <t>NAMS52048365</t>
  </si>
  <si>
    <t>CHOT51940082</t>
  </si>
  <si>
    <t>NAMS52249432</t>
  </si>
  <si>
    <t>TORT51850837</t>
  </si>
  <si>
    <t>POPT51851302</t>
  </si>
  <si>
    <t>TORT51832859</t>
  </si>
  <si>
    <t>NORT52047374</t>
  </si>
  <si>
    <t>YGQT52048396</t>
  </si>
  <si>
    <t>TORT51832908</t>
  </si>
  <si>
    <t>NAMS52047838</t>
  </si>
  <si>
    <t>NAMS52047845</t>
  </si>
  <si>
    <t>NAMS52047869</t>
  </si>
  <si>
    <t>UCQT51864176</t>
  </si>
  <si>
    <t>NAMS52067088</t>
  </si>
  <si>
    <t>NAMS52048379</t>
  </si>
  <si>
    <t>TORT52048418</t>
  </si>
  <si>
    <t>YGQT52048421</t>
  </si>
  <si>
    <t>TORT52153328</t>
  </si>
  <si>
    <t>POPT51819474</t>
  </si>
  <si>
    <t>POPT51837854</t>
  </si>
  <si>
    <t>CHOT51941253</t>
  </si>
  <si>
    <t>KSST51879407</t>
  </si>
  <si>
    <t>CHUT52249696</t>
  </si>
  <si>
    <t>YGQT51983074</t>
  </si>
  <si>
    <t>UYCT51836255</t>
  </si>
  <si>
    <t>NAMS52246836</t>
  </si>
  <si>
    <t>MINT52048081</t>
  </si>
  <si>
    <t>NAMS52048117</t>
  </si>
  <si>
    <t>NAMS51962064</t>
  </si>
  <si>
    <t>UYCT52249870</t>
  </si>
  <si>
    <t>NAMT51847375</t>
  </si>
  <si>
    <t>MINT51847359</t>
  </si>
  <si>
    <t>UYCT52249895</t>
  </si>
  <si>
    <t>UCQT51848283</t>
  </si>
  <si>
    <t>NAMS51838626</t>
  </si>
  <si>
    <t>NAMS51838627</t>
  </si>
  <si>
    <t>CHUT51849105</t>
  </si>
  <si>
    <t>CHOT51849403</t>
  </si>
  <si>
    <t>KSST52250175</t>
  </si>
  <si>
    <t>CHUT51875970</t>
  </si>
  <si>
    <t>CHOT52250194</t>
  </si>
  <si>
    <t>CHOT52250188</t>
  </si>
  <si>
    <t>NAMS52250200</t>
  </si>
  <si>
    <t>POPT52250197</t>
  </si>
  <si>
    <t>CHOT51851596</t>
  </si>
  <si>
    <t>UYCT51851594</t>
  </si>
  <si>
    <t>POPT52250235</t>
  </si>
  <si>
    <t>CHOT52048519</t>
  </si>
  <si>
    <t>UYCT52048535</t>
  </si>
  <si>
    <t>CHUT52048540</t>
  </si>
  <si>
    <t>TORT52048567</t>
  </si>
  <si>
    <t>POPT51851848</t>
  </si>
  <si>
    <t>NAMS52248667</t>
  </si>
  <si>
    <t>NAMS51852265</t>
  </si>
  <si>
    <t>NAMT51852243</t>
  </si>
  <si>
    <t>UCQT51852685</t>
  </si>
  <si>
    <t>MINT51852748</t>
  </si>
  <si>
    <t>MINT51852783</t>
  </si>
  <si>
    <t>NAMS52048662</t>
  </si>
  <si>
    <t>NAMT52048695</t>
  </si>
  <si>
    <t>UYCT52248853</t>
  </si>
  <si>
    <t>CHOT52250331</t>
  </si>
  <si>
    <t>YGQT52250337</t>
  </si>
  <si>
    <t>NAMS52250411</t>
  </si>
  <si>
    <t>NAMT51847384</t>
  </si>
  <si>
    <t>KSST51853204</t>
  </si>
  <si>
    <t>KSST51853256</t>
  </si>
  <si>
    <t>KSST51853318</t>
  </si>
  <si>
    <t>NAMS52171923</t>
  </si>
  <si>
    <t>MINT52254492</t>
  </si>
  <si>
    <t>KSST52250533</t>
  </si>
  <si>
    <t>NAMT52250558</t>
  </si>
  <si>
    <t>YGQT52250571</t>
  </si>
  <si>
    <t>NAMS52250593</t>
  </si>
  <si>
    <t>KSST51854782</t>
  </si>
  <si>
    <t>YGQT51854785</t>
  </si>
  <si>
    <t>CHUT51855358</t>
  </si>
  <si>
    <t>UYCT51855377</t>
  </si>
  <si>
    <t>NAMT52254506</t>
  </si>
  <si>
    <t>CHOT51855105</t>
  </si>
  <si>
    <t>UYCT51855151</t>
  </si>
  <si>
    <t>NORT51855184</t>
  </si>
  <si>
    <t>NAMS51855175</t>
  </si>
  <si>
    <t>KSST51849392</t>
  </si>
  <si>
    <t>TORT51855647</t>
  </si>
  <si>
    <t>TORT51832534</t>
  </si>
  <si>
    <t>YGQT51915953</t>
  </si>
  <si>
    <t>CHOT52048960</t>
  </si>
  <si>
    <t>NAMS52048967</t>
  </si>
  <si>
    <t>NAMS51855680</t>
  </si>
  <si>
    <t>NAMS51855653</t>
  </si>
  <si>
    <t>UCQT51855657</t>
  </si>
  <si>
    <t>UYCT52048984</t>
  </si>
  <si>
    <t>NAMS52048991</t>
  </si>
  <si>
    <t>TORT51855603</t>
  </si>
  <si>
    <t>KSST51855858</t>
  </si>
  <si>
    <t>CHOT52240929</t>
  </si>
  <si>
    <t>POPT52250731</t>
  </si>
  <si>
    <t>TORT51848293</t>
  </si>
  <si>
    <t>NAMS52250773</t>
  </si>
  <si>
    <t>YGQT52250786</t>
  </si>
  <si>
    <t>MINT52035401</t>
  </si>
  <si>
    <t>NAMS52254525</t>
  </si>
  <si>
    <t>UYCT51856995</t>
  </si>
  <si>
    <t>TORT51857010</t>
  </si>
  <si>
    <t>KSST51857051</t>
  </si>
  <si>
    <t>KSST51857064</t>
  </si>
  <si>
    <t>KSST51807842</t>
  </si>
  <si>
    <t>NAMS51857363</t>
  </si>
  <si>
    <t>KSST52049186</t>
  </si>
  <si>
    <t>UCQT51857932</t>
  </si>
  <si>
    <t>NAMS51857946</t>
  </si>
  <si>
    <t>TORT51857906</t>
  </si>
  <si>
    <t>UCQT51857912</t>
  </si>
  <si>
    <t>CHUT52201342</t>
  </si>
  <si>
    <t>UYCT51914505</t>
  </si>
  <si>
    <t>CHUT51858368</t>
  </si>
  <si>
    <t>NAMS51858353</t>
  </si>
  <si>
    <t>KSST51858348</t>
  </si>
  <si>
    <t>YGQT51875531</t>
  </si>
  <si>
    <t>MINT51875538</t>
  </si>
  <si>
    <t>NAMS51858691</t>
  </si>
  <si>
    <t>NAMS51858712</t>
  </si>
  <si>
    <t>NAMS51858706</t>
  </si>
  <si>
    <t>UCQT52251240</t>
  </si>
  <si>
    <t>NAMS52251258</t>
  </si>
  <si>
    <t>UYCT51859092</t>
  </si>
  <si>
    <t>MINT51822134</t>
  </si>
  <si>
    <t>CHUT51875568</t>
  </si>
  <si>
    <t>CHUT51859584</t>
  </si>
  <si>
    <t>TORT52251418</t>
  </si>
  <si>
    <t>CHOT52251448</t>
  </si>
  <si>
    <t>NAMT52049374</t>
  </si>
  <si>
    <t>UYCT51860465</t>
  </si>
  <si>
    <t>YGQT52251569</t>
  </si>
  <si>
    <t>YGQT52251588</t>
  </si>
  <si>
    <t>YGQT52251592</t>
  </si>
  <si>
    <t>YGQT52251589</t>
  </si>
  <si>
    <t>YGQT52251593</t>
  </si>
  <si>
    <t>UYCT51860975</t>
  </si>
  <si>
    <t>NAMS51860977</t>
  </si>
  <si>
    <t>POPT51880055</t>
  </si>
  <si>
    <t>TORT51861465</t>
  </si>
  <si>
    <t>NAMS51861835</t>
  </si>
  <si>
    <t>UYCT51861863</t>
  </si>
  <si>
    <t>POPT52049467</t>
  </si>
  <si>
    <t>NAMS52049527</t>
  </si>
  <si>
    <t>NAMS51862482</t>
  </si>
  <si>
    <t>UYCT51862503</t>
  </si>
  <si>
    <t>NAMS51862494</t>
  </si>
  <si>
    <t>CHOT51859131</t>
  </si>
  <si>
    <t>NAMS52252225</t>
  </si>
  <si>
    <t>TORT52252226</t>
  </si>
  <si>
    <t>NAMS52252224</t>
  </si>
  <si>
    <t>UYCT52039491</t>
  </si>
  <si>
    <t>TORT51862761</t>
  </si>
  <si>
    <t>NAMT51862771</t>
  </si>
  <si>
    <t>TORT52252259</t>
  </si>
  <si>
    <t>UYCT52252263</t>
  </si>
  <si>
    <t>NAMS51863041</t>
  </si>
  <si>
    <t>CHUT51863047</t>
  </si>
  <si>
    <t>NAMS51863690</t>
  </si>
  <si>
    <t>MINT51863696</t>
  </si>
  <si>
    <t>CHOT52049655</t>
  </si>
  <si>
    <t>CHUT52251567</t>
  </si>
  <si>
    <t>MINT51864708</t>
  </si>
  <si>
    <t>YGQT51864709</t>
  </si>
  <si>
    <t>YGQT51865535</t>
  </si>
  <si>
    <t>YGQT52049795</t>
  </si>
  <si>
    <t>YGQT52049804</t>
  </si>
  <si>
    <t>YGQT52049842</t>
  </si>
  <si>
    <t>KSST51866042</t>
  </si>
  <si>
    <t>YGQT52252963</t>
  </si>
  <si>
    <t>NAMS52252972</t>
  </si>
  <si>
    <t>NAMS52252967</t>
  </si>
  <si>
    <t>YGQT52253026</t>
  </si>
  <si>
    <t>CHUT52253045</t>
  </si>
  <si>
    <t>TORT52253060</t>
  </si>
  <si>
    <t>YGQT52253076</t>
  </si>
  <si>
    <t>TORT51988291</t>
  </si>
  <si>
    <t>UCQT51866831</t>
  </si>
  <si>
    <t>YGQT52253119</t>
  </si>
  <si>
    <t>KSST52253040</t>
  </si>
  <si>
    <t>YGQT52253071</t>
  </si>
  <si>
    <t>YGQT52253133</t>
  </si>
  <si>
    <t>YGQT52253157</t>
  </si>
  <si>
    <t>TORT52253176</t>
  </si>
  <si>
    <t>POPT51910622</t>
  </si>
  <si>
    <t>KSST51860391</t>
  </si>
  <si>
    <t>YGQT52252997</t>
  </si>
  <si>
    <t>POPT52253095</t>
  </si>
  <si>
    <t>UCQT51867486</t>
  </si>
  <si>
    <t>TORT51867551</t>
  </si>
  <si>
    <t>UYCT51994742</t>
  </si>
  <si>
    <t>UCQT51867576</t>
  </si>
  <si>
    <t>NAMS52065303</t>
  </si>
  <si>
    <t>UCQT52049976</t>
  </si>
  <si>
    <t>YGQT52049986</t>
  </si>
  <si>
    <t>POPT52107222</t>
  </si>
  <si>
    <t>CHUT51875912</t>
  </si>
  <si>
    <t>CHUT51867955</t>
  </si>
  <si>
    <t>NAMS51868626</t>
  </si>
  <si>
    <t>CHOT51868692</t>
  </si>
  <si>
    <t>TORT51990000</t>
  </si>
  <si>
    <t>NAMT52253620</t>
  </si>
  <si>
    <t>YGQT52253616</t>
  </si>
  <si>
    <t>NAMS52253625</t>
  </si>
  <si>
    <t>NAMS52253642</t>
  </si>
  <si>
    <t>YGQT52253629</t>
  </si>
  <si>
    <t>POPT51723920</t>
  </si>
  <si>
    <t>YGQT51961714</t>
  </si>
  <si>
    <t>NAMS51952643</t>
  </si>
  <si>
    <t>UYCT51870601</t>
  </si>
  <si>
    <t>MINT51870643</t>
  </si>
  <si>
    <t>NORT52159376</t>
  </si>
  <si>
    <t>NAMS51871156</t>
  </si>
  <si>
    <t>UYCT51871565</t>
  </si>
  <si>
    <t>NAMS51875723</t>
  </si>
  <si>
    <t>YGQT51962618</t>
  </si>
  <si>
    <t>MINT51873140</t>
  </si>
  <si>
    <t>CHUT51873163</t>
  </si>
  <si>
    <t>UYCT51873169</t>
  </si>
  <si>
    <t>NAMS52253783</t>
  </si>
  <si>
    <t>POPT52253798</t>
  </si>
  <si>
    <t>KSST51873390</t>
  </si>
  <si>
    <t>UYCT51873384</t>
  </si>
  <si>
    <t>UYCT51864656</t>
  </si>
  <si>
    <t>POPT51818684</t>
  </si>
  <si>
    <t>MINT51873455</t>
  </si>
  <si>
    <t>UCQT51873487</t>
  </si>
  <si>
    <t>NAMS51873540</t>
  </si>
  <si>
    <t>POPT51818535</t>
  </si>
  <si>
    <t>NAMT51873712</t>
  </si>
  <si>
    <t>TORT52253954</t>
  </si>
  <si>
    <t>NAMS52253950</t>
  </si>
  <si>
    <t>NAMS52253972</t>
  </si>
  <si>
    <t>NAMS52253980</t>
  </si>
  <si>
    <t>KSST52253985</t>
  </si>
  <si>
    <t>YGQT51873975</t>
  </si>
  <si>
    <t>UCQT51873989</t>
  </si>
  <si>
    <t>UCQT51874079</t>
  </si>
  <si>
    <t>NAMS52254166</t>
  </si>
  <si>
    <t>KSST52050326</t>
  </si>
  <si>
    <t>CHUT51874289</t>
  </si>
  <si>
    <t>UYCT52007961</t>
  </si>
  <si>
    <t>UCQT52254344</t>
  </si>
  <si>
    <t>YGQT52254366</t>
  </si>
  <si>
    <t>YGQT52050427</t>
  </si>
  <si>
    <t>KSST51874584</t>
  </si>
  <si>
    <t>UYCT52050237</t>
  </si>
  <si>
    <t>UYCT51872954</t>
  </si>
  <si>
    <t>NAMT51874699</t>
  </si>
  <si>
    <t>POPT52245218</t>
  </si>
  <si>
    <t>CHUT51875026</t>
  </si>
  <si>
    <t>KSST51875065</t>
  </si>
  <si>
    <t>YGQT52050465</t>
  </si>
  <si>
    <t>TORT52050483</t>
  </si>
  <si>
    <t>CHUT51875214</t>
  </si>
  <si>
    <t>KSST51875231</t>
  </si>
  <si>
    <t>CHOT51875350</t>
  </si>
  <si>
    <t>CHUT51875404</t>
  </si>
  <si>
    <t>NAMS51876152</t>
  </si>
  <si>
    <t>TORT51876088</t>
  </si>
  <si>
    <t>MINT51875339</t>
  </si>
  <si>
    <t>YGQT51996785</t>
  </si>
  <si>
    <t>NAMS51876237</t>
  </si>
  <si>
    <t>KSST51876259</t>
  </si>
  <si>
    <t>MINT51876260</t>
  </si>
  <si>
    <t>NAMS52050640</t>
  </si>
  <si>
    <t>KSST51875946</t>
  </si>
  <si>
    <t>YGQT51876383</t>
  </si>
  <si>
    <t>UYCT51876393</t>
  </si>
  <si>
    <t>KSST51876424</t>
  </si>
  <si>
    <t>MINT52035800</t>
  </si>
  <si>
    <t>YGQT51876498</t>
  </si>
  <si>
    <t>TORT51876513</t>
  </si>
  <si>
    <t>NAMS51876523</t>
  </si>
  <si>
    <t>YGQT51876553</t>
  </si>
  <si>
    <t>CHOT52254631</t>
  </si>
  <si>
    <t>CHUT51876672</t>
  </si>
  <si>
    <t>YGQT52047821</t>
  </si>
  <si>
    <t>NAMS52051077</t>
  </si>
  <si>
    <t>TORT51876816</t>
  </si>
  <si>
    <t>POPT51876976</t>
  </si>
  <si>
    <t>NAMS51876975</t>
  </si>
  <si>
    <t>POPT51877004</t>
  </si>
  <si>
    <t>CHUT51877158</t>
  </si>
  <si>
    <t>NAMS51877125</t>
  </si>
  <si>
    <t>KSST51871225</t>
  </si>
  <si>
    <t>NAMS52197867</t>
  </si>
  <si>
    <t>UCQT52254771</t>
  </si>
  <si>
    <t>NAMT52254774</t>
  </si>
  <si>
    <t>NAMS51877446</t>
  </si>
  <si>
    <t>NAMS52199730</t>
  </si>
  <si>
    <t>NAMT51877622</t>
  </si>
  <si>
    <t>UYCT51877605</t>
  </si>
  <si>
    <t>NAMS52199752</t>
  </si>
  <si>
    <t>POPT52168721</t>
  </si>
  <si>
    <t>TORT51877703</t>
  </si>
  <si>
    <t>UYCT51877728</t>
  </si>
  <si>
    <t>TORT51879620</t>
  </si>
  <si>
    <t>CHOT51853244</t>
  </si>
  <si>
    <t>POPT52254929</t>
  </si>
  <si>
    <t>NAMS52202989</t>
  </si>
  <si>
    <t>NAMT51877885</t>
  </si>
  <si>
    <t>TORT51877888</t>
  </si>
  <si>
    <t>YGQT51877901</t>
  </si>
  <si>
    <t>NAMS51877904</t>
  </si>
  <si>
    <t>UYCT52003968</t>
  </si>
  <si>
    <t>TORT51878009</t>
  </si>
  <si>
    <t>POPT52255057</t>
  </si>
  <si>
    <t>UCQT51878048</t>
  </si>
  <si>
    <t>CHUT51941560</t>
  </si>
  <si>
    <t>POPT51878157</t>
  </si>
  <si>
    <t>MINT51999063</t>
  </si>
  <si>
    <t>NAMS52203258</t>
  </si>
  <si>
    <t>TORT51999934</t>
  </si>
  <si>
    <t>MINT51999202</t>
  </si>
  <si>
    <t>NAMT51878468</t>
  </si>
  <si>
    <t>MINT51878511</t>
  </si>
  <si>
    <t>CHUT51996271</t>
  </si>
  <si>
    <t>CHOT52255144</t>
  </si>
  <si>
    <t>KSST51864790</t>
  </si>
  <si>
    <t>CHUT51878665</t>
  </si>
  <si>
    <t>NAMT51878682</t>
  </si>
  <si>
    <t>NAMS51878839</t>
  </si>
  <si>
    <t>POPT51878848</t>
  </si>
  <si>
    <t>CHOT51878826</t>
  </si>
  <si>
    <t>NAMS51938407</t>
  </si>
  <si>
    <t>UYCT52049499</t>
  </si>
  <si>
    <t>NAMS51726668</t>
  </si>
  <si>
    <t>NORT51971633</t>
  </si>
  <si>
    <t>NAMT51983417</t>
  </si>
  <si>
    <t>CHOT52051678</t>
  </si>
  <si>
    <t>POPT51879119</t>
  </si>
  <si>
    <t>TORT52058188</t>
  </si>
  <si>
    <t>NAMT52151616</t>
  </si>
  <si>
    <t>POPT51821124</t>
  </si>
  <si>
    <t>CHUT51879306</t>
  </si>
  <si>
    <t>YGQT51946046</t>
  </si>
  <si>
    <t>CHUT51879404</t>
  </si>
  <si>
    <t>UYCT51879428</t>
  </si>
  <si>
    <t>KSST51879439</t>
  </si>
  <si>
    <t>NORT51879465</t>
  </si>
  <si>
    <t>KSST52206162</t>
  </si>
  <si>
    <t>TORT51879740</t>
  </si>
  <si>
    <t>CHUT51879891</t>
  </si>
  <si>
    <t>CHOT52255800</t>
  </si>
  <si>
    <t>NAMS52043768</t>
  </si>
  <si>
    <t>NAMS52026761</t>
  </si>
  <si>
    <t>YGQT51995600</t>
  </si>
  <si>
    <t>NAMS52052605</t>
  </si>
  <si>
    <t>YGQT51880398</t>
  </si>
  <si>
    <t>NORT51880528</t>
  </si>
  <si>
    <t>NORT51877291</t>
  </si>
  <si>
    <t>KSST52050324</t>
  </si>
  <si>
    <t>NAMS52033756</t>
  </si>
  <si>
    <t>NAMT52172313</t>
  </si>
  <si>
    <t>NORT52030876</t>
  </si>
  <si>
    <t>UCQT51881267</t>
  </si>
  <si>
    <t>CHUT52256897</t>
  </si>
  <si>
    <t>UYCT51982571</t>
  </si>
  <si>
    <t>UYCT51971297</t>
  </si>
  <si>
    <t>NAMS51804518</t>
  </si>
  <si>
    <t>CHUT52158994</t>
  </si>
  <si>
    <t>CHUT51875218</t>
  </si>
  <si>
    <t>UYCT52234017</t>
  </si>
  <si>
    <t>CHUT52248126</t>
  </si>
  <si>
    <t>KSST51873164</t>
  </si>
  <si>
    <t>UYCT51945340</t>
  </si>
  <si>
    <t>CHUT51876149</t>
  </si>
  <si>
    <t>CHOT52235171</t>
  </si>
  <si>
    <t>NAMS52251056</t>
  </si>
  <si>
    <t>UYCT51876399</t>
  </si>
  <si>
    <t>CHOT51956628</t>
  </si>
  <si>
    <t>MINT51883264</t>
  </si>
  <si>
    <t>NAMS52122066</t>
  </si>
  <si>
    <t>TORT52237924</t>
  </si>
  <si>
    <t>TORT51862964</t>
  </si>
  <si>
    <t>TORT51883424</t>
  </si>
  <si>
    <t>NAMS51883421</t>
  </si>
  <si>
    <t>POPT51732350</t>
  </si>
  <si>
    <t>NAMS51960263</t>
  </si>
  <si>
    <t>KSST52257974</t>
  </si>
  <si>
    <t>KSST52257980</t>
  </si>
  <si>
    <t>POPT52257973</t>
  </si>
  <si>
    <t>NAMT51851846</t>
  </si>
  <si>
    <t>YGQT52066014</t>
  </si>
  <si>
    <t>UYCT52248172</t>
  </si>
  <si>
    <t>NAMT51861854</t>
  </si>
  <si>
    <t>NAMT51889666</t>
  </si>
  <si>
    <t>MINT52258119</t>
  </si>
  <si>
    <t>NAMS52252247</t>
  </si>
  <si>
    <t>CHUT51871138</t>
  </si>
  <si>
    <t>NAMS52254483</t>
  </si>
  <si>
    <t>NAMT52103966</t>
  </si>
  <si>
    <t>UYCT52121562</t>
  </si>
  <si>
    <t>MINT51984147</t>
  </si>
  <si>
    <t>KSST52250749</t>
  </si>
  <si>
    <t>NAMS52167366</t>
  </si>
  <si>
    <t>YGQT52253633</t>
  </si>
  <si>
    <t>UYCT52242675</t>
  </si>
  <si>
    <t>NAMS51906114</t>
  </si>
  <si>
    <t>CHUT51906118</t>
  </si>
  <si>
    <t>KSST51906157</t>
  </si>
  <si>
    <t>NAMT51890596</t>
  </si>
  <si>
    <t>TORT52258201</t>
  </si>
  <si>
    <t>YGQT51876126</t>
  </si>
  <si>
    <t>NAMT52058590</t>
  </si>
  <si>
    <t>NAMT52058592</t>
  </si>
  <si>
    <t>NAMS52058595</t>
  </si>
  <si>
    <t>NORT51906872</t>
  </si>
  <si>
    <t>MINT51891152</t>
  </si>
  <si>
    <t>UCQT51961933</t>
  </si>
  <si>
    <t>YGQT51906890</t>
  </si>
  <si>
    <t>TORT51873498</t>
  </si>
  <si>
    <t>YGQT51717547</t>
  </si>
  <si>
    <t>NAMT52058667</t>
  </si>
  <si>
    <t>TORT51807867</t>
  </si>
  <si>
    <t>NAMS51873708</t>
  </si>
  <si>
    <t>TORT51941518</t>
  </si>
  <si>
    <t>YGQT51790135</t>
  </si>
  <si>
    <t>UYCT51897461</t>
  </si>
  <si>
    <t>YGQT51897495</t>
  </si>
  <si>
    <t>UCQT51897500</t>
  </si>
  <si>
    <t>NAMS51697871</t>
  </si>
  <si>
    <t>NAMS51897513</t>
  </si>
  <si>
    <t>UYCT51906575</t>
  </si>
  <si>
    <t>MINT51897587</t>
  </si>
  <si>
    <t>CHUT51897668</t>
  </si>
  <si>
    <t>UCQT51814044</t>
  </si>
  <si>
    <t>MINT51897767</t>
  </si>
  <si>
    <t>NAMS51898463</t>
  </si>
  <si>
    <t>NAMS51901300</t>
  </si>
  <si>
    <t>UCQT51821439</t>
  </si>
  <si>
    <t>UCQT51899208</t>
  </si>
  <si>
    <t>UCQT51806528</t>
  </si>
  <si>
    <t>NAMS51899395</t>
  </si>
  <si>
    <t>CHUT51899414</t>
  </si>
  <si>
    <t>UCQT51899534</t>
  </si>
  <si>
    <t>UYCT51947206</t>
  </si>
  <si>
    <t>MINT51899821</t>
  </si>
  <si>
    <t>UYCT51986988</t>
  </si>
  <si>
    <t>POPT52043996</t>
  </si>
  <si>
    <t>NAMS51899902</t>
  </si>
  <si>
    <t>UYCT51899886</t>
  </si>
  <si>
    <t>CHUT51899927</t>
  </si>
  <si>
    <t>CHUT51899985</t>
  </si>
  <si>
    <t>YGQT52177505</t>
  </si>
  <si>
    <t>MINT51900061</t>
  </si>
  <si>
    <t>TORT51900055</t>
  </si>
  <si>
    <t>NAMS51900093</t>
  </si>
  <si>
    <t>MINT51906657</t>
  </si>
  <si>
    <t>CHOT51900340</t>
  </si>
  <si>
    <t>NAMS51900396</t>
  </si>
  <si>
    <t>TORT51900515</t>
  </si>
  <si>
    <t>UYCT51900878</t>
  </si>
  <si>
    <t>NAMS51900706</t>
  </si>
  <si>
    <t>POPT51900733</t>
  </si>
  <si>
    <t>MINT51900752</t>
  </si>
  <si>
    <t>MINT51997091</t>
  </si>
  <si>
    <t>NAMS51901109</t>
  </si>
  <si>
    <t>NAMS51901130</t>
  </si>
  <si>
    <t>NAMS51901131</t>
  </si>
  <si>
    <t>YGQT52062967</t>
  </si>
  <si>
    <t>UCQT51901233</t>
  </si>
  <si>
    <t>YGQT52249716</t>
  </si>
  <si>
    <t>YGQT52243065</t>
  </si>
  <si>
    <t>NAMS51849102</t>
  </si>
  <si>
    <t>NAMS52046715</t>
  </si>
  <si>
    <t>CHUT51901694</t>
  </si>
  <si>
    <t>NAMS51901724</t>
  </si>
  <si>
    <t>NAMS51901706</t>
  </si>
  <si>
    <t>UYCT51901782</t>
  </si>
  <si>
    <t>NAMS51902039</t>
  </si>
  <si>
    <t>NAMS51902031</t>
  </si>
  <si>
    <t>KSST52153389</t>
  </si>
  <si>
    <t>TORT51957561</t>
  </si>
  <si>
    <t>TORT51819016</t>
  </si>
  <si>
    <t>MINT51902249</t>
  </si>
  <si>
    <t>NAMS51834050</t>
  </si>
  <si>
    <t>NAMS51902323</t>
  </si>
  <si>
    <t>CHOT51902333</t>
  </si>
  <si>
    <t>KSST51899251</t>
  </si>
  <si>
    <t>YGQT51945604</t>
  </si>
  <si>
    <t>NAMS52063318</t>
  </si>
  <si>
    <t>KSST52234132</t>
  </si>
  <si>
    <t>POPT51903180</t>
  </si>
  <si>
    <t>NAMS51903220</t>
  </si>
  <si>
    <t>TORT51903461</t>
  </si>
  <si>
    <t>CHUT51903485</t>
  </si>
  <si>
    <t>NORT51903527</t>
  </si>
  <si>
    <t>POPT51877781</t>
  </si>
  <si>
    <t>UYCT52062864</t>
  </si>
  <si>
    <t>NAMS51903608</t>
  </si>
  <si>
    <t>TORT52127389</t>
  </si>
  <si>
    <t>TORT51903705</t>
  </si>
  <si>
    <t>CHUT51903697</t>
  </si>
  <si>
    <t>YGQT52099430</t>
  </si>
  <si>
    <t>TORT51904256</t>
  </si>
  <si>
    <t>YGQT51949480</t>
  </si>
  <si>
    <t>NAMS52205949</t>
  </si>
  <si>
    <t>KSST52250224</t>
  </si>
  <si>
    <t>NAMS51903848</t>
  </si>
  <si>
    <t>TORT51856059</t>
  </si>
  <si>
    <t>CHOT51904057</t>
  </si>
  <si>
    <t>YGQT51904451</t>
  </si>
  <si>
    <t>UYCT51904278</t>
  </si>
  <si>
    <t>MINT51904290</t>
  </si>
  <si>
    <t>NAMS51904300</t>
  </si>
  <si>
    <t>YGQT51953129</t>
  </si>
  <si>
    <t>TORT51955701</t>
  </si>
  <si>
    <t>NORT51904510</t>
  </si>
  <si>
    <t>NAMS51904676</t>
  </si>
  <si>
    <t>TORT52036631</t>
  </si>
  <si>
    <t>NAMT51901099</t>
  </si>
  <si>
    <t>YGQT52063681</t>
  </si>
  <si>
    <t>NAMS51905057</t>
  </si>
  <si>
    <t>TORT52245936</t>
  </si>
  <si>
    <t>YGQT51905156</t>
  </si>
  <si>
    <t>TORT51905194</t>
  </si>
  <si>
    <t>NORT51905415</t>
  </si>
  <si>
    <t>NAMS51780580</t>
  </si>
  <si>
    <t>CHUT51905533</t>
  </si>
  <si>
    <t>NAMS51905623</t>
  </si>
  <si>
    <t>CHOT51905632</t>
  </si>
  <si>
    <t>CHUT51857374</t>
  </si>
  <si>
    <t>NAMS52235135</t>
  </si>
  <si>
    <t>TORT51905602</t>
  </si>
  <si>
    <t>POPT51905741</t>
  </si>
  <si>
    <t>YGQT51905742</t>
  </si>
  <si>
    <t>YGQT51905768</t>
  </si>
  <si>
    <t>NAMT51905782</t>
  </si>
  <si>
    <t>YGQT51905791</t>
  </si>
  <si>
    <t>YGQT51905833</t>
  </si>
  <si>
    <t>NAMS51905832</t>
  </si>
  <si>
    <t>YGQT52012581</t>
  </si>
  <si>
    <t>YGQT51905938</t>
  </si>
  <si>
    <t>YGQT51905967</t>
  </si>
  <si>
    <t>CHOT51906965</t>
  </si>
  <si>
    <t>UCQT51906963</t>
  </si>
  <si>
    <t>NAMS51907232</t>
  </si>
  <si>
    <t>UCQT52258684</t>
  </si>
  <si>
    <t>NAMS51907341</t>
  </si>
  <si>
    <t>NAMS51907458</t>
  </si>
  <si>
    <t>POPT51907912</t>
  </si>
  <si>
    <t>CHUT51907970</t>
  </si>
  <si>
    <t>NAMT51907961</t>
  </si>
  <si>
    <t>NAMS51908042</t>
  </si>
  <si>
    <t>KSST51908159</t>
  </si>
  <si>
    <t>MINT51908163</t>
  </si>
  <si>
    <t>NAMT51908338</t>
  </si>
  <si>
    <t>NAMT51908332</t>
  </si>
  <si>
    <t>NAMT51908345</t>
  </si>
  <si>
    <t>KSST51860986</t>
  </si>
  <si>
    <t>UYCT51908432</t>
  </si>
  <si>
    <t>CHUT51908455</t>
  </si>
  <si>
    <t>NAMS52172943</t>
  </si>
  <si>
    <t>UYCT51810648</t>
  </si>
  <si>
    <t>NAMS51909229</t>
  </si>
  <si>
    <t>NAMS51909247</t>
  </si>
  <si>
    <t>NAMS51909243</t>
  </si>
  <si>
    <t>NAMS51949740</t>
  </si>
  <si>
    <t>MINT51910070</t>
  </si>
  <si>
    <t>TORT51910245</t>
  </si>
  <si>
    <t>UYCT51910244</t>
  </si>
  <si>
    <t>POPT51910346</t>
  </si>
  <si>
    <t>KSST51910352</t>
  </si>
  <si>
    <t>NAMS52250580</t>
  </si>
  <si>
    <t>NAMS52064135</t>
  </si>
  <si>
    <t>UYCT51910512</t>
  </si>
  <si>
    <t>NAMS51910517</t>
  </si>
  <si>
    <t>UCQT52036205</t>
  </si>
  <si>
    <t>NAMS51910624</t>
  </si>
  <si>
    <t>NAMS51910698</t>
  </si>
  <si>
    <t>MINT51816454</t>
  </si>
  <si>
    <t>UCQT51989452</t>
  </si>
  <si>
    <t>TORT52064186</t>
  </si>
  <si>
    <t>KSST52258725</t>
  </si>
  <si>
    <t>NAMS52064218</t>
  </si>
  <si>
    <t>NAMS51910827</t>
  </si>
  <si>
    <t>NAMS52064279</t>
  </si>
  <si>
    <t>KSST52064312</t>
  </si>
  <si>
    <t>NORT52064373</t>
  </si>
  <si>
    <t>KSST51911085</t>
  </si>
  <si>
    <t>CHUT51911086</t>
  </si>
  <si>
    <t>UCQT51911300</t>
  </si>
  <si>
    <t>TORT51911335</t>
  </si>
  <si>
    <t>CHOT51911276</t>
  </si>
  <si>
    <t>TORT51911642</t>
  </si>
  <si>
    <t>CHOT51911608</t>
  </si>
  <si>
    <t>YGQT51911673</t>
  </si>
  <si>
    <t>TORT51911695</t>
  </si>
  <si>
    <t>UYCT51911886</t>
  </si>
  <si>
    <t>NAMS52239437</t>
  </si>
  <si>
    <t>YGQT52049997</t>
  </si>
  <si>
    <t>NAMS52064523</t>
  </si>
  <si>
    <t>CHUT52064517</t>
  </si>
  <si>
    <t>UCQT51958217</t>
  </si>
  <si>
    <t>NAMS52064574</t>
  </si>
  <si>
    <t>YGQT51912082</t>
  </si>
  <si>
    <t>YGQT52064575</t>
  </si>
  <si>
    <t>YGQT52049818</t>
  </si>
  <si>
    <t>UCQT51912134</t>
  </si>
  <si>
    <t>KSST51912149</t>
  </si>
  <si>
    <t>YGQT52049816</t>
  </si>
  <si>
    <t>POPT51961535</t>
  </si>
  <si>
    <t>YGQT52044102</t>
  </si>
  <si>
    <t>NAMS52064610</t>
  </si>
  <si>
    <t>NAMS52064630</t>
  </si>
  <si>
    <t>NAMS51912301</t>
  </si>
  <si>
    <t>TORT51913223</t>
  </si>
  <si>
    <t>CHUT52064722</t>
  </si>
  <si>
    <t>UCQT51912464</t>
  </si>
  <si>
    <t>NAMS51912316</t>
  </si>
  <si>
    <t>UCQT51876120</t>
  </si>
  <si>
    <t>CHUT52064743</t>
  </si>
  <si>
    <t>NAMS52064738</t>
  </si>
  <si>
    <t>YGQT52064745</t>
  </si>
  <si>
    <t>TORT52234820</t>
  </si>
  <si>
    <t>CHUT52064791</t>
  </si>
  <si>
    <t>YGQT51950290</t>
  </si>
  <si>
    <t>POPT52064936</t>
  </si>
  <si>
    <t>NORT52213457</t>
  </si>
  <si>
    <t>NORT51913117</t>
  </si>
  <si>
    <t>NAMS51679094</t>
  </si>
  <si>
    <t>CHUT51911912</t>
  </si>
  <si>
    <t>UYCT52065123</t>
  </si>
  <si>
    <t>KSST51874955</t>
  </si>
  <si>
    <t>NORT51900256</t>
  </si>
  <si>
    <t>NAMS52065169</t>
  </si>
  <si>
    <t>NAMS52065097</t>
  </si>
  <si>
    <t>YGQT51913338</t>
  </si>
  <si>
    <t>NAMS51913386</t>
  </si>
  <si>
    <t>UYCT52065230</t>
  </si>
  <si>
    <t>KSST51913480</t>
  </si>
  <si>
    <t>NORT52035367</t>
  </si>
  <si>
    <t>KSST49638438</t>
  </si>
  <si>
    <t>TORT51913653</t>
  </si>
  <si>
    <t>TORT51913678</t>
  </si>
  <si>
    <t>NAMT52242381</t>
  </si>
  <si>
    <t>CHUT51967479</t>
  </si>
  <si>
    <t>NAMT51910648</t>
  </si>
  <si>
    <t>CHUT51681430</t>
  </si>
  <si>
    <t>KSST51914156</t>
  </si>
  <si>
    <t>TORT52253824</t>
  </si>
  <si>
    <t>UYCT52065787</t>
  </si>
  <si>
    <t>NAMT52065806</t>
  </si>
  <si>
    <t>KSST52065814</t>
  </si>
  <si>
    <t>CHUT51914543</t>
  </si>
  <si>
    <t>UYCT52065902</t>
  </si>
  <si>
    <t>YGQT51914711</t>
  </si>
  <si>
    <t>NAMT52041705</t>
  </si>
  <si>
    <t>NAMS51914701</t>
  </si>
  <si>
    <t>POPT52065997</t>
  </si>
  <si>
    <t>MINT52066007</t>
  </si>
  <si>
    <t>POPT51811740</t>
  </si>
  <si>
    <t>NORT52200056</t>
  </si>
  <si>
    <t>NAMS52261717</t>
  </si>
  <si>
    <t>YGQT51915735</t>
  </si>
  <si>
    <t>YGQT51915725</t>
  </si>
  <si>
    <t>YGQT51915737</t>
  </si>
  <si>
    <t>YGQT51915748</t>
  </si>
  <si>
    <t>YGQT51915758</t>
  </si>
  <si>
    <t>YGQT51915760</t>
  </si>
  <si>
    <t>NAMS51915756</t>
  </si>
  <si>
    <t>TORT52239264</t>
  </si>
  <si>
    <t>KSST52066422</t>
  </si>
  <si>
    <t>YGQT51916055</t>
  </si>
  <si>
    <t>YGQT51916066</t>
  </si>
  <si>
    <t>POPT52112384</t>
  </si>
  <si>
    <t>NAMS52261786</t>
  </si>
  <si>
    <t>KSST51916223</t>
  </si>
  <si>
    <t>NAMS52067494</t>
  </si>
  <si>
    <t>TORT51916355</t>
  </si>
  <si>
    <t>NAMT51912338</t>
  </si>
  <si>
    <t>NAMS52066741</t>
  </si>
  <si>
    <t>TORT52261900</t>
  </si>
  <si>
    <t>YGQT51917995</t>
  </si>
  <si>
    <t>KSST52030718</t>
  </si>
  <si>
    <t>NAMS51917258</t>
  </si>
  <si>
    <t>TORT51997197</t>
  </si>
  <si>
    <t>YGQT52067589</t>
  </si>
  <si>
    <t>TORT51941379</t>
  </si>
  <si>
    <t>POPT52067238</t>
  </si>
  <si>
    <t>UCQT52101770</t>
  </si>
  <si>
    <t>TORT52067279</t>
  </si>
  <si>
    <t>CHUT51952422</t>
  </si>
  <si>
    <t>NAMS48898474</t>
  </si>
  <si>
    <t>NAMT52067625</t>
  </si>
  <si>
    <t>NAMS51783846</t>
  </si>
  <si>
    <t>POPT51944948</t>
  </si>
  <si>
    <t>TORT52187229</t>
  </si>
  <si>
    <t>TORT51917740</t>
  </si>
  <si>
    <t>NAMS51731461</t>
  </si>
  <si>
    <t>NAMS51738893</t>
  </si>
  <si>
    <t>MINT51822650</t>
  </si>
  <si>
    <t>TORT52235489</t>
  </si>
  <si>
    <t>POPT52115323</t>
  </si>
  <si>
    <t>CHUT51995733</t>
  </si>
  <si>
    <t>UYCT52262294</t>
  </si>
  <si>
    <t>NAMS52262296</t>
  </si>
  <si>
    <t>CHUT51989892</t>
  </si>
  <si>
    <t>NAMS51688685</t>
  </si>
  <si>
    <t>CHUT52001417</t>
  </si>
  <si>
    <t>UCQT51948828</t>
  </si>
  <si>
    <t>TORT52032930</t>
  </si>
  <si>
    <t>NAMS52087039</t>
  </si>
  <si>
    <t>UCQT51940245</t>
  </si>
  <si>
    <t>UCQT51941248</t>
  </si>
  <si>
    <t>CHUT51989880</t>
  </si>
  <si>
    <t>UCQT51941549</t>
  </si>
  <si>
    <t>UCQT51943959</t>
  </si>
  <si>
    <t>UCQT51957732</t>
  </si>
  <si>
    <t>UCQT51957164</t>
  </si>
  <si>
    <t>UCQT51951035</t>
  </si>
  <si>
    <t>YGQT52263834</t>
  </si>
  <si>
    <t>UCQT51948593</t>
  </si>
  <si>
    <t>YGQT51904058</t>
  </si>
  <si>
    <t>CHUT51909228</t>
  </si>
  <si>
    <t>MINT52262423</t>
  </si>
  <si>
    <t>YGQT52035788</t>
  </si>
  <si>
    <t>POPT52241934</t>
  </si>
  <si>
    <t>MINT52068498</t>
  </si>
  <si>
    <t>TORT51920678</t>
  </si>
  <si>
    <t>UCQT51942523</t>
  </si>
  <si>
    <t>NAMS51921675</t>
  </si>
  <si>
    <t>NAMS52068616</t>
  </si>
  <si>
    <t>TORT51857467</t>
  </si>
  <si>
    <t>CHUT51855405</t>
  </si>
  <si>
    <t>TORT51987914</t>
  </si>
  <si>
    <t>TORT52103062</t>
  </si>
  <si>
    <t>POPT52036334</t>
  </si>
  <si>
    <t>NAMS51806916</t>
  </si>
  <si>
    <t>NAMS52159202</t>
  </si>
  <si>
    <t>UYCT51784114</t>
  </si>
  <si>
    <t>CHOT51987578</t>
  </si>
  <si>
    <t>UCQT51949478</t>
  </si>
  <si>
    <t>UYCT52171914</t>
  </si>
  <si>
    <t>YGQT51984145</t>
  </si>
  <si>
    <t>NAMS52049837</t>
  </si>
  <si>
    <t>NAMS52263016</t>
  </si>
  <si>
    <t>CHUT51876968</t>
  </si>
  <si>
    <t>UCQT51983067</t>
  </si>
  <si>
    <t>YGQT52068985</t>
  </si>
  <si>
    <t>NAMT51812793</t>
  </si>
  <si>
    <t>TORT52242816</t>
  </si>
  <si>
    <t>YGQT51992904</t>
  </si>
  <si>
    <t>YGQT52001401</t>
  </si>
  <si>
    <t>UYCT51816126</t>
  </si>
  <si>
    <t>TORT51939341</t>
  </si>
  <si>
    <t>NAMT52088779</t>
  </si>
  <si>
    <t>TORT51816384</t>
  </si>
  <si>
    <t>NAMS52018635</t>
  </si>
  <si>
    <t>YGQT52070047</t>
  </si>
  <si>
    <t>CHUT52032589</t>
  </si>
  <si>
    <t>NAMT51815457</t>
  </si>
  <si>
    <t>CHUT51780312</t>
  </si>
  <si>
    <t>CHUT52034455</t>
  </si>
  <si>
    <t>UYCT51962109</t>
  </si>
  <si>
    <t>NAMS52263168</t>
  </si>
  <si>
    <t>POPT51945370</t>
  </si>
  <si>
    <t>NAMS51636685</t>
  </si>
  <si>
    <t>NAMS51810322</t>
  </si>
  <si>
    <t>NAMS52070256</t>
  </si>
  <si>
    <t>NAMS51769899</t>
  </si>
  <si>
    <t>NAMS51770186</t>
  </si>
  <si>
    <t>POPT51912292</t>
  </si>
  <si>
    <t>YGQT52049845</t>
  </si>
  <si>
    <t>NAMT51813699</t>
  </si>
  <si>
    <t>CHUT51806739</t>
  </si>
  <si>
    <t>CHUT51994843</t>
  </si>
  <si>
    <t>CHUT52070447</t>
  </si>
  <si>
    <t>POPT52198612</t>
  </si>
  <si>
    <t>NAMS52089075</t>
  </si>
  <si>
    <t>NAMS52089078</t>
  </si>
  <si>
    <t>TORT52089074</t>
  </si>
  <si>
    <t>NAMS52070713</t>
  </si>
  <si>
    <t>CHUT52044284</t>
  </si>
  <si>
    <t>CHUT52064944</t>
  </si>
  <si>
    <t>CHUT51832581</t>
  </si>
  <si>
    <t>YGQT52071409</t>
  </si>
  <si>
    <t>YGQT52071578</t>
  </si>
  <si>
    <t>YGQT52071594</t>
  </si>
  <si>
    <t>YGQT52089997</t>
  </si>
  <si>
    <t>NAMS51989353</t>
  </si>
  <si>
    <t>CHUT51816945</t>
  </si>
  <si>
    <t>TORT51957551</t>
  </si>
  <si>
    <t>YGQT52193338</t>
  </si>
  <si>
    <t>CHOT52257853</t>
  </si>
  <si>
    <t>NAMS52156783</t>
  </si>
  <si>
    <t>CHUT52071729</t>
  </si>
  <si>
    <t>CHOT52250745</t>
  </si>
  <si>
    <t>CHUT51805622</t>
  </si>
  <si>
    <t>NAMS52071851</t>
  </si>
  <si>
    <t>NAMS52071856</t>
  </si>
  <si>
    <t>MINT51852752</t>
  </si>
  <si>
    <t>NAMS52071866</t>
  </si>
  <si>
    <t>NAMS52071879</t>
  </si>
  <si>
    <t>NAMS52071873</t>
  </si>
  <si>
    <t>NAMT52090458</t>
  </si>
  <si>
    <t>UCQT51942627</t>
  </si>
  <si>
    <t>TORT52072155</t>
  </si>
  <si>
    <t>UYCT51962806</t>
  </si>
  <si>
    <t>NAMS52072223</t>
  </si>
  <si>
    <t>YGQT52049803</t>
  </si>
  <si>
    <t>CHUT52064616</t>
  </si>
  <si>
    <t>TORT52072144</t>
  </si>
  <si>
    <t>CHUT52064609</t>
  </si>
  <si>
    <t>YGQT52071601</t>
  </si>
  <si>
    <t>YGQT52065038</t>
  </si>
  <si>
    <t>YGQT51997989</t>
  </si>
  <si>
    <t>UYCT52091210</t>
  </si>
  <si>
    <t>TORT52091194</t>
  </si>
  <si>
    <t>NAMS52091225</t>
  </si>
  <si>
    <t>KSST51736729</t>
  </si>
  <si>
    <t>NAMT51820918</t>
  </si>
  <si>
    <t>UCQT52092412</t>
  </si>
  <si>
    <t>UCQT52092434</t>
  </si>
  <si>
    <t>CHUT51805768</t>
  </si>
  <si>
    <t>UCQT52091696</t>
  </si>
  <si>
    <t>CHUT51984505</t>
  </si>
  <si>
    <t>NAMS51907108</t>
  </si>
  <si>
    <t>MINT52072695</t>
  </si>
  <si>
    <t>CHUT52092414</t>
  </si>
  <si>
    <t>POPT52092448</t>
  </si>
  <si>
    <t>UCQT52092955</t>
  </si>
  <si>
    <t>TORT52072887</t>
  </si>
  <si>
    <t>NAMS51906569</t>
  </si>
  <si>
    <t>NAMS52092764</t>
  </si>
  <si>
    <t>UYCT52092816</t>
  </si>
  <si>
    <t>UCQT52092827</t>
  </si>
  <si>
    <t>UYCT52092778</t>
  </si>
  <si>
    <t>KSST52073095</t>
  </si>
  <si>
    <t>UCQT52093185</t>
  </si>
  <si>
    <t>POPT52245142</t>
  </si>
  <si>
    <t>POPT52244750</t>
  </si>
  <si>
    <t>KSST52093099</t>
  </si>
  <si>
    <t>CHUT52093132</t>
  </si>
  <si>
    <t>NAMS51982517</t>
  </si>
  <si>
    <t>NAMS52093176</t>
  </si>
  <si>
    <t>NAMT51833501</t>
  </si>
  <si>
    <t>TORT52064177</t>
  </si>
  <si>
    <t>TORT52035522</t>
  </si>
  <si>
    <t>NAMS52093593</t>
  </si>
  <si>
    <t>NAMS52094844</t>
  </si>
  <si>
    <t>TORT52094864</t>
  </si>
  <si>
    <t>NAMS52095189</t>
  </si>
  <si>
    <t>NAMT52085655</t>
  </si>
  <si>
    <t>POPT52095573</t>
  </si>
  <si>
    <t>YGQT52095459</t>
  </si>
  <si>
    <t>NAMS52095476</t>
  </si>
  <si>
    <t>YGQT52095495</t>
  </si>
  <si>
    <t>KSST52095508</t>
  </si>
  <si>
    <t>UCQT52095519</t>
  </si>
  <si>
    <t>KSST52095546</t>
  </si>
  <si>
    <t>UCQT51962440</t>
  </si>
  <si>
    <t>KSST51983077</t>
  </si>
  <si>
    <t>NAMS51905622</t>
  </si>
  <si>
    <t>CHUT52095881</t>
  </si>
  <si>
    <t>POPT52095870</t>
  </si>
  <si>
    <t>NAMS52095848</t>
  </si>
  <si>
    <t>UYCT52263872</t>
  </si>
  <si>
    <t>YGQT52096357</t>
  </si>
  <si>
    <t>UCQT51988333</t>
  </si>
  <si>
    <t>UYCT51982589</t>
  </si>
  <si>
    <t>MINT51807672</t>
  </si>
  <si>
    <t>YGQT52096355</t>
  </si>
  <si>
    <t>YGQT52096377</t>
  </si>
  <si>
    <t>YGQT52096386</t>
  </si>
  <si>
    <t>YGQT52096415</t>
  </si>
  <si>
    <t>YGQT52096439</t>
  </si>
  <si>
    <t>YGQT52096460</t>
  </si>
  <si>
    <t>YGQT52096461</t>
  </si>
  <si>
    <t>NAMS52193207</t>
  </si>
  <si>
    <t>TORT52096813</t>
  </si>
  <si>
    <t>NAMS52096857</t>
  </si>
  <si>
    <t>NAMS52096885</t>
  </si>
  <si>
    <t>UYCT52096935</t>
  </si>
  <si>
    <t>UCQT52097303</t>
  </si>
  <si>
    <t>CHUT52097300</t>
  </si>
  <si>
    <t>KSST52097317</t>
  </si>
  <si>
    <t>TORT52097351</t>
  </si>
  <si>
    <t>MINT52092417</t>
  </si>
  <si>
    <t>NAMS52097599</t>
  </si>
  <si>
    <t>NAMS51910473</t>
  </si>
  <si>
    <t>NAMS52098228</t>
  </si>
  <si>
    <t>UYCT52098195</t>
  </si>
  <si>
    <t>NAMS52098219</t>
  </si>
  <si>
    <t>NORT52098234</t>
  </si>
  <si>
    <t>UCQT51942018</t>
  </si>
  <si>
    <t>TORT52098454</t>
  </si>
  <si>
    <t>TORT52098477</t>
  </si>
  <si>
    <t>NAMS52098485</t>
  </si>
  <si>
    <t>NORT52098487</t>
  </si>
  <si>
    <t>KSST52098510</t>
  </si>
  <si>
    <t>UYCT52098535</t>
  </si>
  <si>
    <t>KSST52098967</t>
  </si>
  <si>
    <t>UYCT52099026</t>
  </si>
  <si>
    <t>KSST52048114</t>
  </si>
  <si>
    <t>KSST52099480</t>
  </si>
  <si>
    <t>YGQT52099466</t>
  </si>
  <si>
    <t>POPT52099488</t>
  </si>
  <si>
    <t>NAMS51701333</t>
  </si>
  <si>
    <t>UCQT52099846</t>
  </si>
  <si>
    <t>CHUT52099839</t>
  </si>
  <si>
    <t>NAMS52099850</t>
  </si>
  <si>
    <t>MINT52099861</t>
  </si>
  <si>
    <t>UCQT52099876</t>
  </si>
  <si>
    <t>NAMS52099950</t>
  </si>
  <si>
    <t>NAMS52099963</t>
  </si>
  <si>
    <t>KSST52099945</t>
  </si>
  <si>
    <t>UYCT52099977</t>
  </si>
  <si>
    <t>KSST52099992</t>
  </si>
  <si>
    <t>POPT52100017</t>
  </si>
  <si>
    <t>UCQT52100286</t>
  </si>
  <si>
    <t>NAMT52100271</t>
  </si>
  <si>
    <t>CHUT52100254</t>
  </si>
  <si>
    <t>NAMS52100230</t>
  </si>
  <si>
    <t>MINT52100237</t>
  </si>
  <si>
    <t>UCQT52100269</t>
  </si>
  <si>
    <t>YGQT52100297</t>
  </si>
  <si>
    <t>MINT52100362</t>
  </si>
  <si>
    <t>NORT52100792</t>
  </si>
  <si>
    <t>YGQT52100816</t>
  </si>
  <si>
    <t>YGQT52100824</t>
  </si>
  <si>
    <t>NAMT52100817</t>
  </si>
  <si>
    <t>NAMS52100838</t>
  </si>
  <si>
    <t>CHUT52100866</t>
  </si>
  <si>
    <t>CHUT52270828</t>
  </si>
  <si>
    <t>NAMS52270837</t>
  </si>
  <si>
    <t>NAMS51948030</t>
  </si>
  <si>
    <t>MINT52270880</t>
  </si>
  <si>
    <t>UCQT52101368</t>
  </si>
  <si>
    <t>NORT52101362</t>
  </si>
  <si>
    <t>MINT52101434</t>
  </si>
  <si>
    <t>NAMT52101431</t>
  </si>
  <si>
    <t>UYCT51678937</t>
  </si>
  <si>
    <t>YGQT52121445</t>
  </si>
  <si>
    <t>UCQT52101782</t>
  </si>
  <si>
    <t>NAMS52101858</t>
  </si>
  <si>
    <t>KSST52101797</t>
  </si>
  <si>
    <t>NAMS52101807</t>
  </si>
  <si>
    <t>MINT52101856</t>
  </si>
  <si>
    <t>NAMS51949313</t>
  </si>
  <si>
    <t>NAMT51904870</t>
  </si>
  <si>
    <t>UYCT51731322</t>
  </si>
  <si>
    <t>CHUT52033047</t>
  </si>
  <si>
    <t>POPT51812092</t>
  </si>
  <si>
    <t>NORT51951034</t>
  </si>
  <si>
    <t>YGQT52121933</t>
  </si>
  <si>
    <t>MINT52102145</t>
  </si>
  <si>
    <t>KSST52102149</t>
  </si>
  <si>
    <t>TORT52102160</t>
  </si>
  <si>
    <t>KSST52186167</t>
  </si>
  <si>
    <t>CHUT52277915</t>
  </si>
  <si>
    <t>CHOT52207368</t>
  </si>
  <si>
    <t>YGQT52277919</t>
  </si>
  <si>
    <t>NAMS52277914</t>
  </si>
  <si>
    <t>TORT52277916</t>
  </si>
  <si>
    <t>MINT52278355</t>
  </si>
  <si>
    <t>NORT51997494</t>
  </si>
  <si>
    <t>POPT52278781</t>
  </si>
  <si>
    <t>TORT52278795</t>
  </si>
  <si>
    <t>YGQT52278799</t>
  </si>
  <si>
    <t>MINT52102615</t>
  </si>
  <si>
    <t>NAMT52278804</t>
  </si>
  <si>
    <t>NORT52102632</t>
  </si>
  <si>
    <t>KSST52102629</t>
  </si>
  <si>
    <t>MINT52102636</t>
  </si>
  <si>
    <t>UCQT52102637</t>
  </si>
  <si>
    <t>KSST52102651</t>
  </si>
  <si>
    <t>CHOT51905436</t>
  </si>
  <si>
    <t>NAMT51952102</t>
  </si>
  <si>
    <t>NAMS51998610</t>
  </si>
  <si>
    <t>TORT52121367</t>
  </si>
  <si>
    <t>YGQT52121386</t>
  </si>
  <si>
    <t>TORT51684749</t>
  </si>
  <si>
    <t>YGQT52121397</t>
  </si>
  <si>
    <t>CHUT52103036</t>
  </si>
  <si>
    <t>TORT51908240</t>
  </si>
  <si>
    <t>KSST52280068</t>
  </si>
  <si>
    <t>YGQT52121415</t>
  </si>
  <si>
    <t>NAMT52280605</t>
  </si>
  <si>
    <t>MINT52103276</t>
  </si>
  <si>
    <t>NAMS52103285</t>
  </si>
  <si>
    <t>NAMS52103290</t>
  </si>
  <si>
    <t>MINT52103296</t>
  </si>
  <si>
    <t>NAMS52103293</t>
  </si>
  <si>
    <t>YGQT52121435</t>
  </si>
  <si>
    <t>NAMS52121431</t>
  </si>
  <si>
    <t>NAMS52103330</t>
  </si>
  <si>
    <t>UYCT51810545</t>
  </si>
  <si>
    <t>NAMT52046186</t>
  </si>
  <si>
    <t>NAMT52046185</t>
  </si>
  <si>
    <t>NAMT52046183</t>
  </si>
  <si>
    <t>POPT52103528</t>
  </si>
  <si>
    <t>POPT52103540</t>
  </si>
  <si>
    <t>UCQT52103568</t>
  </si>
  <si>
    <t>KSST52103560</t>
  </si>
  <si>
    <t>NAMS52064215</t>
  </si>
  <si>
    <t>NAMT52046365</t>
  </si>
  <si>
    <t>NAMS52103943</t>
  </si>
  <si>
    <t>NAMS52103946</t>
  </si>
  <si>
    <t>YGQT52121452</t>
  </si>
  <si>
    <t>NAMS52103978</t>
  </si>
  <si>
    <t>MINT51955699</t>
  </si>
  <si>
    <t>NAMS52121459</t>
  </si>
  <si>
    <t>KSST52104502</t>
  </si>
  <si>
    <t>KSST51985320</t>
  </si>
  <si>
    <t>YGQT52104945</t>
  </si>
  <si>
    <t>NAMS52105302</t>
  </si>
  <si>
    <t>KSST52105352</t>
  </si>
  <si>
    <t>NAMS52105422</t>
  </si>
  <si>
    <t>UYCT52105501</t>
  </si>
  <si>
    <t>UCQT52105533</t>
  </si>
  <si>
    <t>UCQT52121420</t>
  </si>
  <si>
    <t>YGQT52121463</t>
  </si>
  <si>
    <t>CHUT52105936</t>
  </si>
  <si>
    <t>NAMS52106005</t>
  </si>
  <si>
    <t>CHUT52004368</t>
  </si>
  <si>
    <t>NAMS52106583</t>
  </si>
  <si>
    <t>CHUT52106981</t>
  </si>
  <si>
    <t>YGQT52107014</t>
  </si>
  <si>
    <t>NAMT52107025</t>
  </si>
  <si>
    <t>TORT52107027</t>
  </si>
  <si>
    <t>NAMS52107074</t>
  </si>
  <si>
    <t>POPT51805750</t>
  </si>
  <si>
    <t>NAMS52107261</t>
  </si>
  <si>
    <t>NAMS52107281</t>
  </si>
  <si>
    <t>NAMS52107341</t>
  </si>
  <si>
    <t>TORT52107307</t>
  </si>
  <si>
    <t>NAMS52107342</t>
  </si>
  <si>
    <t>NAMT52107496</t>
  </si>
  <si>
    <t>YGQT52107519</t>
  </si>
  <si>
    <t>YGQT52122107</t>
  </si>
  <si>
    <t>POPT51723849</t>
  </si>
  <si>
    <t>KSST52107817</t>
  </si>
  <si>
    <t>UYCT52107814</t>
  </si>
  <si>
    <t>MINT52122075</t>
  </si>
  <si>
    <t>POPT52107825</t>
  </si>
  <si>
    <t>NAMS52107833</t>
  </si>
  <si>
    <t>YGQT52122117</t>
  </si>
  <si>
    <t>TORT52122112</t>
  </si>
  <si>
    <t>NAMS51953225</t>
  </si>
  <si>
    <t>UCQT52108082</t>
  </si>
  <si>
    <t>UYCT52108076</t>
  </si>
  <si>
    <t>KSST52108114</t>
  </si>
  <si>
    <t>POPT52098956</t>
  </si>
  <si>
    <t>POPT51962899</t>
  </si>
  <si>
    <t>YGQT52108739</t>
  </si>
  <si>
    <t>UYCT52109116</t>
  </si>
  <si>
    <t>NAMS52109104</t>
  </si>
  <si>
    <t>KSST52109088</t>
  </si>
  <si>
    <t>KSST52109145</t>
  </si>
  <si>
    <t>NAMS52109144</t>
  </si>
  <si>
    <t>CHUT52109810</t>
  </si>
  <si>
    <t>CHUT52110178</t>
  </si>
  <si>
    <t>UYCT52110169</t>
  </si>
  <si>
    <t>UYCT52110165</t>
  </si>
  <si>
    <t>NAMS52110155</t>
  </si>
  <si>
    <t>NAMS52110473</t>
  </si>
  <si>
    <t>UCQT52110496</t>
  </si>
  <si>
    <t>CHOT52109788</t>
  </si>
  <si>
    <t>NAMS52110933</t>
  </si>
  <si>
    <t>UYCT52110912</t>
  </si>
  <si>
    <t>UCQT52121559</t>
  </si>
  <si>
    <t>TORT52111856</t>
  </si>
  <si>
    <t>NAMS52111869</t>
  </si>
  <si>
    <t>MINT52111895</t>
  </si>
  <si>
    <t>NAMS52111931</t>
  </si>
  <si>
    <t>NAMS52111934</t>
  </si>
  <si>
    <t>NAMS52111941</t>
  </si>
  <si>
    <t>YGQT52111875</t>
  </si>
  <si>
    <t>TORT51912420</t>
  </si>
  <si>
    <t>KSST52112980</t>
  </si>
  <si>
    <t>NORT52112997</t>
  </si>
  <si>
    <t>YGQT52113373</t>
  </si>
  <si>
    <t>NAMS52121618</t>
  </si>
  <si>
    <t>POPT52121595</t>
  </si>
  <si>
    <t>NAMT52114480</t>
  </si>
  <si>
    <t>NAMT52114854</t>
  </si>
  <si>
    <t>YGQT52114839</t>
  </si>
  <si>
    <t>CHUT52115316</t>
  </si>
  <si>
    <t>UYCT52115338</t>
  </si>
  <si>
    <t>MINT52116378</t>
  </si>
  <si>
    <t>CHUT52116440</t>
  </si>
  <si>
    <t>UCQT51996644</t>
  </si>
  <si>
    <t>NAMS52117117</t>
  </si>
  <si>
    <t>NAMS52117112</t>
  </si>
  <si>
    <t>CHOT52117441</t>
  </si>
  <si>
    <t>UYCT52117456</t>
  </si>
  <si>
    <t>TORT52117471</t>
  </si>
  <si>
    <t>YGQT52097638</t>
  </si>
  <si>
    <t>MINT52117574</t>
  </si>
  <si>
    <t>NAMS52117588</t>
  </si>
  <si>
    <t>NAMS52117613</t>
  </si>
  <si>
    <t>NORT52117622</t>
  </si>
  <si>
    <t>POPT52117758</t>
  </si>
  <si>
    <t>MINT52117747</t>
  </si>
  <si>
    <t>NAMS52117729</t>
  </si>
  <si>
    <t>UYCT52117730</t>
  </si>
  <si>
    <t>NAMS52063363</t>
  </si>
  <si>
    <t>UYCT52117904</t>
  </si>
  <si>
    <t>CHUT52117888</t>
  </si>
  <si>
    <t>NAMS52117877</t>
  </si>
  <si>
    <t>MINT52117884</t>
  </si>
  <si>
    <t>NAMS52117899</t>
  </si>
  <si>
    <t>UYCT52117909</t>
  </si>
  <si>
    <t>CHUT52117918</t>
  </si>
  <si>
    <t>CHUT52073066</t>
  </si>
  <si>
    <t>NAMS52118017</t>
  </si>
  <si>
    <t>MINT52118037</t>
  </si>
  <si>
    <t>TORT52118040</t>
  </si>
  <si>
    <t>KSST52118042</t>
  </si>
  <si>
    <t>POPT52118184</t>
  </si>
  <si>
    <t>CHUT52118183</t>
  </si>
  <si>
    <t>CHUT52118177</t>
  </si>
  <si>
    <t>POPT52118202</t>
  </si>
  <si>
    <t>NAMS52118226</t>
  </si>
  <si>
    <t>CHUT52118249</t>
  </si>
  <si>
    <t>TORT51988217</t>
  </si>
  <si>
    <t>POPT51859525</t>
  </si>
  <si>
    <t>KSST52118074</t>
  </si>
  <si>
    <t>CHOT52118331</t>
  </si>
  <si>
    <t>UCQT52118355</t>
  </si>
  <si>
    <t>UCQT52118445</t>
  </si>
  <si>
    <t>NAMS52118461</t>
  </si>
  <si>
    <t>YGQT52072419</t>
  </si>
  <si>
    <t>POPT51962911</t>
  </si>
  <si>
    <t>NAMS51938629</t>
  </si>
  <si>
    <t>UYCT52118688</t>
  </si>
  <si>
    <t>NAMT52118731</t>
  </si>
  <si>
    <t>UYCT51781697</t>
  </si>
  <si>
    <t>NAMT52118850</t>
  </si>
  <si>
    <t>MINT52096372</t>
  </si>
  <si>
    <t>KSST51998262</t>
  </si>
  <si>
    <t>KSST52118956</t>
  </si>
  <si>
    <t>UCQT52118998</t>
  </si>
  <si>
    <t>POPT52118970</t>
  </si>
  <si>
    <t>UYCT52119008</t>
  </si>
  <si>
    <t>NAMS51901693</t>
  </si>
  <si>
    <t>NAMS51987699</t>
  </si>
  <si>
    <t>KSST52119121</t>
  </si>
  <si>
    <t>UYCT52119129</t>
  </si>
  <si>
    <t>KSST52119146</t>
  </si>
  <si>
    <t>NAMS52119155</t>
  </si>
  <si>
    <t>TORT52119169</t>
  </si>
  <si>
    <t>UCQT52119184</t>
  </si>
  <si>
    <t>CHUT52119291</t>
  </si>
  <si>
    <t>POPT52119273</t>
  </si>
  <si>
    <t>KSST51948192</t>
  </si>
  <si>
    <t>TORT52119418</t>
  </si>
  <si>
    <t>NAMS52119914</t>
  </si>
  <si>
    <t>UCQT52119421</t>
  </si>
  <si>
    <t>YGQT52119977</t>
  </si>
  <si>
    <t>NORT52119962</t>
  </si>
  <si>
    <t>POPT52119927</t>
  </si>
  <si>
    <t>MINT51873543</t>
  </si>
  <si>
    <t>NAMS51833014</t>
  </si>
  <si>
    <t>NAMS52120546</t>
  </si>
  <si>
    <t>KSST52120571</t>
  </si>
  <si>
    <t>MINT52120568</t>
  </si>
  <si>
    <t>YGQT52120557</t>
  </si>
  <si>
    <t>NAMS52121719</t>
  </si>
  <si>
    <t>CHUT52121730</t>
  </si>
  <si>
    <t>NAMS52120975</t>
  </si>
  <si>
    <t>NAMS52121003</t>
  </si>
  <si>
    <t>TORT52121781</t>
  </si>
  <si>
    <t>YGQT51948716</t>
  </si>
  <si>
    <t>KSST52106615</t>
  </si>
  <si>
    <t>NAMS52121200</t>
  </si>
  <si>
    <t>NAMT52121129</t>
  </si>
  <si>
    <t>YGQT52121770</t>
  </si>
  <si>
    <t>NAMT52121178</t>
  </si>
  <si>
    <t>UCQT52121175</t>
  </si>
  <si>
    <t>KSST52121762</t>
  </si>
  <si>
    <t>NAMS52121945</t>
  </si>
  <si>
    <t>NORT52104951</t>
  </si>
  <si>
    <t>KSST52118869</t>
  </si>
  <si>
    <t>KSST52118360</t>
  </si>
  <si>
    <t>KSST52132316</t>
  </si>
  <si>
    <t>NAMS52122233</t>
  </si>
  <si>
    <t>YGQT52122314</t>
  </si>
  <si>
    <t>TORT52122485</t>
  </si>
  <si>
    <t>YGQT52122548</t>
  </si>
  <si>
    <t>UCQT52122567</t>
  </si>
  <si>
    <t>NAMS51961586</t>
  </si>
  <si>
    <t>UCQT52122760</t>
  </si>
  <si>
    <t>NAMS52122765</t>
  </si>
  <si>
    <t>YGQT52122783</t>
  </si>
  <si>
    <t>NAMS52122798</t>
  </si>
  <si>
    <t>NORT52123162</t>
  </si>
  <si>
    <t>CHOT52123263</t>
  </si>
  <si>
    <t>YGQT52123134</t>
  </si>
  <si>
    <t>KSST52123729</t>
  </si>
  <si>
    <t>NORT52122588</t>
  </si>
  <si>
    <t>POPT52123390</t>
  </si>
  <si>
    <t>KSST52123419</t>
  </si>
  <si>
    <t>YGQT52123448</t>
  </si>
  <si>
    <t>YGQT52123410</t>
  </si>
  <si>
    <t>NAMS52123461</t>
  </si>
  <si>
    <t>NAMS52050222</t>
  </si>
  <si>
    <t>NAMS52043213</t>
  </si>
  <si>
    <t>MINT52123632</t>
  </si>
  <si>
    <t>KSST52123644</t>
  </si>
  <si>
    <t>NAMT52099433</t>
  </si>
  <si>
    <t>NAMS52049711</t>
  </si>
  <si>
    <t>UCQT51988115</t>
  </si>
  <si>
    <t>NAMS52123771</t>
  </si>
  <si>
    <t>UYCT52123830</t>
  </si>
  <si>
    <t>NAMS52123828</t>
  </si>
  <si>
    <t>NAMS52123848</t>
  </si>
  <si>
    <t>MINT52123878</t>
  </si>
  <si>
    <t>TORT51997483</t>
  </si>
  <si>
    <t>NAMT52088254</t>
  </si>
  <si>
    <t>UYCT51995975</t>
  </si>
  <si>
    <t>CHUT52124288</t>
  </si>
  <si>
    <t>NAMT52124210</t>
  </si>
  <si>
    <t>KSST52098190</t>
  </si>
  <si>
    <t>KSST52124250</t>
  </si>
  <si>
    <t>KSST52124274</t>
  </si>
  <si>
    <t>NAMS52124419</t>
  </si>
  <si>
    <t>UYCT52124492</t>
  </si>
  <si>
    <t>NAMS52124481</t>
  </si>
  <si>
    <t>KSST52124679</t>
  </si>
  <si>
    <t>YGQT52124709</t>
  </si>
  <si>
    <t>NAMS52124885</t>
  </si>
  <si>
    <t>UYCT51878167</t>
  </si>
  <si>
    <t>YGQT52124865</t>
  </si>
  <si>
    <t>POPT51962922</t>
  </si>
  <si>
    <t>POPT52124876</t>
  </si>
  <si>
    <t>UYCT52125048</t>
  </si>
  <si>
    <t>UYCT52043241</t>
  </si>
  <si>
    <t>UYCT51875233</t>
  </si>
  <si>
    <t>NAMS52118322</t>
  </si>
  <si>
    <t>NAMT52125513</t>
  </si>
  <si>
    <t>NAMT52125692</t>
  </si>
  <si>
    <t>NAMS52125728</t>
  </si>
  <si>
    <t>CHOT52110906</t>
  </si>
  <si>
    <t>NAMS52125838</t>
  </si>
  <si>
    <t>CHUT52125834</t>
  </si>
  <si>
    <t>MINT52134589</t>
  </si>
  <si>
    <t>CHOT52028821</t>
  </si>
  <si>
    <t>POPT52126009</t>
  </si>
  <si>
    <t>NAMS52125976</t>
  </si>
  <si>
    <t>NAMT52125986</t>
  </si>
  <si>
    <t>UYCT52126182</t>
  </si>
  <si>
    <t>NAMT52126189</t>
  </si>
  <si>
    <t>UYCT51913378</t>
  </si>
  <si>
    <t>NAMS52126304</t>
  </si>
  <si>
    <t>CHOT52126484</t>
  </si>
  <si>
    <t>NAMS52126652</t>
  </si>
  <si>
    <t>MINT52043420</t>
  </si>
  <si>
    <t>KSST52126628</t>
  </si>
  <si>
    <t>CHOT51946329</t>
  </si>
  <si>
    <t>NAMS52134721</t>
  </si>
  <si>
    <t>NAMS51985034</t>
  </si>
  <si>
    <t>POPT52041777</t>
  </si>
  <si>
    <t>KSST51952387</t>
  </si>
  <si>
    <t>MINT52127158</t>
  </si>
  <si>
    <t>NAMT51991095</t>
  </si>
  <si>
    <t>UYCT51691330</t>
  </si>
  <si>
    <t>YGQT51953109</t>
  </si>
  <si>
    <t>YGQT52127675</t>
  </si>
  <si>
    <t>POPT52134888</t>
  </si>
  <si>
    <t>UCQT52104414</t>
  </si>
  <si>
    <t>YGQT52127938</t>
  </si>
  <si>
    <t>YGQT52000212</t>
  </si>
  <si>
    <t>UYCT51738904</t>
  </si>
  <si>
    <t>NAMT52067626</t>
  </si>
  <si>
    <t>NAMT52121941</t>
  </si>
  <si>
    <t>POPT52128656</t>
  </si>
  <si>
    <t>NAMT52126180</t>
  </si>
  <si>
    <t>MINT52128904</t>
  </si>
  <si>
    <t>CHUT51911609</t>
  </si>
  <si>
    <t>TORT52126349</t>
  </si>
  <si>
    <t>NAMS51957546</t>
  </si>
  <si>
    <t>TORT52126779</t>
  </si>
  <si>
    <t>NAMS52129326</t>
  </si>
  <si>
    <t>TORT52123732</t>
  </si>
  <si>
    <t>POPT52118240</t>
  </si>
  <si>
    <t>CHUT51730721</t>
  </si>
  <si>
    <t>TORT51938415</t>
  </si>
  <si>
    <t>TORT52001095</t>
  </si>
  <si>
    <t>YGQT51915738</t>
  </si>
  <si>
    <t>NAMS52098545</t>
  </si>
  <si>
    <t>NAMS51984613</t>
  </si>
  <si>
    <t>NAMT52159188</t>
  </si>
  <si>
    <t>NAMS52135667</t>
  </si>
  <si>
    <t>YGQT52135671</t>
  </si>
  <si>
    <t>NORT51642062</t>
  </si>
  <si>
    <t>TORT51907800</t>
  </si>
  <si>
    <t>TORT51948884</t>
  </si>
  <si>
    <t>CHUT51855199</t>
  </si>
  <si>
    <t>KSST52158588</t>
  </si>
  <si>
    <t>TORT51997788</t>
  </si>
  <si>
    <t>NAMS52105883</t>
  </si>
  <si>
    <t>UCQT52136005</t>
  </si>
  <si>
    <t>NAMS52158600</t>
  </si>
  <si>
    <t>NAMS51959625</t>
  </si>
  <si>
    <t>TORT51984488</t>
  </si>
  <si>
    <t>YGQT52034850</t>
  </si>
  <si>
    <t>MINT51957723</t>
  </si>
  <si>
    <t>POPT52104918</t>
  </si>
  <si>
    <t>UCQT52140443</t>
  </si>
  <si>
    <t>MINT51985263</t>
  </si>
  <si>
    <t>YGQT51914273</t>
  </si>
  <si>
    <t>UYCT52005658</t>
  </si>
  <si>
    <t>UYCT51987166</t>
  </si>
  <si>
    <t>MINT52035924</t>
  </si>
  <si>
    <t>MINT52070735</t>
  </si>
  <si>
    <t>TORT52046696</t>
  </si>
  <si>
    <t>TORT52111949</t>
  </si>
  <si>
    <t>NAMS52158746</t>
  </si>
  <si>
    <t>UCQT52142553</t>
  </si>
  <si>
    <t>NAMS52158727</t>
  </si>
  <si>
    <t>POPT52158724</t>
  </si>
  <si>
    <t>CHUT52158744</t>
  </si>
  <si>
    <t>CHOT52158745</t>
  </si>
  <si>
    <t>NAMS52143155</t>
  </si>
  <si>
    <t>UYCT52035052</t>
  </si>
  <si>
    <t>NAMS52065399</t>
  </si>
  <si>
    <t>NAMS52116961</t>
  </si>
  <si>
    <t>UYCT51782622</t>
  </si>
  <si>
    <t>UYCT52145021</t>
  </si>
  <si>
    <t>KSST52150841</t>
  </si>
  <si>
    <t>NAMS52150900</t>
  </si>
  <si>
    <t>UCQT52150906</t>
  </si>
  <si>
    <t>YGQT52150910</t>
  </si>
  <si>
    <t>NAMT52158893</t>
  </si>
  <si>
    <t>NAMS52151012</t>
  </si>
  <si>
    <t>MINT52151001</t>
  </si>
  <si>
    <t>MINT52158892</t>
  </si>
  <si>
    <t>TORT52151047</t>
  </si>
  <si>
    <t>KSST52151156</t>
  </si>
  <si>
    <t>UCQT52151243</t>
  </si>
  <si>
    <t>UCQT52151236</t>
  </si>
  <si>
    <t>MINT52151528</t>
  </si>
  <si>
    <t>YGQT52122101</t>
  </si>
  <si>
    <t>YGQT52121462</t>
  </si>
  <si>
    <t>KSST52151605</t>
  </si>
  <si>
    <t>UCQT51897674</t>
  </si>
  <si>
    <t>MINT51938678</t>
  </si>
  <si>
    <t>MINT52151839</t>
  </si>
  <si>
    <t>UYCT52151835</t>
  </si>
  <si>
    <t>YGQT52151900</t>
  </si>
  <si>
    <t>POPT51986931</t>
  </si>
  <si>
    <t>MINT51958225</t>
  </si>
  <si>
    <t>MINT52152620</t>
  </si>
  <si>
    <t>NAMS52152627</t>
  </si>
  <si>
    <t>NAMS52152645</t>
  </si>
  <si>
    <t>NAMT52151610</t>
  </si>
  <si>
    <t>NAMT52152754</t>
  </si>
  <si>
    <t>CHUT52152770</t>
  </si>
  <si>
    <t>CHUT52152776</t>
  </si>
  <si>
    <t>MINT52152773</t>
  </si>
  <si>
    <t>YGQT52048380</t>
  </si>
  <si>
    <t>YGQT51953200</t>
  </si>
  <si>
    <t>YGQT52152899</t>
  </si>
  <si>
    <t>POPT52152911</t>
  </si>
  <si>
    <t>UCQT52152917</t>
  </si>
  <si>
    <t>TORT52152913</t>
  </si>
  <si>
    <t>NAMS52152933</t>
  </si>
  <si>
    <t>POPT52152925</t>
  </si>
  <si>
    <t>KSST52152959</t>
  </si>
  <si>
    <t>POPT52153067</t>
  </si>
  <si>
    <t>POPT52153113</t>
  </si>
  <si>
    <t>NAMS52033423</t>
  </si>
  <si>
    <t>NAMS52153187</t>
  </si>
  <si>
    <t>NORT52153209</t>
  </si>
  <si>
    <t>NAMS52153232</t>
  </si>
  <si>
    <t>NAMS52153357</t>
  </si>
  <si>
    <t>CHUT52153337</t>
  </si>
  <si>
    <t>NAMS52153315</t>
  </si>
  <si>
    <t>UYCT52153401</t>
  </si>
  <si>
    <t>NAMS52153415</t>
  </si>
  <si>
    <t>NAMS52122051</t>
  </si>
  <si>
    <t>MINT52153624</t>
  </si>
  <si>
    <t>KSST52153630</t>
  </si>
  <si>
    <t>POPT52153633</t>
  </si>
  <si>
    <t>NAMS52153639</t>
  </si>
  <si>
    <t>MINT52153674</t>
  </si>
  <si>
    <t>POPT52153812</t>
  </si>
  <si>
    <t>NAMS52153806</t>
  </si>
  <si>
    <t>NAMS52153845</t>
  </si>
  <si>
    <t>NAMS52153886</t>
  </si>
  <si>
    <t>NORT52153884</t>
  </si>
  <si>
    <t>NAMS52153877</t>
  </si>
  <si>
    <t>YGQT52154006</t>
  </si>
  <si>
    <t>UYCT52154007</t>
  </si>
  <si>
    <t>NORT52154028</t>
  </si>
  <si>
    <t>NORT52154021</t>
  </si>
  <si>
    <t>NORT52154041</t>
  </si>
  <si>
    <t>YGQT52154074</t>
  </si>
  <si>
    <t>YGQT51736041</t>
  </si>
  <si>
    <t>MINT52154265</t>
  </si>
  <si>
    <t>YGQT52154242</t>
  </si>
  <si>
    <t>POPT52154256</t>
  </si>
  <si>
    <t>KSST52154291</t>
  </si>
  <si>
    <t>CHUT52154297</t>
  </si>
  <si>
    <t>UCQT52154307</t>
  </si>
  <si>
    <t>NAMS52154330</t>
  </si>
  <si>
    <t>TORT52154645</t>
  </si>
  <si>
    <t>MINT52154618</t>
  </si>
  <si>
    <t>UCQT52154724</t>
  </si>
  <si>
    <t>CHUT52154722</t>
  </si>
  <si>
    <t>NAMS52154869</t>
  </si>
  <si>
    <t>NORT52094878</t>
  </si>
  <si>
    <t>MINT52154900</t>
  </si>
  <si>
    <t>MINT52154902</t>
  </si>
  <si>
    <t>CHUT52154905</t>
  </si>
  <si>
    <t>MINT52154910</t>
  </si>
  <si>
    <t>POPT52154930</t>
  </si>
  <si>
    <t>CHUT52154949</t>
  </si>
  <si>
    <t>UYCT52102218</t>
  </si>
  <si>
    <t>TORT52155089</t>
  </si>
  <si>
    <t>TORT52155107</t>
  </si>
  <si>
    <t>CHUT52155163</t>
  </si>
  <si>
    <t>UCQT52158999</t>
  </si>
  <si>
    <t>TORT52153386</t>
  </si>
  <si>
    <t>NAMS51783434</t>
  </si>
  <si>
    <t>POPT52155370</t>
  </si>
  <si>
    <t>UYCT52155397</t>
  </si>
  <si>
    <t>POPT52155362</t>
  </si>
  <si>
    <t>KSST52154704</t>
  </si>
  <si>
    <t>YGQT52121357</t>
  </si>
  <si>
    <t>NAMS52050113</t>
  </si>
  <si>
    <t>NAMS52130831</t>
  </si>
  <si>
    <t>UYCT52159032</t>
  </si>
  <si>
    <t>MINT52159040</t>
  </si>
  <si>
    <t>MINT52159036</t>
  </si>
  <si>
    <t>NAMS52155658</t>
  </si>
  <si>
    <t>NAMS52155662</t>
  </si>
  <si>
    <t>KSST52155119</t>
  </si>
  <si>
    <t>TORT52155673</t>
  </si>
  <si>
    <t>YGQT52155692</t>
  </si>
  <si>
    <t>UCQT52155880</t>
  </si>
  <si>
    <t>TORT52155878</t>
  </si>
  <si>
    <t>MINT52155910</t>
  </si>
  <si>
    <t>CHUT52155977</t>
  </si>
  <si>
    <t>CHOT52155986</t>
  </si>
  <si>
    <t>CHOT52155912</t>
  </si>
  <si>
    <t>YGQT51999504</t>
  </si>
  <si>
    <t>CHUT52156121</t>
  </si>
  <si>
    <t>NAMS52156159</t>
  </si>
  <si>
    <t>NAMS52156174</t>
  </si>
  <si>
    <t>KSST52156193</t>
  </si>
  <si>
    <t>MINT52156350</t>
  </si>
  <si>
    <t>NORT52156345</t>
  </si>
  <si>
    <t>TORT52156407</t>
  </si>
  <si>
    <t>NAMT52156422</t>
  </si>
  <si>
    <t>TORT52156408</t>
  </si>
  <si>
    <t>NAMS52156436</t>
  </si>
  <si>
    <t>NAMS52156368</t>
  </si>
  <si>
    <t>CHOT52153859</t>
  </si>
  <si>
    <t>YGQT52156548</t>
  </si>
  <si>
    <t>NAMS52156563</t>
  </si>
  <si>
    <t>CHOT51949702</t>
  </si>
  <si>
    <t>UYCT51724664</t>
  </si>
  <si>
    <t>MINT52156543</t>
  </si>
  <si>
    <t>YGQT52156584</t>
  </si>
  <si>
    <t>CHUT52156599</t>
  </si>
  <si>
    <t>CHOT52158905</t>
  </si>
  <si>
    <t>NAMS52041755</t>
  </si>
  <si>
    <t>YGQT52156736</t>
  </si>
  <si>
    <t>KSST52156737</t>
  </si>
  <si>
    <t>POPT52156787</t>
  </si>
  <si>
    <t>NAMS51992937</t>
  </si>
  <si>
    <t>NAMS52156943</t>
  </si>
  <si>
    <t>TORT52120956</t>
  </si>
  <si>
    <t>KSST52157061</t>
  </si>
  <si>
    <t>NAMS52157122</t>
  </si>
  <si>
    <t>CHOT52157131</t>
  </si>
  <si>
    <t>CHUT52157136</t>
  </si>
  <si>
    <t>CHUT52157149</t>
  </si>
  <si>
    <t>POPT52157296</t>
  </si>
  <si>
    <t>NAMS52157305</t>
  </si>
  <si>
    <t>CHUT52157325</t>
  </si>
  <si>
    <t>MINT52157360</t>
  </si>
  <si>
    <t>MINT51958364</t>
  </si>
  <si>
    <t>POPT51989614</t>
  </si>
  <si>
    <t>NAMS52157505</t>
  </si>
  <si>
    <t>NAMS52157521</t>
  </si>
  <si>
    <t>UCQT52157593</t>
  </si>
  <si>
    <t>UYCT52157574</t>
  </si>
  <si>
    <t>TORT52157599</t>
  </si>
  <si>
    <t>NAMS52157618</t>
  </si>
  <si>
    <t>POPT51939470</t>
  </si>
  <si>
    <t>TORT52157814</t>
  </si>
  <si>
    <t>TORT52157836</t>
  </si>
  <si>
    <t>CHUT52157849</t>
  </si>
  <si>
    <t>NAMT52105306</t>
  </si>
  <si>
    <t>POPT52158122</t>
  </si>
  <si>
    <t>CHUT52158152</t>
  </si>
  <si>
    <t>NAMS52158166</t>
  </si>
  <si>
    <t>UCQT52158172</t>
  </si>
  <si>
    <t>CHUT52158179</t>
  </si>
  <si>
    <t>MINT52158170</t>
  </si>
  <si>
    <t>NAMS52158168</t>
  </si>
  <si>
    <t>YGQT52158183</t>
  </si>
  <si>
    <t>NORT51942011</t>
  </si>
  <si>
    <t>NAMS52158335</t>
  </si>
  <si>
    <t>CHUT52158339</t>
  </si>
  <si>
    <t>TORT52158349</t>
  </si>
  <si>
    <t>NAMT52158399</t>
  </si>
  <si>
    <t>CHUT52158389</t>
  </si>
  <si>
    <t>UYCT52158409</t>
  </si>
  <si>
    <t>CHUT52158417</t>
  </si>
  <si>
    <t>NAMS52159125</t>
  </si>
  <si>
    <t>MINT52158700</t>
  </si>
  <si>
    <t>CHUT52158699</t>
  </si>
  <si>
    <t>UYCT51863343</t>
  </si>
  <si>
    <t>NAMS52159447</t>
  </si>
  <si>
    <t>TORT52097338</t>
  </si>
  <si>
    <t>NAMS51996750</t>
  </si>
  <si>
    <t>CHUT52159129</t>
  </si>
  <si>
    <t>NORT52159636</t>
  </si>
  <si>
    <t>KSST52159646</t>
  </si>
  <si>
    <t>CHUT52159655</t>
  </si>
  <si>
    <t>NAMS52159665</t>
  </si>
  <si>
    <t>UYCT52159678</t>
  </si>
  <si>
    <t>POPT52159691</t>
  </si>
  <si>
    <t>NAMS52159863</t>
  </si>
  <si>
    <t>NAMS52159876</t>
  </si>
  <si>
    <t>UYCT52159899</t>
  </si>
  <si>
    <t>TORT52159924</t>
  </si>
  <si>
    <t>KSST52159934</t>
  </si>
  <si>
    <t>KSST52159932</t>
  </si>
  <si>
    <t>UYCT51952787</t>
  </si>
  <si>
    <t>NAMS51910065</t>
  </si>
  <si>
    <t>UYCT52160042</t>
  </si>
  <si>
    <t>CHUT52160067</t>
  </si>
  <si>
    <t>CHUT52160078</t>
  </si>
  <si>
    <t>YGQT52160101</t>
  </si>
  <si>
    <t>NAMS52160254</t>
  </si>
  <si>
    <t>KSST52160292</t>
  </si>
  <si>
    <t>MINT52160416</t>
  </si>
  <si>
    <t>NAMS52160448</t>
  </si>
  <si>
    <t>NAMS52160455</t>
  </si>
  <si>
    <t>KSST52160572</t>
  </si>
  <si>
    <t>MINT52160738</t>
  </si>
  <si>
    <t>POPT52160747</t>
  </si>
  <si>
    <t>CHUT52160760</t>
  </si>
  <si>
    <t>KSST52155139</t>
  </si>
  <si>
    <t>NORT52160994</t>
  </si>
  <si>
    <t>POPT52160992</t>
  </si>
  <si>
    <t>KSST52160590</t>
  </si>
  <si>
    <t>KSST52160277</t>
  </si>
  <si>
    <t>NAMT52161103</t>
  </si>
  <si>
    <t>NAMT52161138</t>
  </si>
  <si>
    <t>KSST52158989</t>
  </si>
  <si>
    <t>UCQT52161289</t>
  </si>
  <si>
    <t>YGQT52161376</t>
  </si>
  <si>
    <t>NAMS52161451</t>
  </si>
  <si>
    <t>CHUT52161551</t>
  </si>
  <si>
    <t>POPT52161753</t>
  </si>
  <si>
    <t>NAMS52161751</t>
  </si>
  <si>
    <t>NAMS52161756</t>
  </si>
  <si>
    <t>UCQT52161890</t>
  </si>
  <si>
    <t>CHUT52162212</t>
  </si>
  <si>
    <t>NAMS51945973</t>
  </si>
  <si>
    <t>TORT52162356</t>
  </si>
  <si>
    <t>NAMT52162359</t>
  </si>
  <si>
    <t>YGQT52005159</t>
  </si>
  <si>
    <t>NAMS52162392</t>
  </si>
  <si>
    <t>CHOT52162405</t>
  </si>
  <si>
    <t>NAMT52156351</t>
  </si>
  <si>
    <t>CHUT51784137</t>
  </si>
  <si>
    <t>NAMT52162506</t>
  </si>
  <si>
    <t>CHUT52162583</t>
  </si>
  <si>
    <t>NAMS52162571</t>
  </si>
  <si>
    <t>NORT51945162</t>
  </si>
  <si>
    <t>YGQT52154036</t>
  </si>
  <si>
    <t>YGQT52158562</t>
  </si>
  <si>
    <t>NAMS52162655</t>
  </si>
  <si>
    <t>NAMS52162696</t>
  </si>
  <si>
    <t>TORT52162854</t>
  </si>
  <si>
    <t>UCQT52162822</t>
  </si>
  <si>
    <t>POPT52162865</t>
  </si>
  <si>
    <t>KSST52162893</t>
  </si>
  <si>
    <t>NAMS52162906</t>
  </si>
  <si>
    <t>NAMS52162932</t>
  </si>
  <si>
    <t>NAMT52162985</t>
  </si>
  <si>
    <t>KSST51956508</t>
  </si>
  <si>
    <t>NAMS52163012</t>
  </si>
  <si>
    <t>NAMS52162995</t>
  </si>
  <si>
    <t>YGQT52163035</t>
  </si>
  <si>
    <t>NAMS52163109</t>
  </si>
  <si>
    <t>TORT52163132</t>
  </si>
  <si>
    <t>CHUT52163279</t>
  </si>
  <si>
    <t>UYCT52163392</t>
  </si>
  <si>
    <t>CHUT52163413</t>
  </si>
  <si>
    <t>NAMS51947918</t>
  </si>
  <si>
    <t>NAMS51983398</t>
  </si>
  <si>
    <t>NORT52163514</t>
  </si>
  <si>
    <t>TORT52163549</t>
  </si>
  <si>
    <t>NAMS51958219</t>
  </si>
  <si>
    <t>UYCT52163684</t>
  </si>
  <si>
    <t>NAMS52163696</t>
  </si>
  <si>
    <t>CHUT52163832</t>
  </si>
  <si>
    <t>UYCT51787243</t>
  </si>
  <si>
    <t>POPT52063480</t>
  </si>
  <si>
    <t>NAMS52164008</t>
  </si>
  <si>
    <t>NORT52164019</t>
  </si>
  <si>
    <t>POPT52164024</t>
  </si>
  <si>
    <t>NAMS52164048</t>
  </si>
  <si>
    <t>KSST52164201</t>
  </si>
  <si>
    <t>KSST52164200</t>
  </si>
  <si>
    <t>NAMS52164214</t>
  </si>
  <si>
    <t>KSST52164222</t>
  </si>
  <si>
    <t>NAMT52164392</t>
  </si>
  <si>
    <t>KSST52164364</t>
  </si>
  <si>
    <t>CHUT52164366</t>
  </si>
  <si>
    <t>NAMS52164408</t>
  </si>
  <si>
    <t>UYCT52164430</t>
  </si>
  <si>
    <t>CHUT51780919</t>
  </si>
  <si>
    <t>POPT52164516</t>
  </si>
  <si>
    <t>NAMS52035889</t>
  </si>
  <si>
    <t>NAMT52164566</t>
  </si>
  <si>
    <t>NAMS52164719</t>
  </si>
  <si>
    <t>NAMS52026849</t>
  </si>
  <si>
    <t>UCQT52032029</t>
  </si>
  <si>
    <t>CHUT52033775</t>
  </si>
  <si>
    <t>NAMS52165092</t>
  </si>
  <si>
    <t>MINT52165018</t>
  </si>
  <si>
    <t>NORT52165062</t>
  </si>
  <si>
    <t>YGQT51952628</t>
  </si>
  <si>
    <t>UYCT52165193</t>
  </si>
  <si>
    <t>YGQT52165263</t>
  </si>
  <si>
    <t>NAMS52165405</t>
  </si>
  <si>
    <t>UYCT51993613</t>
  </si>
  <si>
    <t>NAMS52143523</t>
  </si>
  <si>
    <t>TORT51986410</t>
  </si>
  <si>
    <t>CHUT52165595</t>
  </si>
  <si>
    <t>POPT52165655</t>
  </si>
  <si>
    <t>POPT52165659</t>
  </si>
  <si>
    <t>KSST52165868</t>
  </si>
  <si>
    <t>NAMT52158118</t>
  </si>
  <si>
    <t>TORT52165799</t>
  </si>
  <si>
    <t>NAMS52165828</t>
  </si>
  <si>
    <t>UYCT52165847</t>
  </si>
  <si>
    <t>Yer xususiylashtirish xizmati</t>
  </si>
  <si>
    <t>16:12:40:02:02:1511</t>
  </si>
  <si>
    <t>16:02:01:01:03:5027</t>
  </si>
  <si>
    <t>16:12:02:01:03:3899</t>
  </si>
  <si>
    <t>16:07:41:02:02:0185</t>
  </si>
  <si>
    <t>16:08:08:02:02:1585</t>
  </si>
  <si>
    <t>16:07:41:01:01:3415</t>
  </si>
  <si>
    <t>16:03:08:01:06:1122</t>
  </si>
  <si>
    <t>16:03:40:02:02:0786</t>
  </si>
  <si>
    <t>16:12:01:01:11:4464</t>
  </si>
  <si>
    <t>16:11:07:02:02:0051</t>
  </si>
  <si>
    <t>16:06:40:02:02:0182</t>
  </si>
  <si>
    <t>16:03:13:01:03:1455</t>
  </si>
  <si>
    <t>16:11:41:02:01:1079</t>
  </si>
  <si>
    <t>16:07:41:02:01:1880/0002</t>
  </si>
  <si>
    <t>16:11:000013882</t>
  </si>
  <si>
    <t>16:03:41:01:01:1160</t>
  </si>
  <si>
    <t>16:12:01:01:04:5163</t>
  </si>
  <si>
    <t>16:08:06:02:02:1187</t>
  </si>
  <si>
    <t>16:06:01:01:02:9512</t>
  </si>
  <si>
    <t>16:06:42:02:01:1545</t>
  </si>
  <si>
    <t>16:07:41:02:01:2958</t>
  </si>
  <si>
    <t>16:05:41:01:01:0673</t>
  </si>
  <si>
    <t>16:11:41:02:02:4017</t>
  </si>
  <si>
    <t>16:07:41:01:01:0073</t>
  </si>
  <si>
    <t>16:06:42:02:01:0332</t>
  </si>
  <si>
    <t>16:01:40:01:01:2737</t>
  </si>
  <si>
    <t>16:02:01:01:03:5026</t>
  </si>
  <si>
    <t>16:02:02:01:01:5555</t>
  </si>
  <si>
    <t>16:10:41:01:02:0192/0044</t>
  </si>
  <si>
    <t>16:12:42:03:02:0493</t>
  </si>
  <si>
    <t>16:02:41:01:02:2195</t>
  </si>
  <si>
    <t>16:11:41:02:02:0165</t>
  </si>
  <si>
    <t>16:11:05:01:05:1651</t>
  </si>
  <si>
    <t>16:02:41:01:01:4723</t>
  </si>
  <si>
    <t>16:10:06:01:02:1429</t>
  </si>
  <si>
    <t>16:06:42:02:01:0658</t>
  </si>
  <si>
    <t>16:10:41:01:02:0952</t>
  </si>
  <si>
    <t>16:06:03:03:02:3135</t>
  </si>
  <si>
    <t>16:10:41:01:03:0317</t>
  </si>
  <si>
    <t>16:09:10:03:01:5903</t>
  </si>
  <si>
    <t>16:04:41:02:01:2124</t>
  </si>
  <si>
    <t>16:05:41:02:02:9481/0001</t>
  </si>
  <si>
    <t>16:11:41:03:02:0496</t>
  </si>
  <si>
    <t>16:11:07:01:04:1464</t>
  </si>
  <si>
    <t>16:11:09:01:03:1078</t>
  </si>
  <si>
    <t>16:03:03:01:05:3487</t>
  </si>
  <si>
    <t>16:11:41:01:02:0851</t>
  </si>
  <si>
    <t>16:06:05:01:07:5018</t>
  </si>
  <si>
    <t>16:10:09:01:01:0060</t>
  </si>
  <si>
    <t>16:11:41:02:01:1980</t>
  </si>
  <si>
    <t>16:11:06:03:04:7052</t>
  </si>
  <si>
    <t>16:11:41:02:02:1054</t>
  </si>
  <si>
    <t>16:07:08:02:01:1345</t>
  </si>
  <si>
    <t>16:11:41:02:02:2001</t>
  </si>
  <si>
    <t>16:12:40:02:02:2815/0005</t>
  </si>
  <si>
    <t>16:07:05:01:04:1137</t>
  </si>
  <si>
    <t>16:06:41:02:02:1047</t>
  </si>
  <si>
    <t>16:07:02:01:03:2510</t>
  </si>
  <si>
    <t>16:03:08:04:04:5181</t>
  </si>
  <si>
    <t>16:10:42:01:02:0968</t>
  </si>
  <si>
    <t>16:12:02:02:02:3917</t>
  </si>
  <si>
    <t>16:05:41:02:02:5320</t>
  </si>
  <si>
    <t>16:03:08:04:04:6724</t>
  </si>
  <si>
    <t>16:07:09:01:02:1915</t>
  </si>
  <si>
    <t>16:11:06:03:04:1039</t>
  </si>
  <si>
    <t>16:11:08:01:02:1964</t>
  </si>
  <si>
    <t>16:12:01:02:06:4593</t>
  </si>
  <si>
    <t>16:05:41:02:02:6872</t>
  </si>
  <si>
    <t>16:02:40:01:02:0813</t>
  </si>
  <si>
    <t>16:11:000015671</t>
  </si>
  <si>
    <t>16:03:40:02:02:0555</t>
  </si>
  <si>
    <t>16:06:41:02:01:0581</t>
  </si>
  <si>
    <t>16:03:01:01:02:1441</t>
  </si>
  <si>
    <t>16:01:03:02:02:2397</t>
  </si>
  <si>
    <t>16:10:41:01:01:1681</t>
  </si>
  <si>
    <t>16:06:40:01:01:1335</t>
  </si>
  <si>
    <t>16:02:41:01:02:3249</t>
  </si>
  <si>
    <t>16:11:08:01:02:1218</t>
  </si>
  <si>
    <t>16:12:01:01:03:5711</t>
  </si>
  <si>
    <t>16:06:05:01:06:1034</t>
  </si>
  <si>
    <t>16:03:40:02:02:0477</t>
  </si>
  <si>
    <t>16:09:03:01:01:4985</t>
  </si>
  <si>
    <t>16:07:03:01:02:2078</t>
  </si>
  <si>
    <t>16:08:09:01:01:1726</t>
  </si>
  <si>
    <t>16:11:41:02:01:0208</t>
  </si>
  <si>
    <t>16:12:40:02:02:3068</t>
  </si>
  <si>
    <t>16:09:03:01:01:2704</t>
  </si>
  <si>
    <t>16:06:42:01:02:0830</t>
  </si>
  <si>
    <t>16:05:41:02:02:2395</t>
  </si>
  <si>
    <t>16:11:05:01:03:1069</t>
  </si>
  <si>
    <t>16:05:41:02:02:4296</t>
  </si>
  <si>
    <t>16:03:40:01:02:0090</t>
  </si>
  <si>
    <t>16:12:02:01:02:0260</t>
  </si>
  <si>
    <t>16:12:41:01:02:1960</t>
  </si>
  <si>
    <t>16:08:40:01:01:0583</t>
  </si>
  <si>
    <t>16:11:000010547</t>
  </si>
  <si>
    <t>16:12:40:02:02:2724</t>
  </si>
  <si>
    <t>16:05:42:02:01:0192</t>
  </si>
  <si>
    <t>16:04:40:01:01:1369</t>
  </si>
  <si>
    <t>16:02:41:01:02:0354</t>
  </si>
  <si>
    <t>16:10:40:02:02:0703</t>
  </si>
  <si>
    <t>16:11:41:02:01:1588</t>
  </si>
  <si>
    <t>16:11:41:03:01:0879</t>
  </si>
  <si>
    <t>16:11:41:01:01:2229</t>
  </si>
  <si>
    <t>16:08:41:01:01:1227</t>
  </si>
  <si>
    <t>16:03:01:01:01:1211</t>
  </si>
  <si>
    <t>16:12:01:02:07:3129</t>
  </si>
  <si>
    <t>16:01:41:01:02:0885</t>
  </si>
  <si>
    <t>16:07:41:02:01:2928</t>
  </si>
  <si>
    <t>16:11:09:01:06:1242</t>
  </si>
  <si>
    <t>16:05:41:02:02:2444</t>
  </si>
  <si>
    <t>16:05:13:02:01:1323</t>
  </si>
  <si>
    <t>16:12:01:01:07:6474</t>
  </si>
  <si>
    <t>16:12:41:02:02:2667</t>
  </si>
  <si>
    <t>16:02:41:01:01:2702</t>
  </si>
  <si>
    <t>16:12:01:02:03:4386</t>
  </si>
  <si>
    <t>16:12:42:01:01:0751</t>
  </si>
  <si>
    <t>16:12:40:02:02:2285</t>
  </si>
  <si>
    <t>16:03:10:01:03:1850</t>
  </si>
  <si>
    <t>16:12:42:01:02:1535/0001</t>
  </si>
  <si>
    <t>16:12:01:02:04:7006</t>
  </si>
  <si>
    <t>16:12:40:02:02:1927</t>
  </si>
  <si>
    <t>16:12:42:03:01:1422</t>
  </si>
  <si>
    <t>16:12:01:02:07:6762</t>
  </si>
  <si>
    <t>16:12:01:02:07:5795</t>
  </si>
  <si>
    <t>16:05:41:02:02:0801/0007</t>
  </si>
  <si>
    <t>16:01:02:01:02:5344</t>
  </si>
  <si>
    <t>16:08:41:02:01:3452</t>
  </si>
  <si>
    <t>16:12:02:02:01:7104</t>
  </si>
  <si>
    <t>16:01:08:01:03:0724</t>
  </si>
  <si>
    <t>16:05:41:02:02:0435</t>
  </si>
  <si>
    <t>16:12:01:01:17:5971</t>
  </si>
  <si>
    <t>16:10:04:01:02:6627</t>
  </si>
  <si>
    <t>16:12:40:02:01:1717</t>
  </si>
  <si>
    <t>16:10:02:02:04:5001</t>
  </si>
  <si>
    <t>16:12:01:01:01:3680</t>
  </si>
  <si>
    <t>16:01:40:01:02:3087</t>
  </si>
  <si>
    <t>16:12:01:01:17:3214</t>
  </si>
  <si>
    <t>16:01:40:02:01:1008</t>
  </si>
  <si>
    <t>16:02:08:01:04:0852</t>
  </si>
  <si>
    <t>16:06:41:02:02:1122</t>
  </si>
  <si>
    <t>16:01:01:01:04:0505</t>
  </si>
  <si>
    <t>16:01:03:02:02:2204</t>
  </si>
  <si>
    <t>16:01:03:02:02:5278</t>
  </si>
  <si>
    <t>16:01:03:02:01:5530</t>
  </si>
  <si>
    <t>16:12:02:02:01:3803</t>
  </si>
  <si>
    <t>16:05:41:02:01:4342</t>
  </si>
  <si>
    <t>16:12:01:02:03:3246</t>
  </si>
  <si>
    <t>16:03:01:01:01:1161</t>
  </si>
  <si>
    <t>16:02:08:01:02:0025</t>
  </si>
  <si>
    <t>16:03:41:02:02:0731</t>
  </si>
  <si>
    <t>16:12:40:02:02:2091</t>
  </si>
  <si>
    <t>16:11:41:02:02:4604</t>
  </si>
  <si>
    <t>16:10:07:01:02:3043</t>
  </si>
  <si>
    <t>16:03:41:01:01:1087</t>
  </si>
  <si>
    <t>16:01:08:01:04:0253</t>
  </si>
  <si>
    <t>16:10:01:02:04:1189</t>
  </si>
  <si>
    <t>16:03:01:01:01:1068</t>
  </si>
  <si>
    <t>16:02:08:01:04:0041</t>
  </si>
  <si>
    <t>16:05:02:01:04:6324</t>
  </si>
  <si>
    <t>16:10:07:02:03:4002</t>
  </si>
  <si>
    <t>16:11:41:01:02:1317</t>
  </si>
  <si>
    <t>16:08:41:01:01:1825</t>
  </si>
  <si>
    <t>16:12:01:01:17:4165</t>
  </si>
  <si>
    <t>16:04:41:01:01:1242</t>
  </si>
  <si>
    <t>16:11:03:01:02:6585</t>
  </si>
  <si>
    <t>16:12:01:02:04:7151</t>
  </si>
  <si>
    <t>16:11:41:02:02:1997</t>
  </si>
  <si>
    <t>16:11:05:01:03:1455</t>
  </si>
  <si>
    <t>16:11:40:01:01:1121/0001</t>
  </si>
  <si>
    <t>16:12:42:02:01:1733</t>
  </si>
  <si>
    <t>16:10:03:01:02:9875</t>
  </si>
  <si>
    <t>16:10:03:01:02:9876</t>
  </si>
  <si>
    <t>16:10:07:02:03:4003</t>
  </si>
  <si>
    <t>16:08:05:01:02:1482</t>
  </si>
  <si>
    <t>16:09:40:01:02:1193</t>
  </si>
  <si>
    <t>16:09:10:01:01:5054</t>
  </si>
  <si>
    <t>16:07:41:02:01:1682</t>
  </si>
  <si>
    <t>16:11:40:01:01:0674</t>
  </si>
  <si>
    <t>16:06:42:02:01:1255</t>
  </si>
  <si>
    <t>16:10:06:01:02:2363</t>
  </si>
  <si>
    <t>16:12:01:01:05:4780</t>
  </si>
  <si>
    <t>16:10:03:01:02:4715</t>
  </si>
  <si>
    <t>16:10:42:01:01:0901</t>
  </si>
  <si>
    <t>16:08:01:01:04:0063</t>
  </si>
  <si>
    <t>16:10:03:01:02:4717</t>
  </si>
  <si>
    <t>16:12:01:02:08:3121</t>
  </si>
  <si>
    <t>16:02:02:01:01:1030</t>
  </si>
  <si>
    <t>16:12:40:01:02:1430</t>
  </si>
  <si>
    <t>16:12:42:03:01:2052</t>
  </si>
  <si>
    <t>16:09:40:01:01:0910</t>
  </si>
  <si>
    <t>16:09:04:01:02:2607</t>
  </si>
  <si>
    <t>16:01:41:01:02:1074</t>
  </si>
  <si>
    <t>16:11:08:01:02:8815</t>
  </si>
  <si>
    <t>16:01:01:01:03:5871</t>
  </si>
  <si>
    <t>16:04:41:01:01:5244</t>
  </si>
  <si>
    <t>16:11:000008400</t>
  </si>
  <si>
    <t>16:04:01:03:01:1352</t>
  </si>
  <si>
    <t>16:05:06:01:03:0069</t>
  </si>
  <si>
    <t>16:10:41:01:01:2704</t>
  </si>
  <si>
    <t>16:10:12:01:01:0500:0032</t>
  </si>
  <si>
    <t>16:02:41:01:02:2179</t>
  </si>
  <si>
    <t>16:07:41:02:02:0223</t>
  </si>
  <si>
    <t>16:11:09:01:03:6429</t>
  </si>
  <si>
    <t>16:11:41:02:02:4843</t>
  </si>
  <si>
    <t>16:11:07:01:04:6584</t>
  </si>
  <si>
    <t>16:11:06:01:03:5140</t>
  </si>
  <si>
    <t>16:06:40:02:02:0650</t>
  </si>
  <si>
    <t>16:12:40:02:01:0686/0001</t>
  </si>
  <si>
    <t>16:07:41:02:01:1435/0003</t>
  </si>
  <si>
    <t>16:01:40:02:02:1534/0005</t>
  </si>
  <si>
    <t>16:10:12:01:02:3008</t>
  </si>
  <si>
    <t>16:12:01:01:04:9472</t>
  </si>
  <si>
    <t>16:11:41:03:01:0212</t>
  </si>
  <si>
    <t>16:12:01:01:01:0394</t>
  </si>
  <si>
    <t>16:01:08:02:01:1689</t>
  </si>
  <si>
    <t>16:08:000242622</t>
  </si>
  <si>
    <t>16:12:40:02:02:2932/0002</t>
  </si>
  <si>
    <t>16:01:07:01:03:0420</t>
  </si>
  <si>
    <t>16:12:40:02:02:1968</t>
  </si>
  <si>
    <t>16:08:03:01:05:1063</t>
  </si>
  <si>
    <t>16:03:40:01:01:0486</t>
  </si>
  <si>
    <t>16:11:12:01:04:6301</t>
  </si>
  <si>
    <t>16:10:40:02:01:0119</t>
  </si>
  <si>
    <t>16:11:40:02:02:0002</t>
  </si>
  <si>
    <t>16:07:08:02:02:1136</t>
  </si>
  <si>
    <t>16:04:40:02:01:2238</t>
  </si>
  <si>
    <t>16:12:41:02:02:1460</t>
  </si>
  <si>
    <t>16:03:40:02:02:0608</t>
  </si>
  <si>
    <t>16:04:41:02:01:1830</t>
  </si>
  <si>
    <t>16:06:42:01:02:0336</t>
  </si>
  <si>
    <t>16:10:41:01:03:1397</t>
  </si>
  <si>
    <t>16:01:40:02:02:1148</t>
  </si>
  <si>
    <t>16:12:01:01:07:5235</t>
  </si>
  <si>
    <t>16:12:40:01:02:0384</t>
  </si>
  <si>
    <t>16:12:40:02:02:3093</t>
  </si>
  <si>
    <t>16:10:12:01:01:0223</t>
  </si>
  <si>
    <t>16:06:41:02:01:0528</t>
  </si>
  <si>
    <t>16:06:03:03:02:1195</t>
  </si>
  <si>
    <t>16:03:41:02:02:1287</t>
  </si>
  <si>
    <t>16:01:08:01:03:1705</t>
  </si>
  <si>
    <t>16:10:09:01:06:0224</t>
  </si>
  <si>
    <t>16:09:42:02:01:0658/0001</t>
  </si>
  <si>
    <t>16:01:40:01:01:2638</t>
  </si>
  <si>
    <t>16:06:40:01:01:1336</t>
  </si>
  <si>
    <t>16:01:41:02:01:0714</t>
  </si>
  <si>
    <t>16:12:01:01:09:2984</t>
  </si>
  <si>
    <t>16:02:41:02:01:0247</t>
  </si>
  <si>
    <t>16:11:41:02:01:1383</t>
  </si>
  <si>
    <t>16:06:41:01:02:0006</t>
  </si>
  <si>
    <t>16:09:03:01:01:4057</t>
  </si>
  <si>
    <t>16:03:05:01:04:5026</t>
  </si>
  <si>
    <t>16:03:41:02:02:2935</t>
  </si>
  <si>
    <t>16:08:02:01:06:1356</t>
  </si>
  <si>
    <t>16:12:01:01:12:3044</t>
  </si>
  <si>
    <t>16:11:41:02:01:1449</t>
  </si>
  <si>
    <t>16:04:40:02:01:0825</t>
  </si>
  <si>
    <t>16:11:07:01:04:1934</t>
  </si>
  <si>
    <t>16:07:05:01:04:1584</t>
  </si>
  <si>
    <t>16:07:01:01:02:1615</t>
  </si>
  <si>
    <t>16:04:40:02:01:1106</t>
  </si>
  <si>
    <t>16:12:01:02:02:6188</t>
  </si>
  <si>
    <t>16:11:41:02:01:2064</t>
  </si>
  <si>
    <t>16:07:07:01:01:0036</t>
  </si>
  <si>
    <t>16:06:01:01:01:2307</t>
  </si>
  <si>
    <t>16:07:41:01:01:4690</t>
  </si>
  <si>
    <t>16:06:42:01:01:1520</t>
  </si>
  <si>
    <t>16:02:41:01:02:2818</t>
  </si>
  <si>
    <t>16:06:41:02:02:0834/0003</t>
  </si>
  <si>
    <t>16:08:01:01:01:0270</t>
  </si>
  <si>
    <t>16:06:42:01:02:1294</t>
  </si>
  <si>
    <t>16:02:41:02:01:0886</t>
  </si>
  <si>
    <t>16:07:10:03:01:5526</t>
  </si>
  <si>
    <t>16:12:41:01:02:1032</t>
  </si>
  <si>
    <t>16:03:40:02:02:0009</t>
  </si>
  <si>
    <t>16:01:04:01:04:5983</t>
  </si>
  <si>
    <t>16:10:41:01:03:1190</t>
  </si>
  <si>
    <t>16:07:03:02:02:1235</t>
  </si>
  <si>
    <t>16:06:03:01:02:1148</t>
  </si>
  <si>
    <t>16:03:08:01:01:1609</t>
  </si>
  <si>
    <t>16:06:01:01:01:0234</t>
  </si>
  <si>
    <t>16:08:41:01:01:1830</t>
  </si>
  <si>
    <t>16:01:41:01:01:0667</t>
  </si>
  <si>
    <t>16:07:01:02:02:5993</t>
  </si>
  <si>
    <t>16:08:41:02:01:3725</t>
  </si>
  <si>
    <t>16:06:40:01:01:0208/0002</t>
  </si>
  <si>
    <t>16:03:41:01:01:2299</t>
  </si>
  <si>
    <t>16:12:40:02:01:0686/0020</t>
  </si>
  <si>
    <t>16:06:40:01:01:0208/0001</t>
  </si>
  <si>
    <t>16:12:01:01:06:6053</t>
  </si>
  <si>
    <t>16:12:42:03:01:2016</t>
  </si>
  <si>
    <t>16:03:08:01:05:0045</t>
  </si>
  <si>
    <t>16:03:41:02:02:2369</t>
  </si>
  <si>
    <t>16:01:40:01:01:2739</t>
  </si>
  <si>
    <t>16:01:03:02:03:5747</t>
  </si>
  <si>
    <t>16:07:10:01:01:2066</t>
  </si>
  <si>
    <t>16:03:41:02:01:1528</t>
  </si>
  <si>
    <t>16:12:01:02:04:4113</t>
  </si>
  <si>
    <t>16:05:06:01:03:1483</t>
  </si>
  <si>
    <t>16:11:03:01:01:0139</t>
  </si>
  <si>
    <t>16:12:42:03:03:0481</t>
  </si>
  <si>
    <t>16:12:41:02:02:3274</t>
  </si>
  <si>
    <t>16:12:01:02:06:6479</t>
  </si>
  <si>
    <t>16:11:11:01:02:5525</t>
  </si>
  <si>
    <t>16:12:40:02:01:1457</t>
  </si>
  <si>
    <t>16:12:42:01:01:1386</t>
  </si>
  <si>
    <t>16:07:41:01:01:1592</t>
  </si>
  <si>
    <t>16:12:01:01:12:3548</t>
  </si>
  <si>
    <t>16:12:01:02:03:7320</t>
  </si>
  <si>
    <t>16:12:40:01:02:1002/0002</t>
  </si>
  <si>
    <t>16:12:41:02:02:3181</t>
  </si>
  <si>
    <t>16:12:42:02:03:0500</t>
  </si>
  <si>
    <t>16:11:41:01:01:1772/0003</t>
  </si>
  <si>
    <t>16:03:41:02:01:1575</t>
  </si>
  <si>
    <t>16:01:04:01:02:0194</t>
  </si>
  <si>
    <t>16:10:12:03:01:2221</t>
  </si>
  <si>
    <t>16:11:41:01:01:1589</t>
  </si>
  <si>
    <t>16:12:40:02:01:1797</t>
  </si>
  <si>
    <t>16:05:41:04:15:0080</t>
  </si>
  <si>
    <t>16:07:06:01:02:1004</t>
  </si>
  <si>
    <t>16:10:40:02:03:1058</t>
  </si>
  <si>
    <t>16:05:41:02:02:7434</t>
  </si>
  <si>
    <t>16:07:41:01:01:6000</t>
  </si>
  <si>
    <t>16:12:02:02:02:6676</t>
  </si>
  <si>
    <t>16:09:42:02:02:0295/0009</t>
  </si>
  <si>
    <t>16:12:01:02:04:3010:0001:020</t>
  </si>
  <si>
    <t>16:12:42:03:01:0351</t>
  </si>
  <si>
    <t>16:07:41:01:01:0377</t>
  </si>
  <si>
    <t>16:07:01:01:02:2877</t>
  </si>
  <si>
    <t>16:12:01:01:01:6982:0001:054</t>
  </si>
  <si>
    <t>16:12:01:02:04:8633</t>
  </si>
  <si>
    <t>16:02:40:01:02:0058</t>
  </si>
  <si>
    <t>16:11:03:01:02:1789</t>
  </si>
  <si>
    <t>16:11:41:02:02:4416</t>
  </si>
  <si>
    <t>16:11:04:01:02:1190</t>
  </si>
  <si>
    <t>16:11:02:01:03:1403</t>
  </si>
  <si>
    <t>16:12:02:02:02:7065</t>
  </si>
  <si>
    <t>16:11:41:02:02:1381</t>
  </si>
  <si>
    <t>16:01:41:01:01:0678</t>
  </si>
  <si>
    <t>16:10:41:01:03:0646</t>
  </si>
  <si>
    <t>16:07:05:01:02:1080</t>
  </si>
  <si>
    <t>16:12:41:02:01:1185</t>
  </si>
  <si>
    <t>16:07:05:01:04:1173</t>
  </si>
  <si>
    <t>16:03:02:01:02:1238</t>
  </si>
  <si>
    <t>16:11:40:01:01:1331</t>
  </si>
  <si>
    <t>16:08:09:01:02:2367</t>
  </si>
  <si>
    <t>16:12:42:03:01:0301</t>
  </si>
  <si>
    <t>16:01:06:01:01:0040</t>
  </si>
  <si>
    <t>16:09:10:01:01:0179</t>
  </si>
  <si>
    <t>16:01:08:02:01:7757</t>
  </si>
  <si>
    <t>16:05:41:02:01:4253</t>
  </si>
  <si>
    <t>16:06:01:01:02:1904</t>
  </si>
  <si>
    <t>16:06:04:02:05:5746</t>
  </si>
  <si>
    <t>16:05:09:02:02:0026</t>
  </si>
  <si>
    <t>16:12:42:03:01:1757</t>
  </si>
  <si>
    <t>16:04:02:01:02:5685</t>
  </si>
  <si>
    <t>16:10:40:01:01:0806</t>
  </si>
  <si>
    <t>16:12:41:02:02:0542</t>
  </si>
  <si>
    <t>16:03:02:01:05:1294</t>
  </si>
  <si>
    <t>16:10:40:02:02:0355</t>
  </si>
  <si>
    <t>16:07:06:01:03:2148</t>
  </si>
  <si>
    <t>16:01:41:02:01:0143</t>
  </si>
  <si>
    <t>16:12:01:02:06:6119</t>
  </si>
  <si>
    <t>16:01:41:02:01:0820</t>
  </si>
  <si>
    <t>16:10:40:02:01:0538</t>
  </si>
  <si>
    <t>16:10:41:01:03:2850</t>
  </si>
  <si>
    <t>16:10:41:01:03:2246</t>
  </si>
  <si>
    <t>16:12:01:02:04:2729</t>
  </si>
  <si>
    <t>16:11:04:01:02:1433</t>
  </si>
  <si>
    <t>16:10:12:01:01:0456</t>
  </si>
  <si>
    <t>16:06:01:01:01:1766</t>
  </si>
  <si>
    <t>16:06:42:01:01:1071</t>
  </si>
  <si>
    <t>16:10:03:01:02:9877</t>
  </si>
  <si>
    <t>16:06:42:02:01:1736</t>
  </si>
  <si>
    <t>16:06:42:01:02:0358</t>
  </si>
  <si>
    <t>16:10:07:02:03:4001</t>
  </si>
  <si>
    <t>16:06:03:03:01:5493</t>
  </si>
  <si>
    <t>16:01:08:01:03:8614</t>
  </si>
  <si>
    <t>16:02:40:01:02:0959</t>
  </si>
  <si>
    <t>16:10:03:01:02:4716</t>
  </si>
  <si>
    <t>16:05:41:02:01:3706</t>
  </si>
  <si>
    <t>16:05:41:04:07:0030</t>
  </si>
  <si>
    <t>16:12:01:01:05:3458</t>
  </si>
  <si>
    <t>16:12:42:03:01:0026/0016</t>
  </si>
  <si>
    <t>16:10:03:01:02:4753</t>
  </si>
  <si>
    <t>16:12:40:02:01:1244</t>
  </si>
  <si>
    <t>16:06:42:02:01:1359</t>
  </si>
  <si>
    <t>16:10:42:01:01:1084</t>
  </si>
  <si>
    <t>16:06:04:02:03:1029</t>
  </si>
  <si>
    <t>16:06:10:01:02:1070</t>
  </si>
  <si>
    <t>16:04:41:02:01:3496</t>
  </si>
  <si>
    <t>16:10:06:01:02:2362</t>
  </si>
  <si>
    <t>16:10:06:01:02:2361</t>
  </si>
  <si>
    <t>16:10:41:01:02:1987</t>
  </si>
  <si>
    <t>16:06:10:01:03:1018</t>
  </si>
  <si>
    <t>16:12:42:03:01:2209/0002</t>
  </si>
  <si>
    <t>16:01:40:02:01:0859</t>
  </si>
  <si>
    <t>16:11:04:01:02:1194</t>
  </si>
  <si>
    <t>16:06:40:02:02:0681</t>
  </si>
  <si>
    <t>16:08:42:02:02:0991</t>
  </si>
  <si>
    <t>16:03:10:01:02:1276</t>
  </si>
  <si>
    <t>16:03:02:01:01:1296</t>
  </si>
  <si>
    <t>16:01:08:02:01:1606</t>
  </si>
  <si>
    <t>16:03:41:01:01:2374</t>
  </si>
  <si>
    <t>16:01:40:02:01:0292</t>
  </si>
  <si>
    <t>16:12:41:02:02:0018</t>
  </si>
  <si>
    <t>16:12:42:02:01:1708</t>
  </si>
  <si>
    <t>16:07:000275395</t>
  </si>
  <si>
    <t>16:11:04:01:02:7251</t>
  </si>
  <si>
    <t>16:03:40:01:02:0246</t>
  </si>
  <si>
    <t>16:02:02:01:02:5280</t>
  </si>
  <si>
    <t>16:11:40:01:01:1115</t>
  </si>
  <si>
    <t>16:04:09:01:02:0102</t>
  </si>
  <si>
    <t>16:10:40:01:01:1294</t>
  </si>
  <si>
    <t>16:07:41:02:01:2982</t>
  </si>
  <si>
    <t>16:03:41:02:01:0789</t>
  </si>
  <si>
    <t>16:03:41:01:02:0838</t>
  </si>
  <si>
    <t>16:03:40:02:02:0612</t>
  </si>
  <si>
    <t>16:03:40:02:02:0762</t>
  </si>
  <si>
    <t>16:02:41:01:02:2937</t>
  </si>
  <si>
    <t>16:01:40:01:01:2589</t>
  </si>
  <si>
    <t>16:03:08:01:05:1710</t>
  </si>
  <si>
    <t>16:12:40:02:02:1388</t>
  </si>
  <si>
    <t>16:09:10:03:02:1230</t>
  </si>
  <si>
    <t>16:03:02:01:02:1507</t>
  </si>
  <si>
    <t>16:12:41:01:01:1203</t>
  </si>
  <si>
    <t>16:05:41:02:01:4313</t>
  </si>
  <si>
    <t>16:06:41:01:01:1244</t>
  </si>
  <si>
    <t>16:08:42:02:02:0262/0005</t>
  </si>
  <si>
    <t>16:08:41:01:01:1828</t>
  </si>
  <si>
    <t>16:07:07:01:03:1941</t>
  </si>
  <si>
    <t>16:06:42:01:01:1579</t>
  </si>
  <si>
    <t>16:03:40:01:01:0852</t>
  </si>
  <si>
    <t>16:08:40:02:01:2544</t>
  </si>
  <si>
    <t>16:12:41:01:02:0552</t>
  </si>
  <si>
    <t>16:03:40:01:01:0855</t>
  </si>
  <si>
    <t>16:03:40:02:02:1111</t>
  </si>
  <si>
    <t>16:08:01:02:06:1200</t>
  </si>
  <si>
    <t>16:08:09:01:01:1698</t>
  </si>
  <si>
    <t>16:04:41:02:01:3374</t>
  </si>
  <si>
    <t>16:08:41:02:01:0361</t>
  </si>
  <si>
    <t>16:03:41:02:01:1947</t>
  </si>
  <si>
    <t>16:12:01:01:16:5267</t>
  </si>
  <si>
    <t>16:10:40:02:02:0824</t>
  </si>
  <si>
    <t>16:04:40:02:01:2295</t>
  </si>
  <si>
    <t>16:08:09:01:01:2740</t>
  </si>
  <si>
    <t>16:06:42:02:01:0692</t>
  </si>
  <si>
    <t>16:12:41:02:02:1266</t>
  </si>
  <si>
    <t>16:07:41:01:01:0454</t>
  </si>
  <si>
    <t>16:11:41:02:02:4104</t>
  </si>
  <si>
    <t>16:07:41:01:01:5994</t>
  </si>
  <si>
    <t>16:12:42:02:03:0579</t>
  </si>
  <si>
    <t>16:04:06:01:02:6308</t>
  </si>
  <si>
    <t>16:08:08:02:02:1041</t>
  </si>
  <si>
    <t>16:06:41:01:02:0478</t>
  </si>
  <si>
    <t>16:12:41:01:01:1195</t>
  </si>
  <si>
    <t>16:08:02:02:04:1465</t>
  </si>
  <si>
    <t>16:10:41:01:02:1549</t>
  </si>
  <si>
    <t>16:06:02:01:01:2361</t>
  </si>
  <si>
    <t>16:10:02:01:04:0045</t>
  </si>
  <si>
    <t>16:06:41:02:02:0564</t>
  </si>
  <si>
    <t>16:10:09:01:01:0457</t>
  </si>
  <si>
    <t>16:06:42:01:01:1581</t>
  </si>
  <si>
    <t>16:08:01:02:06:1125</t>
  </si>
  <si>
    <t>16:12:40:02:02:2514</t>
  </si>
  <si>
    <t>16:10:12:04:01:0116</t>
  </si>
  <si>
    <t>16:10:01:02:02:1078</t>
  </si>
  <si>
    <t>16:09:42:01:01:0734</t>
  </si>
  <si>
    <t>16:12:42:03:01:2162</t>
  </si>
  <si>
    <t>16:12:01:01:07:4464</t>
  </si>
  <si>
    <t>16:02:41:01:02:3387</t>
  </si>
  <si>
    <t>16:03:41:02:02:3249</t>
  </si>
  <si>
    <t>16:12:01:01:08:3243</t>
  </si>
  <si>
    <t>16:12:01:01:03:3381</t>
  </si>
  <si>
    <t>16:01:03:02:02:0847</t>
  </si>
  <si>
    <t>16:12:01:01:09:4182</t>
  </si>
  <si>
    <t>16:12:42:02:03:0563</t>
  </si>
  <si>
    <t>16:12:01:01:06:6845</t>
  </si>
  <si>
    <t>16:05:11:01:02:0050</t>
  </si>
  <si>
    <t>16:12:42:02:03:0572</t>
  </si>
  <si>
    <t>16:05:41:02:02:1025</t>
  </si>
  <si>
    <t>16:05:41:02:01:0768/0009</t>
  </si>
  <si>
    <t>16:05:41:02:02:0801/0006</t>
  </si>
  <si>
    <t>16:12:40:02:01:2206</t>
  </si>
  <si>
    <t>16:12:000000319</t>
  </si>
  <si>
    <t>16:08:01:02:02:0008</t>
  </si>
  <si>
    <t>16:06:41:01:01:0461</t>
  </si>
  <si>
    <t>16:02:41:01:01:1456</t>
  </si>
  <si>
    <t>16:07:41:01:01:5986</t>
  </si>
  <si>
    <t>16:12:41:01:02:2588</t>
  </si>
  <si>
    <t>16:10:40:01:01:0975</t>
  </si>
  <si>
    <t>16:11:03:01:02:1401</t>
  </si>
  <si>
    <t>16:06:01:01:02:1060</t>
  </si>
  <si>
    <t>16:11:40:01:01:1330</t>
  </si>
  <si>
    <t>16:02:40:03:01:0002</t>
  </si>
  <si>
    <t>16:07:09:01:01:6409</t>
  </si>
  <si>
    <t>16:08:40:02:01:2428</t>
  </si>
  <si>
    <t>16:07:41:02:01:1345</t>
  </si>
  <si>
    <t>16:12:42:02:01:1728</t>
  </si>
  <si>
    <t>16:12:01:01:17:3028</t>
  </si>
  <si>
    <t>16:07:41:01:01:6023</t>
  </si>
  <si>
    <t>16:07:41:01:01:5992</t>
  </si>
  <si>
    <t>16:12:42:02:03:0558</t>
  </si>
  <si>
    <t>16:12:40:02:02:1543</t>
  </si>
  <si>
    <t>16:09:42:02:02:0623/0002</t>
  </si>
  <si>
    <t>16:08:41:02:01:0688</t>
  </si>
  <si>
    <t>16:12:42:01:02:1580</t>
  </si>
  <si>
    <t>16:07:41:02:02:1079</t>
  </si>
  <si>
    <t>16:01:41:02:01:0837</t>
  </si>
  <si>
    <t>16:08:41:02:01:3900</t>
  </si>
  <si>
    <t>16:07:40:02:01:0465</t>
  </si>
  <si>
    <t>16:12:40:01:01:0498/0001</t>
  </si>
  <si>
    <t>16:08:42:01:01:1614</t>
  </si>
  <si>
    <t>16:08:06:01:02:1396</t>
  </si>
  <si>
    <t>16:08:06:01:02:1428</t>
  </si>
  <si>
    <t>16:04:41:02:01:2559</t>
  </si>
  <si>
    <t>16:03:41:02:02:2904</t>
  </si>
  <si>
    <t>16:11:10:01:02:7929</t>
  </si>
  <si>
    <t>16:10:41:01:01:1310</t>
  </si>
  <si>
    <t>16:07:41:02:01:2946</t>
  </si>
  <si>
    <t>16:09:02:02:01:6039</t>
  </si>
  <si>
    <t>16:05:41:02:01:4145</t>
  </si>
  <si>
    <t>16:07:41:01:01:5044</t>
  </si>
  <si>
    <t>16:07:02:01:03:2140</t>
  </si>
  <si>
    <t>16:12:42:03:01:1101</t>
  </si>
  <si>
    <t>16:12:42:03:02:1002</t>
  </si>
  <si>
    <t>16:03:41:02:01:0760</t>
  </si>
  <si>
    <t>16:02:40:01:02:0888</t>
  </si>
  <si>
    <t>16:08:42:02:02:1448</t>
  </si>
  <si>
    <t>16:12:42:03:01:2212</t>
  </si>
  <si>
    <t>16:09:42:01:01:1732</t>
  </si>
  <si>
    <t>16:12:02:02:02:3563</t>
  </si>
  <si>
    <t>16:05:09:01:02:1622</t>
  </si>
  <si>
    <t>16:07:41:01:01:5906</t>
  </si>
  <si>
    <t>16:02:41:02:02:0397</t>
  </si>
  <si>
    <t>16:06:42:01:01:1512</t>
  </si>
  <si>
    <t>16:12:42:02:03:0574</t>
  </si>
  <si>
    <t>16:07:41:02:01:3042</t>
  </si>
  <si>
    <t>16:11:05:01:05:2311</t>
  </si>
  <si>
    <t>16:12:42:02:03:0580</t>
  </si>
  <si>
    <t>16:06:42:01:01:1580</t>
  </si>
  <si>
    <t>16:05:10:01:02:2227</t>
  </si>
  <si>
    <t>16:11:05:01:03:1190</t>
  </si>
  <si>
    <t>16:05:41:03:05:0043</t>
  </si>
  <si>
    <t>16:02:40:01:02:0814</t>
  </si>
  <si>
    <t>16:07:06:01:03:1903</t>
  </si>
  <si>
    <t>16:12:41:01:02:1726</t>
  </si>
  <si>
    <t>16:12:42:02:02:0487</t>
  </si>
  <si>
    <t>16:12:41:01:01:1130</t>
  </si>
  <si>
    <t>16:11:41:02:01:1705</t>
  </si>
  <si>
    <t>16:06:03:04:02:0049</t>
  </si>
  <si>
    <t>16:05:41:02:02:3469</t>
  </si>
  <si>
    <t>16:12:41:02:02:0049</t>
  </si>
  <si>
    <t>16:07:10:04:01:5511</t>
  </si>
  <si>
    <t>16:05:06:01:01:1206</t>
  </si>
  <si>
    <t>16:12:41:01:02:2586</t>
  </si>
  <si>
    <t>16:09:42:02:02:0714/0006</t>
  </si>
  <si>
    <t>16:12:01:02:03:8746</t>
  </si>
  <si>
    <t>16:09:42:02:01:0658/0002</t>
  </si>
  <si>
    <t>16:01:40:01:01:2637</t>
  </si>
  <si>
    <t>16:08:40:02:01:2690</t>
  </si>
  <si>
    <t>16:05:41:02:02:6147</t>
  </si>
  <si>
    <t>16:02:41:01:02:1878</t>
  </si>
  <si>
    <t>16:12:01:01:06:8092</t>
  </si>
  <si>
    <t>16:06:05:01:07:0362</t>
  </si>
  <si>
    <t>16:12:40:02:02:0954/0054</t>
  </si>
  <si>
    <t>16:06:42:02:01:2789</t>
  </si>
  <si>
    <t>16:10:40:02:02:1102</t>
  </si>
  <si>
    <t>16:06:42:01:02:0452</t>
  </si>
  <si>
    <t>16:06:42:01:02:1182</t>
  </si>
  <si>
    <t>16:11:04:01:03:8316</t>
  </si>
  <si>
    <t>16:12:40:01:02:1454</t>
  </si>
  <si>
    <t>16:01:40:01:02:3043</t>
  </si>
  <si>
    <t>16:12:41:01:01:1200</t>
  </si>
  <si>
    <t>16:08:40:01:01:0843</t>
  </si>
  <si>
    <t>16:06:41:02:02:0746</t>
  </si>
  <si>
    <t>16:10:42:01:02:0970</t>
  </si>
  <si>
    <t>16:12:40:01:01:0140</t>
  </si>
  <si>
    <t>16:12:42:02:03:0581</t>
  </si>
  <si>
    <t>16:04:41:01:01:1904</t>
  </si>
  <si>
    <t>16:08:40:02:01:2687</t>
  </si>
  <si>
    <t>16:05:41:02:25:0004</t>
  </si>
  <si>
    <t>16:02:08:01:03:8503</t>
  </si>
  <si>
    <t>16:06:41:02:02:0676/0002</t>
  </si>
  <si>
    <t>16:01:40:02:02:1514</t>
  </si>
  <si>
    <t>16:10:41:01:02:0469</t>
  </si>
  <si>
    <t>16:10:01:01:02:1040</t>
  </si>
  <si>
    <t>16:11:41:01:02:1777</t>
  </si>
  <si>
    <t>16:06:40:02:02:0856</t>
  </si>
  <si>
    <t>16:02:41:01:01:1725</t>
  </si>
  <si>
    <t>16:02:41:01:02:2837</t>
  </si>
  <si>
    <t>16:12:40:02:01:0834</t>
  </si>
  <si>
    <t>16:08:41:02:01:3613</t>
  </si>
  <si>
    <t>16:08:41:02:01:1956</t>
  </si>
  <si>
    <t>16:10:41:01:02:2127</t>
  </si>
  <si>
    <t>16:12:40:02:02:1690/0001</t>
  </si>
  <si>
    <t>16:12:40:02:02:1690/0002</t>
  </si>
  <si>
    <t>16:11:41:01:02:2048</t>
  </si>
  <si>
    <t>16:04:41:01:01:4478</t>
  </si>
  <si>
    <t>16:03:41:01:01:0720</t>
  </si>
  <si>
    <t>16:02:08:01:02:5032</t>
  </si>
  <si>
    <t>16:11:04:01:02:1586</t>
  </si>
  <si>
    <t>16:08:08:01:02:1393</t>
  </si>
  <si>
    <t>16:10:09:01:05:2031</t>
  </si>
  <si>
    <t>16:07:41:01:01:5968</t>
  </si>
  <si>
    <t>16:08:40:02:01:2689</t>
  </si>
  <si>
    <t>16:08:01:01:01:0360</t>
  </si>
  <si>
    <t>16:02:41:01:02:2876</t>
  </si>
  <si>
    <t>16:11:41:01:01:0613</t>
  </si>
  <si>
    <t>16:06:40:02:02:0792</t>
  </si>
  <si>
    <t>16:08:42:01:01:1455/0001</t>
  </si>
  <si>
    <t>16:07:05:01:04:5327</t>
  </si>
  <si>
    <t>16:12:40:02:02:3115</t>
  </si>
  <si>
    <t>16:12:02:01:04:4444</t>
  </si>
  <si>
    <t>16:12:42:03:02:0438/0002</t>
  </si>
  <si>
    <t>16:04:41:02:01:0935</t>
  </si>
  <si>
    <t>16:09:10:01:01:0005:0027</t>
  </si>
  <si>
    <t>16:01:40:01:01:0458/0003</t>
  </si>
  <si>
    <t>16:11:41:02:02:4897</t>
  </si>
  <si>
    <t>16:04:41:02:01:0615</t>
  </si>
  <si>
    <t>16:07:41:02:01:2972</t>
  </si>
  <si>
    <t>16:07:41:02:01:2977</t>
  </si>
  <si>
    <t>16:05:41:02:02:4880</t>
  </si>
  <si>
    <t>16:08:42:01:01:1611</t>
  </si>
  <si>
    <t>16:05:000007885</t>
  </si>
  <si>
    <t>16:06:41:02:01:0599</t>
  </si>
  <si>
    <t>16:01:03:02:02:0110</t>
  </si>
  <si>
    <t>16:01:03:02:02:0094</t>
  </si>
  <si>
    <t>16:06:03:03:02:2178</t>
  </si>
  <si>
    <t>16:03:40:02:01:0265</t>
  </si>
  <si>
    <t>16:12:03:01:01:3198</t>
  </si>
  <si>
    <t>16:03:41:02:02:0981</t>
  </si>
  <si>
    <t>16:09:42:02:02:0393</t>
  </si>
  <si>
    <t>16:11:40:01:01:0884</t>
  </si>
  <si>
    <t>16:02:41:01:02:2701</t>
  </si>
  <si>
    <t>16:08:09:02:01:1863</t>
  </si>
  <si>
    <t>16:03:41:01:02:1079</t>
  </si>
  <si>
    <t>16:03:41:02:01:2068</t>
  </si>
  <si>
    <t>16:06:41:02:02:1447</t>
  </si>
  <si>
    <t>16:02:07:01:04:1693</t>
  </si>
  <si>
    <t>16:07:07:03:02:2312</t>
  </si>
  <si>
    <t>16:04:09:01:02:6790</t>
  </si>
  <si>
    <t>16:10:41:01:03:0491</t>
  </si>
  <si>
    <t>16:10:12:01:02:9997</t>
  </si>
  <si>
    <t>16:06:42:01:01:0934</t>
  </si>
  <si>
    <t>16:11:40:01:01:0145</t>
  </si>
  <si>
    <t>16:08:04:01:05:0492</t>
  </si>
  <si>
    <t>16:08:02:02:03:0079</t>
  </si>
  <si>
    <t>16:05:03:01:06:5029</t>
  </si>
  <si>
    <t>16:02:40:01:02:0052</t>
  </si>
  <si>
    <t>16:02:03:02:01:1874</t>
  </si>
  <si>
    <t>16:12:41:02:02:1558</t>
  </si>
  <si>
    <t>16:08:41:01:01:1207</t>
  </si>
  <si>
    <t>16:11:04:01:03:6359</t>
  </si>
  <si>
    <t>16:06:41:02:02:1100</t>
  </si>
  <si>
    <t>16:12:42:03:01:2097</t>
  </si>
  <si>
    <t>16:02:41:01:02:3573</t>
  </si>
  <si>
    <t>16:12:42:03:01:1712</t>
  </si>
  <si>
    <t>16:01:41:01:01:0595</t>
  </si>
  <si>
    <t>16:08:09:02:01:0143</t>
  </si>
  <si>
    <t>16:06:08:01:04:5327</t>
  </si>
  <si>
    <t>16:12:42:03:01:2220</t>
  </si>
  <si>
    <t>16:12:40:01:02:1224</t>
  </si>
  <si>
    <t>16:11:01:01:01:0228</t>
  </si>
  <si>
    <t>16:12:41:02:01:1117</t>
  </si>
  <si>
    <t>16:06:42:02:01:0819</t>
  </si>
  <si>
    <t>16:06:41:02:02:0676/0001</t>
  </si>
  <si>
    <t>16:10:12:01:02:8698</t>
  </si>
  <si>
    <t>16:12:02:01:02:3384</t>
  </si>
  <si>
    <t>16:03:40:02:01:0354</t>
  </si>
  <si>
    <t>16:10:12:04:01:0260</t>
  </si>
  <si>
    <t>16:03:40:02:01:0355</t>
  </si>
  <si>
    <t>16:11:40:02:01:0887</t>
  </si>
  <si>
    <t>16:03:40:02:01:0356</t>
  </si>
  <si>
    <t>16:05:12:01:01:0737</t>
  </si>
  <si>
    <t>16:03:40:02:01:0358</t>
  </si>
  <si>
    <t>16:03:40:02:01:0357</t>
  </si>
  <si>
    <t>16:03:41:01:02:0851</t>
  </si>
  <si>
    <t>16:07:06:01:02:5329</t>
  </si>
  <si>
    <t>16:07:41:01:01:5997</t>
  </si>
  <si>
    <t>16:03:40:02:01:0291</t>
  </si>
  <si>
    <t>16:06:40:02:01:0109</t>
  </si>
  <si>
    <t>16:02:41:01:01:4184</t>
  </si>
  <si>
    <t>16:03:40:02:02:1067</t>
  </si>
  <si>
    <t>16:11:41:01:02:1893</t>
  </si>
  <si>
    <t>16:05:41:02:01:2546</t>
  </si>
  <si>
    <t>16:08:01:01:01:0107</t>
  </si>
  <si>
    <t>16:07:41:02:01:1089/0001</t>
  </si>
  <si>
    <t>16:03:40:02:01:0365</t>
  </si>
  <si>
    <t>16:03:40:02:01:0363</t>
  </si>
  <si>
    <t>16:03:40:02:01:0360</t>
  </si>
  <si>
    <t>16:03:09:01:05:1385</t>
  </si>
  <si>
    <t>16:04:41:02:01:2860</t>
  </si>
  <si>
    <t>16:02:40:02:02:0408</t>
  </si>
  <si>
    <t>16:09:10:01:01:2099</t>
  </si>
  <si>
    <t>16:03:41:02:01:2069</t>
  </si>
  <si>
    <t>16:05:41:04:08:0089</t>
  </si>
  <si>
    <t>16:03:13:01:01:1543</t>
  </si>
  <si>
    <t>16:01:41:01:01:0036</t>
  </si>
  <si>
    <t>16:03:40:02:01:0367</t>
  </si>
  <si>
    <t>16:03:40:02:01:0377</t>
  </si>
  <si>
    <t>16:03:40:01:02:0263</t>
  </si>
  <si>
    <t>16:03:01:01:02:1107</t>
  </si>
  <si>
    <t>16:03:09:01:01:1422</t>
  </si>
  <si>
    <t>16:12:03:01:01:0139</t>
  </si>
  <si>
    <t>16:10:40:01:01:0667</t>
  </si>
  <si>
    <t>16:06:42:02:02:1066</t>
  </si>
  <si>
    <t>16:02:40:01:02:0956</t>
  </si>
  <si>
    <t>16:01:06:02:02:0376</t>
  </si>
  <si>
    <t>16:12:01:01:02:3149</t>
  </si>
  <si>
    <t>16:01:41:01:01:0951</t>
  </si>
  <si>
    <t>16:07:40:02:01:0476</t>
  </si>
  <si>
    <t>16:01:41:02:01:0832</t>
  </si>
  <si>
    <t>16:12:01:01:01:4257</t>
  </si>
  <si>
    <t>16:04:04:01:02:1229</t>
  </si>
  <si>
    <t>16:07:08:03:03:1264</t>
  </si>
  <si>
    <t>16:01:40:02:02:0972</t>
  </si>
  <si>
    <t>16:11:05:01:05:1655</t>
  </si>
  <si>
    <t>16:09:42:02:02:0714/0005</t>
  </si>
  <si>
    <t>16:05:41:02:01:4331</t>
  </si>
  <si>
    <t>16:08:06:01:03:0848</t>
  </si>
  <si>
    <t>16:11:000011018</t>
  </si>
  <si>
    <t>16:10:12:04:02:0033</t>
  </si>
  <si>
    <t>16:04:41:02:01:3109</t>
  </si>
  <si>
    <t>16:12:42:01:02:0954</t>
  </si>
  <si>
    <t>16:09:40:02:01:2807</t>
  </si>
  <si>
    <t>16:07:11:01:02:1060</t>
  </si>
  <si>
    <t>16:02:41:01:01:1743</t>
  </si>
  <si>
    <t>16:12:40:02:01:0258</t>
  </si>
  <si>
    <t>16:05:41:02:02:8321</t>
  </si>
  <si>
    <t>16:07:41:01:01:5605</t>
  </si>
  <si>
    <t>16:12:01:01:01:6763</t>
  </si>
  <si>
    <t>16:02:40:02:02:0247</t>
  </si>
  <si>
    <t>16:12:42:03:01:0216/0081</t>
  </si>
  <si>
    <t>16:01:03:02:02:5137</t>
  </si>
  <si>
    <t>16:12:01:02:03:0100</t>
  </si>
  <si>
    <t>16:05:41:02:28:0108</t>
  </si>
  <si>
    <t>16:09:10:02:01:0152</t>
  </si>
  <si>
    <t>16:09:40:01:01:2171</t>
  </si>
  <si>
    <t>16:12:01:02:03:8461</t>
  </si>
  <si>
    <t>16:01:40:02:01:1020</t>
  </si>
  <si>
    <t>16:08:42:01:01:1308</t>
  </si>
  <si>
    <t>16:12:02:01:02:3700</t>
  </si>
  <si>
    <t>16:11:04:01:02:1434</t>
  </si>
  <si>
    <t>16:11:05:01:03:1366</t>
  </si>
  <si>
    <t>16:06:42:01:01:0339</t>
  </si>
  <si>
    <t>16:11:41:01:02:2047</t>
  </si>
  <si>
    <t>16:03:41:02:01:0845</t>
  </si>
  <si>
    <t>16:02:40:01:02:0508</t>
  </si>
  <si>
    <t>16:01:08:01:04:5067</t>
  </si>
  <si>
    <t>16:01:41:01:02:0293</t>
  </si>
  <si>
    <t>16:03:41:02:02:1860</t>
  </si>
  <si>
    <t>16:02:41:01:01:2313</t>
  </si>
  <si>
    <t>16:10:07:01:02:3042</t>
  </si>
  <si>
    <t>16:03:01:01:01:1260</t>
  </si>
  <si>
    <t>16:02:41:01:01:5052</t>
  </si>
  <si>
    <t>16:05:41:02:02:0974</t>
  </si>
  <si>
    <t>16:11:40:01:01:0392/0011</t>
  </si>
  <si>
    <t>16:04:09:01:01:1100</t>
  </si>
  <si>
    <t>16:01:40:01:01:0815</t>
  </si>
  <si>
    <t>16:01:40:01:01:2118</t>
  </si>
  <si>
    <t>16:10:09:02:04:2003</t>
  </si>
  <si>
    <t>16:06:42:01:02:0326</t>
  </si>
  <si>
    <t>16:08:09:01:01:0207</t>
  </si>
  <si>
    <t>16:03:01:01:06:1502</t>
  </si>
  <si>
    <t>16:08:09:01:01:1030</t>
  </si>
  <si>
    <t>16:07:01:01:02:5678</t>
  </si>
  <si>
    <t>16:08:04:01:03:1026</t>
  </si>
  <si>
    <t>16:07:08:02:01:2056</t>
  </si>
  <si>
    <t>16:12:01:02:04:4468</t>
  </si>
  <si>
    <t>16:02:41:01:02:1945</t>
  </si>
  <si>
    <t>16:06:41:02:02:1445</t>
  </si>
  <si>
    <t>16:08:41:01:01:0924</t>
  </si>
  <si>
    <t>16:12:01:01:04:9004</t>
  </si>
  <si>
    <t>16:12:01:01:02:8606</t>
  </si>
  <si>
    <t>16:12:02:02:01:3777</t>
  </si>
  <si>
    <t>16:12:41:01:02:0106</t>
  </si>
  <si>
    <t>16:12:01:01:11:4321</t>
  </si>
  <si>
    <t>16:10:10:01:02:2354</t>
  </si>
  <si>
    <t>16:12:40:02:01:2182</t>
  </si>
  <si>
    <t>16:04:41:01:01:0999</t>
  </si>
  <si>
    <t>16:08:42:02:01:0894</t>
  </si>
  <si>
    <t>16:05:11:01:02:4573</t>
  </si>
  <si>
    <t>16:02:40:02:01:0283</t>
  </si>
  <si>
    <t>16:12:42:03:02:0306</t>
  </si>
  <si>
    <t>16:04:02:01:02:5137</t>
  </si>
  <si>
    <t>16:10:40:02:03:1411</t>
  </si>
  <si>
    <t>16:12:40:02:02:0537/0002</t>
  </si>
  <si>
    <t>16:05:41:02:01:2875/0002</t>
  </si>
  <si>
    <t>16:05:41:03:17:0006</t>
  </si>
  <si>
    <t>16:05:41:02:01:0370</t>
  </si>
  <si>
    <t>16:12:40:02:01:2112</t>
  </si>
  <si>
    <t>16:10:41:01:02:2125</t>
  </si>
  <si>
    <t>16:10:12:03:02:2431</t>
  </si>
  <si>
    <t>16:10:12:02:02:2100</t>
  </si>
  <si>
    <t>16:12:01:01:09:3092</t>
  </si>
  <si>
    <t>16:12:41:01:02:2552</t>
  </si>
  <si>
    <t>16:02:41:02:01:1267</t>
  </si>
  <si>
    <t>16:10:12:01:02:0219</t>
  </si>
  <si>
    <t>16:12:41:01:02:2581</t>
  </si>
  <si>
    <t>16:10:04:01:03:3350</t>
  </si>
  <si>
    <t>16:03:08:01:05:1804</t>
  </si>
  <si>
    <t>16:12:01:01:16:3432</t>
  </si>
  <si>
    <t>16:12:01:01:14:4780</t>
  </si>
  <si>
    <t>16:10:12:02:01:2111</t>
  </si>
  <si>
    <t>16:10:41:01:01:0289</t>
  </si>
  <si>
    <t>16:06:41:01:01:1268</t>
  </si>
  <si>
    <t>16:12:41:01:02:1920</t>
  </si>
  <si>
    <t>16:11:05:02:04:7549</t>
  </si>
  <si>
    <t>16:10:12:03:01:2122</t>
  </si>
  <si>
    <t>16:12:42:02:01:1705</t>
  </si>
  <si>
    <t>16:12:42:02:03:0119</t>
  </si>
  <si>
    <t>16:05:41:02:05:0043</t>
  </si>
  <si>
    <t>16:02:40:02:02:0396</t>
  </si>
  <si>
    <t>16:01:01:01:03:1461</t>
  </si>
  <si>
    <t>16:10:12:03:01:2123</t>
  </si>
  <si>
    <t>16:01:40:01:02:3065</t>
  </si>
  <si>
    <t>16:06:40:01:01:1362</t>
  </si>
  <si>
    <t>16:11:41:03:01:1065/0001</t>
  </si>
  <si>
    <t>16:02:08:01:02:5366</t>
  </si>
  <si>
    <t>16:10:10:02:01:1231</t>
  </si>
  <si>
    <t>16:12:01:01:01:6648</t>
  </si>
  <si>
    <t>16:03:08:04:07:5315</t>
  </si>
  <si>
    <t>16:09:42:02:01:0712</t>
  </si>
  <si>
    <t>16:01:04:01:02:0104</t>
  </si>
  <si>
    <t>16:07:41:02:02:1346</t>
  </si>
  <si>
    <t>16:06:41:01:02:0475</t>
  </si>
  <si>
    <t>16:03:09:01:04:1383</t>
  </si>
  <si>
    <t>16:10:08:01:05:2002</t>
  </si>
  <si>
    <t>16:01:07:01:03:1662</t>
  </si>
  <si>
    <t>16:10:10:02:01:1230</t>
  </si>
  <si>
    <t>16:10:10:01:03:2200</t>
  </si>
  <si>
    <t>16:12:42:02:01:1270</t>
  </si>
  <si>
    <t>16:01:07:01:02:1157</t>
  </si>
  <si>
    <t>16:04:05:01:02:0005</t>
  </si>
  <si>
    <t>16:04:05:01:02:0019</t>
  </si>
  <si>
    <t>16:03:05:01:03:5608</t>
  </si>
  <si>
    <t>16:09:10:01:01:0052</t>
  </si>
  <si>
    <t>16:12:42:01:02:0029</t>
  </si>
  <si>
    <t>16:10:08:01:03:2002</t>
  </si>
  <si>
    <t>16:03:09:01:04:1237</t>
  </si>
  <si>
    <t>16:02:41:01:02:1137</t>
  </si>
  <si>
    <t>16:06:41:01:02:1280</t>
  </si>
  <si>
    <t>16:02:41:01:02:1627</t>
  </si>
  <si>
    <t>16:12:40:02:02:3122</t>
  </si>
  <si>
    <t>16:12:40:02:02:3116</t>
  </si>
  <si>
    <t>16:07:41:01:01:1915</t>
  </si>
  <si>
    <t>16:05:41:02:01:1594</t>
  </si>
  <si>
    <t>16:06:42:01:02:0008</t>
  </si>
  <si>
    <t>16:06:41:02:02:1325</t>
  </si>
  <si>
    <t>16:12:42:03:02:1678</t>
  </si>
  <si>
    <t>16:12:01:02:01:4433</t>
  </si>
  <si>
    <t>16:10:12:03:02:6545</t>
  </si>
  <si>
    <t>16:11:41:03:02:0502</t>
  </si>
  <si>
    <t>16:02:41:01:02:1912</t>
  </si>
  <si>
    <t>16:05:41:02:02:7439/0002</t>
  </si>
  <si>
    <t>16:10:09:02:04:2004</t>
  </si>
  <si>
    <t>16:10:09:02:02:2005</t>
  </si>
  <si>
    <t>16:01:40:02:01:0543/0002</t>
  </si>
  <si>
    <t>16:07:01:02:01:0002</t>
  </si>
  <si>
    <t>16:07:41:02:01:3033</t>
  </si>
  <si>
    <t>16:07:41:02:01:1479</t>
  </si>
  <si>
    <t>16:02:40:01:02:0960</t>
  </si>
  <si>
    <t>16:10:04:01:02:2012</t>
  </si>
  <si>
    <t>16:08:04:01:05:0599</t>
  </si>
  <si>
    <t>16:10:09:02:02:2004</t>
  </si>
  <si>
    <t>16:10:42:01:01:0581</t>
  </si>
  <si>
    <t>16:06:40:01:01:1351</t>
  </si>
  <si>
    <t>16:06:40:01:01:0269</t>
  </si>
  <si>
    <t>16:03:40:02:01:0386</t>
  </si>
  <si>
    <t>16:06:42:01:02:0879</t>
  </si>
  <si>
    <t>16:07:41:01:01:5303</t>
  </si>
  <si>
    <t>16:03:05:01:03:5035</t>
  </si>
  <si>
    <t>16:11:41:01:01:2259</t>
  </si>
  <si>
    <t>16:12:42:03:01:1983</t>
  </si>
  <si>
    <t>16:09:10:01:01:1441</t>
  </si>
  <si>
    <t>16:07:08:01:03:0068</t>
  </si>
  <si>
    <t>16:07:41:02:01:3070</t>
  </si>
  <si>
    <t>16:07:41:02:02:1215</t>
  </si>
  <si>
    <t>16:12:40:02:01:2207</t>
  </si>
  <si>
    <t>16:12:40:01:02:1477</t>
  </si>
  <si>
    <t>16:06:42:02:02:1057</t>
  </si>
  <si>
    <t>16:07:41:02:01:0404</t>
  </si>
  <si>
    <t>16:11:41:02:02:4889</t>
  </si>
  <si>
    <t>16:10:42:01:01:1068</t>
  </si>
  <si>
    <t>16:08:02:01:03:5031</t>
  </si>
  <si>
    <t>16:06:42:02:01:0936</t>
  </si>
  <si>
    <t>16:12:42:01:02:0088/0025</t>
  </si>
  <si>
    <t>16:03:41:01:01:0068</t>
  </si>
  <si>
    <t>16:05:41:01:01:0347</t>
  </si>
  <si>
    <t>16:03:41:01:02:0027</t>
  </si>
  <si>
    <t>16:03:40:01:02:0014</t>
  </si>
  <si>
    <t>16:03:40:02:02:0030</t>
  </si>
  <si>
    <t>16:03:41:01:01:0081</t>
  </si>
  <si>
    <t>16:03:40:02:02:0019</t>
  </si>
  <si>
    <t>16:07:41:01:01:5989</t>
  </si>
  <si>
    <t>16:12:42:03:03:0378</t>
  </si>
  <si>
    <t>16:10:03:01:02:4721</t>
  </si>
  <si>
    <t>16:06:07:01:05:5493</t>
  </si>
  <si>
    <t>16:02:41:02:01:0822</t>
  </si>
  <si>
    <t>16:09:03:01:01:2815</t>
  </si>
  <si>
    <t>16:01:40:01:01:2744</t>
  </si>
  <si>
    <t>16:01:40:01:02:3088</t>
  </si>
  <si>
    <t>16:04:41:02:01:2595</t>
  </si>
  <si>
    <t>16:03:40:01:02:0015</t>
  </si>
  <si>
    <t>16:03:41:02:01:0048</t>
  </si>
  <si>
    <t>16:11:41:01:01:0514</t>
  </si>
  <si>
    <t>16:05:41:02:06:0018</t>
  </si>
  <si>
    <t>16:12:42:01:01:1391</t>
  </si>
  <si>
    <t>16:01:40:02:02:0390</t>
  </si>
  <si>
    <t>16:09:42:02:02:0623/0004</t>
  </si>
  <si>
    <t>16:12:01:01:15:4622</t>
  </si>
  <si>
    <t>16:12:01:01:16:4366</t>
  </si>
  <si>
    <t>16:02:41:01:02:3423</t>
  </si>
  <si>
    <t>16:05:12:01:01:2661</t>
  </si>
  <si>
    <t>16:12:01:01:02:5570</t>
  </si>
  <si>
    <t>16:08:01:02:06:1095</t>
  </si>
  <si>
    <t>16:06:42:02:01:0697</t>
  </si>
  <si>
    <t>16:11:41:02:02:3602</t>
  </si>
  <si>
    <t>16:01:08:01:04:0089</t>
  </si>
  <si>
    <t>16:03:41:01:01:1816</t>
  </si>
  <si>
    <t>16:09:42:01:01:0103</t>
  </si>
  <si>
    <t>16:12:40:01:02:1506</t>
  </si>
  <si>
    <t>16:06:41:01:02:0558</t>
  </si>
  <si>
    <t>16:06:41:01:01:1239</t>
  </si>
  <si>
    <t>16:04:41:02:01:3171</t>
  </si>
  <si>
    <t>16:11:09:01:02:1001</t>
  </si>
  <si>
    <t>16:06:41:01:01:1243</t>
  </si>
  <si>
    <t>16:12:42:01:01:1204</t>
  </si>
  <si>
    <t>16:06:41:02:02:0912</t>
  </si>
  <si>
    <t>16:11:40:01:01:1338</t>
  </si>
  <si>
    <t>16:06:04:01:01:5775</t>
  </si>
  <si>
    <t>16:05:41:02:02:6331</t>
  </si>
  <si>
    <t>16:09:10:01:02:0124</t>
  </si>
  <si>
    <t>16:01:41:01:01:1083</t>
  </si>
  <si>
    <t>16:10:40:02:01:0452</t>
  </si>
  <si>
    <t>16:11:41:01:02:1287</t>
  </si>
  <si>
    <t>16:12:42:01:02:0009/0007</t>
  </si>
  <si>
    <t>16:02:01:01:01:0005</t>
  </si>
  <si>
    <t>16:12:40:02:02:3120</t>
  </si>
  <si>
    <t>16:07:06:01:03:1286</t>
  </si>
  <si>
    <t>16:02:41:01:02:0561</t>
  </si>
  <si>
    <t>16:07:000176761</t>
  </si>
  <si>
    <t>16:12:42:01:02:0009/0018</t>
  </si>
  <si>
    <t>16:12:42:01:02:0009/0019</t>
  </si>
  <si>
    <t>16:10:42:01:01:0708</t>
  </si>
  <si>
    <t>16:09:41:02:01:1478</t>
  </si>
  <si>
    <t>16:12:41:02:02:0077</t>
  </si>
  <si>
    <t>16:05:000016153</t>
  </si>
  <si>
    <t>16:07:07:01:02:6103</t>
  </si>
  <si>
    <t>16:09:04:02:01:6078</t>
  </si>
  <si>
    <t>16:07:41:01:01:5613</t>
  </si>
  <si>
    <t>16:10:41:01:01:1424</t>
  </si>
  <si>
    <t>16:06:41:02:01:0458</t>
  </si>
  <si>
    <t>16:12:42:01:02:0009/0008</t>
  </si>
  <si>
    <t>16:12:41:02:02:0904</t>
  </si>
  <si>
    <t>16:03:41:02:02:1243</t>
  </si>
  <si>
    <t>16:08:08:02:03:1155</t>
  </si>
  <si>
    <t>16:02:40:01:02:0958</t>
  </si>
  <si>
    <t>16:02:40:01:02:0957</t>
  </si>
  <si>
    <t>16:07:41:02:02:1724</t>
  </si>
  <si>
    <t>16:09:42:01:01:1725</t>
  </si>
  <si>
    <t>16:12:42:02:01:0656/0001</t>
  </si>
  <si>
    <t>16:01:40:02:02:1898</t>
  </si>
  <si>
    <t>16:01:07:01:03:8598</t>
  </si>
  <si>
    <t>16:01:40:01:01:2736</t>
  </si>
  <si>
    <t>16:12:41:02:02:3891/0001</t>
  </si>
  <si>
    <t>16:02:41:01:02:2949</t>
  </si>
  <si>
    <t>16:01:40:01:02:0545</t>
  </si>
  <si>
    <t>16:03:41:01:01:2343</t>
  </si>
  <si>
    <t>16:11:000002590</t>
  </si>
  <si>
    <t>16:12:02:02:02:5268</t>
  </si>
  <si>
    <t>16:01:40:01:01:0852</t>
  </si>
  <si>
    <t>16:11:40:01:01:1335</t>
  </si>
  <si>
    <t>16:07:41:02:01:3071</t>
  </si>
  <si>
    <t>16:07:41:01:01:4334/0001</t>
  </si>
  <si>
    <t>16:04:03:01:01:1973</t>
  </si>
  <si>
    <t>16:12:41:02:02:2389</t>
  </si>
  <si>
    <t>16:01:40:02:01:1046</t>
  </si>
  <si>
    <t>16:06:41:01:01:1242</t>
  </si>
  <si>
    <t>16:06:40:01:01:0884</t>
  </si>
  <si>
    <t>16:11:41:01:02:1978</t>
  </si>
  <si>
    <t>16:09:03:01:01:0236</t>
  </si>
  <si>
    <t>16:08:01:01:02:1376</t>
  </si>
  <si>
    <t>16:07:10:01:02:1311</t>
  </si>
  <si>
    <t>16:01:02:01:02:1699</t>
  </si>
  <si>
    <t>16:09:42:01:01:1731/0001</t>
  </si>
  <si>
    <t>16:05:41:04:09:0005</t>
  </si>
  <si>
    <t>16:02:41:01:01:2013</t>
  </si>
  <si>
    <t>16:06:08:01:04:3137</t>
  </si>
  <si>
    <t>16:01:41:02:01:0821</t>
  </si>
  <si>
    <t>16:01:40:01:02:3066</t>
  </si>
  <si>
    <t>16:01:40:01:01:2743</t>
  </si>
  <si>
    <t>16:12:01:01:08:5253</t>
  </si>
  <si>
    <t>16:01:41:01:01:1618</t>
  </si>
  <si>
    <t>16:08:40:01:01:0232</t>
  </si>
  <si>
    <t>16:06:08:01:04:1931</t>
  </si>
  <si>
    <t>16:08:09:01:01:2515</t>
  </si>
  <si>
    <t>16:07:41:02:01:2737</t>
  </si>
  <si>
    <t>16:10:41:01:02:0100</t>
  </si>
  <si>
    <t>16:12:01:02:03:6136</t>
  </si>
  <si>
    <t>16:01:07:01:02:9747</t>
  </si>
  <si>
    <t>16:11:41:02:02:3560/0011</t>
  </si>
  <si>
    <t>16:12:42:01:01:1390</t>
  </si>
  <si>
    <t>16:12:42:03:03:0519</t>
  </si>
  <si>
    <t>16:07:41:02:01:2954</t>
  </si>
  <si>
    <t>16:02:41:01:02:3607</t>
  </si>
  <si>
    <t>16:10:12:01:01:5287</t>
  </si>
  <si>
    <t>16:10:40:02:02:1028</t>
  </si>
  <si>
    <t>16:07:41:01:01:2553</t>
  </si>
  <si>
    <t>16:11:41:01:02:1162</t>
  </si>
  <si>
    <t>16:11:41:01:02:1236</t>
  </si>
  <si>
    <t>16:07:02:01:03:2200</t>
  </si>
  <si>
    <t>16:12:01:02:01:5853</t>
  </si>
  <si>
    <t>16:05:41:01:01:0438</t>
  </si>
  <si>
    <t>16:06:02:01:01:2682</t>
  </si>
  <si>
    <t>16:05:41:04:11:0100</t>
  </si>
  <si>
    <t>16:07:41:01:01:6024</t>
  </si>
  <si>
    <t>16:12:01:02:03:3279</t>
  </si>
  <si>
    <t>16:07:05:01:02:5028</t>
  </si>
  <si>
    <t>16:12:40:02:02:3114</t>
  </si>
  <si>
    <t>16:09:01:01:01:2474</t>
  </si>
  <si>
    <t>16:06:42:01:02:0853</t>
  </si>
  <si>
    <t>16:03:01:01:01:1244</t>
  </si>
  <si>
    <t>16:07:05:01:02:1065</t>
  </si>
  <si>
    <t>16:10:40:02:02:0821</t>
  </si>
  <si>
    <t>16:12:40:02:02:1673</t>
  </si>
  <si>
    <t>16:02:41:01:02:0583</t>
  </si>
  <si>
    <t>16:09:42:01:01:0386</t>
  </si>
  <si>
    <t>16:10:41:01:02:0428</t>
  </si>
  <si>
    <t>16:11:41:02:02:1850</t>
  </si>
  <si>
    <t>16:11:05:01:03:1299</t>
  </si>
  <si>
    <t>16:11:000011172</t>
  </si>
  <si>
    <t>16:01:03:01:01:5254</t>
  </si>
  <si>
    <t>16:12:40:02:02:3019</t>
  </si>
  <si>
    <t>16:11:41:02:02:2010</t>
  </si>
  <si>
    <t>16:06:42:01:02:0955</t>
  </si>
  <si>
    <t>16:01:40:01:02:0490</t>
  </si>
  <si>
    <t>16:11:41:02:02:0763</t>
  </si>
  <si>
    <t>16:05:41:03:06:0013</t>
  </si>
  <si>
    <t>16:05:41:02:02:6513</t>
  </si>
  <si>
    <t>16:06:03:01:02:1548</t>
  </si>
  <si>
    <t>16:07:41:01:01:5996</t>
  </si>
  <si>
    <t>16:12:41:01:01:1194</t>
  </si>
  <si>
    <t>16:08:01:01:02:0158</t>
  </si>
  <si>
    <t>16:11:01:01:01:5289</t>
  </si>
  <si>
    <t>16:05:41:04:17:0045/0002</t>
  </si>
  <si>
    <t>16:10:40:02:01:0686</t>
  </si>
  <si>
    <t>16:09:40:01:01:2160</t>
  </si>
  <si>
    <t>16:06:04:01:01:6140</t>
  </si>
  <si>
    <t>16:03:13:01:02:5211</t>
  </si>
  <si>
    <t>16:12:01:01:01:7076:0001:032</t>
  </si>
  <si>
    <t>16:11:41:02:01:1858</t>
  </si>
  <si>
    <t>16:05:41:02:01:4270</t>
  </si>
  <si>
    <t>16:11:05:02:02:1343</t>
  </si>
  <si>
    <t>16:12:42:02:01:0433</t>
  </si>
  <si>
    <t>16:07:41:02:02:2346</t>
  </si>
  <si>
    <t>16:04:40:02:01:0968</t>
  </si>
  <si>
    <t>16:12:41:02:02:3892</t>
  </si>
  <si>
    <t>16:07:41:02:01:3041</t>
  </si>
  <si>
    <t>16:12:42:02:01:1737</t>
  </si>
  <si>
    <t>16:02:40:01:02:0962</t>
  </si>
  <si>
    <t>16:07:07:03:02:2369</t>
  </si>
  <si>
    <t>16:12:40:01:02:0487</t>
  </si>
  <si>
    <t>16:05:41:02:02:2045</t>
  </si>
  <si>
    <t>16:01:03:01:01:0666</t>
  </si>
  <si>
    <t>16:07:41:02:01:3002</t>
  </si>
  <si>
    <t>16:07:41:02:01:2953</t>
  </si>
  <si>
    <t>16:05:41:02:01:4345</t>
  </si>
  <si>
    <t>16:02:41:01:02:0298</t>
  </si>
  <si>
    <t>16:08:09:02:01:5312</t>
  </si>
  <si>
    <t>16:12:02:02:02:4204</t>
  </si>
  <si>
    <t>16:05:41:02:01:4344</t>
  </si>
  <si>
    <t>16:03:08:01:04:1010</t>
  </si>
  <si>
    <t>16:12:42:01:01:1280</t>
  </si>
  <si>
    <t>16:11:07:01:01:1736</t>
  </si>
  <si>
    <t>16:08:09:01:01:1961</t>
  </si>
  <si>
    <t>16:08:40:02:01:2681</t>
  </si>
  <si>
    <t>16:12:41:01:02:0823</t>
  </si>
  <si>
    <t>16:10:41:01:02:2126</t>
  </si>
  <si>
    <t>16:07:10:02:01:0001</t>
  </si>
  <si>
    <t>16:11:40:01:01:0569</t>
  </si>
  <si>
    <t>16:11:41:03:01:1065/0002</t>
  </si>
  <si>
    <t>16:01:08:02:01:2100</t>
  </si>
  <si>
    <t>16:07:41:02:02:2419</t>
  </si>
  <si>
    <t>16:03:40:01:01:0854</t>
  </si>
  <si>
    <t>16:10:12:01:01:6528</t>
  </si>
  <si>
    <t>16:01:40:02:02:1534/0004</t>
  </si>
  <si>
    <t>16:06:40:02:02:0387</t>
  </si>
  <si>
    <t>16:10:04:01:02:5958</t>
  </si>
  <si>
    <t>16:01:07:01:02:9681</t>
  </si>
  <si>
    <t>16:12:40:02:02:1529/0003</t>
  </si>
  <si>
    <t>16:02:41:01:02:3606</t>
  </si>
  <si>
    <t>16:11:10:01:02:2364</t>
  </si>
  <si>
    <t>16:12:01:01:02:7563</t>
  </si>
  <si>
    <t>16:01:40:02:02:1899</t>
  </si>
  <si>
    <t>16:02:40:01:02:0961</t>
  </si>
  <si>
    <t>16:12:01:01:06:6049</t>
  </si>
  <si>
    <t>16:01:01:01:03:5427</t>
  </si>
  <si>
    <t>16:11:04:01:03:5933</t>
  </si>
  <si>
    <t>16:07:06:01:02:5632</t>
  </si>
  <si>
    <t>16:02:41:01:01:1966</t>
  </si>
  <si>
    <t>16:11:03:01:03:1003</t>
  </si>
  <si>
    <t>16:10:01:01:03:5249</t>
  </si>
  <si>
    <t>16:11:40:01:01:1337</t>
  </si>
  <si>
    <t>16:12:01:02:05:4669</t>
  </si>
  <si>
    <t>16:06:41:01:02:0464</t>
  </si>
  <si>
    <t>16:05:41:02:01:2875/0001</t>
  </si>
  <si>
    <t>16:12:41:01:01:1202</t>
  </si>
  <si>
    <t>16:12:02:02:01:3364</t>
  </si>
  <si>
    <t>16:01:40:02:02:1270</t>
  </si>
  <si>
    <t>16:12:41:01:02:1847/0003</t>
  </si>
  <si>
    <t>16:08:09:02:02:2246</t>
  </si>
  <si>
    <t>16:12:40:01:02:1585</t>
  </si>
  <si>
    <t>16:12:01:01:05:3005:0001:029</t>
  </si>
  <si>
    <t>16:07:08:01:03:0069</t>
  </si>
  <si>
    <t>16:12:42:03:01:0238</t>
  </si>
  <si>
    <t>16:05:41:02:02:4190</t>
  </si>
  <si>
    <t>16:06:41:01:01:1249</t>
  </si>
  <si>
    <t>16:07:10:01:01:2030</t>
  </si>
  <si>
    <t>16:06:03:05:02:5451</t>
  </si>
  <si>
    <t>16:09:41:02:01:1415/0002</t>
  </si>
  <si>
    <t>16:12:02:01:02:3071:0001:001</t>
  </si>
  <si>
    <t>16:06:01:01:01:0357</t>
  </si>
  <si>
    <t>16:11:41:01:02:2037</t>
  </si>
  <si>
    <t>16:12:01:01:03:5590</t>
  </si>
  <si>
    <t>16:10:12:01:01:6826</t>
  </si>
  <si>
    <t>16:05:41:02:03:0019</t>
  </si>
  <si>
    <t>16:12:42:03:01:2179</t>
  </si>
  <si>
    <t>16:06:41:02:01:0563</t>
  </si>
  <si>
    <t>16:02:40:01:01:0397</t>
  </si>
  <si>
    <t>16:03:01:01:01:1130</t>
  </si>
  <si>
    <t>16:02:40:03:02:0325</t>
  </si>
  <si>
    <t>16:10:41:01:02:2130</t>
  </si>
  <si>
    <t>16:01:40:02:01:1045</t>
  </si>
  <si>
    <t>16:10:12:03:02:5876</t>
  </si>
  <si>
    <t>16:03:11:02:02:5494</t>
  </si>
  <si>
    <t>16:12:41:02:02:0016</t>
  </si>
  <si>
    <t>16:09:42:02:02:0767</t>
  </si>
  <si>
    <t>16:12:42:02:03:0571</t>
  </si>
  <si>
    <t>16:07:41:01:01:6027</t>
  </si>
  <si>
    <t>16:12:01:01:03:3307</t>
  </si>
  <si>
    <t>16:04:40:02:01:0208</t>
  </si>
  <si>
    <t>16:03:41:02:01:1617</t>
  </si>
  <si>
    <t>16:09:01:02:01:0006</t>
  </si>
  <si>
    <t>16:05:02:01:04:7067</t>
  </si>
  <si>
    <t>16:06:03:03:02:7127</t>
  </si>
  <si>
    <t>16:03:41:01:01:2538</t>
  </si>
  <si>
    <t>16:05:41:04:10:0031</t>
  </si>
  <si>
    <t>16:01:41:01:01:1341</t>
  </si>
  <si>
    <t>16:04:41:01:01:4063</t>
  </si>
  <si>
    <t>16:01:08:01:03:0392</t>
  </si>
  <si>
    <t>16:10:42:01:01:1113/0001</t>
  </si>
  <si>
    <t>16:09:42:01:01:1731/0002</t>
  </si>
  <si>
    <t>16:12:41:01:01:0677</t>
  </si>
  <si>
    <t>16:11:40:02:01:0893</t>
  </si>
  <si>
    <t>16:11:41:01:01:2269</t>
  </si>
  <si>
    <t>16:04:41:01:01:5749</t>
  </si>
  <si>
    <t>16:12:40:01:01:0498/0002</t>
  </si>
  <si>
    <t>16:03:41:02:02:3247</t>
  </si>
  <si>
    <t>16:04:41:02:01:3657</t>
  </si>
  <si>
    <t>16:08:09:01:01:1229</t>
  </si>
  <si>
    <t>16:10:41:01:02:0789</t>
  </si>
  <si>
    <t>16:07:41:01:01:5993</t>
  </si>
  <si>
    <t>16:07:41:02:01:3073</t>
  </si>
  <si>
    <t>16:12:40:01:01:0534</t>
  </si>
  <si>
    <t>16:10:02:02:04:5000</t>
  </si>
  <si>
    <t>16:10:41:01:01:0640</t>
  </si>
  <si>
    <t>16:07:41:01:01:4334/0002</t>
  </si>
  <si>
    <t>16:10:04:01:02:2014</t>
  </si>
  <si>
    <t>16:01:01:01:03:7357</t>
  </si>
  <si>
    <t>16:07:41:02:01:2974</t>
  </si>
  <si>
    <t>16:10:41:01:03:2633</t>
  </si>
  <si>
    <t>16:09:41:02:01:0612</t>
  </si>
  <si>
    <t>16:12:40:02:02:2820/0001</t>
  </si>
  <si>
    <t>16:09:41:02:01:1477</t>
  </si>
  <si>
    <t>16:06:42:02:02:0018</t>
  </si>
  <si>
    <t>16:06:41:02:01:0232</t>
  </si>
  <si>
    <t>16:06:02:01:01:1616</t>
  </si>
  <si>
    <t>16:12:41:01:02:1806</t>
  </si>
  <si>
    <t>16:05:41:02:01:0110</t>
  </si>
  <si>
    <t>16:12:42:02:02:0136</t>
  </si>
  <si>
    <t>16:01:03:02:02:2192</t>
  </si>
  <si>
    <t>16:01:03:01:01:0030</t>
  </si>
  <si>
    <t>16:05:41:02:02:0987</t>
  </si>
  <si>
    <t>16:03:41:02:01:1163</t>
  </si>
  <si>
    <t>16:07:08:03:01:0104</t>
  </si>
  <si>
    <t>16:03:41:01:02:1337</t>
  </si>
  <si>
    <t>16:10:41:01:02:1954</t>
  </si>
  <si>
    <t>16:07:01:01:02:2812</t>
  </si>
  <si>
    <t>16:02:41:01:02:1091</t>
  </si>
  <si>
    <t>16:01:40:02:02:1139/0003</t>
  </si>
  <si>
    <t>16:11:07:02:03:1181</t>
  </si>
  <si>
    <t>16:12:01:01:14:4266</t>
  </si>
  <si>
    <t>16:10:41:01:01:1425</t>
  </si>
  <si>
    <t>16:01:41:01:02:1102</t>
  </si>
  <si>
    <t>16:03:05:01:05:1348</t>
  </si>
  <si>
    <t>16:06:42:01:02:0790</t>
  </si>
  <si>
    <t>16:11:41:03:01:0018</t>
  </si>
  <si>
    <t>16:12:40:02:02:3117</t>
  </si>
  <si>
    <t>16:04:40:01:01:1560</t>
  </si>
  <si>
    <t>16:08:09:01:02:0350</t>
  </si>
  <si>
    <t>16:11:40:01:01:0609</t>
  </si>
  <si>
    <t>16:06:42:02:01:2821</t>
  </si>
  <si>
    <t>16:12:42:02:01:0859</t>
  </si>
  <si>
    <t>16:06:41:02:01:0565</t>
  </si>
  <si>
    <t>16:11:41:02:01:0539</t>
  </si>
  <si>
    <t>16:07:41:02:02:2390</t>
  </si>
  <si>
    <t>16:08:09:02:01:1716</t>
  </si>
  <si>
    <t>16:12:42:03:02:1664</t>
  </si>
  <si>
    <t>16:12:02:02:01:3185</t>
  </si>
  <si>
    <t>16:07:41:02:01:2975</t>
  </si>
  <si>
    <t>16:10:42:01:01:1417</t>
  </si>
  <si>
    <t>16:12:03:01:02:3038</t>
  </si>
  <si>
    <t>16:12:42:02:03:0570</t>
  </si>
  <si>
    <t>16:08:41:02:01:0132</t>
  </si>
  <si>
    <t>16:08:03:01:03:0205</t>
  </si>
  <si>
    <t>16:08:41:01:01:0584</t>
  </si>
  <si>
    <t>16:10:40:02:03:1048</t>
  </si>
  <si>
    <t>16:08:02:01:06:1585</t>
  </si>
  <si>
    <t>16:07:41:01:01:4351</t>
  </si>
  <si>
    <t>16:02:41:01:01:0652</t>
  </si>
  <si>
    <t>16:05:06:01:01:6313</t>
  </si>
  <si>
    <t>16:07:41:02:02:2402</t>
  </si>
  <si>
    <t>16:10:41:01:01:2211</t>
  </si>
  <si>
    <t>16:10:12:01:01:9210</t>
  </si>
  <si>
    <t>16:11:41:01:01:1772/0004</t>
  </si>
  <si>
    <t>16:02:41:01:01:2549</t>
  </si>
  <si>
    <t>16:06:08:01:02:1119</t>
  </si>
  <si>
    <t>16:06:42:02:01:0650</t>
  </si>
  <si>
    <t>16:07:08:01:03:2326</t>
  </si>
  <si>
    <t>16:12:01:02:04:5028</t>
  </si>
  <si>
    <t>16:05:06:02:01:6830</t>
  </si>
  <si>
    <t>16:02:08:01:02:5551</t>
  </si>
  <si>
    <t>16:12:01:01:02:6158</t>
  </si>
  <si>
    <t>16:12:01:01:06:4594</t>
  </si>
  <si>
    <t>16:11:40:01:01:1336</t>
  </si>
  <si>
    <t>16:08:40:02:01:1150</t>
  </si>
  <si>
    <t>16:11:12:01:03:0004</t>
  </si>
  <si>
    <t>16:12:41:01:02:2128</t>
  </si>
  <si>
    <t>16:12:41:02:02:3896</t>
  </si>
  <si>
    <t>16:12:42:02:02:0164/0002</t>
  </si>
  <si>
    <t>16:07:05:01:04:2640</t>
  </si>
  <si>
    <t>16:12:01:01:09:5682</t>
  </si>
  <si>
    <t>16:01:41:01:01:0165</t>
  </si>
  <si>
    <t>16:06:42:01:02:0037</t>
  </si>
  <si>
    <t>16:06:40:01:01:1363</t>
  </si>
  <si>
    <t>16:02:02:01:02:2278</t>
  </si>
  <si>
    <t>16:12:41:01:02:0448</t>
  </si>
  <si>
    <t>16:09:04:01:03:0014</t>
  </si>
  <si>
    <t>16:01:08:01:02:0695</t>
  </si>
  <si>
    <t>16:11:05:03:02:1151</t>
  </si>
  <si>
    <t>16:12:01:02:03:8901</t>
  </si>
  <si>
    <t>16:01:40:01:01:2491</t>
  </si>
  <si>
    <t>16:12:01:02:04:4089</t>
  </si>
  <si>
    <t>16:06:08:01:04:5841</t>
  </si>
  <si>
    <t>16:10:41:01:03:0799</t>
  </si>
  <si>
    <t>16:04:41:02:01:2864</t>
  </si>
  <si>
    <t>16:05:41:04:15:0082</t>
  </si>
  <si>
    <t>16:12:42:03:01:2149</t>
  </si>
  <si>
    <t>16:06:41:02:01:0594</t>
  </si>
  <si>
    <t>16:10:41:01:03:1200</t>
  </si>
  <si>
    <t>16:06:03:03:02:1675</t>
  </si>
  <si>
    <t>16:11:40:01:01:1036</t>
  </si>
  <si>
    <t>16:12:40:02:01:0534</t>
  </si>
  <si>
    <t>16:01:41:01:01:1406</t>
  </si>
  <si>
    <t>16:06:41:01:01:1269</t>
  </si>
  <si>
    <t>16:09:06:01:01:1230</t>
  </si>
  <si>
    <t>16:11:05:01:05:1702</t>
  </si>
  <si>
    <t>16:02:07:01:05:1198</t>
  </si>
  <si>
    <t>16:12:01:01:06:3566</t>
  </si>
  <si>
    <t>16:06:03:01:01:5267</t>
  </si>
  <si>
    <t>16:04:40:02:01:0429</t>
  </si>
  <si>
    <t>16:06:40:02:02:0708</t>
  </si>
  <si>
    <t>16:03:40:02:02:0717</t>
  </si>
  <si>
    <t>16:11:40:01:01:1121/0002</t>
  </si>
  <si>
    <t>16:11:05:03:02:1112</t>
  </si>
  <si>
    <t>16:06:42:02:01:0156</t>
  </si>
  <si>
    <t>16:04:41:02:01:1743</t>
  </si>
  <si>
    <t>16:12:02:01:04:4912</t>
  </si>
  <si>
    <t>16:09:10:01:03:8768</t>
  </si>
  <si>
    <t>16:10:41:01:02:1947</t>
  </si>
  <si>
    <t>16:12:01:02:07:0032</t>
  </si>
  <si>
    <t>16:06:42:01:02:0515</t>
  </si>
  <si>
    <t>16:11:06:01:02:5181</t>
  </si>
  <si>
    <t>16:11:40:02:01:0895</t>
  </si>
  <si>
    <t>16:11:41:02:02:0146</t>
  </si>
  <si>
    <t>16:11:41:01:02:1882</t>
  </si>
  <si>
    <t>16:12:42:02:01:1707</t>
  </si>
  <si>
    <t>16:11:41:02:02:0845</t>
  </si>
  <si>
    <t>16:08:01:02:06:1102</t>
  </si>
  <si>
    <t>16:12:01:01:09:5777</t>
  </si>
  <si>
    <t>16:08:42:01:01:1455/0002</t>
  </si>
  <si>
    <t>16:05:03:01:02:1037</t>
  </si>
  <si>
    <t>16:10:12:01:01:1148</t>
  </si>
  <si>
    <t>16:03:11:02:03:5149</t>
  </si>
  <si>
    <t>16:12:01:02:04:7855</t>
  </si>
  <si>
    <t>16:01:02:01:02:0928</t>
  </si>
  <si>
    <t>16:02:02:01:01:5113</t>
  </si>
  <si>
    <t>16:03:13:01:01:1647</t>
  </si>
  <si>
    <t>16:03:41:01:01:2283</t>
  </si>
  <si>
    <t>16:03:05:01:02:1328</t>
  </si>
  <si>
    <t>16:01:40:01:02:2496</t>
  </si>
  <si>
    <t>16:07:09:01:01:7680</t>
  </si>
  <si>
    <t>16:10:12:01:01:9636</t>
  </si>
  <si>
    <t>16:07:41:02:01:3040</t>
  </si>
  <si>
    <t>16:12:01:02:02:6338</t>
  </si>
  <si>
    <t>16:12:01:01:06:7884</t>
  </si>
  <si>
    <t>16:12:41:01:02:1586</t>
  </si>
  <si>
    <t>16:12:42:03:02:1700</t>
  </si>
  <si>
    <t>16:02:07:01:04:1600</t>
  </si>
  <si>
    <t>16:06:01:01:02:1815</t>
  </si>
  <si>
    <t>16:07:41:02:02:1793</t>
  </si>
  <si>
    <t>16:05:41:02:02:3079</t>
  </si>
  <si>
    <t>16:01:08:02:01:1753</t>
  </si>
  <si>
    <t>16:12:40:02:02:1529/0002</t>
  </si>
  <si>
    <t>16:12:01:01:05:6571</t>
  </si>
  <si>
    <t>16:08:40:01:01:0203</t>
  </si>
  <si>
    <t>16:02:41:01:01:4174</t>
  </si>
  <si>
    <t>16:08:40:02:01:2644</t>
  </si>
  <si>
    <t>16:06:42:01:01:1354</t>
  </si>
  <si>
    <t>16:01:40:02:02:1139/0004</t>
  </si>
  <si>
    <t>16:12:01:01:10:6210</t>
  </si>
  <si>
    <t>16:12:40:01:02:0974</t>
  </si>
  <si>
    <t>16:12:40:02:02:3020</t>
  </si>
  <si>
    <t>16:01:08:02:03:5364</t>
  </si>
  <si>
    <t>16:01:07:01:03:0013</t>
  </si>
  <si>
    <t>16:10:41:01:01:0313/0003</t>
  </si>
  <si>
    <t>16:06:01:01:01:0265</t>
  </si>
  <si>
    <t>16:09:06:01:01:2163</t>
  </si>
  <si>
    <t>16:06:42:02:02:1056</t>
  </si>
  <si>
    <t>16:09:42:01:01:0597</t>
  </si>
  <si>
    <t>16:06:09:02:03:1961</t>
  </si>
  <si>
    <t>16:07:09:01:02:2182</t>
  </si>
  <si>
    <t>16:12:01:01:11:0118</t>
  </si>
  <si>
    <t>16:10:12:02:01:9713</t>
  </si>
  <si>
    <t>16:12:01:01:10:7200</t>
  </si>
  <si>
    <t>16:11:41:01:02:1879</t>
  </si>
  <si>
    <t>16:11:41:01:01:1079</t>
  </si>
  <si>
    <t>16:08:06:01:05:1882</t>
  </si>
  <si>
    <t>16:01:06:02:02:0105</t>
  </si>
  <si>
    <t>16:05:41:02:01:1200</t>
  </si>
  <si>
    <t>16:12:40:01:02:1067</t>
  </si>
  <si>
    <t>16:12:03:01:01:3365</t>
  </si>
  <si>
    <t>16:06:41:02:01:0393</t>
  </si>
  <si>
    <t>16:10:05:01:03:2001</t>
  </si>
  <si>
    <t>16:08:09:01:01:5065</t>
  </si>
  <si>
    <t>16:12:40:02:01:2202</t>
  </si>
  <si>
    <t>16:10:05:01:04:3001</t>
  </si>
  <si>
    <t>16:11:41:01:01:2168</t>
  </si>
  <si>
    <t>16:10:11:01:02:2003</t>
  </si>
  <si>
    <t>16:11:04:01:02:8068</t>
  </si>
  <si>
    <t>16:04:40:02:01:2294</t>
  </si>
  <si>
    <t>16:04:41:02:01:1178</t>
  </si>
  <si>
    <t>16:12:42:03:01:2105/0001</t>
  </si>
  <si>
    <t>16:07:05:01:03:4335</t>
  </si>
  <si>
    <t>16:04:41:02:01:3599</t>
  </si>
  <si>
    <t>16:12:42:03:01:2105/0002</t>
  </si>
  <si>
    <t>16:11:41:03:01:0443</t>
  </si>
  <si>
    <t>16:07:41:02:01:0626</t>
  </si>
  <si>
    <t>16:04:41:01:01:4350</t>
  </si>
  <si>
    <t>16:01:41:01:01:1088/0003</t>
  </si>
  <si>
    <t>16:06:42:01:02:0963</t>
  </si>
  <si>
    <t>16:03:40:02:01:0376</t>
  </si>
  <si>
    <t>16:10:42:01:01:1113/0002</t>
  </si>
  <si>
    <t>16:10:41:01:01:2693</t>
  </si>
  <si>
    <t>16:01:01:01:03:5894</t>
  </si>
  <si>
    <t>16:03:07:01:02:1204</t>
  </si>
  <si>
    <t>16:10:12:01:01:0393</t>
  </si>
  <si>
    <t>16:11:40:02:01:0889</t>
  </si>
  <si>
    <t>16:12:02:01:04:4144</t>
  </si>
  <si>
    <t>16:02:02:01:02:4112</t>
  </si>
  <si>
    <t>16:05:41:04:18:0031</t>
  </si>
  <si>
    <t>16:04:41:01:01:0584</t>
  </si>
  <si>
    <t>16:11:04:01:04:5476</t>
  </si>
  <si>
    <t>16:12:03:01:02:4585</t>
  </si>
  <si>
    <t>16:06:08:01:03:6679</t>
  </si>
  <si>
    <t>16:11:01:01:01:1040</t>
  </si>
  <si>
    <t>16:05:41:01:01:0920</t>
  </si>
  <si>
    <t>16:01:01:01:03:3909</t>
  </si>
  <si>
    <t>16:12:01:01:01:6304</t>
  </si>
  <si>
    <t>16:12:01:01:06:6208</t>
  </si>
  <si>
    <t>16:06:41:02:02:1105/0002</t>
  </si>
  <si>
    <t>16:11:41:02:01:1722</t>
  </si>
  <si>
    <t>16:01:40:01:02:3096</t>
  </si>
  <si>
    <t>16:12:01:02:04:6941</t>
  </si>
  <si>
    <t>16:06:03:01:02:2704</t>
  </si>
  <si>
    <t>16:05:41:02:02:3699</t>
  </si>
  <si>
    <t>16:08:40:02:01:2688</t>
  </si>
  <si>
    <t>16:06:40:01:01:1339</t>
  </si>
  <si>
    <t>16:10:12:03:01:5676</t>
  </si>
  <si>
    <t>16:12:42:02:02:0410</t>
  </si>
  <si>
    <t>16:12:42:03:01:2192</t>
  </si>
  <si>
    <t>16:12:41:01:02:0075</t>
  </si>
  <si>
    <t>16:05:41:04:01:0116/0004</t>
  </si>
  <si>
    <t>16:06:08:01:02:5861</t>
  </si>
  <si>
    <t>16:12:42:02:01:1729</t>
  </si>
  <si>
    <t>16:12:42:02:02:0488</t>
  </si>
  <si>
    <t>16:02:41:01:01:2922</t>
  </si>
  <si>
    <t>16:05:41:02:01:4346</t>
  </si>
  <si>
    <t>16:10:41:01:03:0591</t>
  </si>
  <si>
    <t>16:12:42:01:01:0972</t>
  </si>
  <si>
    <t>16:10:40:02:02:1453/0002</t>
  </si>
  <si>
    <t>16:12:41:01:01:0069</t>
  </si>
  <si>
    <t>16:10:41:01:02:2154</t>
  </si>
  <si>
    <t>16:08:42:02:01:0756</t>
  </si>
  <si>
    <t>16:06:03:01:01:5270</t>
  </si>
  <si>
    <t>16:08:42:01:01:0417</t>
  </si>
  <si>
    <t>16:08:42:01:01:0867</t>
  </si>
  <si>
    <t>16:10:41:01:01:1167</t>
  </si>
  <si>
    <t>16:08:02:01:05:0448</t>
  </si>
  <si>
    <t>16:08:02:01:04:1489</t>
  </si>
  <si>
    <t>16:08:42:01:01:1400</t>
  </si>
  <si>
    <t>16:08:03:01:04:1440</t>
  </si>
  <si>
    <t>16:08:41:01:01:0371</t>
  </si>
  <si>
    <t>16:08:09:02:02:2322</t>
  </si>
  <si>
    <t>16:10:40:01:01:0154</t>
  </si>
  <si>
    <t>16:11:41:02:02:1795</t>
  </si>
  <si>
    <t>16:05:41:02:01:4347</t>
  </si>
  <si>
    <t>16:02:08:01:04:5273</t>
  </si>
  <si>
    <t>16:06:41:02:01:0521</t>
  </si>
  <si>
    <t>16:08:02:01:04:1574</t>
  </si>
  <si>
    <t>16:12:42:01:02:0088/0002</t>
  </si>
  <si>
    <t>16:12:01:02:01:4479</t>
  </si>
  <si>
    <t>16:06:42:02:02:0811</t>
  </si>
  <si>
    <t>16:10:42:01:01:1345</t>
  </si>
  <si>
    <t>16:06:01:01:02:1044</t>
  </si>
  <si>
    <t>16:06:41:01:01:1282</t>
  </si>
  <si>
    <t>16:05:02:01:03:1372</t>
  </si>
  <si>
    <t>16:12:40:01:02:1583</t>
  </si>
  <si>
    <t>16:07:41:02:01:2971</t>
  </si>
  <si>
    <t>16:09:10:03:01:1456</t>
  </si>
  <si>
    <t>16:08:42:01:01:1613</t>
  </si>
  <si>
    <t>16:11:40:02:01:0799</t>
  </si>
  <si>
    <t>16:12:40:02:01:1348</t>
  </si>
  <si>
    <t>16:10:41:01:01:2756</t>
  </si>
  <si>
    <t>16:11:41:02:02:3560/0001</t>
  </si>
  <si>
    <t>16:03:41:02:02:3248</t>
  </si>
  <si>
    <t>16:11:40:01:01:0392/0002</t>
  </si>
  <si>
    <t>16:07:41:01:01:4026</t>
  </si>
  <si>
    <t>16:03:08:01:02:5130</t>
  </si>
  <si>
    <t>16:06:41:02:01:0602</t>
  </si>
  <si>
    <t>16:12:40:02:02:1947</t>
  </si>
  <si>
    <t>16:11:41:02:02:0188</t>
  </si>
  <si>
    <t>16:10:02:01:01:0264</t>
  </si>
  <si>
    <t>16:03:41:02:01:2070</t>
  </si>
  <si>
    <t>16:10:40:02:01:0772</t>
  </si>
  <si>
    <t>16:10:12:03:01:5365</t>
  </si>
  <si>
    <t>16:07:41:02:01:1880/0001</t>
  </si>
  <si>
    <t>16:12:42:01:02:1535/0002</t>
  </si>
  <si>
    <t>16:05:41:02:02:2105</t>
  </si>
  <si>
    <t>16:12:42:03:01:0297</t>
  </si>
  <si>
    <t>16:12:41:02:01:1509</t>
  </si>
  <si>
    <t>16:12:41:01:01:1168</t>
  </si>
  <si>
    <t>16:12:41:01:02:2585</t>
  </si>
  <si>
    <t>16:05:08:03:03:0082</t>
  </si>
  <si>
    <t>16:11:41:01:01:2271</t>
  </si>
  <si>
    <t>16:03:41:02:02:3250</t>
  </si>
  <si>
    <t>16:10:41:01:01:2725</t>
  </si>
  <si>
    <t>16:10:02:02:02:1145</t>
  </si>
  <si>
    <t>16:10:40:02:02:1157</t>
  </si>
  <si>
    <t>16:05:41:02:01:1011</t>
  </si>
  <si>
    <t>16:06:04:02:05:5007</t>
  </si>
  <si>
    <t>16:12:40:01:02:1501</t>
  </si>
  <si>
    <t>16:10:08:01:04:2002</t>
  </si>
  <si>
    <t>16:10:11:01:02:2001</t>
  </si>
  <si>
    <t>16:10:41:01:02:1855</t>
  </si>
  <si>
    <t>16:11:40:01:01:0278</t>
  </si>
  <si>
    <t>16:12:01:02:02:5986</t>
  </si>
  <si>
    <t>16:10:41:01:01:2034</t>
  </si>
  <si>
    <t>16:06:02:01:01:1210</t>
  </si>
  <si>
    <t>16:12:42:01:02:1587</t>
  </si>
  <si>
    <t>16:09:10:01:02:1085</t>
  </si>
  <si>
    <t>16:10:41:01:03:0889</t>
  </si>
  <si>
    <t>16:12:01:01:02:8760</t>
  </si>
  <si>
    <t>16:12:40:02:02:0612</t>
  </si>
  <si>
    <t>16:02:40:03:02:0324</t>
  </si>
  <si>
    <t>16:12:40:02:02:0611</t>
  </si>
  <si>
    <t>16:12:40:02:02:0625</t>
  </si>
  <si>
    <t>16:12:40:02:02:0623</t>
  </si>
  <si>
    <t>16:03:02:01:01:1042</t>
  </si>
  <si>
    <t>16:08:08:01:03:1577</t>
  </si>
  <si>
    <t>16:07:10:01:01:1369</t>
  </si>
  <si>
    <t>16:10:05:01:03:2000</t>
  </si>
  <si>
    <t>16:10:05:01:02:2010</t>
  </si>
  <si>
    <t>16:11:05:01:03:7598</t>
  </si>
  <si>
    <t>16:11:01:01:02:1158</t>
  </si>
  <si>
    <t>16:07:06:01:02:2456</t>
  </si>
  <si>
    <t>16:06:41:02:02:1105/0003</t>
  </si>
  <si>
    <t>16:01:40:01:01:2605</t>
  </si>
  <si>
    <t>16:03:40:01:01:0853</t>
  </si>
  <si>
    <t>16:08:40:01:01:0670</t>
  </si>
  <si>
    <t>16:08:42:02:01:0669</t>
  </si>
  <si>
    <t>16:10:41:01:03:0929</t>
  </si>
  <si>
    <t>16:08:08:02:02:1483</t>
  </si>
  <si>
    <t>16:10:40:02:02:0202</t>
  </si>
  <si>
    <t>16:02:41:01:02:1605</t>
  </si>
  <si>
    <t>16:07:07:03:02:0047</t>
  </si>
  <si>
    <t>16:07:07:03:02:0016</t>
  </si>
  <si>
    <t>16:01:05:01:02:5039</t>
  </si>
  <si>
    <t>16:08:01:01:02:0996</t>
  </si>
  <si>
    <t>16:05:11:01:02:0595</t>
  </si>
  <si>
    <t>16:01:07:01:02:9701</t>
  </si>
  <si>
    <t>16:12:41:01:01:0647</t>
  </si>
  <si>
    <t>16:03:41:01:01:2380</t>
  </si>
  <si>
    <t>16:06:41:02:02:0114</t>
  </si>
  <si>
    <t>16:06:42:02:01:0193</t>
  </si>
  <si>
    <t>16:12:40:02:02:2957</t>
  </si>
  <si>
    <t>16:06:41:02:01:0540</t>
  </si>
  <si>
    <t>16:03:40:02:02:1110</t>
  </si>
  <si>
    <t>16:05:41:02:01:3409</t>
  </si>
  <si>
    <t>16:11:07:01:03:1006</t>
  </si>
  <si>
    <t>16:12:01:02:06:3292</t>
  </si>
  <si>
    <t>16:08:09:01:01:2996</t>
  </si>
  <si>
    <t>16:01:40:02:02:1560</t>
  </si>
  <si>
    <t>16:08:41:02:01:0383</t>
  </si>
  <si>
    <t>16:01:41:01:01:1617</t>
  </si>
  <si>
    <t>16:12:41:02:02:1114</t>
  </si>
  <si>
    <t>16:10:41:01:02:1318</t>
  </si>
  <si>
    <t>16:12:42:03:01:2156</t>
  </si>
  <si>
    <t>16:07:41:02:02:0394</t>
  </si>
  <si>
    <t>16:02:41:01:01:3804</t>
  </si>
  <si>
    <t>16:12:01:02:06:6304</t>
  </si>
  <si>
    <t>16:12:42:02:01:1739</t>
  </si>
  <si>
    <t>16:07:02:01:03:1866</t>
  </si>
  <si>
    <t>16:08:42:01:01:0597</t>
  </si>
  <si>
    <t>16:01:01:01:03:7640</t>
  </si>
  <si>
    <t>16:02:41:02:01:0371</t>
  </si>
  <si>
    <t>16:12:01:02:05:4929</t>
  </si>
  <si>
    <t>16:08:04:01:03:0922</t>
  </si>
  <si>
    <t>16:06:42:01:02:1586</t>
  </si>
  <si>
    <t>16:06:05:01:07:5209</t>
  </si>
  <si>
    <t>16:01:01:01:03:4205</t>
  </si>
  <si>
    <t>16:07:05:01:03:4278</t>
  </si>
  <si>
    <t>16:01:41:01:01:1416</t>
  </si>
  <si>
    <t>16:07:02:02:02:1345</t>
  </si>
  <si>
    <t>16:01:04:01:01:1080</t>
  </si>
  <si>
    <t>16:11:12:02:02:1040</t>
  </si>
  <si>
    <t>16:05:41:02:01:1741</t>
  </si>
  <si>
    <t>16:12:42:03:01:2214</t>
  </si>
  <si>
    <t>16:10:41:01:01:1061</t>
  </si>
  <si>
    <t>16:12:01:01:06:5276</t>
  </si>
  <si>
    <t>16:02:41:02:01:0114</t>
  </si>
  <si>
    <t>16:12:42:03:01:0708</t>
  </si>
  <si>
    <t>16:12:01:02:03:9151</t>
  </si>
  <si>
    <t>16:07:02:01:03:1378</t>
  </si>
  <si>
    <t>16:03:41:01:01:2052</t>
  </si>
  <si>
    <t>16:10:41:01:01:0708</t>
  </si>
  <si>
    <t>16:02:41:02:01:0110</t>
  </si>
  <si>
    <t>16:11:41:02:01:2165</t>
  </si>
  <si>
    <t>16:02:41:02:01:0111</t>
  </si>
  <si>
    <t>16:11:41:01:01:2245</t>
  </si>
  <si>
    <t>16:04:06:01:03:1017</t>
  </si>
  <si>
    <t>16:11:41:02:02:4808</t>
  </si>
  <si>
    <t>16:11:41:02:02:0117</t>
  </si>
  <si>
    <t>16:03:40:01:01:0851</t>
  </si>
  <si>
    <t>16:10:40:02:02:0097</t>
  </si>
  <si>
    <t>16:12:42:03:02:0163/0007</t>
  </si>
  <si>
    <t>16:04:06:01:03:1247</t>
  </si>
  <si>
    <t>16:02:41:02:01:0113</t>
  </si>
  <si>
    <t>16:03:41:01:02:1231</t>
  </si>
  <si>
    <t>16:07:40:02:01:0475</t>
  </si>
  <si>
    <t>16:11:09:01:06:7819</t>
  </si>
  <si>
    <t>16:12:42:02:01:0702</t>
  </si>
  <si>
    <t>16:01:08:02:02:1072</t>
  </si>
  <si>
    <t>16:02:41:02:01:0109</t>
  </si>
  <si>
    <t>16:03:41:01:02:1284</t>
  </si>
  <si>
    <t>16:10:41:01:02:2155</t>
  </si>
  <si>
    <t>16:11:41:01:02:1410</t>
  </si>
  <si>
    <t>16:02:41:02:01:0079</t>
  </si>
  <si>
    <t>16:01:05:03:03:5601</t>
  </si>
  <si>
    <t>16:06:41:01:01:0151</t>
  </si>
  <si>
    <t>16:01:40:02:02:1897</t>
  </si>
  <si>
    <t>16:09:42:02:02:0295/0002</t>
  </si>
  <si>
    <t>16:12:01:01:05:7003</t>
  </si>
  <si>
    <t>16:02:41:01:01:0091/0010</t>
  </si>
  <si>
    <t>16:04:41:02:01:1389</t>
  </si>
  <si>
    <t>16:05:41:02:02:1315</t>
  </si>
  <si>
    <t>16:06:42:01:02:0690</t>
  </si>
  <si>
    <t>16:02:41:01:01:0091/0009</t>
  </si>
  <si>
    <t>16:03:41:02:01:1081</t>
  </si>
  <si>
    <t>16:04:40:01:01:1563</t>
  </si>
  <si>
    <t>16:01:07:02:03:0239</t>
  </si>
  <si>
    <t>16:02:41:02:01:0115</t>
  </si>
  <si>
    <t>16:08:42:01:01:0935</t>
  </si>
  <si>
    <t>16:01:40:02:02:0944</t>
  </si>
  <si>
    <t>16:09:41:02:01:1476</t>
  </si>
  <si>
    <t>16:03:40:02:02:0614</t>
  </si>
  <si>
    <t>16:12:42:02:02:0391</t>
  </si>
  <si>
    <t>16:06:42:01:01:0095</t>
  </si>
  <si>
    <t>16:06:41:02:02:1418</t>
  </si>
  <si>
    <t>16:11:08:01:02:1146</t>
  </si>
  <si>
    <t>16:06:07:01:04:5614</t>
  </si>
  <si>
    <t>16:11:41:01:01:1386</t>
  </si>
  <si>
    <t>16:03:40:02:02:0765</t>
  </si>
  <si>
    <t>16:02:41:01:02:2031</t>
  </si>
  <si>
    <t>16:12:02:02:02:3722</t>
  </si>
  <si>
    <t>16:02:41:02:01:0040</t>
  </si>
  <si>
    <t>16:12:02:02:02:4442</t>
  </si>
  <si>
    <t>16:12:42:02:01:1735</t>
  </si>
  <si>
    <t>16:07:41:01:01:6025</t>
  </si>
  <si>
    <t>16:03:41:02:01:0087</t>
  </si>
  <si>
    <t>16:03:02:01:05:0003</t>
  </si>
  <si>
    <t>16:03:41:02:02:0028</t>
  </si>
  <si>
    <t>16:05:41:02:01:1271</t>
  </si>
  <si>
    <t>16:01:02:01:02:6100</t>
  </si>
  <si>
    <t>16:03:41:02:01:0043</t>
  </si>
  <si>
    <t>16:02:41:01:02:2939</t>
  </si>
  <si>
    <t>16:12:42:03:01:1644</t>
  </si>
  <si>
    <t>16:01:41:01:01:1616</t>
  </si>
  <si>
    <t>16:11:05:01:05:1328</t>
  </si>
  <si>
    <t>16:12:01:02:04:8848</t>
  </si>
  <si>
    <t>16:01:05:01:01:1220</t>
  </si>
  <si>
    <t>16:07:06:01:03:1062</t>
  </si>
  <si>
    <t>16:08:40:02:01:2550</t>
  </si>
  <si>
    <t>16:11:41:02:01:2167</t>
  </si>
  <si>
    <t>16:10:06:01:02:1040</t>
  </si>
  <si>
    <t>16:12:01:01:06:5455</t>
  </si>
  <si>
    <t>16:10:40:01:01:0391</t>
  </si>
  <si>
    <t>16:10:40:02:03:1378</t>
  </si>
  <si>
    <t>16:06:41:01:01:1270</t>
  </si>
  <si>
    <t>16:12:01:02:08:3374</t>
  </si>
  <si>
    <t>16:05:41:04:17:0045/0001</t>
  </si>
  <si>
    <t>16:12:01:01:08:3625</t>
  </si>
  <si>
    <t>16:03:02:01:05:1081</t>
  </si>
  <si>
    <t>16:11:40:01:01:1334</t>
  </si>
  <si>
    <t>16:05:41:02:14:0030</t>
  </si>
  <si>
    <t>16:01:40:01:01:2419</t>
  </si>
  <si>
    <t>16:02:41:01:02:1978</t>
  </si>
  <si>
    <t>16:12:42:03:02:0438/0001</t>
  </si>
  <si>
    <t>16:06:08:01:04:2959</t>
  </si>
  <si>
    <t>16:12:41:01:02:1056</t>
  </si>
  <si>
    <t>16:07:05:01:03:3118</t>
  </si>
  <si>
    <t>16:01:07:01:04:5793</t>
  </si>
  <si>
    <t>16:05:41:04:10:0040</t>
  </si>
  <si>
    <t>16:01:02:01:02:4993</t>
  </si>
  <si>
    <t>16:10:12:03:01:5271</t>
  </si>
  <si>
    <t>16:07:41:01:01:4396</t>
  </si>
  <si>
    <t>16:09:10:01:01:1236</t>
  </si>
  <si>
    <t>16:12:40:02:02:3121</t>
  </si>
  <si>
    <t>16:07:05:01:03:5019</t>
  </si>
  <si>
    <t>16:08:42:01:01:1223</t>
  </si>
  <si>
    <t>16:06:07:01:04:1497</t>
  </si>
  <si>
    <t>16:12:41:02:02:3798</t>
  </si>
  <si>
    <t>16:12:42:03:02:1111</t>
  </si>
  <si>
    <t>16:11:07:01:02:8378</t>
  </si>
  <si>
    <t>16:06:41:02:01:0457</t>
  </si>
  <si>
    <t>16:01:40:01:02:2136</t>
  </si>
  <si>
    <t>16:04:41:02:01:3063/0001</t>
  </si>
  <si>
    <t>16:12:40:01:02:1122</t>
  </si>
  <si>
    <t>16:03:13:01:02:5032</t>
  </si>
  <si>
    <t>16:11:40:01:01:1339</t>
  </si>
  <si>
    <t>16:10:12:03:01:9694</t>
  </si>
  <si>
    <t>16:07:41:01:01:0067</t>
  </si>
  <si>
    <t>16:10:08:01:02:5089</t>
  </si>
  <si>
    <t>16:08:09:01:02:5036</t>
  </si>
  <si>
    <t>16:12:01:02:03:8847</t>
  </si>
  <si>
    <t>16:12:41:01:02:2590</t>
  </si>
  <si>
    <t>16:12:40:02:02:2932/0001</t>
  </si>
  <si>
    <t>16:02:41:02:01:1080</t>
  </si>
  <si>
    <t>16:12:01:02:02:4357</t>
  </si>
  <si>
    <t>16:07:41:02:01:2739</t>
  </si>
  <si>
    <t>16:12:40:01:02:1339</t>
  </si>
  <si>
    <t>16:07:41:01:01:5126</t>
  </si>
  <si>
    <t>16:02:40:03:02:0311</t>
  </si>
  <si>
    <t>16:07:02:02:02:1053</t>
  </si>
  <si>
    <t>16:06:01:01:02:1414</t>
  </si>
  <si>
    <t>16:01:03:01:01:0380</t>
  </si>
  <si>
    <t>16:05:11:01:02:2713</t>
  </si>
  <si>
    <t>16:10:04:01:02:5027</t>
  </si>
  <si>
    <t>16:06:42:02:01:0788</t>
  </si>
  <si>
    <t>16:05:41:04:08:0086</t>
  </si>
  <si>
    <t>16:01:40:02:02:1836</t>
  </si>
  <si>
    <t>16:09:03:01:01:1523</t>
  </si>
  <si>
    <t>16:05:41:04:10:0041</t>
  </si>
  <si>
    <t>16:07:05:01:03:3360</t>
  </si>
  <si>
    <t>16:03:41:01:01:1119</t>
  </si>
  <si>
    <t>16:07:41:01:01:0470</t>
  </si>
  <si>
    <t>16:02:41:02:01:0856</t>
  </si>
  <si>
    <t>16:01:08:01:04:1066</t>
  </si>
  <si>
    <t>16:01:40:01:01:0407</t>
  </si>
  <si>
    <t>16:05:08:03:03:5024</t>
  </si>
  <si>
    <t>16:07:06:01:03:4174</t>
  </si>
  <si>
    <t>16:12:01:01:01:5018</t>
  </si>
  <si>
    <t>16:12:01:01:11:4056</t>
  </si>
  <si>
    <t>16:01:40:01:02:2422</t>
  </si>
  <si>
    <t>16:07:41:02:01:1204</t>
  </si>
  <si>
    <t>16:01:40:01:02:2464</t>
  </si>
  <si>
    <t>16:08:06:01:05:1987</t>
  </si>
  <si>
    <t>16:01:07:02:03:5073</t>
  </si>
  <si>
    <t>16:06:06:01:01:5232</t>
  </si>
  <si>
    <t>16:12:01:01:09:5290</t>
  </si>
  <si>
    <t>16:08:40:02:01:1678/0002</t>
  </si>
  <si>
    <t>16:11:01:01:01:7985</t>
  </si>
  <si>
    <t>16:12:40:02:02:0299/0006</t>
  </si>
  <si>
    <t>16:01:02:01:02:4892</t>
  </si>
  <si>
    <t>16:02:08:01:01:4800</t>
  </si>
  <si>
    <t>16:12:42:02:01:1734</t>
  </si>
  <si>
    <t>16:12:41:02:01:0004</t>
  </si>
  <si>
    <t>16:06:42:01:01:0294</t>
  </si>
  <si>
    <t>16:11:09:01:03:5694</t>
  </si>
  <si>
    <t>16:01:03:01:02:0212</t>
  </si>
  <si>
    <t>16:03:11:02:02:5133</t>
  </si>
  <si>
    <t>16:03:13:01:03:1429</t>
  </si>
  <si>
    <t>16:01:01:01:05:5431</t>
  </si>
  <si>
    <t>16:12:01:01:01:4542</t>
  </si>
  <si>
    <t>16:04:40:02:01:2278</t>
  </si>
  <si>
    <t>16:01:08:01:02:0176</t>
  </si>
  <si>
    <t>16:01:03:02:02:0921</t>
  </si>
  <si>
    <t>16:01:08:02:03:1571</t>
  </si>
  <si>
    <t>16:12:42:03:01:0345/0006</t>
  </si>
  <si>
    <t>16:11:41:01:01:0684</t>
  </si>
  <si>
    <t>16:06:40:02:01:0198</t>
  </si>
  <si>
    <t>16:08:40:02:01:1291</t>
  </si>
  <si>
    <t>16:12:42:03:01:0132</t>
  </si>
  <si>
    <t>16:08:04:01:06:0290</t>
  </si>
  <si>
    <t>16:12:42:02:01:1732</t>
  </si>
  <si>
    <t>16:04:41:02:01:3658</t>
  </si>
  <si>
    <t>16:09:03:01:01:3630</t>
  </si>
  <si>
    <t>16:01:40:01:01:0854</t>
  </si>
  <si>
    <t>16:04:05:01:02:0206</t>
  </si>
  <si>
    <t>16:01:41:01:01:0097</t>
  </si>
  <si>
    <t>16:11:41:02:02:4727</t>
  </si>
  <si>
    <t>16:11:41:02:01:1768</t>
  </si>
  <si>
    <t>16:12:42:02:01:1731</t>
  </si>
  <si>
    <t>16:12:42:01:01:1148</t>
  </si>
  <si>
    <t>16:12:41:01:02:2580</t>
  </si>
  <si>
    <t>16:02:41:01:02:1543</t>
  </si>
  <si>
    <t>16:01:40:02:01:1044</t>
  </si>
  <si>
    <t>16:03:07:01:01:2330</t>
  </si>
  <si>
    <t>16:08:41:01:01:1801</t>
  </si>
  <si>
    <t>16:12:01:02:04:6920</t>
  </si>
  <si>
    <t>16:12:42:02:01:1738</t>
  </si>
  <si>
    <t>16:12:01:02:03:5661</t>
  </si>
  <si>
    <t>16:06:42:01:02:0343</t>
  </si>
  <si>
    <t>16:07:41:02:02:2017</t>
  </si>
  <si>
    <t>16:10:41:01:02:1741</t>
  </si>
  <si>
    <t>16:01:40:02:01:1035</t>
  </si>
  <si>
    <t>16:01:03:01:02:5894</t>
  </si>
  <si>
    <t>16:01:40:01:01:2729</t>
  </si>
  <si>
    <t>16:12:01:02:04:3595</t>
  </si>
  <si>
    <t>16:07:08:01:03:4229</t>
  </si>
  <si>
    <t>16:12:01:02:04:6508</t>
  </si>
  <si>
    <t>16:01:41:01:02:0932</t>
  </si>
  <si>
    <t>16:11:11:01:02:5036</t>
  </si>
  <si>
    <t>16:12:01:02:06:5691</t>
  </si>
  <si>
    <t>16:07:41:01:01:5985</t>
  </si>
  <si>
    <t>16:11:41:02:01:2105</t>
  </si>
  <si>
    <t>16:05:41:04:10:0039</t>
  </si>
  <si>
    <t>16:05:42:01:01:0469</t>
  </si>
  <si>
    <t>16:07:10:01:03:2266</t>
  </si>
  <si>
    <t>16:07:41:02:01:2736/0001</t>
  </si>
  <si>
    <t>16:12:01:01:02:3874</t>
  </si>
  <si>
    <t>16:03:41:02:02:2652</t>
  </si>
  <si>
    <t>16:09:41:02:01:0703</t>
  </si>
  <si>
    <t>16:12:42:02:01:1736</t>
  </si>
  <si>
    <t>16:10:12:03:01:5659</t>
  </si>
  <si>
    <t>16:02:41:02:01:0934</t>
  </si>
  <si>
    <t>16:09:42:01:01:1737</t>
  </si>
  <si>
    <t>16:07:41:01:01:1945</t>
  </si>
  <si>
    <t>16:07:41:02:01:0240</t>
  </si>
  <si>
    <t>16:09:10:03:02:0048</t>
  </si>
  <si>
    <t>16:02:41:02:02:0460</t>
  </si>
  <si>
    <t>16:01:40:01:01:0770</t>
  </si>
  <si>
    <t>16:09:40:01:01:1464</t>
  </si>
  <si>
    <t>16:12:41:01:02:0580</t>
  </si>
  <si>
    <t>16:05:41:04:07:0029</t>
  </si>
  <si>
    <t>16:01:40:01:02:3044</t>
  </si>
  <si>
    <t>16:02:02:01:02:5323</t>
  </si>
  <si>
    <t>16:07:41:02:02:0046</t>
  </si>
  <si>
    <t>16:11:01:01:03:0247</t>
  </si>
  <si>
    <t>16:05:06:02:02:1767</t>
  </si>
  <si>
    <t>16:11:41:02:01:2302</t>
  </si>
  <si>
    <t>16:07:41:01:01:6001</t>
  </si>
  <si>
    <t>16:03:08:01:01:1631</t>
  </si>
  <si>
    <t>16:05:05:02:02:3233</t>
  </si>
  <si>
    <t>16:03:41:02:01:1481</t>
  </si>
  <si>
    <t>16:02:07:01:04:1589</t>
  </si>
  <si>
    <t>16:10:42:01:01:1413</t>
  </si>
  <si>
    <t>16:06:40:02:02:0550</t>
  </si>
  <si>
    <t>16:12:40:01:02:0402/0037</t>
  </si>
  <si>
    <t>16:06:03:05:02:1062</t>
  </si>
  <si>
    <t>16:06:41:02:02:1082</t>
  </si>
  <si>
    <t>16:05:11:02:01:7380</t>
  </si>
  <si>
    <t>16:10:40:02:02:0195</t>
  </si>
  <si>
    <t>16:06:42:01:01:1499</t>
  </si>
  <si>
    <t>16:06:40:02:01:0181</t>
  </si>
  <si>
    <t>16:11:04:01:02:1449</t>
  </si>
  <si>
    <t>16:12:41:02:02:3699</t>
  </si>
  <si>
    <t>16:12:41:02:02:2194</t>
  </si>
  <si>
    <t>16:04:41:01:01:1558</t>
  </si>
  <si>
    <t>16:06:41:01:01:0306</t>
  </si>
  <si>
    <t>16:06:42:02:01:1168</t>
  </si>
  <si>
    <t>16:10:40:02:01:0744</t>
  </si>
  <si>
    <t>16:06:40:01:01:0790</t>
  </si>
  <si>
    <t>16:12:01:01:05:0077</t>
  </si>
  <si>
    <t>16:12:01:02:01:3313</t>
  </si>
  <si>
    <t>16:06:40:02:02:0802</t>
  </si>
  <si>
    <t>16:11:04:01:02:5121</t>
  </si>
  <si>
    <t>16:02:07:01:04:1321</t>
  </si>
  <si>
    <t>16:05:41:02:02:4791</t>
  </si>
  <si>
    <t>16:08:41:02:01:0821</t>
  </si>
  <si>
    <t>16:11:40:01:01:1326</t>
  </si>
  <si>
    <t>16:07:05:01:03:1007</t>
  </si>
  <si>
    <t>16:07:41:02:02:2396</t>
  </si>
  <si>
    <t>16:02:07:01:04:1208</t>
  </si>
  <si>
    <t>16:02:02:01:01:4025</t>
  </si>
  <si>
    <t>16:06:41:02:01:0598</t>
  </si>
  <si>
    <t>16:06:03:03:02:7144</t>
  </si>
  <si>
    <t>16:12:40:02:02:3075</t>
  </si>
  <si>
    <t>16:05:41:02:02:6866</t>
  </si>
  <si>
    <t>16:10:12:04:01:5752</t>
  </si>
  <si>
    <t>16:09:03:01:01:4155</t>
  </si>
  <si>
    <t>16:12:41:01:02:0367</t>
  </si>
  <si>
    <t>16:07:40:02:01:0338/0002</t>
  </si>
  <si>
    <t>16:07:40:02:01:0338/0003</t>
  </si>
  <si>
    <t>16:01:03:02:02:0328</t>
  </si>
  <si>
    <t>16:11:03:01:02:1162</t>
  </si>
  <si>
    <t>16:02:41:01:02:0756</t>
  </si>
  <si>
    <t>16:01:40:02:02:1305</t>
  </si>
  <si>
    <t>16:02:01:01:03:5178</t>
  </si>
  <si>
    <t>16:11:05:01:04:1202</t>
  </si>
  <si>
    <t>16:08:40:01:01:0816</t>
  </si>
  <si>
    <t>16:02:41:02:02:0463</t>
  </si>
  <si>
    <t>16:07:41:01:01:1268</t>
  </si>
  <si>
    <t>16:11:41:02:02:4370</t>
  </si>
  <si>
    <t>16:05:41:02:02:9481/0002</t>
  </si>
  <si>
    <t>16:02:03:01:04:5909</t>
  </si>
  <si>
    <t>16:12:40:02:01:2208</t>
  </si>
  <si>
    <t>16:03:08:04:04:0008</t>
  </si>
  <si>
    <t>16:10:02:01:01:1052</t>
  </si>
  <si>
    <t>16:10:41:01:02:0373/0002</t>
  </si>
  <si>
    <t>16:11:41:03:01:1129</t>
  </si>
  <si>
    <t>16:11:41:02:02:0359</t>
  </si>
  <si>
    <t>16:11:41:03:01:0669</t>
  </si>
  <si>
    <t>16:06:42:01:02:0296</t>
  </si>
  <si>
    <t>16:01:02:01:01:5081</t>
  </si>
  <si>
    <t>16:05:41:03:11:0012</t>
  </si>
  <si>
    <t>16:12:40:02:02:2881</t>
  </si>
  <si>
    <t>16:04:41:02:01:3660</t>
  </si>
  <si>
    <t>16:12:40:02:02:2332</t>
  </si>
  <si>
    <t>16:12:41:01:02:2589</t>
  </si>
  <si>
    <t>16:10:40:02:03:0318</t>
  </si>
  <si>
    <t>16:12:02:01:01:0146</t>
  </si>
  <si>
    <t>16:12:01:01:08:4158</t>
  </si>
  <si>
    <t>16:12:42:03:02:1180</t>
  </si>
  <si>
    <t>16:01:08:01:03:1221</t>
  </si>
  <si>
    <t>16:12:01:01:08:5043</t>
  </si>
  <si>
    <t>16:05:01:01:03:1128</t>
  </si>
  <si>
    <t>16:12:01:01:17:4193</t>
  </si>
  <si>
    <t>16:12:42:02:02:0349/0002</t>
  </si>
  <si>
    <t>16:04:05:01:01:1105</t>
  </si>
  <si>
    <t>16:12:01:01:15:5274</t>
  </si>
  <si>
    <t>16:07:41:02:01:2504</t>
  </si>
  <si>
    <t>16:04:41:01:01:5514</t>
  </si>
  <si>
    <t>16:04:41:02:01:3576</t>
  </si>
  <si>
    <t>16:04:09:01:04:1107</t>
  </si>
  <si>
    <t>16:11:41:02:02:2902</t>
  </si>
  <si>
    <t>16:02:41:02:01:0219</t>
  </si>
  <si>
    <t>16:05:41:02:16:0021</t>
  </si>
  <si>
    <t>16:10:11:01:02:2002</t>
  </si>
  <si>
    <t>16:06:42:02:01:0573</t>
  </si>
  <si>
    <t>16:10:11:01:02:2004</t>
  </si>
  <si>
    <t>16:12:02:02:01:3035</t>
  </si>
  <si>
    <t>16:04:41:02:01:1184</t>
  </si>
  <si>
    <t>16:02:41:01:02:2676</t>
  </si>
  <si>
    <t>16:10:11:01:03:2332</t>
  </si>
  <si>
    <t>16:02:41:01:02:1986</t>
  </si>
  <si>
    <t>16:10:11:01:03:3301</t>
  </si>
  <si>
    <t>16:06:41:02:02:0186</t>
  </si>
  <si>
    <t>16:10:04:01:02:5550</t>
  </si>
  <si>
    <t>16:06:40:02:02:0858</t>
  </si>
  <si>
    <t>16:12:42:03:01:0391/0005</t>
  </si>
  <si>
    <t>16:07:41:01:01:1641</t>
  </si>
  <si>
    <t>16:05:06:02:01:0020</t>
  </si>
  <si>
    <t>16:01:08:01:02:0415</t>
  </si>
  <si>
    <t>16:12:40:02:02:2462</t>
  </si>
  <si>
    <t>16:12:01:01:01:3293</t>
  </si>
  <si>
    <t>16:02:41:01:02:1485</t>
  </si>
  <si>
    <t>16:01:08:01:02:5776</t>
  </si>
  <si>
    <t>16:06:10:01:02:0148</t>
  </si>
  <si>
    <t>16:11:01:01:03:8574</t>
  </si>
  <si>
    <t>16:06:05:01:07:5396</t>
  </si>
  <si>
    <t>16:02:41:01:01:2746</t>
  </si>
  <si>
    <t>16:10:01:02:04:2000</t>
  </si>
  <si>
    <t>16:09:10:01:02:0053</t>
  </si>
  <si>
    <t>16:11:40:02:01:0896</t>
  </si>
  <si>
    <t>16:10:01:02:02:2001</t>
  </si>
  <si>
    <t>16:01:08:01:01:0245</t>
  </si>
  <si>
    <t>16:04:01:03:01:1307</t>
  </si>
  <si>
    <t>16:06:04:01:02:1285</t>
  </si>
  <si>
    <t>16:03:41:01:01:0949</t>
  </si>
  <si>
    <t>16:06:06:02:03:1698</t>
  </si>
  <si>
    <t>16:12:42:02:02:0489</t>
  </si>
  <si>
    <t>16:09:02:01:02:1755</t>
  </si>
  <si>
    <t>16:11:41:03:02:0501</t>
  </si>
  <si>
    <t>16:12:42:01:02:1172</t>
  </si>
  <si>
    <t>16:09:42:01:01:0571</t>
  </si>
  <si>
    <t>16:07:41:02:01:2976</t>
  </si>
  <si>
    <t>16:02:07:01:02:1042</t>
  </si>
  <si>
    <t>16:10:12:04:02:2141</t>
  </si>
  <si>
    <t>16:09:10:03:01:1724</t>
  </si>
  <si>
    <t>16:12:42:02:01:1709</t>
  </si>
  <si>
    <t>16:05:40:01:02:0044</t>
  </si>
  <si>
    <t>16:12:02:01:02:3374</t>
  </si>
  <si>
    <t>16:06:42:01:01:1510</t>
  </si>
  <si>
    <t>16:01:40:01:01:0494</t>
  </si>
  <si>
    <t>16:12:01:02:01:4940</t>
  </si>
  <si>
    <t>16:09:10:02:02:1322</t>
  </si>
  <si>
    <t>16:10:01:02:02:3003</t>
  </si>
  <si>
    <t>16:05:41:02:01:0768/0012</t>
  </si>
  <si>
    <t>16:10:41:01:02:1323</t>
  </si>
  <si>
    <t>16:02:41:01:01:4927</t>
  </si>
  <si>
    <t>16:02:08:01:03:1596</t>
  </si>
  <si>
    <t>16:05:41:03:05:0053</t>
  </si>
  <si>
    <t>16:12:01:01:01:0717</t>
  </si>
  <si>
    <t>16:06:41:02:01:0435</t>
  </si>
  <si>
    <t>16:12:40:02:01:1943</t>
  </si>
  <si>
    <t>16:05:41:04:06:0010</t>
  </si>
  <si>
    <t>16:06:42:01:01:0960</t>
  </si>
  <si>
    <t>16:10:01:01:03:3003</t>
  </si>
  <si>
    <t>16:03:41:01:01:0148/0014</t>
  </si>
  <si>
    <t>16:05:41:02:02:0643</t>
  </si>
  <si>
    <t>16:10:12:03:02:6656</t>
  </si>
  <si>
    <t>16:10:40:01:01:0681</t>
  </si>
  <si>
    <t>16:02:03:01:05:1151</t>
  </si>
  <si>
    <t>16:11:40:01:01:0464</t>
  </si>
  <si>
    <t>16:04:41:02:01:1923</t>
  </si>
  <si>
    <t>16:12:01:02:04:3619</t>
  </si>
  <si>
    <t>16:10:02:01:06:4003</t>
  </si>
  <si>
    <t>16:06:42:02:01:0880</t>
  </si>
  <si>
    <t>16:03:08:01:01:1172</t>
  </si>
  <si>
    <t>16:10:42:01:01:0624</t>
  </si>
  <si>
    <t>16:07:000095552</t>
  </si>
  <si>
    <t>16:10:02:02:02:3000</t>
  </si>
  <si>
    <t>16:10:42:01:01:1415</t>
  </si>
  <si>
    <t>16:12:42:03:02:0639</t>
  </si>
  <si>
    <t>16:10:41:01:02:2004</t>
  </si>
  <si>
    <t>16:04:40:02:01:2289</t>
  </si>
  <si>
    <t>16:10:40:02:01:0300</t>
  </si>
  <si>
    <t>16:07:08:01:03:2332</t>
  </si>
  <si>
    <t>16:05:03:01:06:6444</t>
  </si>
  <si>
    <t>16:01:08:01:02:5918</t>
  </si>
  <si>
    <t>16:01:03:02:01:5633</t>
  </si>
  <si>
    <t>16:07:41:02:01:3001</t>
  </si>
  <si>
    <t>16:12:42:01:02:0234</t>
  </si>
  <si>
    <t>16:07:000397097</t>
  </si>
  <si>
    <t>16:10:41:01:02:1827</t>
  </si>
  <si>
    <t>16:01:40:01:01:1651</t>
  </si>
  <si>
    <t>16:02:41:02:01:1076</t>
  </si>
  <si>
    <t>16:01:01:01:01:5712</t>
  </si>
  <si>
    <t>16:01:01:01:02:0136</t>
  </si>
  <si>
    <t>16:05:41:02:01:1052/0002</t>
  </si>
  <si>
    <t>16:01:01:01:03:7037</t>
  </si>
  <si>
    <t>16:01:40:01:01:1460</t>
  </si>
  <si>
    <t>16:03:08:01:05:1490</t>
  </si>
  <si>
    <t>16:01:03:02:01:5260</t>
  </si>
  <si>
    <t>16:11:000006018</t>
  </si>
  <si>
    <t>16:12:01:01:14:3698</t>
  </si>
  <si>
    <t>16:10:40:02:03:1417</t>
  </si>
  <si>
    <t>16:05:06:01:02:0020</t>
  </si>
  <si>
    <t>16:10:40:02:03:0525</t>
  </si>
  <si>
    <t>16:03:01:01:07:5300</t>
  </si>
  <si>
    <t>16:11:41:02:01:2303</t>
  </si>
  <si>
    <t>16:09:03:01:01:4547</t>
  </si>
  <si>
    <t>16:03:41:02:01:0054</t>
  </si>
  <si>
    <t>16:10:41:01:02:2164</t>
  </si>
  <si>
    <t>16:03:41:02:02:0889</t>
  </si>
  <si>
    <t>16:10:41:01:02:1738</t>
  </si>
  <si>
    <t>16:12:01:01:06:4979</t>
  </si>
  <si>
    <t>16:04:41:02:01:1078</t>
  </si>
  <si>
    <t>16:11:40:01:01:0461</t>
  </si>
  <si>
    <t>16:05:41:02:02:6843</t>
  </si>
  <si>
    <t>16:01:40:01:02:2703</t>
  </si>
  <si>
    <t>16:12:40:01:02:1369</t>
  </si>
  <si>
    <t>16:03:40:02:01:0104</t>
  </si>
  <si>
    <t>16:01:40:01:02:3084</t>
  </si>
  <si>
    <t>16:12:01:02:04:6952</t>
  </si>
  <si>
    <t>16:12:02:02:01:3191</t>
  </si>
  <si>
    <t>16:06:04:02:02:5440</t>
  </si>
  <si>
    <t>16:12:42:01:01:1389</t>
  </si>
  <si>
    <t>16:12:40:02:02:2383</t>
  </si>
  <si>
    <t>16:04:05:01:02:1621</t>
  </si>
  <si>
    <t>16:10:12:01:01:7540</t>
  </si>
  <si>
    <t>16:07:41:01:01:6002</t>
  </si>
  <si>
    <t>16:05:41:04:01:0116/0005</t>
  </si>
  <si>
    <t>16:12:42:03:02:0314</t>
  </si>
  <si>
    <t>16:12:01:02:04:0286</t>
  </si>
  <si>
    <t>16:01:05:03:03:5387</t>
  </si>
  <si>
    <t>16:01:40:01:02:1330</t>
  </si>
  <si>
    <t>16:01:05:01:03:5407</t>
  </si>
  <si>
    <t>16:03:40:01:02:0092</t>
  </si>
  <si>
    <t>16:01:08:01:03:0580</t>
  </si>
  <si>
    <t>16:10:40:02:01:0152</t>
  </si>
  <si>
    <t>16:12:41:01:01:0191</t>
  </si>
  <si>
    <t>16:07:41:02:01:2931</t>
  </si>
  <si>
    <t>16:10:41:01:01:2705</t>
  </si>
  <si>
    <t>16:05:41:02:02:3128</t>
  </si>
  <si>
    <t>16:12:40:02:02:3111</t>
  </si>
  <si>
    <t>16:12:01:01:08:4245</t>
  </si>
  <si>
    <t>16:08:42:01:01:0962</t>
  </si>
  <si>
    <t>16:10:08:01:02:9028</t>
  </si>
  <si>
    <t>16:02:41:01:01:0156</t>
  </si>
  <si>
    <t>16:04:41:02:01:3063/0002</t>
  </si>
  <si>
    <t>16:12:42:03:01:0438</t>
  </si>
  <si>
    <t>16:06:41:02:01:0585</t>
  </si>
  <si>
    <t>16:01:08:01:04:1258:0006</t>
  </si>
  <si>
    <t>16:03:41:01:01:0148/0011</t>
  </si>
  <si>
    <t>16:06:04:02:02:1470</t>
  </si>
  <si>
    <t>16:12:40:02:02:1512</t>
  </si>
  <si>
    <t>16:07:41:02:01:2369</t>
  </si>
  <si>
    <t>2026.06.23 15:55</t>
  </si>
  <si>
    <t>2026.06.23 16:00</t>
  </si>
  <si>
    <t>2026.06.23 12:20</t>
  </si>
  <si>
    <t>2026.06.17 08:40</t>
  </si>
  <si>
    <t>2026.06.19 08:40</t>
  </si>
  <si>
    <t>2026.06.19 11:10</t>
  </si>
  <si>
    <t>2026.06.23 16:40</t>
  </si>
  <si>
    <t>2026.06.23 10:30</t>
  </si>
  <si>
    <t>2026.06.23 16:45</t>
  </si>
  <si>
    <t>2026.06.23 16:50</t>
  </si>
  <si>
    <t>2026.06.17 07:00</t>
  </si>
  <si>
    <t>2026.06.17 09:00</t>
  </si>
  <si>
    <t>2026.06.17 09:05</t>
  </si>
  <si>
    <t>2026.06.23 17:00</t>
  </si>
  <si>
    <t>2026.06.23 17:15</t>
  </si>
  <si>
    <t>2026.06.18 16:20</t>
  </si>
  <si>
    <t>2026.06.23 16:15</t>
  </si>
  <si>
    <t>2026.06.17 09:50</t>
  </si>
  <si>
    <t>2026.06.18 11:15</t>
  </si>
  <si>
    <t>2026.06.23 17:25</t>
  </si>
  <si>
    <t>2026.06.17 10:30</t>
  </si>
  <si>
    <t>2026.06.23 17:20</t>
  </si>
  <si>
    <t>2026.06.23 17:30</t>
  </si>
  <si>
    <t>2026.06.12 15:15</t>
  </si>
  <si>
    <t>2026.06.17 11:10</t>
  </si>
  <si>
    <t>2026.06.17 10:55</t>
  </si>
  <si>
    <t>2026.06.17 11:15</t>
  </si>
  <si>
    <t>2026.06.23 17:35</t>
  </si>
  <si>
    <t>2026.06.15 18:15</t>
  </si>
  <si>
    <t>2026.06.22 14:30</t>
  </si>
  <si>
    <t>2026.06.17 11:35</t>
  </si>
  <si>
    <t>2026.06.23 17:45</t>
  </si>
  <si>
    <t>2026.06.17 09:10</t>
  </si>
  <si>
    <t>2026.06.17 11:40</t>
  </si>
  <si>
    <t>2026.06.23 17:55</t>
  </si>
  <si>
    <t>2026.06.23 16:35</t>
  </si>
  <si>
    <t>2026.06.17 11:55</t>
  </si>
  <si>
    <t>2026.06.17 12:20</t>
  </si>
  <si>
    <t>2026.06.17 12:30</t>
  </si>
  <si>
    <t>2026.06.22 17:20</t>
  </si>
  <si>
    <t>2026.06.17 12:45</t>
  </si>
  <si>
    <t>2026.06.17 13:05</t>
  </si>
  <si>
    <t>2026.06.17 13:00</t>
  </si>
  <si>
    <t>2026.06.17 13:40</t>
  </si>
  <si>
    <t>2026.06.17 13:45</t>
  </si>
  <si>
    <t>2026.06.22 09:30</t>
  </si>
  <si>
    <t>2026.06.23 17:05</t>
  </si>
  <si>
    <t>2026.06.17 09:30</t>
  </si>
  <si>
    <t>2026.06.17 14:10</t>
  </si>
  <si>
    <t>2026.06.17 14:15</t>
  </si>
  <si>
    <t>2026.06.17 14:20</t>
  </si>
  <si>
    <t>2026.06.12 09:15</t>
  </si>
  <si>
    <t>2026.06.17 14:25</t>
  </si>
  <si>
    <t>2026.06.17 14:35</t>
  </si>
  <si>
    <t>2026.06.17 14:30</t>
  </si>
  <si>
    <t>2026.06.17 14:40</t>
  </si>
  <si>
    <t>2026.06.22 13:00</t>
  </si>
  <si>
    <t>2026.06.17 10:25</t>
  </si>
  <si>
    <t>2026.06.23 18:35</t>
  </si>
  <si>
    <t>2026.06.23 09:35</t>
  </si>
  <si>
    <t>2026.06.17 15:35</t>
  </si>
  <si>
    <t>2026.06.17 15:40</t>
  </si>
  <si>
    <t>2026.06.17 09:25</t>
  </si>
  <si>
    <t>2026.06.17 10:10</t>
  </si>
  <si>
    <t>2026.06.17 16:20</t>
  </si>
  <si>
    <t>2026.06.17 16:00</t>
  </si>
  <si>
    <t>2026.06.09 15:10</t>
  </si>
  <si>
    <t>2026.06.22 09:20</t>
  </si>
  <si>
    <t>2026.06.17 16:15</t>
  </si>
  <si>
    <t>2026.06.17 16:21</t>
  </si>
  <si>
    <t>2026.06.23 16:30</t>
  </si>
  <si>
    <t>2026.06.17 16:30</t>
  </si>
  <si>
    <t>2026.06.18 17:40</t>
  </si>
  <si>
    <t>2026.06.16 15:30</t>
  </si>
  <si>
    <t>2026.06.17 16:35</t>
  </si>
  <si>
    <t>2026.06.17 17:05</t>
  </si>
  <si>
    <t>2026.06.17 08:35</t>
  </si>
  <si>
    <t>2026.06.17 17:15</t>
  </si>
  <si>
    <t>2026.06.17 15:05</t>
  </si>
  <si>
    <t>2026.06.17 17:20</t>
  </si>
  <si>
    <t>2026.06.17 17:35</t>
  </si>
  <si>
    <t>2026.06.17 17:40</t>
  </si>
  <si>
    <t>2026.06.17 17:55</t>
  </si>
  <si>
    <t>2026.06.23 20:30</t>
  </si>
  <si>
    <t>2026.06.17 14:50</t>
  </si>
  <si>
    <t>2026.06.17 16:10</t>
  </si>
  <si>
    <t>2026.06.23 21:00</t>
  </si>
  <si>
    <t>2026.06.17 18:30</t>
  </si>
  <si>
    <t>2026.06.17 10:15</t>
  </si>
  <si>
    <t>2026.06.24 08:30</t>
  </si>
  <si>
    <t>2026.06.23 11:35</t>
  </si>
  <si>
    <t>2026.06.23 18:10</t>
  </si>
  <si>
    <t>2026.06.17 19:05</t>
  </si>
  <si>
    <t>2026.06.24 08:25</t>
  </si>
  <si>
    <t>2026.06.24 08:45</t>
  </si>
  <si>
    <t>2026.06.24 08:50</t>
  </si>
  <si>
    <t>2026.06.23 14:40</t>
  </si>
  <si>
    <t>2026.06.23 18:00</t>
  </si>
  <si>
    <t>2026.06.17 18:05</t>
  </si>
  <si>
    <t>2026.06.23 16:10</t>
  </si>
  <si>
    <t>2026.06.12 08:50</t>
  </si>
  <si>
    <t>2026.06.24 09:10</t>
  </si>
  <si>
    <t>2026.06.12 11:15</t>
  </si>
  <si>
    <t>2026.06.17 15:50</t>
  </si>
  <si>
    <t>2026.06.24 09:35</t>
  </si>
  <si>
    <t>2026.06.24 09:30</t>
  </si>
  <si>
    <t>2026.06.24 09:45</t>
  </si>
  <si>
    <t>2026.06.24 09:50</t>
  </si>
  <si>
    <t>2026.06.19 10:20</t>
  </si>
  <si>
    <t>2026.06.24 09:55</t>
  </si>
  <si>
    <t>2026.06.24 10:00</t>
  </si>
  <si>
    <t>2026.06.24 10:05</t>
  </si>
  <si>
    <t>2026.06.24 10:10</t>
  </si>
  <si>
    <t>2026.06.24 10:15</t>
  </si>
  <si>
    <t>2026.06.24 10:20</t>
  </si>
  <si>
    <t>2026.06.17 10:05</t>
  </si>
  <si>
    <t>2026.06.24 10:40</t>
  </si>
  <si>
    <t>2026.06.24 10:45</t>
  </si>
  <si>
    <t>2026.06.24 10:50</t>
  </si>
  <si>
    <t>2026.06.24 10:55</t>
  </si>
  <si>
    <t>2026.06.17 15:00</t>
  </si>
  <si>
    <t>2026.06.12 13:05</t>
  </si>
  <si>
    <t>2026.06.24 11:10</t>
  </si>
  <si>
    <t>2026.06.24 11:00</t>
  </si>
  <si>
    <t>2026.06.24 11:05</t>
  </si>
  <si>
    <t>2026.06.16 12:20</t>
  </si>
  <si>
    <t>2026.06.24 11:15</t>
  </si>
  <si>
    <t>2026.06.24 09:05</t>
  </si>
  <si>
    <t>2026.06.24 11:20</t>
  </si>
  <si>
    <t>2026.06.23 10:20</t>
  </si>
  <si>
    <t>2026.06.24 11:30</t>
  </si>
  <si>
    <t>2026.06.24 11:35</t>
  </si>
  <si>
    <t>2026.06.24 08:20</t>
  </si>
  <si>
    <t>2026.06.24 09:25</t>
  </si>
  <si>
    <t>2026.06.24 09:40</t>
  </si>
  <si>
    <t>2026.06.24 11:45</t>
  </si>
  <si>
    <t>2026.06.17 11:50</t>
  </si>
  <si>
    <t>2026.06.17 12:15</t>
  </si>
  <si>
    <t>2026.06.24 11:50</t>
  </si>
  <si>
    <t>2026.06.10 10:00</t>
  </si>
  <si>
    <t>2026.06.17 14:55</t>
  </si>
  <si>
    <t>2026.06.24 11:55</t>
  </si>
  <si>
    <t>2026.06.17 10:50</t>
  </si>
  <si>
    <t>2026.06.24 12:00</t>
  </si>
  <si>
    <t>2026.06.23 16:20</t>
  </si>
  <si>
    <t>2026.06.24 12:05</t>
  </si>
  <si>
    <t>2026.06.17 10:00</t>
  </si>
  <si>
    <t>2026.06.24 12:10</t>
  </si>
  <si>
    <t>2026.06.23 17:10</t>
  </si>
  <si>
    <t>2026.06.24 11:40</t>
  </si>
  <si>
    <t>2026.06.24 12:35</t>
  </si>
  <si>
    <t>2026.06.24 12:15</t>
  </si>
  <si>
    <t>2026.06.17 12:10</t>
  </si>
  <si>
    <t>2026.06.17 09:15</t>
  </si>
  <si>
    <t>2026.06.17 09:45</t>
  </si>
  <si>
    <t>2026.06.24 12:20</t>
  </si>
  <si>
    <t>2026.06.18 08:45</t>
  </si>
  <si>
    <t>2026.06.24 12:23</t>
  </si>
  <si>
    <t>2026.06.23 17:31</t>
  </si>
  <si>
    <t>2026.06.24 12:25</t>
  </si>
  <si>
    <t>2026.06.18 09:30</t>
  </si>
  <si>
    <t>2026.06.24 12:30</t>
  </si>
  <si>
    <t>2026.06.17 09:40</t>
  </si>
  <si>
    <t>2026.06.10 14:50</t>
  </si>
  <si>
    <t>2026.06.18 09:45</t>
  </si>
  <si>
    <t>2026.06.18 10:20</t>
  </si>
  <si>
    <t>2026.06.24 13:15</t>
  </si>
  <si>
    <t>2026.06.24 13:10</t>
  </si>
  <si>
    <t>2026.06.13 12:45</t>
  </si>
  <si>
    <t>2026.06.18 09:55</t>
  </si>
  <si>
    <t>2026.06.24 12:45</t>
  </si>
  <si>
    <t>2026.06.17 17:30</t>
  </si>
  <si>
    <t>2026.06.18 10:00</t>
  </si>
  <si>
    <t>2026.06.18 10:10</t>
  </si>
  <si>
    <t>2026.06.23 16:55</t>
  </si>
  <si>
    <t>2026.06.23 17:40</t>
  </si>
  <si>
    <t>2026.06.18 17:20</t>
  </si>
  <si>
    <t>2026.06.24 13:00</t>
  </si>
  <si>
    <t>2026.06.17 11:00</t>
  </si>
  <si>
    <t>2026.06.24 13:05</t>
  </si>
  <si>
    <t>2026.06.18 10:15</t>
  </si>
  <si>
    <t>2026.06.18 10:05</t>
  </si>
  <si>
    <t>2026.06.11 10:40</t>
  </si>
  <si>
    <t>2026.06.15 11:40</t>
  </si>
  <si>
    <t>2026.06.24 13:20</t>
  </si>
  <si>
    <t>2026.06.17 10:20</t>
  </si>
  <si>
    <t>2026.06.24 13:25</t>
  </si>
  <si>
    <t>2026.06.18 10:25</t>
  </si>
  <si>
    <t>2026.06.18 09:25</t>
  </si>
  <si>
    <t>2026.06.17 09:35</t>
  </si>
  <si>
    <t>2026.06.24 13:35</t>
  </si>
  <si>
    <t>2026.06.18 09:35</t>
  </si>
  <si>
    <t>2026.06.18 10:30</t>
  </si>
  <si>
    <t>2026.06.24 13:40</t>
  </si>
  <si>
    <t>2026.06.17 17:10</t>
  </si>
  <si>
    <t>2026.06.24 13:45</t>
  </si>
  <si>
    <t>2026.06.17 16:50</t>
  </si>
  <si>
    <t>2026.06.17 15:45</t>
  </si>
  <si>
    <t>2026.06.22 16:15</t>
  </si>
  <si>
    <t>2026.06.24 13:50</t>
  </si>
  <si>
    <t>2026.06.18 10:35</t>
  </si>
  <si>
    <t>2026.06.12 14:45</t>
  </si>
  <si>
    <t>2026.06.24 13:55</t>
  </si>
  <si>
    <t>2026.06.18 10:40</t>
  </si>
  <si>
    <t>2026.06.24 14:00</t>
  </si>
  <si>
    <t>2026.06.18 10:45</t>
  </si>
  <si>
    <t>2026.06.24 14:10</t>
  </si>
  <si>
    <t>2026.06.18 10:50</t>
  </si>
  <si>
    <t>2026.06.24 14:15</t>
  </si>
  <si>
    <t>2026.06.18 10:55</t>
  </si>
  <si>
    <t>2026.06.24 14:20</t>
  </si>
  <si>
    <t>2026.06.17 10:45</t>
  </si>
  <si>
    <t>2026.06.18 11:05</t>
  </si>
  <si>
    <t>2026.06.24 14:25</t>
  </si>
  <si>
    <t>2026.06.18 11:10</t>
  </si>
  <si>
    <t>2026.06.17 11:20</t>
  </si>
  <si>
    <t>2026.06.24 14:30</t>
  </si>
  <si>
    <t>2026.06.24 14:35</t>
  </si>
  <si>
    <t>2026.06.18 11:20</t>
  </si>
  <si>
    <t>2026.06.18 11:00</t>
  </si>
  <si>
    <t>2026.06.18 11:25</t>
  </si>
  <si>
    <t>2026.06.24 14:55</t>
  </si>
  <si>
    <t>2026.06.24 14:40</t>
  </si>
  <si>
    <t>2026.06.19 11:18</t>
  </si>
  <si>
    <t>2026.06.18 11:30</t>
  </si>
  <si>
    <t>2026.06.22 18:27</t>
  </si>
  <si>
    <t>2026.06.24 14:50</t>
  </si>
  <si>
    <t>2026.06.24 13:31</t>
  </si>
  <si>
    <t>2026.06.18 11:45</t>
  </si>
  <si>
    <t>2026.06.18 11:50</t>
  </si>
  <si>
    <t>2026.06.17 16:05</t>
  </si>
  <si>
    <t>2026.06.18 11:55</t>
  </si>
  <si>
    <t>2026.06.24 13:16</t>
  </si>
  <si>
    <t>2026.06.23 10:05</t>
  </si>
  <si>
    <t>2026.06.24 15:00</t>
  </si>
  <si>
    <t>2026.06.18 12:00</t>
  </si>
  <si>
    <t>2026.06.11 12:50</t>
  </si>
  <si>
    <t>2026.06.18 12:05</t>
  </si>
  <si>
    <t>2026.06.24 15:05</t>
  </si>
  <si>
    <t>2026.06.18 12:15</t>
  </si>
  <si>
    <t>2026.06.24 15:10</t>
  </si>
  <si>
    <t>2026.06.11 14:00</t>
  </si>
  <si>
    <t>2026.06.18 12:20</t>
  </si>
  <si>
    <t>2026.06.24 15:25</t>
  </si>
  <si>
    <t>2026.06.18 12:25</t>
  </si>
  <si>
    <t>2026.06.24 15:15</t>
  </si>
  <si>
    <t>2026.06.18 12:30</t>
  </si>
  <si>
    <t>2026.06.24 15:20</t>
  </si>
  <si>
    <t>2026.06.18 14:10</t>
  </si>
  <si>
    <t>2026.06.18 14:15</t>
  </si>
  <si>
    <t>2026.06.24 15:30</t>
  </si>
  <si>
    <t>2026.06.18 13:10</t>
  </si>
  <si>
    <t>2026.06.18 09:20</t>
  </si>
  <si>
    <t>2026.06.18 11:35</t>
  </si>
  <si>
    <t>2026.06.18 13:40</t>
  </si>
  <si>
    <t>2026.06.24 15:45</t>
  </si>
  <si>
    <t>2026.06.23 12:15</t>
  </si>
  <si>
    <t>2026.06.18 13:50</t>
  </si>
  <si>
    <t>2026.06.18 13:55</t>
  </si>
  <si>
    <t>2026.06.19 10:55</t>
  </si>
  <si>
    <t>2026.06.24 15:50</t>
  </si>
  <si>
    <t>2026.06.12 09:35</t>
  </si>
  <si>
    <t>2026.06.18 14:20</t>
  </si>
  <si>
    <t>2026.06.22 14:35</t>
  </si>
  <si>
    <t>2026.06.24 16:00</t>
  </si>
  <si>
    <t>2026.06.18 14:05</t>
  </si>
  <si>
    <t>2026.06.24 16:05</t>
  </si>
  <si>
    <t>2026.06.18 14:35</t>
  </si>
  <si>
    <t>2026.06.18 14:40</t>
  </si>
  <si>
    <t>2026.06.24 16:10</t>
  </si>
  <si>
    <t>2026.06.18 13:20</t>
  </si>
  <si>
    <t>2026.06.18 14:45</t>
  </si>
  <si>
    <t>2026.06.24 09:15</t>
  </si>
  <si>
    <t>2026.06.18 14:50</t>
  </si>
  <si>
    <t>2026.06.18 14:55</t>
  </si>
  <si>
    <t>2026.06.18 09:40</t>
  </si>
  <si>
    <t>2026.06.24 16:20</t>
  </si>
  <si>
    <t>2026.06.24 16:25</t>
  </si>
  <si>
    <t>2026.06.18 15:05</t>
  </si>
  <si>
    <t>2026.06.18 15:10</t>
  </si>
  <si>
    <t>2026.06.18 15:15</t>
  </si>
  <si>
    <t>2026.06.18 15:00</t>
  </si>
  <si>
    <t>2026.06.24 16:30</t>
  </si>
  <si>
    <t>2026.06.18 15:20</t>
  </si>
  <si>
    <t>2026.06.24 08:35</t>
  </si>
  <si>
    <t>2026.06.15 16:30</t>
  </si>
  <si>
    <t>2026.06.22 09:35</t>
  </si>
  <si>
    <t>2026.06.18 15:30</t>
  </si>
  <si>
    <t>2026.06.24 16:40</t>
  </si>
  <si>
    <t>2026.06.18 15:35</t>
  </si>
  <si>
    <t>2026.06.24 16:45</t>
  </si>
  <si>
    <t>2026.06.18 15:45</t>
  </si>
  <si>
    <t>2026.06.24 16:50</t>
  </si>
  <si>
    <t>2026.06.18 15:50</t>
  </si>
  <si>
    <t>2026.06.18 15:55</t>
  </si>
  <si>
    <t>2026.06.24 01:00</t>
  </si>
  <si>
    <t>2026.06.18 16:30</t>
  </si>
  <si>
    <t>2026.06.24 17:00</t>
  </si>
  <si>
    <t>2026.06.24 11:25</t>
  </si>
  <si>
    <t>2026.06.24 17:30</t>
  </si>
  <si>
    <t>2026.06.24 17:05</t>
  </si>
  <si>
    <t>2026.06.18 16:00</t>
  </si>
  <si>
    <t>2026.06.18 16:05</t>
  </si>
  <si>
    <t>2026.06.16 10:45</t>
  </si>
  <si>
    <t>2026.06.18 16:10</t>
  </si>
  <si>
    <t>2026.06.24 17:10</t>
  </si>
  <si>
    <t>2026.06.11 17:30</t>
  </si>
  <si>
    <t>2026.06.24 17:15</t>
  </si>
  <si>
    <t>2026.06.24 15:55</t>
  </si>
  <si>
    <t>2026.06.24 17:20</t>
  </si>
  <si>
    <t>2026.06.24 09:00</t>
  </si>
  <si>
    <t>2026.06.24 09:20</t>
  </si>
  <si>
    <t>2026.06.23 15:30</t>
  </si>
  <si>
    <t>2026.06.23 11:45</t>
  </si>
  <si>
    <t>2026.06.24 17:25</t>
  </si>
  <si>
    <t>2026.06.18 16:25</t>
  </si>
  <si>
    <t>2026.06.24 16:35</t>
  </si>
  <si>
    <t>2026.06.20 10:25</t>
  </si>
  <si>
    <t>2026.06.18 16:35</t>
  </si>
  <si>
    <t>2026.06.18 08:55</t>
  </si>
  <si>
    <t>2026.06.24 18:05</t>
  </si>
  <si>
    <t>2026.06.18 16:40</t>
  </si>
  <si>
    <t>2026.06.20 09:55</t>
  </si>
  <si>
    <t>2026.06.18 13:05</t>
  </si>
  <si>
    <t>2026.06.17 13:20</t>
  </si>
  <si>
    <t>2026.06.24 17:45</t>
  </si>
  <si>
    <t>2026.06.17 13:15</t>
  </si>
  <si>
    <t>2026.06.24 17:50</t>
  </si>
  <si>
    <t>2026.06.18 16:50</t>
  </si>
  <si>
    <t>2026.06.23 19:25</t>
  </si>
  <si>
    <t>2026.06.23 09:45</t>
  </si>
  <si>
    <t>2026.06.24 17:55</t>
  </si>
  <si>
    <t>2026.06.23 18:20</t>
  </si>
  <si>
    <t>2026.06.24 18:00</t>
  </si>
  <si>
    <t>2026.06.18 17:00</t>
  </si>
  <si>
    <t>2026.06.18 17:05</t>
  </si>
  <si>
    <t>2026.06.23 10:50</t>
  </si>
  <si>
    <t>2026.06.18 17:10</t>
  </si>
  <si>
    <t>2026.06.24 18:15</t>
  </si>
  <si>
    <t>2026.06.18 17:15</t>
  </si>
  <si>
    <t>2026.06.24 18:25</t>
  </si>
  <si>
    <t>2026.06.24 18:35</t>
  </si>
  <si>
    <t>2026.06.18 17:35</t>
  </si>
  <si>
    <t>2026.06.24 14:05</t>
  </si>
  <si>
    <t>2026.06.22 16:20</t>
  </si>
  <si>
    <t>2026.06.17 15:15</t>
  </si>
  <si>
    <t>2026.06.17 08:25</t>
  </si>
  <si>
    <t>2026.06.18 17:55</t>
  </si>
  <si>
    <t>2026.06.17 20:45</t>
  </si>
  <si>
    <t>2026.06.24 18:59</t>
  </si>
  <si>
    <t>2026.06.24 19:00</t>
  </si>
  <si>
    <t>2026.06.11 11:55</t>
  </si>
  <si>
    <t>2026.06.18 18:00</t>
  </si>
  <si>
    <t>2026.06.18 18:05</t>
  </si>
  <si>
    <t>2026.06.23 15:20</t>
  </si>
  <si>
    <t>2026.06.10 13:40</t>
  </si>
  <si>
    <t>2026.06.18 18:10</t>
  </si>
  <si>
    <t>2026.06.10 19:25</t>
  </si>
  <si>
    <t>2026.06.18 18:15</t>
  </si>
  <si>
    <t>2026.06.18 18:20</t>
  </si>
  <si>
    <t>2026.06.24 17:35</t>
  </si>
  <si>
    <t>2026.06.18 18:25</t>
  </si>
  <si>
    <t>2026.06.16 10:40</t>
  </si>
  <si>
    <t>2026.06.18 18:35</t>
  </si>
  <si>
    <t>2026.06.11 08:40</t>
  </si>
  <si>
    <t>2026.06.11 21:25</t>
  </si>
  <si>
    <t>2026.06.17 13:30</t>
  </si>
  <si>
    <t>2026.06.17 21:30</t>
  </si>
  <si>
    <t>2026.06.17 16:42</t>
  </si>
  <si>
    <t>2026.06.23 16:05</t>
  </si>
  <si>
    <t>2026.06.11 14:25</t>
  </si>
  <si>
    <t>2026.06.17 15:55</t>
  </si>
  <si>
    <t>2026.06.24 17:40</t>
  </si>
  <si>
    <t>2026.06.24 14:45</t>
  </si>
  <si>
    <t>2026.06.18 19:00</t>
  </si>
  <si>
    <t>2026.06.12 09:40</t>
  </si>
  <si>
    <t>2026.06.17 10:40</t>
  </si>
  <si>
    <t>2026.06.18 19:25</t>
  </si>
  <si>
    <t>2026.06.12 09:00</t>
  </si>
  <si>
    <t>2026.06.12 09:05</t>
  </si>
  <si>
    <t>2026.06.12 09:10</t>
  </si>
  <si>
    <t>2026.06.18 19:30</t>
  </si>
  <si>
    <t>2026.06.12 09:25</t>
  </si>
  <si>
    <t>2026.06.12 08:45</t>
  </si>
  <si>
    <t>2026.06.12 09:45</t>
  </si>
  <si>
    <t>2026.06.24 21:25</t>
  </si>
  <si>
    <t>2026.06.12 09:50</t>
  </si>
  <si>
    <t>2026.06.11 13:35</t>
  </si>
  <si>
    <t>2026.06.18 19:45</t>
  </si>
  <si>
    <t>2026.06.16 16:55</t>
  </si>
  <si>
    <t>2026.06.24 21:40</t>
  </si>
  <si>
    <t>2026.06.12 10:00</t>
  </si>
  <si>
    <t>2026.06.12 11:05</t>
  </si>
  <si>
    <t>2026.06.12 10:05</t>
  </si>
  <si>
    <t>2026.06.23 20:45</t>
  </si>
  <si>
    <t>2026.06.17 11:45</t>
  </si>
  <si>
    <t>2026.06.23 16:25</t>
  </si>
  <si>
    <t>2026.06.12 10:15</t>
  </si>
  <si>
    <t>2026.06.24 21:55</t>
  </si>
  <si>
    <t>2026.06.12 10:30</t>
  </si>
  <si>
    <t>2026.06.12 10:35</t>
  </si>
  <si>
    <t>2026.06.17 16:51</t>
  </si>
  <si>
    <t>2026.06.24 22:15</t>
  </si>
  <si>
    <t>2026.06.12 10:50</t>
  </si>
  <si>
    <t>2026.06.12 10:55</t>
  </si>
  <si>
    <t>2026.06.18 08:40</t>
  </si>
  <si>
    <t>2026.06.12 11:00</t>
  </si>
  <si>
    <t>2026.06.25 09:25</t>
  </si>
  <si>
    <t>2026.06.18 19:10</t>
  </si>
  <si>
    <t>2026.06.24 23:15</t>
  </si>
  <si>
    <t>2026.06.12 11:20</t>
  </si>
  <si>
    <t>2026.06.24 23:30</t>
  </si>
  <si>
    <t>2026.06.18 20:45</t>
  </si>
  <si>
    <t>2026.06.09 15:55</t>
  </si>
  <si>
    <t>2026.06.12 11:35</t>
  </si>
  <si>
    <t>2026.06.18 21:00</t>
  </si>
  <si>
    <t>2026.06.25 09:30</t>
  </si>
  <si>
    <t>2026.06.25 07:30</t>
  </si>
  <si>
    <t>2026.06.25 07:45</t>
  </si>
  <si>
    <t>2026.06.11 21:30</t>
  </si>
  <si>
    <t>2026.06.12 11:45</t>
  </si>
  <si>
    <t>2026.06.19 15:10</t>
  </si>
  <si>
    <t>2026.06.17 14:45</t>
  </si>
  <si>
    <t>2026.06.25 08:25</t>
  </si>
  <si>
    <t>2026.06.23 18:05</t>
  </si>
  <si>
    <t>2026.06.23 18:25</t>
  </si>
  <si>
    <t>2026.06.22 12:25</t>
  </si>
  <si>
    <t>2026.06.25 08:30</t>
  </si>
  <si>
    <t>2026.06.12 11:50</t>
  </si>
  <si>
    <t>2026.06.18 09:00</t>
  </si>
  <si>
    <t>2026.06.25 08:45</t>
  </si>
  <si>
    <t>2026.06.25 08:55</t>
  </si>
  <si>
    <t>2026.06.22 13:11</t>
  </si>
  <si>
    <t>2026.06.25 09:00</t>
  </si>
  <si>
    <t>2026.06.11 10:25</t>
  </si>
  <si>
    <t>2026.06.12 12:05</t>
  </si>
  <si>
    <t>2026.06.12 13:45</t>
  </si>
  <si>
    <t>2026.06.25 09:05</t>
  </si>
  <si>
    <t>2026.06.24 10:30</t>
  </si>
  <si>
    <t>2026.06.08 11:15</t>
  </si>
  <si>
    <t>2026.06.12 12:10</t>
  </si>
  <si>
    <t>2026.06.25 09:10</t>
  </si>
  <si>
    <t>2026.06.25 09:15</t>
  </si>
  <si>
    <t>2026.06.25 09:20</t>
  </si>
  <si>
    <t>2026.06.19 17:10</t>
  </si>
  <si>
    <t>2026.06.22 12:55</t>
  </si>
  <si>
    <t>2026.06.25 09:35</t>
  </si>
  <si>
    <t>2026.06.25 09:40</t>
  </si>
  <si>
    <t>2026.06.16 15:50</t>
  </si>
  <si>
    <t>2026.06.12 15:20</t>
  </si>
  <si>
    <t>2026.06.25 09:45</t>
  </si>
  <si>
    <t>2026.06.18 22:40</t>
  </si>
  <si>
    <t>2026.06.19 09:20</t>
  </si>
  <si>
    <t>2026.06.25 09:50</t>
  </si>
  <si>
    <t>2026.06.15 12:05</t>
  </si>
  <si>
    <t>2026.06.22 11:25</t>
  </si>
  <si>
    <t>2026.06.25 09:55</t>
  </si>
  <si>
    <t>2026.06.24 20:40</t>
  </si>
  <si>
    <t>2026.06.25 10:00</t>
  </si>
  <si>
    <t>2026.06.12 14:00</t>
  </si>
  <si>
    <t>2026.06.25 10:05</t>
  </si>
  <si>
    <t>2026.06.12 14:15</t>
  </si>
  <si>
    <t>2026.06.25 10:50</t>
  </si>
  <si>
    <t>2026.06.25 10:10</t>
  </si>
  <si>
    <t>2026.06.12 13:50</t>
  </si>
  <si>
    <t>2026.06.25 10:15</t>
  </si>
  <si>
    <t>2026.06.16 15:15</t>
  </si>
  <si>
    <t>2026.06.18 13:37</t>
  </si>
  <si>
    <t>2026.06.25 10:20</t>
  </si>
  <si>
    <t>2026.06.12 15:25</t>
  </si>
  <si>
    <t>2026.06.15 11:10</t>
  </si>
  <si>
    <t>2026.06.19 06:05</t>
  </si>
  <si>
    <t>2026.06.19 09:25</t>
  </si>
  <si>
    <t>2026.06.25 10:25</t>
  </si>
  <si>
    <t>2026.06.15 15:10</t>
  </si>
  <si>
    <t>2026.06.19 08:15</t>
  </si>
  <si>
    <t>2026.06.12 14:50</t>
  </si>
  <si>
    <t>2026.06.19 08:25</t>
  </si>
  <si>
    <t>2026.06.25 10:35</t>
  </si>
  <si>
    <t>2026.06.25 10:30</t>
  </si>
  <si>
    <t>2026.06.16 15:40</t>
  </si>
  <si>
    <t>2026.06.23 11:55</t>
  </si>
  <si>
    <t>2026.06.19 08:55</t>
  </si>
  <si>
    <t>2026.06.25 10:40</t>
  </si>
  <si>
    <t>2026.06.12 15:10</t>
  </si>
  <si>
    <t>2026.06.19 09:05</t>
  </si>
  <si>
    <t>2026.06.17 09:20</t>
  </si>
  <si>
    <t>2026.06.25 10:42</t>
  </si>
  <si>
    <t>2026.06.19 09:10</t>
  </si>
  <si>
    <t>2026.06.12 17:00</t>
  </si>
  <si>
    <t>2026.06.25 10:45</t>
  </si>
  <si>
    <t>2026.06.23 10:55</t>
  </si>
  <si>
    <t>2026.06.19 09:15</t>
  </si>
  <si>
    <t>2026.06.25 12:00</t>
  </si>
  <si>
    <t>2026.06.08 18:15</t>
  </si>
  <si>
    <t>2026.06.23 09:05</t>
  </si>
  <si>
    <t>2026.06.25 10:53</t>
  </si>
  <si>
    <t>2026.06.19 09:30</t>
  </si>
  <si>
    <t>2026.06.19 11:05</t>
  </si>
  <si>
    <t>2026.06.25 10:55</t>
  </si>
  <si>
    <t>2026.06.19 09:35</t>
  </si>
  <si>
    <t>2026.06.12 15:35</t>
  </si>
  <si>
    <t>2026.06.19 09:40</t>
  </si>
  <si>
    <t>2026.06.25 11:00</t>
  </si>
  <si>
    <t>2026.06.25 10:12</t>
  </si>
  <si>
    <t>2026.06.19 09:50</t>
  </si>
  <si>
    <t>2026.06.17 18:00</t>
  </si>
  <si>
    <t>2026.06.25 11:05</t>
  </si>
  <si>
    <t>2026.06.19 09:55</t>
  </si>
  <si>
    <t>2026.06.12 15:55</t>
  </si>
  <si>
    <t>2026.06.25 11:10</t>
  </si>
  <si>
    <t>2026.06.12 10:10</t>
  </si>
  <si>
    <t>2026.06.12 16:00</t>
  </si>
  <si>
    <t>2026.06.19 10:00</t>
  </si>
  <si>
    <t>2026.06.25 11:15</t>
  </si>
  <si>
    <t>2026.06.19 10:05</t>
  </si>
  <si>
    <t>2026.06.12 16:10</t>
  </si>
  <si>
    <t>2026.06.19 10:10</t>
  </si>
  <si>
    <t>2026.06.25 11:20</t>
  </si>
  <si>
    <t>2026.06.19 10:15</t>
  </si>
  <si>
    <t>2026.06.12 16:15</t>
  </si>
  <si>
    <t>2026.06.25 11:25</t>
  </si>
  <si>
    <t>2026.06.12 16:20</t>
  </si>
  <si>
    <t>2026.06.19 10:25</t>
  </si>
  <si>
    <t>2026.06.25 11:30</t>
  </si>
  <si>
    <t>2026.06.08 10:35</t>
  </si>
  <si>
    <t>2026.06.19 10:30</t>
  </si>
  <si>
    <t>2026.06.12 16:30</t>
  </si>
  <si>
    <t>2026.06.25 11:35</t>
  </si>
  <si>
    <t>2026.06.12 16:35</t>
  </si>
  <si>
    <t>2026.06.12 16:55</t>
  </si>
  <si>
    <t>2026.06.19 10:40</t>
  </si>
  <si>
    <t>2026.06.18 14:00</t>
  </si>
  <si>
    <t>2026.06.25 11:40</t>
  </si>
  <si>
    <t>2026.06.19 10:45</t>
  </si>
  <si>
    <t>2026.06.25 11:45</t>
  </si>
  <si>
    <t>2026.06.19 10:50</t>
  </si>
  <si>
    <t>2026.06.12 16:40</t>
  </si>
  <si>
    <t>2026.06.25 11:50</t>
  </si>
  <si>
    <t>2026.06.12 17:20</t>
  </si>
  <si>
    <t>2026.06.25 11:55</t>
  </si>
  <si>
    <t>2026.06.19 11:00</t>
  </si>
  <si>
    <t>2026.06.25 12:05</t>
  </si>
  <si>
    <t>2026.06.12 11:10</t>
  </si>
  <si>
    <t>2026.06.25 12:10</t>
  </si>
  <si>
    <t>2026.06.19 11:25</t>
  </si>
  <si>
    <t>2026.06.19 09:45</t>
  </si>
  <si>
    <t>2026.06.19 11:30</t>
  </si>
  <si>
    <t>2026.06.18 12:50</t>
  </si>
  <si>
    <t>2026.06.25 12:15</t>
  </si>
  <si>
    <t>2026.06.19 11:35</t>
  </si>
  <si>
    <t>2026.06.12 17:10</t>
  </si>
  <si>
    <t>2026.06.19 11:40</t>
  </si>
  <si>
    <t>2026.06.12 17:15</t>
  </si>
  <si>
    <t>2026.06.19 11:45</t>
  </si>
  <si>
    <t>2026.06.25 12:20</t>
  </si>
  <si>
    <t>2026.06.25 12:25</t>
  </si>
  <si>
    <t>2026.06.19 11:55</t>
  </si>
  <si>
    <t>2026.06.19 12:00</t>
  </si>
  <si>
    <t>2026.06.19 12:05</t>
  </si>
  <si>
    <t>2026.06.09 16:10</t>
  </si>
  <si>
    <t>2026.06.24 15:35</t>
  </si>
  <si>
    <t>2026.06.24 12:55</t>
  </si>
  <si>
    <t>2026.06.19 12:10</t>
  </si>
  <si>
    <t>2026.06.25 12:35</t>
  </si>
  <si>
    <t>2026.06.19 11:50</t>
  </si>
  <si>
    <t>2026.06.12 17:45</t>
  </si>
  <si>
    <t>2026.06.19 12:15</t>
  </si>
  <si>
    <t>2026.06.19 12:20</t>
  </si>
  <si>
    <t>2026.06.25 12:45</t>
  </si>
  <si>
    <t>2026.06.25 13:45</t>
  </si>
  <si>
    <t>2026.06.19 12:30</t>
  </si>
  <si>
    <t>2026.06.25 12:55</t>
  </si>
  <si>
    <t>2026.06.16 10:25</t>
  </si>
  <si>
    <t>2026.06.25 13:00</t>
  </si>
  <si>
    <t>2026.06.19 13:35</t>
  </si>
  <si>
    <t>2026.06.25 13:05</t>
  </si>
  <si>
    <t>2026.06.12 18:20</t>
  </si>
  <si>
    <t>2026.06.25 13:20</t>
  </si>
  <si>
    <t>2026.06.25 13:25</t>
  </si>
  <si>
    <t>2026.06.19 13:00</t>
  </si>
  <si>
    <t>2026.06.10 10:50</t>
  </si>
  <si>
    <t>2026.06.25 13:30</t>
  </si>
  <si>
    <t>2026.06.25 13:35</t>
  </si>
  <si>
    <t>2026.06.25 13:50</t>
  </si>
  <si>
    <t>2026.06.19 13:40</t>
  </si>
  <si>
    <t>2026.06.25 13:55</t>
  </si>
  <si>
    <t>2026.06.19 13:50</t>
  </si>
  <si>
    <t>2026.06.19 13:55</t>
  </si>
  <si>
    <t>2026.06.25 14:00</t>
  </si>
  <si>
    <t>2026.06.15 16:20</t>
  </si>
  <si>
    <t>2026.06.15 13:15</t>
  </si>
  <si>
    <t>2026.06.19 14:00</t>
  </si>
  <si>
    <t>2026.06.25 14:05</t>
  </si>
  <si>
    <t>2026.06.25 14:10</t>
  </si>
  <si>
    <t>2026.06.19 14:10</t>
  </si>
  <si>
    <t>2026.06.19 15:40</t>
  </si>
  <si>
    <t>2026.06.19 14:15</t>
  </si>
  <si>
    <t>2026.06.19 14:20</t>
  </si>
  <si>
    <t>2026.06.25 14:20</t>
  </si>
  <si>
    <t>2026.06.18 16:55</t>
  </si>
  <si>
    <t>2026.06.25 14:25</t>
  </si>
  <si>
    <t>2026.06.19 14:35</t>
  </si>
  <si>
    <t>2026.06.17 10:35</t>
  </si>
  <si>
    <t>2026.06.25 14:30</t>
  </si>
  <si>
    <t>2026.06.19 14:40</t>
  </si>
  <si>
    <t>2026.06.25 15:15</t>
  </si>
  <si>
    <t>2026.06.25 14:35</t>
  </si>
  <si>
    <t>2026.06.19 14:45</t>
  </si>
  <si>
    <t>2026.06.17 08:50</t>
  </si>
  <si>
    <t>2026.06.25 14:40</t>
  </si>
  <si>
    <t>2026.06.09 11:40</t>
  </si>
  <si>
    <t>2026.06.19 10:56</t>
  </si>
  <si>
    <t>2026.06.10 09:35</t>
  </si>
  <si>
    <t>2026.06.18 13:45</t>
  </si>
  <si>
    <t>2026.06.23 11:25</t>
  </si>
  <si>
    <t>2026.06.19 14:50</t>
  </si>
  <si>
    <t>2026.06.10 09:45</t>
  </si>
  <si>
    <t>2026.06.23 17:50</t>
  </si>
  <si>
    <t>2026.06.19 14:55</t>
  </si>
  <si>
    <t>2026.06.25 14:45</t>
  </si>
  <si>
    <t>2026.06.19 15:00</t>
  </si>
  <si>
    <t>2026.06.25 14:50</t>
  </si>
  <si>
    <t>2026.06.19 15:05</t>
  </si>
  <si>
    <t>2026.06.17 12:55</t>
  </si>
  <si>
    <t>2026.06.15 12:00</t>
  </si>
  <si>
    <t>2026.06.25 14:55</t>
  </si>
  <si>
    <t>2026.06.15 14:20</t>
  </si>
  <si>
    <t>2026.06.19 15:15</t>
  </si>
  <si>
    <t>2026.06.17 12:05</t>
  </si>
  <si>
    <t>2026.06.25 15:00</t>
  </si>
  <si>
    <t>2026.06.19 15:20</t>
  </si>
  <si>
    <t>2026.06.25 15:05</t>
  </si>
  <si>
    <t>2026.06.19 15:25</t>
  </si>
  <si>
    <t>2026.06.10 13:25</t>
  </si>
  <si>
    <t>2026.06.19 15:30</t>
  </si>
  <si>
    <t>2026.06.25 15:10</t>
  </si>
  <si>
    <t>2026.06.25 08:35</t>
  </si>
  <si>
    <t>2026.06.19 15:35</t>
  </si>
  <si>
    <t>2026.06.12 21:40</t>
  </si>
  <si>
    <t>2026.06.10 22:00</t>
  </si>
  <si>
    <t>2026.06.14 14:25</t>
  </si>
  <si>
    <t>2026.06.19 15:50</t>
  </si>
  <si>
    <t>2026.06.25 15:20</t>
  </si>
  <si>
    <t>2026.06.19 15:55</t>
  </si>
  <si>
    <t>2026.06.25 15:25</t>
  </si>
  <si>
    <t>2026.06.15 09:00</t>
  </si>
  <si>
    <t>2026.06.15 13:35</t>
  </si>
  <si>
    <t>2026.06.25 15:30</t>
  </si>
  <si>
    <t>2026.06.15 09:05</t>
  </si>
  <si>
    <t>2026.06.19 16:00</t>
  </si>
  <si>
    <t>2026.06.13 09:20</t>
  </si>
  <si>
    <t>2026.06.13 09:25</t>
  </si>
  <si>
    <t>2026.06.13 10:05</t>
  </si>
  <si>
    <t>2026.06.13 10:10</t>
  </si>
  <si>
    <t>2026.06.19 16:05</t>
  </si>
  <si>
    <t>2026.06.16 12:05</t>
  </si>
  <si>
    <t>2026.06.13 10:35</t>
  </si>
  <si>
    <t>2026.06.25 15:35</t>
  </si>
  <si>
    <t>2026.06.19 16:10</t>
  </si>
  <si>
    <t>2026.06.13 10:40</t>
  </si>
  <si>
    <t>2026.06.13 10:50</t>
  </si>
  <si>
    <t>2026.06.18 21:05</t>
  </si>
  <si>
    <t>2026.06.19 16:15</t>
  </si>
  <si>
    <t>2026.06.25 16:30</t>
  </si>
  <si>
    <t>2026.06.13 11:25</t>
  </si>
  <si>
    <t>2026.06.19 17:55</t>
  </si>
  <si>
    <t>2026.06.25 16:31</t>
  </si>
  <si>
    <t>2026.06.13 11:45</t>
  </si>
  <si>
    <t>2026.06.13 11:55</t>
  </si>
  <si>
    <t>2026.06.19 16:20</t>
  </si>
  <si>
    <t>2026.06.25 15:45</t>
  </si>
  <si>
    <t>2026.06.19 16:25</t>
  </si>
  <si>
    <t>2026.06.13 12:20</t>
  </si>
  <si>
    <t>2026.06.11 14:30</t>
  </si>
  <si>
    <t>2026.06.25 15:50</t>
  </si>
  <si>
    <t>2026.06.17 18:35</t>
  </si>
  <si>
    <t>2026.06.22 14:20</t>
  </si>
  <si>
    <t>2026.06.19 16:30</t>
  </si>
  <si>
    <t>2026.06.25 15:55</t>
  </si>
  <si>
    <t>2026.06.17 11:05</t>
  </si>
  <si>
    <t>2026.06.13 13:45</t>
  </si>
  <si>
    <t>2026.06.25 16:00</t>
  </si>
  <si>
    <t>2026.06.13 14:20</t>
  </si>
  <si>
    <t>2026.06.19 16:40</t>
  </si>
  <si>
    <t>2026.06.13 14:25</t>
  </si>
  <si>
    <t>2026.06.13 14:50</t>
  </si>
  <si>
    <t>2026.06.19 18:35</t>
  </si>
  <si>
    <t>2026.06.19 16:45</t>
  </si>
  <si>
    <t>2026.06.19 16:50</t>
  </si>
  <si>
    <t>2026.06.25 16:10</t>
  </si>
  <si>
    <t>2026.06.15 09:15</t>
  </si>
  <si>
    <t>2026.06.15 09:20</t>
  </si>
  <si>
    <t>2026.06.19 16:55</t>
  </si>
  <si>
    <t>2026.06.20 13:05</t>
  </si>
  <si>
    <t>2026.06.23 09:40</t>
  </si>
  <si>
    <t>2026.06.12 15:30</t>
  </si>
  <si>
    <t>2026.06.13 17:45</t>
  </si>
  <si>
    <t>2026.06.15 17:30</t>
  </si>
  <si>
    <t>2026.06.25 16:20</t>
  </si>
  <si>
    <t>2026.06.18 09:10</t>
  </si>
  <si>
    <t>2026.06.13 14:15</t>
  </si>
  <si>
    <t>2026.06.25 14:44</t>
  </si>
  <si>
    <t>2026.06.19 17:00</t>
  </si>
  <si>
    <t>2026.06.17 17:50</t>
  </si>
  <si>
    <t>2026.06.25 16:25</t>
  </si>
  <si>
    <t>2026.06.15 08:35</t>
  </si>
  <si>
    <t>2026.06.15 08:45</t>
  </si>
  <si>
    <t>2026.06.14 09:15</t>
  </si>
  <si>
    <t>2026.06.15 08:55</t>
  </si>
  <si>
    <t>2026.06.25 16:35</t>
  </si>
  <si>
    <t>2026.06.15 15:35</t>
  </si>
  <si>
    <t>2026.06.15 09:25</t>
  </si>
  <si>
    <t>2026.06.19 17:15</t>
  </si>
  <si>
    <t>2026.06.15 09:30</t>
  </si>
  <si>
    <t>2026.06.25 15:42</t>
  </si>
  <si>
    <t>2026.06.15 09:35</t>
  </si>
  <si>
    <t>2026.06.15 09:40</t>
  </si>
  <si>
    <t>2026.06.19 17:20</t>
  </si>
  <si>
    <t>2026.06.25 16:40</t>
  </si>
  <si>
    <t>2026.06.15 09:45</t>
  </si>
  <si>
    <t>2026.06.25 17:55</t>
  </si>
  <si>
    <t>2026.06.25 16:45</t>
  </si>
  <si>
    <t>2026.06.15 10:00</t>
  </si>
  <si>
    <t>2026.06.15 10:10</t>
  </si>
  <si>
    <t>2026.06.15 10:05</t>
  </si>
  <si>
    <t>2026.06.15 10:15</t>
  </si>
  <si>
    <t>2026.06.13 09:40</t>
  </si>
  <si>
    <t>2026.06.16 16:50</t>
  </si>
  <si>
    <t>2026.06.19 17:30</t>
  </si>
  <si>
    <t>2026.06.15 10:20</t>
  </si>
  <si>
    <t>2026.06.25 16:50</t>
  </si>
  <si>
    <t>2026.06.15 10:35</t>
  </si>
  <si>
    <t>2026.06.12 10:25</t>
  </si>
  <si>
    <t>2026.06.15 10:40</t>
  </si>
  <si>
    <t>2026.06.19 17:35</t>
  </si>
  <si>
    <t>2026.06.15 10:45</t>
  </si>
  <si>
    <t>2026.06.16 16:30</t>
  </si>
  <si>
    <t>2026.06.15 10:50</t>
  </si>
  <si>
    <t>2026.06.15 15:25</t>
  </si>
  <si>
    <t>2026.06.15 10:55</t>
  </si>
  <si>
    <t>2026.06.25 17:05</t>
  </si>
  <si>
    <t>2026.06.15 11:00</t>
  </si>
  <si>
    <t>2026.06.12 16:50</t>
  </si>
  <si>
    <t>2026.06.15 11:05</t>
  </si>
  <si>
    <t>2026.06.25 17:10</t>
  </si>
  <si>
    <t>2026.06.19 17:40</t>
  </si>
  <si>
    <t>2026.06.15 11:15</t>
  </si>
  <si>
    <t>2026.06.25 17:15</t>
  </si>
  <si>
    <t>2026.06.15 11:20</t>
  </si>
  <si>
    <t>2026.06.15 17:50</t>
  </si>
  <si>
    <t>2026.06.15 11:25</t>
  </si>
  <si>
    <t>2026.06.15 11:30</t>
  </si>
  <si>
    <t>2026.06.19 17:45</t>
  </si>
  <si>
    <t>2026.06.25 17:20</t>
  </si>
  <si>
    <t>2026.06.19 13:30</t>
  </si>
  <si>
    <t>2026.06.15 11:45</t>
  </si>
  <si>
    <t>2026.06.15 11:50</t>
  </si>
  <si>
    <t>2026.06.19 17:50</t>
  </si>
  <si>
    <t>2026.06.15 12:10</t>
  </si>
  <si>
    <t>2026.06.15 12:15</t>
  </si>
  <si>
    <t>2026.06.15 12:20</t>
  </si>
  <si>
    <t>2026.06.25 17:25</t>
  </si>
  <si>
    <t>2026.06.15 12:25</t>
  </si>
  <si>
    <t>2026.06.16 14:45</t>
  </si>
  <si>
    <t>2026.06.15 12:30</t>
  </si>
  <si>
    <t>2026.06.18 12:40</t>
  </si>
  <si>
    <t>2026.06.20 11:25</t>
  </si>
  <si>
    <t>2026.06.19 18:00</t>
  </si>
  <si>
    <t>2026.06.22 12:03</t>
  </si>
  <si>
    <t>2026.06.15 12:35</t>
  </si>
  <si>
    <t>2026.06.15 12:40</t>
  </si>
  <si>
    <t>2026.06.18 11:40</t>
  </si>
  <si>
    <t>2026.06.25 17:30</t>
  </si>
  <si>
    <t>2026.06.17 14:05</t>
  </si>
  <si>
    <t>2026.06.15 13:00</t>
  </si>
  <si>
    <t>2026.06.15 13:05</t>
  </si>
  <si>
    <t>2026.06.15 13:10</t>
  </si>
  <si>
    <t>2026.06.15 15:30</t>
  </si>
  <si>
    <t>2026.06.15 13:30</t>
  </si>
  <si>
    <t>2026.06.25 17:35</t>
  </si>
  <si>
    <t>2026.06.15 13:55</t>
  </si>
  <si>
    <t>2026.06.15 14:00</t>
  </si>
  <si>
    <t>2026.06.15 14:05</t>
  </si>
  <si>
    <t>2026.06.15 14:10</t>
  </si>
  <si>
    <t>2026.06.25 17:40</t>
  </si>
  <si>
    <t>2026.06.15 14:30</t>
  </si>
  <si>
    <t>2026.06.15 14:35</t>
  </si>
  <si>
    <t>2026.06.25 17:45</t>
  </si>
  <si>
    <t>2026.06.19 18:15</t>
  </si>
  <si>
    <t>2026.06.15 14:40</t>
  </si>
  <si>
    <t>2026.06.18 19:55</t>
  </si>
  <si>
    <t>2026.06.25 17:50</t>
  </si>
  <si>
    <t>2026.06.19 18:18</t>
  </si>
  <si>
    <t>2026.06.15 14:50</t>
  </si>
  <si>
    <t>2026.06.19 18:10</t>
  </si>
  <si>
    <t>2026.06.15 13:25</t>
  </si>
  <si>
    <t>2026.06.15 14:55</t>
  </si>
  <si>
    <t>2026.06.15 15:11</t>
  </si>
  <si>
    <t>2026.06.19 18:20</t>
  </si>
  <si>
    <t>2026.06.15 15:15</t>
  </si>
  <si>
    <t>2026.06.15 15:20</t>
  </si>
  <si>
    <t>2026.06.15 15:40</t>
  </si>
  <si>
    <t>2026.06.15 15:45</t>
  </si>
  <si>
    <t>2026.06.19 18:25</t>
  </si>
  <si>
    <t>2026.06.15 15:50</t>
  </si>
  <si>
    <t>2026.06.15 15:55</t>
  </si>
  <si>
    <t>2026.06.25 18:00</t>
  </si>
  <si>
    <t>2026.06.15 16:00</t>
  </si>
  <si>
    <t>2026.06.15 16:05</t>
  </si>
  <si>
    <t>2026.06.15 16:10</t>
  </si>
  <si>
    <t>2026.06.15 16:15</t>
  </si>
  <si>
    <t>2026.06.24 12:50</t>
  </si>
  <si>
    <t>2026.06.25 18:05</t>
  </si>
  <si>
    <t>2026.06.15 16:25</t>
  </si>
  <si>
    <t>2026.06.15 16:35</t>
  </si>
  <si>
    <t>2026.06.15 17:35</t>
  </si>
  <si>
    <t>2026.06.25 18:10</t>
  </si>
  <si>
    <t>2026.06.15 16:40</t>
  </si>
  <si>
    <t>2026.06.15 16:45</t>
  </si>
  <si>
    <t>2026.06.25 18:15</t>
  </si>
  <si>
    <t>2026.06.15 16:50</t>
  </si>
  <si>
    <t>2026.06.15 17:00</t>
  </si>
  <si>
    <t>2026.06.18 14:25</t>
  </si>
  <si>
    <t>2026.06.25 18:20</t>
  </si>
  <si>
    <t>2026.06.15 17:05</t>
  </si>
  <si>
    <t>2026.06.15 17:10</t>
  </si>
  <si>
    <t>2026.06.10 12:00</t>
  </si>
  <si>
    <t>2026.06.17 22:20</t>
  </si>
  <si>
    <t>2026.06.19 19:00</t>
  </si>
  <si>
    <t>2026.06.15 17:20</t>
  </si>
  <si>
    <t>2026.06.19 20:05</t>
  </si>
  <si>
    <t>2026.06.23 09:00</t>
  </si>
  <si>
    <t>2026.06.15 17:25</t>
  </si>
  <si>
    <t>2026.06.15 17:40</t>
  </si>
  <si>
    <t>2026.06.15 17:45</t>
  </si>
  <si>
    <t>2026.06.25 18:38</t>
  </si>
  <si>
    <t>2026.06.18 13:30</t>
  </si>
  <si>
    <t>2026.06.19 19:15</t>
  </si>
  <si>
    <t>2026.06.15 18:05</t>
  </si>
  <si>
    <t>2026.06.15 18:10</t>
  </si>
  <si>
    <t>2026.06.19 10:19</t>
  </si>
  <si>
    <t>2026.06.15 18:45</t>
  </si>
  <si>
    <t>2026.06.25 18:50</t>
  </si>
  <si>
    <t>2026.06.18 08:50</t>
  </si>
  <si>
    <t>2026.06.17 21:40</t>
  </si>
  <si>
    <t>2026.06.25 17:00</t>
  </si>
  <si>
    <t>2026.06.17 15:25</t>
  </si>
  <si>
    <t>2026.06.15 19:35</t>
  </si>
  <si>
    <t>2026.06.22 16:05</t>
  </si>
  <si>
    <t>2026.06.15 19:40</t>
  </si>
  <si>
    <t>2026.06.10 15:40</t>
  </si>
  <si>
    <t>2026.06.17 16:55</t>
  </si>
  <si>
    <t>2026.06.25 19:10</t>
  </si>
  <si>
    <t>2026.06.20 11:55</t>
  </si>
  <si>
    <t>2026.06.15 20:55</t>
  </si>
  <si>
    <t>2026.06.25 19:15</t>
  </si>
  <si>
    <t>2026.06.22 11:30</t>
  </si>
  <si>
    <t>2026.06.22 15:50</t>
  </si>
  <si>
    <t>2026.06.16 12:15</t>
  </si>
  <si>
    <t>2026.06.15 21:45</t>
  </si>
  <si>
    <t>2026.06.25 19:20</t>
  </si>
  <si>
    <t>2026.06.19 20:35</t>
  </si>
  <si>
    <t>2026.06.16 12:40</t>
  </si>
  <si>
    <t>2026.06.15 22:15</t>
  </si>
  <si>
    <t>2026.06.17 17:45</t>
  </si>
  <si>
    <t>2026.06.10 09:00</t>
  </si>
  <si>
    <t>2026.06.19 20:40</t>
  </si>
  <si>
    <t>2026.06.11 19:00</t>
  </si>
  <si>
    <t>2026.06.16 07:55</t>
  </si>
  <si>
    <t>2026.06.16 08:20</t>
  </si>
  <si>
    <t>2026.06.09 17:20</t>
  </si>
  <si>
    <t>2026.06.16 08:25</t>
  </si>
  <si>
    <t>2026.06.16 12:25</t>
  </si>
  <si>
    <t>2026.06.16 08:40</t>
  </si>
  <si>
    <t>2026.06.16 08:45</t>
  </si>
  <si>
    <t>2026.06.12 11:55</t>
  </si>
  <si>
    <t>2026.06.16 08:55</t>
  </si>
  <si>
    <t>2026.06.16 09:05</t>
  </si>
  <si>
    <t>2026.06.12 16:25</t>
  </si>
  <si>
    <t>2026.06.16 09:15</t>
  </si>
  <si>
    <t>2026.06.16 09:20</t>
  </si>
  <si>
    <t>2026.06.16 09:25</t>
  </si>
  <si>
    <t>2026.06.16 09:30</t>
  </si>
  <si>
    <t>2026.06.16 09:35</t>
  </si>
  <si>
    <t>2026.06.23 19:11</t>
  </si>
  <si>
    <t>2026.06.16 09:40</t>
  </si>
  <si>
    <t>2026.06.16 12:30</t>
  </si>
  <si>
    <t>2026.06.16 09:55</t>
  </si>
  <si>
    <t>2026.06.16 10:00</t>
  </si>
  <si>
    <t>2026.06.16 10:05</t>
  </si>
  <si>
    <t>2026.06.16 10:15</t>
  </si>
  <si>
    <t>2026.06.16 10:10</t>
  </si>
  <si>
    <t>2026.06.16 10:20</t>
  </si>
  <si>
    <t>2026.06.19 21:25</t>
  </si>
  <si>
    <t>2026.06.19 16:37</t>
  </si>
  <si>
    <t>2026.06.16 10:35</t>
  </si>
  <si>
    <t>2026.06.19 21:45</t>
  </si>
  <si>
    <t>2026.06.25 08:50</t>
  </si>
  <si>
    <t>2026.06.16 11:00</t>
  </si>
  <si>
    <t>2026.06.16 11:05</t>
  </si>
  <si>
    <t>2026.06.19 21:15</t>
  </si>
  <si>
    <t>2026.06.16 11:10</t>
  </si>
  <si>
    <t>2026.06.22 18:30</t>
  </si>
  <si>
    <t>2026.06.22 10:30</t>
  </si>
  <si>
    <t>2026.06.16 11:25</t>
  </si>
  <si>
    <t>2026.06.25 16:36</t>
  </si>
  <si>
    <t>2026.06.16 11:15</t>
  </si>
  <si>
    <t>2026.06.15 10:25</t>
  </si>
  <si>
    <t>2026.06.16 11:20</t>
  </si>
  <si>
    <t>2026.06.16 11:30</t>
  </si>
  <si>
    <t>2026.06.16 11:35</t>
  </si>
  <si>
    <t>2026.06.19 22:20</t>
  </si>
  <si>
    <t>2026.06.16 11:45</t>
  </si>
  <si>
    <t>2026.06.16 11:50</t>
  </si>
  <si>
    <t>2026.06.16 11:55</t>
  </si>
  <si>
    <t>2026.06.11 14:50</t>
  </si>
  <si>
    <t>2026.06.16 12:00</t>
  </si>
  <si>
    <t>2026.06.18 21:45</t>
  </si>
  <si>
    <t>2026.06.16 12:10</t>
  </si>
  <si>
    <t>2026.06.16 12:45</t>
  </si>
  <si>
    <t>2026.06.16 12:55</t>
  </si>
  <si>
    <t>2026.06.25 19:47</t>
  </si>
  <si>
    <t>2026.06.16 13:00</t>
  </si>
  <si>
    <t>2026.06.16 13:05</t>
  </si>
  <si>
    <t>2026.06.16 13:15</t>
  </si>
  <si>
    <t>2026.06.16 13:20</t>
  </si>
  <si>
    <t>2026.06.16 13:25</t>
  </si>
  <si>
    <t>2026.06.16 13:30</t>
  </si>
  <si>
    <t>2026.06.16 13:40</t>
  </si>
  <si>
    <t>2026.06.16 13:45</t>
  </si>
  <si>
    <t>2026.06.12 10:40</t>
  </si>
  <si>
    <t>2026.06.16 14:05</t>
  </si>
  <si>
    <t>2026.06.16 14:25</t>
  </si>
  <si>
    <t>2026.06.16 14:30</t>
  </si>
  <si>
    <t>2026.06.16 14:35</t>
  </si>
  <si>
    <t>2026.06.20 07:20</t>
  </si>
  <si>
    <t>2026.06.16 14:40</t>
  </si>
  <si>
    <t>2026.06.12 14:25</t>
  </si>
  <si>
    <t>2026.06.20 09:10</t>
  </si>
  <si>
    <t>2026.06.25 19:51</t>
  </si>
  <si>
    <t>2026.06.20 09:20</t>
  </si>
  <si>
    <t>2026.06.16 14:50</t>
  </si>
  <si>
    <t>2026.06.20 09:35</t>
  </si>
  <si>
    <t>2026.06.20 09:40</t>
  </si>
  <si>
    <t>2026.06.20 09:50</t>
  </si>
  <si>
    <t>2026.06.16 14:55</t>
  </si>
  <si>
    <t>2026.06.16 15:00</t>
  </si>
  <si>
    <t>2026.06.16 15:05</t>
  </si>
  <si>
    <t>2026.06.16 15:10</t>
  </si>
  <si>
    <t>2026.06.20 10:15</t>
  </si>
  <si>
    <t>2026.06.20 10:20</t>
  </si>
  <si>
    <t>2026.06.16 15:20</t>
  </si>
  <si>
    <t>2026.06.16 15:25</t>
  </si>
  <si>
    <t>2026.06.16 15:55</t>
  </si>
  <si>
    <t>2026.06.20 10:35</t>
  </si>
  <si>
    <t>2026.06.20 10:40</t>
  </si>
  <si>
    <t>2026.06.17 12:25</t>
  </si>
  <si>
    <t>2026.06.20 10:50</t>
  </si>
  <si>
    <t>2026.06.24 21:30</t>
  </si>
  <si>
    <t>2026.06.09 10:05</t>
  </si>
  <si>
    <t>2026.06.20 11:10</t>
  </si>
  <si>
    <t>2026.06.16 09:50</t>
  </si>
  <si>
    <t>2026.06.20 11:15</t>
  </si>
  <si>
    <t>2026.06.20 11:07</t>
  </si>
  <si>
    <t>2026.06.16 16:00</t>
  </si>
  <si>
    <t>2026.06.20 11:20</t>
  </si>
  <si>
    <t>2026.06.16 16:05</t>
  </si>
  <si>
    <t>2026.04.16 15:30</t>
  </si>
  <si>
    <t>2026.06.16 16:10</t>
  </si>
  <si>
    <t>2026.06.17 20:03</t>
  </si>
  <si>
    <t>2026.06.09 10:50</t>
  </si>
  <si>
    <t>2026.06.16 16:20</t>
  </si>
  <si>
    <t>2026.06.20 11:45</t>
  </si>
  <si>
    <t>2026.06.20 11:50</t>
  </si>
  <si>
    <t>2026.06.16 16:35</t>
  </si>
  <si>
    <t>2026.06.25 20:20</t>
  </si>
  <si>
    <t>2026.06.16 16:45</t>
  </si>
  <si>
    <t>2026.06.20 12:15</t>
  </si>
  <si>
    <t>2026.06.22 13:10</t>
  </si>
  <si>
    <t>2026.06.25 20:25</t>
  </si>
  <si>
    <t>2026.06.16 17:00</t>
  </si>
  <si>
    <t>2026.06.20 14:45</t>
  </si>
  <si>
    <t>2026.06.16 17:05</t>
  </si>
  <si>
    <t>2026.06.20 12:40</t>
  </si>
  <si>
    <t>2026.06.25 20:31</t>
  </si>
  <si>
    <t>2026.06.16 18:15</t>
  </si>
  <si>
    <t>2026.06.16 17:40</t>
  </si>
  <si>
    <t>2026.06.20 14:55</t>
  </si>
  <si>
    <t>2026.06.17 09:55</t>
  </si>
  <si>
    <t>2026.06.20 13:40</t>
  </si>
  <si>
    <t>2026.06.22 11:00</t>
  </si>
  <si>
    <t>2026.06.20 13:50</t>
  </si>
  <si>
    <t>2026.06.17 13:50</t>
  </si>
  <si>
    <t>2026.03.27 14:45</t>
  </si>
  <si>
    <t>2026.06.20 15:00</t>
  </si>
  <si>
    <t>2026.06.11 15:55</t>
  </si>
  <si>
    <t>2026.06.16 18:05</t>
  </si>
  <si>
    <t>2026.06.10 15:20</t>
  </si>
  <si>
    <t>2026.06.10 17:45</t>
  </si>
  <si>
    <t>2026.06.12 17:05</t>
  </si>
  <si>
    <t>2026.06.22 13:45</t>
  </si>
  <si>
    <t>2026.06.25 21:00</t>
  </si>
  <si>
    <t>2026.06.09 12:25</t>
  </si>
  <si>
    <t>2026.06.22 08:25</t>
  </si>
  <si>
    <t>2026.06.17 12:35</t>
  </si>
  <si>
    <t>2026.06.25 23:25</t>
  </si>
  <si>
    <t>2026.06.25 21:10</t>
  </si>
  <si>
    <t>2026.06.20 16:20</t>
  </si>
  <si>
    <t>2026.06.16 19:00</t>
  </si>
  <si>
    <t>2026.06.16 19:04</t>
  </si>
  <si>
    <t>2026.06.20 16:30</t>
  </si>
  <si>
    <t>2026.06.22 11:15</t>
  </si>
  <si>
    <t>2026.06.23 11:50</t>
  </si>
  <si>
    <t>2026.06.11 16:00</t>
  </si>
  <si>
    <t>2026.06.25 21:35</t>
  </si>
  <si>
    <t>2026.06.20 17:14</t>
  </si>
  <si>
    <t>2026.06.22 08:45</t>
  </si>
  <si>
    <t>2026.06.12 14:20</t>
  </si>
  <si>
    <t>2026.06.19 00:20</t>
  </si>
  <si>
    <t>2026.06.20 17:50</t>
  </si>
  <si>
    <t>2026.06.12 12:40</t>
  </si>
  <si>
    <t>2026.06.11 14:40</t>
  </si>
  <si>
    <t>2026.06.25 21:49</t>
  </si>
  <si>
    <t>2026.06.08 14:20</t>
  </si>
  <si>
    <t>2026.06.20 18:10</t>
  </si>
  <si>
    <t>2026.06.11 09:30</t>
  </si>
  <si>
    <t>2026.06.11 09:40</t>
  </si>
  <si>
    <t>2026.06.18 12:45</t>
  </si>
  <si>
    <t>2026.06.20 18:30</t>
  </si>
  <si>
    <t>2026.06.22 08:50</t>
  </si>
  <si>
    <t>2026.06.20 19:00</t>
  </si>
  <si>
    <t>2026.06.13 09:45</t>
  </si>
  <si>
    <t>2026.06.20 20:20</t>
  </si>
  <si>
    <t>2026.06.20 20:35</t>
  </si>
  <si>
    <t>2026.06.20 20:45</t>
  </si>
  <si>
    <t>2026.06.22 09:00</t>
  </si>
  <si>
    <t>2026.06.25 19:05</t>
  </si>
  <si>
    <t>2026.06.20 21:45</t>
  </si>
  <si>
    <t>2026.06.20 23:00</t>
  </si>
  <si>
    <t>2026.06.20 23:05</t>
  </si>
  <si>
    <t>2026.06.20 23:15</t>
  </si>
  <si>
    <t>2026.06.20 23:30</t>
  </si>
  <si>
    <t>2026.06.20 23:25</t>
  </si>
  <si>
    <t>2026.06.22 09:05</t>
  </si>
  <si>
    <t>2026.06.21 09:15</t>
  </si>
  <si>
    <t>2026.06.17 18:10</t>
  </si>
  <si>
    <t>2026.06.21 10:10</t>
  </si>
  <si>
    <t>2026.06.21 09:10</t>
  </si>
  <si>
    <t>2026.06.20 20:50</t>
  </si>
  <si>
    <t>2026.06.20 11:00</t>
  </si>
  <si>
    <t>2026.06.18 15:25</t>
  </si>
  <si>
    <t>2026.06.22 09:10</t>
  </si>
  <si>
    <t>2026.06.10 16:45</t>
  </si>
  <si>
    <t>2026.06.12 16:05</t>
  </si>
  <si>
    <t>2026.06.22 09:15</t>
  </si>
  <si>
    <t>2026.06.18 09:50</t>
  </si>
  <si>
    <t>2026.06.16 12:50</t>
  </si>
  <si>
    <t>2026.06.21 14:40</t>
  </si>
  <si>
    <t>2026.06.22 09:28</t>
  </si>
  <si>
    <t>2026.06.21 17:00</t>
  </si>
  <si>
    <t>2026.06.22 09:25</t>
  </si>
  <si>
    <t>2026.06.21 21:10</t>
  </si>
  <si>
    <t>2026.06.25 12:40</t>
  </si>
  <si>
    <t>2026.06.18 08:10</t>
  </si>
  <si>
    <t>2026.06.13 11:10</t>
  </si>
  <si>
    <t>2026.06.20 09:05</t>
  </si>
  <si>
    <t>2026.06.22 09:40</t>
  </si>
  <si>
    <t>2026.06.22 09:42</t>
  </si>
  <si>
    <t>2026.06.22 08:00</t>
  </si>
  <si>
    <t>2026.06.22 09:45</t>
  </si>
  <si>
    <t>2026.06.22 09:50</t>
  </si>
  <si>
    <t>2026.06.25 23:40</t>
  </si>
  <si>
    <t>2026.06.22 09:55</t>
  </si>
  <si>
    <t>2026.06.12 10:20</t>
  </si>
  <si>
    <t>2026.06.22 10:00</t>
  </si>
  <si>
    <t>2026.06.22 10:05</t>
  </si>
  <si>
    <t>2026.06.22 10:10</t>
  </si>
  <si>
    <t>2026.06.22 10:15</t>
  </si>
  <si>
    <t>2026.06.22 10:20</t>
  </si>
  <si>
    <t>2026.06.22 10:25</t>
  </si>
  <si>
    <t>2026.06.09 19:00</t>
  </si>
  <si>
    <t>2026.06.22 10:35</t>
  </si>
  <si>
    <t>2026.06.22 10:40</t>
  </si>
  <si>
    <t>2026.06.22 10:45</t>
  </si>
  <si>
    <t>2026.06.22 10:50</t>
  </si>
  <si>
    <t>2026.06.26 02:00</t>
  </si>
  <si>
    <t>2026.06.26 03:05</t>
  </si>
  <si>
    <t>2026.06.17 11:30</t>
  </si>
  <si>
    <t>2026.06.26 06:40</t>
  </si>
  <si>
    <t>2026.06.22 10:55</t>
  </si>
  <si>
    <t>2026.06.09 10:00</t>
  </si>
  <si>
    <t>2026.06.22 15:46</t>
  </si>
  <si>
    <t>2026.06.16 11:40</t>
  </si>
  <si>
    <t>2026.06.10 15:15</t>
  </si>
  <si>
    <t>2026.06.22 16:00</t>
  </si>
  <si>
    <t>2026.06.22 11:05</t>
  </si>
  <si>
    <t>2026.06.26 08:25</t>
  </si>
  <si>
    <t>2026.06.24 17:19</t>
  </si>
  <si>
    <t>2026.06.26 08:29</t>
  </si>
  <si>
    <t>2026.06.26 08:35</t>
  </si>
  <si>
    <t>2026.06.22 11:10</t>
  </si>
  <si>
    <t>2026.06.17 13:10</t>
  </si>
  <si>
    <t>2026.06.22 15:45</t>
  </si>
  <si>
    <t>2026.06.09 11:20</t>
  </si>
  <si>
    <t>2026.06.16 13:35</t>
  </si>
  <si>
    <t>2026.06.26 08:45</t>
  </si>
  <si>
    <t>2026.06.26 08:50</t>
  </si>
  <si>
    <t>2026.06.22 11:20</t>
  </si>
  <si>
    <t>2026.06.22 11:35</t>
  </si>
  <si>
    <t>2026.06.22 11:40</t>
  </si>
  <si>
    <t>2026.06.22 11:45</t>
  </si>
  <si>
    <t>2026.06.22 11:46</t>
  </si>
  <si>
    <t>2026.06.22 11:50</t>
  </si>
  <si>
    <t>2026.06.22 11:55</t>
  </si>
  <si>
    <t>2026.06.22 12:00</t>
  </si>
  <si>
    <t>2026.06.22 12:05</t>
  </si>
  <si>
    <t>2026.06.22 12:10</t>
  </si>
  <si>
    <t>2026.06.22 12:15</t>
  </si>
  <si>
    <t>2026.06.22 12:20</t>
  </si>
  <si>
    <t>2026.06.17 18:15</t>
  </si>
  <si>
    <t>2026.06.22 12:30</t>
  </si>
  <si>
    <t>2026.06.22 12:35</t>
  </si>
  <si>
    <t>2026.06.22 12:40</t>
  </si>
  <si>
    <t>2026.06.22 12:45</t>
  </si>
  <si>
    <t>2026.06.22 12:50</t>
  </si>
  <si>
    <t>2026.06.22 13:05</t>
  </si>
  <si>
    <t>2026.06.22 13:20</t>
  </si>
  <si>
    <t>2026.06.22 13:25</t>
  </si>
  <si>
    <t>2026.06.22 13:35</t>
  </si>
  <si>
    <t>2026.06.22 13:40</t>
  </si>
  <si>
    <t>2026.06.22 13:55</t>
  </si>
  <si>
    <t>2026.06.22 14:10</t>
  </si>
  <si>
    <t>2026.06.22 14:15</t>
  </si>
  <si>
    <t>2026.06.22 14:25</t>
  </si>
  <si>
    <t>2026.06.19 21:50</t>
  </si>
  <si>
    <t>2026.06.21 20:05</t>
  </si>
  <si>
    <t>2026.06.22 14:40</t>
  </si>
  <si>
    <t>2026.06.22 14:45</t>
  </si>
  <si>
    <t>2026.06.22 14:50</t>
  </si>
  <si>
    <t>2026.06.21 11:35</t>
  </si>
  <si>
    <t>2026.06.17 08:55</t>
  </si>
  <si>
    <t>2026.06.22 14:55</t>
  </si>
  <si>
    <t>2026.06.11 15:25</t>
  </si>
  <si>
    <t>2026.06.22 15:00</t>
  </si>
  <si>
    <t>2026.06.22 15:05</t>
  </si>
  <si>
    <t>2026.06.22 15:10</t>
  </si>
  <si>
    <t>2026.06.22 15:15</t>
  </si>
  <si>
    <t>2026.06.22 15:20</t>
  </si>
  <si>
    <t>2026.06.22 15:25</t>
  </si>
  <si>
    <t>2026.06.13 10:20</t>
  </si>
  <si>
    <t>2026.06.22 15:30</t>
  </si>
  <si>
    <t>2026.06.22 15:55</t>
  </si>
  <si>
    <t>2026.06.22 15:35</t>
  </si>
  <si>
    <t>2026.06.22 15:40</t>
  </si>
  <si>
    <t>2026.06.22 19:50</t>
  </si>
  <si>
    <t>2026.06.22 16:10</t>
  </si>
  <si>
    <t>2026.06.22 16:25</t>
  </si>
  <si>
    <t>2026.06.22 16:40</t>
  </si>
  <si>
    <t>2026.06.22 16:30</t>
  </si>
  <si>
    <t>2026.06.22 16:35</t>
  </si>
  <si>
    <t>2026.06.22 16:45</t>
  </si>
  <si>
    <t>2026.06.22 08:40</t>
  </si>
  <si>
    <t>2026.06.22 16:55</t>
  </si>
  <si>
    <t>2026.06.22 17:00</t>
  </si>
  <si>
    <t>2026.06.22 17:05</t>
  </si>
  <si>
    <t>2026.06.22 17:10</t>
  </si>
  <si>
    <t>2026.06.22 17:15</t>
  </si>
  <si>
    <t>2026.06.22 17:25</t>
  </si>
  <si>
    <t>2026.06.22 17:30</t>
  </si>
  <si>
    <t>2026.06.22 17:35</t>
  </si>
  <si>
    <t>2026.06.22 19:55</t>
  </si>
  <si>
    <t>2026.06.22 17:40</t>
  </si>
  <si>
    <t>2026.06.22 17:45</t>
  </si>
  <si>
    <t>2026.06.22 17:50</t>
  </si>
  <si>
    <t>2026.06.22 17:55</t>
  </si>
  <si>
    <t>2026.06.22 18:00</t>
  </si>
  <si>
    <t>2026.06.22 20:00</t>
  </si>
  <si>
    <t>2026.06.22 18:20</t>
  </si>
  <si>
    <t>2026.06.09 14:20</t>
  </si>
  <si>
    <t>2026.06.22 18:40</t>
  </si>
  <si>
    <t>2026.06.22 20:05</t>
  </si>
  <si>
    <t>2026.06.22 18:50</t>
  </si>
  <si>
    <t>2026.06.22 19:15</t>
  </si>
  <si>
    <t>2026.06.22 19:20</t>
  </si>
  <si>
    <t>2026.06.22 18:05</t>
  </si>
  <si>
    <t>2026.06.22 19:35</t>
  </si>
  <si>
    <t>2026.06.10 14:55</t>
  </si>
  <si>
    <t>2026.06.22 20:35</t>
  </si>
  <si>
    <t>2026.06.08 15:20</t>
  </si>
  <si>
    <t>2026.06.23 11:30</t>
  </si>
  <si>
    <t>2026.06.22 20:45</t>
  </si>
  <si>
    <t>2026.06.22 21:35</t>
  </si>
  <si>
    <t>2026.06.16 16:25</t>
  </si>
  <si>
    <t>2026.06.20 19:05</t>
  </si>
  <si>
    <t>2026.06.19 16:36</t>
  </si>
  <si>
    <t>2026.06.22 22:15</t>
  </si>
  <si>
    <t>2026.06.22 22:55</t>
  </si>
  <si>
    <t>2026.06.20 11:30</t>
  </si>
  <si>
    <t>2026.06.22 14:05</t>
  </si>
  <si>
    <t>2026.06.11 15:30</t>
  </si>
  <si>
    <t>2026.06.23 00:19</t>
  </si>
  <si>
    <t>2026.06.23 08:20</t>
  </si>
  <si>
    <t>2026.06.23 08:25</t>
  </si>
  <si>
    <t>2026.06.23 11:40</t>
  </si>
  <si>
    <t>2026.06.23 08:30</t>
  </si>
  <si>
    <t>2026.06.23 08:35</t>
  </si>
  <si>
    <t>2026.06.23 08:45</t>
  </si>
  <si>
    <t>2026.06.23 08:50</t>
  </si>
  <si>
    <t>2026.06.23 08:55</t>
  </si>
  <si>
    <t>2026.06.23 09:10</t>
  </si>
  <si>
    <t>2026.06.18 10:44</t>
  </si>
  <si>
    <t>2026.06.23 09:15</t>
  </si>
  <si>
    <t>2026.06.23 09:20</t>
  </si>
  <si>
    <t>2026.06.23 09:25</t>
  </si>
  <si>
    <t>2026.06.23 09:30</t>
  </si>
  <si>
    <t>2026.06.23 09:50</t>
  </si>
  <si>
    <t>2026.06.23 09:55</t>
  </si>
  <si>
    <t>2026.06.10 16:30</t>
  </si>
  <si>
    <t>2026.06.23 10:00</t>
  </si>
  <si>
    <t>2026.06.23 10:10</t>
  </si>
  <si>
    <t>2026.06.23 10:15</t>
  </si>
  <si>
    <t>2026.06.11 15:40</t>
  </si>
  <si>
    <t>2026.06.19 18:05</t>
  </si>
  <si>
    <t>2026.06.22 19:45</t>
  </si>
  <si>
    <t>2026.06.23 10:25</t>
  </si>
  <si>
    <t>2026.06.18 16:15</t>
  </si>
  <si>
    <t>2026.06.23 10:35</t>
  </si>
  <si>
    <t>2026.06.23 10:40</t>
  </si>
  <si>
    <t>2026.06.23 10:45</t>
  </si>
  <si>
    <t>2026.06.10 11:10</t>
  </si>
  <si>
    <t>2026.06.23 11:00</t>
  </si>
  <si>
    <t>2026.06.23 11:05</t>
  </si>
  <si>
    <t>2026.06.23 11:10</t>
  </si>
  <si>
    <t>2026.06.23 11:15</t>
  </si>
  <si>
    <t>2026.06.23 11:20</t>
  </si>
  <si>
    <t>2026.06.15 11:55</t>
  </si>
  <si>
    <t>2026.06.23 12:00</t>
  </si>
  <si>
    <t>2026.06.23 12:05</t>
  </si>
  <si>
    <t>2026.06.23 12:10</t>
  </si>
  <si>
    <t>2026.06.23 12:25</t>
  </si>
  <si>
    <t>2026.06.23 12:30</t>
  </si>
  <si>
    <t>2026.06.23 12:40</t>
  </si>
  <si>
    <t>2026.06.23 12:45</t>
  </si>
  <si>
    <t>2026.06.23 12:50</t>
  </si>
  <si>
    <t>2026.06.23 12:55</t>
  </si>
  <si>
    <t>2026.06.23 13:00</t>
  </si>
  <si>
    <t>2026.06.23 13:05</t>
  </si>
  <si>
    <t>2026.06.23 13:10</t>
  </si>
  <si>
    <t>2026.06.23 13:25</t>
  </si>
  <si>
    <t>2026.06.23 13:35</t>
  </si>
  <si>
    <t>2026.06.18 18:45</t>
  </si>
  <si>
    <t>2026.06.23 13:40</t>
  </si>
  <si>
    <t>2026.06.23 13:50</t>
  </si>
  <si>
    <t>2026.06.23 13:55</t>
  </si>
  <si>
    <t>2026.06.23 14:05</t>
  </si>
  <si>
    <t>2026.06.23 14:16</t>
  </si>
  <si>
    <t>2026.06.23 14:15</t>
  </si>
  <si>
    <t>2026.06.23 14:20</t>
  </si>
  <si>
    <t>2026.06.23 14:25</t>
  </si>
  <si>
    <t>2026.06.17 15:20</t>
  </si>
  <si>
    <t>2026.06.23 14:30</t>
  </si>
  <si>
    <t>2026.06.23 14:35</t>
  </si>
  <si>
    <t>2026.06.17 11:25</t>
  </si>
  <si>
    <t>2026.06.23 14:45</t>
  </si>
  <si>
    <t>2026.06.23 14:50</t>
  </si>
  <si>
    <t>2026.06.23 14:55</t>
  </si>
  <si>
    <t>2026.06.11 17:25</t>
  </si>
  <si>
    <t>2026.06.19 21:58</t>
  </si>
  <si>
    <t>2026.06.23 15:00</t>
  </si>
  <si>
    <t>2026.06.23 15:05</t>
  </si>
  <si>
    <t>2026.06.23 15:10</t>
  </si>
  <si>
    <t>2026.06.11 15:05</t>
  </si>
  <si>
    <t>2026.06.23 15:15</t>
  </si>
  <si>
    <t>2026.06.19 08:45</t>
  </si>
  <si>
    <t>2026.06.23 15:35</t>
  </si>
  <si>
    <t>2026.06.23 15:40</t>
  </si>
  <si>
    <t>2026.06.22 23:51</t>
  </si>
  <si>
    <t>2026.06.23 15:45</t>
  </si>
  <si>
    <t>2026.06.23 15:50</t>
  </si>
  <si>
    <t>304799425</t>
  </si>
  <si>
    <t>304924166</t>
  </si>
  <si>
    <t>304819911</t>
  </si>
  <si>
    <t>301776445</t>
  </si>
  <si>
    <t>302612901</t>
  </si>
  <si>
    <t>302697079</t>
  </si>
  <si>
    <t>304935733</t>
  </si>
  <si>
    <t>304749905</t>
  </si>
  <si>
    <t>304946600</t>
  </si>
  <si>
    <t>304950889</t>
  </si>
  <si>
    <t>304948972</t>
  </si>
  <si>
    <t>304948950</t>
  </si>
  <si>
    <t>304950807</t>
  </si>
  <si>
    <t>301762938</t>
  </si>
  <si>
    <t>301784848</t>
  </si>
  <si>
    <t>301786741</t>
  </si>
  <si>
    <t>304942534</t>
  </si>
  <si>
    <t>304955407</t>
  </si>
  <si>
    <t>304930483</t>
  </si>
  <si>
    <t>304951107</t>
  </si>
  <si>
    <t>302419450</t>
  </si>
  <si>
    <t>304935415</t>
  </si>
  <si>
    <t>304956018</t>
  </si>
  <si>
    <t>301812115</t>
  </si>
  <si>
    <t>304965811</t>
  </si>
  <si>
    <t>301822273</t>
  </si>
  <si>
    <t>301832989</t>
  </si>
  <si>
    <t>304957944</t>
  </si>
  <si>
    <t>304960581</t>
  </si>
  <si>
    <t>300380536</t>
  </si>
  <si>
    <t>301860263</t>
  </si>
  <si>
    <t>301848942</t>
  </si>
  <si>
    <t>301859941</t>
  </si>
  <si>
    <t>304968834</t>
  </si>
  <si>
    <t>301860006</t>
  </si>
  <si>
    <t>301162327</t>
  </si>
  <si>
    <t>304424578</t>
  </si>
  <si>
    <t>301875048</t>
  </si>
  <si>
    <t>304971382</t>
  </si>
  <si>
    <t>301787704</t>
  </si>
  <si>
    <t>301875310</t>
  </si>
  <si>
    <t>304977084</t>
  </si>
  <si>
    <t>304942391</t>
  </si>
  <si>
    <t>301888759</t>
  </si>
  <si>
    <t>301902332</t>
  </si>
  <si>
    <t>301907465</t>
  </si>
  <si>
    <t>304521811</t>
  </si>
  <si>
    <t>301886582</t>
  </si>
  <si>
    <t>301924137</t>
  </si>
  <si>
    <t>301920177</t>
  </si>
  <si>
    <t>301936234</t>
  </si>
  <si>
    <t>301938880</t>
  </si>
  <si>
    <t>304195879</t>
  </si>
  <si>
    <t>304942615</t>
  </si>
  <si>
    <t>301791301</t>
  </si>
  <si>
    <t>301942296</t>
  </si>
  <si>
    <t>292861459</t>
  </si>
  <si>
    <t>301951595</t>
  </si>
  <si>
    <t>300218503</t>
  </si>
  <si>
    <t>301895340</t>
  </si>
  <si>
    <t>301958906</t>
  </si>
  <si>
    <t>301791976</t>
  </si>
  <si>
    <t>301960407</t>
  </si>
  <si>
    <t>301964205</t>
  </si>
  <si>
    <t>301785901</t>
  </si>
  <si>
    <t>304372733</t>
  </si>
  <si>
    <t>301828452</t>
  </si>
  <si>
    <t>304980151</t>
  </si>
  <si>
    <t>304715407</t>
  </si>
  <si>
    <t>300929738</t>
  </si>
  <si>
    <t>301995740</t>
  </si>
  <si>
    <t>301789944</t>
  </si>
  <si>
    <t>301887412</t>
  </si>
  <si>
    <t>301820960</t>
  </si>
  <si>
    <t>302020585</t>
  </si>
  <si>
    <t>301371293</t>
  </si>
  <si>
    <t>299249984</t>
  </si>
  <si>
    <t>304202944</t>
  </si>
  <si>
    <t>302023512</t>
  </si>
  <si>
    <t>302025049</t>
  </si>
  <si>
    <t>304729969</t>
  </si>
  <si>
    <t>301798195</t>
  </si>
  <si>
    <t>304749119</t>
  </si>
  <si>
    <t>302397356</t>
  </si>
  <si>
    <t>295393687</t>
  </si>
  <si>
    <t>304709621</t>
  </si>
  <si>
    <t>304718471</t>
  </si>
  <si>
    <t>301593725</t>
  </si>
  <si>
    <t>302039307</t>
  </si>
  <si>
    <t>302056104</t>
  </si>
  <si>
    <t>302057118</t>
  </si>
  <si>
    <t>302059299</t>
  </si>
  <si>
    <t>301874466</t>
  </si>
  <si>
    <t>304933811</t>
  </si>
  <si>
    <t>301776377</t>
  </si>
  <si>
    <t>302067099</t>
  </si>
  <si>
    <t>301970584</t>
  </si>
  <si>
    <t>302037285</t>
  </si>
  <si>
    <t>304964648</t>
  </si>
  <si>
    <t>300394699</t>
  </si>
  <si>
    <t>302057862</t>
  </si>
  <si>
    <t>302020955</t>
  </si>
  <si>
    <t>301811228</t>
  </si>
  <si>
    <t>301794434</t>
  </si>
  <si>
    <t>305031776</t>
  </si>
  <si>
    <t>301966169</t>
  </si>
  <si>
    <t>302019226</t>
  </si>
  <si>
    <t>305040310</t>
  </si>
  <si>
    <t>302100169</t>
  </si>
  <si>
    <t>301795173</t>
  </si>
  <si>
    <t>301824639</t>
  </si>
  <si>
    <t>305107403</t>
  </si>
  <si>
    <t>301957421</t>
  </si>
  <si>
    <t>304788269</t>
  </si>
  <si>
    <t>304970856</t>
  </si>
  <si>
    <t>301956052</t>
  </si>
  <si>
    <t>305106676</t>
  </si>
  <si>
    <t>305112435</t>
  </si>
  <si>
    <t>305113438</t>
  </si>
  <si>
    <t>304884245</t>
  </si>
  <si>
    <t>304514295</t>
  </si>
  <si>
    <t>304976796</t>
  </si>
  <si>
    <t>302092955</t>
  </si>
  <si>
    <t>304932721</t>
  </si>
  <si>
    <t>300211286</t>
  </si>
  <si>
    <t>302085347</t>
  </si>
  <si>
    <t>305117941</t>
  </si>
  <si>
    <t>300280833</t>
  </si>
  <si>
    <t>302006514</t>
  </si>
  <si>
    <t>304966951</t>
  </si>
  <si>
    <t>305129330</t>
  </si>
  <si>
    <t>301960140</t>
  </si>
  <si>
    <t>305129406</t>
  </si>
  <si>
    <t>305127196</t>
  </si>
  <si>
    <t>304786108</t>
  </si>
  <si>
    <t>304972206</t>
  </si>
  <si>
    <t>305136074</t>
  </si>
  <si>
    <t>305106716</t>
  </si>
  <si>
    <t>301988267</t>
  </si>
  <si>
    <t>302008438</t>
  </si>
  <si>
    <t>305134549</t>
  </si>
  <si>
    <t>305133253</t>
  </si>
  <si>
    <t>302659540</t>
  </si>
  <si>
    <t>304733967</t>
  </si>
  <si>
    <t>305139539</t>
  </si>
  <si>
    <t>304455520</t>
  </si>
  <si>
    <t>305140840</t>
  </si>
  <si>
    <t>305123483</t>
  </si>
  <si>
    <t>305147958</t>
  </si>
  <si>
    <t>305147504</t>
  </si>
  <si>
    <t>305148736</t>
  </si>
  <si>
    <t>305147938</t>
  </si>
  <si>
    <t>305150832</t>
  </si>
  <si>
    <t>305155797</t>
  </si>
  <si>
    <t>301819369</t>
  </si>
  <si>
    <t>304925058</t>
  </si>
  <si>
    <t>305157011</t>
  </si>
  <si>
    <t>305162033</t>
  </si>
  <si>
    <t>304981325</t>
  </si>
  <si>
    <t>305158278</t>
  </si>
  <si>
    <t>305167011</t>
  </si>
  <si>
    <t>305173123</t>
  </si>
  <si>
    <t>305173024</t>
  </si>
  <si>
    <t>305171713</t>
  </si>
  <si>
    <t>304427586</t>
  </si>
  <si>
    <t>305153878</t>
  </si>
  <si>
    <t>305178800</t>
  </si>
  <si>
    <t>301968157</t>
  </si>
  <si>
    <t>300328645</t>
  </si>
  <si>
    <t>305187611</t>
  </si>
  <si>
    <t>301079930</t>
  </si>
  <si>
    <t>305180947</t>
  </si>
  <si>
    <t>304530697</t>
  </si>
  <si>
    <t>305175357</t>
  </si>
  <si>
    <t>301471444</t>
  </si>
  <si>
    <t>305182199</t>
  </si>
  <si>
    <t>305190567</t>
  </si>
  <si>
    <t>305109290</t>
  </si>
  <si>
    <t>305180154</t>
  </si>
  <si>
    <t>305192214</t>
  </si>
  <si>
    <t>305187949</t>
  </si>
  <si>
    <t>305185483</t>
  </si>
  <si>
    <t>304738537</t>
  </si>
  <si>
    <t>305195348</t>
  </si>
  <si>
    <t>305198971</t>
  </si>
  <si>
    <t>305114600</t>
  </si>
  <si>
    <t>305129484</t>
  </si>
  <si>
    <t>305185683</t>
  </si>
  <si>
    <t>305200830</t>
  </si>
  <si>
    <t>304924380</t>
  </si>
  <si>
    <t>305106171</t>
  </si>
  <si>
    <t>305124601</t>
  </si>
  <si>
    <t>305132527</t>
  </si>
  <si>
    <t>305152271</t>
  </si>
  <si>
    <t>305175170</t>
  </si>
  <si>
    <t>305205504</t>
  </si>
  <si>
    <t>304948943</t>
  </si>
  <si>
    <t>301884050</t>
  </si>
  <si>
    <t>301881358</t>
  </si>
  <si>
    <t>301885544</t>
  </si>
  <si>
    <t>305207153</t>
  </si>
  <si>
    <t>299495131</t>
  </si>
  <si>
    <t>301962636</t>
  </si>
  <si>
    <t>302012592</t>
  </si>
  <si>
    <t>305206342</t>
  </si>
  <si>
    <t>304720853</t>
  </si>
  <si>
    <t>301848071</t>
  </si>
  <si>
    <t>302020521</t>
  </si>
  <si>
    <t>301788622</t>
  </si>
  <si>
    <t>305211985</t>
  </si>
  <si>
    <t>304937011</t>
  </si>
  <si>
    <t>305212144</t>
  </si>
  <si>
    <t>305185264</t>
  </si>
  <si>
    <t>301814650</t>
  </si>
  <si>
    <t>301814884</t>
  </si>
  <si>
    <t>305223266</t>
  </si>
  <si>
    <t>305218987</t>
  </si>
  <si>
    <t>304958829</t>
  </si>
  <si>
    <t>305203118</t>
  </si>
  <si>
    <t>305159674</t>
  </si>
  <si>
    <t>305223634</t>
  </si>
  <si>
    <t>305220674</t>
  </si>
  <si>
    <t>305227730</t>
  </si>
  <si>
    <t>305227084</t>
  </si>
  <si>
    <t>305226085</t>
  </si>
  <si>
    <t>305201351</t>
  </si>
  <si>
    <t>301897149</t>
  </si>
  <si>
    <t>300393927</t>
  </si>
  <si>
    <t>301789822</t>
  </si>
  <si>
    <t>301806074</t>
  </si>
  <si>
    <t>305187316</t>
  </si>
  <si>
    <t>305230621</t>
  </si>
  <si>
    <t>301888442</t>
  </si>
  <si>
    <t>301786665</t>
  </si>
  <si>
    <t>301789279</t>
  </si>
  <si>
    <t>305189826</t>
  </si>
  <si>
    <t>302219276</t>
  </si>
  <si>
    <t>304965394</t>
  </si>
  <si>
    <t>296400588</t>
  </si>
  <si>
    <t>301831959</t>
  </si>
  <si>
    <t>302227222</t>
  </si>
  <si>
    <t>305235924</t>
  </si>
  <si>
    <t>301801855</t>
  </si>
  <si>
    <t>301966927</t>
  </si>
  <si>
    <t>299638175</t>
  </si>
  <si>
    <t>302234571</t>
  </si>
  <si>
    <t>302249860</t>
  </si>
  <si>
    <t>305254919</t>
  </si>
  <si>
    <t>305253279</t>
  </si>
  <si>
    <t>302075886</t>
  </si>
  <si>
    <t>305246515</t>
  </si>
  <si>
    <t>300583574</t>
  </si>
  <si>
    <t>304952338</t>
  </si>
  <si>
    <t>302237722</t>
  </si>
  <si>
    <t>302242525</t>
  </si>
  <si>
    <t>302239411</t>
  </si>
  <si>
    <t>300591550</t>
  </si>
  <si>
    <t>305242370</t>
  </si>
  <si>
    <t>305192853</t>
  </si>
  <si>
    <t>302080064</t>
  </si>
  <si>
    <t>302240098</t>
  </si>
  <si>
    <t>302247525</t>
  </si>
  <si>
    <t>304954430</t>
  </si>
  <si>
    <t>301835259</t>
  </si>
  <si>
    <t>304971351</t>
  </si>
  <si>
    <t>301794291</t>
  </si>
  <si>
    <t>301899619</t>
  </si>
  <si>
    <t>302440932</t>
  </si>
  <si>
    <t>302246167</t>
  </si>
  <si>
    <t>301808951</t>
  </si>
  <si>
    <t>305167502</t>
  </si>
  <si>
    <t>301853441</t>
  </si>
  <si>
    <t>305249689</t>
  </si>
  <si>
    <t>302249223</t>
  </si>
  <si>
    <t>302248052</t>
  </si>
  <si>
    <t>302244911</t>
  </si>
  <si>
    <t>299900826</t>
  </si>
  <si>
    <t>301959308</t>
  </si>
  <si>
    <t>301024826</t>
  </si>
  <si>
    <t>305257406</t>
  </si>
  <si>
    <t>301827604</t>
  </si>
  <si>
    <t>305255315</t>
  </si>
  <si>
    <t>301959951</t>
  </si>
  <si>
    <t>305134446</t>
  </si>
  <si>
    <t>302254341</t>
  </si>
  <si>
    <t>302227849</t>
  </si>
  <si>
    <t>305202152</t>
  </si>
  <si>
    <t>305168707</t>
  </si>
  <si>
    <t>301800407</t>
  </si>
  <si>
    <t>305263992</t>
  </si>
  <si>
    <t>305261939</t>
  </si>
  <si>
    <t>302231606</t>
  </si>
  <si>
    <t>302258377</t>
  </si>
  <si>
    <t>305266422</t>
  </si>
  <si>
    <t>301973285</t>
  </si>
  <si>
    <t>302067273</t>
  </si>
  <si>
    <t>305266718</t>
  </si>
  <si>
    <t>302045658</t>
  </si>
  <si>
    <t>302005338</t>
  </si>
  <si>
    <t>301955220</t>
  </si>
  <si>
    <t>304485387</t>
  </si>
  <si>
    <t>305271198</t>
  </si>
  <si>
    <t>305270090</t>
  </si>
  <si>
    <t>305266597</t>
  </si>
  <si>
    <t>302259980</t>
  </si>
  <si>
    <t>302244093</t>
  </si>
  <si>
    <t>305210938</t>
  </si>
  <si>
    <t>304949963</t>
  </si>
  <si>
    <t>302255810</t>
  </si>
  <si>
    <t>304933903</t>
  </si>
  <si>
    <t>301955986</t>
  </si>
  <si>
    <t>301898377</t>
  </si>
  <si>
    <t>300364896</t>
  </si>
  <si>
    <t>305271951</t>
  </si>
  <si>
    <t>303010864</t>
  </si>
  <si>
    <t>301895779</t>
  </si>
  <si>
    <t>302261709</t>
  </si>
  <si>
    <t>305275301</t>
  </si>
  <si>
    <t>301796689</t>
  </si>
  <si>
    <t>304976633</t>
  </si>
  <si>
    <t>302267736</t>
  </si>
  <si>
    <t>305279628</t>
  </si>
  <si>
    <t>299120498</t>
  </si>
  <si>
    <t>302269135</t>
  </si>
  <si>
    <t>302269454</t>
  </si>
  <si>
    <t>305278436</t>
  </si>
  <si>
    <t>302271277</t>
  </si>
  <si>
    <t>305177802</t>
  </si>
  <si>
    <t>305282597</t>
  </si>
  <si>
    <t>296767969</t>
  </si>
  <si>
    <t>301830937</t>
  </si>
  <si>
    <t>305278997</t>
  </si>
  <si>
    <t>302277995</t>
  </si>
  <si>
    <t>305283939</t>
  </si>
  <si>
    <t>305253168</t>
  </si>
  <si>
    <t>304970349</t>
  </si>
  <si>
    <t>301880954</t>
  </si>
  <si>
    <t>301961141</t>
  </si>
  <si>
    <t>301866564</t>
  </si>
  <si>
    <t>305287435</t>
  </si>
  <si>
    <t>305284382</t>
  </si>
  <si>
    <t>302282931</t>
  </si>
  <si>
    <t>302281746</t>
  </si>
  <si>
    <t>305268304</t>
  </si>
  <si>
    <t>305288544</t>
  </si>
  <si>
    <t>305218785</t>
  </si>
  <si>
    <t>305289027</t>
  </si>
  <si>
    <t>305218571</t>
  </si>
  <si>
    <t>302283212</t>
  </si>
  <si>
    <t>302273868</t>
  </si>
  <si>
    <t>302290278</t>
  </si>
  <si>
    <t>302229732</t>
  </si>
  <si>
    <t>305299586</t>
  </si>
  <si>
    <t>302290780</t>
  </si>
  <si>
    <t>302284981</t>
  </si>
  <si>
    <t>302265476</t>
  </si>
  <si>
    <t>302288771</t>
  </si>
  <si>
    <t>302288706</t>
  </si>
  <si>
    <t>305288601</t>
  </si>
  <si>
    <t>305269261</t>
  </si>
  <si>
    <t>305210985</t>
  </si>
  <si>
    <t>305149887</t>
  </si>
  <si>
    <t>305199737</t>
  </si>
  <si>
    <t>305175733</t>
  </si>
  <si>
    <t>305190316</t>
  </si>
  <si>
    <t>302698692</t>
  </si>
  <si>
    <t>305134584</t>
  </si>
  <si>
    <t>302286468</t>
  </si>
  <si>
    <t>305144202</t>
  </si>
  <si>
    <t>305252599</t>
  </si>
  <si>
    <t>305295231</t>
  </si>
  <si>
    <t>305294289</t>
  </si>
  <si>
    <t>302301079</t>
  </si>
  <si>
    <t>302295493</t>
  </si>
  <si>
    <t>302302194</t>
  </si>
  <si>
    <t>302299694</t>
  </si>
  <si>
    <t>302011403</t>
  </si>
  <si>
    <t>305282131</t>
  </si>
  <si>
    <t>302039949</t>
  </si>
  <si>
    <t>302304027</t>
  </si>
  <si>
    <t>302299610</t>
  </si>
  <si>
    <t>302303249</t>
  </si>
  <si>
    <t>304730912</t>
  </si>
  <si>
    <t>305300639</t>
  </si>
  <si>
    <t>305294100</t>
  </si>
  <si>
    <t>302307022</t>
  </si>
  <si>
    <t>299955998</t>
  </si>
  <si>
    <t>302307241</t>
  </si>
  <si>
    <t>302306958</t>
  </si>
  <si>
    <t>304963258</t>
  </si>
  <si>
    <t>302309368</t>
  </si>
  <si>
    <t>305295467</t>
  </si>
  <si>
    <t>305296415</t>
  </si>
  <si>
    <t>305302300</t>
  </si>
  <si>
    <t>305301199</t>
  </si>
  <si>
    <t>301828941</t>
  </si>
  <si>
    <t>305297876</t>
  </si>
  <si>
    <t>305299295</t>
  </si>
  <si>
    <t>302316289</t>
  </si>
  <si>
    <t>305305115</t>
  </si>
  <si>
    <t>305298638</t>
  </si>
  <si>
    <t>299994649</t>
  </si>
  <si>
    <t>302319141</t>
  </si>
  <si>
    <t>302234139</t>
  </si>
  <si>
    <t>305313965</t>
  </si>
  <si>
    <t>305314449</t>
  </si>
  <si>
    <t>302320690</t>
  </si>
  <si>
    <t>305308916</t>
  </si>
  <si>
    <t>302319594</t>
  </si>
  <si>
    <t>301980147</t>
  </si>
  <si>
    <t>305135327</t>
  </si>
  <si>
    <t>302320214</t>
  </si>
  <si>
    <t>305305802</t>
  </si>
  <si>
    <t>302254410</t>
  </si>
  <si>
    <t>301822101</t>
  </si>
  <si>
    <t>301995556</t>
  </si>
  <si>
    <t>301965351</t>
  </si>
  <si>
    <t>302364981</t>
  </si>
  <si>
    <t>302365124</t>
  </si>
  <si>
    <t>301796180</t>
  </si>
  <si>
    <t>305311572</t>
  </si>
  <si>
    <t>305313590</t>
  </si>
  <si>
    <t>302338424</t>
  </si>
  <si>
    <t>305143766</t>
  </si>
  <si>
    <t>301866149</t>
  </si>
  <si>
    <t>302340160</t>
  </si>
  <si>
    <t>301926987</t>
  </si>
  <si>
    <t>302294566</t>
  </si>
  <si>
    <t>301826568</t>
  </si>
  <si>
    <t>301971696</t>
  </si>
  <si>
    <t>302350167</t>
  </si>
  <si>
    <t>305319887</t>
  </si>
  <si>
    <t>305324320</t>
  </si>
  <si>
    <t>304501466</t>
  </si>
  <si>
    <t>301957278</t>
  </si>
  <si>
    <t>302342473</t>
  </si>
  <si>
    <t>302058046</t>
  </si>
  <si>
    <t>302358595</t>
  </si>
  <si>
    <t>301865734</t>
  </si>
  <si>
    <t>305321975</t>
  </si>
  <si>
    <t>305323392</t>
  </si>
  <si>
    <t>302251037</t>
  </si>
  <si>
    <t>300228577</t>
  </si>
  <si>
    <t>301443143</t>
  </si>
  <si>
    <t>302369257</t>
  </si>
  <si>
    <t>301880813</t>
  </si>
  <si>
    <t>302246144</t>
  </si>
  <si>
    <t>304424258</t>
  </si>
  <si>
    <t>305330939</t>
  </si>
  <si>
    <t>302068192</t>
  </si>
  <si>
    <t>305280563</t>
  </si>
  <si>
    <t>302355286</t>
  </si>
  <si>
    <t>305323574</t>
  </si>
  <si>
    <t>305333270</t>
  </si>
  <si>
    <t>305331699</t>
  </si>
  <si>
    <t>305264788</t>
  </si>
  <si>
    <t>302370641</t>
  </si>
  <si>
    <t>302375699</t>
  </si>
  <si>
    <t>302374128</t>
  </si>
  <si>
    <t>305261316</t>
  </si>
  <si>
    <t>302375511</t>
  </si>
  <si>
    <t>305292742</t>
  </si>
  <si>
    <t>301800093</t>
  </si>
  <si>
    <t>305296209</t>
  </si>
  <si>
    <t>305334761</t>
  </si>
  <si>
    <t>305334507</t>
  </si>
  <si>
    <t>294383139</t>
  </si>
  <si>
    <t>302377748</t>
  </si>
  <si>
    <t>302378999</t>
  </si>
  <si>
    <t>304755419</t>
  </si>
  <si>
    <t>302261559</t>
  </si>
  <si>
    <t>302379645</t>
  </si>
  <si>
    <t>302303932</t>
  </si>
  <si>
    <t>302376325</t>
  </si>
  <si>
    <t>301957620</t>
  </si>
  <si>
    <t>301953145</t>
  </si>
  <si>
    <t>302239879</t>
  </si>
  <si>
    <t>301970350</t>
  </si>
  <si>
    <t>302383864</t>
  </si>
  <si>
    <t>305132092</t>
  </si>
  <si>
    <t>301919660</t>
  </si>
  <si>
    <t>302232720</t>
  </si>
  <si>
    <t>302382910</t>
  </si>
  <si>
    <t>302057631</t>
  </si>
  <si>
    <t>305338003</t>
  </si>
  <si>
    <t>305338498</t>
  </si>
  <si>
    <t>305339080</t>
  </si>
  <si>
    <t>302383769</t>
  </si>
  <si>
    <t>305197849</t>
  </si>
  <si>
    <t>305339662</t>
  </si>
  <si>
    <t>268489180</t>
  </si>
  <si>
    <t>302387776</t>
  </si>
  <si>
    <t>302391159</t>
  </si>
  <si>
    <t>305164837</t>
  </si>
  <si>
    <t>302385334</t>
  </si>
  <si>
    <t>302390391</t>
  </si>
  <si>
    <t>302384377</t>
  </si>
  <si>
    <t>305343908</t>
  </si>
  <si>
    <t>302392298</t>
  </si>
  <si>
    <t>302343047</t>
  </si>
  <si>
    <t>301774735</t>
  </si>
  <si>
    <t>305322578</t>
  </si>
  <si>
    <t>302392701</t>
  </si>
  <si>
    <t>302390712</t>
  </si>
  <si>
    <t>305109232</t>
  </si>
  <si>
    <t>301165264</t>
  </si>
  <si>
    <t>302395069</t>
  </si>
  <si>
    <t>302394679</t>
  </si>
  <si>
    <t>305332476</t>
  </si>
  <si>
    <t>305346230</t>
  </si>
  <si>
    <t>302420365</t>
  </si>
  <si>
    <t>302385141</t>
  </si>
  <si>
    <t>302399872</t>
  </si>
  <si>
    <t>301808546</t>
  </si>
  <si>
    <t>305351550</t>
  </si>
  <si>
    <t>305344887</t>
  </si>
  <si>
    <t>305349656</t>
  </si>
  <si>
    <t>305278863</t>
  </si>
  <si>
    <t>305329412</t>
  </si>
  <si>
    <t>301835610</t>
  </si>
  <si>
    <t>302402595</t>
  </si>
  <si>
    <t>305326766</t>
  </si>
  <si>
    <t>305351778</t>
  </si>
  <si>
    <t>305354000</t>
  </si>
  <si>
    <t>305350326</t>
  </si>
  <si>
    <t>302404147</t>
  </si>
  <si>
    <t>302408394</t>
  </si>
  <si>
    <t>304364953</t>
  </si>
  <si>
    <t>305124940</t>
  </si>
  <si>
    <t>305140569</t>
  </si>
  <si>
    <t>302261690</t>
  </si>
  <si>
    <t>305142245</t>
  </si>
  <si>
    <t>305357594</t>
  </si>
  <si>
    <t>302423322</t>
  </si>
  <si>
    <t>305160105</t>
  </si>
  <si>
    <t>305346637</t>
  </si>
  <si>
    <t>305191330</t>
  </si>
  <si>
    <t>305197277</t>
  </si>
  <si>
    <t>305201288</t>
  </si>
  <si>
    <t>305221985</t>
  </si>
  <si>
    <t>305268144</t>
  </si>
  <si>
    <t>302424365</t>
  </si>
  <si>
    <t>305329355</t>
  </si>
  <si>
    <t>304943568</t>
  </si>
  <si>
    <t>305368002</t>
  </si>
  <si>
    <t>305358808</t>
  </si>
  <si>
    <t>302241472</t>
  </si>
  <si>
    <t>302411503</t>
  </si>
  <si>
    <t>302410718</t>
  </si>
  <si>
    <t>302390748</t>
  </si>
  <si>
    <t>302388741</t>
  </si>
  <si>
    <t>305358215</t>
  </si>
  <si>
    <t>305356033</t>
  </si>
  <si>
    <t>301413192</t>
  </si>
  <si>
    <t>302414750</t>
  </si>
  <si>
    <t>302349064</t>
  </si>
  <si>
    <t>305361148</t>
  </si>
  <si>
    <t>305358771</t>
  </si>
  <si>
    <t>305362897</t>
  </si>
  <si>
    <t>300081428</t>
  </si>
  <si>
    <t>305361628</t>
  </si>
  <si>
    <t>305308930</t>
  </si>
  <si>
    <t>305321275</t>
  </si>
  <si>
    <t>302416781</t>
  </si>
  <si>
    <t>305113801</t>
  </si>
  <si>
    <t>305364708</t>
  </si>
  <si>
    <t>305366302</t>
  </si>
  <si>
    <t>305353789</t>
  </si>
  <si>
    <t>305364162</t>
  </si>
  <si>
    <t>305116099</t>
  </si>
  <si>
    <t>305365678</t>
  </si>
  <si>
    <t>305119469</t>
  </si>
  <si>
    <t>304908974</t>
  </si>
  <si>
    <t>304797897</t>
  </si>
  <si>
    <t>305334635</t>
  </si>
  <si>
    <t>305367415</t>
  </si>
  <si>
    <t>305367959</t>
  </si>
  <si>
    <t>305365531</t>
  </si>
  <si>
    <t>302420877</t>
  </si>
  <si>
    <t>301899489</t>
  </si>
  <si>
    <t>302415596</t>
  </si>
  <si>
    <t>302420382</t>
  </si>
  <si>
    <t>302309995</t>
  </si>
  <si>
    <t>302412613</t>
  </si>
  <si>
    <t>302313559</t>
  </si>
  <si>
    <t>302288413</t>
  </si>
  <si>
    <t>305343457</t>
  </si>
  <si>
    <t>302413751</t>
  </si>
  <si>
    <t>302287814</t>
  </si>
  <si>
    <t>302422808</t>
  </si>
  <si>
    <t>302295833</t>
  </si>
  <si>
    <t>305110089</t>
  </si>
  <si>
    <t>302426607</t>
  </si>
  <si>
    <t>305369620</t>
  </si>
  <si>
    <t>305366990</t>
  </si>
  <si>
    <t>305276147</t>
  </si>
  <si>
    <t>303030702</t>
  </si>
  <si>
    <t>302303389</t>
  </si>
  <si>
    <t>302421573</t>
  </si>
  <si>
    <t>302233247</t>
  </si>
  <si>
    <t>305217815</t>
  </si>
  <si>
    <t>302221750</t>
  </si>
  <si>
    <t>305188077</t>
  </si>
  <si>
    <t>305214363</t>
  </si>
  <si>
    <t>305222840</t>
  </si>
  <si>
    <t>305385158</t>
  </si>
  <si>
    <t>302428653</t>
  </si>
  <si>
    <t>302425665</t>
  </si>
  <si>
    <t>301941270</t>
  </si>
  <si>
    <t>303021627</t>
  </si>
  <si>
    <t>302329821</t>
  </si>
  <si>
    <t>301929118</t>
  </si>
  <si>
    <t>302398449</t>
  </si>
  <si>
    <t>305358385</t>
  </si>
  <si>
    <t>305359619</t>
  </si>
  <si>
    <t>301928592</t>
  </si>
  <si>
    <t>301812442</t>
  </si>
  <si>
    <t>301797850</t>
  </si>
  <si>
    <t>302391686</t>
  </si>
  <si>
    <t>301855114</t>
  </si>
  <si>
    <t>305376944</t>
  </si>
  <si>
    <t>304757684</t>
  </si>
  <si>
    <t>302431831</t>
  </si>
  <si>
    <t>305011917</t>
  </si>
  <si>
    <t>304721610</t>
  </si>
  <si>
    <t>305379514</t>
  </si>
  <si>
    <t>305133069</t>
  </si>
  <si>
    <t>302375410</t>
  </si>
  <si>
    <t>305277894</t>
  </si>
  <si>
    <t>305128502</t>
  </si>
  <si>
    <t>305112762</t>
  </si>
  <si>
    <t>304260529</t>
  </si>
  <si>
    <t>305382146</t>
  </si>
  <si>
    <t>305382265</t>
  </si>
  <si>
    <t>302436063</t>
  </si>
  <si>
    <t>305340922</t>
  </si>
  <si>
    <t>305361405</t>
  </si>
  <si>
    <t>305381667</t>
  </si>
  <si>
    <t>302437889</t>
  </si>
  <si>
    <t>305144399</t>
  </si>
  <si>
    <t>305150350</t>
  </si>
  <si>
    <t>304761891</t>
  </si>
  <si>
    <t>302436477</t>
  </si>
  <si>
    <t>302352365</t>
  </si>
  <si>
    <t>305167320</t>
  </si>
  <si>
    <t>305386679</t>
  </si>
  <si>
    <t>302443688</t>
  </si>
  <si>
    <t>305169117</t>
  </si>
  <si>
    <t>305174068</t>
  </si>
  <si>
    <t>305268674</t>
  </si>
  <si>
    <t>305193626</t>
  </si>
  <si>
    <t>305204584</t>
  </si>
  <si>
    <t>302415724</t>
  </si>
  <si>
    <t>302417264</t>
  </si>
  <si>
    <t>302414019</t>
  </si>
  <si>
    <t>302442325</t>
  </si>
  <si>
    <t>302412708</t>
  </si>
  <si>
    <t>305284853</t>
  </si>
  <si>
    <t>305265089</t>
  </si>
  <si>
    <t>305325079</t>
  </si>
  <si>
    <t>305118633</t>
  </si>
  <si>
    <t>305391899</t>
  </si>
  <si>
    <t>301791630</t>
  </si>
  <si>
    <t>305395510</t>
  </si>
  <si>
    <t>302449101</t>
  </si>
  <si>
    <t>305275906</t>
  </si>
  <si>
    <t>304487745</t>
  </si>
  <si>
    <t>301601783</t>
  </si>
  <si>
    <t>301774982</t>
  </si>
  <si>
    <t>302380041</t>
  </si>
  <si>
    <t>305197379</t>
  </si>
  <si>
    <t>305273751</t>
  </si>
  <si>
    <t>305138321</t>
  </si>
  <si>
    <t>305132100</t>
  </si>
  <si>
    <t>305128922</t>
  </si>
  <si>
    <t>305266552</t>
  </si>
  <si>
    <t>305175635</t>
  </si>
  <si>
    <t>305326321</t>
  </si>
  <si>
    <t>302447353</t>
  </si>
  <si>
    <t>304935740</t>
  </si>
  <si>
    <t>304935925</t>
  </si>
  <si>
    <t>305158614</t>
  </si>
  <si>
    <t>305272842</t>
  </si>
  <si>
    <t>305273237</t>
  </si>
  <si>
    <t>302134660</t>
  </si>
  <si>
    <t>305287903</t>
  </si>
  <si>
    <t>305403657</t>
  </si>
  <si>
    <t>299940828</t>
  </si>
  <si>
    <t>302458204</t>
  </si>
  <si>
    <t>305110390</t>
  </si>
  <si>
    <t>302457908</t>
  </si>
  <si>
    <t>302392348</t>
  </si>
  <si>
    <t>304908897</t>
  </si>
  <si>
    <t>299610989</t>
  </si>
  <si>
    <t>302456064</t>
  </si>
  <si>
    <t>305234038</t>
  </si>
  <si>
    <t>299743506</t>
  </si>
  <si>
    <t>305118908</t>
  </si>
  <si>
    <t>302461699</t>
  </si>
  <si>
    <t>302440195</t>
  </si>
  <si>
    <t>305130605</t>
  </si>
  <si>
    <t>302465130</t>
  </si>
  <si>
    <t>KM4251765</t>
  </si>
  <si>
    <t>302428051</t>
  </si>
  <si>
    <t>301410860</t>
  </si>
  <si>
    <t>301871797</t>
  </si>
  <si>
    <t>302468680</t>
  </si>
  <si>
    <t>302441139</t>
  </si>
  <si>
    <t>305220068</t>
  </si>
  <si>
    <t>299846735</t>
  </si>
  <si>
    <t>299679131</t>
  </si>
  <si>
    <t>301800393</t>
  </si>
  <si>
    <t>301925054</t>
  </si>
  <si>
    <t>293178062</t>
  </si>
  <si>
    <t>302258769</t>
  </si>
  <si>
    <t>301973255</t>
  </si>
  <si>
    <t>302042402</t>
  </si>
  <si>
    <t>304929674</t>
  </si>
  <si>
    <t>300004532</t>
  </si>
  <si>
    <t>302011375</t>
  </si>
  <si>
    <t>305367477</t>
  </si>
  <si>
    <t>305295771</t>
  </si>
  <si>
    <t>302468883</t>
  </si>
  <si>
    <t>300225656</t>
  </si>
  <si>
    <t>300227123</t>
  </si>
  <si>
    <t>305183256</t>
  </si>
  <si>
    <t>305364446</t>
  </si>
  <si>
    <t>301841882</t>
  </si>
  <si>
    <t>302284990</t>
  </si>
  <si>
    <t>302393942</t>
  </si>
  <si>
    <t>302481197</t>
  </si>
  <si>
    <t>299628767</t>
  </si>
  <si>
    <t>300212346</t>
  </si>
  <si>
    <t>300213645</t>
  </si>
  <si>
    <t>301852599</t>
  </si>
  <si>
    <t>300216841</t>
  </si>
  <si>
    <t>300215762</t>
  </si>
  <si>
    <t>302434061</t>
  </si>
  <si>
    <t>300218275</t>
  </si>
  <si>
    <t>300216399</t>
  </si>
  <si>
    <t>300208992</t>
  </si>
  <si>
    <t>299301276</t>
  </si>
  <si>
    <t>300222947</t>
  </si>
  <si>
    <t>296391994</t>
  </si>
  <si>
    <t>300226701</t>
  </si>
  <si>
    <t>300224987</t>
  </si>
  <si>
    <t>300233450</t>
  </si>
  <si>
    <t>299986172</t>
  </si>
  <si>
    <t>302487068</t>
  </si>
  <si>
    <t>301605432</t>
  </si>
  <si>
    <t>305450669</t>
  </si>
  <si>
    <t>305370451</t>
  </si>
  <si>
    <t>300238847</t>
  </si>
  <si>
    <t>300274232</t>
  </si>
  <si>
    <t>300241767</t>
  </si>
  <si>
    <t>305034968</t>
  </si>
  <si>
    <t>301882439</t>
  </si>
  <si>
    <t>300239040</t>
  </si>
  <si>
    <t>304934215</t>
  </si>
  <si>
    <t>304693636</t>
  </si>
  <si>
    <t>300245092</t>
  </si>
  <si>
    <t>300246149</t>
  </si>
  <si>
    <t>305455576</t>
  </si>
  <si>
    <t>305453200</t>
  </si>
  <si>
    <t>302055621</t>
  </si>
  <si>
    <t>300251595</t>
  </si>
  <si>
    <t>300256082</t>
  </si>
  <si>
    <t>300259992</t>
  </si>
  <si>
    <t>300258506</t>
  </si>
  <si>
    <t>302038338</t>
  </si>
  <si>
    <t>301968632</t>
  </si>
  <si>
    <t>305259292</t>
  </si>
  <si>
    <t>305349884</t>
  </si>
  <si>
    <t>300266639</t>
  </si>
  <si>
    <t>305222708</t>
  </si>
  <si>
    <t>302041520</t>
  </si>
  <si>
    <t>300267266</t>
  </si>
  <si>
    <t>300271213</t>
  </si>
  <si>
    <t>302217778</t>
  </si>
  <si>
    <t>302068574</t>
  </si>
  <si>
    <t>302015434</t>
  </si>
  <si>
    <t>300271946</t>
  </si>
  <si>
    <t>305539570</t>
  </si>
  <si>
    <t>302478170</t>
  </si>
  <si>
    <t>301876742</t>
  </si>
  <si>
    <t>305541477</t>
  </si>
  <si>
    <t>305478309</t>
  </si>
  <si>
    <t>305543879</t>
  </si>
  <si>
    <t>305545298</t>
  </si>
  <si>
    <t>300285888</t>
  </si>
  <si>
    <t>300277115</t>
  </si>
  <si>
    <t>302316980</t>
  </si>
  <si>
    <t>305482440</t>
  </si>
  <si>
    <t>302310967</t>
  </si>
  <si>
    <t>305306810</t>
  </si>
  <si>
    <t>302503470</t>
  </si>
  <si>
    <t>305293338</t>
  </si>
  <si>
    <t>302251216</t>
  </si>
  <si>
    <t>299245299</t>
  </si>
  <si>
    <t>305286688</t>
  </si>
  <si>
    <t>302292874</t>
  </si>
  <si>
    <t>305266727</t>
  </si>
  <si>
    <t>302351131</t>
  </si>
  <si>
    <t>302382091</t>
  </si>
  <si>
    <t>305155238</t>
  </si>
  <si>
    <t>305133600</t>
  </si>
  <si>
    <t>300293448</t>
  </si>
  <si>
    <t>302506969</t>
  </si>
  <si>
    <t>305544683</t>
  </si>
  <si>
    <t>300394332</t>
  </si>
  <si>
    <t>305542636</t>
  </si>
  <si>
    <t>305544802</t>
  </si>
  <si>
    <t>305116506</t>
  </si>
  <si>
    <t>305516784</t>
  </si>
  <si>
    <t>305548085</t>
  </si>
  <si>
    <t>300145123</t>
  </si>
  <si>
    <t>300298597</t>
  </si>
  <si>
    <t>305214649</t>
  </si>
  <si>
    <t>305127919</t>
  </si>
  <si>
    <t>302808890</t>
  </si>
  <si>
    <t>301961448</t>
  </si>
  <si>
    <t>304977959</t>
  </si>
  <si>
    <t>302453537</t>
  </si>
  <si>
    <t>305523332</t>
  </si>
  <si>
    <t>304983087</t>
  </si>
  <si>
    <t>305521235</t>
  </si>
  <si>
    <t>301923972</t>
  </si>
  <si>
    <t>304988739</t>
  </si>
  <si>
    <t>301772623</t>
  </si>
  <si>
    <t>304350925</t>
  </si>
  <si>
    <t>305523757</t>
  </si>
  <si>
    <t>305523270</t>
  </si>
  <si>
    <t>300297393</t>
  </si>
  <si>
    <t>302222068</t>
  </si>
  <si>
    <t>305528950</t>
  </si>
  <si>
    <t>301834428</t>
  </si>
  <si>
    <t>305531654</t>
  </si>
  <si>
    <t>305523228</t>
  </si>
  <si>
    <t>300247544</t>
  </si>
  <si>
    <t>305523613</t>
  </si>
  <si>
    <t>305531516</t>
  </si>
  <si>
    <t>299892161</t>
  </si>
  <si>
    <t>300240729</t>
  </si>
  <si>
    <t>300306246</t>
  </si>
  <si>
    <t>300344969</t>
  </si>
  <si>
    <t>305531793</t>
  </si>
  <si>
    <t>305533840</t>
  </si>
  <si>
    <t>305532951</t>
  </si>
  <si>
    <t>305153278</t>
  </si>
  <si>
    <t>298726170</t>
  </si>
  <si>
    <t>300304305</t>
  </si>
  <si>
    <t>300307174</t>
  </si>
  <si>
    <t>300300231</t>
  </si>
  <si>
    <t>302410462</t>
  </si>
  <si>
    <t>305536713</t>
  </si>
  <si>
    <t>305275928</t>
  </si>
  <si>
    <t>305291518</t>
  </si>
  <si>
    <t>305533962</t>
  </si>
  <si>
    <t>305537579</t>
  </si>
  <si>
    <t>305536031</t>
  </si>
  <si>
    <t>302002461</t>
  </si>
  <si>
    <t>305377575</t>
  </si>
  <si>
    <t>305540862</t>
  </si>
  <si>
    <t>305534511</t>
  </si>
  <si>
    <t>305542072</t>
  </si>
  <si>
    <t>73247739</t>
  </si>
  <si>
    <t>302029307</t>
  </si>
  <si>
    <t>302858456</t>
  </si>
  <si>
    <t>305181008</t>
  </si>
  <si>
    <t>304374440</t>
  </si>
  <si>
    <t>305542042</t>
  </si>
  <si>
    <t>305548068</t>
  </si>
  <si>
    <t>302456682</t>
  </si>
  <si>
    <t>305550360</t>
  </si>
  <si>
    <t>305550531</t>
  </si>
  <si>
    <t>301957211</t>
  </si>
  <si>
    <t>301577585</t>
  </si>
  <si>
    <t>300245732</t>
  </si>
  <si>
    <t>300384030</t>
  </si>
  <si>
    <t>305556827</t>
  </si>
  <si>
    <t>300384691</t>
  </si>
  <si>
    <t>300290990</t>
  </si>
  <si>
    <t>300286847</t>
  </si>
  <si>
    <t>302426634</t>
  </si>
  <si>
    <t>302626355</t>
  </si>
  <si>
    <t>305542304</t>
  </si>
  <si>
    <t>305132878</t>
  </si>
  <si>
    <t>305555913</t>
  </si>
  <si>
    <t>305550700</t>
  </si>
  <si>
    <t>301040210</t>
  </si>
  <si>
    <t>304290540</t>
  </si>
  <si>
    <t>302628485</t>
  </si>
  <si>
    <t>302631659</t>
  </si>
  <si>
    <t>302627958</t>
  </si>
  <si>
    <t>302628741</t>
  </si>
  <si>
    <t>305524642</t>
  </si>
  <si>
    <t>305554767</t>
  </si>
  <si>
    <t>305151298</t>
  </si>
  <si>
    <t>303113643</t>
  </si>
  <si>
    <t>301978125</t>
  </si>
  <si>
    <t>305563132</t>
  </si>
  <si>
    <t>305560925</t>
  </si>
  <si>
    <t>305558333</t>
  </si>
  <si>
    <t>305560408</t>
  </si>
  <si>
    <t>300350382</t>
  </si>
  <si>
    <t>305563694</t>
  </si>
  <si>
    <t>300354099</t>
  </si>
  <si>
    <t>305592225</t>
  </si>
  <si>
    <t>305566386</t>
  </si>
  <si>
    <t>305567007</t>
  </si>
  <si>
    <t>305566120</t>
  </si>
  <si>
    <t>300271566</t>
  </si>
  <si>
    <t>300325515</t>
  </si>
  <si>
    <t>305207741</t>
  </si>
  <si>
    <t>304952064</t>
  </si>
  <si>
    <t>305566422</t>
  </si>
  <si>
    <t>301555825</t>
  </si>
  <si>
    <t>304490650</t>
  </si>
  <si>
    <t>305573741</t>
  </si>
  <si>
    <t>305568416</t>
  </si>
  <si>
    <t>305571705</t>
  </si>
  <si>
    <t>302243947</t>
  </si>
  <si>
    <t>301856179</t>
  </si>
  <si>
    <t>305552537</t>
  </si>
  <si>
    <t>305593064</t>
  </si>
  <si>
    <t>305571396</t>
  </si>
  <si>
    <t>305131387</t>
  </si>
  <si>
    <t>300384505</t>
  </si>
  <si>
    <t>305575372</t>
  </si>
  <si>
    <t>305161660</t>
  </si>
  <si>
    <t>301001930</t>
  </si>
  <si>
    <t>302587749</t>
  </si>
  <si>
    <t>302632102</t>
  </si>
  <si>
    <t>305572856</t>
  </si>
  <si>
    <t>305575083</t>
  </si>
  <si>
    <t>305576685</t>
  </si>
  <si>
    <t>305576759</t>
  </si>
  <si>
    <t>305580339</t>
  </si>
  <si>
    <t>300239422</t>
  </si>
  <si>
    <t>301120202</t>
  </si>
  <si>
    <t>302608515</t>
  </si>
  <si>
    <t>300366337</t>
  </si>
  <si>
    <t>302611140</t>
  </si>
  <si>
    <t>301797523</t>
  </si>
  <si>
    <t>305585578</t>
  </si>
  <si>
    <t>305578895</t>
  </si>
  <si>
    <t>305578790</t>
  </si>
  <si>
    <t>305580721</t>
  </si>
  <si>
    <t>305167961</t>
  </si>
  <si>
    <t>305577208</t>
  </si>
  <si>
    <t>305577540</t>
  </si>
  <si>
    <t>301937490</t>
  </si>
  <si>
    <t>301574866</t>
  </si>
  <si>
    <t>300229321</t>
  </si>
  <si>
    <t>304800666</t>
  </si>
  <si>
    <t>305581838</t>
  </si>
  <si>
    <t>305580035</t>
  </si>
  <si>
    <t>305582835</t>
  </si>
  <si>
    <t>302619286</t>
  </si>
  <si>
    <t>305581936</t>
  </si>
  <si>
    <t>301876832</t>
  </si>
  <si>
    <t>300233143</t>
  </si>
  <si>
    <t>305586758</t>
  </si>
  <si>
    <t>305583065</t>
  </si>
  <si>
    <t>300379099</t>
  </si>
  <si>
    <t>305585580</t>
  </si>
  <si>
    <t>302624501</t>
  </si>
  <si>
    <t>302625185</t>
  </si>
  <si>
    <t>301788564</t>
  </si>
  <si>
    <t>302625980</t>
  </si>
  <si>
    <t>301828320</t>
  </si>
  <si>
    <t>302627060</t>
  </si>
  <si>
    <t>297380582</t>
  </si>
  <si>
    <t>300265388</t>
  </si>
  <si>
    <t>305591804</t>
  </si>
  <si>
    <t>305581057</t>
  </si>
  <si>
    <t>305586238</t>
  </si>
  <si>
    <t>305589770</t>
  </si>
  <si>
    <t>305588053</t>
  </si>
  <si>
    <t>305584282</t>
  </si>
  <si>
    <t>300380870</t>
  </si>
  <si>
    <t>304763838</t>
  </si>
  <si>
    <t>302273884</t>
  </si>
  <si>
    <t>301845055</t>
  </si>
  <si>
    <t>305637937</t>
  </si>
  <si>
    <t>298933434</t>
  </si>
  <si>
    <t>304700548</t>
  </si>
  <si>
    <t>302635497</t>
  </si>
  <si>
    <t>302692643</t>
  </si>
  <si>
    <t>302675582</t>
  </si>
  <si>
    <t>305598344</t>
  </si>
  <si>
    <t>305595712</t>
  </si>
  <si>
    <t>302630046</t>
  </si>
  <si>
    <t>302636424</t>
  </si>
  <si>
    <t>302636914</t>
  </si>
  <si>
    <t>302638546</t>
  </si>
  <si>
    <t>305590728</t>
  </si>
  <si>
    <t>300224508</t>
  </si>
  <si>
    <t>300234305</t>
  </si>
  <si>
    <t>302689345</t>
  </si>
  <si>
    <t>305592806</t>
  </si>
  <si>
    <t>305272095</t>
  </si>
  <si>
    <t>302685434</t>
  </si>
  <si>
    <t>300385064</t>
  </si>
  <si>
    <t>302642873</t>
  </si>
  <si>
    <t>302219274</t>
  </si>
  <si>
    <t>305596027</t>
  </si>
  <si>
    <t>301845789</t>
  </si>
  <si>
    <t>305594579</t>
  </si>
  <si>
    <t>302642931</t>
  </si>
  <si>
    <t>302646889</t>
  </si>
  <si>
    <t>302013415</t>
  </si>
  <si>
    <t>305598527</t>
  </si>
  <si>
    <t>305599238</t>
  </si>
  <si>
    <t>305601161</t>
  </si>
  <si>
    <t>305600907</t>
  </si>
  <si>
    <t>302645388</t>
  </si>
  <si>
    <t>302640645</t>
  </si>
  <si>
    <t>302643635</t>
  </si>
  <si>
    <t>300384410</t>
  </si>
  <si>
    <t>305596900</t>
  </si>
  <si>
    <t>305602723</t>
  </si>
  <si>
    <t>305590297</t>
  </si>
  <si>
    <t>305600111</t>
  </si>
  <si>
    <t>300244376</t>
  </si>
  <si>
    <t>300389027</t>
  </si>
  <si>
    <t>300398083</t>
  </si>
  <si>
    <t>302650864</t>
  </si>
  <si>
    <t>302639865</t>
  </si>
  <si>
    <t>305286689</t>
  </si>
  <si>
    <t>302652557</t>
  </si>
  <si>
    <t>302655916</t>
  </si>
  <si>
    <t>305610187</t>
  </si>
  <si>
    <t>302656010</t>
  </si>
  <si>
    <t>302630996</t>
  </si>
  <si>
    <t>73259190</t>
  </si>
  <si>
    <t>305608079</t>
  </si>
  <si>
    <t>302480792</t>
  </si>
  <si>
    <t>302653148</t>
  </si>
  <si>
    <t>300401909</t>
  </si>
  <si>
    <t>300402204</t>
  </si>
  <si>
    <t>302659826</t>
  </si>
  <si>
    <t>300402337</t>
  </si>
  <si>
    <t>305609949</t>
  </si>
  <si>
    <t>305609820</t>
  </si>
  <si>
    <t>305611786</t>
  </si>
  <si>
    <t>305176574</t>
  </si>
  <si>
    <t>305119099</t>
  </si>
  <si>
    <t>302651135</t>
  </si>
  <si>
    <t>302660175</t>
  </si>
  <si>
    <t>300403924</t>
  </si>
  <si>
    <t>300404458</t>
  </si>
  <si>
    <t>300403570</t>
  </si>
  <si>
    <t>301897141</t>
  </si>
  <si>
    <t>305613879</t>
  </si>
  <si>
    <t>302663423</t>
  </si>
  <si>
    <t>302662806</t>
  </si>
  <si>
    <t>302663302</t>
  </si>
  <si>
    <t>300406921</t>
  </si>
  <si>
    <t>302667709</t>
  </si>
  <si>
    <t>302666800</t>
  </si>
  <si>
    <t>305611782</t>
  </si>
  <si>
    <t>300238522</t>
  </si>
  <si>
    <t>305616565</t>
  </si>
  <si>
    <t>298693710</t>
  </si>
  <si>
    <t>300233578</t>
  </si>
  <si>
    <t>302668845</t>
  </si>
  <si>
    <t>302668914</t>
  </si>
  <si>
    <t>302667479</t>
  </si>
  <si>
    <t>302665500</t>
  </si>
  <si>
    <t>302669408</t>
  </si>
  <si>
    <t>300411081</t>
  </si>
  <si>
    <t>302667515</t>
  </si>
  <si>
    <t>305622443</t>
  </si>
  <si>
    <t>73261051</t>
  </si>
  <si>
    <t>302291807</t>
  </si>
  <si>
    <t>300412068</t>
  </si>
  <si>
    <t>300412521</t>
  </si>
  <si>
    <t>305587023</t>
  </si>
  <si>
    <t>300419975</t>
  </si>
  <si>
    <t>302667332</t>
  </si>
  <si>
    <t>302675511</t>
  </si>
  <si>
    <t>302359338</t>
  </si>
  <si>
    <t>305625360</t>
  </si>
  <si>
    <t>305617120</t>
  </si>
  <si>
    <t>305622278</t>
  </si>
  <si>
    <t>305623507</t>
  </si>
  <si>
    <t>305626881</t>
  </si>
  <si>
    <t>305626197</t>
  </si>
  <si>
    <t>305624226</t>
  </si>
  <si>
    <t>302678949</t>
  </si>
  <si>
    <t>305623203</t>
  </si>
  <si>
    <t>305609505</t>
  </si>
  <si>
    <t>305629738</t>
  </si>
  <si>
    <t>305628396</t>
  </si>
  <si>
    <t>305628647</t>
  </si>
  <si>
    <t>302668789</t>
  </si>
  <si>
    <t>302682752</t>
  </si>
  <si>
    <t>302675062</t>
  </si>
  <si>
    <t>302678521</t>
  </si>
  <si>
    <t>302682642</t>
  </si>
  <si>
    <t>300415488</t>
  </si>
  <si>
    <t>300230569</t>
  </si>
  <si>
    <t>305632742</t>
  </si>
  <si>
    <t>302259563</t>
  </si>
  <si>
    <t>305629386</t>
  </si>
  <si>
    <t>300431402</t>
  </si>
  <si>
    <t>302227800</t>
  </si>
  <si>
    <t>302684530</t>
  </si>
  <si>
    <t>302683516</t>
  </si>
  <si>
    <t>302684873</t>
  </si>
  <si>
    <t>302240711</t>
  </si>
  <si>
    <t>305635210</t>
  </si>
  <si>
    <t>305634067</t>
  </si>
  <si>
    <t>305632899</t>
  </si>
  <si>
    <t>302671918</t>
  </si>
  <si>
    <t>302408979</t>
  </si>
  <si>
    <t>305133716</t>
  </si>
  <si>
    <t>305635515</t>
  </si>
  <si>
    <t>305635473</t>
  </si>
  <si>
    <t>305639006</t>
  </si>
  <si>
    <t>305638659</t>
  </si>
  <si>
    <t>300277735</t>
  </si>
  <si>
    <t>302696240</t>
  </si>
  <si>
    <t>302694763</t>
  </si>
  <si>
    <t>300423354</t>
  </si>
  <si>
    <t>301036786</t>
  </si>
  <si>
    <t>300424248</t>
  </si>
  <si>
    <t>302296802</t>
  </si>
  <si>
    <t>302699324</t>
  </si>
  <si>
    <t>302691978</t>
  </si>
  <si>
    <t>305636506</t>
  </si>
  <si>
    <t>302704537</t>
  </si>
  <si>
    <t>305637934</t>
  </si>
  <si>
    <t>300353265</t>
  </si>
  <si>
    <t>302639966</t>
  </si>
  <si>
    <t>302650068</t>
  </si>
  <si>
    <t>302707498</t>
  </si>
  <si>
    <t>302708236</t>
  </si>
  <si>
    <t>302709142</t>
  </si>
  <si>
    <t>302331853</t>
  </si>
  <si>
    <t>305591794</t>
  </si>
  <si>
    <t>305642126</t>
  </si>
  <si>
    <t>302711492</t>
  </si>
  <si>
    <t>302711510</t>
  </si>
  <si>
    <t>300421023</t>
  </si>
  <si>
    <t>302712597</t>
  </si>
  <si>
    <t>302711595</t>
  </si>
  <si>
    <t>302712110</t>
  </si>
  <si>
    <t>302716217</t>
  </si>
  <si>
    <t>302702875</t>
  </si>
  <si>
    <t>302714643</t>
  </si>
  <si>
    <t>302714135</t>
  </si>
  <si>
    <t>300425809</t>
  </si>
  <si>
    <t>301788849</t>
  </si>
  <si>
    <t>300216015</t>
  </si>
  <si>
    <t>302714487</t>
  </si>
  <si>
    <t>301113807</t>
  </si>
  <si>
    <t>302717207</t>
  </si>
  <si>
    <t>305648384</t>
  </si>
  <si>
    <t>305574218</t>
  </si>
  <si>
    <t>305648387</t>
  </si>
  <si>
    <t>305650825</t>
  </si>
  <si>
    <t>302722500</t>
  </si>
  <si>
    <t>302725242</t>
  </si>
  <si>
    <t>302727424</t>
  </si>
  <si>
    <t>302726852</t>
  </si>
  <si>
    <t>302727494</t>
  </si>
  <si>
    <t>299213760</t>
  </si>
  <si>
    <t>305219310</t>
  </si>
  <si>
    <t>305287045</t>
  </si>
  <si>
    <t>305244258</t>
  </si>
  <si>
    <t>302730263</t>
  </si>
  <si>
    <t>302729506</t>
  </si>
  <si>
    <t>304975295</t>
  </si>
  <si>
    <t>305655581</t>
  </si>
  <si>
    <t>305655670</t>
  </si>
  <si>
    <t>302714409</t>
  </si>
  <si>
    <t>300438968</t>
  </si>
  <si>
    <t>301930412</t>
  </si>
  <si>
    <t>302719385</t>
  </si>
  <si>
    <t>302725577</t>
  </si>
  <si>
    <t>302695860</t>
  </si>
  <si>
    <t>305660947</t>
  </si>
  <si>
    <t>305659861</t>
  </si>
  <si>
    <t>305347518</t>
  </si>
  <si>
    <t>305683934</t>
  </si>
  <si>
    <t>300400413</t>
  </si>
  <si>
    <t>302742434</t>
  </si>
  <si>
    <t>73268241</t>
  </si>
  <si>
    <t>305665363</t>
  </si>
  <si>
    <t>305635474</t>
  </si>
  <si>
    <t>301401265</t>
  </si>
  <si>
    <t>305666616</t>
  </si>
  <si>
    <t>302768652</t>
  </si>
  <si>
    <t>305670611</t>
  </si>
  <si>
    <t>300445157</t>
  </si>
  <si>
    <t>305669517</t>
  </si>
  <si>
    <t>305136779</t>
  </si>
  <si>
    <t>305676253</t>
  </si>
  <si>
    <t>305678099</t>
  </si>
  <si>
    <t>302747876</t>
  </si>
  <si>
    <t>299234719</t>
  </si>
  <si>
    <t>305680184</t>
  </si>
  <si>
    <t>305680073</t>
  </si>
  <si>
    <t>302407381</t>
  </si>
  <si>
    <t>302350958</t>
  </si>
  <si>
    <t>302262179</t>
  </si>
  <si>
    <t>305571800</t>
  </si>
  <si>
    <t>305681469</t>
  </si>
  <si>
    <t>300306906</t>
  </si>
  <si>
    <t>302875757</t>
  </si>
  <si>
    <t>302770363</t>
  </si>
  <si>
    <t>302764075</t>
  </si>
  <si>
    <t>305690311</t>
  </si>
  <si>
    <t>302773511</t>
  </si>
  <si>
    <t>302774442</t>
  </si>
  <si>
    <t>302774602</t>
  </si>
  <si>
    <t>302776601</t>
  </si>
  <si>
    <t>302777442</t>
  </si>
  <si>
    <t>305692340</t>
  </si>
  <si>
    <t>305689344</t>
  </si>
  <si>
    <t>301161463</t>
  </si>
  <si>
    <t>305256401</t>
  </si>
  <si>
    <t>305643466</t>
  </si>
  <si>
    <t>301078283</t>
  </si>
  <si>
    <t>302776763</t>
  </si>
  <si>
    <t>302779429</t>
  </si>
  <si>
    <t>305694086</t>
  </si>
  <si>
    <t>305690902</t>
  </si>
  <si>
    <t>305689290</t>
  </si>
  <si>
    <t>274788366</t>
  </si>
  <si>
    <t>305697159</t>
  </si>
  <si>
    <t>305695876</t>
  </si>
  <si>
    <t>305640996</t>
  </si>
  <si>
    <t>305204732</t>
  </si>
  <si>
    <t>305696539</t>
  </si>
  <si>
    <t>305694855</t>
  </si>
  <si>
    <t>305697967</t>
  </si>
  <si>
    <t>302435164</t>
  </si>
  <si>
    <t>302779882</t>
  </si>
  <si>
    <t>302825008</t>
  </si>
  <si>
    <t>302784979</t>
  </si>
  <si>
    <t>305590303</t>
  </si>
  <si>
    <t>302782836</t>
  </si>
  <si>
    <t>302419381</t>
  </si>
  <si>
    <t>301881517</t>
  </si>
  <si>
    <t>302780815</t>
  </si>
  <si>
    <t>302785347</t>
  </si>
  <si>
    <t>305703649</t>
  </si>
  <si>
    <t>305701818</t>
  </si>
  <si>
    <t>305581055</t>
  </si>
  <si>
    <t>302432139</t>
  </si>
  <si>
    <t>305702510</t>
  </si>
  <si>
    <t>305706479</t>
  </si>
  <si>
    <t>302791343</t>
  </si>
  <si>
    <t>302790254</t>
  </si>
  <si>
    <t>301837123</t>
  </si>
  <si>
    <t>305705048</t>
  </si>
  <si>
    <t>305704713</t>
  </si>
  <si>
    <t>301826530</t>
  </si>
  <si>
    <t>302795490</t>
  </si>
  <si>
    <t>302478370</t>
  </si>
  <si>
    <t>305728443</t>
  </si>
  <si>
    <t>301923081</t>
  </si>
  <si>
    <t>305543489</t>
  </si>
  <si>
    <t>305706460</t>
  </si>
  <si>
    <t>302248878</t>
  </si>
  <si>
    <t>302793176</t>
  </si>
  <si>
    <t>302798400</t>
  </si>
  <si>
    <t>305710152</t>
  </si>
  <si>
    <t>301777015</t>
  </si>
  <si>
    <t>305555089</t>
  </si>
  <si>
    <t>302624737</t>
  </si>
  <si>
    <t>305708475</t>
  </si>
  <si>
    <t>299150202</t>
  </si>
  <si>
    <t>299479449</t>
  </si>
  <si>
    <t>302355039</t>
  </si>
  <si>
    <t>305728178</t>
  </si>
  <si>
    <t>304784983</t>
  </si>
  <si>
    <t>302801429</t>
  </si>
  <si>
    <t>302798066</t>
  </si>
  <si>
    <t>302797733</t>
  </si>
  <si>
    <t>302800455</t>
  </si>
  <si>
    <t>299486180</t>
  </si>
  <si>
    <t>302792941</t>
  </si>
  <si>
    <t>304975064</t>
  </si>
  <si>
    <t>302798794</t>
  </si>
  <si>
    <t>302803410</t>
  </si>
  <si>
    <t>305713960</t>
  </si>
  <si>
    <t>302802769</t>
  </si>
  <si>
    <t>302801468</t>
  </si>
  <si>
    <t>302801349</t>
  </si>
  <si>
    <t>302796246</t>
  </si>
  <si>
    <t>305713837</t>
  </si>
  <si>
    <t>302807172</t>
  </si>
  <si>
    <t>302804247</t>
  </si>
  <si>
    <t>302803571</t>
  </si>
  <si>
    <t>302805043</t>
  </si>
  <si>
    <t>302805210</t>
  </si>
  <si>
    <t>305715226</t>
  </si>
  <si>
    <t>300236858</t>
  </si>
  <si>
    <t>302806266</t>
  </si>
  <si>
    <t>73054669</t>
  </si>
  <si>
    <t>302808153</t>
  </si>
  <si>
    <t>302808482</t>
  </si>
  <si>
    <t>302403993</t>
  </si>
  <si>
    <t>301917542</t>
  </si>
  <si>
    <t>301036853</t>
  </si>
  <si>
    <t>305707280</t>
  </si>
  <si>
    <t>305707729</t>
  </si>
  <si>
    <t>305719454</t>
  </si>
  <si>
    <t>302808864</t>
  </si>
  <si>
    <t>302810376</t>
  </si>
  <si>
    <t>302809633</t>
  </si>
  <si>
    <t>301951921</t>
  </si>
  <si>
    <t>300237361</t>
  </si>
  <si>
    <t>301104849</t>
  </si>
  <si>
    <t>302811225</t>
  </si>
  <si>
    <t>302813381</t>
  </si>
  <si>
    <t>302811794</t>
  </si>
  <si>
    <t>302809877</t>
  </si>
  <si>
    <t>302811142</t>
  </si>
  <si>
    <t>302812090</t>
  </si>
  <si>
    <t>301894417</t>
  </si>
  <si>
    <t>305712447</t>
  </si>
  <si>
    <t>301961061</t>
  </si>
  <si>
    <t>300252284</t>
  </si>
  <si>
    <t>302813081</t>
  </si>
  <si>
    <t>302816495</t>
  </si>
  <si>
    <t>302814583</t>
  </si>
  <si>
    <t>302812953</t>
  </si>
  <si>
    <t>302811901</t>
  </si>
  <si>
    <t>302814900</t>
  </si>
  <si>
    <t>302815630</t>
  </si>
  <si>
    <t>305108161</t>
  </si>
  <si>
    <t>302300850</t>
  </si>
  <si>
    <t>305723466</t>
  </si>
  <si>
    <t>305722529</t>
  </si>
  <si>
    <t>305724753</t>
  </si>
  <si>
    <t>302817167</t>
  </si>
  <si>
    <t>302814604</t>
  </si>
  <si>
    <t>302811409</t>
  </si>
  <si>
    <t>302816002</t>
  </si>
  <si>
    <t>302818188</t>
  </si>
  <si>
    <t>302808235</t>
  </si>
  <si>
    <t>299603929</t>
  </si>
  <si>
    <t>302820206</t>
  </si>
  <si>
    <t>302818100</t>
  </si>
  <si>
    <t>305724490</t>
  </si>
  <si>
    <t>305725391</t>
  </si>
  <si>
    <t>305725320</t>
  </si>
  <si>
    <t>305523572</t>
  </si>
  <si>
    <t>302821627</t>
  </si>
  <si>
    <t>302706492</t>
  </si>
  <si>
    <t>302219607</t>
  </si>
  <si>
    <t>304927175</t>
  </si>
  <si>
    <t>300497760</t>
  </si>
  <si>
    <t>305649619</t>
  </si>
  <si>
    <t>299705859</t>
  </si>
  <si>
    <t>302434498</t>
  </si>
  <si>
    <t>305723633</t>
  </si>
  <si>
    <t>300799410</t>
  </si>
  <si>
    <t>302826911</t>
  </si>
  <si>
    <t>302825294</t>
  </si>
  <si>
    <t>305729744</t>
  </si>
  <si>
    <t>302830009</t>
  </si>
  <si>
    <t>302828759</t>
  </si>
  <si>
    <t>305630923</t>
  </si>
  <si>
    <t>305348169</t>
  </si>
  <si>
    <t>305346622</t>
  </si>
  <si>
    <t>302832677</t>
  </si>
  <si>
    <t>302831320</t>
  </si>
  <si>
    <t>305729365</t>
  </si>
  <si>
    <t>305731374</t>
  </si>
  <si>
    <t>305707063</t>
  </si>
  <si>
    <t>300930575</t>
  </si>
  <si>
    <t>305706386</t>
  </si>
  <si>
    <t>305520617</t>
  </si>
  <si>
    <t>301073976</t>
  </si>
  <si>
    <t>305734097</t>
  </si>
  <si>
    <t>305735651</t>
  </si>
  <si>
    <t>305732189</t>
  </si>
  <si>
    <t>300933879</t>
  </si>
  <si>
    <t>302833654</t>
  </si>
  <si>
    <t>300541449</t>
  </si>
  <si>
    <t>300540886</t>
  </si>
  <si>
    <t>301839210</t>
  </si>
  <si>
    <t>300551583</t>
  </si>
  <si>
    <t>254641074</t>
  </si>
  <si>
    <t>300554683</t>
  </si>
  <si>
    <t>302643333</t>
  </si>
  <si>
    <t>302836173</t>
  </si>
  <si>
    <t>301404333</t>
  </si>
  <si>
    <t>300562294</t>
  </si>
  <si>
    <t>305735808</t>
  </si>
  <si>
    <t>302824117</t>
  </si>
  <si>
    <t>302835706</t>
  </si>
  <si>
    <t>300560282</t>
  </si>
  <si>
    <t>302822444</t>
  </si>
  <si>
    <t>302838563</t>
  </si>
  <si>
    <t>300565586</t>
  </si>
  <si>
    <t>302508102</t>
  </si>
  <si>
    <t>302837566</t>
  </si>
  <si>
    <t>301791709</t>
  </si>
  <si>
    <t>305374597</t>
  </si>
  <si>
    <t>300573056</t>
  </si>
  <si>
    <t>302653532</t>
  </si>
  <si>
    <t>305619322</t>
  </si>
  <si>
    <t>305703896</t>
  </si>
  <si>
    <t>305781707</t>
  </si>
  <si>
    <t>300578972</t>
  </si>
  <si>
    <t>300577168</t>
  </si>
  <si>
    <t>300583233</t>
  </si>
  <si>
    <t>302666183</t>
  </si>
  <si>
    <t>305741789</t>
  </si>
  <si>
    <t>305744432</t>
  </si>
  <si>
    <t>302689759</t>
  </si>
  <si>
    <t>300589855</t>
  </si>
  <si>
    <t>302671085</t>
  </si>
  <si>
    <t>302672449</t>
  </si>
  <si>
    <t>302697646</t>
  </si>
  <si>
    <t>302684643</t>
  </si>
  <si>
    <t>300004539</t>
  </si>
  <si>
    <t>305331086</t>
  </si>
  <si>
    <t>305746913</t>
  </si>
  <si>
    <t>302076649</t>
  </si>
  <si>
    <t>302821779</t>
  </si>
  <si>
    <t>305705352</t>
  </si>
  <si>
    <t>300595920</t>
  </si>
  <si>
    <t>300584486</t>
  </si>
  <si>
    <t>300355385</t>
  </si>
  <si>
    <t>304416912</t>
  </si>
  <si>
    <t>302680261</t>
  </si>
  <si>
    <t>302677601</t>
  </si>
  <si>
    <t>302846147</t>
  </si>
  <si>
    <t>305753441</t>
  </si>
  <si>
    <t>301857505</t>
  </si>
  <si>
    <t>300610456</t>
  </si>
  <si>
    <t>305763676</t>
  </si>
  <si>
    <t>300616744</t>
  </si>
  <si>
    <t>302848654</t>
  </si>
  <si>
    <t>302844168</t>
  </si>
  <si>
    <t>300614754</t>
  </si>
  <si>
    <t>302834697</t>
  </si>
  <si>
    <t>302850183</t>
  </si>
  <si>
    <t>302844831</t>
  </si>
  <si>
    <t>302848928</t>
  </si>
  <si>
    <t>302846915</t>
  </si>
  <si>
    <t>300622515</t>
  </si>
  <si>
    <t>300922339</t>
  </si>
  <si>
    <t>302876608</t>
  </si>
  <si>
    <t>302853218</t>
  </si>
  <si>
    <t>302853054</t>
  </si>
  <si>
    <t>302854894</t>
  </si>
  <si>
    <t>302834257</t>
  </si>
  <si>
    <t>301795266</t>
  </si>
  <si>
    <t>305774211</t>
  </si>
  <si>
    <t>300937776</t>
  </si>
  <si>
    <t>300941423</t>
  </si>
  <si>
    <t>300553958</t>
  </si>
  <si>
    <t>302832952</t>
  </si>
  <si>
    <t>302796489</t>
  </si>
  <si>
    <t>300553082</t>
  </si>
  <si>
    <t>302856367</t>
  </si>
  <si>
    <t>302857331</t>
  </si>
  <si>
    <t>302853871</t>
  </si>
  <si>
    <t>301039407</t>
  </si>
  <si>
    <t>303080124</t>
  </si>
  <si>
    <t>302858039</t>
  </si>
  <si>
    <t>302862929</t>
  </si>
  <si>
    <t>302810507</t>
  </si>
  <si>
    <t>304715859</t>
  </si>
  <si>
    <t>300383981</t>
  </si>
  <si>
    <t>295265756</t>
  </si>
  <si>
    <t>301809532</t>
  </si>
  <si>
    <t>301189758</t>
  </si>
  <si>
    <t>304955128</t>
  </si>
  <si>
    <t>302086035</t>
  </si>
  <si>
    <t>300612753</t>
  </si>
  <si>
    <t>302858715</t>
  </si>
  <si>
    <t>302857957</t>
  </si>
  <si>
    <t>302090626</t>
  </si>
  <si>
    <t>305781904</t>
  </si>
  <si>
    <t>300923620</t>
  </si>
  <si>
    <t>300922404</t>
  </si>
  <si>
    <t>305781565</t>
  </si>
  <si>
    <t>300926486</t>
  </si>
  <si>
    <t>299973768</t>
  </si>
  <si>
    <t>299975436</t>
  </si>
  <si>
    <t>300928681</t>
  </si>
  <si>
    <t>299115568</t>
  </si>
  <si>
    <t>305791349</t>
  </si>
  <si>
    <t>301139697</t>
  </si>
  <si>
    <t>305791614</t>
  </si>
  <si>
    <t>305791849</t>
  </si>
  <si>
    <t>305787639</t>
  </si>
  <si>
    <t>305789893</t>
  </si>
  <si>
    <t>300939461</t>
  </si>
  <si>
    <t>300938449</t>
  </si>
  <si>
    <t>305794683</t>
  </si>
  <si>
    <t>302863282</t>
  </si>
  <si>
    <t>302862652</t>
  </si>
  <si>
    <t>302837198</t>
  </si>
  <si>
    <t>302859950</t>
  </si>
  <si>
    <t>300946167</t>
  </si>
  <si>
    <t>300947239</t>
  </si>
  <si>
    <t>300949039</t>
  </si>
  <si>
    <t>300919799</t>
  </si>
  <si>
    <t>300946016</t>
  </si>
  <si>
    <t>300948488</t>
  </si>
  <si>
    <t>302864861</t>
  </si>
  <si>
    <t>302865207</t>
  </si>
  <si>
    <t>305750791</t>
  </si>
  <si>
    <t>73285602</t>
  </si>
  <si>
    <t>305794907</t>
  </si>
  <si>
    <t>305791530</t>
  </si>
  <si>
    <t>300925281</t>
  </si>
  <si>
    <t>300951428</t>
  </si>
  <si>
    <t>300949412</t>
  </si>
  <si>
    <t>300943640</t>
  </si>
  <si>
    <t>304965495</t>
  </si>
  <si>
    <t>305836628</t>
  </si>
  <si>
    <t>305799513</t>
  </si>
  <si>
    <t>305797959</t>
  </si>
  <si>
    <t>305794947</t>
  </si>
  <si>
    <t>305797823</t>
  </si>
  <si>
    <t>298829656</t>
  </si>
  <si>
    <t>300964462</t>
  </si>
  <si>
    <t>300952982</t>
  </si>
  <si>
    <t>300967442</t>
  </si>
  <si>
    <t>305837333</t>
  </si>
  <si>
    <t>300966753</t>
  </si>
  <si>
    <t>300963651</t>
  </si>
  <si>
    <t>300965754</t>
  </si>
  <si>
    <t>300964523</t>
  </si>
  <si>
    <t>300932015</t>
  </si>
  <si>
    <t>300970968</t>
  </si>
  <si>
    <t>300547297</t>
  </si>
  <si>
    <t>301607420</t>
  </si>
  <si>
    <t>302867042</t>
  </si>
  <si>
    <t>302837940</t>
  </si>
  <si>
    <t>299276716</t>
  </si>
  <si>
    <t>299278145</t>
  </si>
  <si>
    <t>300972233</t>
  </si>
  <si>
    <t>302867393</t>
  </si>
  <si>
    <t>302839137</t>
  </si>
  <si>
    <t>300974904</t>
  </si>
  <si>
    <t>300961044</t>
  </si>
  <si>
    <t>305597714</t>
  </si>
  <si>
    <t>305800653</t>
  </si>
  <si>
    <t>300926203</t>
  </si>
  <si>
    <t>305801640</t>
  </si>
  <si>
    <t>305798823</t>
  </si>
  <si>
    <t>302693173</t>
  </si>
  <si>
    <t>305841241</t>
  </si>
  <si>
    <t>300980747</t>
  </si>
  <si>
    <t>300982003</t>
  </si>
  <si>
    <t>300968041</t>
  </si>
  <si>
    <t>300983196</t>
  </si>
  <si>
    <t>300254847</t>
  </si>
  <si>
    <t>300985095</t>
  </si>
  <si>
    <t>302831997</t>
  </si>
  <si>
    <t>300982730</t>
  </si>
  <si>
    <t>300986879</t>
  </si>
  <si>
    <t>300989002</t>
  </si>
  <si>
    <t>300986435</t>
  </si>
  <si>
    <t>305297703</t>
  </si>
  <si>
    <t>301595382</t>
  </si>
  <si>
    <t>300990757</t>
  </si>
  <si>
    <t>300990689</t>
  </si>
  <si>
    <t>300990581</t>
  </si>
  <si>
    <t>301136803</t>
  </si>
  <si>
    <t>301127270</t>
  </si>
  <si>
    <t>300993662</t>
  </si>
  <si>
    <t>300995612</t>
  </si>
  <si>
    <t>300993385</t>
  </si>
  <si>
    <t>305808539</t>
  </si>
  <si>
    <t>305813501</t>
  </si>
  <si>
    <t>300997263</t>
  </si>
  <si>
    <t>300419897</t>
  </si>
  <si>
    <t>301124204</t>
  </si>
  <si>
    <t>301000944</t>
  </si>
  <si>
    <t>305811698</t>
  </si>
  <si>
    <t>305817102</t>
  </si>
  <si>
    <t>302868515</t>
  </si>
  <si>
    <t>301004548</t>
  </si>
  <si>
    <t>305723361</t>
  </si>
  <si>
    <t>305808729</t>
  </si>
  <si>
    <t>305697004</t>
  </si>
  <si>
    <t>305721992</t>
  </si>
  <si>
    <t>305812245</t>
  </si>
  <si>
    <t>301001659</t>
  </si>
  <si>
    <t>301010830</t>
  </si>
  <si>
    <t>301201305</t>
  </si>
  <si>
    <t>301013041</t>
  </si>
  <si>
    <t>301018229</t>
  </si>
  <si>
    <t>301011295</t>
  </si>
  <si>
    <t>302686381</t>
  </si>
  <si>
    <t>302874773</t>
  </si>
  <si>
    <t>301023781</t>
  </si>
  <si>
    <t>301022990</t>
  </si>
  <si>
    <t>301022673</t>
  </si>
  <si>
    <t>300994531</t>
  </si>
  <si>
    <t>305820542</t>
  </si>
  <si>
    <t>305820217</t>
  </si>
  <si>
    <t>305823649</t>
  </si>
  <si>
    <t>302768709</t>
  </si>
  <si>
    <t>301026858</t>
  </si>
  <si>
    <t>301022354</t>
  </si>
  <si>
    <t>305817030</t>
  </si>
  <si>
    <t>305822042</t>
  </si>
  <si>
    <t>301016270</t>
  </si>
  <si>
    <t>301026342</t>
  </si>
  <si>
    <t>301038540</t>
  </si>
  <si>
    <t>301041370</t>
  </si>
  <si>
    <t>302824477</t>
  </si>
  <si>
    <t>305820150</t>
  </si>
  <si>
    <t>301039036</t>
  </si>
  <si>
    <t>301044417</t>
  </si>
  <si>
    <t>301035957</t>
  </si>
  <si>
    <t>302657548</t>
  </si>
  <si>
    <t>302655300</t>
  </si>
  <si>
    <t>302647487</t>
  </si>
  <si>
    <t>301043070</t>
  </si>
  <si>
    <t>305621497</t>
  </si>
  <si>
    <t>305722614</t>
  </si>
  <si>
    <t>305823415</t>
  </si>
  <si>
    <t>305590813</t>
  </si>
  <si>
    <t>305820288</t>
  </si>
  <si>
    <t>305823239</t>
  </si>
  <si>
    <t>305590587</t>
  </si>
  <si>
    <t>302283620</t>
  </si>
  <si>
    <t>301051209</t>
  </si>
  <si>
    <t>305638086</t>
  </si>
  <si>
    <t>305822391</t>
  </si>
  <si>
    <t>305586236</t>
  </si>
  <si>
    <t>305595380</t>
  </si>
  <si>
    <t>305626655</t>
  </si>
  <si>
    <t>305826092</t>
  </si>
  <si>
    <t>301545229</t>
  </si>
  <si>
    <t>300924177</t>
  </si>
  <si>
    <t>305691634</t>
  </si>
  <si>
    <t>305826983</t>
  </si>
  <si>
    <t>301052549</t>
  </si>
  <si>
    <t>301052195</t>
  </si>
  <si>
    <t>302324453</t>
  </si>
  <si>
    <t>301050577</t>
  </si>
  <si>
    <t>303043770</t>
  </si>
  <si>
    <t>302879446</t>
  </si>
  <si>
    <t>302625152</t>
  </si>
  <si>
    <t>301137905</t>
  </si>
  <si>
    <t>301054891</t>
  </si>
  <si>
    <t>301061784</t>
  </si>
  <si>
    <t>301061912</t>
  </si>
  <si>
    <t>302297348</t>
  </si>
  <si>
    <t>305827202</t>
  </si>
  <si>
    <t>305529371</t>
  </si>
  <si>
    <t>305725403</t>
  </si>
  <si>
    <t>305821991</t>
  </si>
  <si>
    <t>305542595</t>
  </si>
  <si>
    <t>299528197</t>
  </si>
  <si>
    <t>302084009</t>
  </si>
  <si>
    <t>301945093</t>
  </si>
  <si>
    <t>301042165</t>
  </si>
  <si>
    <t>301045929</t>
  </si>
  <si>
    <t>304804315</t>
  </si>
  <si>
    <t>301072313</t>
  </si>
  <si>
    <t>301077738</t>
  </si>
  <si>
    <t>301138666</t>
  </si>
  <si>
    <t>301967300</t>
  </si>
  <si>
    <t>301075923</t>
  </si>
  <si>
    <t>301086435</t>
  </si>
  <si>
    <t>301084940</t>
  </si>
  <si>
    <t>305829614</t>
  </si>
  <si>
    <t>305829109</t>
  </si>
  <si>
    <t>301094441</t>
  </si>
  <si>
    <t>301091693</t>
  </si>
  <si>
    <t>301042311</t>
  </si>
  <si>
    <t>300381143</t>
  </si>
  <si>
    <t>301093746</t>
  </si>
  <si>
    <t>301097801</t>
  </si>
  <si>
    <t>301099683</t>
  </si>
  <si>
    <t>294131029</t>
  </si>
  <si>
    <t>301101734</t>
  </si>
  <si>
    <t>305828146</t>
  </si>
  <si>
    <t>305830319</t>
  </si>
  <si>
    <t>305828858</t>
  </si>
  <si>
    <t>305829821</t>
  </si>
  <si>
    <t>305827530</t>
  </si>
  <si>
    <t>72856345</t>
  </si>
  <si>
    <t>301111698</t>
  </si>
  <si>
    <t>301111757</t>
  </si>
  <si>
    <t>305833945</t>
  </si>
  <si>
    <t>302449737</t>
  </si>
  <si>
    <t>301116022</t>
  </si>
  <si>
    <t>302489970</t>
  </si>
  <si>
    <t>305838021</t>
  </si>
  <si>
    <t>305836692</t>
  </si>
  <si>
    <t>301119535</t>
  </si>
  <si>
    <t>302880741</t>
  </si>
  <si>
    <t>301082144</t>
  </si>
  <si>
    <t>301121892</t>
  </si>
  <si>
    <t>305666410</t>
  </si>
  <si>
    <t>301128765</t>
  </si>
  <si>
    <t>301127959</t>
  </si>
  <si>
    <t>302825542</t>
  </si>
  <si>
    <t>302844928</t>
  </si>
  <si>
    <t>301131002</t>
  </si>
  <si>
    <t>301118982</t>
  </si>
  <si>
    <t>301133478</t>
  </si>
  <si>
    <t>301133445</t>
  </si>
  <si>
    <t>301141606</t>
  </si>
  <si>
    <t>301141507</t>
  </si>
  <si>
    <t>301132558</t>
  </si>
  <si>
    <t>302379270</t>
  </si>
  <si>
    <t>301142540</t>
  </si>
  <si>
    <t>301145181</t>
  </si>
  <si>
    <t>301145280</t>
  </si>
  <si>
    <t>302788331</t>
  </si>
  <si>
    <t>301137092</t>
  </si>
  <si>
    <t>301022371</t>
  </si>
  <si>
    <t>301145810</t>
  </si>
  <si>
    <t>301148795</t>
  </si>
  <si>
    <t>302706175</t>
  </si>
  <si>
    <t>300968485</t>
  </si>
  <si>
    <t>301147913</t>
  </si>
  <si>
    <t>301150600</t>
  </si>
  <si>
    <t>300952898</t>
  </si>
  <si>
    <t>305819702</t>
  </si>
  <si>
    <t>301149536</t>
  </si>
  <si>
    <t>302855367</t>
  </si>
  <si>
    <t>302890823</t>
  </si>
  <si>
    <t>301156434</t>
  </si>
  <si>
    <t>301155501</t>
  </si>
  <si>
    <t>301156080</t>
  </si>
  <si>
    <t>301157678</t>
  </si>
  <si>
    <t>301160027</t>
  </si>
  <si>
    <t>301158277</t>
  </si>
  <si>
    <t>301073604</t>
  </si>
  <si>
    <t>305240391</t>
  </si>
  <si>
    <t>305842244</t>
  </si>
  <si>
    <t>305846177</t>
  </si>
  <si>
    <t>301164579</t>
  </si>
  <si>
    <t>305280990</t>
  </si>
  <si>
    <t>301166344</t>
  </si>
  <si>
    <t>301158169</t>
  </si>
  <si>
    <t>305283208</t>
  </si>
  <si>
    <t>304952709</t>
  </si>
  <si>
    <t>301125982</t>
  </si>
  <si>
    <t>301168041</t>
  </si>
  <si>
    <t>301193805</t>
  </si>
  <si>
    <t>300957382</t>
  </si>
  <si>
    <t>305845453</t>
  </si>
  <si>
    <t>305314626</t>
  </si>
  <si>
    <t>301171891</t>
  </si>
  <si>
    <t>301169023</t>
  </si>
  <si>
    <t>301168998</t>
  </si>
  <si>
    <t>301170387</t>
  </si>
  <si>
    <t>302456014</t>
  </si>
  <si>
    <t>301172398</t>
  </si>
  <si>
    <t>305338530</t>
  </si>
  <si>
    <t>301174359</t>
  </si>
  <si>
    <t>301814248</t>
  </si>
  <si>
    <t>301163837</t>
  </si>
  <si>
    <t>302413171</t>
  </si>
  <si>
    <t>305314315</t>
  </si>
  <si>
    <t>302422429</t>
  </si>
  <si>
    <t>302415269</t>
  </si>
  <si>
    <t>301180032</t>
  </si>
  <si>
    <t>301181867</t>
  </si>
  <si>
    <t>302368566</t>
  </si>
  <si>
    <t>305849906</t>
  </si>
  <si>
    <t>301044002</t>
  </si>
  <si>
    <t>301183559</t>
  </si>
  <si>
    <t>301183312</t>
  </si>
  <si>
    <t>301184523</t>
  </si>
  <si>
    <t>301183657</t>
  </si>
  <si>
    <t>301186694</t>
  </si>
  <si>
    <t>301776737</t>
  </si>
  <si>
    <t>302873830</t>
  </si>
  <si>
    <t>299567371</t>
  </si>
  <si>
    <t>302150662</t>
  </si>
  <si>
    <t>302228399</t>
  </si>
  <si>
    <t>302833478</t>
  </si>
  <si>
    <t>301184418</t>
  </si>
  <si>
    <t>302905904</t>
  </si>
  <si>
    <t>304696061</t>
  </si>
  <si>
    <t>300403415</t>
  </si>
  <si>
    <t>301192121</t>
  </si>
  <si>
    <t>301851202</t>
  </si>
  <si>
    <t>301194902</t>
  </si>
  <si>
    <t>301191917</t>
  </si>
  <si>
    <t>301186915</t>
  </si>
  <si>
    <t>301192182</t>
  </si>
  <si>
    <t>305348616</t>
  </si>
  <si>
    <t>301197266</t>
  </si>
  <si>
    <t>301198546</t>
  </si>
  <si>
    <t>302811774</t>
  </si>
  <si>
    <t>302611925</t>
  </si>
  <si>
    <t>302320119</t>
  </si>
  <si>
    <t>302850460</t>
  </si>
  <si>
    <t>301209197</t>
  </si>
  <si>
    <t>301209661</t>
  </si>
  <si>
    <t>301159563</t>
  </si>
  <si>
    <t>302451038</t>
  </si>
  <si>
    <t>304968218</t>
  </si>
  <si>
    <t>302630508</t>
  </si>
  <si>
    <t>301183909</t>
  </si>
  <si>
    <t>305864160</t>
  </si>
  <si>
    <t>302220552</t>
  </si>
  <si>
    <t>302151801</t>
  </si>
  <si>
    <t>300221657</t>
  </si>
  <si>
    <t>304800797</t>
  </si>
  <si>
    <t>301126615</t>
  </si>
  <si>
    <t>305731924</t>
  </si>
  <si>
    <t>301082474</t>
  </si>
  <si>
    <t>301835127</t>
  </si>
  <si>
    <t>301141610</t>
  </si>
  <si>
    <t>305536857</t>
  </si>
  <si>
    <t>305811037</t>
  </si>
  <si>
    <t>301145577</t>
  </si>
  <si>
    <t>301982967</t>
  </si>
  <si>
    <t>301235259</t>
  </si>
  <si>
    <t>304479795</t>
  </si>
  <si>
    <t>304906845</t>
  </si>
  <si>
    <t>301030689</t>
  </si>
  <si>
    <t>301236727</t>
  </si>
  <si>
    <t>301236043</t>
  </si>
  <si>
    <t>299665345</t>
  </si>
  <si>
    <t>302058065</t>
  </si>
  <si>
    <t>305871986</t>
  </si>
  <si>
    <t>305870898</t>
  </si>
  <si>
    <t>305852407</t>
  </si>
  <si>
    <t>300947011</t>
  </si>
  <si>
    <t>303055030</t>
  </si>
  <si>
    <t>305733199</t>
  </si>
  <si>
    <t>301017477</t>
  </si>
  <si>
    <t>301254872</t>
  </si>
  <si>
    <t>305872494</t>
  </si>
  <si>
    <t>305821294</t>
  </si>
  <si>
    <t>301073609</t>
  </si>
  <si>
    <t>305840325</t>
  </si>
  <si>
    <t>304296954</t>
  </si>
  <si>
    <t>304470241</t>
  </si>
  <si>
    <t>302230297</t>
  </si>
  <si>
    <t>305806839</t>
  </si>
  <si>
    <t>304935742</t>
  </si>
  <si>
    <t>305536262</t>
  </si>
  <si>
    <t>305625291</t>
  </si>
  <si>
    <t>301470585</t>
  </si>
  <si>
    <t>301473070</t>
  </si>
  <si>
    <t>301471471</t>
  </si>
  <si>
    <t>301257113</t>
  </si>
  <si>
    <t>305874594</t>
  </si>
  <si>
    <t>301136862</t>
  </si>
  <si>
    <t>302832155</t>
  </si>
  <si>
    <t>302829867</t>
  </si>
  <si>
    <t>302829812</t>
  </si>
  <si>
    <t>301489176</t>
  </si>
  <si>
    <t>301276304</t>
  </si>
  <si>
    <t>302085250</t>
  </si>
  <si>
    <t>301486777</t>
  </si>
  <si>
    <t>301097833</t>
  </si>
  <si>
    <t>299462740</t>
  </si>
  <si>
    <t>302828335</t>
  </si>
  <si>
    <t>300254317</t>
  </si>
  <si>
    <t>301104308</t>
  </si>
  <si>
    <t>301812843</t>
  </si>
  <si>
    <t>299510210</t>
  </si>
  <si>
    <t>301333487</t>
  </si>
  <si>
    <t>301337170</t>
  </si>
  <si>
    <t>301338693</t>
  </si>
  <si>
    <t>299309718</t>
  </si>
  <si>
    <t>301340624</t>
  </si>
  <si>
    <t>301478946</t>
  </si>
  <si>
    <t>301346049</t>
  </si>
  <si>
    <t>301347688</t>
  </si>
  <si>
    <t>300301168</t>
  </si>
  <si>
    <t>301350957</t>
  </si>
  <si>
    <t>301352341</t>
  </si>
  <si>
    <t>301404511</t>
  </si>
  <si>
    <t>300409229</t>
  </si>
  <si>
    <t>301355464</t>
  </si>
  <si>
    <t>300235370</t>
  </si>
  <si>
    <t>301362935</t>
  </si>
  <si>
    <t>301363230</t>
  </si>
  <si>
    <t>301361582</t>
  </si>
  <si>
    <t>301859127</t>
  </si>
  <si>
    <t>300589456</t>
  </si>
  <si>
    <t>302266038</t>
  </si>
  <si>
    <t>302813187</t>
  </si>
  <si>
    <t>301368678</t>
  </si>
  <si>
    <t>301365832</t>
  </si>
  <si>
    <t>301368265</t>
  </si>
  <si>
    <t>301369650</t>
  </si>
  <si>
    <t>301371845</t>
  </si>
  <si>
    <t>301375058</t>
  </si>
  <si>
    <t>301372947</t>
  </si>
  <si>
    <t>301480766</t>
  </si>
  <si>
    <t>301381229</t>
  </si>
  <si>
    <t>301384393</t>
  </si>
  <si>
    <t>301384336</t>
  </si>
  <si>
    <t>301393479</t>
  </si>
  <si>
    <t>301390836</t>
  </si>
  <si>
    <t>301393051</t>
  </si>
  <si>
    <t>301392802</t>
  </si>
  <si>
    <t>302378281</t>
  </si>
  <si>
    <t>300033271</t>
  </si>
  <si>
    <t>301150811</t>
  </si>
  <si>
    <t>301395341</t>
  </si>
  <si>
    <t>302932087</t>
  </si>
  <si>
    <t>301395719</t>
  </si>
  <si>
    <t>305778634</t>
  </si>
  <si>
    <t>305619199</t>
  </si>
  <si>
    <t>300925326</t>
  </si>
  <si>
    <t>302841736</t>
  </si>
  <si>
    <t>301411566</t>
  </si>
  <si>
    <t>301409849</t>
  </si>
  <si>
    <t>301407480</t>
  </si>
  <si>
    <t>301403968</t>
  </si>
  <si>
    <t>301411577</t>
  </si>
  <si>
    <t>301413132</t>
  </si>
  <si>
    <t>304715479</t>
  </si>
  <si>
    <t>302006877</t>
  </si>
  <si>
    <t>300385865</t>
  </si>
  <si>
    <t>301415190</t>
  </si>
  <si>
    <t>300578561</t>
  </si>
  <si>
    <t>301418643</t>
  </si>
  <si>
    <t>301419047</t>
  </si>
  <si>
    <t>301361567</t>
  </si>
  <si>
    <t>301839839</t>
  </si>
  <si>
    <t>302942676</t>
  </si>
  <si>
    <t>304815111</t>
  </si>
  <si>
    <t>301428994</t>
  </si>
  <si>
    <t>301423951</t>
  </si>
  <si>
    <t>301419918</t>
  </si>
  <si>
    <t>301425460</t>
  </si>
  <si>
    <t>301429221</t>
  </si>
  <si>
    <t>301167529</t>
  </si>
  <si>
    <t>302933697</t>
  </si>
  <si>
    <t>301429600</t>
  </si>
  <si>
    <t>304542136</t>
  </si>
  <si>
    <t>301430368</t>
  </si>
  <si>
    <t>301432273</t>
  </si>
  <si>
    <t>304242359</t>
  </si>
  <si>
    <t>301440261</t>
  </si>
  <si>
    <t>301893896</t>
  </si>
  <si>
    <t>305343598</t>
  </si>
  <si>
    <t>305789385</t>
  </si>
  <si>
    <t>301433987</t>
  </si>
  <si>
    <t>300977530</t>
  </si>
  <si>
    <t>301436654</t>
  </si>
  <si>
    <t>301398534</t>
  </si>
  <si>
    <t>301441424</t>
  </si>
  <si>
    <t>301445449</t>
  </si>
  <si>
    <t>301440112</t>
  </si>
  <si>
    <t>301956818</t>
  </si>
  <si>
    <t>301970141</t>
  </si>
  <si>
    <t>300937884</t>
  </si>
  <si>
    <t>301441351</t>
  </si>
  <si>
    <t>299710255</t>
  </si>
  <si>
    <t>301396652</t>
  </si>
  <si>
    <t>301449039</t>
  </si>
  <si>
    <t>305693538</t>
  </si>
  <si>
    <t>301435668</t>
  </si>
  <si>
    <t>301457420</t>
  </si>
  <si>
    <t>301458649</t>
  </si>
  <si>
    <t>300014231</t>
  </si>
  <si>
    <t>301456202</t>
  </si>
  <si>
    <t>301461635</t>
  </si>
  <si>
    <t>301461403</t>
  </si>
  <si>
    <t>300984456</t>
  </si>
  <si>
    <t>305541098</t>
  </si>
  <si>
    <t>301460982</t>
  </si>
  <si>
    <t>301466476</t>
  </si>
  <si>
    <t>301416588</t>
  </si>
  <si>
    <t>301432308</t>
  </si>
  <si>
    <t>301464392</t>
  </si>
  <si>
    <t>301463157</t>
  </si>
  <si>
    <t>301457307</t>
  </si>
  <si>
    <t>301464896</t>
  </si>
  <si>
    <t>302516224</t>
  </si>
  <si>
    <t>301400557</t>
  </si>
  <si>
    <t>301468746</t>
  </si>
  <si>
    <t>301490081</t>
  </si>
  <si>
    <t>301490324</t>
  </si>
  <si>
    <t>301493804</t>
  </si>
  <si>
    <t>301495313</t>
  </si>
  <si>
    <t>300397584</t>
  </si>
  <si>
    <t>301493594</t>
  </si>
  <si>
    <t>301504983</t>
  </si>
  <si>
    <t>301505787</t>
  </si>
  <si>
    <t>301509892</t>
  </si>
  <si>
    <t>301505933</t>
  </si>
  <si>
    <t>301511815</t>
  </si>
  <si>
    <t>301515948</t>
  </si>
  <si>
    <t>301517250</t>
  </si>
  <si>
    <t>301514324</t>
  </si>
  <si>
    <t>301012918</t>
  </si>
  <si>
    <t>301516957</t>
  </si>
  <si>
    <t>301517854</t>
  </si>
  <si>
    <t>304976845</t>
  </si>
  <si>
    <t>300256332</t>
  </si>
  <si>
    <t>301529135</t>
  </si>
  <si>
    <t>301526682</t>
  </si>
  <si>
    <t>301341850</t>
  </si>
  <si>
    <t>301903594</t>
  </si>
  <si>
    <t>301536772</t>
  </si>
  <si>
    <t>301540231</t>
  </si>
  <si>
    <t>301531066</t>
  </si>
  <si>
    <t>301539968</t>
  </si>
  <si>
    <t>301538341</t>
  </si>
  <si>
    <t>302814994</t>
  </si>
  <si>
    <t>301542597</t>
  </si>
  <si>
    <t>301540901</t>
  </si>
  <si>
    <t>302715043</t>
  </si>
  <si>
    <t>301542750</t>
  </si>
  <si>
    <t>301520057</t>
  </si>
  <si>
    <t>300357952</t>
  </si>
  <si>
    <t>302288741</t>
  </si>
  <si>
    <t>303012103</t>
  </si>
  <si>
    <t>303013243</t>
  </si>
  <si>
    <t>301548096</t>
  </si>
  <si>
    <t>303017145</t>
  </si>
  <si>
    <t>303016116</t>
  </si>
  <si>
    <t>303020063</t>
  </si>
  <si>
    <t>301551622</t>
  </si>
  <si>
    <t>301548645</t>
  </si>
  <si>
    <t>301553632</t>
  </si>
  <si>
    <t>301550371</t>
  </si>
  <si>
    <t>301551250</t>
  </si>
  <si>
    <t>301553398</t>
  </si>
  <si>
    <t>301552240</t>
  </si>
  <si>
    <t>301556308</t>
  </si>
  <si>
    <t>301471976</t>
  </si>
  <si>
    <t>301518605</t>
  </si>
  <si>
    <t>305592616</t>
  </si>
  <si>
    <t>302878015</t>
  </si>
  <si>
    <t>303028715</t>
  </si>
  <si>
    <t>302054719</t>
  </si>
  <si>
    <t>302021336</t>
  </si>
  <si>
    <t>303030320</t>
  </si>
  <si>
    <t>301559482</t>
  </si>
  <si>
    <t>303029148</t>
  </si>
  <si>
    <t>302652375</t>
  </si>
  <si>
    <t>301560260</t>
  </si>
  <si>
    <t>301561969</t>
  </si>
  <si>
    <t>302631043</t>
  </si>
  <si>
    <t>301929230</t>
  </si>
  <si>
    <t>302814893</t>
  </si>
  <si>
    <t>299720439</t>
  </si>
  <si>
    <t>303029988</t>
  </si>
  <si>
    <t>301565982</t>
  </si>
  <si>
    <t>301580527</t>
  </si>
  <si>
    <t>303033463</t>
  </si>
  <si>
    <t>301569739</t>
  </si>
  <si>
    <t>301563699</t>
  </si>
  <si>
    <t>301142878</t>
  </si>
  <si>
    <t>303035843</t>
  </si>
  <si>
    <t>303033399</t>
  </si>
  <si>
    <t>303032810</t>
  </si>
  <si>
    <t>305537557</t>
  </si>
  <si>
    <t>303037806</t>
  </si>
  <si>
    <t>301904917</t>
  </si>
  <si>
    <t>303038544</t>
  </si>
  <si>
    <t>305447247</t>
  </si>
  <si>
    <t>301577491</t>
  </si>
  <si>
    <t>299096893</t>
  </si>
  <si>
    <t>301558247</t>
  </si>
  <si>
    <t>303043786</t>
  </si>
  <si>
    <t>301125716</t>
  </si>
  <si>
    <t>301379354</t>
  </si>
  <si>
    <t>303041512</t>
  </si>
  <si>
    <t>301582411</t>
  </si>
  <si>
    <t>301582594</t>
  </si>
  <si>
    <t>303049712</t>
  </si>
  <si>
    <t>301585211</t>
  </si>
  <si>
    <t>302689881</t>
  </si>
  <si>
    <t>281548544</t>
  </si>
  <si>
    <t>301582700</t>
  </si>
  <si>
    <t>301586538</t>
  </si>
  <si>
    <t>305508379</t>
  </si>
  <si>
    <t>301546201</t>
  </si>
  <si>
    <t>299121272</t>
  </si>
  <si>
    <t>301593787</t>
  </si>
  <si>
    <t>305824119</t>
  </si>
  <si>
    <t>303058283</t>
  </si>
  <si>
    <t>303054954</t>
  </si>
  <si>
    <t>303056681</t>
  </si>
  <si>
    <t>301597411</t>
  </si>
  <si>
    <t>303060173</t>
  </si>
  <si>
    <t>301601501</t>
  </si>
  <si>
    <t>302780868</t>
  </si>
  <si>
    <t>301598124</t>
  </si>
  <si>
    <t>303059866</t>
  </si>
  <si>
    <t>303058848</t>
  </si>
  <si>
    <t>300265582</t>
  </si>
  <si>
    <t>305282716</t>
  </si>
  <si>
    <t>305791411</t>
  </si>
  <si>
    <t>301603880</t>
  </si>
  <si>
    <t>301370533</t>
  </si>
  <si>
    <t>301473842</t>
  </si>
  <si>
    <t>301603706</t>
  </si>
  <si>
    <t>301496218</t>
  </si>
  <si>
    <t>301605500</t>
  </si>
  <si>
    <t>301501075</t>
  </si>
  <si>
    <t>305582999</t>
  </si>
  <si>
    <t>303049853</t>
  </si>
  <si>
    <t>301607589</t>
  </si>
  <si>
    <t>301609781</t>
  </si>
  <si>
    <t>304362678</t>
  </si>
  <si>
    <t>305799283</t>
  </si>
  <si>
    <t>301610345</t>
  </si>
  <si>
    <t>303108882</t>
  </si>
  <si>
    <t>299697464</t>
  </si>
  <si>
    <t>301564018</t>
  </si>
  <si>
    <t>302721867</t>
  </si>
  <si>
    <t>301389316</t>
  </si>
  <si>
    <t>302630114</t>
  </si>
  <si>
    <t>301419304</t>
  </si>
  <si>
    <t>302384240</t>
  </si>
  <si>
    <t>303112201</t>
  </si>
  <si>
    <t>301810275</t>
  </si>
  <si>
    <t>303089758</t>
  </si>
  <si>
    <t>302835926</t>
  </si>
  <si>
    <t>303090642</t>
  </si>
  <si>
    <t>301937169</t>
  </si>
  <si>
    <t>273838213</t>
  </si>
  <si>
    <t>303108228</t>
  </si>
  <si>
    <t>300043015</t>
  </si>
  <si>
    <t>301831674</t>
  </si>
  <si>
    <t>305125548</t>
  </si>
  <si>
    <t>301586827</t>
  </si>
  <si>
    <t>299652865</t>
  </si>
  <si>
    <t>299713128</t>
  </si>
  <si>
    <t>299857230</t>
  </si>
  <si>
    <t>305548013</t>
  </si>
  <si>
    <t>304397551</t>
  </si>
  <si>
    <t>302354274</t>
  </si>
  <si>
    <t>305905328</t>
  </si>
  <si>
    <t>305806875</t>
  </si>
  <si>
    <t>302294522</t>
  </si>
  <si>
    <t>299106443</t>
  </si>
  <si>
    <t>302434942</t>
  </si>
  <si>
    <t>301889230</t>
  </si>
  <si>
    <t>302637753</t>
  </si>
  <si>
    <t>304178757</t>
  </si>
  <si>
    <t>301797604</t>
  </si>
  <si>
    <t>301802236</t>
  </si>
  <si>
    <t>302292689</t>
  </si>
  <si>
    <t>301816640</t>
  </si>
  <si>
    <t>301826504</t>
  </si>
  <si>
    <t>302008731</t>
  </si>
  <si>
    <t>302001551</t>
  </si>
  <si>
    <t>301908130</t>
  </si>
  <si>
    <t>305802057</t>
  </si>
  <si>
    <t>301880546</t>
  </si>
  <si>
    <t>301439848</t>
  </si>
  <si>
    <t>301420123</t>
  </si>
  <si>
    <t>305689579</t>
  </si>
  <si>
    <t>302668674</t>
  </si>
  <si>
    <t>305603826</t>
  </si>
  <si>
    <t>303070178</t>
  </si>
  <si>
    <t>298850048</t>
  </si>
  <si>
    <t>301824603</t>
  </si>
  <si>
    <t>277970180</t>
  </si>
  <si>
    <t>300957370</t>
  </si>
  <si>
    <t>300970282</t>
  </si>
  <si>
    <t>302281579</t>
  </si>
  <si>
    <t>304285546</t>
  </si>
  <si>
    <t>302715319</t>
  </si>
  <si>
    <t>300242931</t>
  </si>
  <si>
    <t>304798053</t>
  </si>
  <si>
    <t>300032877</t>
  </si>
  <si>
    <t>302267476</t>
  </si>
  <si>
    <t>301895096</t>
  </si>
  <si>
    <t>304963952</t>
  </si>
  <si>
    <t>302227757</t>
  </si>
  <si>
    <t>302876675</t>
  </si>
  <si>
    <t>305650353</t>
  </si>
  <si>
    <t>301154640</t>
  </si>
  <si>
    <t>302223232</t>
  </si>
  <si>
    <t>300279296</t>
  </si>
  <si>
    <t>305633616</t>
  </si>
  <si>
    <t>302302278</t>
  </si>
  <si>
    <t>302437680</t>
  </si>
  <si>
    <t>300347771</t>
  </si>
  <si>
    <t>301781193</t>
  </si>
  <si>
    <t>304185697</t>
  </si>
  <si>
    <t>300355133</t>
  </si>
  <si>
    <t>301521786</t>
  </si>
  <si>
    <t>303058962</t>
  </si>
  <si>
    <t>302639207</t>
  </si>
  <si>
    <t>300324017</t>
  </si>
  <si>
    <t>300010414</t>
  </si>
  <si>
    <t>302671747</t>
  </si>
  <si>
    <t>302087653</t>
  </si>
  <si>
    <t>301837315</t>
  </si>
  <si>
    <t>298824494</t>
  </si>
  <si>
    <t>300258826</t>
  </si>
  <si>
    <t>302838534</t>
  </si>
  <si>
    <t>298028758</t>
  </si>
  <si>
    <t>299868257</t>
  </si>
  <si>
    <t>301564737</t>
  </si>
  <si>
    <t>302644818</t>
  </si>
  <si>
    <t>300285860</t>
  </si>
  <si>
    <t>300238316</t>
  </si>
  <si>
    <t>302330928</t>
  </si>
  <si>
    <t>303153831</t>
  </si>
  <si>
    <t>305264292</t>
  </si>
  <si>
    <t>304186784</t>
  </si>
  <si>
    <t>304185611</t>
  </si>
  <si>
    <t>304185523</t>
  </si>
  <si>
    <t>303066037</t>
  </si>
  <si>
    <t>302819516</t>
  </si>
  <si>
    <t>303038309</t>
  </si>
  <si>
    <t>300547703</t>
  </si>
  <si>
    <t>303306971</t>
  </si>
  <si>
    <t>303319729</t>
  </si>
  <si>
    <t>303326493</t>
  </si>
  <si>
    <t>304192188</t>
  </si>
  <si>
    <t>302287499</t>
  </si>
  <si>
    <t>300367009</t>
  </si>
  <si>
    <t>302006682</t>
  </si>
  <si>
    <t>305182883</t>
  </si>
  <si>
    <t>305869597</t>
  </si>
  <si>
    <t>304759423</t>
  </si>
  <si>
    <t>303395981</t>
  </si>
  <si>
    <t>305799189</t>
  </si>
  <si>
    <t>300231896</t>
  </si>
  <si>
    <t>303472059</t>
  </si>
  <si>
    <t>303487877</t>
  </si>
  <si>
    <t>300950964</t>
  </si>
  <si>
    <t>303494793</t>
  </si>
  <si>
    <t>303504093</t>
  </si>
  <si>
    <t>303499313</t>
  </si>
  <si>
    <t>304192179</t>
  </si>
  <si>
    <t>301823751</t>
  </si>
  <si>
    <t>303651642</t>
  </si>
  <si>
    <t>302095953</t>
  </si>
  <si>
    <t>303693866</t>
  </si>
  <si>
    <t>302646382</t>
  </si>
  <si>
    <t>303032040</t>
  </si>
  <si>
    <t>303646908</t>
  </si>
  <si>
    <t>303032627</t>
  </si>
  <si>
    <t>299854555</t>
  </si>
  <si>
    <t>303042296</t>
  </si>
  <si>
    <t>302397662</t>
  </si>
  <si>
    <t>304191695</t>
  </si>
  <si>
    <t>304189260</t>
  </si>
  <si>
    <t>304196244</t>
  </si>
  <si>
    <t>299686496</t>
  </si>
  <si>
    <t>300400995</t>
  </si>
  <si>
    <t>304181431</t>
  </si>
  <si>
    <t>304197943</t>
  </si>
  <si>
    <t>300236840</t>
  </si>
  <si>
    <t>304195599</t>
  </si>
  <si>
    <t>302236964</t>
  </si>
  <si>
    <t>301482492</t>
  </si>
  <si>
    <t>303921958</t>
  </si>
  <si>
    <t>304190725</t>
  </si>
  <si>
    <t>297904372</t>
  </si>
  <si>
    <t>304011009</t>
  </si>
  <si>
    <t>301478377</t>
  </si>
  <si>
    <t>304202801</t>
  </si>
  <si>
    <t>304202335</t>
  </si>
  <si>
    <t>304201353</t>
  </si>
  <si>
    <t>304199691</t>
  </si>
  <si>
    <t>304109203</t>
  </si>
  <si>
    <t>304206767</t>
  </si>
  <si>
    <t>305666072</t>
  </si>
  <si>
    <t>73267059</t>
  </si>
  <si>
    <t>304203067</t>
  </si>
  <si>
    <t>304207553</t>
  </si>
  <si>
    <t>301820918</t>
  </si>
  <si>
    <t>304204743</t>
  </si>
  <si>
    <t>299662203</t>
  </si>
  <si>
    <t>302830782</t>
  </si>
  <si>
    <t>302694359</t>
  </si>
  <si>
    <t>304204876</t>
  </si>
  <si>
    <t>304207842</t>
  </si>
  <si>
    <t>302408581</t>
  </si>
  <si>
    <t>304173787</t>
  </si>
  <si>
    <t>304188186</t>
  </si>
  <si>
    <t>304213233</t>
  </si>
  <si>
    <t>304214662</t>
  </si>
  <si>
    <t>304213828</t>
  </si>
  <si>
    <t>304213579</t>
  </si>
  <si>
    <t>304215538</t>
  </si>
  <si>
    <t>304214617</t>
  </si>
  <si>
    <t>302090968</t>
  </si>
  <si>
    <t>302222109</t>
  </si>
  <si>
    <t>301460937</t>
  </si>
  <si>
    <t>304219968</t>
  </si>
  <si>
    <t>304217144</t>
  </si>
  <si>
    <t>304217340</t>
  </si>
  <si>
    <t>305958838</t>
  </si>
  <si>
    <t>304213416</t>
  </si>
  <si>
    <t>302284084</t>
  </si>
  <si>
    <t>302216927</t>
  </si>
  <si>
    <t>300250183</t>
  </si>
  <si>
    <t>304203978</t>
  </si>
  <si>
    <t>304202501</t>
  </si>
  <si>
    <t>304215955</t>
  </si>
  <si>
    <t>304219012</t>
  </si>
  <si>
    <t>304207726</t>
  </si>
  <si>
    <t>304214624</t>
  </si>
  <si>
    <t>304220777</t>
  </si>
  <si>
    <t>305181652</t>
  </si>
  <si>
    <t>304220337</t>
  </si>
  <si>
    <t>304221626</t>
  </si>
  <si>
    <t>304220195</t>
  </si>
  <si>
    <t>304218858</t>
  </si>
  <si>
    <t>304227198</t>
  </si>
  <si>
    <t>304219796</t>
  </si>
  <si>
    <t>304227098</t>
  </si>
  <si>
    <t>304223869</t>
  </si>
  <si>
    <t>304197776</t>
  </si>
  <si>
    <t>304229504</t>
  </si>
  <si>
    <t>301544349</t>
  </si>
  <si>
    <t>304233393</t>
  </si>
  <si>
    <t>304234149</t>
  </si>
  <si>
    <t>301176491</t>
  </si>
  <si>
    <t>304233953</t>
  </si>
  <si>
    <t>301823114</t>
  </si>
  <si>
    <t>304235820</t>
  </si>
  <si>
    <t>304232738</t>
  </si>
  <si>
    <t>304233480</t>
  </si>
  <si>
    <t>304238389</t>
  </si>
  <si>
    <t>304238755</t>
  </si>
  <si>
    <t>304236721</t>
  </si>
  <si>
    <t>304243715</t>
  </si>
  <si>
    <t>304237770</t>
  </si>
  <si>
    <t>302825821</t>
  </si>
  <si>
    <t>304247136</t>
  </si>
  <si>
    <t>304243486</t>
  </si>
  <si>
    <t>304237893</t>
  </si>
  <si>
    <t>299342178</t>
  </si>
  <si>
    <t>304242352</t>
  </si>
  <si>
    <t>304243801</t>
  </si>
  <si>
    <t>304249487</t>
  </si>
  <si>
    <t>304252192</t>
  </si>
  <si>
    <t>304246709</t>
  </si>
  <si>
    <t>304249854</t>
  </si>
  <si>
    <t>304253768</t>
  </si>
  <si>
    <t>304254871</t>
  </si>
  <si>
    <t>304245755</t>
  </si>
  <si>
    <t>304255414</t>
  </si>
  <si>
    <t>304255501</t>
  </si>
  <si>
    <t>304260076</t>
  </si>
  <si>
    <t>304261576</t>
  </si>
  <si>
    <t>304260609</t>
  </si>
  <si>
    <t>304260797</t>
  </si>
  <si>
    <t>304260394</t>
  </si>
  <si>
    <t>304249247</t>
  </si>
  <si>
    <t>304247618</t>
  </si>
  <si>
    <t>304254590</t>
  </si>
  <si>
    <t>304264884</t>
  </si>
  <si>
    <t>304252588</t>
  </si>
  <si>
    <t>304260930</t>
  </si>
  <si>
    <t>304264326</t>
  </si>
  <si>
    <t>304264942</t>
  </si>
  <si>
    <t>295193401</t>
  </si>
  <si>
    <t>305728612</t>
  </si>
  <si>
    <t>304384984</t>
  </si>
  <si>
    <t>301870578</t>
  </si>
  <si>
    <t>305988026</t>
  </si>
  <si>
    <t>304259882</t>
  </si>
  <si>
    <t>304263121</t>
  </si>
  <si>
    <t>304268467</t>
  </si>
  <si>
    <t>304268418</t>
  </si>
  <si>
    <t>299089173</t>
  </si>
  <si>
    <t>304218983</t>
  </si>
  <si>
    <t>304275169</t>
  </si>
  <si>
    <t>304269219</t>
  </si>
  <si>
    <t>304267889</t>
  </si>
  <si>
    <t>304273297</t>
  </si>
  <si>
    <t>304273878</t>
  </si>
  <si>
    <t>301893716</t>
  </si>
  <si>
    <t>301447266</t>
  </si>
  <si>
    <t>299654172</t>
  </si>
  <si>
    <t>302648223</t>
  </si>
  <si>
    <t>300271754</t>
  </si>
  <si>
    <t>301906275</t>
  </si>
  <si>
    <t>304475324</t>
  </si>
  <si>
    <t>304279858</t>
  </si>
  <si>
    <t>304277125</t>
  </si>
  <si>
    <t>304274001</t>
  </si>
  <si>
    <t>305119063</t>
  </si>
  <si>
    <t>305999810</t>
  </si>
  <si>
    <t>305998991</t>
  </si>
  <si>
    <t>305999931</t>
  </si>
  <si>
    <t>305998749</t>
  </si>
  <si>
    <t>302388511</t>
  </si>
  <si>
    <t>306000401</t>
  </si>
  <si>
    <t>306001351</t>
  </si>
  <si>
    <t>305696934</t>
  </si>
  <si>
    <t>304282346</t>
  </si>
  <si>
    <t>305997941</t>
  </si>
  <si>
    <t>304280764</t>
  </si>
  <si>
    <t>304282688</t>
  </si>
  <si>
    <t>304281054</t>
  </si>
  <si>
    <t>304280123</t>
  </si>
  <si>
    <t>304281073</t>
  </si>
  <si>
    <t>301458870</t>
  </si>
  <si>
    <t>301922893</t>
  </si>
  <si>
    <t>302403069</t>
  </si>
  <si>
    <t>304470141</t>
  </si>
  <si>
    <t>304276583</t>
  </si>
  <si>
    <t>299133139</t>
  </si>
  <si>
    <t>304195808</t>
  </si>
  <si>
    <t>304276402</t>
  </si>
  <si>
    <t>301512981</t>
  </si>
  <si>
    <t>306004487</t>
  </si>
  <si>
    <t>304210672</t>
  </si>
  <si>
    <t>306005746</t>
  </si>
  <si>
    <t>304290571</t>
  </si>
  <si>
    <t>304288707</t>
  </si>
  <si>
    <t>304285669</t>
  </si>
  <si>
    <t>304290271</t>
  </si>
  <si>
    <t>304286157</t>
  </si>
  <si>
    <t>304322380</t>
  </si>
  <si>
    <t>304469345</t>
  </si>
  <si>
    <t>304286858</t>
  </si>
  <si>
    <t>300259046</t>
  </si>
  <si>
    <t>302667359</t>
  </si>
  <si>
    <t>302675525</t>
  </si>
  <si>
    <t>302669973</t>
  </si>
  <si>
    <t>304289420</t>
  </si>
  <si>
    <t>304292138</t>
  </si>
  <si>
    <t>304294029</t>
  </si>
  <si>
    <t>304292899</t>
  </si>
  <si>
    <t>303014265</t>
  </si>
  <si>
    <t>302678984</t>
  </si>
  <si>
    <t>304296820</t>
  </si>
  <si>
    <t>304298589</t>
  </si>
  <si>
    <t>304241137</t>
  </si>
  <si>
    <t>304291752</t>
  </si>
  <si>
    <t>301971916</t>
  </si>
  <si>
    <t>304469583</t>
  </si>
  <si>
    <t>304299556</t>
  </si>
  <si>
    <t>302249272</t>
  </si>
  <si>
    <t>304300813</t>
  </si>
  <si>
    <t>304299226</t>
  </si>
  <si>
    <t>304307839</t>
  </si>
  <si>
    <t>304303686</t>
  </si>
  <si>
    <t>304304405</t>
  </si>
  <si>
    <t>304301165</t>
  </si>
  <si>
    <t>304466891</t>
  </si>
  <si>
    <t>304296368</t>
  </si>
  <si>
    <t>304311354</t>
  </si>
  <si>
    <t>304314694</t>
  </si>
  <si>
    <t>302453529</t>
  </si>
  <si>
    <t>304317992</t>
  </si>
  <si>
    <t>304321307</t>
  </si>
  <si>
    <t>304320654</t>
  </si>
  <si>
    <t>304321313</t>
  </si>
  <si>
    <t>304315736</t>
  </si>
  <si>
    <t>304324325</t>
  </si>
  <si>
    <t>300235538</t>
  </si>
  <si>
    <t>304327007</t>
  </si>
  <si>
    <t>304323004</t>
  </si>
  <si>
    <t>304328690</t>
  </si>
  <si>
    <t>304323073</t>
  </si>
  <si>
    <t>304324219</t>
  </si>
  <si>
    <t>304331886</t>
  </si>
  <si>
    <t>304325994</t>
  </si>
  <si>
    <t>304477768</t>
  </si>
  <si>
    <t>299527355</t>
  </si>
  <si>
    <t>304328077</t>
  </si>
  <si>
    <t>304333010</t>
  </si>
  <si>
    <t>304480682</t>
  </si>
  <si>
    <t>304333636</t>
  </si>
  <si>
    <t>304341630</t>
  </si>
  <si>
    <t>304479929</t>
  </si>
  <si>
    <t>304468510</t>
  </si>
  <si>
    <t>301957881</t>
  </si>
  <si>
    <t>304322949</t>
  </si>
  <si>
    <t>302689438</t>
  </si>
  <si>
    <t>304313106</t>
  </si>
  <si>
    <t>304243697</t>
  </si>
  <si>
    <t>302090810</t>
  </si>
  <si>
    <t>304312272</t>
  </si>
  <si>
    <t>304356191</t>
  </si>
  <si>
    <t>304355477</t>
  </si>
  <si>
    <t>304354086</t>
  </si>
  <si>
    <t>304357339</t>
  </si>
  <si>
    <t>304351739</t>
  </si>
  <si>
    <t>304354448</t>
  </si>
  <si>
    <t>304363803</t>
  </si>
  <si>
    <t>304357216</t>
  </si>
  <si>
    <t>304360106</t>
  </si>
  <si>
    <t>304362322</t>
  </si>
  <si>
    <t>304367406</t>
  </si>
  <si>
    <t>304363339</t>
  </si>
  <si>
    <t>304360847</t>
  </si>
  <si>
    <t>304334631</t>
  </si>
  <si>
    <t>304358438</t>
  </si>
  <si>
    <t>304472591</t>
  </si>
  <si>
    <t>304372779</t>
  </si>
  <si>
    <t>304360517</t>
  </si>
  <si>
    <t>304373806</t>
  </si>
  <si>
    <t>304376774</t>
  </si>
  <si>
    <t>304375152</t>
  </si>
  <si>
    <t>304378265</t>
  </si>
  <si>
    <t>304361668</t>
  </si>
  <si>
    <t>301567603</t>
  </si>
  <si>
    <t>304384666</t>
  </si>
  <si>
    <t>304353557</t>
  </si>
  <si>
    <t>304284732</t>
  </si>
  <si>
    <t>304469981</t>
  </si>
  <si>
    <t>304471698</t>
  </si>
  <si>
    <t>304388070</t>
  </si>
  <si>
    <t>304400480</t>
  </si>
  <si>
    <t>304400522</t>
  </si>
  <si>
    <t>302836618</t>
  </si>
  <si>
    <t>304399703</t>
  </si>
  <si>
    <t>304406819</t>
  </si>
  <si>
    <t>304406961</t>
  </si>
  <si>
    <t>302374242</t>
  </si>
  <si>
    <t>304409127</t>
  </si>
  <si>
    <t>304411621</t>
  </si>
  <si>
    <t>304413432</t>
  </si>
  <si>
    <t>304415697</t>
  </si>
  <si>
    <t>304415793</t>
  </si>
  <si>
    <t>304226356</t>
  </si>
  <si>
    <t>304418993</t>
  </si>
  <si>
    <t>304418468</t>
  </si>
  <si>
    <t>304419669</t>
  </si>
  <si>
    <t>304420514</t>
  </si>
  <si>
    <t>304425643</t>
  </si>
  <si>
    <t>304422353</t>
  </si>
  <si>
    <t>304422823</t>
  </si>
  <si>
    <t>304421620</t>
  </si>
  <si>
    <t>302944960</t>
  </si>
  <si>
    <t>304422078</t>
  </si>
  <si>
    <t>304424791</t>
  </si>
  <si>
    <t>304424280</t>
  </si>
  <si>
    <t>304425354</t>
  </si>
  <si>
    <t>304426452</t>
  </si>
  <si>
    <t>304423107</t>
  </si>
  <si>
    <t>304373911</t>
  </si>
  <si>
    <t>304096921</t>
  </si>
  <si>
    <t>304427744</t>
  </si>
  <si>
    <t>304427105</t>
  </si>
  <si>
    <t>304427319</t>
  </si>
  <si>
    <t>304424694</t>
  </si>
  <si>
    <t>304426241</t>
  </si>
  <si>
    <t>304427112</t>
  </si>
  <si>
    <t>304430291</t>
  </si>
  <si>
    <t>304427991</t>
  </si>
  <si>
    <t>304432340</t>
  </si>
  <si>
    <t>304431995</t>
  </si>
  <si>
    <t>302282885</t>
  </si>
  <si>
    <t>300999736</t>
  </si>
  <si>
    <t>304430224</t>
  </si>
  <si>
    <t>304433839</t>
  </si>
  <si>
    <t>304434093</t>
  </si>
  <si>
    <t>304436802</t>
  </si>
  <si>
    <t>304438999</t>
  </si>
  <si>
    <t>303758449</t>
  </si>
  <si>
    <t>302093651</t>
  </si>
  <si>
    <t>301782032</t>
  </si>
  <si>
    <t>304439546</t>
  </si>
  <si>
    <t>304436500</t>
  </si>
  <si>
    <t>300028904</t>
  </si>
  <si>
    <t>304444186</t>
  </si>
  <si>
    <t>304220441</t>
  </si>
  <si>
    <t>302399775</t>
  </si>
  <si>
    <t>304432383</t>
  </si>
  <si>
    <t>304449316</t>
  </si>
  <si>
    <t>304441831</t>
  </si>
  <si>
    <t>304446745</t>
  </si>
  <si>
    <t>301400315</t>
  </si>
  <si>
    <t>302269284</t>
  </si>
  <si>
    <t>304444363</t>
  </si>
  <si>
    <t>304449864</t>
  </si>
  <si>
    <t>304450084</t>
  </si>
  <si>
    <t>304362719</t>
  </si>
  <si>
    <t>304448914</t>
  </si>
  <si>
    <t>304447685</t>
  </si>
  <si>
    <t>304450649</t>
  </si>
  <si>
    <t>304450563</t>
  </si>
  <si>
    <t>301860128</t>
  </si>
  <si>
    <t>304454998</t>
  </si>
  <si>
    <t>304457727</t>
  </si>
  <si>
    <t>304393596</t>
  </si>
  <si>
    <t>304448928</t>
  </si>
  <si>
    <t>304457839</t>
  </si>
  <si>
    <t>304437057</t>
  </si>
  <si>
    <t>301098989</t>
  </si>
  <si>
    <t>300557161</t>
  </si>
  <si>
    <t>304452040</t>
  </si>
  <si>
    <t>304461143</t>
  </si>
  <si>
    <t>304459251</t>
  </si>
  <si>
    <t>304464861</t>
  </si>
  <si>
    <t>304473968</t>
  </si>
  <si>
    <t>304473568</t>
  </si>
  <si>
    <t>304463763</t>
  </si>
  <si>
    <t>304462274</t>
  </si>
  <si>
    <t>304475151</t>
  </si>
  <si>
    <t>301871700</t>
  </si>
  <si>
    <t>304315765</t>
  </si>
  <si>
    <t>304464401</t>
  </si>
  <si>
    <t>304465632</t>
  </si>
  <si>
    <t>304476577</t>
  </si>
  <si>
    <t>304419118</t>
  </si>
  <si>
    <t>304463582</t>
  </si>
  <si>
    <t>304474921</t>
  </si>
  <si>
    <t>304477908</t>
  </si>
  <si>
    <t>304306580</t>
  </si>
  <si>
    <t>304442830</t>
  </si>
  <si>
    <t>304429962</t>
  </si>
  <si>
    <t>304578938</t>
  </si>
  <si>
    <t>304483596</t>
  </si>
  <si>
    <t>304483055</t>
  </si>
  <si>
    <t>304481897</t>
  </si>
  <si>
    <t>304465139</t>
  </si>
  <si>
    <t>304486186</t>
  </si>
  <si>
    <t>302084344</t>
  </si>
  <si>
    <t>304484589</t>
  </si>
  <si>
    <t>304474247</t>
  </si>
  <si>
    <t>304488538</t>
  </si>
  <si>
    <t>304489838</t>
  </si>
  <si>
    <t>304492331</t>
  </si>
  <si>
    <t>304490459</t>
  </si>
  <si>
    <t>304493364</t>
  </si>
  <si>
    <t>304499505</t>
  </si>
  <si>
    <t>73128105</t>
  </si>
  <si>
    <t>304495470</t>
  </si>
  <si>
    <t>304242239</t>
  </si>
  <si>
    <t>304493581</t>
  </si>
  <si>
    <t>304494876</t>
  </si>
  <si>
    <t>304495369</t>
  </si>
  <si>
    <t>302844630</t>
  </si>
  <si>
    <t>302801689</t>
  </si>
  <si>
    <t>304497542</t>
  </si>
  <si>
    <t>304498149</t>
  </si>
  <si>
    <t>304248741</t>
  </si>
  <si>
    <t>302877423</t>
  </si>
  <si>
    <t>302284858</t>
  </si>
  <si>
    <t>304497243</t>
  </si>
  <si>
    <t>304498597</t>
  </si>
  <si>
    <t>304503864</t>
  </si>
  <si>
    <t>304504085</t>
  </si>
  <si>
    <t>304498266</t>
  </si>
  <si>
    <t>302390635</t>
  </si>
  <si>
    <t>304184471</t>
  </si>
  <si>
    <t>302363301</t>
  </si>
  <si>
    <t>304501654</t>
  </si>
  <si>
    <t>304508386</t>
  </si>
  <si>
    <t>304235116</t>
  </si>
  <si>
    <t>304491385</t>
  </si>
  <si>
    <t>304507388</t>
  </si>
  <si>
    <t>304510477</t>
  </si>
  <si>
    <t>304509318</t>
  </si>
  <si>
    <t>304509869</t>
  </si>
  <si>
    <t>301571049</t>
  </si>
  <si>
    <t>304510587</t>
  </si>
  <si>
    <t>304514797</t>
  </si>
  <si>
    <t>301177665</t>
  </si>
  <si>
    <t>304226258</t>
  </si>
  <si>
    <t>302091381</t>
  </si>
  <si>
    <t>304514637</t>
  </si>
  <si>
    <t>304515103</t>
  </si>
  <si>
    <t>302805193</t>
  </si>
  <si>
    <t>301131143</t>
  </si>
  <si>
    <t>304433211</t>
  </si>
  <si>
    <t>304522387</t>
  </si>
  <si>
    <t>304525733</t>
  </si>
  <si>
    <t>304526226</t>
  </si>
  <si>
    <t>304370091</t>
  </si>
  <si>
    <t>304529749</t>
  </si>
  <si>
    <t>304509094</t>
  </si>
  <si>
    <t>304581501</t>
  </si>
  <si>
    <t>302625756</t>
  </si>
  <si>
    <t>304530961</t>
  </si>
  <si>
    <t>304395106</t>
  </si>
  <si>
    <t>304528231</t>
  </si>
  <si>
    <t>304529304</t>
  </si>
  <si>
    <t>304532128</t>
  </si>
  <si>
    <t>301581928</t>
  </si>
  <si>
    <t>304534445</t>
  </si>
  <si>
    <t>304535872</t>
  </si>
  <si>
    <t>304528839</t>
  </si>
  <si>
    <t>302806494</t>
  </si>
  <si>
    <t>304538894</t>
  </si>
  <si>
    <t>301788096</t>
  </si>
  <si>
    <t>304582101</t>
  </si>
  <si>
    <t>302245591</t>
  </si>
  <si>
    <t>302782170</t>
  </si>
  <si>
    <t>301936775</t>
  </si>
  <si>
    <t>304544586</t>
  </si>
  <si>
    <t>302302614</t>
  </si>
  <si>
    <t>299224065</t>
  </si>
  <si>
    <t>301953609</t>
  </si>
  <si>
    <t>304553135</t>
  </si>
  <si>
    <t>304520019</t>
  </si>
  <si>
    <t>304303205</t>
  </si>
  <si>
    <t>304560117</t>
  </si>
  <si>
    <t>302271622</t>
  </si>
  <si>
    <t>299713323</t>
  </si>
  <si>
    <t>303110437</t>
  </si>
  <si>
    <t>229208955</t>
  </si>
  <si>
    <t>304567266</t>
  </si>
  <si>
    <t>304529856</t>
  </si>
  <si>
    <t>304570746</t>
  </si>
  <si>
    <t>301556110</t>
  </si>
  <si>
    <t>304534252</t>
  </si>
  <si>
    <t>302008562</t>
  </si>
  <si>
    <t>304541326</t>
  </si>
  <si>
    <t>304573464</t>
  </si>
  <si>
    <t>304498145</t>
  </si>
  <si>
    <t>304423637</t>
  </si>
  <si>
    <t>299642346</t>
  </si>
  <si>
    <t>300928226</t>
  </si>
  <si>
    <t>302432967</t>
  </si>
  <si>
    <t>301491260</t>
  </si>
  <si>
    <t>304235229</t>
  </si>
  <si>
    <t>302237903</t>
  </si>
  <si>
    <t>304801706</t>
  </si>
  <si>
    <t>304381005</t>
  </si>
  <si>
    <t>304591873</t>
  </si>
  <si>
    <t>298857396</t>
  </si>
  <si>
    <t>301501586</t>
  </si>
  <si>
    <t>301886920</t>
  </si>
  <si>
    <t>300967025</t>
  </si>
  <si>
    <t>304787139</t>
  </si>
  <si>
    <t>302394157</t>
  </si>
  <si>
    <t>304309659</t>
  </si>
  <si>
    <t>304593302</t>
  </si>
  <si>
    <t>304778167</t>
  </si>
  <si>
    <t>302028683</t>
  </si>
  <si>
    <t>302235489</t>
  </si>
  <si>
    <t>302684358</t>
  </si>
  <si>
    <t>302008786</t>
  </si>
  <si>
    <t>304301979</t>
  </si>
  <si>
    <t>304607966</t>
  </si>
  <si>
    <t>302247426</t>
  </si>
  <si>
    <t>301595384</t>
  </si>
  <si>
    <t>302452101</t>
  </si>
  <si>
    <t>302268246</t>
  </si>
  <si>
    <t>302708166</t>
  </si>
  <si>
    <t>303229490</t>
  </si>
  <si>
    <t>302417330</t>
  </si>
  <si>
    <t>304383207</t>
  </si>
  <si>
    <t>304794459</t>
  </si>
  <si>
    <t>304619217</t>
  </si>
  <si>
    <t>304792192</t>
  </si>
  <si>
    <t>304782852</t>
  </si>
  <si>
    <t>304792579</t>
  </si>
  <si>
    <t>304790328</t>
  </si>
  <si>
    <t>304202467</t>
  </si>
  <si>
    <t>302684138</t>
  </si>
  <si>
    <t>303054412</t>
  </si>
  <si>
    <t>304412710</t>
  </si>
  <si>
    <t>300029056</t>
  </si>
  <si>
    <t>304685162</t>
  </si>
  <si>
    <t>304688361</t>
  </si>
  <si>
    <t>304686836</t>
  </si>
  <si>
    <t>304685601</t>
  </si>
  <si>
    <t>304795301</t>
  </si>
  <si>
    <t>304424472</t>
  </si>
  <si>
    <t>304689078</t>
  </si>
  <si>
    <t>304795151</t>
  </si>
  <si>
    <t>304532656</t>
  </si>
  <si>
    <t>304690683</t>
  </si>
  <si>
    <t>304688011</t>
  </si>
  <si>
    <t>304691176</t>
  </si>
  <si>
    <t>304696711</t>
  </si>
  <si>
    <t>304481732</t>
  </si>
  <si>
    <t>304241556</t>
  </si>
  <si>
    <t>302830030</t>
  </si>
  <si>
    <t>301346746</t>
  </si>
  <si>
    <t>301783994</t>
  </si>
  <si>
    <t>304698390</t>
  </si>
  <si>
    <t>304700143</t>
  </si>
  <si>
    <t>304701059</t>
  </si>
  <si>
    <t>302018698</t>
  </si>
  <si>
    <t>304704485</t>
  </si>
  <si>
    <t>304703758</t>
  </si>
  <si>
    <t>304701302</t>
  </si>
  <si>
    <t>304696799</t>
  </si>
  <si>
    <t>304708685</t>
  </si>
  <si>
    <t>304706646</t>
  </si>
  <si>
    <t>304706881</t>
  </si>
  <si>
    <t>304707043</t>
  </si>
  <si>
    <t>302851825</t>
  </si>
  <si>
    <t>301799362</t>
  </si>
  <si>
    <t>304710256</t>
  </si>
  <si>
    <t>304707155</t>
  </si>
  <si>
    <t>304709820</t>
  </si>
  <si>
    <t>304706770</t>
  </si>
  <si>
    <t>304710122</t>
  </si>
  <si>
    <t>304707395</t>
  </si>
  <si>
    <t>304705344</t>
  </si>
  <si>
    <t>304712498</t>
  </si>
  <si>
    <t>304707067</t>
  </si>
  <si>
    <t>302646088</t>
  </si>
  <si>
    <t>304712257</t>
  </si>
  <si>
    <t>304716629</t>
  </si>
  <si>
    <t>304715250</t>
  </si>
  <si>
    <t>304716196</t>
  </si>
  <si>
    <t>304713131</t>
  </si>
  <si>
    <t>304717028</t>
  </si>
  <si>
    <t>304716274</t>
  </si>
  <si>
    <t>304718600</t>
  </si>
  <si>
    <t>304481460</t>
  </si>
  <si>
    <t>304717854</t>
  </si>
  <si>
    <t>304719315</t>
  </si>
  <si>
    <t>304717919</t>
  </si>
  <si>
    <t>304719177</t>
  </si>
  <si>
    <t>304718165</t>
  </si>
  <si>
    <t>304713452</t>
  </si>
  <si>
    <t>304725512</t>
  </si>
  <si>
    <t>304722463</t>
  </si>
  <si>
    <t>304724913</t>
  </si>
  <si>
    <t>73149342</t>
  </si>
  <si>
    <t>304722993</t>
  </si>
  <si>
    <t>304723690</t>
  </si>
  <si>
    <t>304725535</t>
  </si>
  <si>
    <t>304725090</t>
  </si>
  <si>
    <t>304724608</t>
  </si>
  <si>
    <t>73149565</t>
  </si>
  <si>
    <t>304718688</t>
  </si>
  <si>
    <t>299638658</t>
  </si>
  <si>
    <t>304729719</t>
  </si>
  <si>
    <t>304722622</t>
  </si>
  <si>
    <t>304726426</t>
  </si>
  <si>
    <t>304728425</t>
  </si>
  <si>
    <t>304728814</t>
  </si>
  <si>
    <t>304726218</t>
  </si>
  <si>
    <t>304727411</t>
  </si>
  <si>
    <t>304732823</t>
  </si>
  <si>
    <t>304733381</t>
  </si>
  <si>
    <t>304734641</t>
  </si>
  <si>
    <t>304733262</t>
  </si>
  <si>
    <t>304717548</t>
  </si>
  <si>
    <t>304212235</t>
  </si>
  <si>
    <t>304735404</t>
  </si>
  <si>
    <t>304735704</t>
  </si>
  <si>
    <t>304737483</t>
  </si>
  <si>
    <t>304733984</t>
  </si>
  <si>
    <t>304735489</t>
  </si>
  <si>
    <t>304739367</t>
  </si>
  <si>
    <t>302651618</t>
  </si>
  <si>
    <t>304738045</t>
  </si>
  <si>
    <t>301931028</t>
  </si>
  <si>
    <t>304734998</t>
  </si>
  <si>
    <t>304797159</t>
  </si>
  <si>
    <t>304716655</t>
  </si>
  <si>
    <t>300035495</t>
  </si>
  <si>
    <t>304738801</t>
  </si>
  <si>
    <t>304740185</t>
  </si>
  <si>
    <t>304743102</t>
  </si>
  <si>
    <t>304731399</t>
  </si>
  <si>
    <t>304265332</t>
  </si>
  <si>
    <t>302880063</t>
  </si>
  <si>
    <t>304573077</t>
  </si>
  <si>
    <t>304796929</t>
  </si>
  <si>
    <t>304800486</t>
  </si>
  <si>
    <t>304797463</t>
  </si>
  <si>
    <t>304740902</t>
  </si>
  <si>
    <t>304742912</t>
  </si>
  <si>
    <t>304738469</t>
  </si>
  <si>
    <t>304747377</t>
  </si>
  <si>
    <t>304745370</t>
  </si>
  <si>
    <t>304747378</t>
  </si>
  <si>
    <t>304743658</t>
  </si>
  <si>
    <t>304745923</t>
  </si>
  <si>
    <t>304746126</t>
  </si>
  <si>
    <t>304749234</t>
  </si>
  <si>
    <t>304749247</t>
  </si>
  <si>
    <t>302416107</t>
  </si>
  <si>
    <t>304752880</t>
  </si>
  <si>
    <t>304747466</t>
  </si>
  <si>
    <t>304751137</t>
  </si>
  <si>
    <t>304751385</t>
  </si>
  <si>
    <t>304752101</t>
  </si>
  <si>
    <t>304749549</t>
  </si>
  <si>
    <t>304752097</t>
  </si>
  <si>
    <t>304753257</t>
  </si>
  <si>
    <t>304756561</t>
  </si>
  <si>
    <t>304746413</t>
  </si>
  <si>
    <t>304752156</t>
  </si>
  <si>
    <t>304721327</t>
  </si>
  <si>
    <t>KM4250620</t>
  </si>
  <si>
    <t>304756302</t>
  </si>
  <si>
    <t>301902549</t>
  </si>
  <si>
    <t>299538421</t>
  </si>
  <si>
    <t>304757036</t>
  </si>
  <si>
    <t>304751924</t>
  </si>
  <si>
    <t>304760446</t>
  </si>
  <si>
    <t>304788298</t>
  </si>
  <si>
    <t>302782508</t>
  </si>
  <si>
    <t>304754530</t>
  </si>
  <si>
    <t>304760390</t>
  </si>
  <si>
    <t>304763333</t>
  </si>
  <si>
    <t>302305890</t>
  </si>
  <si>
    <t>304763972</t>
  </si>
  <si>
    <t>304464966</t>
  </si>
  <si>
    <t>304765393</t>
  </si>
  <si>
    <t>304766045</t>
  </si>
  <si>
    <t>304767755</t>
  </si>
  <si>
    <t>304762244</t>
  </si>
  <si>
    <t>304768070</t>
  </si>
  <si>
    <t>304774608</t>
  </si>
  <si>
    <t>304771227</t>
  </si>
  <si>
    <t>304770740</t>
  </si>
  <si>
    <t>304766154</t>
  </si>
  <si>
    <t>302020718</t>
  </si>
  <si>
    <t>302293220</t>
  </si>
  <si>
    <t>304751751</t>
  </si>
  <si>
    <t>304775686</t>
  </si>
  <si>
    <t>304775631</t>
  </si>
  <si>
    <t>304774520</t>
  </si>
  <si>
    <t>304774954</t>
  </si>
  <si>
    <t>304776163</t>
  </si>
  <si>
    <t>301790093</t>
  </si>
  <si>
    <t>304774929</t>
  </si>
  <si>
    <t>299693506</t>
  </si>
  <si>
    <t>304778273</t>
  </si>
  <si>
    <t>304312840</t>
  </si>
  <si>
    <t>304779538</t>
  </si>
  <si>
    <t>304781227</t>
  </si>
  <si>
    <t>304782598</t>
  </si>
  <si>
    <t>304774832</t>
  </si>
  <si>
    <t>304779309</t>
  </si>
  <si>
    <t>304782166</t>
  </si>
  <si>
    <t>304778138</t>
  </si>
  <si>
    <t>304773085</t>
  </si>
  <si>
    <t>301819454</t>
  </si>
  <si>
    <t>304783040</t>
  </si>
  <si>
    <t>304787358</t>
  </si>
  <si>
    <t>304752465</t>
  </si>
  <si>
    <t>304786761</t>
  </si>
  <si>
    <t>304784457</t>
  </si>
  <si>
    <t>304777288</t>
  </si>
  <si>
    <t>304788957</t>
  </si>
  <si>
    <t>304802639</t>
  </si>
  <si>
    <t>304780555</t>
  </si>
  <si>
    <t>304790910</t>
  </si>
  <si>
    <t>301032872</t>
  </si>
  <si>
    <t>304709094</t>
  </si>
  <si>
    <t>304214367</t>
  </si>
  <si>
    <t>302378248</t>
  </si>
  <si>
    <t>304800329</t>
  </si>
  <si>
    <t>304806799</t>
  </si>
  <si>
    <t>304812324</t>
  </si>
  <si>
    <t>304808008</t>
  </si>
  <si>
    <t>304249184</t>
  </si>
  <si>
    <t>304809469</t>
  </si>
  <si>
    <t>304807060</t>
  </si>
  <si>
    <t>304806748</t>
  </si>
  <si>
    <t>304811554</t>
  </si>
  <si>
    <t>304804700</t>
  </si>
  <si>
    <t>304808945</t>
  </si>
  <si>
    <t>304783489</t>
  </si>
  <si>
    <t>304812185</t>
  </si>
  <si>
    <t>301949411</t>
  </si>
  <si>
    <t>301534135</t>
  </si>
  <si>
    <t>304811345</t>
  </si>
  <si>
    <t>304814381</t>
  </si>
  <si>
    <t>304792959</t>
  </si>
  <si>
    <t>304817157</t>
  </si>
  <si>
    <t>304817734</t>
  </si>
  <si>
    <t>298301580</t>
  </si>
  <si>
    <t>304812469</t>
  </si>
  <si>
    <t>304818152</t>
  </si>
  <si>
    <t>304820605</t>
  </si>
  <si>
    <t>304759474</t>
  </si>
  <si>
    <t>304824365</t>
  </si>
  <si>
    <t>304791997</t>
  </si>
  <si>
    <t>304822658</t>
  </si>
  <si>
    <t>304740940</t>
  </si>
  <si>
    <t>304829485</t>
  </si>
  <si>
    <t>304816795</t>
  </si>
  <si>
    <t>304789904</t>
  </si>
  <si>
    <t>298302361</t>
  </si>
  <si>
    <t>304827959</t>
  </si>
  <si>
    <t>304832203</t>
  </si>
  <si>
    <t>304798616</t>
  </si>
  <si>
    <t>304831404</t>
  </si>
  <si>
    <t>304831325</t>
  </si>
  <si>
    <t>304836540</t>
  </si>
  <si>
    <t>304836293</t>
  </si>
  <si>
    <t>304840215</t>
  </si>
  <si>
    <t>304842394</t>
  </si>
  <si>
    <t>304842486</t>
  </si>
  <si>
    <t>304820889</t>
  </si>
  <si>
    <t>304852269</t>
  </si>
  <si>
    <t>301844947</t>
  </si>
  <si>
    <t>304856896</t>
  </si>
  <si>
    <t>304855209</t>
  </si>
  <si>
    <t>302471437</t>
  </si>
  <si>
    <t>301965414</t>
  </si>
  <si>
    <t>304859136</t>
  </si>
  <si>
    <t>304752434</t>
  </si>
  <si>
    <t>300043559</t>
  </si>
  <si>
    <t>304864683</t>
  </si>
  <si>
    <t>304853761</t>
  </si>
  <si>
    <t>304865194</t>
  </si>
  <si>
    <t>301835424</t>
  </si>
  <si>
    <t>304726682</t>
  </si>
  <si>
    <t>290798865</t>
  </si>
  <si>
    <t>304728584</t>
  </si>
  <si>
    <t>304732713</t>
  </si>
  <si>
    <t>304873803</t>
  </si>
  <si>
    <t>304874094</t>
  </si>
  <si>
    <t>304872291</t>
  </si>
  <si>
    <t>304877348</t>
  </si>
  <si>
    <t>304876170</t>
  </si>
  <si>
    <t>304875957</t>
  </si>
  <si>
    <t>304880510</t>
  </si>
  <si>
    <t>301977584</t>
  </si>
  <si>
    <t>304875946</t>
  </si>
  <si>
    <t>304877323</t>
  </si>
  <si>
    <t>304881451</t>
  </si>
  <si>
    <t>304875564</t>
  </si>
  <si>
    <t>304880002</t>
  </si>
  <si>
    <t>304884377</t>
  </si>
  <si>
    <t>304886785</t>
  </si>
  <si>
    <t>304886202</t>
  </si>
  <si>
    <t>301869257</t>
  </si>
  <si>
    <t>302226778</t>
  </si>
  <si>
    <t>304889212</t>
  </si>
  <si>
    <t>304888289</t>
  </si>
  <si>
    <t>302012502</t>
  </si>
  <si>
    <t>304878767</t>
  </si>
  <si>
    <t>304890966</t>
  </si>
  <si>
    <t>304884056</t>
  </si>
  <si>
    <t>300079919</t>
  </si>
  <si>
    <t>304890055</t>
  </si>
  <si>
    <t>304898476</t>
  </si>
  <si>
    <t>304897480</t>
  </si>
  <si>
    <t>304896972</t>
  </si>
  <si>
    <t>304831289</t>
  </si>
  <si>
    <t>304899296</t>
  </si>
  <si>
    <t>304879800</t>
  </si>
  <si>
    <t>304829641</t>
  </si>
  <si>
    <t>304902361</t>
  </si>
  <si>
    <t>304901492</t>
  </si>
  <si>
    <t>304902740</t>
  </si>
  <si>
    <t>304900441</t>
  </si>
  <si>
    <t>304900486</t>
  </si>
  <si>
    <t>300018305</t>
  </si>
  <si>
    <t>304899968</t>
  </si>
  <si>
    <t>302705114</t>
  </si>
  <si>
    <t>304907928</t>
  </si>
  <si>
    <t>304906444</t>
  </si>
  <si>
    <t>302616251</t>
  </si>
  <si>
    <t>302633712</t>
  </si>
  <si>
    <t>302665023</t>
  </si>
  <si>
    <t>304911652</t>
  </si>
  <si>
    <t>304911716</t>
  </si>
  <si>
    <t>301945259</t>
  </si>
  <si>
    <t>304912102</t>
  </si>
  <si>
    <t>304888937</t>
  </si>
  <si>
    <t>304914985</t>
  </si>
  <si>
    <t>302310259</t>
  </si>
  <si>
    <t>302257158</t>
  </si>
  <si>
    <t>304918279</t>
  </si>
  <si>
    <t>304916383</t>
  </si>
  <si>
    <t>304918978</t>
  </si>
  <si>
    <t>304923483</t>
  </si>
  <si>
    <t>304922073</t>
  </si>
  <si>
    <t>304795974</t>
  </si>
  <si>
    <t>304919960</t>
  </si>
  <si>
    <t>MATAYEV TURSUNALI TURGUNOVICH</t>
  </si>
  <si>
    <t>AKBAYEV MUXAMMADJON TOJIAXMEDOVICH</t>
  </si>
  <si>
    <t>SULTANOVA NODIRAXON PULATOVNA</t>
  </si>
  <si>
    <t>MAMANOV ABDIMUTALIB URINBAYEVICH</t>
  </si>
  <si>
    <t>USVALIYEVA DILNOZA TURSUNBOYEVNA</t>
  </si>
  <si>
    <t>TOJIBAYEVA ZILOLAXON AHMEDOVNA</t>
  </si>
  <si>
    <t>ABDURAZZOQOV ISLOMJON IKROMJONOVICH</t>
  </si>
  <si>
    <t>SHARIPOV BAXTIYOR UBAYDULLO-O‘G‘LI</t>
  </si>
  <si>
    <t>SOTVALDIYEVA SOXIBA XAKIMOVNA</t>
  </si>
  <si>
    <t>ROXMONOVA DILNOZA ABDUVOXOBOVNA</t>
  </si>
  <si>
    <t>ORTIKOVA MALIKA KODIRJONOVNA</t>
  </si>
  <si>
    <t>KIMSANOVA ANARXON ISAKOVNA</t>
  </si>
  <si>
    <t>RAVSHANBEK TOSHPO‘LATOV</t>
  </si>
  <si>
    <t>JASURBEK ADASHEV</t>
  </si>
  <si>
    <t>OLIMXON ZOKIRXONOV</t>
  </si>
  <si>
    <t>AKMALBEK SHAXOBIDDINOV</t>
  </si>
  <si>
    <t>To'lov kutilmoqda</t>
  </si>
  <si>
    <t>yakunlandi</t>
  </si>
  <si>
    <t>26.06.2026-йил соат 16:20 холатига</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</si>
</sst>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0.00\ &quot;₽&quot;_-;\-* #,##0.00\ &quot;₽&quot;_-;_-* &quot;-&quot;??\ &quot;₽&quot;_-;_-@_-"/>
    <numFmt numFmtId="164" formatCode="#,##0\ _₽"/>
    <numFmt numFmtId="165" formatCode="0_ ;[Red]\-0\ "/>
  </numFmts>
  <fonts count="45" x14ac:knownFonts="1">
    <font>
      <sz val="11"/>
      <color theme="1"/>
      <name val="Calibri"/>
      <family val="2"/>
      <charset val="204"/>
      <scheme val="minor"/>
    </font>
    <font>
      <sz val="11"/>
      <color theme="1"/>
      <name val="Calibri"/>
      <family val="2"/>
      <charset val="204"/>
      <scheme val="minor"/>
    </font>
    <font>
      <sz val="11"/>
      <color indexed="8"/>
      <name val="Calibri"/>
      <family val="2"/>
      <scheme val="minor"/>
    </font>
    <font>
      <sz val="8"/>
      <name val="Arial"/>
      <family val="2"/>
      <charset val="204"/>
    </font>
    <font>
      <sz val="11"/>
      <name val="Calibri"/>
      <family val="2"/>
      <charset val="204"/>
      <scheme val="minor"/>
    </font>
    <font>
      <sz val="11"/>
      <color rgb="FF9C0006"/>
      <name val="Calibri"/>
      <family val="2"/>
      <charset val="204"/>
      <scheme val="minor"/>
    </font>
    <font>
      <sz val="11"/>
      <color rgb="FF9C6500"/>
      <name val="Calibri"/>
      <family val="2"/>
      <charset val="204"/>
      <scheme val="minor"/>
    </font>
    <font>
      <sz val="8"/>
      <name val="Calibri"/>
      <family val="2"/>
      <charset val="204"/>
      <scheme val="minor"/>
    </font>
    <font>
      <sz val="11"/>
      <color theme="1"/>
      <name val="Cambria"/>
      <family val="1"/>
      <charset val="204"/>
    </font>
    <font>
      <b/>
      <sz val="16"/>
      <color rgb="FFFF0000"/>
      <name val="Cambria"/>
      <family val="1"/>
      <charset val="204"/>
    </font>
    <font>
      <sz val="12"/>
      <name val="Cambria"/>
      <family val="1"/>
      <charset val="204"/>
    </font>
    <font>
      <sz val="20"/>
      <name val="Cambria"/>
      <family val="1"/>
      <charset val="204"/>
    </font>
    <font>
      <b/>
      <sz val="14"/>
      <color rgb="FFFF0000"/>
      <name val="Cambria"/>
      <family val="1"/>
      <charset val="204"/>
    </font>
    <font>
      <b/>
      <sz val="14"/>
      <name val="Cambria"/>
      <family val="1"/>
      <charset val="204"/>
    </font>
    <font>
      <sz val="18"/>
      <name val="Cambria"/>
      <family val="1"/>
      <charset val="204"/>
    </font>
    <font>
      <b/>
      <sz val="18"/>
      <name val="Cambria"/>
      <family val="1"/>
      <charset val="204"/>
    </font>
    <font>
      <b/>
      <sz val="18"/>
      <color rgb="FFFF0000"/>
      <name val="Cambria"/>
      <family val="1"/>
      <charset val="204"/>
    </font>
    <font>
      <sz val="11"/>
      <color rgb="FFFF0000"/>
      <name val="Calibri"/>
      <family val="2"/>
      <charset val="204"/>
      <scheme val="minor"/>
    </font>
    <font>
      <b/>
      <sz val="20"/>
      <name val="Cambria"/>
      <family val="1"/>
      <charset val="204"/>
    </font>
    <font>
      <b/>
      <sz val="20"/>
      <color rgb="FFFF0000"/>
      <name val="Cambria"/>
      <family val="1"/>
      <charset val="204"/>
    </font>
    <font>
      <b/>
      <sz val="13"/>
      <name val="Cambria"/>
      <family val="1"/>
      <charset val="204"/>
    </font>
    <font>
      <b/>
      <sz val="13"/>
      <color rgb="FFFF0000"/>
      <name val="Cambria"/>
      <family val="1"/>
      <charset val="204"/>
    </font>
    <font>
      <b/>
      <sz val="13"/>
      <color rgb="FF0070C0"/>
      <name val="Cambria"/>
      <family val="1"/>
      <charset val="204"/>
    </font>
    <font>
      <b/>
      <sz val="13"/>
      <color rgb="FF9C6500"/>
      <name val="Cambria"/>
      <family val="1"/>
      <charset val="204"/>
    </font>
    <font>
      <b/>
      <sz val="14"/>
      <color theme="1"/>
      <name val="Cambria"/>
      <family val="1"/>
      <charset val="204"/>
    </font>
    <font>
      <b/>
      <sz val="16"/>
      <name val="Cambria"/>
      <family val="1"/>
      <charset val="204"/>
    </font>
    <font>
      <b/>
      <sz val="11"/>
      <color rgb="FFFF0000"/>
      <name val="Cambria"/>
      <family val="1"/>
      <charset val="204"/>
    </font>
    <font>
      <b/>
      <sz val="11"/>
      <name val="Cambria"/>
      <family val="1"/>
      <charset val="204"/>
    </font>
    <font>
      <b/>
      <sz val="10"/>
      <color rgb="FFFF0000"/>
      <name val="Cambria"/>
      <family val="1"/>
      <charset val="204"/>
    </font>
    <font>
      <sz val="11"/>
      <color theme="1"/>
      <name val="Calibri"/>
      <family val="2"/>
      <scheme val="minor"/>
    </font>
    <font>
      <sz val="18"/>
      <color rgb="FFFF0000"/>
      <name val="Cambria"/>
      <family val="1"/>
      <charset val="204"/>
    </font>
    <font>
      <sz val="11"/>
      <color rgb="FFFF0000"/>
      <name val="Cambria"/>
      <family val="1"/>
      <charset val="204"/>
    </font>
    <font>
      <sz val="10"/>
      <name val="Times New Roman"/>
      <family val="1"/>
      <charset val="204"/>
    </font>
    <font>
      <b/>
      <sz val="20"/>
      <name val="Calibri"/>
      <family val="2"/>
      <charset val="204"/>
      <scheme val="minor"/>
    </font>
    <font>
      <sz val="18"/>
      <color theme="1"/>
      <name val="Calibri"/>
      <family val="2"/>
      <charset val="204"/>
      <scheme val="minor"/>
    </font>
    <font>
      <sz val="15"/>
      <color rgb="FFFF0000"/>
      <name val="Cambria"/>
      <family val="1"/>
      <charset val="204"/>
    </font>
    <font>
      <b/>
      <sz val="26"/>
      <name val="Cambria"/>
      <family val="1"/>
      <charset val="204"/>
    </font>
    <font>
      <b/>
      <sz val="26"/>
      <color rgb="FF0070C0"/>
      <name val="Cambria"/>
      <family val="1"/>
      <charset val="204"/>
    </font>
    <font>
      <b/>
      <sz val="26"/>
      <color rgb="FFFF0000"/>
      <name val="Cambria"/>
      <family val="1"/>
      <charset val="204"/>
    </font>
    <font>
      <b/>
      <u/>
      <sz val="26"/>
      <color rgb="FFFF0000"/>
      <name val="Cambria"/>
      <family val="1"/>
      <charset val="204"/>
    </font>
    <font>
      <sz val="10"/>
      <name val="Times New Roman"/>
      <family val="1"/>
      <charset val="204"/>
    </font>
    <font>
      <sz val="16"/>
      <name val="Cambria"/>
      <family val="1"/>
      <charset val="204"/>
    </font>
    <font>
      <sz val="10"/>
      <name val="Times New Roman"/>
    </font>
    <font>
      <sz val="11"/>
      <color rgb="FF2B2828"/>
      <name val="Arial"/>
      <family val="2"/>
      <charset val="204"/>
    </font>
    <font>
      <sz val="18"/>
      <color theme="1"/>
      <name val="Cambria"/>
      <family val="1"/>
      <charset val="204"/>
    </font>
  </fonts>
  <fills count="13">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7CE"/>
      </patternFill>
    </fill>
    <fill>
      <patternFill patternType="solid">
        <fgColor rgb="FFFFFF00"/>
        <bgColor indexed="64"/>
      </patternFill>
    </fill>
    <fill>
      <patternFill patternType="solid">
        <fgColor rgb="FFFFEB9C"/>
      </patternFill>
    </fill>
    <fill>
      <patternFill patternType="solid">
        <fgColor rgb="FFFFB3B3"/>
        <bgColor indexed="64"/>
      </patternFill>
    </fill>
    <fill>
      <patternFill patternType="solid">
        <fgColor rgb="FFFFDDDD"/>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7"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diagonal/>
    </border>
    <border>
      <left style="medium">
        <color indexed="64"/>
      </left>
      <right style="hair">
        <color indexed="64"/>
      </right>
      <top/>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style="hair">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hair">
        <color indexed="64"/>
      </left>
      <right style="thick">
        <color indexed="64"/>
      </right>
      <top style="hair">
        <color indexed="64"/>
      </top>
      <bottom style="hair">
        <color indexed="64"/>
      </bottom>
      <diagonal/>
    </border>
    <border>
      <left style="hair">
        <color indexed="64"/>
      </left>
      <right style="thick">
        <color indexed="64"/>
      </right>
      <top style="hair">
        <color indexed="64"/>
      </top>
      <bottom style="medium">
        <color indexed="64"/>
      </bottom>
      <diagonal/>
    </border>
    <border>
      <left style="hair">
        <color indexed="64"/>
      </left>
      <right style="thick">
        <color indexed="64"/>
      </right>
      <top style="medium">
        <color indexed="64"/>
      </top>
      <bottom style="hair">
        <color indexed="64"/>
      </bottom>
      <diagonal/>
    </border>
    <border>
      <left style="hair">
        <color indexed="64"/>
      </left>
      <right style="thick">
        <color indexed="64"/>
      </right>
      <top style="hair">
        <color indexed="64"/>
      </top>
      <bottom style="thick">
        <color indexed="64"/>
      </bottom>
      <diagonal/>
    </border>
    <border>
      <left/>
      <right style="hair">
        <color indexed="64"/>
      </right>
      <top style="thick">
        <color indexed="64"/>
      </top>
      <bottom style="hair">
        <color indexed="64"/>
      </bottom>
      <diagonal/>
    </border>
    <border>
      <left/>
      <right style="hair">
        <color indexed="64"/>
      </right>
      <top style="hair">
        <color indexed="64"/>
      </top>
      <bottom style="thick">
        <color indexed="64"/>
      </bottom>
      <diagonal/>
    </border>
  </borders>
  <cellStyleXfs count="14">
    <xf numFmtId="0" fontId="0" fillId="0" borderId="0"/>
    <xf numFmtId="0" fontId="2" fillId="0" borderId="0"/>
    <xf numFmtId="0" fontId="1" fillId="0" borderId="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5" fillId="5" borderId="0" applyNumberFormat="0" applyBorder="0" applyAlignment="0" applyProtection="0"/>
    <xf numFmtId="0" fontId="6" fillId="7" borderId="0" applyNumberFormat="0" applyBorder="0" applyAlignment="0" applyProtection="0"/>
    <xf numFmtId="0" fontId="2" fillId="0" borderId="0"/>
    <xf numFmtId="0" fontId="29" fillId="0" borderId="0"/>
  </cellStyleXfs>
  <cellXfs count="162">
    <xf numFmtId="0" fontId="0" fillId="0" borderId="0" xfId="0"/>
    <xf numFmtId="0" fontId="8" fillId="0" borderId="0" xfId="0" applyFont="1"/>
    <xf numFmtId="0" fontId="10" fillId="0" borderId="0" xfId="3" applyFont="1"/>
    <xf numFmtId="0" fontId="9" fillId="0" borderId="0" xfId="3" applyFont="1" applyAlignment="1">
      <alignment horizontal="center" vertical="center"/>
    </xf>
    <xf numFmtId="0" fontId="11" fillId="0" borderId="0" xfId="3" applyFont="1" applyAlignment="1">
      <alignment horizontal="center" vertical="center" wrapText="1"/>
    </xf>
    <xf numFmtId="0" fontId="12" fillId="0" borderId="0" xfId="3" applyFont="1" applyAlignment="1">
      <alignment horizontal="center" vertical="center"/>
    </xf>
    <xf numFmtId="164" fontId="14" fillId="2" borderId="2" xfId="3" applyNumberFormat="1" applyFont="1" applyFill="1" applyBorder="1" applyAlignment="1">
      <alignment horizontal="center" vertical="center" wrapText="1"/>
    </xf>
    <xf numFmtId="0" fontId="0" fillId="0" borderId="1" xfId="0" applyBorder="1"/>
    <xf numFmtId="164" fontId="14" fillId="2" borderId="6" xfId="3" applyNumberFormat="1" applyFont="1" applyFill="1" applyBorder="1" applyAlignment="1">
      <alignment horizontal="center" vertical="center" wrapText="1"/>
    </xf>
    <xf numFmtId="0" fontId="19" fillId="0" borderId="0" xfId="3" applyFont="1" applyAlignment="1">
      <alignment horizontal="left" vertical="center"/>
    </xf>
    <xf numFmtId="164" fontId="16" fillId="0" borderId="2" xfId="3" applyNumberFormat="1" applyFont="1" applyBorder="1" applyAlignment="1">
      <alignment horizontal="center" vertical="center" wrapText="1"/>
    </xf>
    <xf numFmtId="164" fontId="14" fillId="0" borderId="2" xfId="3" applyNumberFormat="1" applyFont="1" applyBorder="1" applyAlignment="1">
      <alignment horizontal="center" vertical="center" wrapText="1"/>
    </xf>
    <xf numFmtId="164" fontId="14" fillId="0" borderId="4" xfId="3" applyNumberFormat="1" applyFont="1" applyBorder="1" applyAlignment="1">
      <alignment horizontal="center" vertical="center" wrapText="1"/>
    </xf>
    <xf numFmtId="0" fontId="27" fillId="6" borderId="1" xfId="9"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27" fillId="10" borderId="1" xfId="9" applyFont="1" applyFill="1" applyBorder="1" applyAlignment="1">
      <alignment horizontal="center" vertical="center" wrapText="1"/>
    </xf>
    <xf numFmtId="0" fontId="27" fillId="7" borderId="1" xfId="11" applyFont="1" applyBorder="1" applyAlignment="1">
      <alignment horizontal="center" vertical="center" wrapText="1"/>
    </xf>
    <xf numFmtId="0" fontId="27" fillId="6"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8" fillId="2" borderId="1" xfId="10" applyFont="1" applyFill="1" applyBorder="1" applyAlignment="1">
      <alignment horizontal="center" vertical="center" wrapText="1"/>
    </xf>
    <xf numFmtId="164" fontId="16" fillId="0" borderId="6" xfId="3" applyNumberFormat="1" applyFont="1" applyBorder="1" applyAlignment="1">
      <alignment horizontal="center" vertical="center" wrapText="1"/>
    </xf>
    <xf numFmtId="164" fontId="14" fillId="0" borderId="6" xfId="3" applyNumberFormat="1" applyFont="1" applyBorder="1" applyAlignment="1">
      <alignment horizontal="center" vertical="center" wrapText="1"/>
    </xf>
    <xf numFmtId="164" fontId="14" fillId="0" borderId="7" xfId="3" applyNumberFormat="1" applyFont="1" applyBorder="1" applyAlignment="1">
      <alignment horizontal="center" vertical="center" wrapText="1"/>
    </xf>
    <xf numFmtId="164" fontId="15" fillId="0" borderId="2" xfId="3" applyNumberFormat="1" applyFont="1" applyBorder="1" applyAlignment="1">
      <alignment horizontal="center" vertical="center" wrapText="1"/>
    </xf>
    <xf numFmtId="164" fontId="15" fillId="0" borderId="6" xfId="3" applyNumberFormat="1" applyFont="1" applyBorder="1" applyAlignment="1">
      <alignment horizontal="center" vertical="center" wrapText="1"/>
    </xf>
    <xf numFmtId="14" fontId="27" fillId="0" borderId="1" xfId="0" applyNumberFormat="1" applyFont="1" applyBorder="1" applyAlignment="1">
      <alignment horizontal="center" vertical="center"/>
    </xf>
    <xf numFmtId="0" fontId="26" fillId="6" borderId="1" xfId="0" applyFont="1" applyFill="1" applyBorder="1" applyAlignment="1">
      <alignment horizontal="center" vertical="center" wrapText="1"/>
    </xf>
    <xf numFmtId="0" fontId="29" fillId="0" borderId="0" xfId="13"/>
    <xf numFmtId="0" fontId="0" fillId="11" borderId="0" xfId="0" applyFill="1"/>
    <xf numFmtId="4" fontId="32" fillId="0" borderId="1" xfId="0" applyNumberFormat="1" applyFont="1" applyBorder="1" applyAlignment="1">
      <alignment horizontal="center" vertical="center"/>
    </xf>
    <xf numFmtId="0" fontId="0" fillId="6" borderId="0" xfId="0" applyFill="1"/>
    <xf numFmtId="0" fontId="17" fillId="0" borderId="0" xfId="0" applyFont="1"/>
    <xf numFmtId="0" fontId="33" fillId="0" borderId="0" xfId="0" applyFont="1"/>
    <xf numFmtId="164" fontId="34" fillId="11" borderId="0" xfId="0" applyNumberFormat="1" applyFont="1" applyFill="1" applyAlignment="1">
      <alignment horizontal="center" vertical="center"/>
    </xf>
    <xf numFmtId="0" fontId="18" fillId="4" borderId="17" xfId="3" applyFont="1" applyFill="1" applyBorder="1" applyAlignment="1">
      <alignment vertical="center"/>
    </xf>
    <xf numFmtId="3" fontId="18" fillId="4" borderId="8" xfId="3" applyNumberFormat="1" applyFont="1" applyFill="1" applyBorder="1" applyAlignment="1">
      <alignment horizontal="center" vertical="center" wrapText="1"/>
    </xf>
    <xf numFmtId="164" fontId="16" fillId="11" borderId="10" xfId="3" applyNumberFormat="1" applyFont="1" applyFill="1" applyBorder="1" applyAlignment="1">
      <alignment horizontal="center" vertical="center" wrapText="1"/>
    </xf>
    <xf numFmtId="164" fontId="15" fillId="11" borderId="10" xfId="3" applyNumberFormat="1" applyFont="1" applyFill="1" applyBorder="1" applyAlignment="1">
      <alignment horizontal="center" vertical="center" wrapText="1"/>
    </xf>
    <xf numFmtId="164" fontId="14" fillId="11" borderId="10" xfId="3" applyNumberFormat="1" applyFont="1" applyFill="1" applyBorder="1" applyAlignment="1">
      <alignment horizontal="center" vertical="center" wrapText="1"/>
    </xf>
    <xf numFmtId="164" fontId="14" fillId="11" borderId="11" xfId="3" applyNumberFormat="1" applyFont="1" applyFill="1" applyBorder="1" applyAlignment="1">
      <alignment horizontal="center" vertical="center" wrapText="1"/>
    </xf>
    <xf numFmtId="164" fontId="30" fillId="0" borderId="6" xfId="3" applyNumberFormat="1" applyFont="1" applyBorder="1" applyAlignment="1">
      <alignment horizontal="center" vertical="center" wrapText="1"/>
    </xf>
    <xf numFmtId="164" fontId="30" fillId="0" borderId="7" xfId="3" applyNumberFormat="1" applyFont="1" applyBorder="1" applyAlignment="1">
      <alignment horizontal="center" vertical="center" wrapText="1"/>
    </xf>
    <xf numFmtId="164" fontId="14" fillId="11" borderId="9" xfId="3" applyNumberFormat="1" applyFont="1" applyFill="1" applyBorder="1" applyAlignment="1">
      <alignment horizontal="center" vertical="center" wrapText="1"/>
    </xf>
    <xf numFmtId="164" fontId="14" fillId="0" borderId="3" xfId="3" applyNumberFormat="1" applyFont="1" applyBorder="1" applyAlignment="1">
      <alignment horizontal="center" vertical="center" wrapText="1"/>
    </xf>
    <xf numFmtId="164" fontId="30" fillId="0" borderId="5" xfId="3" applyNumberFormat="1" applyFont="1" applyBorder="1" applyAlignment="1">
      <alignment horizontal="center" vertical="center" wrapText="1"/>
    </xf>
    <xf numFmtId="164" fontId="14" fillId="0" borderId="5" xfId="3" applyNumberFormat="1" applyFont="1" applyBorder="1" applyAlignment="1">
      <alignment horizontal="center" vertical="center" wrapText="1"/>
    </xf>
    <xf numFmtId="164" fontId="15" fillId="11" borderId="9" xfId="3" applyNumberFormat="1" applyFont="1" applyFill="1" applyBorder="1" applyAlignment="1">
      <alignment horizontal="center" vertical="center"/>
    </xf>
    <xf numFmtId="164" fontId="15" fillId="0" borderId="3" xfId="3" applyNumberFormat="1" applyFont="1" applyBorder="1" applyAlignment="1">
      <alignment horizontal="center" vertical="center"/>
    </xf>
    <xf numFmtId="164" fontId="16" fillId="0" borderId="5" xfId="3" applyNumberFormat="1" applyFont="1" applyBorder="1" applyAlignment="1">
      <alignment horizontal="center" vertical="center"/>
    </xf>
    <xf numFmtId="0" fontId="18" fillId="4" borderId="18" xfId="3" applyFont="1" applyFill="1" applyBorder="1" applyAlignment="1">
      <alignment vertical="center"/>
    </xf>
    <xf numFmtId="3" fontId="18" fillId="4" borderId="16" xfId="3" applyNumberFormat="1" applyFont="1" applyFill="1" applyBorder="1" applyAlignment="1">
      <alignment horizontal="center" vertical="center" wrapText="1"/>
    </xf>
    <xf numFmtId="3" fontId="18" fillId="4" borderId="22" xfId="3" applyNumberFormat="1" applyFont="1" applyFill="1" applyBorder="1" applyAlignment="1">
      <alignment horizontal="center" vertical="center" wrapText="1"/>
    </xf>
    <xf numFmtId="0" fontId="21" fillId="3" borderId="6" xfId="3" applyFont="1" applyFill="1" applyBorder="1" applyAlignment="1">
      <alignment horizontal="center" vertical="center" wrapText="1"/>
    </xf>
    <xf numFmtId="0" fontId="22" fillId="3" borderId="6" xfId="3" applyFont="1" applyFill="1" applyBorder="1" applyAlignment="1">
      <alignment horizontal="center" vertical="center" wrapText="1"/>
    </xf>
    <xf numFmtId="0" fontId="22" fillId="3" borderId="7" xfId="3" applyFont="1" applyFill="1" applyBorder="1" applyAlignment="1">
      <alignment horizontal="center" vertical="center" wrapText="1"/>
    </xf>
    <xf numFmtId="0" fontId="13" fillId="3" borderId="5" xfId="3" applyFont="1" applyFill="1" applyBorder="1" applyAlignment="1">
      <alignment horizontal="center" vertical="center" textRotation="90" wrapText="1"/>
    </xf>
    <xf numFmtId="0" fontId="24" fillId="3" borderId="6" xfId="3" applyFont="1" applyFill="1" applyBorder="1" applyAlignment="1">
      <alignment horizontal="center" vertical="center" textRotation="90" wrapText="1"/>
    </xf>
    <xf numFmtId="0" fontId="13" fillId="3" borderId="6" xfId="3" applyFont="1" applyFill="1" applyBorder="1" applyAlignment="1">
      <alignment horizontal="center" vertical="center" textRotation="90" wrapText="1"/>
    </xf>
    <xf numFmtId="44" fontId="13" fillId="3" borderId="6" xfId="3" applyNumberFormat="1" applyFont="1" applyFill="1" applyBorder="1" applyAlignment="1">
      <alignment horizontal="center" vertical="center" textRotation="90" wrapText="1"/>
    </xf>
    <xf numFmtId="0" fontId="13" fillId="6" borderId="6" xfId="3" applyFont="1" applyFill="1" applyBorder="1" applyAlignment="1">
      <alignment horizontal="center" vertical="center" textRotation="90" wrapText="1"/>
    </xf>
    <xf numFmtId="0" fontId="13" fillId="2" borderId="6" xfId="3" applyFont="1" applyFill="1" applyBorder="1" applyAlignment="1">
      <alignment horizontal="center" vertical="center" textRotation="90" wrapText="1"/>
    </xf>
    <xf numFmtId="0" fontId="12" fillId="3" borderId="6" xfId="3" applyFont="1" applyFill="1" applyBorder="1" applyAlignment="1">
      <alignment horizontal="center" vertical="center" textRotation="90" wrapText="1"/>
    </xf>
    <xf numFmtId="0" fontId="13" fillId="8" borderId="6" xfId="3" applyFont="1" applyFill="1" applyBorder="1" applyAlignment="1">
      <alignment horizontal="center" vertical="center" textRotation="90" wrapText="1"/>
    </xf>
    <xf numFmtId="0" fontId="25" fillId="9" borderId="5" xfId="3" applyFont="1" applyFill="1" applyBorder="1" applyAlignment="1">
      <alignment horizontal="center" vertical="center" wrapText="1"/>
    </xf>
    <xf numFmtId="0" fontId="25" fillId="9" borderId="6" xfId="3" applyFont="1" applyFill="1" applyBorder="1" applyAlignment="1">
      <alignment horizontal="center" vertical="center" wrapText="1"/>
    </xf>
    <xf numFmtId="0" fontId="25" fillId="9" borderId="7" xfId="3" applyFont="1" applyFill="1" applyBorder="1" applyAlignment="1">
      <alignment horizontal="center" vertical="center" wrapText="1"/>
    </xf>
    <xf numFmtId="164" fontId="14" fillId="2" borderId="10" xfId="3" applyNumberFormat="1" applyFont="1" applyFill="1" applyBorder="1" applyAlignment="1">
      <alignment horizontal="center" vertical="center" wrapText="1"/>
    </xf>
    <xf numFmtId="164" fontId="30" fillId="2" borderId="6" xfId="3" applyNumberFormat="1" applyFont="1" applyFill="1" applyBorder="1" applyAlignment="1">
      <alignment horizontal="center" vertical="center" wrapText="1"/>
    </xf>
    <xf numFmtId="0" fontId="15" fillId="11" borderId="11" xfId="3" applyFont="1" applyFill="1" applyBorder="1" applyAlignment="1">
      <alignment vertical="center"/>
    </xf>
    <xf numFmtId="0" fontId="14" fillId="0" borderId="4" xfId="3" applyFont="1" applyBorder="1" applyAlignment="1">
      <alignment vertical="center"/>
    </xf>
    <xf numFmtId="0" fontId="30" fillId="0" borderId="7" xfId="3" applyFont="1" applyBorder="1" applyAlignment="1">
      <alignment horizontal="center" vertical="center" wrapText="1"/>
    </xf>
    <xf numFmtId="0" fontId="8" fillId="0" borderId="23" xfId="0" applyFont="1" applyBorder="1"/>
    <xf numFmtId="0" fontId="8" fillId="0" borderId="24" xfId="0" applyFont="1" applyBorder="1"/>
    <xf numFmtId="0" fontId="14" fillId="0" borderId="13" xfId="3" applyFont="1" applyBorder="1" applyAlignment="1">
      <alignment horizontal="center" vertical="center"/>
    </xf>
    <xf numFmtId="0" fontId="30" fillId="0" borderId="14" xfId="3" applyFont="1" applyBorder="1" applyAlignment="1">
      <alignment horizontal="center" vertical="center"/>
    </xf>
    <xf numFmtId="0" fontId="14" fillId="11" borderId="12" xfId="3" applyFont="1" applyFill="1" applyBorder="1" applyAlignment="1">
      <alignment horizontal="center" vertical="center"/>
    </xf>
    <xf numFmtId="0" fontId="14" fillId="0" borderId="14" xfId="3" applyFont="1" applyBorder="1" applyAlignment="1">
      <alignment horizontal="center" vertical="center"/>
    </xf>
    <xf numFmtId="0" fontId="18" fillId="0" borderId="25" xfId="0" applyFont="1" applyBorder="1"/>
    <xf numFmtId="164" fontId="15" fillId="11" borderId="12" xfId="3" applyNumberFormat="1" applyFont="1" applyFill="1" applyBorder="1" applyAlignment="1">
      <alignment horizontal="center" vertical="center"/>
    </xf>
    <xf numFmtId="164" fontId="15" fillId="0" borderId="13" xfId="3" applyNumberFormat="1" applyFont="1" applyBorder="1" applyAlignment="1">
      <alignment horizontal="center" vertical="center"/>
    </xf>
    <xf numFmtId="164" fontId="16" fillId="0" borderId="14" xfId="3" applyNumberFormat="1" applyFont="1" applyBorder="1" applyAlignment="1">
      <alignment horizontal="center" vertical="center"/>
    </xf>
    <xf numFmtId="164" fontId="15" fillId="0" borderId="14" xfId="3" applyNumberFormat="1" applyFont="1" applyBorder="1" applyAlignment="1">
      <alignment horizontal="center" vertical="center"/>
    </xf>
    <xf numFmtId="0" fontId="14" fillId="0" borderId="19" xfId="3" applyFont="1" applyBorder="1" applyAlignment="1">
      <alignment horizontal="center" vertical="center"/>
    </xf>
    <xf numFmtId="0" fontId="30" fillId="0" borderId="15" xfId="3" applyFont="1" applyBorder="1" applyAlignment="1">
      <alignment horizontal="center" vertical="center" wrapText="1"/>
    </xf>
    <xf numFmtId="0" fontId="14" fillId="0" borderId="26" xfId="3" applyFont="1" applyBorder="1" applyAlignment="1">
      <alignment vertical="center"/>
    </xf>
    <xf numFmtId="0" fontId="30" fillId="0" borderId="27" xfId="3" applyFont="1" applyBorder="1" applyAlignment="1">
      <alignment horizontal="center" vertical="center" wrapText="1"/>
    </xf>
    <xf numFmtId="0" fontId="15" fillId="11" borderId="28" xfId="3" applyFont="1" applyFill="1" applyBorder="1" applyAlignment="1">
      <alignment vertical="center"/>
    </xf>
    <xf numFmtId="0" fontId="14" fillId="0" borderId="27" xfId="3" applyFont="1" applyBorder="1" applyAlignment="1">
      <alignment vertical="center"/>
    </xf>
    <xf numFmtId="0" fontId="35" fillId="0" borderId="27" xfId="3" applyFont="1" applyBorder="1" applyAlignment="1">
      <alignment horizontal="center" vertical="center" wrapText="1"/>
    </xf>
    <xf numFmtId="0" fontId="30" fillId="0" borderId="29" xfId="3" applyFont="1" applyBorder="1" applyAlignment="1">
      <alignment horizontal="center" vertical="center" wrapText="1"/>
    </xf>
    <xf numFmtId="0" fontId="8" fillId="11" borderId="2" xfId="0" applyFont="1" applyFill="1" applyBorder="1"/>
    <xf numFmtId="0" fontId="8" fillId="0" borderId="2" xfId="0" applyFont="1" applyBorder="1"/>
    <xf numFmtId="0" fontId="31" fillId="0" borderId="2" xfId="0" applyFont="1" applyBorder="1"/>
    <xf numFmtId="4" fontId="32" fillId="0" borderId="2" xfId="0" applyNumberFormat="1" applyFont="1" applyBorder="1" applyAlignment="1">
      <alignment horizontal="center" vertical="center"/>
    </xf>
    <xf numFmtId="0" fontId="14" fillId="0" borderId="31" xfId="3" applyFont="1" applyBorder="1" applyAlignment="1">
      <alignment horizontal="center" vertical="center"/>
    </xf>
    <xf numFmtId="164" fontId="8" fillId="0" borderId="2" xfId="0" applyNumberFormat="1" applyFont="1" applyBorder="1" applyAlignment="1">
      <alignment horizontal="center" vertical="center"/>
    </xf>
    <xf numFmtId="4" fontId="40" fillId="0" borderId="1" xfId="0" applyNumberFormat="1" applyFont="1" applyBorder="1" applyAlignment="1">
      <alignment horizontal="center" vertical="center"/>
    </xf>
    <xf numFmtId="4" fontId="40" fillId="0" borderId="0" xfId="0" applyNumberFormat="1" applyFont="1" applyAlignment="1">
      <alignment horizontal="center" vertical="center"/>
    </xf>
    <xf numFmtId="3" fontId="16" fillId="12" borderId="11" xfId="11" applyNumberFormat="1" applyFont="1" applyFill="1" applyBorder="1" applyAlignment="1">
      <alignment horizontal="center" vertical="center" wrapText="1"/>
    </xf>
    <xf numFmtId="3" fontId="16" fillId="12" borderId="4" xfId="11" applyNumberFormat="1" applyFont="1" applyFill="1" applyBorder="1" applyAlignment="1">
      <alignment horizontal="center" vertical="center" wrapText="1"/>
    </xf>
    <xf numFmtId="3" fontId="16" fillId="12" borderId="7" xfId="11" applyNumberFormat="1" applyFont="1" applyFill="1" applyBorder="1" applyAlignment="1">
      <alignment horizontal="center" vertical="center" wrapText="1"/>
    </xf>
    <xf numFmtId="164" fontId="30" fillId="12" borderId="7" xfId="3" applyNumberFormat="1" applyFont="1" applyFill="1" applyBorder="1" applyAlignment="1">
      <alignment horizontal="center" vertical="center" wrapText="1"/>
    </xf>
    <xf numFmtId="0" fontId="12" fillId="12" borderId="7" xfId="11" applyFont="1" applyFill="1" applyBorder="1" applyAlignment="1">
      <alignment horizontal="center" vertical="center" textRotation="90" wrapText="1"/>
    </xf>
    <xf numFmtId="164" fontId="16" fillId="2" borderId="10" xfId="3" applyNumberFormat="1" applyFont="1" applyFill="1" applyBorder="1" applyAlignment="1">
      <alignment horizontal="center" vertical="center" wrapText="1"/>
    </xf>
    <xf numFmtId="0" fontId="8" fillId="2" borderId="2" xfId="0" applyFont="1" applyFill="1" applyBorder="1"/>
    <xf numFmtId="0" fontId="14" fillId="0" borderId="13" xfId="3" applyFont="1" applyBorder="1" applyAlignment="1">
      <alignment horizontal="left" vertical="center"/>
    </xf>
    <xf numFmtId="0" fontId="41" fillId="0" borderId="13" xfId="3" applyFont="1" applyBorder="1" applyAlignment="1">
      <alignment horizontal="left" vertical="center"/>
    </xf>
    <xf numFmtId="0" fontId="14" fillId="11" borderId="30" xfId="3" applyFont="1" applyFill="1" applyBorder="1" applyAlignment="1">
      <alignment horizontal="center" vertical="center"/>
    </xf>
    <xf numFmtId="3" fontId="19" fillId="4" borderId="8" xfId="3" applyNumberFormat="1" applyFont="1" applyFill="1" applyBorder="1" applyAlignment="1">
      <alignment horizontal="center" vertical="center" wrapText="1"/>
    </xf>
    <xf numFmtId="3" fontId="19" fillId="4" borderId="22" xfId="3" applyNumberFormat="1" applyFont="1" applyFill="1" applyBorder="1" applyAlignment="1">
      <alignment horizontal="center" vertical="center" wrapText="1"/>
    </xf>
    <xf numFmtId="4" fontId="42" fillId="0" borderId="1" xfId="0" applyNumberFormat="1" applyFont="1" applyBorder="1" applyAlignment="1">
      <alignment horizontal="center" vertical="center"/>
    </xf>
    <xf numFmtId="0" fontId="43" fillId="0" borderId="0" xfId="0" applyFont="1"/>
    <xf numFmtId="0" fontId="26" fillId="0" borderId="0" xfId="0" applyFont="1" applyBorder="1" applyAlignment="1">
      <alignment horizontal="center" vertical="center" wrapText="1"/>
    </xf>
    <xf numFmtId="0" fontId="0" fillId="0" borderId="0" xfId="0" applyBorder="1"/>
    <xf numFmtId="0" fontId="4" fillId="0" borderId="0" xfId="0" applyFont="1" applyBorder="1" applyAlignment="1">
      <alignment horizontal="center" vertical="center"/>
    </xf>
    <xf numFmtId="14" fontId="4" fillId="0" borderId="0" xfId="0" applyNumberFormat="1" applyFont="1" applyBorder="1" applyAlignment="1">
      <alignment vertical="center"/>
    </xf>
    <xf numFmtId="14" fontId="0" fillId="0" borderId="0" xfId="0" applyNumberFormat="1" applyBorder="1"/>
    <xf numFmtId="0" fontId="17" fillId="0" borderId="0" xfId="0" applyFont="1" applyBorder="1" applyAlignment="1">
      <alignment vertical="center"/>
    </xf>
    <xf numFmtId="14" fontId="17" fillId="0" borderId="0" xfId="0" applyNumberFormat="1" applyFont="1" applyBorder="1" applyAlignment="1">
      <alignment vertical="center"/>
    </xf>
    <xf numFmtId="0" fontId="27" fillId="0" borderId="0" xfId="0" applyFont="1" applyBorder="1" applyAlignment="1">
      <alignment horizontal="center" vertical="center"/>
    </xf>
    <xf numFmtId="0" fontId="4" fillId="0" borderId="0" xfId="0" applyFont="1" applyBorder="1" applyAlignment="1">
      <alignment vertical="center"/>
    </xf>
    <xf numFmtId="165" fontId="4" fillId="0" borderId="0" xfId="0" applyNumberFormat="1" applyFont="1" applyBorder="1" applyAlignment="1">
      <alignment vertical="center"/>
    </xf>
    <xf numFmtId="0" fontId="0" fillId="0" borderId="0" xfId="0" applyBorder="1" applyAlignment="1">
      <alignment horizontal="center"/>
    </xf>
    <xf numFmtId="164" fontId="44" fillId="11" borderId="10" xfId="3" applyNumberFormat="1" applyFont="1" applyFill="1" applyBorder="1" applyAlignment="1">
      <alignment horizontal="center" vertical="center" wrapText="1"/>
    </xf>
    <xf numFmtId="164" fontId="44" fillId="0" borderId="2" xfId="3" applyNumberFormat="1" applyFont="1" applyBorder="1" applyAlignment="1">
      <alignment horizontal="center" vertical="center" wrapText="1"/>
    </xf>
    <xf numFmtId="164" fontId="44" fillId="0" borderId="6" xfId="3" applyNumberFormat="1" applyFont="1" applyBorder="1" applyAlignment="1">
      <alignment horizontal="center" vertical="center" wrapText="1"/>
    </xf>
    <xf numFmtId="0" fontId="17" fillId="0" borderId="1" xfId="0" applyFont="1" applyBorder="1" applyAlignment="1">
      <alignment vertical="center"/>
    </xf>
    <xf numFmtId="0" fontId="17" fillId="0" borderId="1" xfId="11" applyFont="1" applyFill="1" applyBorder="1" applyAlignment="1">
      <alignment vertical="center"/>
    </xf>
    <xf numFmtId="14" fontId="4" fillId="0" borderId="1" xfId="0" applyNumberFormat="1" applyFont="1" applyBorder="1" applyAlignment="1">
      <alignment vertical="center"/>
    </xf>
    <xf numFmtId="14" fontId="0" fillId="0" borderId="1" xfId="0" applyNumberFormat="1" applyBorder="1"/>
    <xf numFmtId="165" fontId="4" fillId="0" borderId="1" xfId="0" applyNumberFormat="1" applyFont="1" applyBorder="1"/>
    <xf numFmtId="0" fontId="0" fillId="6" borderId="1" xfId="0" applyFill="1" applyBorder="1" applyAlignment="1">
      <alignment horizontal="center"/>
    </xf>
    <xf numFmtId="0" fontId="4" fillId="0" borderId="1" xfId="0" applyFont="1"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left" vertical="center"/>
    </xf>
    <xf numFmtId="0" fontId="17" fillId="0" borderId="1" xfId="11" applyFont="1" applyFill="1" applyBorder="1" applyAlignment="1">
      <alignment horizontal="left" vertical="center"/>
    </xf>
    <xf numFmtId="0" fontId="14" fillId="2" borderId="12" xfId="3" applyFont="1" applyFill="1" applyBorder="1" applyAlignment="1">
      <alignment horizontal="center" vertical="center"/>
    </xf>
    <xf numFmtId="0" fontId="15" fillId="2" borderId="28" xfId="3" applyFont="1" applyFill="1" applyBorder="1" applyAlignment="1">
      <alignment vertical="center"/>
    </xf>
    <xf numFmtId="164" fontId="15" fillId="2" borderId="12" xfId="3" applyNumberFormat="1" applyFont="1" applyFill="1" applyBorder="1" applyAlignment="1">
      <alignment horizontal="center" vertical="center"/>
    </xf>
    <xf numFmtId="164" fontId="15" fillId="2" borderId="10" xfId="3" applyNumberFormat="1" applyFont="1" applyFill="1" applyBorder="1" applyAlignment="1">
      <alignment horizontal="center" vertical="center" wrapText="1"/>
    </xf>
    <xf numFmtId="164" fontId="14" fillId="2" borderId="11" xfId="3" applyNumberFormat="1" applyFont="1" applyFill="1" applyBorder="1" applyAlignment="1">
      <alignment horizontal="center" vertical="center" wrapText="1"/>
    </xf>
    <xf numFmtId="164" fontId="14" fillId="2" borderId="9" xfId="3" applyNumberFormat="1" applyFont="1" applyFill="1" applyBorder="1" applyAlignment="1">
      <alignment horizontal="center" vertical="center" wrapText="1"/>
    </xf>
    <xf numFmtId="3" fontId="16" fillId="2" borderId="11" xfId="11" applyNumberFormat="1" applyFont="1" applyFill="1" applyBorder="1" applyAlignment="1">
      <alignment horizontal="center" vertical="center" wrapText="1"/>
    </xf>
    <xf numFmtId="0" fontId="18" fillId="9" borderId="9" xfId="3" applyFont="1" applyFill="1" applyBorder="1" applyAlignment="1">
      <alignment horizontal="center" vertical="center" wrapText="1"/>
    </xf>
    <xf numFmtId="0" fontId="18" fillId="9" borderId="10" xfId="3" applyFont="1" applyFill="1" applyBorder="1" applyAlignment="1">
      <alignment horizontal="center" vertical="center" wrapText="1"/>
    </xf>
    <xf numFmtId="0" fontId="18" fillId="9" borderId="11" xfId="3" applyFont="1" applyFill="1" applyBorder="1" applyAlignment="1">
      <alignment horizontal="center" vertical="center" wrapText="1"/>
    </xf>
    <xf numFmtId="0" fontId="36" fillId="0" borderId="0" xfId="3" applyFont="1" applyAlignment="1">
      <alignment horizontal="center" vertical="center" wrapText="1"/>
    </xf>
    <xf numFmtId="0" fontId="20" fillId="3" borderId="9" xfId="3" applyFont="1" applyFill="1" applyBorder="1" applyAlignment="1">
      <alignment horizontal="center" vertical="center"/>
    </xf>
    <xf numFmtId="0" fontId="20" fillId="3" borderId="5" xfId="3" applyFont="1" applyFill="1" applyBorder="1" applyAlignment="1">
      <alignment horizontal="center" vertical="center"/>
    </xf>
    <xf numFmtId="0" fontId="13" fillId="3" borderId="20" xfId="3" applyFont="1" applyFill="1" applyBorder="1" applyAlignment="1">
      <alignment horizontal="center" vertical="center"/>
    </xf>
    <xf numFmtId="0" fontId="13" fillId="3" borderId="21" xfId="3" applyFont="1" applyFill="1" applyBorder="1" applyAlignment="1">
      <alignment horizontal="center" vertical="center"/>
    </xf>
    <xf numFmtId="0" fontId="21" fillId="3" borderId="9" xfId="3" applyFont="1" applyFill="1" applyBorder="1" applyAlignment="1">
      <alignment horizontal="center" vertical="center" wrapText="1"/>
    </xf>
    <xf numFmtId="0" fontId="21" fillId="3" borderId="5" xfId="3" applyFont="1" applyFill="1" applyBorder="1" applyAlignment="1">
      <alignment horizontal="center" vertical="center" wrapText="1"/>
    </xf>
    <xf numFmtId="0" fontId="18" fillId="3" borderId="9" xfId="3" applyFont="1" applyFill="1" applyBorder="1" applyAlignment="1">
      <alignment horizontal="center" vertical="center" wrapText="1"/>
    </xf>
    <xf numFmtId="0" fontId="18" fillId="3" borderId="10" xfId="3" applyFont="1" applyFill="1" applyBorder="1" applyAlignment="1">
      <alignment horizontal="center" vertical="center" wrapText="1"/>
    </xf>
    <xf numFmtId="0" fontId="18" fillId="3" borderId="11" xfId="3" applyFont="1" applyFill="1" applyBorder="1" applyAlignment="1">
      <alignment horizontal="center" vertical="center" wrapText="1"/>
    </xf>
    <xf numFmtId="0" fontId="22" fillId="3" borderId="10" xfId="3" applyFont="1" applyFill="1" applyBorder="1" applyAlignment="1">
      <alignment horizontal="center" vertical="center" wrapText="1"/>
    </xf>
    <xf numFmtId="0" fontId="22" fillId="3" borderId="11" xfId="3" applyFont="1" applyFill="1" applyBorder="1" applyAlignment="1">
      <alignment horizontal="center" vertical="center" wrapText="1"/>
    </xf>
    <xf numFmtId="0" fontId="21" fillId="3" borderId="10" xfId="3" applyFont="1" applyFill="1" applyBorder="1" applyAlignment="1">
      <alignment horizontal="center" vertical="center" wrapText="1"/>
    </xf>
    <xf numFmtId="0" fontId="23" fillId="7" borderId="10" xfId="11" applyFont="1" applyBorder="1" applyAlignment="1">
      <alignment horizontal="center" vertical="center" wrapText="1"/>
    </xf>
    <xf numFmtId="0" fontId="23" fillId="7" borderId="6" xfId="11" applyFont="1" applyBorder="1" applyAlignment="1">
      <alignment horizontal="center" vertical="center" wrapText="1"/>
    </xf>
  </cellXfs>
  <cellStyles count="14">
    <cellStyle name="Нейтральный" xfId="11" builtinId="28"/>
    <cellStyle name="Обычный" xfId="0" builtinId="0"/>
    <cellStyle name="Обычный 2" xfId="1"/>
    <cellStyle name="Обычный 2 14" xfId="12"/>
    <cellStyle name="Обычный 2 2" xfId="2"/>
    <cellStyle name="Обычный 2 2 2" xfId="5"/>
    <cellStyle name="Обычный 2 3" xfId="3"/>
    <cellStyle name="Обычный 3" xfId="13"/>
    <cellStyle name="Обычный 4" xfId="4"/>
    <cellStyle name="Обычный 4 2" xfId="6"/>
    <cellStyle name="Обычный 4 2 2" xfId="9"/>
    <cellStyle name="Обычный 4 3" xfId="7"/>
    <cellStyle name="Обычный 4 3 2" xfId="8"/>
    <cellStyle name="Плохой" xfId="10" builtinId="27"/>
  </cellStyles>
  <dxfs count="104">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0006"/>
      </font>
      <fill>
        <patternFill>
          <bgColor rgb="FFFFC7CE"/>
        </patternFill>
      </fill>
    </dxf>
  </dxfs>
  <tableStyles count="0" defaultTableStyle="TableStyleMedium2" defaultPivotStyle="PivotStyleLight16"/>
  <colors>
    <mruColors>
      <color rgb="FFFFDDDD"/>
      <color rgb="FFFFB3B3"/>
      <color rgb="FFFF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7.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calcChain" Target="calcChain.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tlik\C\&#1052;&#1086;&#1080;%20&#1076;&#1086;&#1082;&#1091;&#1084;&#1077;&#1085;&#1090;&#1099;\&#1061;&#1086;&#1082;&#1080;&#1084;&#1075;&#1072;\&#1055;&#1091;&#1083;%20&#1090;&#1091;&#1096;&#1091;&#1084;\&#1040;&#1087;&#1088;&#1077;&#1083;%20&#1086;&#1081;&#1080;\25.%2002.%2008%20&#1081;%20&#1075;&#1072;\&#1054;&#1056;&#1043;&#1048;&#1053;&#1040;&#1051;\&#1040;&#1088;&#1085;&#1072;&#1089;&#1086;&#1081;\&#1052;&#1086;&#1080;%20&#1076;&#1086;&#1082;&#1091;&#1084;&#1077;&#1085;&#1090;&#1099;\&#1043;&#1072;&#1083;&#1083;&#1072;-2005\EXCEL%20&#1093;&#1091;&#1078;&#1078;&#1072;&#1090;&#1083;&#1072;&#1088;&#1080;\123\&#1058;&#1086;&#1093;&#1080;&#1088;&#1073;&#1077;&#1082;%202003-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amira\d\Documents%20and%20Settings\77\&#1052;&#1086;&#1080;%20&#1076;&#1086;&#1082;&#1091;&#1084;&#1077;&#1085;&#1090;&#1099;\&#1082;&#1072;&#1085;&#1089;&#1077;&#1087;&#1094;&#1080;&#1103;%202006%202006&#1081;\&#1048;&#1073;&#1086;&#1076;&#1072;&#1090;\5\&#1048;&#1073;&#1086;&#1076;&#1072;&#1090;%20&#1086;&#1087;&#1072;\&#1048;&#1073;&#1088;&#1072;&#109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tlik\C\&#1071;&#1053;&#1043;&#1048;%20&#1041;&#1040;&#1053;&#1050;\&#1041;&#1072;&#1085;&#108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axtakor\&#1052;&#1086;&#1080;%20&#1076;&#1086;&#1082;&#1091;&#1084;&#1077;&#1085;&#1090;&#1099;\&#1052;&#1086;&#1080;%20&#1076;&#1086;&#1082;&#1091;&#1084;&#1077;&#1085;&#1090;&#1099;\&#1064;&#1072;&#1088;&#1086;&#1092;\2008%20&#1081;&#1080;&#1083;%20&#1092;&#1077;&#1088;&#1084;&#1077;&#1088;&#1083;&#1072;&#1088;%20&#1093;&#1080;&#1089;&#1086;&#1073;-&#1082;&#1080;&#1090;&#1086;&#1073;&#1080;\&#1058;&#1091;&#1084;&#1072;&#1085;&#1083;&#1072;&#1088;\&#1040;&#1088;&#1085;&#1072;&#1089;&#1086;&#1081;\&#1040;&#1088;&#1085;&#1072;&#1089;&#1086;&#1081;-&#1089;&#1090;&#1072;&#109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tlik\C\&#1052;&#1086;&#1080;%20&#1076;&#1086;&#1082;&#1091;&#1084;&#1077;&#1085;&#1090;&#1099;\&#1061;&#1086;&#1082;&#1080;&#1084;&#1075;&#1072;\&#1055;&#1091;&#1083;%20&#1090;&#1091;&#1096;&#1091;&#1084;\&#1040;&#1087;&#1088;&#1077;&#1083;%20&#1086;&#1081;&#1080;\25.%2002.%2008%20&#1081;%20&#1075;&#1072;\&#1054;&#1056;&#1043;&#1048;&#1053;&#1040;&#1051;\&#1040;&#1088;&#1085;&#1072;&#1089;&#1086;&#1081;\&#1052;&#1086;&#1080;%20&#1076;&#1086;&#1082;&#1091;&#1084;&#1077;&#1085;&#1090;&#1099;\&#1040;&#1085;&#1072;&#1083;&#1080;&#1079;%20&#1087;%20&#1074;&#1072;%20&#1075;%2096-03&#1075;&#1072;\EXCEL%20&#1093;&#1091;&#1078;&#1078;&#1072;&#1090;&#1083;&#1072;&#1088;&#1080;\&#1058;&#1086;&#1093;&#1080;&#1088;&#1073;&#1077;&#1082;%202003-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asretdinov-s\nss\&#1052;&#1086;&#1080;%20&#1076;&#1086;&#1082;&#1091;&#1084;&#1077;&#1085;&#1090;&#1099;\gjnht,%20rjhpbyf.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3729FB2F\Bo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2\&#1044;&#1045;&#1050;&#1040;&#1041;&#1056;&#1043;&#1040;%20&#1050;&#1059;&#1064;&#1048;&#1052;&#1063;&#1040;\&#1040;&#1050;&#1041;&#1040;&#1056;\26\&#1058;&#1086;&#1096;&#1082;&#1077;&#1085;&#1090;&#1075;&#1072;\SEL_2001\OBL\Svod_OB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3139ECF\Documents%20and%20Setting"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76;&#1080;&#1089;&#1082;\2005%20&#1093;&#1086;&#1089;&#1080;&#1083;&#1080;%20&#1079;&#1072;&#1075;&#1072;&#1090;\&#1054;&#1087;&#1089;%20&#1087;&#1072;&#1088;&#1090;&#1080;&#1103;%202005-2&#1101;&#1090;&#1072;&#108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2\&#1044;&#1045;&#1050;&#1040;&#1041;&#1056;&#1043;&#1040;%20&#1050;&#1059;&#1064;&#1048;&#1052;&#1063;&#1040;\&#1040;&#1050;&#1041;&#1040;&#1056;\26\&#1058;&#1086;&#1096;&#1082;&#1077;&#1085;&#1090;&#1075;&#1072;\Documents%20and%20Settings\&#1050;&#1072;&#1084;&#1086;&#1083;\&#1052;&#1086;&#1080;%20&#1076;&#1086;&#1082;&#1091;&#1084;&#1077;&#1085;&#1090;&#1099;\2004\&#1055;&#1088;&#1077;&#1079;&#1080;&#1076;&#1077;&#1085;&#1090;_2004\01_2004\WINDOWS\&#1056;&#1072;&#1073;&#1086;&#1095;&#1080;&#1081;%20&#1089;&#1090;&#1086;&#1083;\SEL_2001\OBL\Svod_OB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tlik\C\&#1052;&#1086;&#1080;%20&#1076;&#1086;&#1082;&#1091;&#1084;&#1077;&#1085;&#1090;&#1099;\&#1061;&#1086;&#1082;&#1080;&#1084;&#1075;&#1072;\&#1055;&#1091;&#1083;%20&#1090;&#1091;&#1096;&#1091;&#1084;\&#1040;&#1087;&#1088;&#1077;&#1083;%20&#1086;&#1081;&#1080;\25.%2002.%2008%20&#1081;%20&#1075;&#1072;\&#1054;&#1056;&#1043;&#1048;&#1053;&#1040;&#1051;\&#1040;&#1088;&#1085;&#1072;&#1089;&#1086;&#1081;\&#1052;&#1086;&#1080;%20&#1076;&#1086;&#1082;&#1091;&#1084;&#1077;&#1085;&#1090;&#1099;\&#1043;&#1072;&#1083;&#1083;&#1072;-2005\EXCEL%20&#1093;&#1091;&#1078;&#1078;&#1072;&#1090;&#1083;&#1072;&#1088;&#1080;\123\&#1040;&#1073;&#1076;&#1091;&#1084;&#1091;&#1088;&#1086;&#1076;&#1075;&#1072;_&#1086;&#1093;&#108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Saidus_work/Downloads/Telegram%20Desktop/Javohi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3 илова фаолиятда_Банк"/>
      <sheetName val="фориш_свод"/>
      <sheetName val="Фориш_2003"/>
      <sheetName val="Жиззах_янги_раз"/>
      <sheetName val="банк_табл"/>
      <sheetName val="3_илова_фаолиятда_Банк"/>
      <sheetName val="Форма №2а"/>
      <sheetName val="SALES"/>
      <sheetName val="фориш_свод1"/>
      <sheetName val="Фориш_20031"/>
      <sheetName val="Жиззах_янги_раз1"/>
      <sheetName val="банк_табл1"/>
      <sheetName val="3_илова_фаолиятда_Банк1"/>
      <sheetName val="Форма_№2а"/>
      <sheetName val="просрочка "/>
      <sheetName val="База"/>
      <sheetName val=""/>
      <sheetName val="реестр декабрь"/>
      <sheetName val="оборот"/>
      <sheetName val="ПРОК 3-жадвал."/>
      <sheetName val="фориш_свод2"/>
      <sheetName val="Фориш_20032"/>
      <sheetName val="Жиззах_янги_раз2"/>
      <sheetName val="банк_табл2"/>
      <sheetName val="3_илова_фаолиятда_Банк2"/>
      <sheetName val="Форма_№2а1"/>
      <sheetName val="просрочка_"/>
      <sheetName val="Фориш_20035"/>
      <sheetName val="Фориш_20037"/>
      <sheetName val="Фориш_20036"/>
      <sheetName val="Фориш_200321"/>
      <sheetName val="Ер Ресурс"/>
      <sheetName val="BAL"/>
      <sheetName val="Форма №2-2003"/>
      <sheetName val="COP FED"/>
      <sheetName val="стоимость проекта"/>
      <sheetName val="Тоифалари бўйича маълумот"/>
      <sheetName val="инф"/>
      <sheetName val="3"/>
      <sheetName val="б 6-и"/>
      <sheetName val="Тохирбек 2003-1"/>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ув"/>
      <sheetName val="йул"/>
      <sheetName val="мах"/>
      <sheetName val="кайднома"/>
      <sheetName val="лойиха (2)"/>
      <sheetName val="лойиха"/>
      <sheetName val="д 1 2 и"/>
      <sheetName val="д 3 и"/>
      <sheetName val="бахо лойиха"/>
      <sheetName val="баён 1 илова"/>
      <sheetName val="б 2 и"/>
      <sheetName val="б 3и"/>
      <sheetName val="б 4-и"/>
      <sheetName val="б 5 и"/>
      <sheetName val="б 6-и"/>
      <sheetName val="бег 7"/>
      <sheetName val="Форма №2-2003"/>
      <sheetName val="Ибрат"/>
      <sheetName val="Зан-ть(р-ны)"/>
      <sheetName val="Лист1 (2)"/>
      <sheetName val="Форма №2а"/>
      <sheetName val=" 1-илова"/>
      <sheetName val="Data input"/>
      <sheetName val="План пр-ва_1"/>
      <sheetName val="План продаж_1"/>
      <sheetName val="14301"/>
      <sheetName val="Store"/>
      <sheetName val="База"/>
      <sheetName val="normal"/>
      <sheetName val="Nov5 Old,New"/>
      <sheetName val="LNG 1호선 운임"/>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Жиззах янги раз"/>
      <sheetName val="реж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Analysis of Interest"/>
      <sheetName val="ж а м и"/>
      <sheetName val="c"/>
      <sheetName val="ВВОД"/>
      <sheetName val="свыше_100тыс_долл_"/>
      <sheetName val="Store"/>
      <sheetName val="Зан-ть(р-ны)"/>
      <sheetName val="Фориш 2003"/>
      <sheetName val="Импорт 2000-2002"/>
      <sheetName val="уюшмага10,09 холатига"/>
      <sheetName val="ном"/>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2 илова"/>
      <sheetName val="Жиззах янги раз"/>
      <sheetName val="для сравнения стар"/>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табли 4 местний совет"/>
      <sheetName val="программа"/>
      <sheetName val="б 6-и"/>
      <sheetName val=""/>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физ.тон"/>
      <sheetName val="BRAKE"/>
      <sheetName val="Ж-1"/>
      <sheetName val="БД"/>
      <sheetName val="Лист1"/>
      <sheetName val="Фин.пок"/>
      <sheetName val="для ГАКа"/>
      <sheetName val="курс"/>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55-2019"/>
      <sheetName val="инф"/>
      <sheetName val="Prog. rost tarifov"/>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САРФ жур-л"/>
      <sheetName val="План пр-ва"/>
      <sheetName val="RED"/>
      <sheetName val="Адресная часть"/>
      <sheetName val="Расчет"/>
      <sheetName val="GRAFPROM"/>
      <sheetName val="счет-фактура"/>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Documents"/>
      <sheetName val="Prices"/>
      <sheetName val="Labor"/>
      <sheetName val="14301"/>
      <sheetName val="SQL"/>
      <sheetName val=" ОблУНО"/>
      <sheetName val=" ОблУНО (1)"/>
      <sheetName val="Спорт"/>
      <sheetName val="ПТО "/>
      <sheetName val="Урганч Муз"/>
      <sheetName val="ОблИУУ"/>
      <sheetName val="суспензия сепиш ойлик"/>
      <sheetName val="М-у йил ва чорак"/>
      <sheetName val="Чиринди ойлик"/>
      <sheetName val="ишчи эритма суспензия"/>
      <sheetName val="форма №2а"/>
      <sheetName val="KAT2344"/>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1">
          <cell r="B1">
            <v>0</v>
          </cell>
        </row>
      </sheetData>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efreshError="1"/>
      <sheetData sheetId="80" refreshError="1"/>
      <sheetData sheetId="81" refreshError="1"/>
      <sheetData sheetId="82" refreshError="1"/>
      <sheetData sheetId="83" refreshError="1"/>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1">
          <cell r="B1">
            <v>0</v>
          </cell>
        </row>
      </sheetData>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ow r="1">
          <cell r="B1">
            <v>0</v>
          </cell>
        </row>
      </sheetData>
      <sheetData sheetId="230" refreshError="1"/>
      <sheetData sheetId="231" refreshError="1"/>
      <sheetData sheetId="232" refreshError="1"/>
      <sheetData sheetId="233" refreshError="1"/>
      <sheetData sheetId="234" refreshError="1"/>
      <sheetData sheetId="235" refreshError="1"/>
      <sheetData sheetId="236" refreshError="1"/>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row r="1">
          <cell r="B1">
            <v>0</v>
          </cell>
        </row>
      </sheetData>
      <sheetData sheetId="262">
        <row r="1">
          <cell r="B1">
            <v>0</v>
          </cell>
        </row>
      </sheetData>
      <sheetData sheetId="263">
        <row r="1">
          <cell r="B1">
            <v>0</v>
          </cell>
        </row>
      </sheetData>
      <sheetData sheetId="264">
        <row r="1">
          <cell r="B1">
            <v>0</v>
          </cell>
        </row>
      </sheetData>
      <sheetData sheetId="265">
        <row r="1">
          <cell r="B1">
            <v>0</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sheetData sheetId="299"/>
      <sheetData sheetId="300">
        <row r="1">
          <cell r="B1">
            <v>0</v>
          </cell>
        </row>
      </sheetData>
      <sheetData sheetId="301">
        <row r="1">
          <cell r="B1">
            <v>0</v>
          </cell>
        </row>
      </sheetData>
      <sheetData sheetId="302"/>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
      <sheetName val="реестр"/>
      <sheetName val="данные"/>
      <sheetName val="программа"/>
      <sheetName val="Олувчи"/>
      <sheetName val="Платёжка"/>
      <sheetName val="Банклар"/>
      <sheetName val="Тўловчи"/>
      <sheetName val="Банк"/>
      <sheetName val="Жиззах янги раз"/>
      <sheetName val="Жиззах_янги_раз"/>
      <sheetName val="сана"/>
      <sheetName val="277"/>
      <sheetName val="Analysis of Interest"/>
      <sheetName val="Tit"/>
      <sheetName val="Форма №2-2003"/>
      <sheetName val="Store"/>
      <sheetName val="Results"/>
      <sheetName val="Районы"/>
      <sheetName val="Жиззах_янги_раз1"/>
      <sheetName val="Форма_№2-2003"/>
      <sheetName val="Analysis_of_Interest"/>
      <sheetName val="Фориш 2003"/>
      <sheetName val="форма №2а"/>
      <sheetName val="2008 дох"/>
      <sheetName val="Data input"/>
      <sheetName val="План пр-ва_1"/>
      <sheetName val="План продаж_1"/>
      <sheetName val="СВОД_36"/>
      <sheetName val="СВОД_37"/>
      <sheetName val="б 6-и"/>
      <sheetName val="Фин.пок"/>
      <sheetName val="курс"/>
      <sheetName val="План пр-ва"/>
      <sheetName val="табл чувств"/>
      <sheetName val="План продаж"/>
      <sheetName val="выполнение"/>
      <sheetName val="한세A4PL"/>
      <sheetName val="ИЗОХ"/>
      <sheetName val="Зан-ть(р-ны)"/>
    </sheetNames>
    <sheetDataSet>
      <sheetData sheetId="0" refreshError="1">
        <row r="1">
          <cell r="D1">
            <v>2001</v>
          </cell>
          <cell r="E1">
            <v>4</v>
          </cell>
        </row>
        <row r="5">
          <cell r="A5" t="str">
            <v>максади</v>
          </cell>
          <cell r="B5" t="str">
            <v>(Все)</v>
          </cell>
        </row>
        <row r="6">
          <cell r="A6" t="str">
            <v xml:space="preserve">№ </v>
          </cell>
          <cell r="B6" t="str">
            <v>(Все)</v>
          </cell>
        </row>
        <row r="7">
          <cell r="A7" t="str">
            <v>с/счёт</v>
          </cell>
          <cell r="B7" t="str">
            <v>(Все)</v>
          </cell>
        </row>
        <row r="8">
          <cell r="A8" t="str">
            <v>с/счёт</v>
          </cell>
          <cell r="B8" t="str">
            <v>(Все)</v>
          </cell>
        </row>
        <row r="9">
          <cell r="A9" t="str">
            <v>оборот</v>
          </cell>
        </row>
        <row r="10">
          <cell r="A10" t="str">
            <v>операция</v>
          </cell>
          <cell r="B10" t="str">
            <v>Пор№</v>
          </cell>
        </row>
        <row r="11">
          <cell r="A11" t="str">
            <v>кирим</v>
          </cell>
          <cell r="B11">
            <v>0</v>
          </cell>
        </row>
        <row r="12">
          <cell r="A12" t="str">
            <v>кирим Итог</v>
          </cell>
        </row>
        <row r="13">
          <cell r="A13" t="str">
            <v>чиким</v>
          </cell>
          <cell r="B13">
            <v>201</v>
          </cell>
        </row>
        <row r="14">
          <cell r="B14">
            <v>202</v>
          </cell>
        </row>
        <row r="15">
          <cell r="B15">
            <v>203</v>
          </cell>
        </row>
        <row r="16">
          <cell r="B16">
            <v>204</v>
          </cell>
        </row>
        <row r="17">
          <cell r="B17">
            <v>205</v>
          </cell>
        </row>
        <row r="18">
          <cell r="B18">
            <v>206</v>
          </cell>
        </row>
        <row r="19">
          <cell r="B19">
            <v>207</v>
          </cell>
        </row>
        <row r="20">
          <cell r="B20">
            <v>208</v>
          </cell>
        </row>
        <row r="21">
          <cell r="B21">
            <v>209</v>
          </cell>
        </row>
        <row r="22">
          <cell r="B22">
            <v>210</v>
          </cell>
        </row>
        <row r="23">
          <cell r="B23">
            <v>211</v>
          </cell>
        </row>
        <row r="24">
          <cell r="B24">
            <v>212</v>
          </cell>
        </row>
        <row r="25">
          <cell r="B25">
            <v>213</v>
          </cell>
        </row>
        <row r="26">
          <cell r="B26">
            <v>214</v>
          </cell>
        </row>
        <row r="27">
          <cell r="B27">
            <v>215</v>
          </cell>
        </row>
        <row r="28">
          <cell r="B28">
            <v>216</v>
          </cell>
        </row>
        <row r="29">
          <cell r="B29">
            <v>217</v>
          </cell>
        </row>
        <row r="30">
          <cell r="B30">
            <v>218</v>
          </cell>
        </row>
        <row r="31">
          <cell r="B31">
            <v>219</v>
          </cell>
        </row>
        <row r="32">
          <cell r="B32">
            <v>220</v>
          </cell>
        </row>
        <row r="33">
          <cell r="B33">
            <v>221</v>
          </cell>
        </row>
        <row r="34">
          <cell r="B34">
            <v>222</v>
          </cell>
        </row>
        <row r="35">
          <cell r="B35">
            <v>223</v>
          </cell>
        </row>
        <row r="36">
          <cell r="B36">
            <v>224</v>
          </cell>
        </row>
        <row r="37">
          <cell r="B37">
            <v>225</v>
          </cell>
        </row>
        <row r="38">
          <cell r="B38">
            <v>226</v>
          </cell>
        </row>
        <row r="39">
          <cell r="B39">
            <v>227</v>
          </cell>
        </row>
        <row r="40">
          <cell r="B40">
            <v>228</v>
          </cell>
        </row>
        <row r="41">
          <cell r="B41">
            <v>229</v>
          </cell>
        </row>
        <row r="42">
          <cell r="B42">
            <v>230</v>
          </cell>
        </row>
        <row r="43">
          <cell r="B43">
            <v>231</v>
          </cell>
        </row>
        <row r="44">
          <cell r="B44">
            <v>232</v>
          </cell>
        </row>
        <row r="45">
          <cell r="B45">
            <v>233</v>
          </cell>
        </row>
        <row r="46">
          <cell r="B46">
            <v>234</v>
          </cell>
        </row>
        <row r="47">
          <cell r="B47">
            <v>235</v>
          </cell>
        </row>
        <row r="48">
          <cell r="B48">
            <v>236</v>
          </cell>
        </row>
        <row r="49">
          <cell r="B49">
            <v>237</v>
          </cell>
        </row>
        <row r="50">
          <cell r="B50">
            <v>238</v>
          </cell>
        </row>
        <row r="51">
          <cell r="B51">
            <v>239</v>
          </cell>
        </row>
        <row r="52">
          <cell r="B52">
            <v>240</v>
          </cell>
        </row>
        <row r="53">
          <cell r="B53">
            <v>241</v>
          </cell>
        </row>
        <row r="54">
          <cell r="B54">
            <v>242</v>
          </cell>
        </row>
        <row r="55">
          <cell r="B55">
            <v>243</v>
          </cell>
        </row>
        <row r="56">
          <cell r="B56">
            <v>244</v>
          </cell>
        </row>
        <row r="57">
          <cell r="B57">
            <v>245</v>
          </cell>
        </row>
        <row r="58">
          <cell r="B58">
            <v>246</v>
          </cell>
        </row>
        <row r="59">
          <cell r="B59">
            <v>247</v>
          </cell>
        </row>
        <row r="60">
          <cell r="B60">
            <v>248</v>
          </cell>
        </row>
        <row r="61">
          <cell r="B61">
            <v>249</v>
          </cell>
        </row>
        <row r="62">
          <cell r="B62">
            <v>250</v>
          </cell>
        </row>
        <row r="63">
          <cell r="B63">
            <v>251</v>
          </cell>
        </row>
        <row r="64">
          <cell r="B64">
            <v>252</v>
          </cell>
        </row>
        <row r="65">
          <cell r="B65">
            <v>253</v>
          </cell>
        </row>
        <row r="66">
          <cell r="B66">
            <v>254</v>
          </cell>
        </row>
        <row r="67">
          <cell r="B67">
            <v>255</v>
          </cell>
        </row>
        <row r="68">
          <cell r="B68">
            <v>256</v>
          </cell>
        </row>
        <row r="69">
          <cell r="B69">
            <v>257</v>
          </cell>
        </row>
        <row r="70">
          <cell r="B70">
            <v>258</v>
          </cell>
        </row>
        <row r="71">
          <cell r="B71">
            <v>259</v>
          </cell>
        </row>
        <row r="72">
          <cell r="B72">
            <v>260</v>
          </cell>
        </row>
        <row r="73">
          <cell r="B73">
            <v>261</v>
          </cell>
        </row>
        <row r="74">
          <cell r="B74">
            <v>262</v>
          </cell>
        </row>
        <row r="75">
          <cell r="B75">
            <v>263</v>
          </cell>
        </row>
        <row r="76">
          <cell r="B76">
            <v>264</v>
          </cell>
        </row>
        <row r="77">
          <cell r="B77">
            <v>265</v>
          </cell>
        </row>
        <row r="78">
          <cell r="B78">
            <v>266</v>
          </cell>
        </row>
        <row r="79">
          <cell r="B79">
            <v>267</v>
          </cell>
        </row>
        <row r="80">
          <cell r="B80">
            <v>268</v>
          </cell>
        </row>
        <row r="81">
          <cell r="B81">
            <v>269</v>
          </cell>
        </row>
        <row r="82">
          <cell r="B82">
            <v>270</v>
          </cell>
        </row>
        <row r="83">
          <cell r="B83">
            <v>271</v>
          </cell>
        </row>
        <row r="84">
          <cell r="B84">
            <v>272</v>
          </cell>
        </row>
        <row r="85">
          <cell r="B85">
            <v>273</v>
          </cell>
        </row>
        <row r="86">
          <cell r="B86">
            <v>274</v>
          </cell>
        </row>
        <row r="87">
          <cell r="B87">
            <v>275</v>
          </cell>
        </row>
        <row r="88">
          <cell r="B88">
            <v>276</v>
          </cell>
        </row>
        <row r="89">
          <cell r="B89">
            <v>277</v>
          </cell>
        </row>
        <row r="90">
          <cell r="B90">
            <v>278</v>
          </cell>
        </row>
        <row r="91">
          <cell r="B91">
            <v>279</v>
          </cell>
        </row>
        <row r="92">
          <cell r="B92">
            <v>280</v>
          </cell>
        </row>
        <row r="93">
          <cell r="B93">
            <v>281</v>
          </cell>
        </row>
        <row r="94">
          <cell r="B94">
            <v>282</v>
          </cell>
        </row>
        <row r="95">
          <cell r="B95">
            <v>283</v>
          </cell>
        </row>
        <row r="96">
          <cell r="B96">
            <v>284</v>
          </cell>
        </row>
        <row r="97">
          <cell r="B97">
            <v>285</v>
          </cell>
        </row>
        <row r="98">
          <cell r="B98">
            <v>286</v>
          </cell>
        </row>
        <row r="99">
          <cell r="B99">
            <v>287</v>
          </cell>
        </row>
        <row r="100">
          <cell r="B100">
            <v>288</v>
          </cell>
        </row>
        <row r="101">
          <cell r="B101">
            <v>289</v>
          </cell>
        </row>
        <row r="102">
          <cell r="B102">
            <v>290</v>
          </cell>
        </row>
        <row r="103">
          <cell r="B103">
            <v>291</v>
          </cell>
        </row>
        <row r="104">
          <cell r="B104">
            <v>292</v>
          </cell>
        </row>
        <row r="105">
          <cell r="B105">
            <v>293</v>
          </cell>
        </row>
        <row r="106">
          <cell r="B106">
            <v>294</v>
          </cell>
        </row>
        <row r="107">
          <cell r="B107">
            <v>295</v>
          </cell>
        </row>
        <row r="108">
          <cell r="B108">
            <v>296</v>
          </cell>
        </row>
        <row r="109">
          <cell r="B109">
            <v>297</v>
          </cell>
        </row>
        <row r="110">
          <cell r="B110">
            <v>298</v>
          </cell>
        </row>
        <row r="111">
          <cell r="B111">
            <v>299</v>
          </cell>
        </row>
        <row r="112">
          <cell r="B112">
            <v>300</v>
          </cell>
        </row>
        <row r="113">
          <cell r="B113">
            <v>301</v>
          </cell>
        </row>
        <row r="114">
          <cell r="B114">
            <v>302</v>
          </cell>
        </row>
        <row r="115">
          <cell r="B115">
            <v>303</v>
          </cell>
        </row>
        <row r="116">
          <cell r="B116">
            <v>304</v>
          </cell>
        </row>
        <row r="117">
          <cell r="B117">
            <v>305</v>
          </cell>
        </row>
        <row r="118">
          <cell r="B118">
            <v>306</v>
          </cell>
        </row>
        <row r="119">
          <cell r="B119">
            <v>307</v>
          </cell>
        </row>
        <row r="120">
          <cell r="B120">
            <v>308</v>
          </cell>
        </row>
        <row r="121">
          <cell r="B121">
            <v>309</v>
          </cell>
        </row>
        <row r="122">
          <cell r="B122">
            <v>310</v>
          </cell>
        </row>
        <row r="123">
          <cell r="B123">
            <v>311</v>
          </cell>
        </row>
        <row r="124">
          <cell r="B124">
            <v>312</v>
          </cell>
        </row>
        <row r="125">
          <cell r="B125">
            <v>313</v>
          </cell>
        </row>
        <row r="126">
          <cell r="B126">
            <v>314</v>
          </cell>
        </row>
        <row r="127">
          <cell r="B127">
            <v>315</v>
          </cell>
        </row>
        <row r="128">
          <cell r="B128">
            <v>316</v>
          </cell>
        </row>
        <row r="129">
          <cell r="B129">
            <v>317</v>
          </cell>
        </row>
        <row r="130">
          <cell r="B130">
            <v>318</v>
          </cell>
        </row>
        <row r="131">
          <cell r="B131">
            <v>319</v>
          </cell>
        </row>
        <row r="132">
          <cell r="B132">
            <v>320</v>
          </cell>
        </row>
        <row r="133">
          <cell r="B133">
            <v>321</v>
          </cell>
        </row>
        <row r="134">
          <cell r="B134">
            <v>322</v>
          </cell>
        </row>
        <row r="135">
          <cell r="B135">
            <v>323</v>
          </cell>
        </row>
        <row r="136">
          <cell r="B136">
            <v>324</v>
          </cell>
        </row>
        <row r="137">
          <cell r="B137">
            <v>325</v>
          </cell>
        </row>
        <row r="138">
          <cell r="B138">
            <v>326</v>
          </cell>
        </row>
        <row r="139">
          <cell r="B139">
            <v>327</v>
          </cell>
        </row>
        <row r="140">
          <cell r="B140">
            <v>328</v>
          </cell>
        </row>
        <row r="141">
          <cell r="B141">
            <v>329</v>
          </cell>
        </row>
        <row r="142">
          <cell r="B142">
            <v>330</v>
          </cell>
        </row>
        <row r="143">
          <cell r="B143">
            <v>331</v>
          </cell>
        </row>
        <row r="144">
          <cell r="B144">
            <v>332</v>
          </cell>
        </row>
        <row r="145">
          <cell r="B145">
            <v>333</v>
          </cell>
        </row>
        <row r="146">
          <cell r="B146">
            <v>334</v>
          </cell>
        </row>
        <row r="147">
          <cell r="B147">
            <v>335</v>
          </cell>
        </row>
        <row r="148">
          <cell r="B148">
            <v>336</v>
          </cell>
        </row>
        <row r="149">
          <cell r="B149">
            <v>337</v>
          </cell>
        </row>
        <row r="150">
          <cell r="B150">
            <v>338</v>
          </cell>
        </row>
        <row r="151">
          <cell r="B151">
            <v>339</v>
          </cell>
        </row>
        <row r="152">
          <cell r="B152">
            <v>340</v>
          </cell>
        </row>
        <row r="153">
          <cell r="B153">
            <v>341</v>
          </cell>
        </row>
        <row r="154">
          <cell r="B154">
            <v>342</v>
          </cell>
        </row>
        <row r="155">
          <cell r="B155">
            <v>343</v>
          </cell>
        </row>
        <row r="156">
          <cell r="B156">
            <v>344</v>
          </cell>
        </row>
        <row r="157">
          <cell r="B157">
            <v>345</v>
          </cell>
        </row>
        <row r="158">
          <cell r="B158">
            <v>346</v>
          </cell>
        </row>
        <row r="159">
          <cell r="B159">
            <v>347</v>
          </cell>
        </row>
        <row r="160">
          <cell r="B160">
            <v>348</v>
          </cell>
        </row>
        <row r="161">
          <cell r="B161">
            <v>349</v>
          </cell>
        </row>
        <row r="162">
          <cell r="B162">
            <v>350</v>
          </cell>
        </row>
        <row r="163">
          <cell r="B163">
            <v>351</v>
          </cell>
        </row>
        <row r="164">
          <cell r="B164">
            <v>352</v>
          </cell>
        </row>
        <row r="165">
          <cell r="B165">
            <v>353</v>
          </cell>
        </row>
        <row r="166">
          <cell r="B166">
            <v>354</v>
          </cell>
        </row>
        <row r="167">
          <cell r="B167">
            <v>355</v>
          </cell>
        </row>
        <row r="168">
          <cell r="B168">
            <v>356</v>
          </cell>
        </row>
        <row r="169">
          <cell r="B169">
            <v>357</v>
          </cell>
        </row>
        <row r="170">
          <cell r="B170">
            <v>358</v>
          </cell>
        </row>
        <row r="171">
          <cell r="B171">
            <v>359</v>
          </cell>
        </row>
        <row r="172">
          <cell r="B172">
            <v>360</v>
          </cell>
        </row>
        <row r="173">
          <cell r="B173">
            <v>361</v>
          </cell>
        </row>
        <row r="174">
          <cell r="B174">
            <v>362</v>
          </cell>
        </row>
        <row r="175">
          <cell r="B175">
            <v>363</v>
          </cell>
        </row>
        <row r="176">
          <cell r="B176">
            <v>364</v>
          </cell>
        </row>
        <row r="177">
          <cell r="B177">
            <v>365</v>
          </cell>
        </row>
        <row r="178">
          <cell r="B178">
            <v>366</v>
          </cell>
        </row>
        <row r="179">
          <cell r="B179">
            <v>367</v>
          </cell>
        </row>
        <row r="180">
          <cell r="B180">
            <v>368</v>
          </cell>
        </row>
        <row r="181">
          <cell r="B181">
            <v>369</v>
          </cell>
        </row>
        <row r="182">
          <cell r="B182">
            <v>370</v>
          </cell>
        </row>
        <row r="183">
          <cell r="B183">
            <v>371</v>
          </cell>
        </row>
        <row r="184">
          <cell r="B184">
            <v>372</v>
          </cell>
        </row>
        <row r="185">
          <cell r="B185">
            <v>373</v>
          </cell>
        </row>
        <row r="186">
          <cell r="B186">
            <v>374</v>
          </cell>
        </row>
        <row r="187">
          <cell r="B187">
            <v>376</v>
          </cell>
        </row>
        <row r="188">
          <cell r="B188">
            <v>377</v>
          </cell>
        </row>
        <row r="189">
          <cell r="B189">
            <v>378</v>
          </cell>
        </row>
        <row r="190">
          <cell r="B190">
            <v>379</v>
          </cell>
        </row>
        <row r="191">
          <cell r="B191">
            <v>380</v>
          </cell>
        </row>
        <row r="192">
          <cell r="B192">
            <v>381</v>
          </cell>
        </row>
        <row r="193">
          <cell r="B193">
            <v>382</v>
          </cell>
        </row>
        <row r="194">
          <cell r="B194">
            <v>383</v>
          </cell>
        </row>
        <row r="195">
          <cell r="B195">
            <v>384</v>
          </cell>
        </row>
        <row r="196">
          <cell r="B196">
            <v>385</v>
          </cell>
        </row>
        <row r="197">
          <cell r="B197">
            <v>386</v>
          </cell>
        </row>
        <row r="198">
          <cell r="B198">
            <v>387</v>
          </cell>
        </row>
        <row r="199">
          <cell r="B199">
            <v>388</v>
          </cell>
        </row>
        <row r="200">
          <cell r="B200">
            <v>389</v>
          </cell>
        </row>
        <row r="201">
          <cell r="B201">
            <v>390</v>
          </cell>
        </row>
        <row r="202">
          <cell r="B202">
            <v>391</v>
          </cell>
        </row>
        <row r="203">
          <cell r="B203">
            <v>392</v>
          </cell>
        </row>
        <row r="204">
          <cell r="B204">
            <v>393</v>
          </cell>
        </row>
        <row r="205">
          <cell r="B205">
            <v>394</v>
          </cell>
        </row>
        <row r="206">
          <cell r="B206">
            <v>395</v>
          </cell>
        </row>
        <row r="207">
          <cell r="B207">
            <v>396</v>
          </cell>
        </row>
        <row r="208">
          <cell r="B208">
            <v>397</v>
          </cell>
        </row>
        <row r="209">
          <cell r="B209">
            <v>398</v>
          </cell>
        </row>
        <row r="210">
          <cell r="B210">
            <v>399</v>
          </cell>
        </row>
        <row r="211">
          <cell r="B211">
            <v>400</v>
          </cell>
        </row>
        <row r="212">
          <cell r="B212">
            <v>401</v>
          </cell>
        </row>
        <row r="213">
          <cell r="B213">
            <v>402</v>
          </cell>
        </row>
        <row r="214">
          <cell r="B214">
            <v>403</v>
          </cell>
        </row>
        <row r="215">
          <cell r="B215">
            <v>404</v>
          </cell>
        </row>
        <row r="216">
          <cell r="B216">
            <v>405</v>
          </cell>
        </row>
        <row r="217">
          <cell r="B217">
            <v>406</v>
          </cell>
        </row>
        <row r="218">
          <cell r="B218">
            <v>407</v>
          </cell>
        </row>
        <row r="219">
          <cell r="B219">
            <v>408</v>
          </cell>
        </row>
        <row r="220">
          <cell r="B220">
            <v>409</v>
          </cell>
        </row>
        <row r="221">
          <cell r="B221">
            <v>410</v>
          </cell>
        </row>
        <row r="222">
          <cell r="B222">
            <v>411</v>
          </cell>
        </row>
        <row r="223">
          <cell r="B223">
            <v>412</v>
          </cell>
        </row>
        <row r="224">
          <cell r="B224">
            <v>413</v>
          </cell>
        </row>
        <row r="225">
          <cell r="B225">
            <v>414</v>
          </cell>
        </row>
        <row r="226">
          <cell r="B226">
            <v>415</v>
          </cell>
        </row>
        <row r="227">
          <cell r="B227">
            <v>416</v>
          </cell>
        </row>
        <row r="228">
          <cell r="B228">
            <v>417</v>
          </cell>
        </row>
        <row r="229">
          <cell r="B229">
            <v>418</v>
          </cell>
        </row>
        <row r="230">
          <cell r="B230">
            <v>419</v>
          </cell>
        </row>
        <row r="231">
          <cell r="B231">
            <v>420</v>
          </cell>
        </row>
        <row r="232">
          <cell r="B232">
            <v>421</v>
          </cell>
        </row>
        <row r="233">
          <cell r="B233">
            <v>422</v>
          </cell>
        </row>
        <row r="234">
          <cell r="B234">
            <v>423</v>
          </cell>
        </row>
        <row r="235">
          <cell r="B235">
            <v>424</v>
          </cell>
        </row>
        <row r="236">
          <cell r="B236">
            <v>425</v>
          </cell>
        </row>
        <row r="237">
          <cell r="B237">
            <v>426</v>
          </cell>
        </row>
        <row r="238">
          <cell r="B238">
            <v>427</v>
          </cell>
        </row>
        <row r="239">
          <cell r="B239">
            <v>428</v>
          </cell>
        </row>
        <row r="240">
          <cell r="B240">
            <v>429</v>
          </cell>
        </row>
        <row r="241">
          <cell r="B241">
            <v>430</v>
          </cell>
        </row>
        <row r="242">
          <cell r="B242">
            <v>431</v>
          </cell>
        </row>
        <row r="243">
          <cell r="B243">
            <v>432</v>
          </cell>
        </row>
        <row r="244">
          <cell r="B244">
            <v>433</v>
          </cell>
        </row>
        <row r="245">
          <cell r="B245">
            <v>434</v>
          </cell>
        </row>
        <row r="246">
          <cell r="B246">
            <v>435</v>
          </cell>
        </row>
        <row r="247">
          <cell r="B247">
            <v>436</v>
          </cell>
        </row>
        <row r="248">
          <cell r="B248">
            <v>437</v>
          </cell>
        </row>
        <row r="249">
          <cell r="B249">
            <v>438</v>
          </cell>
        </row>
        <row r="250">
          <cell r="B250">
            <v>439</v>
          </cell>
        </row>
        <row r="251">
          <cell r="B251">
            <v>440</v>
          </cell>
        </row>
        <row r="252">
          <cell r="B252">
            <v>441</v>
          </cell>
        </row>
        <row r="253">
          <cell r="B253">
            <v>442</v>
          </cell>
        </row>
        <row r="254">
          <cell r="B254">
            <v>443</v>
          </cell>
        </row>
        <row r="255">
          <cell r="B255">
            <v>444</v>
          </cell>
        </row>
        <row r="256">
          <cell r="B256">
            <v>445</v>
          </cell>
        </row>
        <row r="257">
          <cell r="B257">
            <v>446</v>
          </cell>
        </row>
        <row r="258">
          <cell r="B258">
            <v>447</v>
          </cell>
        </row>
        <row r="259">
          <cell r="B259">
            <v>448</v>
          </cell>
        </row>
        <row r="260">
          <cell r="B260">
            <v>449</v>
          </cell>
        </row>
        <row r="261">
          <cell r="B261">
            <v>450</v>
          </cell>
        </row>
        <row r="262">
          <cell r="B262">
            <v>451</v>
          </cell>
        </row>
        <row r="263">
          <cell r="B263">
            <v>452</v>
          </cell>
        </row>
        <row r="264">
          <cell r="B264">
            <v>453</v>
          </cell>
        </row>
        <row r="265">
          <cell r="B265">
            <v>454</v>
          </cell>
        </row>
        <row r="266">
          <cell r="B266">
            <v>455</v>
          </cell>
        </row>
        <row r="267">
          <cell r="B267">
            <v>456</v>
          </cell>
        </row>
        <row r="268">
          <cell r="B268">
            <v>457</v>
          </cell>
        </row>
        <row r="269">
          <cell r="B269">
            <v>458</v>
          </cell>
        </row>
        <row r="270">
          <cell r="B270">
            <v>459</v>
          </cell>
        </row>
        <row r="271">
          <cell r="B271">
            <v>460</v>
          </cell>
        </row>
        <row r="272">
          <cell r="B272">
            <v>461</v>
          </cell>
        </row>
        <row r="273">
          <cell r="B273">
            <v>462</v>
          </cell>
        </row>
        <row r="274">
          <cell r="B274">
            <v>463</v>
          </cell>
        </row>
        <row r="275">
          <cell r="B275">
            <v>464</v>
          </cell>
        </row>
        <row r="276">
          <cell r="B276">
            <v>465</v>
          </cell>
        </row>
        <row r="277">
          <cell r="B277">
            <v>466</v>
          </cell>
        </row>
        <row r="278">
          <cell r="B278">
            <v>467</v>
          </cell>
        </row>
        <row r="279">
          <cell r="B279">
            <v>468</v>
          </cell>
        </row>
        <row r="280">
          <cell r="B280">
            <v>469</v>
          </cell>
        </row>
        <row r="281">
          <cell r="B281">
            <v>470</v>
          </cell>
        </row>
        <row r="282">
          <cell r="B282">
            <v>471</v>
          </cell>
        </row>
        <row r="283">
          <cell r="B283">
            <v>472</v>
          </cell>
        </row>
        <row r="284">
          <cell r="B284">
            <v>473</v>
          </cell>
        </row>
        <row r="285">
          <cell r="B285">
            <v>474</v>
          </cell>
        </row>
        <row r="286">
          <cell r="B286">
            <v>475</v>
          </cell>
        </row>
        <row r="287">
          <cell r="B287">
            <v>476</v>
          </cell>
        </row>
        <row r="288">
          <cell r="B288">
            <v>477</v>
          </cell>
        </row>
        <row r="289">
          <cell r="B289">
            <v>478</v>
          </cell>
        </row>
        <row r="290">
          <cell r="B290">
            <v>479</v>
          </cell>
        </row>
        <row r="291">
          <cell r="B291">
            <v>480</v>
          </cell>
        </row>
        <row r="292">
          <cell r="B292">
            <v>481</v>
          </cell>
        </row>
        <row r="293">
          <cell r="B293">
            <v>482</v>
          </cell>
        </row>
        <row r="294">
          <cell r="B294">
            <v>483</v>
          </cell>
        </row>
        <row r="295">
          <cell r="B295">
            <v>484</v>
          </cell>
        </row>
        <row r="296">
          <cell r="B296">
            <v>485</v>
          </cell>
        </row>
        <row r="297">
          <cell r="B297">
            <v>486</v>
          </cell>
        </row>
        <row r="298">
          <cell r="B298">
            <v>487</v>
          </cell>
        </row>
        <row r="299">
          <cell r="B299">
            <v>488</v>
          </cell>
        </row>
        <row r="300">
          <cell r="B300">
            <v>489</v>
          </cell>
        </row>
        <row r="301">
          <cell r="B301">
            <v>490</v>
          </cell>
        </row>
        <row r="302">
          <cell r="B302">
            <v>491</v>
          </cell>
        </row>
        <row r="303">
          <cell r="B303">
            <v>492</v>
          </cell>
        </row>
        <row r="304">
          <cell r="B304">
            <v>493</v>
          </cell>
        </row>
        <row r="305">
          <cell r="B305">
            <v>494</v>
          </cell>
        </row>
        <row r="306">
          <cell r="B306">
            <v>495</v>
          </cell>
        </row>
        <row r="307">
          <cell r="B307">
            <v>496</v>
          </cell>
        </row>
        <row r="308">
          <cell r="B308">
            <v>497</v>
          </cell>
        </row>
        <row r="309">
          <cell r="B309">
            <v>498</v>
          </cell>
        </row>
        <row r="310">
          <cell r="B310">
            <v>499</v>
          </cell>
        </row>
        <row r="311">
          <cell r="B311">
            <v>500</v>
          </cell>
        </row>
        <row r="312">
          <cell r="B312">
            <v>501</v>
          </cell>
        </row>
        <row r="313">
          <cell r="B313">
            <v>502</v>
          </cell>
        </row>
        <row r="314">
          <cell r="B314">
            <v>503</v>
          </cell>
        </row>
        <row r="315">
          <cell r="B315">
            <v>504</v>
          </cell>
        </row>
        <row r="316">
          <cell r="B316">
            <v>505</v>
          </cell>
        </row>
        <row r="317">
          <cell r="B317">
            <v>506</v>
          </cell>
        </row>
        <row r="318">
          <cell r="B318">
            <v>507</v>
          </cell>
        </row>
        <row r="319">
          <cell r="B319">
            <v>508</v>
          </cell>
        </row>
        <row r="320">
          <cell r="B320">
            <v>509</v>
          </cell>
        </row>
        <row r="321">
          <cell r="B321">
            <v>510</v>
          </cell>
        </row>
        <row r="322">
          <cell r="B322">
            <v>511</v>
          </cell>
        </row>
        <row r="323">
          <cell r="B323">
            <v>512</v>
          </cell>
        </row>
        <row r="324">
          <cell r="B324">
            <v>513</v>
          </cell>
        </row>
        <row r="325">
          <cell r="B325">
            <v>514</v>
          </cell>
        </row>
        <row r="326">
          <cell r="B326">
            <v>515</v>
          </cell>
        </row>
        <row r="327">
          <cell r="B327">
            <v>516</v>
          </cell>
        </row>
        <row r="328">
          <cell r="B328">
            <v>517</v>
          </cell>
        </row>
        <row r="329">
          <cell r="B329">
            <v>518</v>
          </cell>
        </row>
        <row r="330">
          <cell r="B330">
            <v>519</v>
          </cell>
        </row>
        <row r="331">
          <cell r="B331">
            <v>520</v>
          </cell>
        </row>
        <row r="332">
          <cell r="B332">
            <v>521</v>
          </cell>
        </row>
        <row r="333">
          <cell r="B333">
            <v>522</v>
          </cell>
        </row>
        <row r="334">
          <cell r="B334">
            <v>523</v>
          </cell>
        </row>
        <row r="335">
          <cell r="B335">
            <v>524</v>
          </cell>
        </row>
        <row r="336">
          <cell r="B336">
            <v>525</v>
          </cell>
        </row>
        <row r="337">
          <cell r="B337">
            <v>526</v>
          </cell>
        </row>
        <row r="338">
          <cell r="B338">
            <v>527</v>
          </cell>
        </row>
        <row r="339">
          <cell r="B339">
            <v>528</v>
          </cell>
        </row>
        <row r="340">
          <cell r="B340">
            <v>529</v>
          </cell>
        </row>
        <row r="341">
          <cell r="B341">
            <v>530</v>
          </cell>
        </row>
        <row r="342">
          <cell r="B342">
            <v>531</v>
          </cell>
        </row>
        <row r="343">
          <cell r="B343">
            <v>532</v>
          </cell>
        </row>
        <row r="344">
          <cell r="B344">
            <v>533</v>
          </cell>
        </row>
        <row r="345">
          <cell r="B345">
            <v>534</v>
          </cell>
        </row>
        <row r="346">
          <cell r="B346">
            <v>535</v>
          </cell>
        </row>
        <row r="347">
          <cell r="B347">
            <v>536</v>
          </cell>
        </row>
        <row r="348">
          <cell r="B348">
            <v>537</v>
          </cell>
        </row>
        <row r="349">
          <cell r="B349">
            <v>538</v>
          </cell>
        </row>
        <row r="350">
          <cell r="B350">
            <v>539</v>
          </cell>
        </row>
        <row r="351">
          <cell r="B351">
            <v>540</v>
          </cell>
        </row>
        <row r="352">
          <cell r="B352">
            <v>108</v>
          </cell>
        </row>
        <row r="353">
          <cell r="B353">
            <v>109</v>
          </cell>
        </row>
        <row r="354">
          <cell r="B354">
            <v>110</v>
          </cell>
        </row>
        <row r="355">
          <cell r="B355">
            <v>129</v>
          </cell>
        </row>
        <row r="356">
          <cell r="B356">
            <v>130</v>
          </cell>
        </row>
        <row r="357">
          <cell r="B357">
            <v>131</v>
          </cell>
        </row>
        <row r="358">
          <cell r="B358">
            <v>132</v>
          </cell>
        </row>
        <row r="359">
          <cell r="B359">
            <v>133</v>
          </cell>
        </row>
        <row r="360">
          <cell r="B360">
            <v>134</v>
          </cell>
        </row>
        <row r="361">
          <cell r="B361">
            <v>135</v>
          </cell>
        </row>
        <row r="362">
          <cell r="B362">
            <v>136</v>
          </cell>
        </row>
        <row r="363">
          <cell r="B363">
            <v>137</v>
          </cell>
        </row>
        <row r="364">
          <cell r="B364">
            <v>138</v>
          </cell>
        </row>
        <row r="365">
          <cell r="B365">
            <v>139</v>
          </cell>
        </row>
        <row r="366">
          <cell r="B366">
            <v>140</v>
          </cell>
        </row>
        <row r="367">
          <cell r="B367">
            <v>141</v>
          </cell>
        </row>
        <row r="368">
          <cell r="B368">
            <v>142</v>
          </cell>
        </row>
        <row r="369">
          <cell r="B369">
            <v>143</v>
          </cell>
        </row>
        <row r="370">
          <cell r="B370">
            <v>144</v>
          </cell>
        </row>
        <row r="371">
          <cell r="B371">
            <v>145</v>
          </cell>
        </row>
        <row r="372">
          <cell r="B372">
            <v>146</v>
          </cell>
        </row>
        <row r="373">
          <cell r="B373">
            <v>4886</v>
          </cell>
        </row>
        <row r="374">
          <cell r="B374">
            <v>4921</v>
          </cell>
        </row>
        <row r="375">
          <cell r="B375">
            <v>4910</v>
          </cell>
        </row>
        <row r="376">
          <cell r="B376">
            <v>4836</v>
          </cell>
        </row>
        <row r="377">
          <cell r="B377">
            <v>4830</v>
          </cell>
        </row>
        <row r="378">
          <cell r="B378">
            <v>4915</v>
          </cell>
        </row>
        <row r="379">
          <cell r="B379">
            <v>4809</v>
          </cell>
        </row>
        <row r="380">
          <cell r="B380">
            <v>4806</v>
          </cell>
        </row>
        <row r="381">
          <cell r="B381">
            <v>4872</v>
          </cell>
        </row>
        <row r="382">
          <cell r="B382">
            <v>4801</v>
          </cell>
        </row>
        <row r="383">
          <cell r="B383">
            <v>4897</v>
          </cell>
        </row>
        <row r="384">
          <cell r="B384">
            <v>4817</v>
          </cell>
        </row>
        <row r="385">
          <cell r="B385">
            <v>4919</v>
          </cell>
        </row>
        <row r="386">
          <cell r="B386">
            <v>4924</v>
          </cell>
        </row>
        <row r="387">
          <cell r="B387">
            <v>4927</v>
          </cell>
        </row>
        <row r="388">
          <cell r="B388">
            <v>6889</v>
          </cell>
        </row>
        <row r="389">
          <cell r="B389">
            <v>6879</v>
          </cell>
        </row>
        <row r="390">
          <cell r="B390">
            <v>6895</v>
          </cell>
        </row>
        <row r="391">
          <cell r="B391">
            <v>6897</v>
          </cell>
        </row>
        <row r="392">
          <cell r="B392">
            <v>6944</v>
          </cell>
        </row>
        <row r="393">
          <cell r="B393">
            <v>7028</v>
          </cell>
        </row>
        <row r="394">
          <cell r="B394">
            <v>6923</v>
          </cell>
        </row>
        <row r="395">
          <cell r="B395">
            <v>6933</v>
          </cell>
        </row>
        <row r="396">
          <cell r="B396">
            <v>6940</v>
          </cell>
        </row>
        <row r="397">
          <cell r="B397">
            <v>6949</v>
          </cell>
        </row>
        <row r="398">
          <cell r="B398">
            <v>6952</v>
          </cell>
        </row>
        <row r="399">
          <cell r="B399">
            <v>541</v>
          </cell>
        </row>
        <row r="400">
          <cell r="B400">
            <v>542</v>
          </cell>
        </row>
        <row r="401">
          <cell r="B401">
            <v>543</v>
          </cell>
        </row>
        <row r="402">
          <cell r="B402">
            <v>544</v>
          </cell>
        </row>
        <row r="403">
          <cell r="B403">
            <v>545</v>
          </cell>
        </row>
        <row r="404">
          <cell r="B404">
            <v>546</v>
          </cell>
        </row>
        <row r="405">
          <cell r="B405">
            <v>547</v>
          </cell>
        </row>
        <row r="406">
          <cell r="B406">
            <v>548</v>
          </cell>
        </row>
        <row r="407">
          <cell r="B407">
            <v>549</v>
          </cell>
        </row>
        <row r="408">
          <cell r="B408">
            <v>550</v>
          </cell>
        </row>
        <row r="409">
          <cell r="B409">
            <v>551</v>
          </cell>
        </row>
        <row r="410">
          <cell r="B410">
            <v>552</v>
          </cell>
        </row>
        <row r="411">
          <cell r="B411">
            <v>553</v>
          </cell>
        </row>
        <row r="412">
          <cell r="B412">
            <v>554</v>
          </cell>
        </row>
        <row r="413">
          <cell r="B413">
            <v>555</v>
          </cell>
        </row>
        <row r="414">
          <cell r="B414">
            <v>556</v>
          </cell>
        </row>
        <row r="415">
          <cell r="B415">
            <v>557</v>
          </cell>
        </row>
        <row r="416">
          <cell r="B416">
            <v>558</v>
          </cell>
        </row>
        <row r="417">
          <cell r="B417">
            <v>559</v>
          </cell>
        </row>
        <row r="418">
          <cell r="B418">
            <v>560</v>
          </cell>
        </row>
        <row r="419">
          <cell r="B419">
            <v>561</v>
          </cell>
        </row>
        <row r="420">
          <cell r="B420">
            <v>562</v>
          </cell>
        </row>
        <row r="421">
          <cell r="B421">
            <v>563</v>
          </cell>
        </row>
        <row r="422">
          <cell r="B422">
            <v>564</v>
          </cell>
        </row>
        <row r="423">
          <cell r="B423">
            <v>565</v>
          </cell>
        </row>
        <row r="424">
          <cell r="B424">
            <v>566</v>
          </cell>
        </row>
        <row r="425">
          <cell r="B425">
            <v>567</v>
          </cell>
        </row>
        <row r="426">
          <cell r="B426">
            <v>568</v>
          </cell>
        </row>
        <row r="427">
          <cell r="B427">
            <v>569</v>
          </cell>
        </row>
        <row r="428">
          <cell r="B428">
            <v>570</v>
          </cell>
        </row>
        <row r="429">
          <cell r="B429">
            <v>571</v>
          </cell>
        </row>
        <row r="430">
          <cell r="B430">
            <v>572</v>
          </cell>
        </row>
        <row r="431">
          <cell r="B431">
            <v>573</v>
          </cell>
        </row>
        <row r="432">
          <cell r="B432">
            <v>574</v>
          </cell>
        </row>
        <row r="433">
          <cell r="B433">
            <v>575</v>
          </cell>
        </row>
        <row r="434">
          <cell r="B434">
            <v>576</v>
          </cell>
        </row>
        <row r="435">
          <cell r="B435">
            <v>577</v>
          </cell>
        </row>
        <row r="436">
          <cell r="B436">
            <v>578</v>
          </cell>
        </row>
        <row r="437">
          <cell r="B437">
            <v>579</v>
          </cell>
        </row>
        <row r="438">
          <cell r="B438">
            <v>580</v>
          </cell>
        </row>
        <row r="439">
          <cell r="B439">
            <v>581</v>
          </cell>
        </row>
        <row r="440">
          <cell r="B440">
            <v>582</v>
          </cell>
        </row>
        <row r="441">
          <cell r="B441">
            <v>583</v>
          </cell>
        </row>
        <row r="442">
          <cell r="B442">
            <v>584</v>
          </cell>
        </row>
        <row r="443">
          <cell r="B443">
            <v>585</v>
          </cell>
        </row>
        <row r="444">
          <cell r="B444">
            <v>586</v>
          </cell>
        </row>
        <row r="445">
          <cell r="B445">
            <v>587</v>
          </cell>
        </row>
        <row r="446">
          <cell r="B446">
            <v>588</v>
          </cell>
        </row>
        <row r="447">
          <cell r="B447">
            <v>589</v>
          </cell>
        </row>
        <row r="448">
          <cell r="B448">
            <v>590</v>
          </cell>
        </row>
        <row r="449">
          <cell r="B449">
            <v>591</v>
          </cell>
        </row>
        <row r="450">
          <cell r="B450">
            <v>592</v>
          </cell>
        </row>
        <row r="451">
          <cell r="B451">
            <v>593</v>
          </cell>
        </row>
        <row r="452">
          <cell r="B452">
            <v>594</v>
          </cell>
        </row>
        <row r="453">
          <cell r="B453">
            <v>595</v>
          </cell>
        </row>
        <row r="454">
          <cell r="B454">
            <v>596</v>
          </cell>
        </row>
        <row r="455">
          <cell r="B455">
            <v>597</v>
          </cell>
        </row>
        <row r="456">
          <cell r="B456">
            <v>598</v>
          </cell>
        </row>
        <row r="457">
          <cell r="B457">
            <v>599</v>
          </cell>
        </row>
        <row r="458">
          <cell r="B458">
            <v>600</v>
          </cell>
        </row>
        <row r="459">
          <cell r="B459">
            <v>601</v>
          </cell>
        </row>
        <row r="460">
          <cell r="B460">
            <v>602</v>
          </cell>
        </row>
        <row r="461">
          <cell r="B461">
            <v>603</v>
          </cell>
        </row>
        <row r="462">
          <cell r="B462">
            <v>604</v>
          </cell>
        </row>
        <row r="463">
          <cell r="B463">
            <v>605</v>
          </cell>
        </row>
        <row r="464">
          <cell r="B464">
            <v>606</v>
          </cell>
        </row>
        <row r="465">
          <cell r="B465">
            <v>607</v>
          </cell>
        </row>
        <row r="466">
          <cell r="B466">
            <v>608</v>
          </cell>
        </row>
        <row r="467">
          <cell r="B467">
            <v>609</v>
          </cell>
        </row>
        <row r="468">
          <cell r="B468">
            <v>610</v>
          </cell>
        </row>
        <row r="469">
          <cell r="B469">
            <v>611</v>
          </cell>
        </row>
        <row r="470">
          <cell r="B470">
            <v>612</v>
          </cell>
        </row>
        <row r="471">
          <cell r="B471">
            <v>613</v>
          </cell>
        </row>
        <row r="472">
          <cell r="B472">
            <v>614</v>
          </cell>
        </row>
        <row r="473">
          <cell r="B473">
            <v>615</v>
          </cell>
        </row>
        <row r="474">
          <cell r="B474">
            <v>616</v>
          </cell>
        </row>
        <row r="475">
          <cell r="B475">
            <v>617</v>
          </cell>
        </row>
        <row r="476">
          <cell r="B476">
            <v>618</v>
          </cell>
        </row>
        <row r="477">
          <cell r="B477">
            <v>619</v>
          </cell>
        </row>
        <row r="478">
          <cell r="B478">
            <v>620</v>
          </cell>
        </row>
        <row r="479">
          <cell r="B479">
            <v>621</v>
          </cell>
        </row>
        <row r="480">
          <cell r="B480">
            <v>622</v>
          </cell>
        </row>
        <row r="481">
          <cell r="B481">
            <v>623</v>
          </cell>
        </row>
        <row r="482">
          <cell r="B482">
            <v>624</v>
          </cell>
        </row>
        <row r="483">
          <cell r="B483">
            <v>625</v>
          </cell>
        </row>
        <row r="484">
          <cell r="B484">
            <v>626</v>
          </cell>
        </row>
        <row r="485">
          <cell r="B485">
            <v>627</v>
          </cell>
        </row>
        <row r="486">
          <cell r="B486">
            <v>628</v>
          </cell>
        </row>
        <row r="487">
          <cell r="B487">
            <v>629</v>
          </cell>
        </row>
        <row r="488">
          <cell r="B488">
            <v>630</v>
          </cell>
        </row>
        <row r="489">
          <cell r="B489">
            <v>631</v>
          </cell>
        </row>
        <row r="490">
          <cell r="B490">
            <v>632</v>
          </cell>
        </row>
        <row r="491">
          <cell r="B491">
            <v>633</v>
          </cell>
        </row>
        <row r="492">
          <cell r="B492">
            <v>634</v>
          </cell>
        </row>
        <row r="493">
          <cell r="B493">
            <v>635</v>
          </cell>
        </row>
        <row r="494">
          <cell r="B494">
            <v>636</v>
          </cell>
        </row>
        <row r="495">
          <cell r="B495">
            <v>637</v>
          </cell>
        </row>
        <row r="496">
          <cell r="B496">
            <v>638</v>
          </cell>
        </row>
        <row r="497">
          <cell r="B497">
            <v>639</v>
          </cell>
        </row>
        <row r="498">
          <cell r="B498">
            <v>640</v>
          </cell>
        </row>
        <row r="499">
          <cell r="B499">
            <v>641</v>
          </cell>
        </row>
        <row r="500">
          <cell r="B500">
            <v>642</v>
          </cell>
        </row>
        <row r="501">
          <cell r="B501">
            <v>643</v>
          </cell>
        </row>
        <row r="502">
          <cell r="B502">
            <v>644</v>
          </cell>
        </row>
        <row r="503">
          <cell r="B503">
            <v>645</v>
          </cell>
        </row>
        <row r="504">
          <cell r="B504">
            <v>646</v>
          </cell>
        </row>
        <row r="505">
          <cell r="B505">
            <v>647</v>
          </cell>
        </row>
        <row r="506">
          <cell r="B506">
            <v>648</v>
          </cell>
        </row>
        <row r="507">
          <cell r="B507">
            <v>649</v>
          </cell>
        </row>
        <row r="508">
          <cell r="B508">
            <v>650</v>
          </cell>
        </row>
        <row r="509">
          <cell r="B509">
            <v>651</v>
          </cell>
        </row>
        <row r="510">
          <cell r="B510">
            <v>652</v>
          </cell>
        </row>
        <row r="511">
          <cell r="B511">
            <v>653</v>
          </cell>
        </row>
        <row r="512">
          <cell r="B512">
            <v>654</v>
          </cell>
        </row>
        <row r="513">
          <cell r="B513">
            <v>655</v>
          </cell>
        </row>
        <row r="514">
          <cell r="B514">
            <v>656</v>
          </cell>
        </row>
        <row r="515">
          <cell r="B515">
            <v>657</v>
          </cell>
        </row>
        <row r="516">
          <cell r="B516">
            <v>658</v>
          </cell>
        </row>
        <row r="517">
          <cell r="B517">
            <v>659</v>
          </cell>
        </row>
        <row r="518">
          <cell r="B518">
            <v>660</v>
          </cell>
        </row>
        <row r="519">
          <cell r="B519">
            <v>661</v>
          </cell>
        </row>
        <row r="520">
          <cell r="B520">
            <v>662</v>
          </cell>
        </row>
        <row r="521">
          <cell r="B521">
            <v>663</v>
          </cell>
        </row>
        <row r="522">
          <cell r="B522">
            <v>664</v>
          </cell>
        </row>
        <row r="523">
          <cell r="B523">
            <v>665</v>
          </cell>
        </row>
        <row r="524">
          <cell r="B524">
            <v>666</v>
          </cell>
        </row>
        <row r="525">
          <cell r="B525">
            <v>667</v>
          </cell>
        </row>
        <row r="526">
          <cell r="B526">
            <v>668</v>
          </cell>
        </row>
        <row r="527">
          <cell r="B527">
            <v>669</v>
          </cell>
        </row>
        <row r="528">
          <cell r="B528">
            <v>670</v>
          </cell>
        </row>
        <row r="529">
          <cell r="B529">
            <v>671</v>
          </cell>
        </row>
        <row r="530">
          <cell r="B530">
            <v>672</v>
          </cell>
        </row>
        <row r="531">
          <cell r="B531">
            <v>673</v>
          </cell>
        </row>
        <row r="532">
          <cell r="B532">
            <v>674</v>
          </cell>
        </row>
        <row r="533">
          <cell r="B533">
            <v>675</v>
          </cell>
        </row>
        <row r="534">
          <cell r="B534">
            <v>676</v>
          </cell>
        </row>
        <row r="535">
          <cell r="B535">
            <v>677</v>
          </cell>
        </row>
        <row r="536">
          <cell r="B536">
            <v>678</v>
          </cell>
        </row>
        <row r="537">
          <cell r="B537">
            <v>679</v>
          </cell>
        </row>
        <row r="538">
          <cell r="B538">
            <v>680</v>
          </cell>
        </row>
        <row r="539">
          <cell r="B539">
            <v>681</v>
          </cell>
        </row>
        <row r="540">
          <cell r="B540">
            <v>682</v>
          </cell>
        </row>
        <row r="541">
          <cell r="B541">
            <v>683</v>
          </cell>
        </row>
        <row r="542">
          <cell r="B542">
            <v>684</v>
          </cell>
        </row>
        <row r="543">
          <cell r="B543">
            <v>685</v>
          </cell>
        </row>
        <row r="544">
          <cell r="B544">
            <v>686</v>
          </cell>
        </row>
        <row r="545">
          <cell r="B545">
            <v>687</v>
          </cell>
        </row>
        <row r="546">
          <cell r="B546">
            <v>688</v>
          </cell>
        </row>
        <row r="547">
          <cell r="B547">
            <v>689</v>
          </cell>
        </row>
        <row r="548">
          <cell r="B548">
            <v>690</v>
          </cell>
        </row>
        <row r="549">
          <cell r="B549">
            <v>691</v>
          </cell>
        </row>
        <row r="550">
          <cell r="B550">
            <v>692</v>
          </cell>
        </row>
        <row r="551">
          <cell r="B551">
            <v>693</v>
          </cell>
        </row>
        <row r="552">
          <cell r="B552">
            <v>694</v>
          </cell>
        </row>
        <row r="553">
          <cell r="B553">
            <v>695</v>
          </cell>
        </row>
        <row r="554">
          <cell r="B554">
            <v>696</v>
          </cell>
        </row>
        <row r="555">
          <cell r="B555">
            <v>697</v>
          </cell>
        </row>
        <row r="556">
          <cell r="B556">
            <v>698</v>
          </cell>
        </row>
        <row r="557">
          <cell r="B557">
            <v>699</v>
          </cell>
        </row>
        <row r="558">
          <cell r="B558">
            <v>700</v>
          </cell>
        </row>
        <row r="559">
          <cell r="B559">
            <v>701</v>
          </cell>
        </row>
        <row r="560">
          <cell r="B560">
            <v>702</v>
          </cell>
        </row>
        <row r="561">
          <cell r="B561">
            <v>703</v>
          </cell>
        </row>
        <row r="562">
          <cell r="B562">
            <v>704</v>
          </cell>
        </row>
        <row r="563">
          <cell r="B563">
            <v>705</v>
          </cell>
        </row>
        <row r="564">
          <cell r="B564">
            <v>706</v>
          </cell>
        </row>
        <row r="565">
          <cell r="B565">
            <v>707</v>
          </cell>
        </row>
        <row r="566">
          <cell r="B566">
            <v>708</v>
          </cell>
        </row>
        <row r="567">
          <cell r="B567">
            <v>709</v>
          </cell>
        </row>
        <row r="568">
          <cell r="B568">
            <v>710</v>
          </cell>
        </row>
        <row r="569">
          <cell r="B569">
            <v>711</v>
          </cell>
        </row>
        <row r="570">
          <cell r="B570">
            <v>712</v>
          </cell>
        </row>
        <row r="571">
          <cell r="B571">
            <v>713</v>
          </cell>
        </row>
        <row r="572">
          <cell r="B572">
            <v>714</v>
          </cell>
        </row>
        <row r="573">
          <cell r="B573">
            <v>715</v>
          </cell>
        </row>
        <row r="574">
          <cell r="B574">
            <v>716</v>
          </cell>
        </row>
        <row r="575">
          <cell r="B575">
            <v>717</v>
          </cell>
        </row>
        <row r="576">
          <cell r="B576">
            <v>718</v>
          </cell>
        </row>
        <row r="577">
          <cell r="B577">
            <v>719</v>
          </cell>
        </row>
        <row r="578">
          <cell r="B578">
            <v>720</v>
          </cell>
        </row>
        <row r="579">
          <cell r="B579">
            <v>721</v>
          </cell>
        </row>
        <row r="580">
          <cell r="B580">
            <v>722</v>
          </cell>
        </row>
        <row r="581">
          <cell r="B581">
            <v>723</v>
          </cell>
        </row>
        <row r="582">
          <cell r="B582">
            <v>724</v>
          </cell>
        </row>
        <row r="583">
          <cell r="B583">
            <v>725</v>
          </cell>
        </row>
        <row r="584">
          <cell r="B584">
            <v>726</v>
          </cell>
        </row>
        <row r="585">
          <cell r="B585">
            <v>727</v>
          </cell>
        </row>
        <row r="586">
          <cell r="B586">
            <v>728</v>
          </cell>
        </row>
        <row r="587">
          <cell r="B587">
            <v>729</v>
          </cell>
        </row>
        <row r="588">
          <cell r="B588">
            <v>730</v>
          </cell>
        </row>
        <row r="589">
          <cell r="B589">
            <v>731</v>
          </cell>
        </row>
        <row r="590">
          <cell r="B590">
            <v>732</v>
          </cell>
        </row>
        <row r="591">
          <cell r="B591">
            <v>733</v>
          </cell>
        </row>
        <row r="592">
          <cell r="B592">
            <v>734</v>
          </cell>
        </row>
        <row r="593">
          <cell r="B593">
            <v>735</v>
          </cell>
        </row>
        <row r="594">
          <cell r="B594">
            <v>736</v>
          </cell>
        </row>
        <row r="595">
          <cell r="B595">
            <v>737</v>
          </cell>
        </row>
        <row r="596">
          <cell r="B596">
            <v>738</v>
          </cell>
        </row>
        <row r="597">
          <cell r="B597">
            <v>739</v>
          </cell>
        </row>
        <row r="598">
          <cell r="B598">
            <v>740</v>
          </cell>
        </row>
        <row r="599">
          <cell r="B599">
            <v>741</v>
          </cell>
        </row>
        <row r="600">
          <cell r="B600">
            <v>742</v>
          </cell>
        </row>
        <row r="601">
          <cell r="B601">
            <v>743</v>
          </cell>
        </row>
        <row r="602">
          <cell r="B602">
            <v>744</v>
          </cell>
        </row>
        <row r="603">
          <cell r="B603">
            <v>745</v>
          </cell>
        </row>
        <row r="604">
          <cell r="B604">
            <v>746</v>
          </cell>
        </row>
        <row r="605">
          <cell r="B605">
            <v>747</v>
          </cell>
        </row>
        <row r="606">
          <cell r="B606">
            <v>748</v>
          </cell>
        </row>
        <row r="607">
          <cell r="B607">
            <v>749</v>
          </cell>
        </row>
        <row r="608">
          <cell r="B608">
            <v>750</v>
          </cell>
        </row>
        <row r="609">
          <cell r="B609">
            <v>751</v>
          </cell>
        </row>
        <row r="610">
          <cell r="B610">
            <v>752</v>
          </cell>
        </row>
        <row r="611">
          <cell r="B611">
            <v>753</v>
          </cell>
        </row>
        <row r="612">
          <cell r="B612">
            <v>754</v>
          </cell>
        </row>
        <row r="613">
          <cell r="B613">
            <v>755</v>
          </cell>
        </row>
        <row r="614">
          <cell r="B614">
            <v>756</v>
          </cell>
        </row>
        <row r="615">
          <cell r="B615">
            <v>757</v>
          </cell>
        </row>
        <row r="616">
          <cell r="B616">
            <v>758</v>
          </cell>
        </row>
        <row r="617">
          <cell r="B617">
            <v>759</v>
          </cell>
        </row>
        <row r="618">
          <cell r="B618">
            <v>760</v>
          </cell>
        </row>
        <row r="619">
          <cell r="B619">
            <v>761</v>
          </cell>
        </row>
        <row r="620">
          <cell r="B620">
            <v>762</v>
          </cell>
        </row>
        <row r="621">
          <cell r="B621">
            <v>763</v>
          </cell>
        </row>
        <row r="622">
          <cell r="B622">
            <v>764</v>
          </cell>
        </row>
        <row r="623">
          <cell r="B623">
            <v>765</v>
          </cell>
        </row>
        <row r="624">
          <cell r="B624">
            <v>766</v>
          </cell>
        </row>
        <row r="625">
          <cell r="B625">
            <v>767</v>
          </cell>
        </row>
        <row r="626">
          <cell r="B626">
            <v>768</v>
          </cell>
        </row>
        <row r="627">
          <cell r="B627">
            <v>769</v>
          </cell>
        </row>
        <row r="628">
          <cell r="B628">
            <v>770</v>
          </cell>
        </row>
        <row r="629">
          <cell r="B629">
            <v>771</v>
          </cell>
        </row>
        <row r="630">
          <cell r="B630">
            <v>772</v>
          </cell>
        </row>
        <row r="631">
          <cell r="B631">
            <v>773</v>
          </cell>
        </row>
        <row r="632">
          <cell r="B632">
            <v>774</v>
          </cell>
        </row>
        <row r="633">
          <cell r="B633">
            <v>775</v>
          </cell>
        </row>
        <row r="634">
          <cell r="B634">
            <v>776</v>
          </cell>
        </row>
        <row r="635">
          <cell r="B635">
            <v>777</v>
          </cell>
        </row>
        <row r="636">
          <cell r="B636">
            <v>778</v>
          </cell>
        </row>
        <row r="637">
          <cell r="B637">
            <v>779</v>
          </cell>
        </row>
        <row r="638">
          <cell r="B638">
            <v>780</v>
          </cell>
        </row>
        <row r="639">
          <cell r="B639">
            <v>781</v>
          </cell>
        </row>
        <row r="640">
          <cell r="B640">
            <v>782</v>
          </cell>
        </row>
        <row r="641">
          <cell r="B641">
            <v>783</v>
          </cell>
        </row>
        <row r="642">
          <cell r="B642">
            <v>784</v>
          </cell>
        </row>
        <row r="643">
          <cell r="B643">
            <v>785</v>
          </cell>
        </row>
        <row r="644">
          <cell r="B644">
            <v>786</v>
          </cell>
        </row>
        <row r="645">
          <cell r="B645">
            <v>787</v>
          </cell>
        </row>
        <row r="646">
          <cell r="B646">
            <v>788</v>
          </cell>
        </row>
        <row r="647">
          <cell r="B647">
            <v>789</v>
          </cell>
        </row>
        <row r="648">
          <cell r="B648">
            <v>790</v>
          </cell>
        </row>
        <row r="649">
          <cell r="B649">
            <v>791</v>
          </cell>
        </row>
        <row r="650">
          <cell r="B650">
            <v>792</v>
          </cell>
        </row>
        <row r="651">
          <cell r="B651">
            <v>793</v>
          </cell>
        </row>
        <row r="652">
          <cell r="B652">
            <v>794</v>
          </cell>
        </row>
        <row r="653">
          <cell r="B653">
            <v>795</v>
          </cell>
        </row>
        <row r="654">
          <cell r="B654">
            <v>796</v>
          </cell>
        </row>
        <row r="655">
          <cell r="B655">
            <v>797</v>
          </cell>
        </row>
        <row r="656">
          <cell r="B656">
            <v>798</v>
          </cell>
        </row>
        <row r="657">
          <cell r="B657">
            <v>799</v>
          </cell>
        </row>
        <row r="658">
          <cell r="B658">
            <v>800</v>
          </cell>
        </row>
        <row r="659">
          <cell r="B659">
            <v>801</v>
          </cell>
        </row>
        <row r="660">
          <cell r="B660">
            <v>802</v>
          </cell>
        </row>
        <row r="661">
          <cell r="B661">
            <v>803</v>
          </cell>
        </row>
        <row r="662">
          <cell r="B662">
            <v>804</v>
          </cell>
        </row>
        <row r="663">
          <cell r="B663">
            <v>805</v>
          </cell>
        </row>
        <row r="664">
          <cell r="B664">
            <v>806</v>
          </cell>
        </row>
        <row r="665">
          <cell r="B665">
            <v>807</v>
          </cell>
        </row>
        <row r="666">
          <cell r="B666">
            <v>808</v>
          </cell>
        </row>
        <row r="667">
          <cell r="B667">
            <v>809</v>
          </cell>
        </row>
        <row r="668">
          <cell r="B668">
            <v>810</v>
          </cell>
        </row>
        <row r="669">
          <cell r="B669">
            <v>811</v>
          </cell>
        </row>
        <row r="670">
          <cell r="B670">
            <v>812</v>
          </cell>
        </row>
        <row r="671">
          <cell r="B671">
            <v>813</v>
          </cell>
        </row>
        <row r="672">
          <cell r="B672">
            <v>814</v>
          </cell>
        </row>
        <row r="673">
          <cell r="B673">
            <v>815</v>
          </cell>
        </row>
        <row r="674">
          <cell r="B674">
            <v>816</v>
          </cell>
        </row>
        <row r="675">
          <cell r="B675">
            <v>817</v>
          </cell>
        </row>
        <row r="676">
          <cell r="B676">
            <v>818</v>
          </cell>
        </row>
        <row r="677">
          <cell r="B677">
            <v>819</v>
          </cell>
        </row>
        <row r="678">
          <cell r="B678">
            <v>820</v>
          </cell>
        </row>
        <row r="679">
          <cell r="B679">
            <v>821</v>
          </cell>
        </row>
        <row r="680">
          <cell r="B680">
            <v>822</v>
          </cell>
        </row>
        <row r="681">
          <cell r="B681">
            <v>823</v>
          </cell>
        </row>
        <row r="682">
          <cell r="B682">
            <v>824</v>
          </cell>
        </row>
        <row r="683">
          <cell r="B683">
            <v>825</v>
          </cell>
        </row>
        <row r="684">
          <cell r="B684">
            <v>826</v>
          </cell>
        </row>
        <row r="685">
          <cell r="B685">
            <v>827</v>
          </cell>
        </row>
        <row r="686">
          <cell r="B686">
            <v>828</v>
          </cell>
        </row>
        <row r="687">
          <cell r="B687">
            <v>829</v>
          </cell>
        </row>
        <row r="688">
          <cell r="B688">
            <v>830</v>
          </cell>
        </row>
        <row r="689">
          <cell r="B689">
            <v>831</v>
          </cell>
        </row>
        <row r="690">
          <cell r="B690">
            <v>832</v>
          </cell>
        </row>
        <row r="691">
          <cell r="B691">
            <v>833</v>
          </cell>
        </row>
        <row r="692">
          <cell r="B692">
            <v>834</v>
          </cell>
        </row>
        <row r="693">
          <cell r="B693">
            <v>835</v>
          </cell>
        </row>
        <row r="694">
          <cell r="B694">
            <v>836</v>
          </cell>
        </row>
        <row r="695">
          <cell r="B695">
            <v>837</v>
          </cell>
        </row>
        <row r="696">
          <cell r="B696">
            <v>838</v>
          </cell>
        </row>
        <row r="697">
          <cell r="B697">
            <v>839</v>
          </cell>
        </row>
        <row r="698">
          <cell r="B698">
            <v>840</v>
          </cell>
        </row>
        <row r="699">
          <cell r="B699">
            <v>841</v>
          </cell>
        </row>
        <row r="700">
          <cell r="B700">
            <v>842</v>
          </cell>
        </row>
        <row r="701">
          <cell r="B701">
            <v>843</v>
          </cell>
        </row>
        <row r="702">
          <cell r="B702">
            <v>844</v>
          </cell>
        </row>
        <row r="703">
          <cell r="B703">
            <v>845</v>
          </cell>
        </row>
        <row r="704">
          <cell r="B704">
            <v>846</v>
          </cell>
        </row>
        <row r="705">
          <cell r="B705">
            <v>847</v>
          </cell>
        </row>
        <row r="706">
          <cell r="B706">
            <v>848</v>
          </cell>
        </row>
        <row r="707">
          <cell r="B707">
            <v>849</v>
          </cell>
        </row>
        <row r="708">
          <cell r="B708">
            <v>850</v>
          </cell>
        </row>
        <row r="709">
          <cell r="B709">
            <v>851</v>
          </cell>
        </row>
        <row r="710">
          <cell r="B710">
            <v>852</v>
          </cell>
        </row>
        <row r="711">
          <cell r="B711">
            <v>853</v>
          </cell>
        </row>
        <row r="712">
          <cell r="B712">
            <v>854</v>
          </cell>
        </row>
        <row r="713">
          <cell r="B713">
            <v>855</v>
          </cell>
        </row>
        <row r="714">
          <cell r="B714">
            <v>856</v>
          </cell>
        </row>
        <row r="715">
          <cell r="B715">
            <v>857</v>
          </cell>
        </row>
        <row r="716">
          <cell r="B716">
            <v>858</v>
          </cell>
        </row>
        <row r="717">
          <cell r="B717">
            <v>859</v>
          </cell>
        </row>
        <row r="718">
          <cell r="B718">
            <v>860</v>
          </cell>
        </row>
        <row r="719">
          <cell r="B719">
            <v>861</v>
          </cell>
        </row>
        <row r="720">
          <cell r="B720">
            <v>862</v>
          </cell>
        </row>
        <row r="721">
          <cell r="B721">
            <v>863</v>
          </cell>
        </row>
        <row r="722">
          <cell r="B722">
            <v>864</v>
          </cell>
        </row>
        <row r="723">
          <cell r="B723">
            <v>865</v>
          </cell>
        </row>
        <row r="724">
          <cell r="B724">
            <v>866</v>
          </cell>
        </row>
        <row r="725">
          <cell r="B725">
            <v>867</v>
          </cell>
        </row>
        <row r="726">
          <cell r="B726">
            <v>868</v>
          </cell>
        </row>
        <row r="727">
          <cell r="B727">
            <v>869</v>
          </cell>
        </row>
        <row r="728">
          <cell r="B728">
            <v>870</v>
          </cell>
        </row>
        <row r="729">
          <cell r="B729">
            <v>871</v>
          </cell>
        </row>
        <row r="730">
          <cell r="B730">
            <v>872</v>
          </cell>
        </row>
        <row r="731">
          <cell r="B731">
            <v>873</v>
          </cell>
        </row>
        <row r="732">
          <cell r="B732">
            <v>874</v>
          </cell>
        </row>
        <row r="733">
          <cell r="B733">
            <v>875</v>
          </cell>
        </row>
        <row r="734">
          <cell r="B734">
            <v>876</v>
          </cell>
        </row>
        <row r="735">
          <cell r="B735">
            <v>877</v>
          </cell>
        </row>
        <row r="736">
          <cell r="B736">
            <v>878</v>
          </cell>
        </row>
        <row r="737">
          <cell r="B737">
            <v>879</v>
          </cell>
        </row>
        <row r="738">
          <cell r="B738">
            <v>880</v>
          </cell>
        </row>
        <row r="739">
          <cell r="B739">
            <v>881</v>
          </cell>
        </row>
        <row r="740">
          <cell r="B740">
            <v>882</v>
          </cell>
        </row>
        <row r="741">
          <cell r="B741">
            <v>883</v>
          </cell>
        </row>
        <row r="742">
          <cell r="B742">
            <v>884</v>
          </cell>
        </row>
        <row r="743">
          <cell r="B743">
            <v>885</v>
          </cell>
        </row>
        <row r="744">
          <cell r="B744">
            <v>886</v>
          </cell>
        </row>
        <row r="745">
          <cell r="B745">
            <v>887</v>
          </cell>
        </row>
        <row r="746">
          <cell r="B746">
            <v>888</v>
          </cell>
        </row>
        <row r="747">
          <cell r="B747">
            <v>889</v>
          </cell>
        </row>
        <row r="748">
          <cell r="B748">
            <v>890</v>
          </cell>
        </row>
        <row r="749">
          <cell r="B749">
            <v>891</v>
          </cell>
        </row>
        <row r="750">
          <cell r="B750">
            <v>892</v>
          </cell>
        </row>
        <row r="751">
          <cell r="B751">
            <v>893</v>
          </cell>
        </row>
        <row r="752">
          <cell r="B752">
            <v>894</v>
          </cell>
        </row>
        <row r="753">
          <cell r="B753">
            <v>895</v>
          </cell>
        </row>
        <row r="754">
          <cell r="B754">
            <v>896</v>
          </cell>
        </row>
        <row r="755">
          <cell r="B755">
            <v>897</v>
          </cell>
        </row>
        <row r="756">
          <cell r="B756">
            <v>898</v>
          </cell>
        </row>
        <row r="757">
          <cell r="B757">
            <v>899</v>
          </cell>
        </row>
        <row r="758">
          <cell r="B758">
            <v>900</v>
          </cell>
        </row>
        <row r="759">
          <cell r="B759">
            <v>901</v>
          </cell>
        </row>
        <row r="760">
          <cell r="B760">
            <v>902</v>
          </cell>
        </row>
        <row r="761">
          <cell r="B761">
            <v>903</v>
          </cell>
        </row>
        <row r="762">
          <cell r="B762">
            <v>904</v>
          </cell>
        </row>
        <row r="763">
          <cell r="B763">
            <v>905</v>
          </cell>
        </row>
        <row r="764">
          <cell r="B764">
            <v>906</v>
          </cell>
        </row>
        <row r="765">
          <cell r="B765">
            <v>907</v>
          </cell>
        </row>
        <row r="766">
          <cell r="B766">
            <v>908</v>
          </cell>
        </row>
        <row r="767">
          <cell r="B767">
            <v>909</v>
          </cell>
        </row>
        <row r="768">
          <cell r="B768">
            <v>910</v>
          </cell>
        </row>
        <row r="769">
          <cell r="B769">
            <v>911</v>
          </cell>
        </row>
        <row r="770">
          <cell r="B770">
            <v>912</v>
          </cell>
        </row>
        <row r="771">
          <cell r="B771">
            <v>913</v>
          </cell>
        </row>
        <row r="772">
          <cell r="B772">
            <v>914</v>
          </cell>
        </row>
        <row r="773">
          <cell r="B773">
            <v>915</v>
          </cell>
        </row>
        <row r="774">
          <cell r="B774">
            <v>916</v>
          </cell>
        </row>
        <row r="775">
          <cell r="B775">
            <v>917</v>
          </cell>
        </row>
        <row r="776">
          <cell r="B776">
            <v>918</v>
          </cell>
        </row>
        <row r="777">
          <cell r="B777">
            <v>919</v>
          </cell>
        </row>
        <row r="778">
          <cell r="B778">
            <v>920</v>
          </cell>
        </row>
        <row r="779">
          <cell r="B779">
            <v>921</v>
          </cell>
        </row>
        <row r="780">
          <cell r="B780">
            <v>922</v>
          </cell>
        </row>
        <row r="781">
          <cell r="B781">
            <v>923</v>
          </cell>
        </row>
        <row r="782">
          <cell r="B782">
            <v>924</v>
          </cell>
        </row>
        <row r="783">
          <cell r="B783">
            <v>925</v>
          </cell>
        </row>
        <row r="784">
          <cell r="B784">
            <v>926</v>
          </cell>
        </row>
        <row r="785">
          <cell r="B785">
            <v>927</v>
          </cell>
        </row>
        <row r="786">
          <cell r="B786">
            <v>928</v>
          </cell>
        </row>
        <row r="787">
          <cell r="B787">
            <v>929</v>
          </cell>
        </row>
        <row r="788">
          <cell r="B788">
            <v>930</v>
          </cell>
        </row>
        <row r="789">
          <cell r="B789">
            <v>931</v>
          </cell>
        </row>
        <row r="790">
          <cell r="B790">
            <v>932</v>
          </cell>
        </row>
        <row r="791">
          <cell r="B791">
            <v>933</v>
          </cell>
        </row>
        <row r="792">
          <cell r="B792">
            <v>934</v>
          </cell>
        </row>
        <row r="793">
          <cell r="B793">
            <v>935</v>
          </cell>
        </row>
        <row r="794">
          <cell r="B794">
            <v>936</v>
          </cell>
        </row>
        <row r="795">
          <cell r="B795">
            <v>937</v>
          </cell>
        </row>
        <row r="796">
          <cell r="B796">
            <v>938</v>
          </cell>
        </row>
        <row r="797">
          <cell r="B797">
            <v>939</v>
          </cell>
        </row>
        <row r="798">
          <cell r="B798">
            <v>940</v>
          </cell>
        </row>
        <row r="799">
          <cell r="B799">
            <v>941</v>
          </cell>
        </row>
        <row r="800">
          <cell r="B800">
            <v>942</v>
          </cell>
        </row>
        <row r="801">
          <cell r="B801">
            <v>943</v>
          </cell>
        </row>
        <row r="802">
          <cell r="B802">
            <v>944</v>
          </cell>
        </row>
        <row r="803">
          <cell r="B803">
            <v>945</v>
          </cell>
        </row>
        <row r="804">
          <cell r="B804">
            <v>946</v>
          </cell>
        </row>
        <row r="805">
          <cell r="B805">
            <v>947</v>
          </cell>
        </row>
        <row r="806">
          <cell r="B806">
            <v>948</v>
          </cell>
        </row>
        <row r="807">
          <cell r="B807">
            <v>949</v>
          </cell>
        </row>
        <row r="808">
          <cell r="B808">
            <v>950</v>
          </cell>
        </row>
        <row r="809">
          <cell r="B809">
            <v>951</v>
          </cell>
        </row>
        <row r="810">
          <cell r="B810">
            <v>952</v>
          </cell>
        </row>
        <row r="811">
          <cell r="B811">
            <v>953</v>
          </cell>
        </row>
        <row r="812">
          <cell r="B812">
            <v>954</v>
          </cell>
        </row>
        <row r="813">
          <cell r="B813">
            <v>955</v>
          </cell>
        </row>
        <row r="814">
          <cell r="B814">
            <v>956</v>
          </cell>
        </row>
        <row r="815">
          <cell r="B815">
            <v>957</v>
          </cell>
        </row>
        <row r="816">
          <cell r="B816">
            <v>958</v>
          </cell>
        </row>
        <row r="817">
          <cell r="B817">
            <v>959</v>
          </cell>
        </row>
        <row r="818">
          <cell r="B818">
            <v>960</v>
          </cell>
        </row>
        <row r="819">
          <cell r="B819">
            <v>961</v>
          </cell>
        </row>
        <row r="820">
          <cell r="B820">
            <v>962</v>
          </cell>
        </row>
        <row r="821">
          <cell r="B821">
            <v>963</v>
          </cell>
        </row>
        <row r="822">
          <cell r="B822">
            <v>964</v>
          </cell>
        </row>
        <row r="823">
          <cell r="B823">
            <v>965</v>
          </cell>
        </row>
        <row r="824">
          <cell r="B824">
            <v>966</v>
          </cell>
        </row>
        <row r="825">
          <cell r="B825">
            <v>967</v>
          </cell>
        </row>
        <row r="826">
          <cell r="B826">
            <v>968</v>
          </cell>
        </row>
        <row r="827">
          <cell r="B827">
            <v>969</v>
          </cell>
        </row>
        <row r="828">
          <cell r="B828">
            <v>970</v>
          </cell>
        </row>
        <row r="829">
          <cell r="B829">
            <v>971</v>
          </cell>
        </row>
        <row r="830">
          <cell r="B830">
            <v>972</v>
          </cell>
        </row>
        <row r="831">
          <cell r="B831">
            <v>973</v>
          </cell>
        </row>
        <row r="832">
          <cell r="B832">
            <v>974</v>
          </cell>
        </row>
        <row r="833">
          <cell r="B833">
            <v>975</v>
          </cell>
        </row>
        <row r="834">
          <cell r="B834">
            <v>976</v>
          </cell>
        </row>
        <row r="835">
          <cell r="B835">
            <v>977</v>
          </cell>
        </row>
        <row r="836">
          <cell r="B836">
            <v>978</v>
          </cell>
        </row>
        <row r="837">
          <cell r="B837">
            <v>979</v>
          </cell>
        </row>
        <row r="838">
          <cell r="B838">
            <v>980</v>
          </cell>
        </row>
        <row r="839">
          <cell r="B839">
            <v>981</v>
          </cell>
        </row>
        <row r="840">
          <cell r="B840">
            <v>982</v>
          </cell>
        </row>
        <row r="841">
          <cell r="B841">
            <v>983</v>
          </cell>
        </row>
        <row r="842">
          <cell r="B842">
            <v>984</v>
          </cell>
        </row>
        <row r="843">
          <cell r="B843">
            <v>985</v>
          </cell>
        </row>
        <row r="844">
          <cell r="B844">
            <v>986</v>
          </cell>
        </row>
        <row r="845">
          <cell r="B845">
            <v>987</v>
          </cell>
        </row>
        <row r="846">
          <cell r="B846">
            <v>988</v>
          </cell>
        </row>
        <row r="847">
          <cell r="B847">
            <v>989</v>
          </cell>
        </row>
        <row r="848">
          <cell r="B848">
            <v>990</v>
          </cell>
        </row>
        <row r="849">
          <cell r="B849">
            <v>991</v>
          </cell>
        </row>
        <row r="850">
          <cell r="B850">
            <v>992</v>
          </cell>
        </row>
        <row r="851">
          <cell r="B851">
            <v>993</v>
          </cell>
        </row>
        <row r="852">
          <cell r="B852">
            <v>994</v>
          </cell>
        </row>
        <row r="853">
          <cell r="B853">
            <v>995</v>
          </cell>
        </row>
        <row r="854">
          <cell r="B854">
            <v>996</v>
          </cell>
        </row>
        <row r="855">
          <cell r="B855">
            <v>997</v>
          </cell>
        </row>
        <row r="856">
          <cell r="B856">
            <v>998</v>
          </cell>
        </row>
        <row r="857">
          <cell r="B857">
            <v>999</v>
          </cell>
        </row>
        <row r="858">
          <cell r="B858">
            <v>1000</v>
          </cell>
        </row>
        <row r="859">
          <cell r="B859">
            <v>1001</v>
          </cell>
        </row>
        <row r="860">
          <cell r="B860">
            <v>1002</v>
          </cell>
        </row>
        <row r="861">
          <cell r="B861">
            <v>1003</v>
          </cell>
        </row>
        <row r="862">
          <cell r="B862">
            <v>1004</v>
          </cell>
        </row>
        <row r="863">
          <cell r="B863">
            <v>1005</v>
          </cell>
        </row>
        <row r="864">
          <cell r="B864">
            <v>1006</v>
          </cell>
        </row>
        <row r="865">
          <cell r="B865">
            <v>1007</v>
          </cell>
        </row>
        <row r="866">
          <cell r="B866">
            <v>1008</v>
          </cell>
        </row>
        <row r="867">
          <cell r="B867">
            <v>1009</v>
          </cell>
        </row>
        <row r="868">
          <cell r="B868">
            <v>1010</v>
          </cell>
        </row>
        <row r="869">
          <cell r="B869">
            <v>1011</v>
          </cell>
        </row>
        <row r="870">
          <cell r="B870">
            <v>1012</v>
          </cell>
        </row>
        <row r="871">
          <cell r="B871">
            <v>1013</v>
          </cell>
        </row>
        <row r="872">
          <cell r="B872">
            <v>1014</v>
          </cell>
        </row>
        <row r="873">
          <cell r="B873">
            <v>1015</v>
          </cell>
        </row>
        <row r="874">
          <cell r="B874">
            <v>1016</v>
          </cell>
        </row>
        <row r="875">
          <cell r="B875">
            <v>1017</v>
          </cell>
        </row>
        <row r="876">
          <cell r="B876">
            <v>1018</v>
          </cell>
        </row>
        <row r="877">
          <cell r="B877">
            <v>1019</v>
          </cell>
        </row>
        <row r="878">
          <cell r="B878">
            <v>1020</v>
          </cell>
        </row>
        <row r="879">
          <cell r="B879">
            <v>1021</v>
          </cell>
        </row>
        <row r="880">
          <cell r="B880">
            <v>1022</v>
          </cell>
        </row>
        <row r="881">
          <cell r="B881">
            <v>1023</v>
          </cell>
        </row>
        <row r="882">
          <cell r="B882">
            <v>1024</v>
          </cell>
        </row>
        <row r="883">
          <cell r="B883">
            <v>1025</v>
          </cell>
        </row>
        <row r="884">
          <cell r="B884">
            <v>1026</v>
          </cell>
        </row>
        <row r="885">
          <cell r="B885">
            <v>1027</v>
          </cell>
        </row>
        <row r="886">
          <cell r="B886">
            <v>1028</v>
          </cell>
        </row>
        <row r="887">
          <cell r="B887">
            <v>1029</v>
          </cell>
        </row>
        <row r="888">
          <cell r="B888">
            <v>1030</v>
          </cell>
        </row>
        <row r="889">
          <cell r="B889">
            <v>1031</v>
          </cell>
        </row>
        <row r="890">
          <cell r="B890">
            <v>1032</v>
          </cell>
        </row>
        <row r="891">
          <cell r="B891">
            <v>1033</v>
          </cell>
        </row>
        <row r="892">
          <cell r="B892">
            <v>1034</v>
          </cell>
        </row>
        <row r="893">
          <cell r="B893">
            <v>1035</v>
          </cell>
        </row>
        <row r="894">
          <cell r="B894">
            <v>1036</v>
          </cell>
        </row>
        <row r="895">
          <cell r="B895">
            <v>1037</v>
          </cell>
        </row>
        <row r="896">
          <cell r="B896">
            <v>1038</v>
          </cell>
        </row>
        <row r="897">
          <cell r="B897">
            <v>1039</v>
          </cell>
        </row>
        <row r="898">
          <cell r="B898">
            <v>1040</v>
          </cell>
        </row>
        <row r="899">
          <cell r="B899">
            <v>1041</v>
          </cell>
        </row>
        <row r="900">
          <cell r="B900">
            <v>1042</v>
          </cell>
        </row>
        <row r="901">
          <cell r="B901">
            <v>1043</v>
          </cell>
        </row>
        <row r="902">
          <cell r="B902">
            <v>1044</v>
          </cell>
        </row>
        <row r="903">
          <cell r="B903">
            <v>1045</v>
          </cell>
        </row>
        <row r="904">
          <cell r="B904">
            <v>1046</v>
          </cell>
        </row>
        <row r="905">
          <cell r="B905">
            <v>1047</v>
          </cell>
        </row>
        <row r="906">
          <cell r="B906">
            <v>1048</v>
          </cell>
        </row>
        <row r="907">
          <cell r="B907">
            <v>1049</v>
          </cell>
        </row>
        <row r="908">
          <cell r="B908">
            <v>1050</v>
          </cell>
        </row>
        <row r="909">
          <cell r="B909">
            <v>1051</v>
          </cell>
        </row>
        <row r="910">
          <cell r="B910">
            <v>1052</v>
          </cell>
        </row>
        <row r="911">
          <cell r="B911">
            <v>1053</v>
          </cell>
        </row>
        <row r="912">
          <cell r="B912">
            <v>1054</v>
          </cell>
        </row>
        <row r="913">
          <cell r="B913">
            <v>1055</v>
          </cell>
        </row>
        <row r="914">
          <cell r="B914">
            <v>1056</v>
          </cell>
        </row>
        <row r="915">
          <cell r="B915">
            <v>1057</v>
          </cell>
        </row>
        <row r="916">
          <cell r="B916">
            <v>1058</v>
          </cell>
        </row>
        <row r="917">
          <cell r="B917">
            <v>1059</v>
          </cell>
        </row>
        <row r="918">
          <cell r="B918">
            <v>1060</v>
          </cell>
        </row>
        <row r="919">
          <cell r="B919">
            <v>1061</v>
          </cell>
        </row>
        <row r="920">
          <cell r="B920">
            <v>1062</v>
          </cell>
        </row>
        <row r="921">
          <cell r="B921">
            <v>1063</v>
          </cell>
        </row>
        <row r="922">
          <cell r="B922">
            <v>1064</v>
          </cell>
        </row>
        <row r="923">
          <cell r="B923">
            <v>1065</v>
          </cell>
        </row>
        <row r="924">
          <cell r="B924">
            <v>1066</v>
          </cell>
        </row>
        <row r="925">
          <cell r="B925">
            <v>1067</v>
          </cell>
        </row>
        <row r="926">
          <cell r="B926">
            <v>1068</v>
          </cell>
        </row>
        <row r="927">
          <cell r="A927" t="str">
            <v>чиким Итог</v>
          </cell>
        </row>
        <row r="928">
          <cell r="A928" t="str">
            <v>Общий итог</v>
          </cell>
        </row>
        <row r="4570">
          <cell r="A4570" t="str">
            <v>Общий итог</v>
          </cell>
        </row>
        <row r="4571">
          <cell r="A4571" t="str">
            <v>Общий итог</v>
          </cell>
        </row>
        <row r="4572">
          <cell r="B4572">
            <v>0</v>
          </cell>
        </row>
        <row r="8411">
          <cell r="B8411">
            <v>0</v>
          </cell>
        </row>
        <row r="8412">
          <cell r="B8412">
            <v>0</v>
          </cell>
        </row>
        <row r="8413">
          <cell r="A8413" t="str">
            <v>Общий итог</v>
          </cell>
        </row>
        <row r="8414">
          <cell r="A8414" t="str">
            <v>Общий итог</v>
          </cell>
        </row>
        <row r="8415">
          <cell r="B8415">
            <v>412</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Tit"/>
      <sheetName val="Date"/>
      <sheetName val="выполнение"/>
      <sheetName val="Тохирбек 2003-1"/>
      <sheetName val="максади"/>
      <sheetName val="банклар"/>
      <sheetName val="Худуд"/>
      <sheetName val="19903"/>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форма №2а"/>
      <sheetName val="14301"/>
      <sheetName val="Районы"/>
      <sheetName val="б 6-и"/>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План пр-ва"/>
      <sheetName val="табл чувств"/>
      <sheetName val="План продаж"/>
      <sheetName val="Массив"/>
      <sheetName val="мфо"/>
      <sheetName val="счет-фактура"/>
      <sheetName val="накладная"/>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Guidance"/>
      <sheetName val="AeCO SPL"/>
      <sheetName val="кол-во техн"/>
      <sheetName val="инф"/>
      <sheetName val="Ж-8."/>
      <sheetName val="IDA-tab7"/>
      <sheetName val="SUMMARY"/>
      <sheetName val="2-жадвал свод"/>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Таблица рассрочки"/>
      <sheetName val="Форма №2-2003"/>
      <sheetName val="структура"/>
      <sheetName val="дот"/>
      <sheetName val="уюшмага10,09 холатига"/>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б_6-и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c"/>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efreshError="1"/>
      <sheetData sheetId="53" refreshError="1"/>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sheetData sheetId="74"/>
      <sheetData sheetId="75"/>
      <sheetData sheetId="76"/>
      <sheetData sheetId="77"/>
      <sheetData sheetId="78"/>
      <sheetData sheetId="79" refreshError="1"/>
      <sheetData sheetId="80" refreshError="1"/>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ow r="4">
          <cell r="O4">
            <v>67.099999999999994</v>
          </cell>
        </row>
      </sheetData>
      <sheetData sheetId="90">
        <row r="4">
          <cell r="O4">
            <v>67.099999999999994</v>
          </cell>
        </row>
      </sheetData>
      <sheetData sheetId="91">
        <row r="4">
          <cell r="O4">
            <v>67.099999999999994</v>
          </cell>
        </row>
      </sheetData>
      <sheetData sheetId="92">
        <row r="4">
          <cell r="O4">
            <v>67.099999999999994</v>
          </cell>
        </row>
      </sheetData>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ow r="2">
          <cell r="A2" t="str">
            <v xml:space="preserve">Андижон вилоят минтақавий филиал ва БХМлар бўйича мониторинг ўтказилган мижозлар тўғрисида маълумот. </v>
          </cell>
        </row>
      </sheetData>
      <sheetData sheetId="129" refreshError="1"/>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ow r="2">
          <cell r="A2" t="str">
            <v xml:space="preserve">Андижон вилоят минтақавий филиал ва БХМлар бўйича мониторинг ўтказилган мижозлар тўғрисида маълумот. </v>
          </cell>
        </row>
      </sheetData>
      <sheetData sheetId="145" refreshError="1"/>
      <sheetData sheetId="146" refreshError="1"/>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ow r="2">
          <cell r="A2" t="str">
            <v xml:space="preserve">Андижон вилоят минтақавий филиал ва БХМлар бўйича мониторинг ўтказилган мижозлар тўғрисида маълумот. </v>
          </cell>
        </row>
      </sheetData>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ow r="2">
          <cell r="A2" t="str">
            <v xml:space="preserve">Андижон вилоят минтақавий филиал ва БХМлар бўйича мониторинг ўтказилган мижозлар тўғрисида маълумот. </v>
          </cell>
        </row>
      </sheetData>
      <sheetData sheetId="202">
        <row r="2">
          <cell r="A2" t="str">
            <v xml:space="preserve">Андижон вилоят минтақавий филиал ва БХМлар бўйича мониторинг ўтказилган мижозлар тўғрисида маълумот. </v>
          </cell>
        </row>
      </sheetData>
      <sheetData sheetId="203">
        <row r="2">
          <cell r="A2" t="str">
            <v xml:space="preserve">Андижон вилоят минтақавий филиал ва БХМлар бўйича мониторинг ўтказилган мижозлар тўғрисида маълумот. </v>
          </cell>
        </row>
      </sheetData>
      <sheetData sheetId="204">
        <row r="2">
          <cell r="A2" t="str">
            <v xml:space="preserve">Андижон вилоят минтақавий филиал ва БХМлар бўйича мониторинг ўтказилган мижозлар тўғрисида маълумот. </v>
          </cell>
        </row>
      </sheetData>
      <sheetData sheetId="205">
        <row r="2">
          <cell r="A2" t="str">
            <v xml:space="preserve">Андижон вилоят минтақавий филиал ва БХМлар бўйича мониторинг ўтказилган мижозлар тўғрисида маълумот. </v>
          </cell>
        </row>
      </sheetData>
      <sheetData sheetId="206">
        <row r="2">
          <cell r="A2" t="str">
            <v xml:space="preserve">Андижон вилоят минтақавий филиал ва БХМлар бўйича мониторинг ўтказилган мижозлар тўғрисида маълумот. </v>
          </cell>
        </row>
      </sheetData>
      <sheetData sheetId="207" refreshError="1"/>
      <sheetData sheetId="208">
        <row r="4">
          <cell r="O4">
            <v>67.099999999999994</v>
          </cell>
        </row>
      </sheetData>
      <sheetData sheetId="209" refreshError="1"/>
      <sheetData sheetId="210" refreshError="1"/>
      <sheetData sheetId="211" refreshError="1"/>
      <sheetData sheetId="212" refreshError="1"/>
      <sheetData sheetId="213" refreshError="1"/>
      <sheetData sheetId="214" refreshError="1"/>
      <sheetData sheetId="215">
        <row r="4">
          <cell r="O4">
            <v>67.099999999999994</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ow r="2">
          <cell r="A2" t="str">
            <v xml:space="preserve">Андижон вилоят минтақавий филиал ва БХМлар бўйича мониторинг ўтказилган мижозлар тўғрисида маълумот. </v>
          </cell>
        </row>
      </sheetData>
      <sheetData sheetId="254">
        <row r="2">
          <cell r="A2" t="str">
            <v xml:space="preserve">Андижон вилоят минтақавий филиал ва БХМлар бўйича мониторинг ўтказилган мижозлар тўғрисида маълумот. </v>
          </cell>
        </row>
      </sheetData>
      <sheetData sheetId="255">
        <row r="2">
          <cell r="A2" t="str">
            <v xml:space="preserve">Андижон вилоят минтақавий филиал ва БХМлар бўйича мониторинг ўтказилган мижозлар тўғрисида маълумот. </v>
          </cell>
        </row>
      </sheetData>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ow r="4">
          <cell r="O4">
            <v>67.099999999999994</v>
          </cell>
        </row>
      </sheetData>
      <sheetData sheetId="265">
        <row r="4">
          <cell r="O4">
            <v>67.099999999999994</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ow r="4">
          <cell r="O4">
            <v>67.099999999999994</v>
          </cell>
        </row>
      </sheetData>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ат "/>
      <sheetName val="Ер ресурс Свод"/>
      <sheetName val="Ер Ресурс"/>
      <sheetName val="Технадзор-свод"/>
      <sheetName val="шартли мол"/>
      <sheetName val="Бог-ток"/>
      <sheetName val="11-жадвал"/>
      <sheetName val="12-жадвал"/>
      <sheetName val="Алохида"/>
      <sheetName val="Массив"/>
      <sheetName val="Фориш 2003"/>
      <sheetName val="Гай пахта"/>
      <sheetName val="Жиззах янги раз"/>
      <sheetName val="Мин.угит"/>
      <sheetName val="Стат_"/>
      <sheetName val="Ер_ресурс_Свод"/>
      <sheetName val="Ер_Ресурс"/>
      <sheetName val="шартли_мол"/>
      <sheetName val="Фориш_2003"/>
      <sheetName val="Гай_пахта"/>
      <sheetName val="Стат_1"/>
      <sheetName val="Ер_ресурс_Свод1"/>
      <sheetName val="Ер_Ресурс1"/>
      <sheetName val="шартли_мол1"/>
      <sheetName val="Фориш_20031"/>
      <sheetName val="Жиззах_янги_раз"/>
      <sheetName val="Гай_пахта1"/>
      <sheetName val="Мин_угит"/>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Алохида"/>
      <sheetName val="Фориш 2003"/>
      <sheetName val="оборот"/>
      <sheetName val="Куритиш_нормаси"/>
      <sheetName val="физ_тон"/>
      <sheetName val="Фориш_2003"/>
      <sheetName val="Ер Ресурс"/>
      <sheetName val="Мин.угит"/>
      <sheetName val="реестр декабрь"/>
      <sheetName val="Лист1"/>
      <sheetName val="Куритиш_нормаси1"/>
      <sheetName val="физ_тон1"/>
      <sheetName val="Фориш_20031"/>
      <sheetName val="Мин_угит"/>
      <sheetName val="Ер_Ресурс"/>
      <sheetName val="реестр_декабрь"/>
      <sheetName val="Куритиш_нормаси2"/>
      <sheetName val="физ_тон2"/>
      <sheetName val="Фориш_20032"/>
      <sheetName val="Мин_угит1"/>
      <sheetName val="Ер_Ресурс1"/>
      <sheetName val="реестр_декабрь1"/>
      <sheetName val="Куритиш_нормаси3"/>
      <sheetName val="физ_тон3"/>
      <sheetName val="Фориш_20033"/>
      <sheetName val="Ер_Ресурс2"/>
      <sheetName val="Мин_угит2"/>
      <sheetName val="реестр_декабрь2"/>
      <sheetName val="б 6-и"/>
      <sheetName val="Лист6"/>
      <sheetName val="пр"/>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5 жадвал"/>
      <sheetName val="Prog__rost_tarifov"/>
      <sheetName val="Data_input"/>
      <sheetName val="План_пр-ва_1"/>
      <sheetName val="План_продаж_1"/>
      <sheetName val="14301-810 св 2 F"/>
      <sheetName val="BAL"/>
      <sheetName val="Зан-ть(р-ны)"/>
      <sheetName val="1 Ноябр Тошкентга  (2)"/>
      <sheetName val="гай пахта"/>
      <sheetName val="экс хар"/>
      <sheetName val="форма №2а"/>
      <sheetName val="Куритиш_нормаси6"/>
      <sheetName val="физ_тон6"/>
      <sheetName val="Фориш_20036"/>
      <sheetName val="Ер_Ресурс5"/>
      <sheetName val="Мин_угит5"/>
      <sheetName val="реестр_декабрь5"/>
      <sheetName val="б_6-и2"/>
      <sheetName val="Форма_№2-20032"/>
      <sheetName val="адресная_часть2"/>
      <sheetName val="Prog__rost_tarifov1"/>
      <sheetName val="Data_input1"/>
      <sheetName val="План_пр-ва_11"/>
      <sheetName val="План_продаж_11"/>
      <sheetName val="жиззах_янги_раз1"/>
      <sheetName val="прил_№3_(ввод-пром)1"/>
      <sheetName val="таблица_рассрочки1"/>
      <sheetName val="Возд_1"/>
      <sheetName val="Подача_ГВС1"/>
      <sheetName val="Кисл_1"/>
      <sheetName val="Питьевая_вода1"/>
      <sheetName val="Тех_вода1"/>
      <sheetName val="жами_605__та_1_апрелгача1"/>
      <sheetName val="Йигма_вазирл_11_ой1"/>
      <sheetName val="Куритиш_нормаси5"/>
      <sheetName val="физ_тон5"/>
      <sheetName val="Фориш_20035"/>
      <sheetName val="Ер_Ресурс4"/>
      <sheetName val="Мин_угит4"/>
      <sheetName val="реестр_декабрь4"/>
      <sheetName val="б_6-и1"/>
      <sheetName val="Форма_№2-20031"/>
      <sheetName val="адресная_часть1"/>
      <sheetName val="жиззах_янги_раз"/>
      <sheetName val="прил_№3_(ввод-пром)"/>
      <sheetName val="таблица_рассрочки"/>
      <sheetName val="Возд_"/>
      <sheetName val="Подача_ГВС"/>
      <sheetName val="Кисл_"/>
      <sheetName val="Питьевая_вода"/>
      <sheetName val="Тех_вода"/>
      <sheetName val="жами_605__та_1_апрелгача"/>
      <sheetName val="Йигма_вазирл_11_ой"/>
      <sheetName val="Punkt"/>
      <sheetName val="reja"/>
      <sheetName val="Narx"/>
      <sheetName val="programma"/>
      <sheetName val="Kuritish normasi"/>
      <sheetName val="ma'lumot"/>
      <sheetName val="PK-17"/>
      <sheetName val="fiz.ton"/>
      <sheetName val="Aloxida"/>
      <sheetName val="Forish 2003"/>
      <sheetName val="oborot"/>
      <sheetName val="Yer Resurs"/>
      <sheetName val="Kuritish_normasi"/>
      <sheetName val="fiz_ton"/>
      <sheetName val="Forish_2003"/>
      <sheetName val="Min.ugit"/>
      <sheetName val="reestr dekabr"/>
      <sheetName val="List1"/>
      <sheetName val="Kuritish_normasi1"/>
      <sheetName val="fiz_ton1"/>
      <sheetName val="Forish_20031"/>
      <sheetName val="Min_ugit"/>
      <sheetName val="Yer_Resurs"/>
      <sheetName val="reestr_dekabr"/>
      <sheetName val="Kuritish_normasi2"/>
      <sheetName val="fiz_ton2"/>
      <sheetName val="Forish_20032"/>
      <sheetName val="Min_ugit1"/>
      <sheetName val="Yer_Resurs1"/>
      <sheetName val="reestr_dekabr1"/>
      <sheetName val="Kuritish_normasi3"/>
      <sheetName val="fiz_ton3"/>
      <sheetName val="Forish_20033"/>
      <sheetName val="Yer_Resurs2"/>
      <sheetName val="Min_ugit2"/>
      <sheetName val="reestr_dekabr2"/>
      <sheetName val="b 6-i"/>
      <sheetName val="List6"/>
      <sheetName val="pr"/>
      <sheetName val="BD"/>
      <sheetName val="#SSILKA"/>
      <sheetName val="Forma №2-2003"/>
      <sheetName val="inf"/>
      <sheetName val="vipolnenie"/>
      <sheetName val="adresnaya chast"/>
      <sheetName val="Plan pr-va_1"/>
      <sheetName val="Plan prodaj_1"/>
      <sheetName val="jizzax yangi raz"/>
      <sheetName val="Kuritish_normasi4"/>
      <sheetName val="fiz_ton4"/>
      <sheetName val="Forish_20034"/>
      <sheetName val="Yer_Resurs3"/>
      <sheetName val="Min_ugit3"/>
      <sheetName val="reestr_dekabr3"/>
      <sheetName val="b_6-i"/>
      <sheetName val="Forma_№2-2003"/>
      <sheetName val="adresnaya_chast"/>
      <sheetName val="PK2003"/>
      <sheetName val="pril №3 (vvod-prom)"/>
      <sheetName val="tablisa rassrochki"/>
      <sheetName val="Massiv"/>
      <sheetName val="Vozd."/>
      <sheetName val="Podacha GVS"/>
      <sheetName val="Kisl."/>
      <sheetName val="Pitevaya voda"/>
      <sheetName val="SPS-1"/>
      <sheetName val="SPS-2"/>
      <sheetName val="Tex.voda"/>
      <sheetName val="Energet"/>
      <sheetName val="VVOD"/>
      <sheetName val="jami 605  ta 1 aprelgacha"/>
      <sheetName val="Yigma vazirl 11 oy"/>
      <sheetName val="Maksam-Chirchik"/>
      <sheetName val="Plan_pr-va_1"/>
      <sheetName val="Plan_prodaj_1"/>
      <sheetName val="14301-810 sv 2 F"/>
      <sheetName val="Zan-t(r-ni)"/>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Ер Ресурс"/>
      <sheetName val="МФО руйхат"/>
      <sheetName val="оборот"/>
      <sheetName val="Банклар"/>
      <sheetName val="c"/>
      <sheetName val="Зан-ть(р-ны)"/>
      <sheetName val="Results"/>
      <sheetName val="Tit"/>
      <sheetName val="январь ойи"/>
      <sheetName val="Analysis of Interest"/>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ПАСТДАРГОМ (2)"/>
      <sheetName val="фев"/>
      <sheetName val="максади"/>
      <sheetName val="Худуд"/>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Варианты"/>
      <sheetName val="BAL"/>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фориш_свод3"/>
      <sheetName val="Фориш_20033"/>
      <sheetName val="Жиззах_янги_раз3"/>
      <sheetName val="Тохирбек_2003-13"/>
      <sheetName val="Ер_Ресурс3"/>
      <sheetName val="МФО_руйхат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ССЫЛКА"/>
      <sheetName val="инф"/>
      <sheetName val="2 доход-вариант с формулой"/>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ВВОД"/>
      <sheetName val="Data input"/>
      <sheetName val="План пр-ва_1"/>
      <sheetName val="План продаж_1"/>
      <sheetName val="Macro1"/>
      <sheetName val="Асосий майдон-уруглик"/>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БД"/>
      <sheetName val="표지"/>
      <sheetName val="설비원가"/>
      <sheetName val="f007502_18X"/>
      <sheetName val="Prog. rost tarifov"/>
      <sheetName val="СМЕТА СМР"/>
      <sheetName val="Assumptions"/>
      <sheetName val="Sensitivity 3 Yrs"/>
      <sheetName val="Charge-offs and Recoveries"/>
      <sheetName val="табли 4 местний совет"/>
      <sheetName val="экс хар"/>
      <sheetName val="выполнение"/>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Мин.угит"/>
      <sheetName val="фин.пок"/>
      <sheetName val="база"/>
      <sheetName val="баланс"/>
      <sheetName val="Cвод-2"/>
      <sheetName val="Инвестка"/>
      <sheetName val="Массив"/>
      <sheetName val="Лист1 (2)"/>
      <sheetName val="уюшмага10,09 холатига"/>
      <sheetName val="DNET"/>
      <sheetName val="Источн финансир"/>
      <sheetName val="Топливо-энергия"/>
      <sheetName val="по фермер"/>
      <sheetName val="форма №2а"/>
      <sheetName val="G1"/>
      <sheetName val="j(priv.cap)"/>
      <sheetName val="16304"/>
      <sheetName val="Ж-8."/>
      <sheetName val="реестр декабрь"/>
      <sheetName val="Кушимчага ажратиш"/>
      <sheetName val="for_tech"/>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Лист6"/>
      <sheetName val="пр"/>
      <sheetName val="для ГАКа"/>
      <sheetName val="калий"/>
      <sheetName val="транспортировка"/>
      <sheetName val="Бал"/>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Kurs"/>
      <sheetName val="14301"/>
      <sheetName val="капитал_расчет"/>
      <sheetName val="таблица рассрочки"/>
      <sheetName val="ж а м и"/>
      <sheetName val="Лист2"/>
      <sheetName val="KAT2344"/>
      <sheetName val="VH45DE(仮)"/>
      <sheetName val="機能積上げ"/>
      <sheetName val="Hardware Detail"/>
      <sheetName val="テスト環境構築"/>
      <sheetName val="大同信号現調"/>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tab 19"/>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дот"/>
      <sheetName val="Changes in Equity"/>
      <sheetName val="гай пахта"/>
      <sheetName val="sales"/>
      <sheetName val="1 Ноябр Тошкентга  (2)"/>
      <sheetName val="мароканд"/>
      <sheetName val="Svod_T1"/>
      <sheetName val="Baza_T1"/>
      <sheetName val="Svod_T1a"/>
      <sheetName val="Baza_т1а"/>
      <sheetName val="Svod_T2"/>
      <sheetName val="Baza_т2"/>
      <sheetName val="Svod_T3"/>
      <sheetName val="Baza_т3"/>
      <sheetName val="Svod_T4"/>
      <sheetName val="Baza_т4"/>
      <sheetName val="ruyhat"/>
      <sheetName val="CPIINDEX"/>
      <sheetName val="кт"/>
      <sheetName val="дт"/>
      <sheetName val="List3"/>
      <sheetName val="List25"/>
      <sheetName val="koplanmay"/>
      <sheetName val="forish svod"/>
      <sheetName val="Forish 2003"/>
      <sheetName val="Jizzax yangi raz"/>
      <sheetName val="List1"/>
      <sheetName val="reja"/>
      <sheetName val="Toxirbek 2003-1"/>
      <sheetName val="Yer Resurs"/>
      <sheetName val="MFO ruyxat"/>
      <sheetName val="oborot"/>
      <sheetName val="Banklar"/>
      <sheetName val="Zan-t(r-ni)"/>
      <sheetName val="yanvar oyi"/>
      <sheetName val="forish_svod"/>
      <sheetName val="Forish_2003"/>
      <sheetName val="Jizzax_yangi_raz"/>
      <sheetName val="Toxirbek_2003-1"/>
      <sheetName val="Yer_Resurs"/>
      <sheetName val="MFO_ruyxat"/>
      <sheetName val="yanvar_oyi"/>
      <sheetName val="fev"/>
      <sheetName val="PASTDARGOM (2)"/>
      <sheetName val="maksadi"/>
      <sheetName val="Xudud"/>
      <sheetName val="forish_svod1"/>
      <sheetName val="Forish_20031"/>
      <sheetName val="Jizzax_yangi_raz1"/>
      <sheetName val="Toxirbek_2003-11"/>
      <sheetName val="MFO_ruyxat1"/>
      <sheetName val="Yer_Resurs1"/>
      <sheetName val="yanvar_oyi1"/>
      <sheetName val="PASTDARGOM_(2)"/>
      <sheetName val="Varianti"/>
      <sheetName val="forish_svod2"/>
      <sheetName val="Forish_20032"/>
      <sheetName val="Jizzax_yangi_raz2"/>
      <sheetName val="Toxirbek_2003-12"/>
      <sheetName val="MFO_ruyxat2"/>
      <sheetName val="Yer_Resurs2"/>
      <sheetName val="yanvar_oyi2"/>
      <sheetName val="PASTDARGOM_(2)1"/>
      <sheetName val="forish_svod3"/>
      <sheetName val="Forish_20033"/>
      <sheetName val="Jizzax_yangi_raz3"/>
      <sheetName val="Toxirbek_2003-13"/>
      <sheetName val="Yer_Resurs3"/>
      <sheetName val="MFO_ruyxat3"/>
      <sheetName val="yanvar_oyi3"/>
      <sheetName val="PASTDARGOM_(2)2"/>
      <sheetName val="21 shakl"/>
      <sheetName val="forish_svod4"/>
      <sheetName val="Forish_20034"/>
      <sheetName val="Jizzax_yangi_raz4"/>
      <sheetName val="Toxirbek_2003-14"/>
      <sheetName val="Yer_Resurs4"/>
      <sheetName val="MFO_ruyxat4"/>
      <sheetName val="yanvar_oyi4"/>
      <sheetName val="PASTDARGOM_(2)3"/>
      <sheetName val="inf"/>
      <sheetName val="#SSILKA"/>
      <sheetName val="2 doxod-variant s formuloy"/>
      <sheetName val="forish_svod5"/>
      <sheetName val="Forish_20035"/>
      <sheetName val="Jizzax_yangi_raz5"/>
      <sheetName val="Toxirbek_2003-15"/>
      <sheetName val="Yer_Resurs5"/>
      <sheetName val="MFO_ruyxat5"/>
      <sheetName val="yanvar_oyi5"/>
      <sheetName val="PASTDARGOM_(2)4"/>
      <sheetName val="21_shakl"/>
      <sheetName val="3-Ilova 2"/>
      <sheetName val="kassak byudjet"/>
      <sheetName val="forish_svod6"/>
      <sheetName val="Forish_20036"/>
      <sheetName val="Jizzax_yangi_raz6"/>
      <sheetName val="Toxirbek_2003-16"/>
      <sheetName val="MFO_ruyxat6"/>
      <sheetName val="Yer_Resurs6"/>
      <sheetName val="yanvar_oyi6"/>
      <sheetName val="PASTDARGOM_(2)5"/>
      <sheetName val="21_shakl1"/>
      <sheetName val="2_doxod-variant_s_formuloy"/>
      <sheetName val="k.smeta"/>
      <sheetName val="Soderjanie"/>
      <sheetName val="Otryad  monit"/>
      <sheetName val="p2"/>
      <sheetName val="VVOD"/>
      <sheetName val="Plan pr-va_1"/>
      <sheetName val="Plan prodaj_1"/>
      <sheetName val="stoimost proekta"/>
      <sheetName val="Asosiy maydon-uruglik"/>
      <sheetName val="Tablisi_"/>
      <sheetName val="Zarplata"/>
      <sheetName val="Amortizasiya"/>
      <sheetName val="Plan pr-va"/>
      <sheetName val="tabl chuvstv"/>
      <sheetName val="Plan prodaj"/>
      <sheetName val="struktura"/>
      <sheetName val="BD"/>
      <sheetName val="фориш_свод11"/>
      <sheetName val="Фориш_200311"/>
      <sheetName val="Жиззах_янги_раз11"/>
      <sheetName val="Тохирбек_2003-111"/>
      <sheetName val="МФО_руйхат11"/>
      <sheetName val="Ер_Ресурс11"/>
      <sheetName val="январь_ойи11"/>
      <sheetName val="Analysis_of_Interest11"/>
      <sheetName val="ПАСТДАРГОМ_(2)10"/>
      <sheetName val="PV6_3_5L_LX5_GMX1709"/>
      <sheetName val="21_шакл6"/>
      <sheetName val="2_доход-вариант_с_формулой5"/>
      <sheetName val="3-Илова_24"/>
      <sheetName val="кассак_бюджет4"/>
      <sheetName val="к_смета4"/>
      <sheetName val="Отряд__монит4"/>
      <sheetName val="진행_data_(2)4"/>
      <sheetName val="Nov5_Old,New4"/>
      <sheetName val="Data_input4"/>
      <sheetName val="План_пр-ва_14"/>
      <sheetName val="План_продаж_14"/>
      <sheetName val="Асосий_майдон-уруглик4"/>
      <sheetName val="стоимость_проекта4"/>
      <sheetName val="План_пр-ва4"/>
      <sheetName val="табл_чувств4"/>
      <sheetName val="План_продаж4"/>
      <sheetName val="Prog__rost_tarifov4"/>
      <sheetName val="СМЕТА_СМР4"/>
      <sheetName val="Sensitivity_3_Yrs4"/>
      <sheetName val="Charge-offs_and_Recoveries4"/>
      <sheetName val="табли_4_местний_совет4"/>
      <sheetName val="экс_хар4"/>
      <sheetName val="фин_пок3"/>
      <sheetName val="Мин_угит3"/>
      <sheetName val="Лист1_(2)2"/>
      <sheetName val="уюшмага10,09_холатига2"/>
      <sheetName val="Источн_финансир2"/>
      <sheetName val="по_фермер2"/>
      <sheetName val="форма_№2а2"/>
      <sheetName val="j(priv_cap)2"/>
      <sheetName val="реестр_декабрь2"/>
      <sheetName val="Кушимчага_ажратиш2"/>
      <sheetName val="Ж-8_2"/>
      <sheetName val="для_ГАКа2"/>
      <sheetName val="янги"/>
      <sheetName val="эски"/>
      <sheetName val="б 6-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O4">
            <v>67.099999999999994</v>
          </cell>
        </row>
      </sheetData>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efreshError="1"/>
      <sheetData sheetId="28" refreshError="1"/>
      <sheetData sheetId="29" refreshError="1"/>
      <sheetData sheetId="30" refreshError="1"/>
      <sheetData sheetId="31" refreshError="1"/>
      <sheetData sheetId="32" refreshError="1"/>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efreshError="1"/>
      <sheetData sheetId="42" refreshError="1"/>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efreshError="1"/>
      <sheetData sheetId="74" refreshError="1"/>
      <sheetData sheetId="75" refreshError="1"/>
      <sheetData sheetId="76" refreshError="1"/>
      <sheetData sheetId="77" refreshError="1"/>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sheetData sheetId="296"/>
      <sheetData sheetId="297"/>
      <sheetData sheetId="298"/>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Банклар"/>
      <sheetName val="режа"/>
      <sheetName val="фориш_свод"/>
      <sheetName val="Фориш_2003"/>
      <sheetName val="Жиззах_янги_раз"/>
      <sheetName val="Асосий майдон-уруглик"/>
      <sheetName val="фориш_свод1"/>
      <sheetName val="Фориш_20031"/>
      <sheetName val="Жиззах_янги_раз1"/>
      <sheetName val="Асосий_майдон-уруглик"/>
      <sheetName val="выполнение"/>
      <sheetName val="оборот"/>
      <sheetName val="Мин.угит"/>
      <sheetName val="Массив"/>
      <sheetName val="#ССЫЛКА"/>
      <sheetName val="Prog. rost tarifov"/>
      <sheetName val="Ер Ресурс"/>
      <sheetName val="нокон хол"/>
      <sheetName val="Data input"/>
      <sheetName val="c"/>
      <sheetName val="Results"/>
      <sheetName val="калий"/>
      <sheetName val="Возд."/>
      <sheetName val="Подача ГВС"/>
      <sheetName val="Кисл."/>
      <sheetName val="Питьевая вода"/>
      <sheetName val="СПЦ-1"/>
      <sheetName val="СПЦ-2"/>
      <sheetName val="Тех.вода"/>
      <sheetName val="Энергет"/>
      <sheetName val="физ.тон"/>
      <sheetName val="Кушимчага ажратиш"/>
      <sheetName val="фориш_свод2"/>
      <sheetName val="Фориш_20032"/>
      <sheetName val="Жиззах_янги_раз2"/>
      <sheetName val="Асосий_майдон-уруглик1"/>
      <sheetName val="Мин_угит"/>
      <sheetName val="Prog__rost_tarifov"/>
      <sheetName val="Ер_Ресурс"/>
      <sheetName val="нокон_хол"/>
      <sheetName val="Форма №2-2003"/>
      <sheetName val="форма №2а"/>
      <sheetName val="реестр декабрь"/>
      <sheetName val="БД"/>
      <sheetName val="List3"/>
      <sheetName val="List25"/>
      <sheetName val="koplanmay"/>
      <sheetName val="forish svod"/>
      <sheetName val="Forish 2003"/>
      <sheetName val="Jizzax yangi raz"/>
      <sheetName val="List1"/>
      <sheetName val="Banklar"/>
      <sheetName val="Asosiy maydon-uruglik"/>
      <sheetName val="reja"/>
      <sheetName val="forish_svod"/>
      <sheetName val="Forish_2003"/>
      <sheetName val="Jizzax_yangi_raz"/>
      <sheetName val="forish_svod1"/>
      <sheetName val="Forish_20031"/>
      <sheetName val="Jizzax_yangi_raz1"/>
      <sheetName val="Asosiy_maydon-uruglik"/>
      <sheetName val="vipolnenie"/>
      <sheetName val="oborot"/>
      <sheetName val="Min.ugit"/>
      <sheetName val="Massiv"/>
      <sheetName val="фориш_свод3"/>
      <sheetName val="Фориш_20033"/>
      <sheetName val="Жиззах_янги_раз3"/>
      <sheetName val="Асосий_майдон-уруглик2"/>
      <sheetName val="Мин_угит1"/>
      <sheetName val="Prog__rost_tarifov1"/>
      <sheetName val="Ер_Ресурс1"/>
      <sheetName val="нокон_хол1"/>
      <sheetName val="Data_input1"/>
      <sheetName val="физ_тон1"/>
      <sheetName val="Возд_1"/>
      <sheetName val="Подача_ГВС1"/>
      <sheetName val="Кисл_1"/>
      <sheetName val="Питьевая_вода1"/>
      <sheetName val="Тех_вода1"/>
      <sheetName val="Кушимчага_ажратиш1"/>
      <sheetName val="Data_input"/>
      <sheetName val="физ_тон"/>
      <sheetName val="Возд_"/>
      <sheetName val="Подача_ГВС"/>
      <sheetName val="Кисл_"/>
      <sheetName val="Питьевая_вода"/>
      <sheetName val="Тех_вода"/>
      <sheetName val="Кушимчага_ажратиш"/>
      <sheetName val="Зан-ть(р-ны)"/>
    </sheetNames>
    <sheetDataSet>
      <sheetData sheetId="0">
        <row r="4">
          <cell r="O4">
            <v>67.099999999999994</v>
          </cell>
        </row>
      </sheetData>
      <sheetData sheetId="1">
        <row r="4">
          <cell r="O4">
            <v>67.099999999999994</v>
          </cell>
        </row>
      </sheetData>
      <sheetData sheetId="2"/>
      <sheetData sheetId="3"/>
      <sheetData sheetId="4" refreshError="1">
        <row r="4">
          <cell r="O4">
            <v>67.099999999999994</v>
          </cell>
        </row>
      </sheetData>
      <sheetData sheetId="5"/>
      <sheetData sheetId="6"/>
      <sheetData sheetId="7" refreshError="1"/>
      <sheetData sheetId="8">
        <row r="4">
          <cell r="O4">
            <v>67.099999999999994</v>
          </cell>
        </row>
      </sheetData>
      <sheetData sheetId="9">
        <row r="4">
          <cell r="O4">
            <v>67.099999999999994</v>
          </cell>
        </row>
      </sheetData>
      <sheetData sheetId="10">
        <row r="4">
          <cell r="O4">
            <v>67.099999999999994</v>
          </cell>
        </row>
      </sheetData>
      <sheetData sheetId="11">
        <row r="4">
          <cell r="O4">
            <v>67.099999999999994</v>
          </cell>
        </row>
      </sheetData>
      <sheetData sheetId="12">
        <row r="4">
          <cell r="O4">
            <v>67.099999999999994</v>
          </cell>
        </row>
      </sheetData>
      <sheetData sheetId="13"/>
      <sheetData sheetId="14">
        <row r="4">
          <cell r="O4">
            <v>67.099999999999994</v>
          </cell>
        </row>
      </sheetData>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gjnht, rjhpbyf"/>
      <sheetName val="Фориш 2003"/>
      <sheetName val="Варианты"/>
      <sheetName val="URGDSPL"/>
      <sheetName val="Лист1"/>
      <sheetName val="효율계획(당월)"/>
      <sheetName val="gjnht,_rjhpbyf"/>
      <sheetName val="Фориш_2003"/>
      <sheetName val="Results"/>
      <sheetName val="Store"/>
      <sheetName val="Трест02-28факт "/>
      <sheetName val="Зан-ть(р-ны)"/>
      <sheetName val="Тахлил туловчи"/>
      <sheetName val="BESHKENT"/>
      <sheetName val="физ.тон"/>
      <sheetName val="режа"/>
      <sheetName val="Ер Ресурс"/>
      <sheetName val="Массив"/>
      <sheetName val="????(??)"/>
      <sheetName val="Прогноз"/>
      <sheetName val="Курс"/>
      <sheetName val="Топливо-энергия"/>
      <sheetName val="____(__)"/>
      <sheetName val="gjnht,_rjhpbyf1"/>
      <sheetName val="Фориш_20031"/>
      <sheetName val="Трест02-28факт_"/>
      <sheetName val="Тахлил_туловчи"/>
      <sheetName val="gjnht,_rjhpbyf2"/>
      <sheetName val="Фориш_20032"/>
      <sheetName val="Трест02-28факт_1"/>
      <sheetName val="Тахлил_туловчи1"/>
      <sheetName val="физ_тон"/>
      <sheetName val="Ер_Ресурс"/>
      <sheetName val="gjnht,_rjhpbyf4"/>
      <sheetName val="Фориш_20034"/>
      <sheetName val="Трест02-28факт_3"/>
      <sheetName val="Тахлил_туловчи3"/>
      <sheetName val="физ_тон2"/>
      <sheetName val="Ер_Ресурс2"/>
      <sheetName val="gjnht,_rjhpbyf3"/>
      <sheetName val="Фориш_20033"/>
      <sheetName val="Трест02-28факт_2"/>
      <sheetName val="Тахлил_туловчи2"/>
      <sheetName val="физ_тон1"/>
      <sheetName val="Ер_Ресурс1"/>
      <sheetName val="жиззах янги раз"/>
      <sheetName val="ГТК_Минфин_факт"/>
      <sheetName val="gjnht,_rjhpbyf5"/>
      <sheetName val="Фориш_20035"/>
      <sheetName val="Трест02-28факт_4"/>
      <sheetName val="Тахлил_туловчи4"/>
      <sheetName val="физ_тон3"/>
      <sheetName val="Ер_Ресурс3"/>
      <sheetName val="жиззах_янги_раз"/>
      <sheetName val="KAT2344"/>
      <sheetName val="База"/>
      <sheetName val="для ГАКа"/>
      <sheetName val="Data input"/>
      <sheetName val="gjnht,_rjhpbyf6"/>
      <sheetName val="Фориш_20036"/>
      <sheetName val="Трест02-28факт_5"/>
      <sheetName val="Тахлил_туловчи5"/>
      <sheetName val="физ_тон4"/>
      <sheetName val="Ер_Ресурс4"/>
      <sheetName val="жиззах_янги_раз1"/>
      <sheetName val="для_ГАКа1"/>
      <sheetName val="для_ГАКа"/>
      <sheetName val="gjnht,_rjhpbyf7"/>
      <sheetName val="Фориш_20037"/>
      <sheetName val="Трест02-28факт_6"/>
      <sheetName val="Тахлил_туловчи6"/>
      <sheetName val="физ_тон5"/>
      <sheetName val="Ер_Ресурс5"/>
      <sheetName val="оборот"/>
      <sheetName val="ВВОД"/>
      <sheetName val="gjnht,_rjhpbyf8"/>
      <sheetName val="Фориш_20038"/>
      <sheetName val="Трест02-28факт_7"/>
      <sheetName val="Тахлил_туловчи7"/>
      <sheetName val="физ_тон6"/>
      <sheetName val="Ер_Ресурс6"/>
      <sheetName val="жиззах_янги_раз2"/>
      <sheetName val="для_ГАКа2"/>
      <sheetName val="Data_input"/>
      <sheetName val="gjnht,_rjhpbyf9"/>
      <sheetName val="Фориш_20039"/>
      <sheetName val="Трест02-28факт_8"/>
      <sheetName val="Тахлил_туловчи8"/>
      <sheetName val="физ_тон7"/>
      <sheetName val="Ер_Ресурс7"/>
      <sheetName val="жиззах_янги_раз3"/>
      <sheetName val="для_ГАКа3"/>
      <sheetName val="Data_input1"/>
      <sheetName val="План пр-ва_1"/>
      <sheetName val="План продаж_1"/>
      <sheetName val="Data_input2"/>
      <sheetName val="жиззах_янги_раз4"/>
      <sheetName val="Data_input3"/>
      <sheetName val="gjnht,_rjhpbyf10"/>
      <sheetName val="Фориш_200310"/>
      <sheetName val="Тахлил_туловчи9"/>
      <sheetName val="Трест02-28факт_9"/>
      <sheetName val="физ_тон8"/>
      <sheetName val="Ер_Ресурс8"/>
      <sheetName val="жиззах_янги_раз5"/>
      <sheetName val="для_ГАКа4"/>
      <sheetName val="Data_input4"/>
      <sheetName val="Локально-ресурсная ведомость"/>
      <sheetName val="gjnht,_rjhpbyf11"/>
      <sheetName val="Фориш_200311"/>
      <sheetName val="Трест02-28факт_10"/>
      <sheetName val="Тахлил_туловчи10"/>
      <sheetName val="физ_тон9"/>
      <sheetName val="Ер_Ресурс9"/>
      <sheetName val="для_ГАКа5"/>
      <sheetName val="Доход 2008"/>
      <sheetName val="1-шакл"/>
      <sheetName val="gjnht,_rjhpbyf13"/>
      <sheetName val="Фориш_200313"/>
      <sheetName val="Трест02-28факт_12"/>
      <sheetName val="Тахлил_туловчи12"/>
      <sheetName val="физ_тон11"/>
      <sheetName val="Ер_Ресурс11"/>
      <sheetName val="жиззах_янги_раз7"/>
      <sheetName val="для_ГАКа7"/>
      <sheetName val="Data_input6"/>
      <sheetName val="План_пр-ва_11"/>
      <sheetName val="План_продаж_11"/>
      <sheetName val="Локально-ресурсная_ведомость1"/>
      <sheetName val="gjnht,_rjhpbyf12"/>
      <sheetName val="Фориш_200312"/>
      <sheetName val="Трест02-28факт_11"/>
      <sheetName val="Тахлил_туловчи11"/>
      <sheetName val="физ_тон10"/>
      <sheetName val="Ер_Ресурс10"/>
      <sheetName val="жиззах_янги_раз6"/>
      <sheetName val="для_ГАКа6"/>
      <sheetName val="Data_input5"/>
      <sheetName val="План_пр-ва_1"/>
      <sheetName val="План_продаж_1"/>
      <sheetName val="Локально-ресурсная_ведомость"/>
      <sheetName val="баланс"/>
      <sheetName val="sheet1"/>
      <sheetName val="#ССЫЛКА"/>
      <sheetName val="БАЛАНС_новый"/>
      <sheetName val="in"/>
      <sheetName val="Main"/>
      <sheetName val="Links"/>
      <sheetName val="ErrCheck"/>
      <sheetName val="БД"/>
      <sheetName val="Лист3"/>
      <sheetName val="Лист25"/>
      <sheetName val="копланмай"/>
      <sheetName val="фориш свод"/>
      <sheetName val="инф"/>
      <sheetName val="табли 4 местний совет"/>
      <sheetName val="фев"/>
      <sheetName val="gjnht,_rjhpbyf14"/>
      <sheetName val="Фориш_200314"/>
      <sheetName val="Трест02-28факт_13"/>
      <sheetName val="Тахлил_туловчи13"/>
      <sheetName val="физ_тон12"/>
      <sheetName val="Ер_Ресурс12"/>
      <sheetName val="жиззах_янги_раз8"/>
      <sheetName val="для_ГАКа8"/>
      <sheetName val="Data_input7"/>
      <sheetName val="План_пр-ва_12"/>
      <sheetName val="План_продаж_12"/>
      <sheetName val="Локально-ресурсная_ведомость2"/>
      <sheetName val="Доход_2008"/>
      <sheetName val="Prog. rost tarifov"/>
      <sheetName val="Максам-Чирчик"/>
      <sheetName val="выполнение"/>
      <sheetName val="калий"/>
      <sheetName val="транспортировка"/>
      <sheetName val="Бал"/>
      <sheetName val="gjnht,_rjhpbyf15"/>
      <sheetName val="Фориш_200315"/>
      <sheetName val="Трест02-28факт_14"/>
      <sheetName val="Тахлил_туловчи14"/>
      <sheetName val="физ_тон13"/>
      <sheetName val="Ер_Ресурс13"/>
      <sheetName val="жиззах_янги_раз9"/>
      <sheetName val="для_ГАКа9"/>
      <sheetName val="Data_input8"/>
      <sheetName val="План_пр-ва_13"/>
      <sheetName val="План_продаж_13"/>
      <sheetName val="Локально-ресурсная_ведомость3"/>
      <sheetName val="Доход_20081"/>
      <sheetName val="Содержание"/>
      <sheetName val=" устама "/>
      <sheetName val="Лист2"/>
      <sheetName val="гай пахта"/>
      <sheetName val="Дебет"/>
      <sheetName val="Доходи линейные"/>
      <sheetName val="Oglavlenie"/>
      <sheetName val="фориш_свод"/>
      <sheetName val="табли_4_местний_совет"/>
      <sheetName val="Prog__rost_tarifov"/>
      <sheetName val="gjnht,_rjhpbyf16"/>
      <sheetName val="Фориш_200316"/>
      <sheetName val="Трест02-28факт_15"/>
      <sheetName val="Тахлил_туловчи15"/>
      <sheetName val="физ_тон14"/>
      <sheetName val="Ер_Ресурс14"/>
      <sheetName val="жиззах_янги_раз10"/>
      <sheetName val="для_ГАКа10"/>
      <sheetName val="Data_input9"/>
      <sheetName val="План_пр-ва_14"/>
      <sheetName val="План_продаж_14"/>
      <sheetName val="Локально-ресурсная_ведомость4"/>
      <sheetName val="Доход_20082"/>
      <sheetName val="фориш_свод1"/>
      <sheetName val="табли_4_местний_совет1"/>
      <sheetName val="Prog__rost_tarifov1"/>
      <sheetName val="gjnht,_rjhpbyf17"/>
      <sheetName val="Фориш_200317"/>
      <sheetName val="Трест02-28факт_16"/>
      <sheetName val="Тахлил_туловчи16"/>
      <sheetName val="физ_тон15"/>
      <sheetName val="Ер_Ресурс15"/>
      <sheetName val="жиззах_янги_раз11"/>
      <sheetName val="для_ГАКа11"/>
      <sheetName val="Data_input10"/>
      <sheetName val="План_пр-ва_15"/>
      <sheetName val="План_продаж_15"/>
      <sheetName val="Локально-ресурсная_ведомость5"/>
      <sheetName val="Доход_20083"/>
      <sheetName val="фориш_свод2"/>
      <sheetName val="табли_4_местний_совет2"/>
      <sheetName val="Prog__rost_tarifov2"/>
      <sheetName val="март"/>
      <sheetName val="Ставка"/>
      <sheetName val="tab 19"/>
      <sheetName val="сана"/>
      <sheetName val="Нокон хол"/>
      <sheetName val="Ф2-284,11"/>
      <sheetName val="б 6-и"/>
      <sheetName val="к.смета"/>
      <sheetName val="진행 data (2)"/>
      <sheetName val="Nov5 Old,New"/>
      <sheetName val="sal_meh"/>
      <sheetName val="mat"/>
      <sheetName val="ЛС-1"/>
      <sheetName val="данные"/>
      <sheetName val="_устама_"/>
      <sheetName val="Доходи_линейные"/>
      <sheetName val="гай_пахта"/>
      <sheetName val="DNET"/>
      <sheetName val="таблица рассрочки"/>
      <sheetName val="ФО"/>
      <sheetName val="Исходные данные"/>
      <sheetName val="Исходные"/>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sheetData sheetId="50"/>
      <sheetData sheetId="51"/>
      <sheetData sheetId="52"/>
      <sheetData sheetId="53"/>
      <sheetData sheetId="54"/>
      <sheetData sheetId="55" refreshError="1"/>
      <sheetData sheetId="56" refreshError="1"/>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s>
    <sheetDataSet>
      <sheetData sheetId="0"/>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ссив"/>
      <sheetName val="Svod_T1"/>
      <sheetName val="Baza_T1"/>
      <sheetName val="Svod_T1a"/>
      <sheetName val="Baza_т1а"/>
      <sheetName val="Svod_T2"/>
      <sheetName val="Baza_т2"/>
      <sheetName val="Svod_T3"/>
      <sheetName val="Baza_т3"/>
      <sheetName val="Svod_T4"/>
      <sheetName val="Baza_т4"/>
      <sheetName val="Фориш 2003"/>
      <sheetName val="режа"/>
      <sheetName val="Арн22"/>
      <sheetName val="c"/>
      <sheetName val="Макрос1"/>
      <sheetName val="Ер Ресурс"/>
      <sheetName val="Results"/>
      <sheetName val="Фориш_2003"/>
      <sheetName val="Ер_Ресурс"/>
      <sheetName val="Пункт"/>
      <sheetName val="Нарх"/>
      <sheetName val="Отряд  монит"/>
      <sheetName val="фев"/>
      <sheetName val="Варианты"/>
      <sheetName val="Мароканд"/>
      <sheetName val="#ССЫЛКА"/>
      <sheetName val="Фориш_20031"/>
      <sheetName val="Ер_Ресурс1"/>
      <sheetName val="Отряд__монит"/>
      <sheetName val="DNET"/>
      <sheetName val="Фориш_20032"/>
      <sheetName val="Ер_Ресурс2"/>
      <sheetName val="Отряд__монит1"/>
      <sheetName val="гай пахта"/>
      <sheetName val="мин.угит"/>
      <sheetName val="s"/>
      <sheetName val="Зан-ть(р-ны)"/>
      <sheetName val="Data input"/>
      <sheetName val="калий"/>
      <sheetName val="для ГАКа"/>
      <sheetName val="курс"/>
      <sheetName val="ЯнварБюджет"/>
      <sheetName val="Фориш_20033"/>
      <sheetName val="Ер_Ресурс3"/>
      <sheetName val="Отряд__монит2"/>
      <sheetName val="гай_пахта"/>
      <sheetName val="мин_угит"/>
      <sheetName val="Data_input"/>
    </sheetNames>
    <sheetDataSet>
      <sheetData sheetId="0" refreshError="1">
        <row r="9">
          <cell r="B9" t="str">
            <v>03</v>
          </cell>
          <cell r="C9" t="str">
            <v>Андижон вилояти</v>
          </cell>
        </row>
        <row r="10">
          <cell r="B10" t="str">
            <v>06</v>
          </cell>
          <cell r="C10" t="str">
            <v>Бухоро вилояти</v>
          </cell>
        </row>
        <row r="11">
          <cell r="B11" t="str">
            <v>08</v>
          </cell>
          <cell r="C11" t="str">
            <v>Жиззах вилояти</v>
          </cell>
        </row>
        <row r="12">
          <cell r="B12" t="str">
            <v>10</v>
          </cell>
          <cell r="C12" t="str">
            <v>Кашкадарё вилояти</v>
          </cell>
        </row>
        <row r="13">
          <cell r="B13" t="str">
            <v>12</v>
          </cell>
          <cell r="C13" t="str">
            <v>Навоий вилояти</v>
          </cell>
        </row>
        <row r="14">
          <cell r="B14" t="str">
            <v>14</v>
          </cell>
          <cell r="C14" t="str">
            <v>Наманган вилояти</v>
          </cell>
        </row>
        <row r="15">
          <cell r="B15" t="str">
            <v>18</v>
          </cell>
          <cell r="C15" t="str">
            <v>Самарканд вилояти</v>
          </cell>
        </row>
        <row r="16">
          <cell r="B16" t="str">
            <v>22</v>
          </cell>
          <cell r="C16" t="str">
            <v>Сурхандарё вилояти</v>
          </cell>
        </row>
        <row r="17">
          <cell r="B17" t="str">
            <v>24</v>
          </cell>
          <cell r="C17" t="str">
            <v>Сирдарё вилояти</v>
          </cell>
        </row>
        <row r="18">
          <cell r="B18" t="str">
            <v>27</v>
          </cell>
          <cell r="C18" t="str">
            <v>Тошкент вилояти</v>
          </cell>
        </row>
        <row r="19">
          <cell r="B19" t="str">
            <v>30</v>
          </cell>
          <cell r="C19" t="str">
            <v>Фаргона вилояти</v>
          </cell>
        </row>
        <row r="20">
          <cell r="B20" t="str">
            <v>33</v>
          </cell>
          <cell r="C20" t="str">
            <v>Хоразм вилояти</v>
          </cell>
        </row>
        <row r="21">
          <cell r="B21" t="str">
            <v>35</v>
          </cell>
          <cell r="C21" t="str">
            <v>Каракалпогистон Республикаси</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МФО руйхат"/>
      <sheetName val="Macro1"/>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21 шакл"/>
      <sheetName val="фориш_свод2"/>
      <sheetName val="Фориш_20032"/>
      <sheetName val="Жиззах_янги_раз2"/>
      <sheetName val="Тохирбек_2003-12"/>
      <sheetName val="Форма_№2а2"/>
      <sheetName val="МФО_руйхат2"/>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ࡳ"/>
      <sheetName val="кассак бюджет"/>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ССЫЛКА"/>
      <sheetName val="ер ресурс"/>
      <sheetName val="ГТК_Минфин_факт"/>
      <sheetName val="Отряд  монит"/>
      <sheetName val="калий"/>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б 6-и"/>
      <sheetName val="000"/>
      <sheetName val="БД"/>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Prog. rost tarifov"/>
      <sheetName val="Максам-Чирчик"/>
      <sheetName val="ЯнварБюджет"/>
      <sheetName val="Guidance"/>
      <sheetName val="Data input"/>
      <sheetName val="План пр-ва_1"/>
      <sheetName val="План продаж_1"/>
      <sheetName val="структура"/>
      <sheetName val="инф"/>
      <sheetName val="табли 4 местний совет"/>
      <sheetName val="Харажатлар"/>
      <sheetName val="tab17"/>
      <sheetName val="Топливо-энергия"/>
      <sheetName val="лой"/>
      <sheetName val="выполнение"/>
      <sheetName val="Лист1 (2)"/>
      <sheetName val="уюшмага10,09 холатига"/>
      <sheetName val="фев"/>
      <sheetName val="tab 19"/>
      <sheetName val="Control"/>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Мин.угит"/>
      <sheetName val="2001 base"/>
      <sheetName val="год_утч"/>
      <sheetName val="мфо"/>
      <sheetName val="данные"/>
      <sheetName val="реестр декабрь"/>
      <sheetName val="уюшмага10,09_холатига7"/>
      <sheetName val="MOTO"/>
      <sheetName val="BS2"/>
      <sheetName val="Лист6"/>
      <sheetName val="пр"/>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G1"/>
      <sheetName val="ПАСТДАРГОМ (2)"/>
      <sheetName val="фин.пок"/>
      <sheetName val="f007502_18X"/>
      <sheetName val="зайавка"/>
      <sheetName val="зайавка свод"/>
      <sheetName val="кредит"/>
      <sheetName val="кредит свод"/>
      <sheetName val="филиал режа"/>
      <sheetName val="Туман режа"/>
      <sheetName val="банк режа"/>
      <sheetName val="04,04"/>
      <sheetName val="зайавка свод (2)"/>
      <sheetName val="зайавка свод (3)"/>
      <sheetName val="кредит свод (2)"/>
      <sheetName val="корСчёт"/>
      <sheetName val="2975-28.04.2018"/>
      <sheetName val="Лист4"/>
      <sheetName val="дот"/>
      <sheetName val="List3"/>
      <sheetName val="List25"/>
      <sheetName val="koplanmay"/>
      <sheetName val="forish svod"/>
      <sheetName val="Forish 2003"/>
      <sheetName val="Jizzax yangi raz"/>
      <sheetName val="List1"/>
      <sheetName val="Toxirbek 2003-1"/>
      <sheetName val="Massiv"/>
      <sheetName val="svod_SvS"/>
      <sheetName val="me'yor2"/>
      <sheetName val="reja"/>
      <sheetName val="Zan-t(r-ni)"/>
      <sheetName val="Forma №2a"/>
      <sheetName val="Prognoz"/>
      <sheetName val="Marokand"/>
      <sheetName val="MFO ruyxat"/>
      <sheetName val="forish_svod"/>
      <sheetName val="Forish_2003"/>
      <sheetName val="Jizzax_yangi_raz"/>
      <sheetName val="Toxirbek_2003-1"/>
      <sheetName val="Forma_№2a"/>
      <sheetName val="MFO_ruyxat"/>
      <sheetName val="List2"/>
      <sheetName val="oborot"/>
      <sheetName val="forish_svod1"/>
      <sheetName val="Forish_20031"/>
      <sheetName val="Jizzax_yangi_raz1"/>
      <sheetName val="Toxirbek_2003-11"/>
      <sheetName val="Forma_№2a1"/>
      <sheetName val="MFO_ruyxat1"/>
      <sheetName val="21 shakl"/>
      <sheetName val="forish_svod2"/>
      <sheetName val="Forish_20032"/>
      <sheetName val="Jizzax_yangi_raz2"/>
      <sheetName val="Toxirbek_2003-12"/>
      <sheetName val="Forma_№2a2"/>
      <sheetName val="MFO_ruyxat2"/>
      <sheetName val="forish_svod3"/>
      <sheetName val="Forish_20033"/>
      <sheetName val="Jizzax_yangi_raz3"/>
      <sheetName val="Toxirbek_2003-13"/>
      <sheetName val="Forma_№2a3"/>
      <sheetName val="MFO_ruyxat3"/>
      <sheetName val="21_shakl"/>
      <sheetName val="forish_svod4"/>
      <sheetName val="Forish_20034"/>
      <sheetName val="Jizzax_yangi_raz4"/>
      <sheetName val="Toxirbek_2003-14"/>
      <sheetName val="Forma_№2a4"/>
      <sheetName val="MFO_ruyxat4"/>
      <sheetName val="21_shakl1"/>
      <sheetName val="kassak byudjet"/>
      <sheetName val="fiz.ton"/>
      <sheetName val="eks xar"/>
      <sheetName val="forish_svod5"/>
      <sheetName val="Forish_20035"/>
      <sheetName val="Jizzax_yangi_raz5"/>
      <sheetName val="Toxirbek_2003-15"/>
      <sheetName val="Forma_№2a5"/>
      <sheetName val="MFO_ruyxat5"/>
      <sheetName val="21_shakl2"/>
      <sheetName val="kassak_byudjet"/>
      <sheetName val="fiz_ton"/>
      <sheetName val="er resurs"/>
      <sheetName val="#SSILKA"/>
      <sheetName val="GTK_Minfin_fakt"/>
      <sheetName val="kaliy"/>
      <sheetName val="Otryad  monit"/>
      <sheetName val="Varianti"/>
      <sheetName val="dlya GAKa"/>
      <sheetName val="kurs"/>
      <sheetName val="parametr (formuda)"/>
      <sheetName val="фориш_свод10"/>
      <sheetName val="Фориш_200310"/>
      <sheetName val="Жиззах_янги_раз10"/>
      <sheetName val="Тохирбек_2003-110"/>
      <sheetName val="Форма_№2а10"/>
      <sheetName val="МФО_руйхат10"/>
      <sheetName val="21_шакл7"/>
      <sheetName val="кассак_бюджет5"/>
      <sheetName val="физ_тон5"/>
      <sheetName val="экс_хар4"/>
      <sheetName val="ер_ресурс4"/>
      <sheetName val="Отряд__монит4"/>
      <sheetName val="PV6_3_5L_LX5_GMX1704"/>
      <sheetName val="для_ГАКа4"/>
      <sheetName val="параметр_(формуда)4"/>
      <sheetName val="Nov5_Old,New4"/>
      <sheetName val="б_6-и3"/>
      <sheetName val="Prog__rost_tarifov3"/>
      <sheetName val="Data_input2"/>
      <sheetName val="План_пр-ва_12"/>
      <sheetName val="План_продаж_12"/>
      <sheetName val="табли_4_местний_совет2"/>
      <sheetName val="Лист1_(2)2"/>
      <sheetName val="уюшмага10,09_холатига2"/>
      <sheetName val="14301-810_св_2_F1"/>
      <sheetName val="tab_191"/>
      <sheetName val="просрочка "/>
      <sheetName val="Форма №2-2003"/>
      <sheetName val="Oglavlenie"/>
      <sheetName val="svod"/>
      <sheetName val="xodim"/>
      <sheetName val="NOMMA-NOM"/>
      <sheetName val="eski"/>
      <sheetName val="yangi"/>
      <sheetName val="Narx"/>
      <sheetName val="Punkt"/>
      <sheetName val="BD"/>
      <sheetName val="b 6-i"/>
      <sheetName val="forish_svod6"/>
      <sheetName val="Forish_20036"/>
      <sheetName val="Jizzax_yangi_raz6"/>
      <sheetName val="Toxirbek_2003-16"/>
      <sheetName val="Forma_№2a6"/>
      <sheetName val="MFO_ruyxat6"/>
      <sheetName val="21_shakl3"/>
      <sheetName val="kassak_byudjet1"/>
      <sheetName val="fiz_ton1"/>
      <sheetName val="eks_xar"/>
      <sheetName val="er_resurs"/>
      <sheetName val="Otryad__monit"/>
      <sheetName val="dlya_GAKa"/>
      <sheetName val="parametr_(formuda)"/>
      <sheetName val="Maksam-Chirchik"/>
      <sheetName val="YanvarByudjet"/>
      <sheetName val="Plan pr-va_1"/>
      <sheetName val="Plan prodaj_1"/>
      <sheetName val="struktura"/>
      <sheetName val="inf"/>
      <sheetName val="Xarajatlar"/>
      <sheetName val="tabli 4 mestniy sovet"/>
      <sheetName val="Toplivo-energiya"/>
      <sheetName val="loy"/>
      <sheetName val="List1 (2)"/>
      <sheetName val="vipolnenie"/>
      <sheetName val="uyushmaga10,09 xolatiga"/>
      <sheetName val="14301-810 sv 2 F"/>
      <sheetName val="forish_svod7"/>
      <sheetName val="Forish_20037"/>
      <sheetName val="Jizzax_yangi_raz7"/>
      <sheetName val="Toxirbek_2003-17"/>
      <sheetName val="Forma_№2a7"/>
      <sheetName val="MFO_ruyxat7"/>
      <sheetName val="21_shakl4"/>
      <sheetName val="kassak_byudjet2"/>
      <sheetName val="fiz_ton2"/>
      <sheetName val="eks_xar1"/>
      <sheetName val="er_resurs1"/>
      <sheetName val="Otryad__monit1"/>
      <sheetName val="dlya_GAKa1"/>
      <sheetName val="parametr_(formuda)1"/>
      <sheetName val="b_6-i"/>
      <sheetName val="forish_svod8"/>
      <sheetName val="Forish_20038"/>
      <sheetName val="Jizzax_yangi_raz8"/>
      <sheetName val="Toxirbek_2003-18"/>
      <sheetName val="Forma_№2a8"/>
      <sheetName val="MFO_ruyxat8"/>
      <sheetName val="21_shakl5"/>
      <sheetName val="kassak_byudjet3"/>
      <sheetName val="fiz_ton3"/>
      <sheetName val="eks_xar2"/>
      <sheetName val="er_resurs2"/>
      <sheetName val="Otryad__monit2"/>
      <sheetName val="dlya_GAKa2"/>
      <sheetName val="parametr_(formuda)2"/>
      <sheetName val="b_6-i1"/>
      <sheetName val="Plan_pr-va_1"/>
      <sheetName val="Plan_prodaj_1"/>
      <sheetName val="tabli_4_mestniy_sovet"/>
      <sheetName val="uyushmaga10,09_xolatiga"/>
      <sheetName val="List1_(2)"/>
      <sheetName val="fev"/>
      <sheetName val="baza"/>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efreshError="1"/>
      <sheetData sheetId="44">
        <row r="4">
          <cell r="O4">
            <v>67.099999999999994</v>
          </cell>
        </row>
      </sheetData>
      <sheetData sheetId="45" refreshError="1"/>
      <sheetData sheetId="46"/>
      <sheetData sheetId="47" refreshError="1"/>
      <sheetData sheetId="48" refreshError="1"/>
      <sheetData sheetId="49" refreshError="1"/>
      <sheetData sheetId="50">
        <row r="4">
          <cell r="O4">
            <v>67.099999999999994</v>
          </cell>
        </row>
      </sheetData>
      <sheetData sheetId="51">
        <row r="4">
          <cell r="O4">
            <v>67.099999999999994</v>
          </cell>
        </row>
      </sheetData>
      <sheetData sheetId="52">
        <row r="4">
          <cell r="O4">
            <v>67.099999999999994</v>
          </cell>
        </row>
      </sheetData>
      <sheetData sheetId="53"/>
      <sheetData sheetId="54"/>
      <sheetData sheetId="55"/>
      <sheetData sheetId="56"/>
      <sheetData sheetId="57">
        <row r="4">
          <cell r="O4">
            <v>67.099999999999994</v>
          </cell>
        </row>
      </sheetData>
      <sheetData sheetId="58" refreshError="1"/>
      <sheetData sheetId="59" refreshError="1"/>
      <sheetData sheetId="60" refreshError="1"/>
      <sheetData sheetId="61" refreshError="1"/>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ow r="4">
          <cell r="O4">
            <v>22</v>
          </cell>
        </row>
      </sheetData>
      <sheetData sheetId="88">
        <row r="4">
          <cell r="O4">
            <v>22</v>
          </cell>
        </row>
      </sheetData>
      <sheetData sheetId="89">
        <row r="4">
          <cell r="O4">
            <v>22</v>
          </cell>
        </row>
      </sheetData>
      <sheetData sheetId="90" refreshError="1"/>
      <sheetData sheetId="91" refreshError="1"/>
      <sheetData sheetId="92" refreshError="1"/>
      <sheetData sheetId="93" refreshError="1"/>
      <sheetData sheetId="94" refreshError="1"/>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sheetData sheetId="195"/>
      <sheetData sheetId="196"/>
      <sheetData sheetId="197"/>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Фориш 2003"/>
    </sheetNames>
    <sheetDataSet>
      <sheetData sheetId="0"/>
      <sheetData sheetId="1" refreshError="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Массив"/>
      <sheetName val="Арн"/>
      <sheetName val="жиз"/>
      <sheetName val="Пах"/>
      <sheetName val="МФО руйхат"/>
      <sheetName val="s"/>
      <sheetName val="Лист2"/>
      <sheetName val="c"/>
      <sheetName val="DNET"/>
      <sheetName val="Ер Ресурс"/>
      <sheetName val="Results"/>
      <sheetName val="акт_сверка"/>
      <sheetName val="Куритиш_нормаси"/>
      <sheetName val="Фориш_2003"/>
      <sheetName val="МФО_руйхат"/>
      <sheetName val="Ер_Ресурс"/>
      <sheetName val="MIN-MAX"/>
      <sheetName val="Prog. rost tarifov"/>
      <sheetName val="21 шакл"/>
      <sheetName val="табли 4 местний совет"/>
      <sheetName val="акт_сверка1"/>
      <sheetName val="Куритиш_нормаси1"/>
      <sheetName val="Фориш_20031"/>
      <sheetName val="МФО_руйхат1"/>
      <sheetName val="Ер_Ресурс1"/>
      <sheetName val="Prog__rost_tarifov"/>
      <sheetName val="свод_СвС"/>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Опс партия 2005-2этап"/>
      <sheetName val="акт_сверка2"/>
      <sheetName val="Куритиш_нормаси2"/>
      <sheetName val="Фориш_20032"/>
      <sheetName val="МФО_руйхат2"/>
      <sheetName val="Ер_Ресурс2"/>
      <sheetName val="Prog__rost_tarifov1"/>
      <sheetName val="21_шакл"/>
      <sheetName val="табли_4_местний_совет"/>
      <sheetName val="Опс_партия_2005-2этап"/>
      <sheetName val="для_ГАКа"/>
      <sheetName val="год_(2)"/>
      <sheetName val="МЛРД_3"/>
      <sheetName val="МЛРД_2"/>
      <sheetName val="МЛРД_1"/>
      <sheetName val="ОКДАРЁ (3)"/>
      <sheetName val="акт_сверка3"/>
      <sheetName val="Куритиш_нормаси3"/>
      <sheetName val="Фориш_20033"/>
      <sheetName val="МФО_руйхат3"/>
      <sheetName val="Ер_Ресурс3"/>
      <sheetName val="Prog__rost_tarifov2"/>
      <sheetName val="21_шакл1"/>
      <sheetName val="табли_4_местний_совет1"/>
      <sheetName val="для_ГАКа1"/>
      <sheetName val="год_(2)1"/>
      <sheetName val="МЛРД_31"/>
      <sheetName val="МЛРД_21"/>
      <sheetName val="МЛРД_11"/>
      <sheetName val="Опс_партия_2005-2этап1"/>
      <sheetName val="ОКДАРЁ_(3)"/>
      <sheetName val="фев"/>
      <sheetName val="акт_сверка4"/>
      <sheetName val="Куритиш_нормаси4"/>
      <sheetName val="Фориш_20034"/>
      <sheetName val="МФО_руйхат4"/>
      <sheetName val="Ер_Ресурс4"/>
      <sheetName val="Prog__rost_tarifov3"/>
      <sheetName val="21_шакл2"/>
      <sheetName val="табли_4_местний_совет2"/>
      <sheetName val="для_ГАКа2"/>
      <sheetName val="год_(2)2"/>
      <sheetName val="МЛРД_32"/>
      <sheetName val="МЛРД_22"/>
      <sheetName val="МЛРД_12"/>
      <sheetName val="Опс_партия_2005-2этап2"/>
      <sheetName val="ОКДАРЁ_(3)1"/>
      <sheetName val="уюшмага10,09 холатига"/>
      <sheetName val="Зан-ть(р-ны)"/>
      <sheetName val="ВВОД"/>
      <sheetName val="акт_сверка5"/>
      <sheetName val="Куритиш_нормаси5"/>
      <sheetName val="Фориш_20035"/>
      <sheetName val="МФО_руйхат5"/>
      <sheetName val="Ер_Ресурс5"/>
      <sheetName val="Prog__rost_tarifov4"/>
      <sheetName val="21_шакл3"/>
      <sheetName val="табли_4_местний_совет3"/>
      <sheetName val="Опс_партия_2005-2этап3"/>
      <sheetName val="для_ГАКа3"/>
      <sheetName val="год_(2)3"/>
      <sheetName val="МЛРД_33"/>
      <sheetName val="МЛРД_23"/>
      <sheetName val="МЛРД_13"/>
      <sheetName val="ОКДАРЁ_(3)2"/>
      <sheetName val="уюшмага10,09_холатига"/>
      <sheetName val="NA6502"/>
      <sheetName val="оборот"/>
      <sheetName val="меъёр2"/>
      <sheetName val="23220 (обший)"/>
      <sheetName val="63- протокол (4)"/>
      <sheetName val="ИСХОД. ДАННЫЕ"/>
      <sheetName val="зарплата"/>
      <sheetName val="beshkent"/>
      <sheetName val="комбинации"/>
      <sheetName val="реализация"/>
      <sheetName val="цсип"/>
      <sheetName val="Исходные1"/>
      <sheetName val="Форма №2а"/>
      <sheetName val="Data input"/>
      <sheetName val="Prog.!rost!tar)fnv"/>
      <sheetName val="аԺт_сверкᐰ"/>
      <sheetName val="Ъуритиш_ноీмаси"/>
      <sheetName val="МФО_Հу␹葅ат"/>
      <sheetName val="ер_Ресృрх"/>
      <sheetName val="진행 data (2)"/>
      <sheetName val="руйхат"/>
      <sheetName val="ЯнварБюджет"/>
      <sheetName val="Отряд  монит"/>
      <sheetName val="BAL"/>
      <sheetName val="структура"/>
      <sheetName val="14301"/>
      <sheetName val="Максам-Чирчик"/>
      <sheetName val="янги"/>
      <sheetName val="эски"/>
      <sheetName val="мин.угит"/>
      <sheetName val="Гай пахта"/>
      <sheetName val="План пр-ва_1"/>
      <sheetName val="План продаж_1"/>
      <sheetName val="жиззах янги раз"/>
      <sheetName val="акт_сверка6"/>
      <sheetName val="Куритиш_нормаси6"/>
      <sheetName val="Фориш_20036"/>
      <sheetName val="МФО_руйхат6"/>
      <sheetName val="Ер_Ресурс6"/>
      <sheetName val="Prog__rost_tarifov5"/>
      <sheetName val="21_шакл4"/>
      <sheetName val="табли_4_местний_совет4"/>
      <sheetName val="Опс_партия_2005-2этап4"/>
      <sheetName val="для_ГАКа4"/>
      <sheetName val="год_(2)4"/>
      <sheetName val="МЛРД_34"/>
      <sheetName val="МЛРД_24"/>
      <sheetName val="МЛРД_14"/>
      <sheetName val="ОКДАРЁ_(3)3"/>
      <sheetName val="уюшмага10,09_холатига1"/>
      <sheetName val="23220_(обший)"/>
      <sheetName val="63-_протокол_(4)"/>
      <sheetName val="ИСХОД__ДАННЫЕ"/>
      <sheetName val="Форма_№2а"/>
      <sheetName val="Data_input"/>
      <sheetName val="진행_data_(2)"/>
      <sheetName val="Prog_!rost!tar)fnv"/>
      <sheetName val="калий"/>
      <sheetName val="ГТК_Минфин_факт"/>
      <sheetName val="Прогноз"/>
      <sheetName val="Отряд__монит"/>
      <sheetName val="Гай_пахта"/>
      <sheetName val="мин_угит"/>
      <sheetName val="жиззах_янги_раз"/>
      <sheetName val="f007502_18X"/>
      <sheetName val="БД"/>
      <sheetName val="2-жадвал свод"/>
      <sheetName val="Summary"/>
      <sheetName val="инф"/>
      <sheetName val="Мароканд"/>
      <sheetName val="Store"/>
      <sheetName val="курс"/>
      <sheetName val="Варианты"/>
      <sheetName val="Лист1 (2)"/>
      <sheetName val="Асосий майдон-уруглик"/>
      <sheetName val="Йигма вазирл 11 ой"/>
      <sheetName val="weight"/>
      <sheetName val="Расчёт цены сырья"/>
      <sheetName val="акт_сверка7"/>
      <sheetName val="Куритиш_нормаси7"/>
      <sheetName val="Фориш_20037"/>
      <sheetName val="МФО_руйхат7"/>
      <sheetName val="Ер_Ресурс7"/>
      <sheetName val="Prog__rost_tarifov6"/>
      <sheetName val="21_шакл5"/>
      <sheetName val="табли_4_местний_совет5"/>
      <sheetName val="для_ГАКа5"/>
      <sheetName val="год_(2)5"/>
      <sheetName val="МЛРД_35"/>
      <sheetName val="МЛРД_25"/>
      <sheetName val="МЛРД_15"/>
      <sheetName val="Опс_партия_2005-2этап5"/>
      <sheetName val="ОКДАРЁ_(3)4"/>
      <sheetName val="уюшмага10,09_холатига2"/>
      <sheetName val="63-_протокол_(4)1"/>
      <sheetName val="23220_(обший)1"/>
      <sheetName val="ИСХОД__ДАННЫЕ1"/>
      <sheetName val="Форма_№2а1"/>
      <sheetName val="Data_input1"/>
      <sheetName val="진행_data_(2)1"/>
      <sheetName val="Prog_!rost!tar)fnv1"/>
      <sheetName val="Отряд__монит1"/>
      <sheetName val="Гай_пахта1"/>
      <sheetName val="мин_угит1"/>
      <sheetName val="жиззах_янги_раз1"/>
      <sheetName val="План_пр-ва_1"/>
      <sheetName val="План_продаж_1"/>
      <sheetName val="кассак бюджет"/>
      <sheetName val="акт_сверка8"/>
      <sheetName val="Куритиш_нормаси8"/>
      <sheetName val="Фориш_20038"/>
      <sheetName val="МФО_руйхат8"/>
      <sheetName val="Ер_Ресурс8"/>
      <sheetName val="Prog__rost_tarifov7"/>
      <sheetName val="табли_4_местний_совет6"/>
      <sheetName val="21_шакл6"/>
      <sheetName val="Опс_партия_2005-2этап6"/>
      <sheetName val="для_ГАКа6"/>
      <sheetName val="год_(2)6"/>
      <sheetName val="МЛРД_36"/>
      <sheetName val="МЛРД_26"/>
      <sheetName val="МЛРД_16"/>
      <sheetName val="ОКДАРЁ_(3)5"/>
      <sheetName val="уюшмага10,09_холатига3"/>
      <sheetName val="ИСХОД__ДАННЫЕ2"/>
      <sheetName val="23220_(обший)2"/>
      <sheetName val="63-_протокол_(4)2"/>
      <sheetName val="진행_data_(2)2"/>
      <sheetName val="Форма_№2а2"/>
      <sheetName val="Data_input2"/>
      <sheetName val="Prog_!rost!tar)fnv2"/>
      <sheetName val="Отряд__монит2"/>
      <sheetName val="Гай_пахта2"/>
      <sheetName val="мин_угит2"/>
      <sheetName val="жиззах_янги_раз2"/>
      <sheetName val="План_пр-ва_11"/>
      <sheetName val="План_продаж_11"/>
      <sheetName val="2-жадвал_свод"/>
      <sheetName val="кассак_бюджет"/>
      <sheetName val="Лист1_(2)"/>
      <sheetName val="Асосий_майдон-уруглик"/>
      <sheetName val="Йигма_вазирл_11_ой"/>
      <sheetName val="Расчёт_цены_сырья"/>
      <sheetName val="000"/>
      <sheetName val="#ССЫЛКА"/>
      <sheetName val="база"/>
      <sheetName val="физ.тон"/>
      <sheetName val="Платёжка"/>
      <sheetName val="Лист4"/>
      <sheetName val="Форма №2-2003"/>
      <sheetName val="Олт"/>
      <sheetName val="sheet1"/>
      <sheetName val="граф"/>
      <sheetName val="транш"/>
      <sheetName val="акт_сверка9"/>
      <sheetName val="Куритиш_нормаси9"/>
      <sheetName val="Фориш_20039"/>
      <sheetName val="МФО_руйхат9"/>
      <sheetName val="Ер_Ресурс9"/>
      <sheetName val="Prog__rost_tarifov8"/>
      <sheetName val="табли_4_местний_совет7"/>
      <sheetName val="21_шакл7"/>
      <sheetName val="Опс_партия_2005-2этап7"/>
      <sheetName val="для_ГАКа7"/>
      <sheetName val="год_(2)7"/>
      <sheetName val="МЛРД_37"/>
      <sheetName val="МЛРД_27"/>
      <sheetName val="МЛРД_17"/>
      <sheetName val="ОКДАРЁ_(3)6"/>
      <sheetName val="уюшмага10,09_холатига4"/>
      <sheetName val="ИСХОД__ДАННЫЕ3"/>
      <sheetName val="23220_(обший)3"/>
      <sheetName val="63-_протокол_(4)3"/>
      <sheetName val="Форма_№2а3"/>
      <sheetName val="진행_data_(2)3"/>
      <sheetName val="Data_input3"/>
      <sheetName val="Prog_!rost!tar)fnv3"/>
      <sheetName val="Отряд__монит3"/>
      <sheetName val="мин_угит3"/>
      <sheetName val="Гай_пахта3"/>
      <sheetName val="План_пр-ва_12"/>
      <sheetName val="План_продаж_12"/>
      <sheetName val="жиззах_янги_раз3"/>
      <sheetName val="2-жадвал_свод1"/>
      <sheetName val="Лист1_(2)1"/>
      <sheetName val="Асосий_майдон-уруглик1"/>
      <sheetName val="кассак_бюджет1"/>
      <sheetName val="Йигма_вазирл_11_ой1"/>
      <sheetName val="Расчёт_цены_сырья1"/>
      <sheetName val="План пр-ва"/>
      <sheetName val="План продаж"/>
      <sheetName val="sales"/>
      <sheetName val="ПАСТДАРГОМ (2)"/>
      <sheetName val="выполнение"/>
      <sheetName val="Guidance"/>
      <sheetName val="c summary"/>
      <sheetName val="Indic"/>
      <sheetName val="akt sverka"/>
      <sheetName val="Ushlanma"/>
      <sheetName val="forma"/>
      <sheetName val="reja"/>
      <sheetName val="Narx"/>
      <sheetName val="programma"/>
      <sheetName val="ma'lumot"/>
      <sheetName val="PK-17"/>
      <sheetName val="Punkt"/>
      <sheetName val="Kuritish normasi"/>
      <sheetName val="terimpul"/>
      <sheetName val="Forish 2003"/>
      <sheetName val="Massiv"/>
      <sheetName val="Arn"/>
      <sheetName val="jiz"/>
      <sheetName val="Pax"/>
      <sheetName val="MFO ruyxat"/>
      <sheetName val="List2"/>
      <sheetName val="Yer Resurs"/>
      <sheetName val="akt_sverka"/>
      <sheetName val="Kuritish_normasi"/>
      <sheetName val="Forish_2003"/>
      <sheetName val="MFO_ruyxat"/>
      <sheetName val="Yer_Resurs"/>
      <sheetName val="21 shakl"/>
      <sheetName val="tabli 4 mestniy sovet"/>
      <sheetName val="akt_sverka1"/>
      <sheetName val="Kuritish_normasi1"/>
      <sheetName val="Forish_20031"/>
      <sheetName val="MFO_ruyxat1"/>
      <sheetName val="Yer_Resurs1"/>
      <sheetName val="svod_SvS"/>
      <sheetName val="dlya GAKa"/>
      <sheetName val="List1"/>
      <sheetName val="I-polugodie"/>
      <sheetName val="god (2)"/>
      <sheetName val="god"/>
      <sheetName val="II-polugodie"/>
      <sheetName val="MLRD 3"/>
      <sheetName val="MLRD 2"/>
      <sheetName val="MLRD 1"/>
      <sheetName val="MLRD"/>
      <sheetName val="SVOD"/>
      <sheetName val="Karbamid"/>
      <sheetName val="AS"/>
      <sheetName val="DAS"/>
      <sheetName val="XMD"/>
      <sheetName val="Ops partiya 2005-2etap"/>
      <sheetName val="akt_sverka2"/>
      <sheetName val="Kuritish_normasi2"/>
      <sheetName val="Forish_20032"/>
      <sheetName val="MFO_ruyxat2"/>
      <sheetName val="Yer_Resurs2"/>
      <sheetName val="21_shakl"/>
      <sheetName val="tabli_4_mestniy_sovet"/>
      <sheetName val="Ops_partiya_2005-2etap"/>
      <sheetName val="dlya_GAKa"/>
      <sheetName val="god_(2)"/>
      <sheetName val="MLRD_3"/>
      <sheetName val="MLRD_2"/>
      <sheetName val="MLRD_1"/>
      <sheetName val="OKDARYo (3)"/>
      <sheetName val="akt_sverka3"/>
      <sheetName val="Kuritish_normasi3"/>
      <sheetName val="Forish_20033"/>
      <sheetName val="MFO_ruyxat3"/>
      <sheetName val="Yer_Resurs3"/>
      <sheetName val="21_shakl1"/>
      <sheetName val="tabli_4_mestniy_sovet1"/>
      <sheetName val="dlya_GAKa1"/>
      <sheetName val="god_(2)1"/>
      <sheetName val="MLRD_31"/>
      <sheetName val="MLRD_21"/>
      <sheetName val="MLRD_11"/>
      <sheetName val="Ops_partiya_2005-2etap1"/>
      <sheetName val="OKDARYo_(3)"/>
      <sheetName val="fev"/>
      <sheetName val="akt_sverka4"/>
      <sheetName val="Kuritish_normasi4"/>
      <sheetName val="Forish_20034"/>
      <sheetName val="MFO_ruyxat4"/>
      <sheetName val="Yer_Resurs4"/>
      <sheetName val="21_shakl2"/>
      <sheetName val="tabli_4_mestniy_sovet2"/>
      <sheetName val="dlya_GAKa2"/>
      <sheetName val="god_(2)2"/>
      <sheetName val="MLRD_32"/>
      <sheetName val="MLRD_22"/>
      <sheetName val="MLRD_12"/>
      <sheetName val="Ops_partiya_2005-2etap2"/>
      <sheetName val="OKDARYo_(3)1"/>
      <sheetName val="uyushmaga10,09 xolatiga"/>
      <sheetName val="Zan-t(r-ni)"/>
      <sheetName val="VVOD"/>
      <sheetName val="akt_sverka5"/>
      <sheetName val="Kuritish_normasi5"/>
      <sheetName val="Forish_20035"/>
      <sheetName val="MFO_ruyxat5"/>
      <sheetName val="Yer_Resurs5"/>
      <sheetName val="21_shakl3"/>
      <sheetName val="tabli_4_mestniy_sovet3"/>
      <sheetName val="Ops_partiya_2005-2etap3"/>
      <sheetName val="dlya_GAKa3"/>
      <sheetName val="god_(2)3"/>
      <sheetName val="MLRD_33"/>
      <sheetName val="MLRD_23"/>
      <sheetName val="MLRD_13"/>
      <sheetName val="OKDARYo_(3)2"/>
      <sheetName val="uyushmaga10,09_xolatiga"/>
      <sheetName val="oborot"/>
      <sheetName val="me'yor2"/>
      <sheetName val="63- protokol (4)"/>
      <sheetName val="23220 (obshiy)"/>
      <sheetName val="ISXOD. DANNIYe"/>
      <sheetName val="zarplata"/>
      <sheetName val="kombinasii"/>
      <sheetName val="realizasiya"/>
      <sheetName val="ssip"/>
      <sheetName val="Isxodnie1"/>
      <sheetName val="Forma №2a"/>
      <sheetName val="aԺt_sverkᐰ"/>
      <sheetName val="'uritish_noీmasi"/>
      <sheetName val="MFO_Հu␹葅at"/>
      <sheetName val="er_Resృrx"/>
      <sheetName val="ruyxat"/>
      <sheetName val="YanvarByudjet"/>
      <sheetName val="Otryad  monit"/>
      <sheetName val="struktura"/>
      <sheetName val="Maksam-Chirchik"/>
      <sheetName val="акт_сверка10"/>
      <sheetName val="Куритиш_нормаси10"/>
      <sheetName val="Фориш_200310"/>
      <sheetName val="МФО_руйхат10"/>
      <sheetName val="Ер_Ресурс10"/>
      <sheetName val="Prog__rost_tarifov9"/>
      <sheetName val="21_шакл8"/>
      <sheetName val="табли_4_местний_совет8"/>
      <sheetName val="Опс_партия_2005-2этап8"/>
      <sheetName val="для_ГАКа8"/>
      <sheetName val="год_(2)8"/>
      <sheetName val="МЛРД_38"/>
      <sheetName val="МЛРД_28"/>
      <sheetName val="МЛРД_18"/>
      <sheetName val="ОКДАРЁ_(3)7"/>
      <sheetName val="уюшмага10,09_холатига5"/>
      <sheetName val="23220_(обший)4"/>
      <sheetName val="63-_протокол_(4)4"/>
      <sheetName val="ИСХОД__ДАННЫЕ4"/>
      <sheetName val="Форма_№2а4"/>
      <sheetName val="Data_input4"/>
      <sheetName val="Prog_!rost!tar)fnv4"/>
      <sheetName val="진행_data_(2)4"/>
      <sheetName val="Отряд__монит4"/>
      <sheetName val="мин_угит4"/>
      <sheetName val="Гай_пахта4"/>
      <sheetName val="жиззах_янги_раз4"/>
      <sheetName val="План_пр-ва_13"/>
      <sheetName val="План_продаж_13"/>
      <sheetName val="2-жадвал_свод2"/>
      <sheetName val="Лист1_(2)2"/>
      <sheetName val="Асосий_майдон-уруглик2"/>
      <sheetName val="Йигма_вазирл_11_ой2"/>
      <sheetName val="Расчёт_цены_сырья2"/>
      <sheetName val="кассак_бюджет2"/>
      <sheetName val="16304"/>
      <sheetName val="yangi"/>
      <sheetName val="eski"/>
      <sheetName val="min.ugit"/>
      <sheetName val="Gay paxta"/>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efreshError="1">
        <row r="1">
          <cell r="A1" t="str">
            <v>ключ</v>
          </cell>
          <cell r="B1" t="str">
            <v>Нав</v>
          </cell>
          <cell r="C1" t="str">
            <v>Сорт</v>
          </cell>
          <cell r="D1" t="str">
            <v>Синф</v>
          </cell>
          <cell r="E1" t="str">
            <v>Нарх</v>
          </cell>
          <cell r="F1" t="str">
            <v>Тола</v>
          </cell>
          <cell r="G1" t="str">
            <v>Чигит</v>
          </cell>
          <cell r="H1" t="str">
            <v>Момик</v>
          </cell>
          <cell r="I1" t="str">
            <v>Улюксод</v>
          </cell>
          <cell r="J1" t="str">
            <v>Пухосод</v>
          </cell>
          <cell r="K1" t="str">
            <v>Угары</v>
          </cell>
          <cell r="L1" t="str">
            <v>Нам_нор</v>
          </cell>
          <cell r="M1" t="str">
            <v>Ифл_нор</v>
          </cell>
          <cell r="N1" t="str">
            <v>Нам_расч</v>
          </cell>
          <cell r="O1" t="str">
            <v>Ифл_расч</v>
          </cell>
          <cell r="P1" t="str">
            <v>кртзк</v>
          </cell>
        </row>
        <row r="2">
          <cell r="A2" t="str">
            <v>Бух-611</v>
          </cell>
          <cell r="B2" t="str">
            <v>Бух-6</v>
          </cell>
          <cell r="C2">
            <v>1</v>
          </cell>
          <cell r="D2">
            <v>1</v>
          </cell>
          <cell r="E2">
            <v>145740</v>
          </cell>
          <cell r="F2">
            <v>33.200000000000003</v>
          </cell>
          <cell r="G2">
            <v>55.7</v>
          </cell>
          <cell r="H2">
            <v>3.1</v>
          </cell>
          <cell r="I2">
            <v>0.7</v>
          </cell>
          <cell r="J2">
            <v>2.6</v>
          </cell>
          <cell r="K2">
            <v>4.7</v>
          </cell>
          <cell r="L2">
            <v>9</v>
          </cell>
          <cell r="M2">
            <v>3</v>
          </cell>
          <cell r="N2">
            <v>9</v>
          </cell>
          <cell r="O2">
            <v>2</v>
          </cell>
          <cell r="P2">
            <v>1.02</v>
          </cell>
        </row>
        <row r="3">
          <cell r="A3" t="str">
            <v>Бух-612</v>
          </cell>
          <cell r="B3" t="str">
            <v>Бух-6</v>
          </cell>
          <cell r="C3">
            <v>1</v>
          </cell>
          <cell r="D3">
            <v>2</v>
          </cell>
          <cell r="E3">
            <v>142010</v>
          </cell>
          <cell r="F3">
            <v>32.700000000000003</v>
          </cell>
          <cell r="G3">
            <v>55.4</v>
          </cell>
          <cell r="H3">
            <v>3.1</v>
          </cell>
          <cell r="I3">
            <v>0.7</v>
          </cell>
          <cell r="J3">
            <v>2.6</v>
          </cell>
          <cell r="K3">
            <v>5.5000000000000142</v>
          </cell>
          <cell r="L3">
            <v>12</v>
          </cell>
          <cell r="M3">
            <v>10</v>
          </cell>
          <cell r="N3">
            <v>9</v>
          </cell>
          <cell r="O3">
            <v>2</v>
          </cell>
          <cell r="P3">
            <v>1.02</v>
          </cell>
        </row>
        <row r="4">
          <cell r="A4" t="str">
            <v>Бух-613</v>
          </cell>
          <cell r="B4" t="str">
            <v>Бух-6</v>
          </cell>
          <cell r="C4">
            <v>1</v>
          </cell>
          <cell r="D4">
            <v>3</v>
          </cell>
          <cell r="E4">
            <v>113600</v>
          </cell>
          <cell r="F4">
            <v>32.5</v>
          </cell>
          <cell r="G4">
            <v>55.4</v>
          </cell>
          <cell r="H4">
            <v>3.1</v>
          </cell>
          <cell r="I4">
            <v>0.7</v>
          </cell>
          <cell r="J4">
            <v>2.6</v>
          </cell>
          <cell r="K4">
            <v>5.7</v>
          </cell>
          <cell r="L4">
            <v>14</v>
          </cell>
          <cell r="M4">
            <v>16</v>
          </cell>
          <cell r="N4">
            <v>9</v>
          </cell>
          <cell r="O4">
            <v>2</v>
          </cell>
          <cell r="P4">
            <v>1.02</v>
          </cell>
        </row>
        <row r="5">
          <cell r="A5" t="str">
            <v>Бух-621</v>
          </cell>
          <cell r="B5" t="str">
            <v>Бух-6</v>
          </cell>
          <cell r="C5">
            <v>2</v>
          </cell>
          <cell r="D5">
            <v>1</v>
          </cell>
          <cell r="E5">
            <v>126000</v>
          </cell>
          <cell r="F5">
            <v>31.8</v>
          </cell>
          <cell r="G5">
            <v>54</v>
          </cell>
          <cell r="H5">
            <v>3.3</v>
          </cell>
          <cell r="I5">
            <v>0.9</v>
          </cell>
          <cell r="J5">
            <v>3.3</v>
          </cell>
          <cell r="K5">
            <v>6.7</v>
          </cell>
          <cell r="L5">
            <v>10</v>
          </cell>
          <cell r="M5">
            <v>5</v>
          </cell>
          <cell r="N5">
            <v>9</v>
          </cell>
          <cell r="O5">
            <v>2</v>
          </cell>
          <cell r="P5">
            <v>1.02</v>
          </cell>
        </row>
        <row r="6">
          <cell r="A6" t="str">
            <v>Бух-622</v>
          </cell>
          <cell r="B6" t="str">
            <v>Бух-6</v>
          </cell>
          <cell r="C6">
            <v>2</v>
          </cell>
          <cell r="D6">
            <v>2</v>
          </cell>
          <cell r="E6">
            <v>122260</v>
          </cell>
          <cell r="F6">
            <v>31.1</v>
          </cell>
          <cell r="G6">
            <v>53.8</v>
          </cell>
          <cell r="H6">
            <v>3.3</v>
          </cell>
          <cell r="I6">
            <v>0.9</v>
          </cell>
          <cell r="J6">
            <v>3.3</v>
          </cell>
          <cell r="K6">
            <v>7.5999999999999943</v>
          </cell>
          <cell r="L6">
            <v>13</v>
          </cell>
          <cell r="M6">
            <v>10</v>
          </cell>
          <cell r="N6">
            <v>9</v>
          </cell>
          <cell r="O6">
            <v>2</v>
          </cell>
          <cell r="P6">
            <v>1.02</v>
          </cell>
        </row>
        <row r="7">
          <cell r="A7" t="str">
            <v>Бух-623</v>
          </cell>
          <cell r="B7" t="str">
            <v>Бух-6</v>
          </cell>
          <cell r="C7">
            <v>2</v>
          </cell>
          <cell r="D7">
            <v>3</v>
          </cell>
          <cell r="E7">
            <v>112400</v>
          </cell>
          <cell r="F7">
            <v>30.7</v>
          </cell>
          <cell r="G7">
            <v>53.8</v>
          </cell>
          <cell r="H7">
            <v>3.3</v>
          </cell>
          <cell r="I7">
            <v>0.9</v>
          </cell>
          <cell r="J7">
            <v>3.3</v>
          </cell>
          <cell r="K7">
            <v>8</v>
          </cell>
          <cell r="L7">
            <v>16</v>
          </cell>
          <cell r="M7">
            <v>16</v>
          </cell>
          <cell r="N7">
            <v>9</v>
          </cell>
          <cell r="O7">
            <v>2</v>
          </cell>
          <cell r="P7">
            <v>1.02</v>
          </cell>
        </row>
        <row r="8">
          <cell r="A8" t="str">
            <v>Бух-631</v>
          </cell>
          <cell r="B8" t="str">
            <v>Бух-6</v>
          </cell>
          <cell r="C8">
            <v>3</v>
          </cell>
          <cell r="D8">
            <v>1</v>
          </cell>
          <cell r="E8">
            <v>116670</v>
          </cell>
          <cell r="F8">
            <v>30.5</v>
          </cell>
          <cell r="G8">
            <v>51.1</v>
          </cell>
          <cell r="H8">
            <v>3.7</v>
          </cell>
          <cell r="I8">
            <v>1</v>
          </cell>
          <cell r="J8">
            <v>3.8</v>
          </cell>
          <cell r="K8">
            <v>9.9000000000000057</v>
          </cell>
          <cell r="L8">
            <v>11</v>
          </cell>
          <cell r="M8">
            <v>8</v>
          </cell>
          <cell r="N8">
            <v>9</v>
          </cell>
          <cell r="O8">
            <v>2</v>
          </cell>
          <cell r="P8">
            <v>1.02</v>
          </cell>
        </row>
        <row r="9">
          <cell r="A9" t="str">
            <v>Бух-632</v>
          </cell>
          <cell r="B9" t="str">
            <v>Бух-6</v>
          </cell>
          <cell r="C9">
            <v>3</v>
          </cell>
          <cell r="D9">
            <v>2</v>
          </cell>
          <cell r="E9">
            <v>103820</v>
          </cell>
          <cell r="F9">
            <v>28.9</v>
          </cell>
          <cell r="G9">
            <v>50.8</v>
          </cell>
          <cell r="H9">
            <v>3.7</v>
          </cell>
          <cell r="I9">
            <v>1</v>
          </cell>
          <cell r="J9">
            <v>3.8</v>
          </cell>
          <cell r="K9">
            <v>11.8</v>
          </cell>
          <cell r="L9">
            <v>15</v>
          </cell>
          <cell r="M9">
            <v>12</v>
          </cell>
          <cell r="N9">
            <v>9</v>
          </cell>
          <cell r="O9">
            <v>2</v>
          </cell>
          <cell r="P9">
            <v>1.02</v>
          </cell>
        </row>
        <row r="10">
          <cell r="A10" t="str">
            <v>Бух-633</v>
          </cell>
          <cell r="B10" t="str">
            <v>Бух-6</v>
          </cell>
          <cell r="C10">
            <v>3</v>
          </cell>
          <cell r="D10">
            <v>3</v>
          </cell>
          <cell r="E10">
            <v>73510</v>
          </cell>
          <cell r="F10">
            <v>28.7</v>
          </cell>
          <cell r="G10">
            <v>50.8</v>
          </cell>
          <cell r="H10">
            <v>3.7</v>
          </cell>
          <cell r="I10">
            <v>1</v>
          </cell>
          <cell r="J10">
            <v>3.8</v>
          </cell>
          <cell r="K10">
            <v>12</v>
          </cell>
          <cell r="L10">
            <v>18</v>
          </cell>
          <cell r="M10">
            <v>18</v>
          </cell>
          <cell r="N10">
            <v>9</v>
          </cell>
          <cell r="O10">
            <v>2</v>
          </cell>
          <cell r="P10">
            <v>1.02</v>
          </cell>
        </row>
        <row r="11">
          <cell r="A11" t="str">
            <v>Бух-641</v>
          </cell>
          <cell r="B11" t="str">
            <v>Бух-6</v>
          </cell>
          <cell r="C11">
            <v>4</v>
          </cell>
          <cell r="D11">
            <v>1</v>
          </cell>
          <cell r="E11">
            <v>86970</v>
          </cell>
          <cell r="F11">
            <v>28.1</v>
          </cell>
          <cell r="G11">
            <v>49.6</v>
          </cell>
          <cell r="H11">
            <v>4</v>
          </cell>
          <cell r="I11">
            <v>1.4</v>
          </cell>
          <cell r="J11">
            <v>3.9</v>
          </cell>
          <cell r="K11">
            <v>13</v>
          </cell>
          <cell r="L11">
            <v>13</v>
          </cell>
          <cell r="M11">
            <v>12</v>
          </cell>
          <cell r="N11">
            <v>9</v>
          </cell>
          <cell r="O11">
            <v>2</v>
          </cell>
          <cell r="P11">
            <v>1.02</v>
          </cell>
        </row>
        <row r="12">
          <cell r="A12" t="str">
            <v>Бух-642</v>
          </cell>
          <cell r="B12" t="str">
            <v>Бух-6</v>
          </cell>
          <cell r="C12">
            <v>4</v>
          </cell>
          <cell r="D12">
            <v>2</v>
          </cell>
          <cell r="E12">
            <v>67390</v>
          </cell>
          <cell r="F12">
            <v>27.6</v>
          </cell>
          <cell r="G12">
            <v>49.1</v>
          </cell>
          <cell r="H12">
            <v>4</v>
          </cell>
          <cell r="I12">
            <v>1.4</v>
          </cell>
          <cell r="J12">
            <v>3.9</v>
          </cell>
          <cell r="K12">
            <v>14</v>
          </cell>
          <cell r="L12">
            <v>17</v>
          </cell>
          <cell r="M12">
            <v>16</v>
          </cell>
          <cell r="N12">
            <v>9</v>
          </cell>
          <cell r="O12">
            <v>2</v>
          </cell>
          <cell r="P12">
            <v>1.02</v>
          </cell>
        </row>
        <row r="13">
          <cell r="A13" t="str">
            <v>Бух-643</v>
          </cell>
          <cell r="B13" t="str">
            <v>Бух-6</v>
          </cell>
          <cell r="C13">
            <v>4</v>
          </cell>
          <cell r="D13">
            <v>3</v>
          </cell>
          <cell r="E13">
            <v>51470</v>
          </cell>
          <cell r="F13">
            <v>27.3</v>
          </cell>
          <cell r="G13">
            <v>49.1</v>
          </cell>
          <cell r="H13">
            <v>4</v>
          </cell>
          <cell r="I13">
            <v>1.4</v>
          </cell>
          <cell r="J13">
            <v>3.9</v>
          </cell>
          <cell r="K13">
            <v>14.3</v>
          </cell>
          <cell r="L13">
            <v>20</v>
          </cell>
          <cell r="M13">
            <v>20</v>
          </cell>
          <cell r="N13">
            <v>9</v>
          </cell>
          <cell r="O13">
            <v>2</v>
          </cell>
          <cell r="P13">
            <v>1.02</v>
          </cell>
        </row>
        <row r="14">
          <cell r="A14" t="str">
            <v>Бух-653</v>
          </cell>
          <cell r="B14" t="str">
            <v>Бух-6</v>
          </cell>
          <cell r="C14">
            <v>5</v>
          </cell>
          <cell r="D14">
            <v>3</v>
          </cell>
          <cell r="E14">
            <v>36120</v>
          </cell>
          <cell r="F14">
            <v>26.3</v>
          </cell>
          <cell r="G14">
            <v>48.7</v>
          </cell>
          <cell r="H14">
            <v>5</v>
          </cell>
          <cell r="I14">
            <v>1.4</v>
          </cell>
          <cell r="J14">
            <v>3.9</v>
          </cell>
          <cell r="K14">
            <v>14.7</v>
          </cell>
          <cell r="L14">
            <v>22</v>
          </cell>
          <cell r="M14">
            <v>22</v>
          </cell>
          <cell r="N14">
            <v>9</v>
          </cell>
          <cell r="O14">
            <v>2</v>
          </cell>
          <cell r="P14">
            <v>1.02</v>
          </cell>
        </row>
        <row r="15">
          <cell r="A15" t="str">
            <v>С-652411</v>
          </cell>
          <cell r="B15" t="str">
            <v>С-6524</v>
          </cell>
          <cell r="C15">
            <v>1</v>
          </cell>
          <cell r="D15">
            <v>1</v>
          </cell>
          <cell r="E15">
            <v>154459.29999999999</v>
          </cell>
          <cell r="F15">
            <v>32.700000000000003</v>
          </cell>
          <cell r="G15">
            <v>55.5</v>
          </cell>
          <cell r="H15">
            <v>2.2000000000000002</v>
          </cell>
          <cell r="I15">
            <v>1.1000000000000001</v>
          </cell>
          <cell r="J15">
            <v>2.5</v>
          </cell>
          <cell r="K15">
            <v>6</v>
          </cell>
          <cell r="L15">
            <v>9</v>
          </cell>
          <cell r="M15">
            <v>3</v>
          </cell>
          <cell r="N15">
            <v>9</v>
          </cell>
          <cell r="O15">
            <v>2</v>
          </cell>
          <cell r="P15">
            <v>1</v>
          </cell>
        </row>
        <row r="16">
          <cell r="A16" t="str">
            <v>С-652412</v>
          </cell>
          <cell r="B16" t="str">
            <v>С-6524</v>
          </cell>
          <cell r="C16">
            <v>1</v>
          </cell>
          <cell r="D16">
            <v>2</v>
          </cell>
          <cell r="E16">
            <v>150570.79999999999</v>
          </cell>
          <cell r="F16">
            <v>32</v>
          </cell>
          <cell r="G16">
            <v>55</v>
          </cell>
          <cell r="H16">
            <v>2.2000000000000002</v>
          </cell>
          <cell r="I16">
            <v>1.1000000000000001</v>
          </cell>
          <cell r="J16">
            <v>2.5</v>
          </cell>
          <cell r="K16">
            <v>7.2</v>
          </cell>
          <cell r="L16">
            <v>12</v>
          </cell>
          <cell r="M16">
            <v>10</v>
          </cell>
          <cell r="N16">
            <v>9</v>
          </cell>
          <cell r="O16">
            <v>2</v>
          </cell>
          <cell r="P16">
            <v>1</v>
          </cell>
        </row>
        <row r="17">
          <cell r="A17" t="str">
            <v>С-652413</v>
          </cell>
          <cell r="B17" t="str">
            <v>С-6524</v>
          </cell>
          <cell r="C17">
            <v>1</v>
          </cell>
          <cell r="D17">
            <v>3</v>
          </cell>
          <cell r="E17">
            <v>120493</v>
          </cell>
          <cell r="F17">
            <v>31.6</v>
          </cell>
          <cell r="G17">
            <v>55</v>
          </cell>
          <cell r="H17">
            <v>2.2999999999999998</v>
          </cell>
          <cell r="I17">
            <v>1.1000000000000001</v>
          </cell>
          <cell r="J17">
            <v>2.5</v>
          </cell>
          <cell r="K17">
            <v>7.5000000000000142</v>
          </cell>
          <cell r="L17">
            <v>14</v>
          </cell>
          <cell r="M17">
            <v>16</v>
          </cell>
          <cell r="N17">
            <v>9</v>
          </cell>
          <cell r="O17">
            <v>2</v>
          </cell>
          <cell r="P17">
            <v>1</v>
          </cell>
        </row>
        <row r="18">
          <cell r="A18" t="str">
            <v>С-652421</v>
          </cell>
          <cell r="B18" t="str">
            <v>С-6524</v>
          </cell>
          <cell r="C18">
            <v>2</v>
          </cell>
          <cell r="D18">
            <v>1</v>
          </cell>
          <cell r="E18">
            <v>133602.79999999999</v>
          </cell>
          <cell r="F18">
            <v>31.5</v>
          </cell>
          <cell r="G18">
            <v>54.2</v>
          </cell>
          <cell r="H18">
            <v>2.5</v>
          </cell>
          <cell r="I18">
            <v>1.1000000000000001</v>
          </cell>
          <cell r="J18">
            <v>2.6</v>
          </cell>
          <cell r="K18">
            <v>8.1000000000000085</v>
          </cell>
          <cell r="L18">
            <v>10</v>
          </cell>
          <cell r="M18">
            <v>5</v>
          </cell>
          <cell r="N18">
            <v>9</v>
          </cell>
          <cell r="O18">
            <v>2</v>
          </cell>
          <cell r="P18">
            <v>1</v>
          </cell>
        </row>
        <row r="19">
          <cell r="A19" t="str">
            <v>С-652422</v>
          </cell>
          <cell r="B19" t="str">
            <v>С-6524</v>
          </cell>
          <cell r="C19">
            <v>2</v>
          </cell>
          <cell r="D19">
            <v>2</v>
          </cell>
          <cell r="E19">
            <v>129613.3</v>
          </cell>
          <cell r="F19">
            <v>30.3</v>
          </cell>
          <cell r="G19">
            <v>53.7</v>
          </cell>
          <cell r="H19">
            <v>2.5</v>
          </cell>
          <cell r="I19">
            <v>1.1000000000000001</v>
          </cell>
          <cell r="J19">
            <v>2.6</v>
          </cell>
          <cell r="K19">
            <v>9.8000000000000114</v>
          </cell>
          <cell r="L19">
            <v>13</v>
          </cell>
          <cell r="M19">
            <v>10</v>
          </cell>
          <cell r="N19">
            <v>9</v>
          </cell>
          <cell r="O19">
            <v>2</v>
          </cell>
          <cell r="P19">
            <v>1</v>
          </cell>
        </row>
        <row r="20">
          <cell r="A20" t="str">
            <v>С-652423</v>
          </cell>
          <cell r="B20" t="str">
            <v>С-6524</v>
          </cell>
          <cell r="C20">
            <v>2</v>
          </cell>
          <cell r="D20">
            <v>3</v>
          </cell>
          <cell r="E20">
            <v>119180</v>
          </cell>
          <cell r="F20">
            <v>30</v>
          </cell>
          <cell r="G20">
            <v>53.7</v>
          </cell>
          <cell r="H20">
            <v>2.5</v>
          </cell>
          <cell r="I20">
            <v>1.1000000000000001</v>
          </cell>
          <cell r="J20">
            <v>2.6</v>
          </cell>
          <cell r="K20">
            <v>10.1</v>
          </cell>
          <cell r="L20">
            <v>16</v>
          </cell>
          <cell r="M20">
            <v>16</v>
          </cell>
          <cell r="N20">
            <v>9</v>
          </cell>
          <cell r="O20">
            <v>2</v>
          </cell>
          <cell r="P20">
            <v>1</v>
          </cell>
        </row>
        <row r="21">
          <cell r="A21" t="str">
            <v>С-652431</v>
          </cell>
          <cell r="B21" t="str">
            <v>С-6524</v>
          </cell>
          <cell r="C21">
            <v>3</v>
          </cell>
          <cell r="D21">
            <v>1</v>
          </cell>
          <cell r="E21">
            <v>123785.60000000001</v>
          </cell>
          <cell r="F21">
            <v>29.4</v>
          </cell>
          <cell r="G21">
            <v>52.3</v>
          </cell>
          <cell r="H21">
            <v>2.9</v>
          </cell>
          <cell r="I21">
            <v>1.3</v>
          </cell>
          <cell r="J21">
            <v>3.6</v>
          </cell>
          <cell r="K21">
            <v>10.5</v>
          </cell>
          <cell r="L21">
            <v>11</v>
          </cell>
          <cell r="M21">
            <v>8</v>
          </cell>
          <cell r="N21">
            <v>9</v>
          </cell>
          <cell r="O21">
            <v>2</v>
          </cell>
          <cell r="P21">
            <v>1</v>
          </cell>
        </row>
        <row r="22">
          <cell r="A22" t="str">
            <v>С-652432</v>
          </cell>
          <cell r="B22" t="str">
            <v>С-6524</v>
          </cell>
          <cell r="C22">
            <v>3</v>
          </cell>
          <cell r="D22">
            <v>2</v>
          </cell>
          <cell r="E22">
            <v>110140.5</v>
          </cell>
          <cell r="F22">
            <v>28.6</v>
          </cell>
          <cell r="G22">
            <v>52</v>
          </cell>
          <cell r="H22">
            <v>2.9</v>
          </cell>
          <cell r="I22">
            <v>1.3</v>
          </cell>
          <cell r="J22">
            <v>3.6</v>
          </cell>
          <cell r="K22">
            <v>11.6</v>
          </cell>
          <cell r="L22">
            <v>15</v>
          </cell>
          <cell r="M22">
            <v>12</v>
          </cell>
          <cell r="N22">
            <v>9</v>
          </cell>
          <cell r="O22">
            <v>2</v>
          </cell>
          <cell r="P22">
            <v>1</v>
          </cell>
        </row>
        <row r="23">
          <cell r="A23" t="str">
            <v>С-652433</v>
          </cell>
          <cell r="B23" t="str">
            <v>С-6524</v>
          </cell>
          <cell r="C23">
            <v>3</v>
          </cell>
          <cell r="D23">
            <v>3</v>
          </cell>
          <cell r="E23">
            <v>77911.399999999994</v>
          </cell>
          <cell r="F23">
            <v>28.3</v>
          </cell>
          <cell r="G23">
            <v>52</v>
          </cell>
          <cell r="H23">
            <v>2.9</v>
          </cell>
          <cell r="I23">
            <v>1.3</v>
          </cell>
          <cell r="J23">
            <v>3.6</v>
          </cell>
          <cell r="K23">
            <v>11.9</v>
          </cell>
          <cell r="L23">
            <v>18</v>
          </cell>
          <cell r="M23">
            <v>18</v>
          </cell>
          <cell r="N23">
            <v>9</v>
          </cell>
          <cell r="O23">
            <v>2</v>
          </cell>
          <cell r="P23">
            <v>1</v>
          </cell>
        </row>
        <row r="24">
          <cell r="A24" t="str">
            <v>С-652441</v>
          </cell>
          <cell r="B24" t="str">
            <v>С-6524</v>
          </cell>
          <cell r="C24">
            <v>4</v>
          </cell>
          <cell r="D24">
            <v>1</v>
          </cell>
          <cell r="E24">
            <v>92263.5</v>
          </cell>
          <cell r="F24">
            <v>26.9</v>
          </cell>
          <cell r="G24">
            <v>51.2</v>
          </cell>
          <cell r="H24">
            <v>3.3</v>
          </cell>
          <cell r="I24">
            <v>1.6</v>
          </cell>
          <cell r="J24">
            <v>3.9</v>
          </cell>
          <cell r="K24">
            <v>13.1</v>
          </cell>
          <cell r="L24">
            <v>13</v>
          </cell>
          <cell r="M24">
            <v>12</v>
          </cell>
          <cell r="N24">
            <v>9</v>
          </cell>
          <cell r="O24">
            <v>2</v>
          </cell>
          <cell r="P24">
            <v>1</v>
          </cell>
        </row>
        <row r="25">
          <cell r="A25" t="str">
            <v>С-652442</v>
          </cell>
          <cell r="B25" t="str">
            <v>С-6524</v>
          </cell>
          <cell r="C25">
            <v>4</v>
          </cell>
          <cell r="D25">
            <v>2</v>
          </cell>
          <cell r="E25">
            <v>71447.399999999994</v>
          </cell>
          <cell r="F25">
            <v>26.5</v>
          </cell>
          <cell r="G25">
            <v>50.7</v>
          </cell>
          <cell r="H25">
            <v>3.3</v>
          </cell>
          <cell r="I25">
            <v>1.6</v>
          </cell>
          <cell r="J25">
            <v>3.9</v>
          </cell>
          <cell r="K25">
            <v>14</v>
          </cell>
          <cell r="L25">
            <v>17</v>
          </cell>
          <cell r="M25">
            <v>16</v>
          </cell>
          <cell r="N25">
            <v>9</v>
          </cell>
          <cell r="O25">
            <v>2</v>
          </cell>
          <cell r="P25">
            <v>1</v>
          </cell>
        </row>
        <row r="26">
          <cell r="A26" t="str">
            <v>С-652443</v>
          </cell>
          <cell r="B26" t="str">
            <v>С-6524</v>
          </cell>
          <cell r="C26">
            <v>4</v>
          </cell>
          <cell r="D26">
            <v>3</v>
          </cell>
          <cell r="E26">
            <v>54560.2</v>
          </cell>
          <cell r="F26">
            <v>26.1</v>
          </cell>
          <cell r="G26">
            <v>50.2</v>
          </cell>
          <cell r="H26">
            <v>3.3</v>
          </cell>
          <cell r="I26">
            <v>1.6</v>
          </cell>
          <cell r="J26">
            <v>3.9</v>
          </cell>
          <cell r="K26">
            <v>14.9</v>
          </cell>
          <cell r="L26">
            <v>20</v>
          </cell>
          <cell r="M26">
            <v>20</v>
          </cell>
          <cell r="N26">
            <v>9</v>
          </cell>
          <cell r="O26">
            <v>2</v>
          </cell>
          <cell r="P26">
            <v>1</v>
          </cell>
        </row>
        <row r="27">
          <cell r="A27" t="str">
            <v>С-652453</v>
          </cell>
          <cell r="B27" t="str">
            <v>С-6524</v>
          </cell>
          <cell r="C27">
            <v>5</v>
          </cell>
          <cell r="D27">
            <v>3</v>
          </cell>
          <cell r="E27">
            <v>38248.699999999997</v>
          </cell>
          <cell r="F27">
            <v>25.5</v>
          </cell>
          <cell r="G27">
            <v>50.1</v>
          </cell>
          <cell r="H27">
            <v>3.4</v>
          </cell>
          <cell r="I27">
            <v>1.8</v>
          </cell>
          <cell r="J27">
            <v>4</v>
          </cell>
          <cell r="K27">
            <v>15.2</v>
          </cell>
          <cell r="L27">
            <v>22</v>
          </cell>
          <cell r="M27">
            <v>22</v>
          </cell>
          <cell r="N27">
            <v>9</v>
          </cell>
          <cell r="O27">
            <v>2</v>
          </cell>
          <cell r="P27">
            <v>1</v>
          </cell>
        </row>
        <row r="28">
          <cell r="A28" t="str">
            <v>Окдарё611</v>
          </cell>
          <cell r="B28" t="str">
            <v>Окдарё6</v>
          </cell>
          <cell r="C28">
            <v>1</v>
          </cell>
          <cell r="D28">
            <v>1</v>
          </cell>
          <cell r="E28">
            <v>295040</v>
          </cell>
          <cell r="F28">
            <v>34.5</v>
          </cell>
          <cell r="G28">
            <v>55.5</v>
          </cell>
          <cell r="H28">
            <v>2</v>
          </cell>
          <cell r="I28">
            <v>0.8</v>
          </cell>
          <cell r="J28">
            <v>2.4</v>
          </cell>
          <cell r="K28">
            <v>4.8</v>
          </cell>
          <cell r="L28">
            <v>9</v>
          </cell>
          <cell r="M28">
            <v>3</v>
          </cell>
          <cell r="N28">
            <v>9</v>
          </cell>
          <cell r="O28">
            <v>2</v>
          </cell>
          <cell r="P28">
            <v>1</v>
          </cell>
        </row>
        <row r="29">
          <cell r="A29" t="str">
            <v>Окдарё612</v>
          </cell>
          <cell r="B29" t="str">
            <v>Окдарё6</v>
          </cell>
          <cell r="C29">
            <v>1</v>
          </cell>
          <cell r="D29">
            <v>2</v>
          </cell>
          <cell r="E29">
            <v>287380</v>
          </cell>
          <cell r="F29">
            <v>34.200000000000003</v>
          </cell>
          <cell r="G29">
            <v>55.2</v>
          </cell>
          <cell r="H29">
            <v>2</v>
          </cell>
          <cell r="I29">
            <v>0.8</v>
          </cell>
          <cell r="J29">
            <v>2.4</v>
          </cell>
          <cell r="K29">
            <v>5.3999999999999915</v>
          </cell>
          <cell r="L29">
            <v>12</v>
          </cell>
          <cell r="M29">
            <v>10</v>
          </cell>
          <cell r="N29">
            <v>9</v>
          </cell>
          <cell r="O29">
            <v>2</v>
          </cell>
          <cell r="P29">
            <v>1</v>
          </cell>
        </row>
        <row r="30">
          <cell r="A30" t="str">
            <v>Окдарё613</v>
          </cell>
          <cell r="B30" t="str">
            <v>Окдарё6</v>
          </cell>
          <cell r="C30">
            <v>1</v>
          </cell>
          <cell r="D30">
            <v>3</v>
          </cell>
          <cell r="E30">
            <v>230010</v>
          </cell>
          <cell r="F30">
            <v>33.700000000000003</v>
          </cell>
          <cell r="G30">
            <v>55.2</v>
          </cell>
          <cell r="H30">
            <v>2</v>
          </cell>
          <cell r="I30">
            <v>0.8</v>
          </cell>
          <cell r="J30">
            <v>2.4</v>
          </cell>
          <cell r="K30">
            <v>5.8999999999999915</v>
          </cell>
          <cell r="L30">
            <v>14</v>
          </cell>
          <cell r="M30">
            <v>16</v>
          </cell>
          <cell r="N30">
            <v>9</v>
          </cell>
          <cell r="O30">
            <v>2</v>
          </cell>
          <cell r="P30">
            <v>1</v>
          </cell>
        </row>
        <row r="31">
          <cell r="A31" t="str">
            <v>Окдарё621</v>
          </cell>
          <cell r="B31" t="str">
            <v>Окдарё6</v>
          </cell>
          <cell r="C31">
            <v>2</v>
          </cell>
          <cell r="D31">
            <v>1</v>
          </cell>
          <cell r="E31">
            <v>255000</v>
          </cell>
          <cell r="F31">
            <v>33.1</v>
          </cell>
          <cell r="G31">
            <v>54.6</v>
          </cell>
          <cell r="H31">
            <v>2.7</v>
          </cell>
          <cell r="I31">
            <v>1</v>
          </cell>
          <cell r="J31">
            <v>2.5</v>
          </cell>
          <cell r="K31">
            <v>6.0999999999999943</v>
          </cell>
          <cell r="L31">
            <v>10</v>
          </cell>
          <cell r="M31">
            <v>5</v>
          </cell>
          <cell r="N31">
            <v>9</v>
          </cell>
          <cell r="O31">
            <v>2</v>
          </cell>
          <cell r="P31">
            <v>1</v>
          </cell>
        </row>
        <row r="32">
          <cell r="A32" t="str">
            <v>Окдарё622</v>
          </cell>
          <cell r="B32" t="str">
            <v>Окдарё6</v>
          </cell>
          <cell r="C32">
            <v>2</v>
          </cell>
          <cell r="D32">
            <v>2</v>
          </cell>
          <cell r="E32">
            <v>247350</v>
          </cell>
          <cell r="F32">
            <v>32.5</v>
          </cell>
          <cell r="G32">
            <v>54.1</v>
          </cell>
          <cell r="H32">
            <v>2.7</v>
          </cell>
          <cell r="I32">
            <v>1</v>
          </cell>
          <cell r="J32">
            <v>2.5</v>
          </cell>
          <cell r="K32">
            <v>7.2</v>
          </cell>
          <cell r="L32">
            <v>13</v>
          </cell>
          <cell r="M32">
            <v>10</v>
          </cell>
          <cell r="N32">
            <v>9</v>
          </cell>
          <cell r="O32">
            <v>2</v>
          </cell>
          <cell r="P32">
            <v>1</v>
          </cell>
        </row>
        <row r="33">
          <cell r="A33" t="str">
            <v>Окдарё623</v>
          </cell>
          <cell r="B33" t="str">
            <v>Окдарё6</v>
          </cell>
          <cell r="C33">
            <v>2</v>
          </cell>
          <cell r="D33">
            <v>3</v>
          </cell>
          <cell r="E33">
            <v>227460</v>
          </cell>
          <cell r="F33">
            <v>31.8</v>
          </cell>
          <cell r="G33">
            <v>54.1</v>
          </cell>
          <cell r="H33">
            <v>2.7</v>
          </cell>
          <cell r="I33">
            <v>1</v>
          </cell>
          <cell r="J33">
            <v>2.5</v>
          </cell>
          <cell r="K33">
            <v>7.8999999999999915</v>
          </cell>
          <cell r="L33">
            <v>16</v>
          </cell>
          <cell r="M33">
            <v>16</v>
          </cell>
          <cell r="N33">
            <v>9</v>
          </cell>
          <cell r="O33">
            <v>2</v>
          </cell>
          <cell r="P33">
            <v>1</v>
          </cell>
        </row>
        <row r="34">
          <cell r="A34" t="str">
            <v>Окдарё631</v>
          </cell>
          <cell r="B34" t="str">
            <v>Окдарё6</v>
          </cell>
          <cell r="C34">
            <v>3</v>
          </cell>
          <cell r="D34">
            <v>1</v>
          </cell>
          <cell r="E34">
            <v>236130</v>
          </cell>
          <cell r="F34">
            <v>31.5</v>
          </cell>
          <cell r="G34">
            <v>52</v>
          </cell>
          <cell r="H34">
            <v>3.1</v>
          </cell>
          <cell r="I34">
            <v>1.2</v>
          </cell>
          <cell r="J34">
            <v>3.2</v>
          </cell>
          <cell r="K34">
            <v>9</v>
          </cell>
          <cell r="L34">
            <v>11</v>
          </cell>
          <cell r="M34">
            <v>8</v>
          </cell>
          <cell r="N34">
            <v>9</v>
          </cell>
          <cell r="O34">
            <v>2</v>
          </cell>
          <cell r="P34">
            <v>1</v>
          </cell>
        </row>
        <row r="35">
          <cell r="A35" t="str">
            <v>Окдарё632</v>
          </cell>
          <cell r="B35" t="str">
            <v>Окдарё6</v>
          </cell>
          <cell r="C35">
            <v>3</v>
          </cell>
          <cell r="D35">
            <v>2</v>
          </cell>
          <cell r="E35">
            <v>210120</v>
          </cell>
          <cell r="F35">
            <v>30.4</v>
          </cell>
          <cell r="G35">
            <v>51.7</v>
          </cell>
          <cell r="H35">
            <v>3.1</v>
          </cell>
          <cell r="I35">
            <v>1.2</v>
          </cell>
          <cell r="J35">
            <v>3.2</v>
          </cell>
          <cell r="K35">
            <v>10.4</v>
          </cell>
          <cell r="L35">
            <v>15</v>
          </cell>
          <cell r="M35">
            <v>12</v>
          </cell>
          <cell r="N35">
            <v>9</v>
          </cell>
          <cell r="O35">
            <v>2</v>
          </cell>
          <cell r="P35">
            <v>1</v>
          </cell>
        </row>
        <row r="36">
          <cell r="A36" t="str">
            <v>Окдарё633</v>
          </cell>
          <cell r="B36" t="str">
            <v>Окдарё6</v>
          </cell>
          <cell r="C36">
            <v>3</v>
          </cell>
          <cell r="D36">
            <v>3</v>
          </cell>
          <cell r="E36">
            <v>148660</v>
          </cell>
          <cell r="F36">
            <v>29.9</v>
          </cell>
          <cell r="G36">
            <v>51.7</v>
          </cell>
          <cell r="H36">
            <v>3.1</v>
          </cell>
          <cell r="I36">
            <v>1.2</v>
          </cell>
          <cell r="J36">
            <v>3.2</v>
          </cell>
          <cell r="K36">
            <v>10.9</v>
          </cell>
          <cell r="L36">
            <v>18</v>
          </cell>
          <cell r="M36">
            <v>18</v>
          </cell>
          <cell r="N36">
            <v>9</v>
          </cell>
          <cell r="O36">
            <v>2</v>
          </cell>
          <cell r="P36">
            <v>1</v>
          </cell>
        </row>
        <row r="37">
          <cell r="A37" t="str">
            <v>Окдарё641</v>
          </cell>
          <cell r="B37" t="str">
            <v>Окдарё6</v>
          </cell>
          <cell r="C37">
            <v>4</v>
          </cell>
          <cell r="D37">
            <v>1</v>
          </cell>
          <cell r="E37">
            <v>175950</v>
          </cell>
          <cell r="F37">
            <v>29.1</v>
          </cell>
          <cell r="G37">
            <v>50.2</v>
          </cell>
          <cell r="H37">
            <v>4.2</v>
          </cell>
          <cell r="I37">
            <v>1.2</v>
          </cell>
          <cell r="J37">
            <v>3.4</v>
          </cell>
          <cell r="K37">
            <v>11.9</v>
          </cell>
          <cell r="L37">
            <v>13</v>
          </cell>
          <cell r="M37">
            <v>12</v>
          </cell>
          <cell r="N37">
            <v>9</v>
          </cell>
          <cell r="O37">
            <v>2</v>
          </cell>
          <cell r="P37">
            <v>1</v>
          </cell>
        </row>
        <row r="38">
          <cell r="A38" t="str">
            <v>Окдарё642</v>
          </cell>
          <cell r="B38" t="str">
            <v>Окдарё6</v>
          </cell>
          <cell r="C38">
            <v>4</v>
          </cell>
          <cell r="D38">
            <v>2</v>
          </cell>
          <cell r="E38">
            <v>136420</v>
          </cell>
          <cell r="F38">
            <v>28.8</v>
          </cell>
          <cell r="G38">
            <v>49.8</v>
          </cell>
          <cell r="H38">
            <v>4.2</v>
          </cell>
          <cell r="I38">
            <v>1.2</v>
          </cell>
          <cell r="J38">
            <v>3.4</v>
          </cell>
          <cell r="K38">
            <v>12.6</v>
          </cell>
          <cell r="L38">
            <v>17</v>
          </cell>
          <cell r="M38">
            <v>16</v>
          </cell>
          <cell r="N38">
            <v>9</v>
          </cell>
          <cell r="O38">
            <v>2</v>
          </cell>
          <cell r="P38">
            <v>1</v>
          </cell>
        </row>
        <row r="39">
          <cell r="A39" t="str">
            <v>Окдарё643</v>
          </cell>
          <cell r="B39" t="str">
            <v>Окдарё6</v>
          </cell>
          <cell r="C39">
            <v>4</v>
          </cell>
          <cell r="D39">
            <v>3</v>
          </cell>
          <cell r="E39">
            <v>104300</v>
          </cell>
          <cell r="F39">
            <v>28.3</v>
          </cell>
          <cell r="G39">
            <v>49.3</v>
          </cell>
          <cell r="H39">
            <v>4.2</v>
          </cell>
          <cell r="I39">
            <v>1.2</v>
          </cell>
          <cell r="J39">
            <v>3.4</v>
          </cell>
          <cell r="K39">
            <v>13.6</v>
          </cell>
          <cell r="L39">
            <v>20</v>
          </cell>
          <cell r="M39">
            <v>20</v>
          </cell>
          <cell r="N39">
            <v>9</v>
          </cell>
          <cell r="O39">
            <v>2</v>
          </cell>
          <cell r="P39">
            <v>1</v>
          </cell>
        </row>
        <row r="40">
          <cell r="A40" t="str">
            <v>Окдарё653</v>
          </cell>
          <cell r="B40" t="str">
            <v>Окдарё6</v>
          </cell>
          <cell r="C40">
            <v>5</v>
          </cell>
          <cell r="D40">
            <v>3</v>
          </cell>
          <cell r="E40">
            <v>73180</v>
          </cell>
          <cell r="F40">
            <v>27.4</v>
          </cell>
          <cell r="G40">
            <v>48.8</v>
          </cell>
          <cell r="H40">
            <v>4.7</v>
          </cell>
          <cell r="I40">
            <v>1.3</v>
          </cell>
          <cell r="J40">
            <v>3.5</v>
          </cell>
          <cell r="K40">
            <v>14.3</v>
          </cell>
          <cell r="L40">
            <v>22</v>
          </cell>
          <cell r="M40">
            <v>22</v>
          </cell>
          <cell r="N40">
            <v>9</v>
          </cell>
          <cell r="O40">
            <v>2</v>
          </cell>
          <cell r="P40">
            <v>1</v>
          </cell>
        </row>
        <row r="41">
          <cell r="A41" t="str">
            <v>С-907011</v>
          </cell>
          <cell r="B41" t="str">
            <v>С-9070</v>
          </cell>
          <cell r="C41">
            <v>1</v>
          </cell>
          <cell r="D41">
            <v>1</v>
          </cell>
          <cell r="E41">
            <v>145740</v>
          </cell>
          <cell r="F41">
            <v>31.5</v>
          </cell>
          <cell r="G41">
            <v>55.6</v>
          </cell>
          <cell r="H41">
            <v>4.3</v>
          </cell>
          <cell r="I41">
            <v>1.6</v>
          </cell>
          <cell r="J41">
            <v>2</v>
          </cell>
          <cell r="K41">
            <v>5.0000000000000142</v>
          </cell>
          <cell r="L41">
            <v>9</v>
          </cell>
          <cell r="M41">
            <v>3</v>
          </cell>
          <cell r="N41">
            <v>9</v>
          </cell>
          <cell r="O41">
            <v>2</v>
          </cell>
          <cell r="P41">
            <v>1</v>
          </cell>
        </row>
        <row r="42">
          <cell r="A42" t="str">
            <v>С-907012</v>
          </cell>
          <cell r="B42" t="str">
            <v>С-9070</v>
          </cell>
          <cell r="C42">
            <v>1</v>
          </cell>
          <cell r="D42">
            <v>2</v>
          </cell>
          <cell r="E42">
            <v>142010</v>
          </cell>
          <cell r="F42">
            <v>31.3</v>
          </cell>
          <cell r="G42">
            <v>54.8</v>
          </cell>
          <cell r="H42">
            <v>4.3</v>
          </cell>
          <cell r="I42">
            <v>1.6</v>
          </cell>
          <cell r="J42">
            <v>2</v>
          </cell>
          <cell r="K42">
            <v>6.0000000000000142</v>
          </cell>
          <cell r="L42">
            <v>12</v>
          </cell>
          <cell r="M42">
            <v>10</v>
          </cell>
          <cell r="N42">
            <v>9</v>
          </cell>
          <cell r="O42">
            <v>2</v>
          </cell>
          <cell r="P42">
            <v>1</v>
          </cell>
        </row>
        <row r="43">
          <cell r="A43" t="str">
            <v>С-907013</v>
          </cell>
          <cell r="B43" t="str">
            <v>С-9070</v>
          </cell>
          <cell r="C43">
            <v>1</v>
          </cell>
          <cell r="D43">
            <v>3</v>
          </cell>
          <cell r="E43">
            <v>113600</v>
          </cell>
          <cell r="F43">
            <v>31.1</v>
          </cell>
          <cell r="G43">
            <v>54.6</v>
          </cell>
          <cell r="H43">
            <v>4.3</v>
          </cell>
          <cell r="I43">
            <v>1.6</v>
          </cell>
          <cell r="J43">
            <v>2</v>
          </cell>
          <cell r="K43">
            <v>6.4000000000000057</v>
          </cell>
          <cell r="L43">
            <v>14</v>
          </cell>
          <cell r="M43">
            <v>16</v>
          </cell>
          <cell r="N43">
            <v>9</v>
          </cell>
          <cell r="O43">
            <v>2</v>
          </cell>
          <cell r="P43">
            <v>1</v>
          </cell>
        </row>
        <row r="44">
          <cell r="A44" t="str">
            <v>С-907021</v>
          </cell>
          <cell r="B44" t="str">
            <v>С-9070</v>
          </cell>
          <cell r="C44">
            <v>2</v>
          </cell>
          <cell r="D44">
            <v>1</v>
          </cell>
          <cell r="E44">
            <v>126000</v>
          </cell>
          <cell r="F44">
            <v>30.6</v>
          </cell>
          <cell r="G44">
            <v>54</v>
          </cell>
          <cell r="H44">
            <v>4.3</v>
          </cell>
          <cell r="I44">
            <v>1.8</v>
          </cell>
          <cell r="J44">
            <v>2.1</v>
          </cell>
          <cell r="K44">
            <v>7.2000000000000171</v>
          </cell>
          <cell r="L44">
            <v>10</v>
          </cell>
          <cell r="M44">
            <v>5</v>
          </cell>
          <cell r="N44">
            <v>9</v>
          </cell>
          <cell r="O44">
            <v>2</v>
          </cell>
          <cell r="P44">
            <v>1</v>
          </cell>
        </row>
        <row r="45">
          <cell r="A45" t="str">
            <v>С-907022</v>
          </cell>
          <cell r="B45" t="str">
            <v>С-9070</v>
          </cell>
          <cell r="C45">
            <v>2</v>
          </cell>
          <cell r="D45">
            <v>2</v>
          </cell>
          <cell r="E45">
            <v>122260</v>
          </cell>
          <cell r="F45">
            <v>30.1</v>
          </cell>
          <cell r="G45">
            <v>53</v>
          </cell>
          <cell r="H45">
            <v>4.3</v>
          </cell>
          <cell r="I45">
            <v>1.8</v>
          </cell>
          <cell r="J45">
            <v>2.1</v>
          </cell>
          <cell r="K45">
            <v>8.7000000000000171</v>
          </cell>
          <cell r="L45">
            <v>13</v>
          </cell>
          <cell r="M45">
            <v>10</v>
          </cell>
          <cell r="N45">
            <v>9</v>
          </cell>
          <cell r="O45">
            <v>2</v>
          </cell>
          <cell r="P45">
            <v>1</v>
          </cell>
        </row>
        <row r="46">
          <cell r="A46" t="str">
            <v>С-907023</v>
          </cell>
          <cell r="B46" t="str">
            <v>С-9070</v>
          </cell>
          <cell r="C46">
            <v>2</v>
          </cell>
          <cell r="D46">
            <v>3</v>
          </cell>
          <cell r="E46">
            <v>112400</v>
          </cell>
          <cell r="F46">
            <v>29.8</v>
          </cell>
          <cell r="G46">
            <v>52.3</v>
          </cell>
          <cell r="H46">
            <v>4.3</v>
          </cell>
          <cell r="I46">
            <v>1.8</v>
          </cell>
          <cell r="J46">
            <v>2.1</v>
          </cell>
          <cell r="K46">
            <v>9.7000000000000171</v>
          </cell>
          <cell r="L46">
            <v>16</v>
          </cell>
          <cell r="M46">
            <v>16</v>
          </cell>
          <cell r="N46">
            <v>9</v>
          </cell>
          <cell r="O46">
            <v>2</v>
          </cell>
          <cell r="P46">
            <v>1</v>
          </cell>
        </row>
        <row r="47">
          <cell r="A47" t="str">
            <v>С-907031</v>
          </cell>
          <cell r="B47" t="str">
            <v>С-9070</v>
          </cell>
          <cell r="C47">
            <v>3</v>
          </cell>
          <cell r="D47">
            <v>1</v>
          </cell>
          <cell r="E47">
            <v>116670</v>
          </cell>
          <cell r="F47">
            <v>29.2</v>
          </cell>
          <cell r="G47">
            <v>51.1</v>
          </cell>
          <cell r="H47">
            <v>4.5</v>
          </cell>
          <cell r="I47">
            <v>2.2000000000000002</v>
          </cell>
          <cell r="J47">
            <v>2.8</v>
          </cell>
          <cell r="K47">
            <v>10.199999999999999</v>
          </cell>
          <cell r="L47">
            <v>11</v>
          </cell>
          <cell r="M47">
            <v>8</v>
          </cell>
          <cell r="N47">
            <v>9</v>
          </cell>
          <cell r="O47">
            <v>2</v>
          </cell>
          <cell r="P47">
            <v>1</v>
          </cell>
        </row>
        <row r="48">
          <cell r="A48" t="str">
            <v>С-907032</v>
          </cell>
          <cell r="B48" t="str">
            <v>С-9070</v>
          </cell>
          <cell r="C48">
            <v>3</v>
          </cell>
          <cell r="D48">
            <v>2</v>
          </cell>
          <cell r="E48">
            <v>103820</v>
          </cell>
          <cell r="F48">
            <v>28.5</v>
          </cell>
          <cell r="G48">
            <v>50.7</v>
          </cell>
          <cell r="H48">
            <v>4.5</v>
          </cell>
          <cell r="I48">
            <v>2.2000000000000002</v>
          </cell>
          <cell r="J48">
            <v>2.8</v>
          </cell>
          <cell r="K48">
            <v>11.3</v>
          </cell>
          <cell r="L48">
            <v>15</v>
          </cell>
          <cell r="M48">
            <v>12</v>
          </cell>
          <cell r="N48">
            <v>9</v>
          </cell>
          <cell r="O48">
            <v>2</v>
          </cell>
          <cell r="P48">
            <v>1</v>
          </cell>
        </row>
        <row r="49">
          <cell r="A49" t="str">
            <v>С-907033</v>
          </cell>
          <cell r="B49" t="str">
            <v>С-9070</v>
          </cell>
          <cell r="C49">
            <v>3</v>
          </cell>
          <cell r="D49">
            <v>3</v>
          </cell>
          <cell r="E49">
            <v>73510</v>
          </cell>
          <cell r="F49">
            <v>28.2</v>
          </cell>
          <cell r="G49">
            <v>50.7</v>
          </cell>
          <cell r="H49">
            <v>4.5</v>
          </cell>
          <cell r="I49">
            <v>2.2000000000000002</v>
          </cell>
          <cell r="J49">
            <v>2.8</v>
          </cell>
          <cell r="K49">
            <v>11.6</v>
          </cell>
          <cell r="L49">
            <v>18</v>
          </cell>
          <cell r="M49">
            <v>18</v>
          </cell>
          <cell r="N49">
            <v>9</v>
          </cell>
          <cell r="O49">
            <v>2</v>
          </cell>
          <cell r="P49">
            <v>1</v>
          </cell>
        </row>
        <row r="50">
          <cell r="A50" t="str">
            <v>С-907041</v>
          </cell>
          <cell r="B50" t="str">
            <v>С-9070</v>
          </cell>
          <cell r="C50">
            <v>4</v>
          </cell>
          <cell r="D50">
            <v>1</v>
          </cell>
          <cell r="E50">
            <v>86970</v>
          </cell>
          <cell r="F50">
            <v>26.6</v>
          </cell>
          <cell r="G50">
            <v>50.5</v>
          </cell>
          <cell r="H50">
            <v>4.8</v>
          </cell>
          <cell r="I50">
            <v>2.2999999999999998</v>
          </cell>
          <cell r="J50">
            <v>3</v>
          </cell>
          <cell r="K50">
            <v>12.8</v>
          </cell>
          <cell r="L50">
            <v>13</v>
          </cell>
          <cell r="M50">
            <v>12</v>
          </cell>
          <cell r="N50">
            <v>9</v>
          </cell>
          <cell r="O50">
            <v>2</v>
          </cell>
          <cell r="P50">
            <v>1</v>
          </cell>
        </row>
        <row r="51">
          <cell r="A51" t="str">
            <v>С-907042</v>
          </cell>
          <cell r="B51" t="str">
            <v>С-9070</v>
          </cell>
          <cell r="C51">
            <v>4</v>
          </cell>
          <cell r="D51">
            <v>2</v>
          </cell>
          <cell r="E51">
            <v>67390</v>
          </cell>
          <cell r="F51">
            <v>25.6</v>
          </cell>
          <cell r="G51">
            <v>50.5</v>
          </cell>
          <cell r="H51">
            <v>4.8</v>
          </cell>
          <cell r="I51">
            <v>2.2999999999999998</v>
          </cell>
          <cell r="J51">
            <v>3</v>
          </cell>
          <cell r="K51">
            <v>13.8</v>
          </cell>
          <cell r="L51">
            <v>17</v>
          </cell>
          <cell r="M51">
            <v>16</v>
          </cell>
          <cell r="N51">
            <v>9</v>
          </cell>
          <cell r="O51">
            <v>2</v>
          </cell>
          <cell r="P51">
            <v>1</v>
          </cell>
        </row>
        <row r="52">
          <cell r="A52" t="str">
            <v>С-907043</v>
          </cell>
          <cell r="B52" t="str">
            <v>С-9070</v>
          </cell>
          <cell r="C52">
            <v>4</v>
          </cell>
          <cell r="D52">
            <v>3</v>
          </cell>
          <cell r="E52">
            <v>51470</v>
          </cell>
          <cell r="F52">
            <v>25.3</v>
          </cell>
          <cell r="G52">
            <v>50.5</v>
          </cell>
          <cell r="H52">
            <v>4.8</v>
          </cell>
          <cell r="I52">
            <v>2.2999999999999998</v>
          </cell>
          <cell r="J52">
            <v>3</v>
          </cell>
          <cell r="K52">
            <v>14.1</v>
          </cell>
          <cell r="L52">
            <v>20</v>
          </cell>
          <cell r="M52">
            <v>20</v>
          </cell>
          <cell r="N52">
            <v>9</v>
          </cell>
          <cell r="O52">
            <v>2</v>
          </cell>
          <cell r="P52">
            <v>1</v>
          </cell>
        </row>
        <row r="53">
          <cell r="A53" t="str">
            <v>С-907053</v>
          </cell>
          <cell r="B53" t="str">
            <v>С-9070</v>
          </cell>
          <cell r="C53">
            <v>5</v>
          </cell>
          <cell r="D53">
            <v>3</v>
          </cell>
          <cell r="E53">
            <v>36120</v>
          </cell>
          <cell r="F53">
            <v>25.1</v>
          </cell>
          <cell r="G53">
            <v>50</v>
          </cell>
          <cell r="H53">
            <v>4.8</v>
          </cell>
          <cell r="I53">
            <v>2.2999999999999998</v>
          </cell>
          <cell r="J53">
            <v>3</v>
          </cell>
          <cell r="K53">
            <v>14.8</v>
          </cell>
          <cell r="L53">
            <v>22</v>
          </cell>
          <cell r="M53">
            <v>22</v>
          </cell>
          <cell r="N53">
            <v>9</v>
          </cell>
          <cell r="O53">
            <v>2</v>
          </cell>
          <cell r="P53">
            <v>1</v>
          </cell>
        </row>
        <row r="54">
          <cell r="A54" t="str">
            <v>С-911</v>
          </cell>
          <cell r="B54" t="str">
            <v>С-9</v>
          </cell>
          <cell r="C54">
            <v>1</v>
          </cell>
          <cell r="D54">
            <v>1</v>
          </cell>
          <cell r="E54">
            <v>111720</v>
          </cell>
          <cell r="F54">
            <v>0</v>
          </cell>
          <cell r="G54">
            <v>0</v>
          </cell>
          <cell r="H54">
            <v>0</v>
          </cell>
          <cell r="I54">
            <v>0</v>
          </cell>
          <cell r="J54">
            <v>0</v>
          </cell>
          <cell r="K54">
            <v>0</v>
          </cell>
          <cell r="L54">
            <v>0</v>
          </cell>
          <cell r="M54">
            <v>0</v>
          </cell>
          <cell r="N54">
            <v>9</v>
          </cell>
          <cell r="O54">
            <v>2</v>
          </cell>
          <cell r="P54">
            <v>1</v>
          </cell>
        </row>
        <row r="55">
          <cell r="A55" t="str">
            <v>С-912</v>
          </cell>
          <cell r="B55" t="str">
            <v>С-9</v>
          </cell>
          <cell r="C55">
            <v>1</v>
          </cell>
          <cell r="D55">
            <v>2</v>
          </cell>
          <cell r="E55">
            <v>108920</v>
          </cell>
          <cell r="F55">
            <v>0</v>
          </cell>
          <cell r="G55">
            <v>0</v>
          </cell>
          <cell r="H55">
            <v>0</v>
          </cell>
          <cell r="I55">
            <v>0</v>
          </cell>
          <cell r="J55">
            <v>0</v>
          </cell>
          <cell r="K55">
            <v>0</v>
          </cell>
          <cell r="L55">
            <v>0</v>
          </cell>
          <cell r="M55">
            <v>0</v>
          </cell>
          <cell r="N55">
            <v>9</v>
          </cell>
          <cell r="O55">
            <v>2</v>
          </cell>
          <cell r="P55">
            <v>1</v>
          </cell>
        </row>
        <row r="56">
          <cell r="A56" t="str">
            <v>С-913</v>
          </cell>
          <cell r="B56" t="str">
            <v>С-9</v>
          </cell>
          <cell r="C56">
            <v>1</v>
          </cell>
          <cell r="D56">
            <v>3</v>
          </cell>
          <cell r="E56">
            <v>87110</v>
          </cell>
          <cell r="F56">
            <v>0</v>
          </cell>
          <cell r="G56">
            <v>0</v>
          </cell>
          <cell r="H56">
            <v>0</v>
          </cell>
          <cell r="I56">
            <v>0</v>
          </cell>
          <cell r="J56">
            <v>0</v>
          </cell>
          <cell r="K56">
            <v>0</v>
          </cell>
          <cell r="L56">
            <v>0</v>
          </cell>
          <cell r="M56">
            <v>0</v>
          </cell>
          <cell r="N56">
            <v>9</v>
          </cell>
          <cell r="O56">
            <v>2</v>
          </cell>
          <cell r="P56">
            <v>1</v>
          </cell>
        </row>
        <row r="57">
          <cell r="A57" t="str">
            <v>С-921</v>
          </cell>
          <cell r="B57" t="str">
            <v>С-9</v>
          </cell>
          <cell r="C57">
            <v>2</v>
          </cell>
          <cell r="D57">
            <v>1</v>
          </cell>
          <cell r="E57">
            <v>96590</v>
          </cell>
          <cell r="F57">
            <v>0</v>
          </cell>
          <cell r="G57">
            <v>0</v>
          </cell>
          <cell r="H57">
            <v>0</v>
          </cell>
          <cell r="I57">
            <v>0</v>
          </cell>
          <cell r="J57">
            <v>0</v>
          </cell>
          <cell r="K57">
            <v>0</v>
          </cell>
          <cell r="L57">
            <v>0</v>
          </cell>
          <cell r="M57">
            <v>0</v>
          </cell>
          <cell r="N57">
            <v>9</v>
          </cell>
          <cell r="O57">
            <v>2</v>
          </cell>
          <cell r="P57">
            <v>1</v>
          </cell>
        </row>
        <row r="58">
          <cell r="A58" t="str">
            <v>С-922</v>
          </cell>
          <cell r="B58" t="str">
            <v>С-9</v>
          </cell>
          <cell r="C58">
            <v>2</v>
          </cell>
          <cell r="D58">
            <v>2</v>
          </cell>
          <cell r="E58">
            <v>93720</v>
          </cell>
          <cell r="F58">
            <v>0</v>
          </cell>
          <cell r="G58">
            <v>0</v>
          </cell>
          <cell r="H58">
            <v>0</v>
          </cell>
          <cell r="I58">
            <v>0</v>
          </cell>
          <cell r="J58">
            <v>0</v>
          </cell>
          <cell r="K58">
            <v>0</v>
          </cell>
          <cell r="L58">
            <v>0</v>
          </cell>
          <cell r="M58">
            <v>0</v>
          </cell>
          <cell r="N58">
            <v>9</v>
          </cell>
          <cell r="O58">
            <v>2</v>
          </cell>
          <cell r="P58">
            <v>1</v>
          </cell>
        </row>
        <row r="59">
          <cell r="A59" t="str">
            <v>С-923</v>
          </cell>
          <cell r="B59" t="str">
            <v>С-9</v>
          </cell>
          <cell r="C59">
            <v>2</v>
          </cell>
          <cell r="D59">
            <v>3</v>
          </cell>
          <cell r="E59">
            <v>86190</v>
          </cell>
          <cell r="F59">
            <v>0</v>
          </cell>
          <cell r="G59">
            <v>0</v>
          </cell>
          <cell r="H59">
            <v>0</v>
          </cell>
          <cell r="I59">
            <v>0</v>
          </cell>
          <cell r="J59">
            <v>0</v>
          </cell>
          <cell r="K59">
            <v>0</v>
          </cell>
          <cell r="L59">
            <v>0</v>
          </cell>
          <cell r="M59">
            <v>0</v>
          </cell>
          <cell r="N59">
            <v>9</v>
          </cell>
          <cell r="O59">
            <v>2</v>
          </cell>
          <cell r="P59">
            <v>1</v>
          </cell>
        </row>
        <row r="60">
          <cell r="A60" t="str">
            <v>С-931</v>
          </cell>
          <cell r="B60" t="str">
            <v>С-9</v>
          </cell>
          <cell r="C60">
            <v>3</v>
          </cell>
          <cell r="D60">
            <v>1</v>
          </cell>
          <cell r="E60">
            <v>89490</v>
          </cell>
          <cell r="F60">
            <v>0</v>
          </cell>
          <cell r="G60">
            <v>0</v>
          </cell>
          <cell r="H60">
            <v>0</v>
          </cell>
          <cell r="I60">
            <v>0</v>
          </cell>
          <cell r="J60">
            <v>0</v>
          </cell>
          <cell r="K60">
            <v>0</v>
          </cell>
          <cell r="L60">
            <v>0</v>
          </cell>
          <cell r="M60">
            <v>0</v>
          </cell>
          <cell r="N60">
            <v>9</v>
          </cell>
          <cell r="O60">
            <v>2</v>
          </cell>
          <cell r="P60">
            <v>1</v>
          </cell>
        </row>
        <row r="61">
          <cell r="A61" t="str">
            <v>С-932</v>
          </cell>
          <cell r="B61" t="str">
            <v>С-9</v>
          </cell>
          <cell r="C61">
            <v>3</v>
          </cell>
          <cell r="D61">
            <v>2</v>
          </cell>
          <cell r="E61">
            <v>79620</v>
          </cell>
          <cell r="F61">
            <v>0</v>
          </cell>
          <cell r="G61">
            <v>0</v>
          </cell>
          <cell r="H61">
            <v>0</v>
          </cell>
          <cell r="I61">
            <v>0</v>
          </cell>
          <cell r="J61">
            <v>0</v>
          </cell>
          <cell r="K61">
            <v>0</v>
          </cell>
          <cell r="L61">
            <v>0</v>
          </cell>
          <cell r="M61">
            <v>0</v>
          </cell>
          <cell r="N61">
            <v>9</v>
          </cell>
          <cell r="O61">
            <v>2</v>
          </cell>
          <cell r="P61">
            <v>1</v>
          </cell>
        </row>
        <row r="62">
          <cell r="A62" t="str">
            <v>С-933</v>
          </cell>
          <cell r="B62" t="str">
            <v>С-9</v>
          </cell>
          <cell r="C62">
            <v>3</v>
          </cell>
          <cell r="D62">
            <v>3</v>
          </cell>
          <cell r="E62">
            <v>56340</v>
          </cell>
          <cell r="F62">
            <v>0</v>
          </cell>
          <cell r="G62">
            <v>0</v>
          </cell>
          <cell r="H62">
            <v>0</v>
          </cell>
          <cell r="I62">
            <v>0</v>
          </cell>
          <cell r="J62">
            <v>0</v>
          </cell>
          <cell r="K62">
            <v>0</v>
          </cell>
          <cell r="L62">
            <v>0</v>
          </cell>
          <cell r="M62">
            <v>0</v>
          </cell>
          <cell r="N62">
            <v>9</v>
          </cell>
          <cell r="O62">
            <v>2</v>
          </cell>
          <cell r="P62">
            <v>1</v>
          </cell>
        </row>
        <row r="63">
          <cell r="A63" t="str">
            <v>С-941</v>
          </cell>
          <cell r="B63" t="str">
            <v>С-9</v>
          </cell>
          <cell r="C63">
            <v>4</v>
          </cell>
          <cell r="D63">
            <v>1</v>
          </cell>
          <cell r="E63">
            <v>66690</v>
          </cell>
          <cell r="F63">
            <v>0</v>
          </cell>
          <cell r="G63">
            <v>0</v>
          </cell>
          <cell r="H63">
            <v>0</v>
          </cell>
          <cell r="I63">
            <v>0</v>
          </cell>
          <cell r="J63">
            <v>0</v>
          </cell>
          <cell r="K63">
            <v>0</v>
          </cell>
          <cell r="L63">
            <v>0</v>
          </cell>
          <cell r="M63">
            <v>0</v>
          </cell>
          <cell r="N63">
            <v>9</v>
          </cell>
          <cell r="O63">
            <v>2</v>
          </cell>
          <cell r="P63">
            <v>1</v>
          </cell>
        </row>
        <row r="64">
          <cell r="A64" t="str">
            <v>С-942</v>
          </cell>
          <cell r="B64" t="str">
            <v>С-9</v>
          </cell>
          <cell r="C64">
            <v>4</v>
          </cell>
          <cell r="D64">
            <v>2</v>
          </cell>
          <cell r="E64">
            <v>51660</v>
          </cell>
          <cell r="F64">
            <v>0</v>
          </cell>
          <cell r="G64">
            <v>0</v>
          </cell>
          <cell r="H64">
            <v>0</v>
          </cell>
          <cell r="I64">
            <v>0</v>
          </cell>
          <cell r="J64">
            <v>0</v>
          </cell>
          <cell r="K64">
            <v>0</v>
          </cell>
          <cell r="L64">
            <v>0</v>
          </cell>
          <cell r="M64">
            <v>0</v>
          </cell>
          <cell r="N64">
            <v>9</v>
          </cell>
          <cell r="O64">
            <v>2</v>
          </cell>
          <cell r="P64">
            <v>1</v>
          </cell>
        </row>
        <row r="65">
          <cell r="A65" t="str">
            <v>С-943</v>
          </cell>
          <cell r="B65" t="str">
            <v>С-9</v>
          </cell>
          <cell r="C65">
            <v>4</v>
          </cell>
          <cell r="D65">
            <v>3</v>
          </cell>
          <cell r="E65">
            <v>39450</v>
          </cell>
          <cell r="F65">
            <v>0</v>
          </cell>
          <cell r="G65">
            <v>0</v>
          </cell>
          <cell r="H65">
            <v>0</v>
          </cell>
          <cell r="I65">
            <v>0</v>
          </cell>
          <cell r="J65">
            <v>0</v>
          </cell>
          <cell r="K65">
            <v>0</v>
          </cell>
          <cell r="L65">
            <v>0</v>
          </cell>
          <cell r="M65">
            <v>0</v>
          </cell>
          <cell r="N65">
            <v>9</v>
          </cell>
          <cell r="O65">
            <v>2</v>
          </cell>
          <cell r="P65">
            <v>1</v>
          </cell>
        </row>
        <row r="66">
          <cell r="A66" t="str">
            <v>С-953</v>
          </cell>
          <cell r="B66" t="str">
            <v>С-9</v>
          </cell>
          <cell r="C66">
            <v>5</v>
          </cell>
          <cell r="D66">
            <v>3</v>
          </cell>
          <cell r="E66">
            <v>27680</v>
          </cell>
          <cell r="F66">
            <v>0</v>
          </cell>
          <cell r="G66">
            <v>0</v>
          </cell>
          <cell r="H66">
            <v>0</v>
          </cell>
          <cell r="I66">
            <v>0</v>
          </cell>
          <cell r="J66">
            <v>0</v>
          </cell>
          <cell r="K66">
            <v>0</v>
          </cell>
          <cell r="L66">
            <v>0</v>
          </cell>
          <cell r="M66">
            <v>0</v>
          </cell>
          <cell r="N66">
            <v>9</v>
          </cell>
          <cell r="O66">
            <v>2</v>
          </cell>
          <cell r="P66">
            <v>1</v>
          </cell>
        </row>
        <row r="67">
          <cell r="A67" t="str">
            <v>С-1011</v>
          </cell>
          <cell r="B67" t="str">
            <v>С-10</v>
          </cell>
          <cell r="C67">
            <v>1</v>
          </cell>
          <cell r="D67">
            <v>1</v>
          </cell>
          <cell r="E67">
            <v>111720</v>
          </cell>
          <cell r="F67">
            <v>0</v>
          </cell>
          <cell r="G67">
            <v>0</v>
          </cell>
          <cell r="H67">
            <v>0</v>
          </cell>
          <cell r="I67">
            <v>0</v>
          </cell>
          <cell r="J67">
            <v>0</v>
          </cell>
          <cell r="K67">
            <v>0</v>
          </cell>
          <cell r="L67">
            <v>0</v>
          </cell>
          <cell r="M67">
            <v>0</v>
          </cell>
          <cell r="N67">
            <v>9</v>
          </cell>
          <cell r="O67">
            <v>2</v>
          </cell>
          <cell r="P67">
            <v>1</v>
          </cell>
        </row>
        <row r="68">
          <cell r="A68" t="str">
            <v>С-1012</v>
          </cell>
          <cell r="B68" t="str">
            <v>С-10</v>
          </cell>
          <cell r="C68">
            <v>1</v>
          </cell>
          <cell r="D68">
            <v>2</v>
          </cell>
          <cell r="E68">
            <v>108920</v>
          </cell>
          <cell r="F68">
            <v>0</v>
          </cell>
          <cell r="G68">
            <v>0</v>
          </cell>
          <cell r="H68">
            <v>0</v>
          </cell>
          <cell r="I68">
            <v>0</v>
          </cell>
          <cell r="J68">
            <v>0</v>
          </cell>
          <cell r="K68">
            <v>0</v>
          </cell>
          <cell r="L68">
            <v>0</v>
          </cell>
          <cell r="M68">
            <v>0</v>
          </cell>
          <cell r="N68">
            <v>9</v>
          </cell>
          <cell r="O68">
            <v>2</v>
          </cell>
          <cell r="P68">
            <v>1</v>
          </cell>
        </row>
        <row r="69">
          <cell r="A69" t="str">
            <v>С-1013</v>
          </cell>
          <cell r="B69" t="str">
            <v>С-10</v>
          </cell>
          <cell r="C69">
            <v>1</v>
          </cell>
          <cell r="D69">
            <v>3</v>
          </cell>
          <cell r="E69">
            <v>87110</v>
          </cell>
          <cell r="F69">
            <v>0</v>
          </cell>
          <cell r="G69">
            <v>0</v>
          </cell>
          <cell r="H69">
            <v>0</v>
          </cell>
          <cell r="I69">
            <v>0</v>
          </cell>
          <cell r="J69">
            <v>0</v>
          </cell>
          <cell r="K69">
            <v>0</v>
          </cell>
          <cell r="L69">
            <v>0</v>
          </cell>
          <cell r="M69">
            <v>0</v>
          </cell>
          <cell r="N69">
            <v>9</v>
          </cell>
          <cell r="O69">
            <v>2</v>
          </cell>
          <cell r="P69">
            <v>1</v>
          </cell>
        </row>
        <row r="70">
          <cell r="A70" t="str">
            <v>С-1021</v>
          </cell>
          <cell r="B70" t="str">
            <v>С-10</v>
          </cell>
          <cell r="C70">
            <v>2</v>
          </cell>
          <cell r="D70">
            <v>1</v>
          </cell>
          <cell r="E70">
            <v>96590</v>
          </cell>
          <cell r="F70">
            <v>0</v>
          </cell>
          <cell r="G70">
            <v>0</v>
          </cell>
          <cell r="H70">
            <v>0</v>
          </cell>
          <cell r="I70">
            <v>0</v>
          </cell>
          <cell r="J70">
            <v>0</v>
          </cell>
          <cell r="K70">
            <v>0</v>
          </cell>
          <cell r="L70">
            <v>0</v>
          </cell>
          <cell r="M70">
            <v>0</v>
          </cell>
          <cell r="N70">
            <v>9</v>
          </cell>
          <cell r="O70">
            <v>2</v>
          </cell>
          <cell r="P70">
            <v>1</v>
          </cell>
        </row>
        <row r="71">
          <cell r="A71" t="str">
            <v>С-1022</v>
          </cell>
          <cell r="B71" t="str">
            <v>С-10</v>
          </cell>
          <cell r="C71">
            <v>2</v>
          </cell>
          <cell r="D71">
            <v>2</v>
          </cell>
          <cell r="E71">
            <v>93720</v>
          </cell>
          <cell r="F71">
            <v>0</v>
          </cell>
          <cell r="G71">
            <v>0</v>
          </cell>
          <cell r="H71">
            <v>0</v>
          </cell>
          <cell r="I71">
            <v>0</v>
          </cell>
          <cell r="J71">
            <v>0</v>
          </cell>
          <cell r="K71">
            <v>0</v>
          </cell>
          <cell r="L71">
            <v>0</v>
          </cell>
          <cell r="M71">
            <v>0</v>
          </cell>
          <cell r="N71">
            <v>9</v>
          </cell>
          <cell r="O71">
            <v>2</v>
          </cell>
          <cell r="P71">
            <v>1</v>
          </cell>
        </row>
        <row r="72">
          <cell r="A72" t="str">
            <v>С-1023</v>
          </cell>
          <cell r="B72" t="str">
            <v>С-10</v>
          </cell>
          <cell r="C72">
            <v>2</v>
          </cell>
          <cell r="D72">
            <v>3</v>
          </cell>
          <cell r="E72">
            <v>86190</v>
          </cell>
          <cell r="F72">
            <v>0</v>
          </cell>
          <cell r="G72">
            <v>0</v>
          </cell>
          <cell r="H72">
            <v>0</v>
          </cell>
          <cell r="I72">
            <v>0</v>
          </cell>
          <cell r="J72">
            <v>0</v>
          </cell>
          <cell r="K72">
            <v>0</v>
          </cell>
          <cell r="L72">
            <v>0</v>
          </cell>
          <cell r="M72">
            <v>0</v>
          </cell>
          <cell r="N72">
            <v>9</v>
          </cell>
          <cell r="O72">
            <v>2</v>
          </cell>
          <cell r="P72">
            <v>1</v>
          </cell>
        </row>
        <row r="73">
          <cell r="A73" t="str">
            <v>С-1031</v>
          </cell>
          <cell r="B73" t="str">
            <v>С-10</v>
          </cell>
          <cell r="C73">
            <v>3</v>
          </cell>
          <cell r="D73">
            <v>1</v>
          </cell>
          <cell r="E73">
            <v>89490</v>
          </cell>
          <cell r="F73">
            <v>0</v>
          </cell>
          <cell r="G73">
            <v>0</v>
          </cell>
          <cell r="H73">
            <v>0</v>
          </cell>
          <cell r="I73">
            <v>0</v>
          </cell>
          <cell r="J73">
            <v>0</v>
          </cell>
          <cell r="K73">
            <v>0</v>
          </cell>
          <cell r="L73">
            <v>0</v>
          </cell>
          <cell r="M73">
            <v>0</v>
          </cell>
          <cell r="N73">
            <v>9</v>
          </cell>
          <cell r="O73">
            <v>2</v>
          </cell>
          <cell r="P73">
            <v>1</v>
          </cell>
        </row>
        <row r="74">
          <cell r="A74" t="str">
            <v>С-1032</v>
          </cell>
          <cell r="B74" t="str">
            <v>С-10</v>
          </cell>
          <cell r="C74">
            <v>3</v>
          </cell>
          <cell r="D74">
            <v>2</v>
          </cell>
          <cell r="E74">
            <v>79620</v>
          </cell>
          <cell r="F74">
            <v>0</v>
          </cell>
          <cell r="G74">
            <v>0</v>
          </cell>
          <cell r="H74">
            <v>0</v>
          </cell>
          <cell r="I74">
            <v>0</v>
          </cell>
          <cell r="J74">
            <v>0</v>
          </cell>
          <cell r="K74">
            <v>0</v>
          </cell>
          <cell r="L74">
            <v>0</v>
          </cell>
          <cell r="M74">
            <v>0</v>
          </cell>
          <cell r="N74">
            <v>9</v>
          </cell>
          <cell r="O74">
            <v>2</v>
          </cell>
          <cell r="P74">
            <v>1</v>
          </cell>
        </row>
        <row r="75">
          <cell r="A75" t="str">
            <v>С-1033</v>
          </cell>
          <cell r="B75" t="str">
            <v>С-10</v>
          </cell>
          <cell r="C75">
            <v>3</v>
          </cell>
          <cell r="D75">
            <v>3</v>
          </cell>
          <cell r="E75">
            <v>56340</v>
          </cell>
          <cell r="F75">
            <v>0</v>
          </cell>
          <cell r="G75">
            <v>0</v>
          </cell>
          <cell r="H75">
            <v>0</v>
          </cell>
          <cell r="I75">
            <v>0</v>
          </cell>
          <cell r="J75">
            <v>0</v>
          </cell>
          <cell r="K75">
            <v>0</v>
          </cell>
          <cell r="L75">
            <v>0</v>
          </cell>
          <cell r="M75">
            <v>0</v>
          </cell>
          <cell r="N75">
            <v>9</v>
          </cell>
          <cell r="O75">
            <v>2</v>
          </cell>
          <cell r="P75">
            <v>1</v>
          </cell>
        </row>
        <row r="76">
          <cell r="A76" t="str">
            <v>С-1041</v>
          </cell>
          <cell r="B76" t="str">
            <v>С-10</v>
          </cell>
          <cell r="C76">
            <v>4</v>
          </cell>
          <cell r="D76">
            <v>1</v>
          </cell>
          <cell r="E76">
            <v>66690</v>
          </cell>
          <cell r="F76">
            <v>0</v>
          </cell>
          <cell r="G76">
            <v>0</v>
          </cell>
          <cell r="H76">
            <v>0</v>
          </cell>
          <cell r="I76">
            <v>0</v>
          </cell>
          <cell r="J76">
            <v>0</v>
          </cell>
          <cell r="K76">
            <v>0</v>
          </cell>
          <cell r="L76">
            <v>0</v>
          </cell>
          <cell r="M76">
            <v>0</v>
          </cell>
          <cell r="N76">
            <v>9</v>
          </cell>
          <cell r="O76">
            <v>2</v>
          </cell>
          <cell r="P76">
            <v>1</v>
          </cell>
        </row>
        <row r="77">
          <cell r="A77" t="str">
            <v>С-1042</v>
          </cell>
          <cell r="B77" t="str">
            <v>С-10</v>
          </cell>
          <cell r="C77">
            <v>4</v>
          </cell>
          <cell r="D77">
            <v>2</v>
          </cell>
          <cell r="E77">
            <v>51660</v>
          </cell>
          <cell r="F77">
            <v>0</v>
          </cell>
          <cell r="G77">
            <v>0</v>
          </cell>
          <cell r="H77">
            <v>0</v>
          </cell>
          <cell r="I77">
            <v>0</v>
          </cell>
          <cell r="J77">
            <v>0</v>
          </cell>
          <cell r="K77">
            <v>0</v>
          </cell>
          <cell r="L77">
            <v>0</v>
          </cell>
          <cell r="M77">
            <v>0</v>
          </cell>
          <cell r="N77">
            <v>9</v>
          </cell>
          <cell r="O77">
            <v>2</v>
          </cell>
          <cell r="P77">
            <v>1</v>
          </cell>
        </row>
        <row r="78">
          <cell r="A78" t="str">
            <v>С-1043</v>
          </cell>
          <cell r="B78" t="str">
            <v>С-10</v>
          </cell>
          <cell r="C78">
            <v>4</v>
          </cell>
          <cell r="D78">
            <v>3</v>
          </cell>
          <cell r="E78">
            <v>39450</v>
          </cell>
          <cell r="F78">
            <v>0</v>
          </cell>
          <cell r="G78">
            <v>0</v>
          </cell>
          <cell r="H78">
            <v>0</v>
          </cell>
          <cell r="I78">
            <v>0</v>
          </cell>
          <cell r="J78">
            <v>0</v>
          </cell>
          <cell r="K78">
            <v>0</v>
          </cell>
          <cell r="L78">
            <v>0</v>
          </cell>
          <cell r="M78">
            <v>0</v>
          </cell>
          <cell r="N78">
            <v>9</v>
          </cell>
          <cell r="O78">
            <v>2</v>
          </cell>
          <cell r="P78">
            <v>1</v>
          </cell>
        </row>
        <row r="79">
          <cell r="A79" t="str">
            <v>С-1053</v>
          </cell>
          <cell r="B79" t="str">
            <v>С-10</v>
          </cell>
          <cell r="C79">
            <v>5</v>
          </cell>
          <cell r="D79">
            <v>3</v>
          </cell>
          <cell r="E79">
            <v>27680</v>
          </cell>
          <cell r="F79">
            <v>0</v>
          </cell>
          <cell r="G79">
            <v>0</v>
          </cell>
          <cell r="H79">
            <v>0</v>
          </cell>
          <cell r="I79">
            <v>0</v>
          </cell>
          <cell r="J79">
            <v>0</v>
          </cell>
          <cell r="K79">
            <v>0</v>
          </cell>
          <cell r="L79">
            <v>0</v>
          </cell>
          <cell r="M79">
            <v>0</v>
          </cell>
          <cell r="N79">
            <v>9</v>
          </cell>
          <cell r="O79">
            <v>2</v>
          </cell>
          <cell r="P79">
            <v>1</v>
          </cell>
        </row>
        <row r="80">
          <cell r="A80" t="str">
            <v>Т-611</v>
          </cell>
          <cell r="B80" t="str">
            <v>Т-6</v>
          </cell>
          <cell r="C80">
            <v>1</v>
          </cell>
          <cell r="D80">
            <v>1</v>
          </cell>
          <cell r="E80">
            <v>225620</v>
          </cell>
          <cell r="F80">
            <v>0</v>
          </cell>
          <cell r="G80">
            <v>0</v>
          </cell>
          <cell r="H80">
            <v>0</v>
          </cell>
          <cell r="I80">
            <v>0</v>
          </cell>
          <cell r="J80">
            <v>0</v>
          </cell>
          <cell r="K80">
            <v>0</v>
          </cell>
          <cell r="L80">
            <v>0</v>
          </cell>
          <cell r="M80">
            <v>0</v>
          </cell>
          <cell r="N80">
            <v>9</v>
          </cell>
          <cell r="O80">
            <v>2</v>
          </cell>
          <cell r="P80">
            <v>1</v>
          </cell>
        </row>
        <row r="81">
          <cell r="A81" t="str">
            <v>Т-612</v>
          </cell>
          <cell r="B81" t="str">
            <v>Т-6</v>
          </cell>
          <cell r="C81">
            <v>1</v>
          </cell>
          <cell r="D81">
            <v>2</v>
          </cell>
          <cell r="E81">
            <v>219760</v>
          </cell>
          <cell r="F81">
            <v>0</v>
          </cell>
          <cell r="G81">
            <v>0</v>
          </cell>
          <cell r="H81">
            <v>0</v>
          </cell>
          <cell r="I81">
            <v>0</v>
          </cell>
          <cell r="J81">
            <v>0</v>
          </cell>
          <cell r="K81">
            <v>0</v>
          </cell>
          <cell r="L81">
            <v>0</v>
          </cell>
          <cell r="M81">
            <v>0</v>
          </cell>
          <cell r="N81">
            <v>9</v>
          </cell>
          <cell r="O81">
            <v>2</v>
          </cell>
          <cell r="P81">
            <v>1</v>
          </cell>
        </row>
        <row r="82">
          <cell r="A82" t="str">
            <v>Т-613</v>
          </cell>
          <cell r="B82" t="str">
            <v>Т-6</v>
          </cell>
          <cell r="C82">
            <v>1</v>
          </cell>
          <cell r="D82">
            <v>3</v>
          </cell>
          <cell r="E82">
            <v>175890</v>
          </cell>
          <cell r="F82">
            <v>0</v>
          </cell>
          <cell r="G82">
            <v>0</v>
          </cell>
          <cell r="H82">
            <v>0</v>
          </cell>
          <cell r="I82">
            <v>0</v>
          </cell>
          <cell r="J82">
            <v>0</v>
          </cell>
          <cell r="K82">
            <v>0</v>
          </cell>
          <cell r="L82">
            <v>0</v>
          </cell>
          <cell r="M82">
            <v>0</v>
          </cell>
          <cell r="N82">
            <v>9</v>
          </cell>
          <cell r="O82">
            <v>2</v>
          </cell>
          <cell r="P82">
            <v>1</v>
          </cell>
        </row>
        <row r="83">
          <cell r="A83" t="str">
            <v>Т-621</v>
          </cell>
          <cell r="B83" t="str">
            <v>Т-6</v>
          </cell>
          <cell r="C83">
            <v>2</v>
          </cell>
          <cell r="D83">
            <v>1</v>
          </cell>
          <cell r="E83">
            <v>195000</v>
          </cell>
          <cell r="F83">
            <v>0</v>
          </cell>
          <cell r="G83">
            <v>0</v>
          </cell>
          <cell r="H83">
            <v>0</v>
          </cell>
          <cell r="I83">
            <v>0</v>
          </cell>
          <cell r="J83">
            <v>0</v>
          </cell>
          <cell r="K83">
            <v>0</v>
          </cell>
          <cell r="L83">
            <v>0</v>
          </cell>
          <cell r="M83">
            <v>0</v>
          </cell>
          <cell r="N83">
            <v>9</v>
          </cell>
          <cell r="O83">
            <v>2</v>
          </cell>
          <cell r="P83">
            <v>1</v>
          </cell>
        </row>
        <row r="84">
          <cell r="A84" t="str">
            <v>Т-622</v>
          </cell>
          <cell r="B84" t="str">
            <v>Т-6</v>
          </cell>
          <cell r="C84">
            <v>2</v>
          </cell>
          <cell r="D84">
            <v>2</v>
          </cell>
          <cell r="E84">
            <v>189150</v>
          </cell>
          <cell r="F84">
            <v>0</v>
          </cell>
          <cell r="G84">
            <v>0</v>
          </cell>
          <cell r="H84">
            <v>0</v>
          </cell>
          <cell r="I84">
            <v>0</v>
          </cell>
          <cell r="J84">
            <v>0</v>
          </cell>
          <cell r="K84">
            <v>0</v>
          </cell>
          <cell r="L84">
            <v>0</v>
          </cell>
          <cell r="M84">
            <v>0</v>
          </cell>
          <cell r="N84">
            <v>9</v>
          </cell>
          <cell r="O84">
            <v>2</v>
          </cell>
          <cell r="P84">
            <v>1</v>
          </cell>
        </row>
        <row r="85">
          <cell r="A85" t="str">
            <v>Т-623</v>
          </cell>
          <cell r="B85" t="str">
            <v>Т-6</v>
          </cell>
          <cell r="C85">
            <v>2</v>
          </cell>
          <cell r="D85">
            <v>3</v>
          </cell>
          <cell r="E85">
            <v>173940</v>
          </cell>
          <cell r="F85">
            <v>0</v>
          </cell>
          <cell r="G85">
            <v>0</v>
          </cell>
          <cell r="H85">
            <v>0</v>
          </cell>
          <cell r="I85">
            <v>0</v>
          </cell>
          <cell r="J85">
            <v>0</v>
          </cell>
          <cell r="K85">
            <v>0</v>
          </cell>
          <cell r="L85">
            <v>0</v>
          </cell>
          <cell r="M85">
            <v>0</v>
          </cell>
          <cell r="N85">
            <v>9</v>
          </cell>
          <cell r="O85">
            <v>2</v>
          </cell>
          <cell r="P85">
            <v>1</v>
          </cell>
        </row>
        <row r="86">
          <cell r="A86" t="str">
            <v>Т-631</v>
          </cell>
          <cell r="B86" t="str">
            <v>Т-6</v>
          </cell>
          <cell r="C86">
            <v>3</v>
          </cell>
          <cell r="D86">
            <v>1</v>
          </cell>
          <cell r="E86">
            <v>180570</v>
          </cell>
          <cell r="F86">
            <v>0</v>
          </cell>
          <cell r="G86">
            <v>0</v>
          </cell>
          <cell r="H86">
            <v>0</v>
          </cell>
          <cell r="I86">
            <v>0</v>
          </cell>
          <cell r="J86">
            <v>0</v>
          </cell>
          <cell r="K86">
            <v>0</v>
          </cell>
          <cell r="L86">
            <v>0</v>
          </cell>
          <cell r="M86">
            <v>0</v>
          </cell>
          <cell r="N86">
            <v>9</v>
          </cell>
          <cell r="O86">
            <v>2</v>
          </cell>
          <cell r="P86">
            <v>1</v>
          </cell>
        </row>
        <row r="87">
          <cell r="A87" t="str">
            <v>Т-632</v>
          </cell>
          <cell r="B87" t="str">
            <v>Т-6</v>
          </cell>
          <cell r="C87">
            <v>3</v>
          </cell>
          <cell r="D87">
            <v>2</v>
          </cell>
          <cell r="E87">
            <v>160680</v>
          </cell>
          <cell r="F87">
            <v>0</v>
          </cell>
          <cell r="G87">
            <v>0</v>
          </cell>
          <cell r="H87">
            <v>0</v>
          </cell>
          <cell r="I87">
            <v>0</v>
          </cell>
          <cell r="J87">
            <v>0</v>
          </cell>
          <cell r="K87">
            <v>0</v>
          </cell>
          <cell r="L87">
            <v>0</v>
          </cell>
          <cell r="M87">
            <v>0</v>
          </cell>
          <cell r="N87">
            <v>9</v>
          </cell>
          <cell r="O87">
            <v>2</v>
          </cell>
          <cell r="P87">
            <v>1</v>
          </cell>
        </row>
        <row r="88">
          <cell r="A88" t="str">
            <v>Т-633</v>
          </cell>
          <cell r="B88" t="str">
            <v>Т-6</v>
          </cell>
          <cell r="C88">
            <v>3</v>
          </cell>
          <cell r="D88">
            <v>3</v>
          </cell>
          <cell r="E88">
            <v>113680</v>
          </cell>
          <cell r="F88">
            <v>0</v>
          </cell>
          <cell r="G88">
            <v>0</v>
          </cell>
          <cell r="H88">
            <v>0</v>
          </cell>
          <cell r="I88">
            <v>0</v>
          </cell>
          <cell r="J88">
            <v>0</v>
          </cell>
          <cell r="K88">
            <v>0</v>
          </cell>
          <cell r="L88">
            <v>0</v>
          </cell>
          <cell r="M88">
            <v>0</v>
          </cell>
          <cell r="N88">
            <v>9</v>
          </cell>
          <cell r="O88">
            <v>2</v>
          </cell>
          <cell r="P88">
            <v>1</v>
          </cell>
        </row>
        <row r="89">
          <cell r="A89" t="str">
            <v>Т-641</v>
          </cell>
          <cell r="B89" t="str">
            <v>Т-6</v>
          </cell>
          <cell r="C89">
            <v>4</v>
          </cell>
          <cell r="D89">
            <v>1</v>
          </cell>
          <cell r="E89">
            <v>134550</v>
          </cell>
          <cell r="F89">
            <v>0</v>
          </cell>
          <cell r="G89">
            <v>0</v>
          </cell>
          <cell r="H89">
            <v>0</v>
          </cell>
          <cell r="I89">
            <v>0</v>
          </cell>
          <cell r="J89">
            <v>0</v>
          </cell>
          <cell r="K89">
            <v>0</v>
          </cell>
          <cell r="L89">
            <v>0</v>
          </cell>
          <cell r="M89">
            <v>0</v>
          </cell>
          <cell r="N89">
            <v>9</v>
          </cell>
          <cell r="O89">
            <v>2</v>
          </cell>
          <cell r="P89">
            <v>1</v>
          </cell>
        </row>
        <row r="90">
          <cell r="A90" t="str">
            <v>Т-642</v>
          </cell>
          <cell r="B90" t="str">
            <v>Т-6</v>
          </cell>
          <cell r="C90">
            <v>4</v>
          </cell>
          <cell r="D90">
            <v>2</v>
          </cell>
          <cell r="E90">
            <v>104320</v>
          </cell>
          <cell r="F90">
            <v>0</v>
          </cell>
          <cell r="G90">
            <v>0</v>
          </cell>
          <cell r="H90">
            <v>0</v>
          </cell>
          <cell r="I90">
            <v>0</v>
          </cell>
          <cell r="J90">
            <v>0</v>
          </cell>
          <cell r="K90">
            <v>0</v>
          </cell>
          <cell r="L90">
            <v>0</v>
          </cell>
          <cell r="M90">
            <v>0</v>
          </cell>
          <cell r="N90">
            <v>9</v>
          </cell>
          <cell r="O90">
            <v>2</v>
          </cell>
          <cell r="P90">
            <v>1</v>
          </cell>
        </row>
        <row r="91">
          <cell r="A91" t="str">
            <v>Т-643</v>
          </cell>
          <cell r="B91" t="str">
            <v>Т-6</v>
          </cell>
          <cell r="C91">
            <v>4</v>
          </cell>
          <cell r="D91">
            <v>3</v>
          </cell>
          <cell r="E91">
            <v>79760</v>
          </cell>
          <cell r="F91">
            <v>0</v>
          </cell>
          <cell r="G91">
            <v>0</v>
          </cell>
          <cell r="H91">
            <v>0</v>
          </cell>
          <cell r="I91">
            <v>0</v>
          </cell>
          <cell r="J91">
            <v>0</v>
          </cell>
          <cell r="K91">
            <v>0</v>
          </cell>
          <cell r="L91">
            <v>0</v>
          </cell>
          <cell r="M91">
            <v>0</v>
          </cell>
          <cell r="N91">
            <v>9</v>
          </cell>
          <cell r="O91">
            <v>2</v>
          </cell>
          <cell r="P91">
            <v>1</v>
          </cell>
        </row>
        <row r="92">
          <cell r="A92" t="str">
            <v>Т-653</v>
          </cell>
          <cell r="B92" t="str">
            <v>Т-6</v>
          </cell>
          <cell r="C92">
            <v>5</v>
          </cell>
          <cell r="D92">
            <v>3</v>
          </cell>
          <cell r="E92">
            <v>55960</v>
          </cell>
          <cell r="F92">
            <v>0</v>
          </cell>
          <cell r="G92">
            <v>0</v>
          </cell>
          <cell r="H92">
            <v>0</v>
          </cell>
          <cell r="I92">
            <v>0</v>
          </cell>
          <cell r="J92">
            <v>0</v>
          </cell>
          <cell r="K92">
            <v>0</v>
          </cell>
          <cell r="L92">
            <v>0</v>
          </cell>
          <cell r="M92">
            <v>0</v>
          </cell>
          <cell r="N92">
            <v>9</v>
          </cell>
          <cell r="O92">
            <v>2</v>
          </cell>
          <cell r="P92">
            <v>1</v>
          </cell>
        </row>
        <row r="93">
          <cell r="A93" t="str">
            <v>Ок-н211</v>
          </cell>
          <cell r="B93" t="str">
            <v>Ок-н2</v>
          </cell>
          <cell r="C93">
            <v>1</v>
          </cell>
          <cell r="D93">
            <v>1</v>
          </cell>
          <cell r="E93">
            <v>295040</v>
          </cell>
          <cell r="F93">
            <v>0</v>
          </cell>
          <cell r="G93">
            <v>0</v>
          </cell>
          <cell r="H93">
            <v>0</v>
          </cell>
          <cell r="I93">
            <v>0</v>
          </cell>
          <cell r="J93">
            <v>0</v>
          </cell>
          <cell r="K93">
            <v>0</v>
          </cell>
          <cell r="L93">
            <v>0</v>
          </cell>
          <cell r="M93">
            <v>0</v>
          </cell>
          <cell r="N93">
            <v>9</v>
          </cell>
          <cell r="O93">
            <v>2</v>
          </cell>
          <cell r="P93">
            <v>1</v>
          </cell>
        </row>
        <row r="94">
          <cell r="A94" t="str">
            <v>Ок-н212</v>
          </cell>
          <cell r="B94" t="str">
            <v>Ок-н2</v>
          </cell>
          <cell r="C94">
            <v>1</v>
          </cell>
          <cell r="D94">
            <v>2</v>
          </cell>
          <cell r="E94">
            <v>287380</v>
          </cell>
          <cell r="F94">
            <v>0</v>
          </cell>
          <cell r="G94">
            <v>0</v>
          </cell>
          <cell r="H94">
            <v>0</v>
          </cell>
          <cell r="I94">
            <v>0</v>
          </cell>
          <cell r="J94">
            <v>0</v>
          </cell>
          <cell r="K94">
            <v>0</v>
          </cell>
          <cell r="L94">
            <v>0</v>
          </cell>
          <cell r="M94">
            <v>0</v>
          </cell>
          <cell r="N94">
            <v>9</v>
          </cell>
          <cell r="O94">
            <v>2</v>
          </cell>
          <cell r="P94">
            <v>1</v>
          </cell>
        </row>
        <row r="95">
          <cell r="A95" t="str">
            <v>Ок-н213</v>
          </cell>
          <cell r="B95" t="str">
            <v>Ок-н2</v>
          </cell>
          <cell r="C95">
            <v>1</v>
          </cell>
          <cell r="D95">
            <v>3</v>
          </cell>
          <cell r="E95">
            <v>230010</v>
          </cell>
          <cell r="F95">
            <v>0</v>
          </cell>
          <cell r="G95">
            <v>0</v>
          </cell>
          <cell r="H95">
            <v>0</v>
          </cell>
          <cell r="I95">
            <v>0</v>
          </cell>
          <cell r="J95">
            <v>0</v>
          </cell>
          <cell r="K95">
            <v>0</v>
          </cell>
          <cell r="L95">
            <v>0</v>
          </cell>
          <cell r="M95">
            <v>0</v>
          </cell>
          <cell r="N95">
            <v>9</v>
          </cell>
          <cell r="O95">
            <v>2</v>
          </cell>
          <cell r="P95">
            <v>1</v>
          </cell>
        </row>
        <row r="96">
          <cell r="A96" t="str">
            <v>Ок-н221</v>
          </cell>
          <cell r="B96" t="str">
            <v>Ок-н2</v>
          </cell>
          <cell r="C96">
            <v>2</v>
          </cell>
          <cell r="D96">
            <v>1</v>
          </cell>
          <cell r="E96">
            <v>255000</v>
          </cell>
          <cell r="F96">
            <v>0</v>
          </cell>
          <cell r="G96">
            <v>0</v>
          </cell>
          <cell r="H96">
            <v>0</v>
          </cell>
          <cell r="I96">
            <v>0</v>
          </cell>
          <cell r="J96">
            <v>0</v>
          </cell>
          <cell r="K96">
            <v>0</v>
          </cell>
          <cell r="L96">
            <v>0</v>
          </cell>
          <cell r="M96">
            <v>0</v>
          </cell>
          <cell r="N96">
            <v>9</v>
          </cell>
          <cell r="O96">
            <v>2</v>
          </cell>
          <cell r="P96">
            <v>1</v>
          </cell>
        </row>
        <row r="97">
          <cell r="A97" t="str">
            <v>Ок-н222</v>
          </cell>
          <cell r="B97" t="str">
            <v>Ок-н2</v>
          </cell>
          <cell r="C97">
            <v>2</v>
          </cell>
          <cell r="D97">
            <v>2</v>
          </cell>
          <cell r="E97">
            <v>247350</v>
          </cell>
          <cell r="F97">
            <v>0</v>
          </cell>
          <cell r="G97">
            <v>0</v>
          </cell>
          <cell r="H97">
            <v>0</v>
          </cell>
          <cell r="I97">
            <v>0</v>
          </cell>
          <cell r="J97">
            <v>0</v>
          </cell>
          <cell r="K97">
            <v>0</v>
          </cell>
          <cell r="L97">
            <v>0</v>
          </cell>
          <cell r="M97">
            <v>0</v>
          </cell>
          <cell r="N97">
            <v>9</v>
          </cell>
          <cell r="O97">
            <v>2</v>
          </cell>
          <cell r="P97">
            <v>1</v>
          </cell>
        </row>
        <row r="98">
          <cell r="A98" t="str">
            <v>Ок-н223</v>
          </cell>
          <cell r="B98" t="str">
            <v>Ок-н2</v>
          </cell>
          <cell r="C98">
            <v>2</v>
          </cell>
          <cell r="D98">
            <v>3</v>
          </cell>
          <cell r="E98">
            <v>227460</v>
          </cell>
          <cell r="F98">
            <v>0</v>
          </cell>
          <cell r="G98">
            <v>0</v>
          </cell>
          <cell r="H98">
            <v>0</v>
          </cell>
          <cell r="I98">
            <v>0</v>
          </cell>
          <cell r="J98">
            <v>0</v>
          </cell>
          <cell r="K98">
            <v>0</v>
          </cell>
          <cell r="L98">
            <v>0</v>
          </cell>
          <cell r="M98">
            <v>0</v>
          </cell>
          <cell r="N98">
            <v>9</v>
          </cell>
          <cell r="O98">
            <v>2</v>
          </cell>
          <cell r="P98">
            <v>1</v>
          </cell>
        </row>
        <row r="99">
          <cell r="A99" t="str">
            <v>Ок-н231</v>
          </cell>
          <cell r="B99" t="str">
            <v>Ок-н2</v>
          </cell>
          <cell r="C99">
            <v>3</v>
          </cell>
          <cell r="D99">
            <v>1</v>
          </cell>
          <cell r="E99">
            <v>236130</v>
          </cell>
          <cell r="F99">
            <v>0</v>
          </cell>
          <cell r="G99">
            <v>0</v>
          </cell>
          <cell r="H99">
            <v>0</v>
          </cell>
          <cell r="I99">
            <v>0</v>
          </cell>
          <cell r="J99">
            <v>0</v>
          </cell>
          <cell r="K99">
            <v>0</v>
          </cell>
          <cell r="L99">
            <v>0</v>
          </cell>
          <cell r="M99">
            <v>0</v>
          </cell>
          <cell r="N99">
            <v>9</v>
          </cell>
          <cell r="O99">
            <v>2</v>
          </cell>
          <cell r="P99">
            <v>1</v>
          </cell>
        </row>
        <row r="100">
          <cell r="A100" t="str">
            <v>Ок-н232</v>
          </cell>
          <cell r="B100" t="str">
            <v>Ок-н2</v>
          </cell>
          <cell r="C100">
            <v>3</v>
          </cell>
          <cell r="D100">
            <v>2</v>
          </cell>
          <cell r="E100">
            <v>210120</v>
          </cell>
          <cell r="F100">
            <v>0</v>
          </cell>
          <cell r="G100">
            <v>0</v>
          </cell>
          <cell r="H100">
            <v>0</v>
          </cell>
          <cell r="I100">
            <v>0</v>
          </cell>
          <cell r="J100">
            <v>0</v>
          </cell>
          <cell r="K100">
            <v>0</v>
          </cell>
          <cell r="L100">
            <v>0</v>
          </cell>
          <cell r="M100">
            <v>0</v>
          </cell>
          <cell r="N100">
            <v>9</v>
          </cell>
          <cell r="O100">
            <v>2</v>
          </cell>
          <cell r="P100">
            <v>1</v>
          </cell>
        </row>
        <row r="101">
          <cell r="A101" t="str">
            <v>Ок-н233</v>
          </cell>
          <cell r="B101" t="str">
            <v>Ок-н2</v>
          </cell>
          <cell r="C101">
            <v>3</v>
          </cell>
          <cell r="D101">
            <v>3</v>
          </cell>
          <cell r="E101">
            <v>148660</v>
          </cell>
          <cell r="F101">
            <v>0</v>
          </cell>
          <cell r="G101">
            <v>0</v>
          </cell>
          <cell r="H101">
            <v>0</v>
          </cell>
          <cell r="I101">
            <v>0</v>
          </cell>
          <cell r="J101">
            <v>0</v>
          </cell>
          <cell r="K101">
            <v>0</v>
          </cell>
          <cell r="L101">
            <v>0</v>
          </cell>
          <cell r="M101">
            <v>0</v>
          </cell>
          <cell r="N101">
            <v>9</v>
          </cell>
          <cell r="O101">
            <v>2</v>
          </cell>
          <cell r="P101">
            <v>1</v>
          </cell>
        </row>
        <row r="102">
          <cell r="A102" t="str">
            <v>Ок-н241</v>
          </cell>
          <cell r="B102" t="str">
            <v>Ок-н2</v>
          </cell>
          <cell r="C102">
            <v>4</v>
          </cell>
          <cell r="D102">
            <v>1</v>
          </cell>
          <cell r="E102">
            <v>175950</v>
          </cell>
          <cell r="F102">
            <v>0</v>
          </cell>
          <cell r="G102">
            <v>0</v>
          </cell>
          <cell r="H102">
            <v>0</v>
          </cell>
          <cell r="I102">
            <v>0</v>
          </cell>
          <cell r="J102">
            <v>0</v>
          </cell>
          <cell r="K102">
            <v>0</v>
          </cell>
          <cell r="L102">
            <v>0</v>
          </cell>
          <cell r="M102">
            <v>0</v>
          </cell>
          <cell r="N102">
            <v>9</v>
          </cell>
          <cell r="O102">
            <v>2</v>
          </cell>
          <cell r="P102">
            <v>1</v>
          </cell>
        </row>
        <row r="103">
          <cell r="A103" t="str">
            <v>Ок-н242</v>
          </cell>
          <cell r="B103" t="str">
            <v>Ок-н2</v>
          </cell>
          <cell r="C103">
            <v>4</v>
          </cell>
          <cell r="D103">
            <v>2</v>
          </cell>
          <cell r="E103">
            <v>136420</v>
          </cell>
          <cell r="F103">
            <v>0</v>
          </cell>
          <cell r="G103">
            <v>0</v>
          </cell>
          <cell r="H103">
            <v>0</v>
          </cell>
          <cell r="I103">
            <v>0</v>
          </cell>
          <cell r="J103">
            <v>0</v>
          </cell>
          <cell r="K103">
            <v>0</v>
          </cell>
          <cell r="L103">
            <v>0</v>
          </cell>
          <cell r="M103">
            <v>0</v>
          </cell>
          <cell r="N103">
            <v>9</v>
          </cell>
          <cell r="O103">
            <v>2</v>
          </cell>
          <cell r="P103">
            <v>1</v>
          </cell>
        </row>
        <row r="104">
          <cell r="A104" t="str">
            <v>Ок-н243</v>
          </cell>
          <cell r="B104" t="str">
            <v>Ок-н2</v>
          </cell>
          <cell r="C104">
            <v>4</v>
          </cell>
          <cell r="D104">
            <v>3</v>
          </cell>
          <cell r="E104">
            <v>104300</v>
          </cell>
          <cell r="F104">
            <v>0</v>
          </cell>
          <cell r="G104">
            <v>0</v>
          </cell>
          <cell r="H104">
            <v>0</v>
          </cell>
          <cell r="I104">
            <v>0</v>
          </cell>
          <cell r="J104">
            <v>0</v>
          </cell>
          <cell r="K104">
            <v>0</v>
          </cell>
          <cell r="L104">
            <v>0</v>
          </cell>
          <cell r="M104">
            <v>0</v>
          </cell>
          <cell r="N104">
            <v>9</v>
          </cell>
          <cell r="O104">
            <v>2</v>
          </cell>
          <cell r="P104">
            <v>1</v>
          </cell>
        </row>
        <row r="105">
          <cell r="A105" t="str">
            <v>Ок-н253</v>
          </cell>
          <cell r="B105" t="str">
            <v>Ок-н2</v>
          </cell>
          <cell r="C105">
            <v>5</v>
          </cell>
          <cell r="D105">
            <v>3</v>
          </cell>
          <cell r="E105">
            <v>73180</v>
          </cell>
          <cell r="F105">
            <v>0</v>
          </cell>
          <cell r="G105">
            <v>0</v>
          </cell>
          <cell r="H105">
            <v>0</v>
          </cell>
          <cell r="I105">
            <v>0</v>
          </cell>
          <cell r="J105">
            <v>0</v>
          </cell>
          <cell r="K105">
            <v>0</v>
          </cell>
          <cell r="L105">
            <v>0</v>
          </cell>
          <cell r="M105">
            <v>0</v>
          </cell>
          <cell r="N105">
            <v>9</v>
          </cell>
          <cell r="O105">
            <v>2</v>
          </cell>
          <cell r="P105">
            <v>1</v>
          </cell>
        </row>
        <row r="106">
          <cell r="A106" t="str">
            <v>С-1211</v>
          </cell>
          <cell r="B106" t="str">
            <v>С-12</v>
          </cell>
          <cell r="C106">
            <v>1</v>
          </cell>
          <cell r="D106">
            <v>1</v>
          </cell>
          <cell r="E106">
            <v>111720</v>
          </cell>
          <cell r="F106">
            <v>0</v>
          </cell>
          <cell r="G106">
            <v>0</v>
          </cell>
          <cell r="H106">
            <v>0</v>
          </cell>
          <cell r="I106">
            <v>0</v>
          </cell>
          <cell r="J106">
            <v>0</v>
          </cell>
          <cell r="K106">
            <v>0</v>
          </cell>
          <cell r="L106">
            <v>0</v>
          </cell>
          <cell r="M106">
            <v>0</v>
          </cell>
          <cell r="N106">
            <v>9</v>
          </cell>
          <cell r="O106">
            <v>2</v>
          </cell>
          <cell r="P106">
            <v>1</v>
          </cell>
        </row>
        <row r="107">
          <cell r="A107" t="str">
            <v>С-1212</v>
          </cell>
          <cell r="B107" t="str">
            <v>С-12</v>
          </cell>
          <cell r="C107">
            <v>1</v>
          </cell>
          <cell r="D107">
            <v>2</v>
          </cell>
          <cell r="E107">
            <v>108920</v>
          </cell>
          <cell r="F107">
            <v>0</v>
          </cell>
          <cell r="G107">
            <v>0</v>
          </cell>
          <cell r="H107">
            <v>0</v>
          </cell>
          <cell r="I107">
            <v>0</v>
          </cell>
          <cell r="J107">
            <v>0</v>
          </cell>
          <cell r="K107">
            <v>0</v>
          </cell>
          <cell r="L107">
            <v>0</v>
          </cell>
          <cell r="M107">
            <v>0</v>
          </cell>
          <cell r="N107">
            <v>9</v>
          </cell>
          <cell r="O107">
            <v>2</v>
          </cell>
          <cell r="P107">
            <v>1</v>
          </cell>
        </row>
        <row r="108">
          <cell r="A108" t="str">
            <v>С-1213</v>
          </cell>
          <cell r="B108" t="str">
            <v>С-12</v>
          </cell>
          <cell r="C108">
            <v>1</v>
          </cell>
          <cell r="D108">
            <v>3</v>
          </cell>
          <cell r="E108">
            <v>87110</v>
          </cell>
          <cell r="F108">
            <v>0</v>
          </cell>
          <cell r="G108">
            <v>0</v>
          </cell>
          <cell r="H108">
            <v>0</v>
          </cell>
          <cell r="I108">
            <v>0</v>
          </cell>
          <cell r="J108">
            <v>0</v>
          </cell>
          <cell r="K108">
            <v>0</v>
          </cell>
          <cell r="L108">
            <v>0</v>
          </cell>
          <cell r="M108">
            <v>0</v>
          </cell>
          <cell r="N108">
            <v>9</v>
          </cell>
          <cell r="O108">
            <v>2</v>
          </cell>
          <cell r="P108">
            <v>1</v>
          </cell>
        </row>
        <row r="109">
          <cell r="A109" t="str">
            <v>С-1221</v>
          </cell>
          <cell r="B109" t="str">
            <v>С-12</v>
          </cell>
          <cell r="C109">
            <v>2</v>
          </cell>
          <cell r="D109">
            <v>1</v>
          </cell>
          <cell r="E109">
            <v>96590</v>
          </cell>
          <cell r="F109">
            <v>0</v>
          </cell>
          <cell r="G109">
            <v>0</v>
          </cell>
          <cell r="H109">
            <v>0</v>
          </cell>
          <cell r="I109">
            <v>0</v>
          </cell>
          <cell r="J109">
            <v>0</v>
          </cell>
          <cell r="K109">
            <v>0</v>
          </cell>
          <cell r="L109">
            <v>0</v>
          </cell>
          <cell r="M109">
            <v>0</v>
          </cell>
          <cell r="N109">
            <v>9</v>
          </cell>
          <cell r="O109">
            <v>2</v>
          </cell>
          <cell r="P109">
            <v>1</v>
          </cell>
        </row>
        <row r="110">
          <cell r="A110" t="str">
            <v>С-1222</v>
          </cell>
          <cell r="B110" t="str">
            <v>С-12</v>
          </cell>
          <cell r="C110">
            <v>2</v>
          </cell>
          <cell r="D110">
            <v>2</v>
          </cell>
          <cell r="E110">
            <v>93720</v>
          </cell>
          <cell r="F110">
            <v>0</v>
          </cell>
          <cell r="G110">
            <v>0</v>
          </cell>
          <cell r="H110">
            <v>0</v>
          </cell>
          <cell r="I110">
            <v>0</v>
          </cell>
          <cell r="J110">
            <v>0</v>
          </cell>
          <cell r="K110">
            <v>0</v>
          </cell>
          <cell r="L110">
            <v>0</v>
          </cell>
          <cell r="M110">
            <v>0</v>
          </cell>
          <cell r="N110">
            <v>9</v>
          </cell>
          <cell r="O110">
            <v>2</v>
          </cell>
          <cell r="P110">
            <v>1</v>
          </cell>
        </row>
        <row r="111">
          <cell r="A111" t="str">
            <v>С-1223</v>
          </cell>
          <cell r="B111" t="str">
            <v>С-12</v>
          </cell>
          <cell r="C111">
            <v>2</v>
          </cell>
          <cell r="D111">
            <v>3</v>
          </cell>
          <cell r="E111">
            <v>86190</v>
          </cell>
          <cell r="F111">
            <v>0</v>
          </cell>
          <cell r="G111">
            <v>0</v>
          </cell>
          <cell r="H111">
            <v>0</v>
          </cell>
          <cell r="I111">
            <v>0</v>
          </cell>
          <cell r="J111">
            <v>0</v>
          </cell>
          <cell r="K111">
            <v>0</v>
          </cell>
          <cell r="L111">
            <v>0</v>
          </cell>
          <cell r="M111">
            <v>0</v>
          </cell>
          <cell r="N111">
            <v>9</v>
          </cell>
          <cell r="O111">
            <v>2</v>
          </cell>
          <cell r="P111">
            <v>1</v>
          </cell>
        </row>
        <row r="112">
          <cell r="A112" t="str">
            <v>С-1231</v>
          </cell>
          <cell r="B112" t="str">
            <v>С-12</v>
          </cell>
          <cell r="C112">
            <v>3</v>
          </cell>
          <cell r="D112">
            <v>1</v>
          </cell>
          <cell r="E112">
            <v>89490</v>
          </cell>
          <cell r="F112">
            <v>0</v>
          </cell>
          <cell r="G112">
            <v>0</v>
          </cell>
          <cell r="H112">
            <v>0</v>
          </cell>
          <cell r="I112">
            <v>0</v>
          </cell>
          <cell r="J112">
            <v>0</v>
          </cell>
          <cell r="K112">
            <v>0</v>
          </cell>
          <cell r="L112">
            <v>0</v>
          </cell>
          <cell r="M112">
            <v>0</v>
          </cell>
          <cell r="N112">
            <v>9</v>
          </cell>
          <cell r="O112">
            <v>2</v>
          </cell>
          <cell r="P112">
            <v>1</v>
          </cell>
        </row>
        <row r="113">
          <cell r="A113" t="str">
            <v>С-1232</v>
          </cell>
          <cell r="B113" t="str">
            <v>С-12</v>
          </cell>
          <cell r="C113">
            <v>3</v>
          </cell>
          <cell r="D113">
            <v>2</v>
          </cell>
          <cell r="E113">
            <v>79620</v>
          </cell>
          <cell r="F113">
            <v>0</v>
          </cell>
          <cell r="G113">
            <v>0</v>
          </cell>
          <cell r="H113">
            <v>0</v>
          </cell>
          <cell r="I113">
            <v>0</v>
          </cell>
          <cell r="J113">
            <v>0</v>
          </cell>
          <cell r="K113">
            <v>0</v>
          </cell>
          <cell r="L113">
            <v>0</v>
          </cell>
          <cell r="M113">
            <v>0</v>
          </cell>
          <cell r="N113">
            <v>9</v>
          </cell>
          <cell r="O113">
            <v>2</v>
          </cell>
          <cell r="P113">
            <v>1</v>
          </cell>
        </row>
        <row r="114">
          <cell r="A114" t="str">
            <v>С-1233</v>
          </cell>
          <cell r="B114" t="str">
            <v>С-12</v>
          </cell>
          <cell r="C114">
            <v>3</v>
          </cell>
          <cell r="D114">
            <v>3</v>
          </cell>
          <cell r="E114">
            <v>56340</v>
          </cell>
          <cell r="F114">
            <v>0</v>
          </cell>
          <cell r="G114">
            <v>0</v>
          </cell>
          <cell r="H114">
            <v>0</v>
          </cell>
          <cell r="I114">
            <v>0</v>
          </cell>
          <cell r="J114">
            <v>0</v>
          </cell>
          <cell r="K114">
            <v>0</v>
          </cell>
          <cell r="L114">
            <v>0</v>
          </cell>
          <cell r="M114">
            <v>0</v>
          </cell>
          <cell r="N114">
            <v>9</v>
          </cell>
          <cell r="O114">
            <v>2</v>
          </cell>
          <cell r="P114">
            <v>1</v>
          </cell>
        </row>
        <row r="115">
          <cell r="A115" t="str">
            <v>С-1241</v>
          </cell>
          <cell r="B115" t="str">
            <v>С-12</v>
          </cell>
          <cell r="C115">
            <v>4</v>
          </cell>
          <cell r="D115">
            <v>1</v>
          </cell>
          <cell r="E115">
            <v>66690</v>
          </cell>
          <cell r="F115">
            <v>0</v>
          </cell>
          <cell r="G115">
            <v>0</v>
          </cell>
          <cell r="H115">
            <v>0</v>
          </cell>
          <cell r="I115">
            <v>0</v>
          </cell>
          <cell r="J115">
            <v>0</v>
          </cell>
          <cell r="K115">
            <v>0</v>
          </cell>
          <cell r="L115">
            <v>0</v>
          </cell>
          <cell r="M115">
            <v>0</v>
          </cell>
          <cell r="N115">
            <v>9</v>
          </cell>
          <cell r="O115">
            <v>2</v>
          </cell>
          <cell r="P115">
            <v>1</v>
          </cell>
        </row>
        <row r="116">
          <cell r="A116" t="str">
            <v>С-1242</v>
          </cell>
          <cell r="B116" t="str">
            <v>С-12</v>
          </cell>
          <cell r="C116">
            <v>4</v>
          </cell>
          <cell r="D116">
            <v>2</v>
          </cell>
          <cell r="E116">
            <v>51660</v>
          </cell>
          <cell r="F116">
            <v>0</v>
          </cell>
          <cell r="G116">
            <v>0</v>
          </cell>
          <cell r="H116">
            <v>0</v>
          </cell>
          <cell r="I116">
            <v>0</v>
          </cell>
          <cell r="J116">
            <v>0</v>
          </cell>
          <cell r="K116">
            <v>0</v>
          </cell>
          <cell r="L116">
            <v>0</v>
          </cell>
          <cell r="M116">
            <v>0</v>
          </cell>
          <cell r="N116">
            <v>9</v>
          </cell>
          <cell r="O116">
            <v>2</v>
          </cell>
          <cell r="P116">
            <v>1</v>
          </cell>
        </row>
        <row r="117">
          <cell r="A117" t="str">
            <v>С-1243</v>
          </cell>
          <cell r="B117" t="str">
            <v>С-12</v>
          </cell>
          <cell r="C117">
            <v>4</v>
          </cell>
          <cell r="D117">
            <v>3</v>
          </cell>
          <cell r="E117">
            <v>39450</v>
          </cell>
          <cell r="F117">
            <v>0</v>
          </cell>
          <cell r="G117">
            <v>0</v>
          </cell>
          <cell r="H117">
            <v>0</v>
          </cell>
          <cell r="I117">
            <v>0</v>
          </cell>
          <cell r="J117">
            <v>0</v>
          </cell>
          <cell r="K117">
            <v>0</v>
          </cell>
          <cell r="L117">
            <v>0</v>
          </cell>
          <cell r="M117">
            <v>0</v>
          </cell>
          <cell r="N117">
            <v>9</v>
          </cell>
          <cell r="O117">
            <v>2</v>
          </cell>
          <cell r="P117">
            <v>1</v>
          </cell>
        </row>
        <row r="118">
          <cell r="A118" t="str">
            <v>С-1253</v>
          </cell>
          <cell r="B118" t="str">
            <v>С-12</v>
          </cell>
          <cell r="C118">
            <v>5</v>
          </cell>
          <cell r="D118">
            <v>3</v>
          </cell>
          <cell r="E118">
            <v>27680</v>
          </cell>
          <cell r="F118">
            <v>0</v>
          </cell>
          <cell r="G118">
            <v>0</v>
          </cell>
          <cell r="H118">
            <v>0</v>
          </cell>
          <cell r="I118">
            <v>0</v>
          </cell>
          <cell r="J118">
            <v>0</v>
          </cell>
          <cell r="K118">
            <v>0</v>
          </cell>
          <cell r="L118">
            <v>0</v>
          </cell>
          <cell r="M118">
            <v>0</v>
          </cell>
          <cell r="N118">
            <v>9</v>
          </cell>
          <cell r="O118">
            <v>2</v>
          </cell>
          <cell r="P118">
            <v>1</v>
          </cell>
        </row>
        <row r="119">
          <cell r="A119" t="str">
            <v>АНБ-211</v>
          </cell>
          <cell r="B119" t="str">
            <v>АНБ-2</v>
          </cell>
          <cell r="C119">
            <v>1</v>
          </cell>
          <cell r="D119">
            <v>1</v>
          </cell>
          <cell r="E119">
            <v>295040</v>
          </cell>
          <cell r="F119">
            <v>34.5</v>
          </cell>
          <cell r="G119">
            <v>55.5</v>
          </cell>
          <cell r="H119">
            <v>2</v>
          </cell>
          <cell r="I119">
            <v>0.8</v>
          </cell>
          <cell r="J119">
            <v>2.4</v>
          </cell>
          <cell r="K119">
            <v>4.8</v>
          </cell>
          <cell r="L119">
            <v>9</v>
          </cell>
          <cell r="M119">
            <v>3</v>
          </cell>
          <cell r="N119">
            <v>9</v>
          </cell>
          <cell r="O119">
            <v>2</v>
          </cell>
          <cell r="P119">
            <v>1</v>
          </cell>
        </row>
        <row r="120">
          <cell r="A120" t="str">
            <v>АНБ-212</v>
          </cell>
          <cell r="B120" t="str">
            <v>АНБ-2</v>
          </cell>
          <cell r="C120">
            <v>1</v>
          </cell>
          <cell r="D120">
            <v>2</v>
          </cell>
          <cell r="E120">
            <v>287380</v>
          </cell>
          <cell r="F120">
            <v>34.200000000000003</v>
          </cell>
          <cell r="G120">
            <v>55.2</v>
          </cell>
          <cell r="H120">
            <v>2</v>
          </cell>
          <cell r="I120">
            <v>0.8</v>
          </cell>
          <cell r="J120">
            <v>2.4</v>
          </cell>
          <cell r="K120">
            <v>5.3999999999999915</v>
          </cell>
          <cell r="L120">
            <v>12</v>
          </cell>
          <cell r="M120">
            <v>10</v>
          </cell>
          <cell r="N120">
            <v>9</v>
          </cell>
          <cell r="O120">
            <v>2</v>
          </cell>
          <cell r="P120">
            <v>1</v>
          </cell>
        </row>
        <row r="121">
          <cell r="A121" t="str">
            <v>АНБ-213</v>
          </cell>
          <cell r="B121" t="str">
            <v>АНБ-2</v>
          </cell>
          <cell r="C121">
            <v>1</v>
          </cell>
          <cell r="D121">
            <v>3</v>
          </cell>
          <cell r="E121">
            <v>230010</v>
          </cell>
          <cell r="F121">
            <v>33.700000000000003</v>
          </cell>
          <cell r="G121">
            <v>55.2</v>
          </cell>
          <cell r="H121">
            <v>2</v>
          </cell>
          <cell r="I121">
            <v>0.8</v>
          </cell>
          <cell r="J121">
            <v>2.4</v>
          </cell>
          <cell r="K121">
            <v>5.8999999999999915</v>
          </cell>
          <cell r="L121">
            <v>14</v>
          </cell>
          <cell r="M121">
            <v>16</v>
          </cell>
          <cell r="N121">
            <v>9</v>
          </cell>
          <cell r="O121">
            <v>2</v>
          </cell>
          <cell r="P121">
            <v>1</v>
          </cell>
        </row>
        <row r="122">
          <cell r="A122" t="str">
            <v>АНБ-221</v>
          </cell>
          <cell r="B122" t="str">
            <v>АНБ-2</v>
          </cell>
          <cell r="C122">
            <v>2</v>
          </cell>
          <cell r="D122">
            <v>1</v>
          </cell>
          <cell r="E122">
            <v>255000</v>
          </cell>
          <cell r="F122">
            <v>33.1</v>
          </cell>
          <cell r="G122">
            <v>54.6</v>
          </cell>
          <cell r="H122">
            <v>2.7</v>
          </cell>
          <cell r="I122">
            <v>1</v>
          </cell>
          <cell r="J122">
            <v>2.5</v>
          </cell>
          <cell r="K122">
            <v>6.0999999999999943</v>
          </cell>
          <cell r="L122">
            <v>10</v>
          </cell>
          <cell r="M122">
            <v>5</v>
          </cell>
          <cell r="N122">
            <v>9</v>
          </cell>
          <cell r="O122">
            <v>2</v>
          </cell>
          <cell r="P122">
            <v>1</v>
          </cell>
        </row>
        <row r="123">
          <cell r="A123" t="str">
            <v>АНБ-222</v>
          </cell>
          <cell r="B123" t="str">
            <v>АНБ-2</v>
          </cell>
          <cell r="C123">
            <v>2</v>
          </cell>
          <cell r="D123">
            <v>2</v>
          </cell>
          <cell r="E123">
            <v>247350</v>
          </cell>
          <cell r="F123">
            <v>32.5</v>
          </cell>
          <cell r="G123">
            <v>54.1</v>
          </cell>
          <cell r="H123">
            <v>2.7</v>
          </cell>
          <cell r="I123">
            <v>1</v>
          </cell>
          <cell r="J123">
            <v>2.5</v>
          </cell>
          <cell r="K123">
            <v>7.2</v>
          </cell>
          <cell r="L123">
            <v>13</v>
          </cell>
          <cell r="M123">
            <v>10</v>
          </cell>
          <cell r="N123">
            <v>9</v>
          </cell>
          <cell r="O123">
            <v>2</v>
          </cell>
          <cell r="P123">
            <v>1</v>
          </cell>
        </row>
        <row r="124">
          <cell r="A124" t="str">
            <v>АНБ-223</v>
          </cell>
          <cell r="B124" t="str">
            <v>АНБ-2</v>
          </cell>
          <cell r="C124">
            <v>2</v>
          </cell>
          <cell r="D124">
            <v>3</v>
          </cell>
          <cell r="E124">
            <v>227460</v>
          </cell>
          <cell r="F124">
            <v>31.8</v>
          </cell>
          <cell r="G124">
            <v>54.1</v>
          </cell>
          <cell r="H124">
            <v>2.7</v>
          </cell>
          <cell r="I124">
            <v>1</v>
          </cell>
          <cell r="J124">
            <v>2.5</v>
          </cell>
          <cell r="K124">
            <v>7.8999999999999915</v>
          </cell>
          <cell r="L124">
            <v>16</v>
          </cell>
          <cell r="M124">
            <v>16</v>
          </cell>
          <cell r="N124">
            <v>9</v>
          </cell>
          <cell r="O124">
            <v>2</v>
          </cell>
          <cell r="P124">
            <v>1</v>
          </cell>
        </row>
        <row r="125">
          <cell r="A125" t="str">
            <v>АНБ-231</v>
          </cell>
          <cell r="B125" t="str">
            <v>АНБ-2</v>
          </cell>
          <cell r="C125">
            <v>3</v>
          </cell>
          <cell r="D125">
            <v>1</v>
          </cell>
          <cell r="E125">
            <v>236130</v>
          </cell>
          <cell r="F125">
            <v>31.5</v>
          </cell>
          <cell r="G125">
            <v>52</v>
          </cell>
          <cell r="H125">
            <v>3.1</v>
          </cell>
          <cell r="I125">
            <v>1.2</v>
          </cell>
          <cell r="J125">
            <v>3.2</v>
          </cell>
          <cell r="K125">
            <v>9</v>
          </cell>
          <cell r="L125">
            <v>11</v>
          </cell>
          <cell r="M125">
            <v>8</v>
          </cell>
          <cell r="N125">
            <v>9</v>
          </cell>
          <cell r="O125">
            <v>2</v>
          </cell>
          <cell r="P125">
            <v>1</v>
          </cell>
        </row>
        <row r="126">
          <cell r="A126" t="str">
            <v>АНБ-232</v>
          </cell>
          <cell r="B126" t="str">
            <v>АНБ-2</v>
          </cell>
          <cell r="C126">
            <v>3</v>
          </cell>
          <cell r="D126">
            <v>2</v>
          </cell>
          <cell r="E126">
            <v>210120</v>
          </cell>
          <cell r="F126">
            <v>30.4</v>
          </cell>
          <cell r="G126">
            <v>51.7</v>
          </cell>
          <cell r="H126">
            <v>3.1</v>
          </cell>
          <cell r="I126">
            <v>1.2</v>
          </cell>
          <cell r="J126">
            <v>3.2</v>
          </cell>
          <cell r="K126">
            <v>10.4</v>
          </cell>
          <cell r="L126">
            <v>15</v>
          </cell>
          <cell r="M126">
            <v>12</v>
          </cell>
          <cell r="N126">
            <v>9</v>
          </cell>
          <cell r="O126">
            <v>2</v>
          </cell>
          <cell r="P126">
            <v>1</v>
          </cell>
        </row>
        <row r="127">
          <cell r="A127" t="str">
            <v>АНБ-233</v>
          </cell>
          <cell r="B127" t="str">
            <v>АНБ-2</v>
          </cell>
          <cell r="C127">
            <v>3</v>
          </cell>
          <cell r="D127">
            <v>3</v>
          </cell>
          <cell r="E127">
            <v>148660</v>
          </cell>
          <cell r="F127">
            <v>29.9</v>
          </cell>
          <cell r="G127">
            <v>51.7</v>
          </cell>
          <cell r="H127">
            <v>3.1</v>
          </cell>
          <cell r="I127">
            <v>1.2</v>
          </cell>
          <cell r="J127">
            <v>3.2</v>
          </cell>
          <cell r="K127">
            <v>10.9</v>
          </cell>
          <cell r="L127">
            <v>18</v>
          </cell>
          <cell r="M127">
            <v>18</v>
          </cell>
          <cell r="N127">
            <v>9</v>
          </cell>
          <cell r="O127">
            <v>2</v>
          </cell>
          <cell r="P127">
            <v>1</v>
          </cell>
        </row>
        <row r="128">
          <cell r="A128" t="str">
            <v>АНБ-241</v>
          </cell>
          <cell r="B128" t="str">
            <v>АНБ-2</v>
          </cell>
          <cell r="C128">
            <v>4</v>
          </cell>
          <cell r="D128">
            <v>1</v>
          </cell>
          <cell r="E128">
            <v>175950</v>
          </cell>
          <cell r="F128">
            <v>29.1</v>
          </cell>
          <cell r="G128">
            <v>50.2</v>
          </cell>
          <cell r="H128">
            <v>4.2</v>
          </cell>
          <cell r="I128">
            <v>1.2</v>
          </cell>
          <cell r="J128">
            <v>3.4</v>
          </cell>
          <cell r="K128">
            <v>11.9</v>
          </cell>
          <cell r="L128">
            <v>13</v>
          </cell>
          <cell r="M128">
            <v>12</v>
          </cell>
          <cell r="N128">
            <v>9</v>
          </cell>
          <cell r="O128">
            <v>2</v>
          </cell>
          <cell r="P128">
            <v>1</v>
          </cell>
        </row>
        <row r="129">
          <cell r="A129" t="str">
            <v>АНБ-242</v>
          </cell>
          <cell r="B129" t="str">
            <v>АНБ-2</v>
          </cell>
          <cell r="C129">
            <v>4</v>
          </cell>
          <cell r="D129">
            <v>2</v>
          </cell>
          <cell r="E129">
            <v>136420</v>
          </cell>
          <cell r="F129">
            <v>28.8</v>
          </cell>
          <cell r="G129">
            <v>49.8</v>
          </cell>
          <cell r="H129">
            <v>4.2</v>
          </cell>
          <cell r="I129">
            <v>1.2</v>
          </cell>
          <cell r="J129">
            <v>3.4</v>
          </cell>
          <cell r="K129">
            <v>12.6</v>
          </cell>
          <cell r="L129">
            <v>17</v>
          </cell>
          <cell r="M129">
            <v>16</v>
          </cell>
          <cell r="N129">
            <v>9</v>
          </cell>
          <cell r="O129">
            <v>2</v>
          </cell>
          <cell r="P129">
            <v>1</v>
          </cell>
        </row>
        <row r="130">
          <cell r="A130" t="str">
            <v>АНБ-243</v>
          </cell>
          <cell r="B130" t="str">
            <v>АНБ-2</v>
          </cell>
          <cell r="C130">
            <v>4</v>
          </cell>
          <cell r="D130">
            <v>3</v>
          </cell>
          <cell r="E130">
            <v>104300</v>
          </cell>
          <cell r="F130">
            <v>28.3</v>
          </cell>
          <cell r="G130">
            <v>49.3</v>
          </cell>
          <cell r="H130">
            <v>4.2</v>
          </cell>
          <cell r="I130">
            <v>1.2</v>
          </cell>
          <cell r="J130">
            <v>3.4</v>
          </cell>
          <cell r="K130">
            <v>13.6</v>
          </cell>
          <cell r="L130">
            <v>20</v>
          </cell>
          <cell r="M130">
            <v>20</v>
          </cell>
          <cell r="N130">
            <v>9</v>
          </cell>
          <cell r="O130">
            <v>2</v>
          </cell>
          <cell r="P130">
            <v>1</v>
          </cell>
        </row>
        <row r="131">
          <cell r="A131" t="str">
            <v>АНБ-253</v>
          </cell>
          <cell r="B131" t="str">
            <v>АНБ-2</v>
          </cell>
          <cell r="C131">
            <v>5</v>
          </cell>
          <cell r="D131">
            <v>3</v>
          </cell>
          <cell r="E131">
            <v>73180</v>
          </cell>
          <cell r="F131">
            <v>27.4</v>
          </cell>
          <cell r="G131">
            <v>48.8</v>
          </cell>
          <cell r="H131">
            <v>4.7</v>
          </cell>
          <cell r="I131">
            <v>1.3</v>
          </cell>
          <cell r="J131">
            <v>3.5</v>
          </cell>
          <cell r="K131">
            <v>14.3</v>
          </cell>
          <cell r="L131">
            <v>22</v>
          </cell>
          <cell r="M131">
            <v>22</v>
          </cell>
          <cell r="N131">
            <v>9</v>
          </cell>
          <cell r="O131">
            <v>2</v>
          </cell>
          <cell r="P131">
            <v>1</v>
          </cell>
        </row>
        <row r="132">
          <cell r="A132" t="str">
            <v>Денов11</v>
          </cell>
          <cell r="B132" t="str">
            <v>Денов</v>
          </cell>
          <cell r="C132">
            <v>1</v>
          </cell>
          <cell r="D132">
            <v>1</v>
          </cell>
          <cell r="E132">
            <v>93120</v>
          </cell>
          <cell r="F132">
            <v>0</v>
          </cell>
          <cell r="G132">
            <v>0</v>
          </cell>
          <cell r="H132">
            <v>0</v>
          </cell>
          <cell r="I132">
            <v>0</v>
          </cell>
          <cell r="J132">
            <v>0</v>
          </cell>
          <cell r="K132">
            <v>0</v>
          </cell>
          <cell r="L132">
            <v>0</v>
          </cell>
          <cell r="M132">
            <v>0</v>
          </cell>
          <cell r="N132">
            <v>9</v>
          </cell>
          <cell r="O132">
            <v>2</v>
          </cell>
          <cell r="P132">
            <v>1</v>
          </cell>
        </row>
        <row r="133">
          <cell r="A133" t="str">
            <v>Денов12</v>
          </cell>
          <cell r="B133" t="str">
            <v>Денов</v>
          </cell>
          <cell r="C133">
            <v>1</v>
          </cell>
          <cell r="D133">
            <v>2</v>
          </cell>
          <cell r="E133">
            <v>90740</v>
          </cell>
          <cell r="F133">
            <v>0</v>
          </cell>
          <cell r="G133">
            <v>0</v>
          </cell>
          <cell r="H133">
            <v>0</v>
          </cell>
          <cell r="I133">
            <v>0</v>
          </cell>
          <cell r="J133">
            <v>0</v>
          </cell>
          <cell r="K133">
            <v>0</v>
          </cell>
          <cell r="L133">
            <v>0</v>
          </cell>
          <cell r="M133">
            <v>0</v>
          </cell>
          <cell r="N133">
            <v>9</v>
          </cell>
          <cell r="O133">
            <v>2</v>
          </cell>
          <cell r="P133">
            <v>1</v>
          </cell>
        </row>
        <row r="134">
          <cell r="A134" t="str">
            <v>Денов13</v>
          </cell>
          <cell r="B134" t="str">
            <v>Денов</v>
          </cell>
          <cell r="C134">
            <v>1</v>
          </cell>
          <cell r="D134">
            <v>3</v>
          </cell>
          <cell r="E134">
            <v>72590</v>
          </cell>
          <cell r="F134">
            <v>0</v>
          </cell>
          <cell r="G134">
            <v>0</v>
          </cell>
          <cell r="H134">
            <v>0</v>
          </cell>
          <cell r="I134">
            <v>0</v>
          </cell>
          <cell r="J134">
            <v>0</v>
          </cell>
          <cell r="K134">
            <v>0</v>
          </cell>
          <cell r="L134">
            <v>0</v>
          </cell>
          <cell r="M134">
            <v>0</v>
          </cell>
          <cell r="N134">
            <v>9</v>
          </cell>
          <cell r="O134">
            <v>2</v>
          </cell>
          <cell r="P134">
            <v>1</v>
          </cell>
        </row>
        <row r="135">
          <cell r="A135" t="str">
            <v>Денов21</v>
          </cell>
          <cell r="B135" t="str">
            <v>Денов</v>
          </cell>
          <cell r="C135">
            <v>2</v>
          </cell>
          <cell r="D135">
            <v>1</v>
          </cell>
          <cell r="E135">
            <v>80510</v>
          </cell>
          <cell r="F135">
            <v>0</v>
          </cell>
          <cell r="G135">
            <v>0</v>
          </cell>
          <cell r="H135">
            <v>0</v>
          </cell>
          <cell r="I135">
            <v>0</v>
          </cell>
          <cell r="J135">
            <v>0</v>
          </cell>
          <cell r="K135">
            <v>0</v>
          </cell>
          <cell r="L135">
            <v>0</v>
          </cell>
          <cell r="M135">
            <v>0</v>
          </cell>
          <cell r="N135">
            <v>9</v>
          </cell>
          <cell r="O135">
            <v>2</v>
          </cell>
          <cell r="P135">
            <v>1</v>
          </cell>
        </row>
        <row r="136">
          <cell r="A136" t="str">
            <v>Денов22</v>
          </cell>
          <cell r="B136" t="str">
            <v>Денов</v>
          </cell>
          <cell r="C136">
            <v>2</v>
          </cell>
          <cell r="D136">
            <v>2</v>
          </cell>
          <cell r="E136">
            <v>78120</v>
          </cell>
          <cell r="F136">
            <v>0</v>
          </cell>
          <cell r="G136">
            <v>0</v>
          </cell>
          <cell r="H136">
            <v>0</v>
          </cell>
          <cell r="I136">
            <v>0</v>
          </cell>
          <cell r="J136">
            <v>0</v>
          </cell>
          <cell r="K136">
            <v>0</v>
          </cell>
          <cell r="L136">
            <v>0</v>
          </cell>
          <cell r="M136">
            <v>0</v>
          </cell>
          <cell r="N136">
            <v>9</v>
          </cell>
          <cell r="O136">
            <v>2</v>
          </cell>
          <cell r="P136">
            <v>1</v>
          </cell>
        </row>
        <row r="137">
          <cell r="A137" t="str">
            <v>Денов23</v>
          </cell>
          <cell r="B137" t="str">
            <v>Денов</v>
          </cell>
          <cell r="C137">
            <v>2</v>
          </cell>
          <cell r="D137">
            <v>3</v>
          </cell>
          <cell r="E137">
            <v>71820</v>
          </cell>
          <cell r="F137">
            <v>0</v>
          </cell>
          <cell r="G137">
            <v>0</v>
          </cell>
          <cell r="H137">
            <v>0</v>
          </cell>
          <cell r="I137">
            <v>0</v>
          </cell>
          <cell r="J137">
            <v>0</v>
          </cell>
          <cell r="K137">
            <v>0</v>
          </cell>
          <cell r="L137">
            <v>0</v>
          </cell>
          <cell r="M137">
            <v>0</v>
          </cell>
          <cell r="N137">
            <v>9</v>
          </cell>
          <cell r="O137">
            <v>2</v>
          </cell>
          <cell r="P137">
            <v>1</v>
          </cell>
        </row>
        <row r="138">
          <cell r="A138" t="str">
            <v>Денов31</v>
          </cell>
          <cell r="B138" t="str">
            <v>Денов</v>
          </cell>
          <cell r="C138">
            <v>3</v>
          </cell>
          <cell r="D138">
            <v>1</v>
          </cell>
          <cell r="E138">
            <v>74550</v>
          </cell>
          <cell r="F138">
            <v>0</v>
          </cell>
          <cell r="G138">
            <v>0</v>
          </cell>
          <cell r="H138">
            <v>0</v>
          </cell>
          <cell r="I138">
            <v>0</v>
          </cell>
          <cell r="J138">
            <v>0</v>
          </cell>
          <cell r="K138">
            <v>0</v>
          </cell>
          <cell r="L138">
            <v>0</v>
          </cell>
          <cell r="M138">
            <v>0</v>
          </cell>
          <cell r="N138">
            <v>9</v>
          </cell>
          <cell r="O138">
            <v>2</v>
          </cell>
          <cell r="P138">
            <v>1</v>
          </cell>
        </row>
        <row r="139">
          <cell r="A139" t="str">
            <v>Денов32</v>
          </cell>
          <cell r="B139" t="str">
            <v>Денов</v>
          </cell>
          <cell r="C139">
            <v>3</v>
          </cell>
          <cell r="D139">
            <v>2</v>
          </cell>
          <cell r="E139">
            <v>66340</v>
          </cell>
          <cell r="F139">
            <v>0</v>
          </cell>
          <cell r="G139">
            <v>0</v>
          </cell>
          <cell r="H139">
            <v>0</v>
          </cell>
          <cell r="I139">
            <v>0</v>
          </cell>
          <cell r="J139">
            <v>0</v>
          </cell>
          <cell r="K139">
            <v>0</v>
          </cell>
          <cell r="L139">
            <v>0</v>
          </cell>
          <cell r="M139">
            <v>0</v>
          </cell>
          <cell r="N139">
            <v>9</v>
          </cell>
          <cell r="O139">
            <v>2</v>
          </cell>
          <cell r="P139">
            <v>1</v>
          </cell>
        </row>
        <row r="140">
          <cell r="A140" t="str">
            <v>Денов33</v>
          </cell>
          <cell r="B140" t="str">
            <v>Денов</v>
          </cell>
          <cell r="C140">
            <v>3</v>
          </cell>
          <cell r="D140">
            <v>3</v>
          </cell>
          <cell r="E140">
            <v>46970</v>
          </cell>
          <cell r="F140">
            <v>0</v>
          </cell>
          <cell r="G140">
            <v>0</v>
          </cell>
          <cell r="H140">
            <v>0</v>
          </cell>
          <cell r="I140">
            <v>0</v>
          </cell>
          <cell r="J140">
            <v>0</v>
          </cell>
          <cell r="K140">
            <v>0</v>
          </cell>
          <cell r="L140">
            <v>0</v>
          </cell>
          <cell r="M140">
            <v>0</v>
          </cell>
          <cell r="N140">
            <v>9</v>
          </cell>
          <cell r="O140">
            <v>2</v>
          </cell>
          <cell r="P140">
            <v>1</v>
          </cell>
        </row>
        <row r="141">
          <cell r="A141" t="str">
            <v>Денов41</v>
          </cell>
          <cell r="B141" t="str">
            <v>Денов</v>
          </cell>
          <cell r="C141">
            <v>4</v>
          </cell>
          <cell r="D141">
            <v>1</v>
          </cell>
          <cell r="E141">
            <v>55570</v>
          </cell>
          <cell r="F141">
            <v>0</v>
          </cell>
          <cell r="G141">
            <v>0</v>
          </cell>
          <cell r="H141">
            <v>0</v>
          </cell>
          <cell r="I141">
            <v>0</v>
          </cell>
          <cell r="J141">
            <v>0</v>
          </cell>
          <cell r="K141">
            <v>0</v>
          </cell>
          <cell r="L141">
            <v>0</v>
          </cell>
          <cell r="M141">
            <v>0</v>
          </cell>
          <cell r="N141">
            <v>9</v>
          </cell>
          <cell r="O141">
            <v>2</v>
          </cell>
          <cell r="P141">
            <v>1</v>
          </cell>
        </row>
        <row r="142">
          <cell r="A142" t="str">
            <v>Денов42</v>
          </cell>
          <cell r="B142" t="str">
            <v>Денов</v>
          </cell>
          <cell r="C142">
            <v>4</v>
          </cell>
          <cell r="D142">
            <v>2</v>
          </cell>
          <cell r="E142">
            <v>43060</v>
          </cell>
          <cell r="F142">
            <v>0</v>
          </cell>
          <cell r="G142">
            <v>0</v>
          </cell>
          <cell r="H142">
            <v>0</v>
          </cell>
          <cell r="I142">
            <v>0</v>
          </cell>
          <cell r="J142">
            <v>0</v>
          </cell>
          <cell r="K142">
            <v>0</v>
          </cell>
          <cell r="L142">
            <v>0</v>
          </cell>
          <cell r="M142">
            <v>0</v>
          </cell>
          <cell r="N142">
            <v>9</v>
          </cell>
          <cell r="O142">
            <v>2</v>
          </cell>
          <cell r="P142">
            <v>1</v>
          </cell>
        </row>
        <row r="143">
          <cell r="A143" t="str">
            <v>Денов43</v>
          </cell>
          <cell r="B143" t="str">
            <v>Денов</v>
          </cell>
          <cell r="C143">
            <v>4</v>
          </cell>
          <cell r="D143">
            <v>3</v>
          </cell>
          <cell r="E143">
            <v>32890</v>
          </cell>
          <cell r="F143">
            <v>0</v>
          </cell>
          <cell r="G143">
            <v>0</v>
          </cell>
          <cell r="H143">
            <v>0</v>
          </cell>
          <cell r="I143">
            <v>0</v>
          </cell>
          <cell r="J143">
            <v>0</v>
          </cell>
          <cell r="K143">
            <v>0</v>
          </cell>
          <cell r="L143">
            <v>0</v>
          </cell>
          <cell r="M143">
            <v>0</v>
          </cell>
          <cell r="N143">
            <v>9</v>
          </cell>
          <cell r="O143">
            <v>2</v>
          </cell>
          <cell r="P143">
            <v>1</v>
          </cell>
        </row>
        <row r="144">
          <cell r="A144" t="str">
            <v>Денов53</v>
          </cell>
          <cell r="B144" t="str">
            <v>Денов</v>
          </cell>
          <cell r="C144">
            <v>5</v>
          </cell>
          <cell r="D144">
            <v>3</v>
          </cell>
          <cell r="E144">
            <v>23080</v>
          </cell>
          <cell r="F144">
            <v>0</v>
          </cell>
          <cell r="G144">
            <v>0</v>
          </cell>
          <cell r="H144">
            <v>0</v>
          </cell>
          <cell r="I144">
            <v>0</v>
          </cell>
          <cell r="J144">
            <v>0</v>
          </cell>
          <cell r="K144">
            <v>0</v>
          </cell>
          <cell r="L144">
            <v>0</v>
          </cell>
          <cell r="M144">
            <v>0</v>
          </cell>
          <cell r="N144">
            <v>9</v>
          </cell>
          <cell r="O144">
            <v>2</v>
          </cell>
          <cell r="P144">
            <v>1</v>
          </cell>
        </row>
        <row r="145">
          <cell r="A145" t="str">
            <v>Н-7711</v>
          </cell>
          <cell r="B145" t="str">
            <v>Н-77</v>
          </cell>
          <cell r="C145">
            <v>1</v>
          </cell>
          <cell r="D145">
            <v>1</v>
          </cell>
          <cell r="E145">
            <v>227876</v>
          </cell>
          <cell r="F145">
            <v>34.4</v>
          </cell>
          <cell r="G145">
            <v>56.3</v>
          </cell>
          <cell r="H145">
            <v>1.7</v>
          </cell>
          <cell r="I145">
            <v>1.5</v>
          </cell>
          <cell r="J145">
            <v>1.6</v>
          </cell>
          <cell r="K145">
            <v>4.5</v>
          </cell>
          <cell r="L145">
            <v>0</v>
          </cell>
          <cell r="M145">
            <v>0</v>
          </cell>
          <cell r="N145">
            <v>9</v>
          </cell>
          <cell r="O145">
            <v>2</v>
          </cell>
          <cell r="P145">
            <v>1</v>
          </cell>
        </row>
        <row r="146">
          <cell r="A146" t="str">
            <v>Н-7712</v>
          </cell>
          <cell r="B146" t="str">
            <v>Н-77</v>
          </cell>
          <cell r="C146">
            <v>1</v>
          </cell>
          <cell r="D146">
            <v>2</v>
          </cell>
          <cell r="E146">
            <v>221958</v>
          </cell>
          <cell r="F146">
            <v>33.9</v>
          </cell>
          <cell r="G146">
            <v>55.9</v>
          </cell>
          <cell r="H146">
            <v>1.7</v>
          </cell>
          <cell r="I146">
            <v>1.5</v>
          </cell>
          <cell r="J146">
            <v>1.6</v>
          </cell>
          <cell r="K146">
            <v>5.4</v>
          </cell>
          <cell r="L146">
            <v>0</v>
          </cell>
          <cell r="M146">
            <v>0</v>
          </cell>
          <cell r="N146">
            <v>9</v>
          </cell>
          <cell r="O146">
            <v>2</v>
          </cell>
          <cell r="P146">
            <v>1</v>
          </cell>
        </row>
        <row r="147">
          <cell r="A147" t="str">
            <v>Н-7713</v>
          </cell>
          <cell r="B147" t="str">
            <v>Н-77</v>
          </cell>
          <cell r="C147">
            <v>1</v>
          </cell>
          <cell r="D147">
            <v>3</v>
          </cell>
          <cell r="E147">
            <v>177649</v>
          </cell>
          <cell r="F147">
            <v>33.700000000000003</v>
          </cell>
          <cell r="G147">
            <v>55.8</v>
          </cell>
          <cell r="H147">
            <v>1.7</v>
          </cell>
          <cell r="I147">
            <v>1.5</v>
          </cell>
          <cell r="J147">
            <v>1.6</v>
          </cell>
          <cell r="K147">
            <v>5.7</v>
          </cell>
          <cell r="L147">
            <v>0</v>
          </cell>
          <cell r="M147">
            <v>0</v>
          </cell>
          <cell r="N147">
            <v>9</v>
          </cell>
          <cell r="O147">
            <v>2</v>
          </cell>
          <cell r="P147">
            <v>1</v>
          </cell>
        </row>
        <row r="148">
          <cell r="A148" t="str">
            <v>Н-7721</v>
          </cell>
          <cell r="B148" t="str">
            <v>Н-77</v>
          </cell>
          <cell r="C148">
            <v>2</v>
          </cell>
          <cell r="D148">
            <v>1</v>
          </cell>
          <cell r="E148">
            <v>196950</v>
          </cell>
          <cell r="F148">
            <v>33.5</v>
          </cell>
          <cell r="G148">
            <v>54.6</v>
          </cell>
          <cell r="H148">
            <v>1.9</v>
          </cell>
          <cell r="I148">
            <v>1.7</v>
          </cell>
          <cell r="J148">
            <v>1.8</v>
          </cell>
          <cell r="K148">
            <v>6.5</v>
          </cell>
          <cell r="L148">
            <v>0</v>
          </cell>
          <cell r="M148">
            <v>0</v>
          </cell>
          <cell r="N148">
            <v>9</v>
          </cell>
          <cell r="O148">
            <v>2</v>
          </cell>
          <cell r="P148">
            <v>1</v>
          </cell>
        </row>
        <row r="149">
          <cell r="A149" t="str">
            <v>Н-7722</v>
          </cell>
          <cell r="B149" t="str">
            <v>Н-77</v>
          </cell>
          <cell r="C149">
            <v>2</v>
          </cell>
          <cell r="D149">
            <v>2</v>
          </cell>
          <cell r="E149">
            <v>191042</v>
          </cell>
          <cell r="F149">
            <v>33.1</v>
          </cell>
          <cell r="G149">
            <v>54.3</v>
          </cell>
          <cell r="H149">
            <v>1.9</v>
          </cell>
          <cell r="I149">
            <v>1.7</v>
          </cell>
          <cell r="J149">
            <v>1.8</v>
          </cell>
          <cell r="K149">
            <v>7.2</v>
          </cell>
          <cell r="L149">
            <v>0</v>
          </cell>
          <cell r="M149">
            <v>0</v>
          </cell>
          <cell r="N149">
            <v>9</v>
          </cell>
          <cell r="O149">
            <v>2</v>
          </cell>
          <cell r="P149">
            <v>1</v>
          </cell>
        </row>
        <row r="150">
          <cell r="A150" t="str">
            <v>Н-7723</v>
          </cell>
          <cell r="B150" t="str">
            <v>Н-77</v>
          </cell>
          <cell r="C150">
            <v>2</v>
          </cell>
          <cell r="D150">
            <v>3</v>
          </cell>
          <cell r="E150">
            <v>175679</v>
          </cell>
          <cell r="F150">
            <v>32.6</v>
          </cell>
          <cell r="G150">
            <v>54.3</v>
          </cell>
          <cell r="H150">
            <v>1.9</v>
          </cell>
          <cell r="I150">
            <v>1.7</v>
          </cell>
          <cell r="J150">
            <v>1.8</v>
          </cell>
          <cell r="K150">
            <v>7.7</v>
          </cell>
          <cell r="L150">
            <v>0</v>
          </cell>
          <cell r="M150">
            <v>0</v>
          </cell>
          <cell r="N150">
            <v>9</v>
          </cell>
          <cell r="O150">
            <v>2</v>
          </cell>
          <cell r="P150">
            <v>1</v>
          </cell>
        </row>
        <row r="151">
          <cell r="A151" t="str">
            <v>Н-7731</v>
          </cell>
          <cell r="B151" t="str">
            <v>Н-77</v>
          </cell>
          <cell r="C151">
            <v>3</v>
          </cell>
          <cell r="D151">
            <v>1</v>
          </cell>
          <cell r="E151">
            <v>182376</v>
          </cell>
          <cell r="F151">
            <v>31.9</v>
          </cell>
          <cell r="G151">
            <v>53.1</v>
          </cell>
          <cell r="H151">
            <v>2.2999999999999998</v>
          </cell>
          <cell r="I151">
            <v>2</v>
          </cell>
          <cell r="J151">
            <v>2</v>
          </cell>
          <cell r="K151">
            <v>8.6999999999999993</v>
          </cell>
          <cell r="L151">
            <v>0</v>
          </cell>
          <cell r="M151">
            <v>0</v>
          </cell>
          <cell r="N151">
            <v>9</v>
          </cell>
          <cell r="O151">
            <v>2</v>
          </cell>
          <cell r="P151">
            <v>1</v>
          </cell>
        </row>
        <row r="152">
          <cell r="A152" t="str">
            <v>Н-7732</v>
          </cell>
          <cell r="B152" t="str">
            <v>Н-77</v>
          </cell>
          <cell r="C152">
            <v>3</v>
          </cell>
          <cell r="D152">
            <v>2</v>
          </cell>
          <cell r="E152">
            <v>162287</v>
          </cell>
          <cell r="F152">
            <v>31.2</v>
          </cell>
          <cell r="G152">
            <v>53.1</v>
          </cell>
          <cell r="H152">
            <v>2.2999999999999998</v>
          </cell>
          <cell r="I152">
            <v>2</v>
          </cell>
          <cell r="J152">
            <v>2</v>
          </cell>
          <cell r="K152">
            <v>9.4</v>
          </cell>
          <cell r="L152">
            <v>0</v>
          </cell>
          <cell r="M152">
            <v>0</v>
          </cell>
          <cell r="N152">
            <v>9</v>
          </cell>
          <cell r="O152">
            <v>2</v>
          </cell>
          <cell r="P152">
            <v>1</v>
          </cell>
        </row>
        <row r="153">
          <cell r="A153" t="str">
            <v>Н-7733</v>
          </cell>
          <cell r="B153" t="str">
            <v>Н-77</v>
          </cell>
          <cell r="C153">
            <v>3</v>
          </cell>
          <cell r="D153">
            <v>3</v>
          </cell>
          <cell r="E153">
            <v>114817</v>
          </cell>
          <cell r="F153">
            <v>30.1</v>
          </cell>
          <cell r="G153">
            <v>53.1</v>
          </cell>
          <cell r="H153">
            <v>2.2999999999999998</v>
          </cell>
          <cell r="I153">
            <v>2</v>
          </cell>
          <cell r="J153">
            <v>2</v>
          </cell>
          <cell r="K153">
            <v>10.5</v>
          </cell>
          <cell r="L153">
            <v>0</v>
          </cell>
          <cell r="M153">
            <v>0</v>
          </cell>
          <cell r="N153">
            <v>9</v>
          </cell>
          <cell r="O153">
            <v>2</v>
          </cell>
          <cell r="P153">
            <v>1</v>
          </cell>
        </row>
        <row r="154">
          <cell r="A154" t="str">
            <v>Н-7741</v>
          </cell>
          <cell r="B154" t="str">
            <v>Н-77</v>
          </cell>
          <cell r="C154">
            <v>4</v>
          </cell>
          <cell r="D154">
            <v>1</v>
          </cell>
          <cell r="E154">
            <v>135896</v>
          </cell>
          <cell r="F154">
            <v>28.6</v>
          </cell>
          <cell r="G154">
            <v>52.7</v>
          </cell>
          <cell r="H154">
            <v>2.8</v>
          </cell>
          <cell r="I154">
            <v>2</v>
          </cell>
          <cell r="J154">
            <v>2</v>
          </cell>
          <cell r="K154">
            <v>11.9</v>
          </cell>
          <cell r="L154">
            <v>0</v>
          </cell>
          <cell r="M154">
            <v>0</v>
          </cell>
          <cell r="N154">
            <v>9</v>
          </cell>
          <cell r="O154">
            <v>2</v>
          </cell>
          <cell r="P154">
            <v>1</v>
          </cell>
        </row>
        <row r="155">
          <cell r="A155" t="str">
            <v>Н-7742</v>
          </cell>
          <cell r="B155" t="str">
            <v>Н-77</v>
          </cell>
          <cell r="C155">
            <v>4</v>
          </cell>
          <cell r="D155">
            <v>2</v>
          </cell>
          <cell r="E155">
            <v>105363</v>
          </cell>
          <cell r="F155">
            <v>28.2</v>
          </cell>
          <cell r="G155">
            <v>52.5</v>
          </cell>
          <cell r="H155">
            <v>2.8</v>
          </cell>
          <cell r="I155">
            <v>2</v>
          </cell>
          <cell r="J155">
            <v>2</v>
          </cell>
          <cell r="K155">
            <v>12.5</v>
          </cell>
          <cell r="L155">
            <v>0</v>
          </cell>
          <cell r="M155">
            <v>0</v>
          </cell>
          <cell r="N155">
            <v>9</v>
          </cell>
          <cell r="O155">
            <v>2</v>
          </cell>
          <cell r="P155">
            <v>1</v>
          </cell>
        </row>
        <row r="156">
          <cell r="A156" t="str">
            <v>Н-7743</v>
          </cell>
          <cell r="B156" t="str">
            <v>Н-77</v>
          </cell>
          <cell r="C156">
            <v>4</v>
          </cell>
          <cell r="D156">
            <v>3</v>
          </cell>
          <cell r="E156">
            <v>80558</v>
          </cell>
          <cell r="F156">
            <v>27.7</v>
          </cell>
          <cell r="G156">
            <v>52</v>
          </cell>
          <cell r="H156">
            <v>2.8</v>
          </cell>
          <cell r="I156">
            <v>2</v>
          </cell>
          <cell r="J156">
            <v>2</v>
          </cell>
          <cell r="K156">
            <v>13.5</v>
          </cell>
          <cell r="L156">
            <v>0</v>
          </cell>
          <cell r="M156">
            <v>0</v>
          </cell>
          <cell r="N156">
            <v>9</v>
          </cell>
          <cell r="O156">
            <v>2</v>
          </cell>
          <cell r="P156">
            <v>1</v>
          </cell>
        </row>
        <row r="157">
          <cell r="A157" t="str">
            <v>Н-7753</v>
          </cell>
          <cell r="B157" t="str">
            <v>Н-77</v>
          </cell>
          <cell r="C157">
            <v>5</v>
          </cell>
          <cell r="D157">
            <v>3</v>
          </cell>
          <cell r="E157">
            <v>56520</v>
          </cell>
          <cell r="F157">
            <v>27.2</v>
          </cell>
          <cell r="G157">
            <v>51.5</v>
          </cell>
          <cell r="H157">
            <v>2.8</v>
          </cell>
          <cell r="I157">
            <v>2</v>
          </cell>
          <cell r="J157">
            <v>2</v>
          </cell>
          <cell r="K157">
            <v>14.5</v>
          </cell>
          <cell r="L157">
            <v>0</v>
          </cell>
          <cell r="M157">
            <v>0</v>
          </cell>
          <cell r="N157">
            <v>9</v>
          </cell>
          <cell r="O157">
            <v>2</v>
          </cell>
          <cell r="P157">
            <v>1</v>
          </cell>
        </row>
        <row r="158">
          <cell r="A158" t="str">
            <v>Юл-з11</v>
          </cell>
          <cell r="B158" t="str">
            <v>Юл-з</v>
          </cell>
          <cell r="C158">
            <v>1</v>
          </cell>
          <cell r="D158">
            <v>1</v>
          </cell>
          <cell r="E158">
            <v>93120</v>
          </cell>
          <cell r="F158">
            <v>35.1</v>
          </cell>
          <cell r="G158">
            <v>55.9</v>
          </cell>
          <cell r="H158">
            <v>2.9</v>
          </cell>
          <cell r="I158">
            <v>0.7</v>
          </cell>
          <cell r="J158">
            <v>1.1000000000000001</v>
          </cell>
          <cell r="K158">
            <v>4.3</v>
          </cell>
          <cell r="L158">
            <v>0</v>
          </cell>
          <cell r="M158">
            <v>0</v>
          </cell>
          <cell r="N158">
            <v>9</v>
          </cell>
          <cell r="O158">
            <v>2</v>
          </cell>
          <cell r="P158">
            <v>1</v>
          </cell>
        </row>
        <row r="159">
          <cell r="A159" t="str">
            <v>Юл-з12</v>
          </cell>
          <cell r="B159" t="str">
            <v>Юл-з</v>
          </cell>
          <cell r="C159">
            <v>1</v>
          </cell>
          <cell r="D159">
            <v>2</v>
          </cell>
          <cell r="E159">
            <v>90740</v>
          </cell>
          <cell r="F159">
            <v>34.700000000000003</v>
          </cell>
          <cell r="G159">
            <v>55.6</v>
          </cell>
          <cell r="H159">
            <v>2.9</v>
          </cell>
          <cell r="I159">
            <v>0.7</v>
          </cell>
          <cell r="J159">
            <v>1.1000000000000001</v>
          </cell>
          <cell r="K159">
            <v>5</v>
          </cell>
          <cell r="L159">
            <v>0</v>
          </cell>
          <cell r="M159">
            <v>0</v>
          </cell>
          <cell r="N159">
            <v>9</v>
          </cell>
          <cell r="O159">
            <v>2</v>
          </cell>
          <cell r="P159">
            <v>1</v>
          </cell>
        </row>
        <row r="160">
          <cell r="A160" t="str">
            <v>Юл-з13</v>
          </cell>
          <cell r="B160" t="str">
            <v>Юл-з</v>
          </cell>
          <cell r="C160">
            <v>1</v>
          </cell>
          <cell r="D160">
            <v>3</v>
          </cell>
          <cell r="E160">
            <v>72590</v>
          </cell>
          <cell r="F160">
            <v>34.5</v>
          </cell>
          <cell r="G160">
            <v>55.3</v>
          </cell>
          <cell r="H160">
            <v>2.9</v>
          </cell>
          <cell r="I160">
            <v>0.7</v>
          </cell>
          <cell r="J160">
            <v>1.1000000000000001</v>
          </cell>
          <cell r="K160">
            <v>5.5</v>
          </cell>
          <cell r="L160">
            <v>0</v>
          </cell>
          <cell r="M160">
            <v>0</v>
          </cell>
          <cell r="N160">
            <v>9</v>
          </cell>
          <cell r="O160">
            <v>2</v>
          </cell>
          <cell r="P160">
            <v>1</v>
          </cell>
        </row>
        <row r="161">
          <cell r="A161" t="str">
            <v>Юл-з21</v>
          </cell>
          <cell r="B161" t="str">
            <v>Юл-з</v>
          </cell>
          <cell r="C161">
            <v>2</v>
          </cell>
          <cell r="D161">
            <v>1</v>
          </cell>
          <cell r="E161">
            <v>80510</v>
          </cell>
          <cell r="F161">
            <v>33.799999999999997</v>
          </cell>
          <cell r="G161">
            <v>55</v>
          </cell>
          <cell r="H161">
            <v>2.9</v>
          </cell>
          <cell r="I161">
            <v>0.8</v>
          </cell>
          <cell r="J161">
            <v>1.2</v>
          </cell>
          <cell r="K161">
            <v>6.3</v>
          </cell>
          <cell r="L161">
            <v>0</v>
          </cell>
          <cell r="M161">
            <v>0</v>
          </cell>
          <cell r="N161">
            <v>9</v>
          </cell>
          <cell r="O161">
            <v>2</v>
          </cell>
          <cell r="P161">
            <v>1</v>
          </cell>
        </row>
        <row r="162">
          <cell r="A162" t="str">
            <v>Юл-з22</v>
          </cell>
          <cell r="B162" t="str">
            <v>Юл-з</v>
          </cell>
          <cell r="C162">
            <v>2</v>
          </cell>
          <cell r="D162">
            <v>2</v>
          </cell>
          <cell r="E162">
            <v>78120</v>
          </cell>
          <cell r="F162">
            <v>33.299999999999997</v>
          </cell>
          <cell r="G162">
            <v>54.2</v>
          </cell>
          <cell r="H162">
            <v>2.9</v>
          </cell>
          <cell r="I162">
            <v>0.8</v>
          </cell>
          <cell r="J162">
            <v>1.2</v>
          </cell>
          <cell r="K162">
            <v>7.6</v>
          </cell>
          <cell r="L162">
            <v>0</v>
          </cell>
          <cell r="M162">
            <v>0</v>
          </cell>
          <cell r="N162">
            <v>9</v>
          </cell>
          <cell r="O162">
            <v>2</v>
          </cell>
          <cell r="P162">
            <v>1</v>
          </cell>
        </row>
        <row r="163">
          <cell r="A163" t="str">
            <v>Юл-з23</v>
          </cell>
          <cell r="B163" t="str">
            <v>Юл-з</v>
          </cell>
          <cell r="C163">
            <v>2</v>
          </cell>
          <cell r="D163">
            <v>3</v>
          </cell>
          <cell r="E163">
            <v>71820</v>
          </cell>
          <cell r="F163">
            <v>32.9</v>
          </cell>
          <cell r="G163">
            <v>54.1</v>
          </cell>
          <cell r="H163">
            <v>2.9</v>
          </cell>
          <cell r="I163">
            <v>0.8</v>
          </cell>
          <cell r="J163">
            <v>1.2</v>
          </cell>
          <cell r="K163">
            <v>8.1</v>
          </cell>
          <cell r="L163">
            <v>0</v>
          </cell>
          <cell r="M163">
            <v>0</v>
          </cell>
          <cell r="N163">
            <v>9</v>
          </cell>
          <cell r="O163">
            <v>2</v>
          </cell>
          <cell r="P163">
            <v>1</v>
          </cell>
        </row>
        <row r="164">
          <cell r="A164" t="str">
            <v>Юл-з31</v>
          </cell>
          <cell r="B164" t="str">
            <v>Юл-з</v>
          </cell>
          <cell r="C164">
            <v>3</v>
          </cell>
          <cell r="D164">
            <v>1</v>
          </cell>
          <cell r="E164">
            <v>74550</v>
          </cell>
          <cell r="F164">
            <v>32.6</v>
          </cell>
          <cell r="G164">
            <v>52.4</v>
          </cell>
          <cell r="H164">
            <v>3.6</v>
          </cell>
          <cell r="I164">
            <v>0.9</v>
          </cell>
          <cell r="J164">
            <v>1.3</v>
          </cell>
          <cell r="K164">
            <v>9.1999999999999993</v>
          </cell>
          <cell r="L164">
            <v>0</v>
          </cell>
          <cell r="M164">
            <v>0</v>
          </cell>
          <cell r="N164">
            <v>9</v>
          </cell>
          <cell r="O164">
            <v>2</v>
          </cell>
          <cell r="P164">
            <v>1</v>
          </cell>
        </row>
        <row r="165">
          <cell r="A165" t="str">
            <v>Юл-з32</v>
          </cell>
          <cell r="B165" t="str">
            <v>Юл-з</v>
          </cell>
          <cell r="C165">
            <v>3</v>
          </cell>
          <cell r="D165">
            <v>2</v>
          </cell>
          <cell r="E165">
            <v>66340</v>
          </cell>
          <cell r="F165">
            <v>32.200000000000003</v>
          </cell>
          <cell r="G165">
            <v>51.8</v>
          </cell>
          <cell r="H165">
            <v>3.6</v>
          </cell>
          <cell r="I165">
            <v>0.9</v>
          </cell>
          <cell r="J165">
            <v>1.3</v>
          </cell>
          <cell r="K165">
            <v>10.199999999999999</v>
          </cell>
          <cell r="L165">
            <v>0</v>
          </cell>
          <cell r="M165">
            <v>0</v>
          </cell>
          <cell r="N165">
            <v>9</v>
          </cell>
          <cell r="O165">
            <v>2</v>
          </cell>
          <cell r="P165">
            <v>1</v>
          </cell>
        </row>
        <row r="166">
          <cell r="A166" t="str">
            <v>Юл-з33</v>
          </cell>
          <cell r="B166" t="str">
            <v>Юл-з</v>
          </cell>
          <cell r="C166">
            <v>3</v>
          </cell>
          <cell r="D166">
            <v>3</v>
          </cell>
          <cell r="E166">
            <v>46970</v>
          </cell>
          <cell r="F166">
            <v>31.7</v>
          </cell>
          <cell r="G166">
            <v>51.8</v>
          </cell>
          <cell r="H166">
            <v>3.6</v>
          </cell>
          <cell r="I166">
            <v>0.9</v>
          </cell>
          <cell r="J166">
            <v>1.3</v>
          </cell>
          <cell r="K166">
            <v>10.7</v>
          </cell>
          <cell r="L166">
            <v>0</v>
          </cell>
          <cell r="M166">
            <v>0</v>
          </cell>
          <cell r="N166">
            <v>9</v>
          </cell>
          <cell r="O166">
            <v>2</v>
          </cell>
          <cell r="P166">
            <v>1</v>
          </cell>
        </row>
        <row r="167">
          <cell r="A167" t="str">
            <v>Юл-з41</v>
          </cell>
          <cell r="B167" t="str">
            <v>Юл-з</v>
          </cell>
          <cell r="C167">
            <v>4</v>
          </cell>
          <cell r="D167">
            <v>1</v>
          </cell>
          <cell r="E167">
            <v>55570</v>
          </cell>
          <cell r="F167">
            <v>30.2</v>
          </cell>
          <cell r="G167">
            <v>51.4</v>
          </cell>
          <cell r="H167">
            <v>3.7</v>
          </cell>
          <cell r="I167">
            <v>1</v>
          </cell>
          <cell r="J167">
            <v>1.4</v>
          </cell>
          <cell r="K167">
            <v>12.3</v>
          </cell>
          <cell r="L167">
            <v>0</v>
          </cell>
          <cell r="M167">
            <v>0</v>
          </cell>
          <cell r="N167">
            <v>9</v>
          </cell>
          <cell r="O167">
            <v>2</v>
          </cell>
          <cell r="P167">
            <v>1</v>
          </cell>
        </row>
        <row r="168">
          <cell r="A168" t="str">
            <v>Юл-з42</v>
          </cell>
          <cell r="B168" t="str">
            <v>Юл-з</v>
          </cell>
          <cell r="C168">
            <v>4</v>
          </cell>
          <cell r="D168">
            <v>2</v>
          </cell>
          <cell r="E168">
            <v>43060</v>
          </cell>
          <cell r="F168">
            <v>29.6</v>
          </cell>
          <cell r="G168">
            <v>50.9</v>
          </cell>
          <cell r="H168">
            <v>3.7</v>
          </cell>
          <cell r="I168">
            <v>1</v>
          </cell>
          <cell r="J168">
            <v>1.4</v>
          </cell>
          <cell r="K168">
            <v>13.4</v>
          </cell>
          <cell r="L168">
            <v>0</v>
          </cell>
          <cell r="M168">
            <v>0</v>
          </cell>
          <cell r="N168">
            <v>9</v>
          </cell>
          <cell r="O168">
            <v>2</v>
          </cell>
          <cell r="P168">
            <v>1</v>
          </cell>
        </row>
        <row r="169">
          <cell r="A169" t="str">
            <v>Юл-з43</v>
          </cell>
          <cell r="B169" t="str">
            <v>Юл-з</v>
          </cell>
          <cell r="C169">
            <v>4</v>
          </cell>
          <cell r="D169">
            <v>3</v>
          </cell>
          <cell r="E169">
            <v>32890</v>
          </cell>
          <cell r="F169">
            <v>29.1</v>
          </cell>
          <cell r="G169">
            <v>50.7</v>
          </cell>
          <cell r="H169">
            <v>3.7</v>
          </cell>
          <cell r="I169">
            <v>1</v>
          </cell>
          <cell r="J169">
            <v>1.4</v>
          </cell>
          <cell r="K169">
            <v>14.1</v>
          </cell>
          <cell r="L169">
            <v>0</v>
          </cell>
          <cell r="M169">
            <v>0</v>
          </cell>
          <cell r="N169">
            <v>9</v>
          </cell>
          <cell r="O169">
            <v>2</v>
          </cell>
          <cell r="P169">
            <v>1</v>
          </cell>
        </row>
        <row r="170">
          <cell r="A170" t="str">
            <v>Юл-з53</v>
          </cell>
          <cell r="B170" t="str">
            <v>Юл-з</v>
          </cell>
          <cell r="C170">
            <v>5</v>
          </cell>
          <cell r="D170">
            <v>3</v>
          </cell>
          <cell r="E170">
            <v>23080</v>
          </cell>
          <cell r="F170">
            <v>28.2</v>
          </cell>
          <cell r="G170">
            <v>50.7</v>
          </cell>
          <cell r="H170">
            <v>4</v>
          </cell>
          <cell r="I170">
            <v>1</v>
          </cell>
          <cell r="J170">
            <v>1.4</v>
          </cell>
          <cell r="K170">
            <v>14.7</v>
          </cell>
          <cell r="L170">
            <v>0</v>
          </cell>
          <cell r="M170">
            <v>0</v>
          </cell>
          <cell r="N170">
            <v>9</v>
          </cell>
          <cell r="O170">
            <v>2</v>
          </cell>
          <cell r="P170">
            <v>1</v>
          </cell>
        </row>
        <row r="171">
          <cell r="A171" t="str">
            <v>Т 3111</v>
          </cell>
          <cell r="B171" t="str">
            <v>Т 31</v>
          </cell>
          <cell r="C171">
            <v>1</v>
          </cell>
          <cell r="D171">
            <v>1</v>
          </cell>
          <cell r="E171">
            <v>93120</v>
          </cell>
          <cell r="F171">
            <v>0</v>
          </cell>
          <cell r="G171">
            <v>0</v>
          </cell>
          <cell r="H171">
            <v>0</v>
          </cell>
          <cell r="I171">
            <v>0</v>
          </cell>
          <cell r="J171">
            <v>0</v>
          </cell>
          <cell r="K171">
            <v>0</v>
          </cell>
          <cell r="L171">
            <v>0</v>
          </cell>
          <cell r="M171">
            <v>0</v>
          </cell>
          <cell r="N171">
            <v>9</v>
          </cell>
          <cell r="O171">
            <v>2</v>
          </cell>
          <cell r="P171">
            <v>1</v>
          </cell>
        </row>
        <row r="172">
          <cell r="A172" t="str">
            <v>Т 3112</v>
          </cell>
          <cell r="B172" t="str">
            <v>Т 31</v>
          </cell>
          <cell r="C172">
            <v>1</v>
          </cell>
          <cell r="D172">
            <v>2</v>
          </cell>
          <cell r="E172">
            <v>90740</v>
          </cell>
          <cell r="F172">
            <v>0</v>
          </cell>
          <cell r="G172">
            <v>0</v>
          </cell>
          <cell r="H172">
            <v>0</v>
          </cell>
          <cell r="I172">
            <v>0</v>
          </cell>
          <cell r="J172">
            <v>0</v>
          </cell>
          <cell r="K172">
            <v>0</v>
          </cell>
          <cell r="L172">
            <v>0</v>
          </cell>
          <cell r="M172">
            <v>0</v>
          </cell>
          <cell r="N172">
            <v>9</v>
          </cell>
          <cell r="O172">
            <v>2</v>
          </cell>
          <cell r="P172">
            <v>1</v>
          </cell>
        </row>
        <row r="173">
          <cell r="A173" t="str">
            <v>Т 3113</v>
          </cell>
          <cell r="B173" t="str">
            <v>Т 31</v>
          </cell>
          <cell r="C173">
            <v>1</v>
          </cell>
          <cell r="D173">
            <v>3</v>
          </cell>
          <cell r="E173">
            <v>72590</v>
          </cell>
          <cell r="F173">
            <v>0</v>
          </cell>
          <cell r="G173">
            <v>0</v>
          </cell>
          <cell r="H173">
            <v>0</v>
          </cell>
          <cell r="I173">
            <v>0</v>
          </cell>
          <cell r="J173">
            <v>0</v>
          </cell>
          <cell r="K173">
            <v>0</v>
          </cell>
          <cell r="L173">
            <v>0</v>
          </cell>
          <cell r="M173">
            <v>0</v>
          </cell>
          <cell r="N173">
            <v>9</v>
          </cell>
          <cell r="O173">
            <v>2</v>
          </cell>
          <cell r="P173">
            <v>1</v>
          </cell>
        </row>
        <row r="174">
          <cell r="A174" t="str">
            <v>Т 3121</v>
          </cell>
          <cell r="B174" t="str">
            <v>Т 31</v>
          </cell>
          <cell r="C174">
            <v>2</v>
          </cell>
          <cell r="D174">
            <v>1</v>
          </cell>
          <cell r="E174">
            <v>80510</v>
          </cell>
          <cell r="F174">
            <v>0</v>
          </cell>
          <cell r="G174">
            <v>0</v>
          </cell>
          <cell r="H174">
            <v>0</v>
          </cell>
          <cell r="I174">
            <v>0</v>
          </cell>
          <cell r="J174">
            <v>0</v>
          </cell>
          <cell r="K174">
            <v>0</v>
          </cell>
          <cell r="L174">
            <v>0</v>
          </cell>
          <cell r="M174">
            <v>0</v>
          </cell>
          <cell r="N174">
            <v>9</v>
          </cell>
          <cell r="O174">
            <v>2</v>
          </cell>
          <cell r="P174">
            <v>1</v>
          </cell>
        </row>
        <row r="175">
          <cell r="A175" t="str">
            <v>Т 3122</v>
          </cell>
          <cell r="B175" t="str">
            <v>Т 31</v>
          </cell>
          <cell r="C175">
            <v>2</v>
          </cell>
          <cell r="D175">
            <v>2</v>
          </cell>
          <cell r="E175">
            <v>78120</v>
          </cell>
          <cell r="F175">
            <v>0</v>
          </cell>
          <cell r="G175">
            <v>0</v>
          </cell>
          <cell r="H175">
            <v>0</v>
          </cell>
          <cell r="I175">
            <v>0</v>
          </cell>
          <cell r="J175">
            <v>0</v>
          </cell>
          <cell r="K175">
            <v>0</v>
          </cell>
          <cell r="L175">
            <v>0</v>
          </cell>
          <cell r="M175">
            <v>0</v>
          </cell>
          <cell r="N175">
            <v>9</v>
          </cell>
          <cell r="O175">
            <v>2</v>
          </cell>
          <cell r="P175">
            <v>1</v>
          </cell>
        </row>
        <row r="176">
          <cell r="A176" t="str">
            <v>Т 3123</v>
          </cell>
          <cell r="B176" t="str">
            <v>Т 31</v>
          </cell>
          <cell r="C176">
            <v>2</v>
          </cell>
          <cell r="D176">
            <v>3</v>
          </cell>
          <cell r="E176">
            <v>71820</v>
          </cell>
          <cell r="F176">
            <v>0</v>
          </cell>
          <cell r="G176">
            <v>0</v>
          </cell>
          <cell r="H176">
            <v>0</v>
          </cell>
          <cell r="I176">
            <v>0</v>
          </cell>
          <cell r="J176">
            <v>0</v>
          </cell>
          <cell r="K176">
            <v>0</v>
          </cell>
          <cell r="L176">
            <v>0</v>
          </cell>
          <cell r="M176">
            <v>0</v>
          </cell>
          <cell r="N176">
            <v>9</v>
          </cell>
          <cell r="O176">
            <v>2</v>
          </cell>
          <cell r="P176">
            <v>1</v>
          </cell>
        </row>
        <row r="177">
          <cell r="A177" t="str">
            <v>Т 3131</v>
          </cell>
          <cell r="B177" t="str">
            <v>Т 31</v>
          </cell>
          <cell r="C177">
            <v>3</v>
          </cell>
          <cell r="D177">
            <v>1</v>
          </cell>
          <cell r="E177">
            <v>74550</v>
          </cell>
          <cell r="F177">
            <v>0</v>
          </cell>
          <cell r="G177">
            <v>0</v>
          </cell>
          <cell r="H177">
            <v>0</v>
          </cell>
          <cell r="I177">
            <v>0</v>
          </cell>
          <cell r="J177">
            <v>0</v>
          </cell>
          <cell r="K177">
            <v>0</v>
          </cell>
          <cell r="L177">
            <v>0</v>
          </cell>
          <cell r="M177">
            <v>0</v>
          </cell>
          <cell r="N177">
            <v>9</v>
          </cell>
          <cell r="O177">
            <v>2</v>
          </cell>
          <cell r="P177">
            <v>1</v>
          </cell>
        </row>
        <row r="178">
          <cell r="A178" t="str">
            <v>Т 3132</v>
          </cell>
          <cell r="B178" t="str">
            <v>Т 31</v>
          </cell>
          <cell r="C178">
            <v>3</v>
          </cell>
          <cell r="D178">
            <v>2</v>
          </cell>
          <cell r="E178">
            <v>66340</v>
          </cell>
          <cell r="F178">
            <v>0</v>
          </cell>
          <cell r="G178">
            <v>0</v>
          </cell>
          <cell r="H178">
            <v>0</v>
          </cell>
          <cell r="I178">
            <v>0</v>
          </cell>
          <cell r="J178">
            <v>0</v>
          </cell>
          <cell r="K178">
            <v>0</v>
          </cell>
          <cell r="L178">
            <v>0</v>
          </cell>
          <cell r="M178">
            <v>0</v>
          </cell>
          <cell r="N178">
            <v>9</v>
          </cell>
          <cell r="O178">
            <v>2</v>
          </cell>
          <cell r="P178">
            <v>1</v>
          </cell>
        </row>
        <row r="179">
          <cell r="A179" t="str">
            <v>Т 3133</v>
          </cell>
          <cell r="B179" t="str">
            <v>Т 31</v>
          </cell>
          <cell r="C179">
            <v>3</v>
          </cell>
          <cell r="D179">
            <v>3</v>
          </cell>
          <cell r="E179">
            <v>46970</v>
          </cell>
          <cell r="F179">
            <v>0</v>
          </cell>
          <cell r="G179">
            <v>0</v>
          </cell>
          <cell r="H179">
            <v>0</v>
          </cell>
          <cell r="I179">
            <v>0</v>
          </cell>
          <cell r="J179">
            <v>0</v>
          </cell>
          <cell r="K179">
            <v>0</v>
          </cell>
          <cell r="L179">
            <v>0</v>
          </cell>
          <cell r="M179">
            <v>0</v>
          </cell>
          <cell r="N179">
            <v>9</v>
          </cell>
          <cell r="O179">
            <v>2</v>
          </cell>
          <cell r="P179">
            <v>1</v>
          </cell>
        </row>
        <row r="180">
          <cell r="A180" t="str">
            <v>Т 3141</v>
          </cell>
          <cell r="B180" t="str">
            <v>Т 31</v>
          </cell>
          <cell r="C180">
            <v>4</v>
          </cell>
          <cell r="D180">
            <v>1</v>
          </cell>
          <cell r="E180">
            <v>55570</v>
          </cell>
          <cell r="F180">
            <v>0</v>
          </cell>
          <cell r="G180">
            <v>0</v>
          </cell>
          <cell r="H180">
            <v>0</v>
          </cell>
          <cell r="I180">
            <v>0</v>
          </cell>
          <cell r="J180">
            <v>0</v>
          </cell>
          <cell r="K180">
            <v>0</v>
          </cell>
          <cell r="L180">
            <v>0</v>
          </cell>
          <cell r="M180">
            <v>0</v>
          </cell>
          <cell r="N180">
            <v>9</v>
          </cell>
          <cell r="O180">
            <v>2</v>
          </cell>
          <cell r="P180">
            <v>1</v>
          </cell>
        </row>
        <row r="181">
          <cell r="A181" t="str">
            <v>Т 3142</v>
          </cell>
          <cell r="B181" t="str">
            <v>Т 31</v>
          </cell>
          <cell r="C181">
            <v>4</v>
          </cell>
          <cell r="D181">
            <v>2</v>
          </cell>
          <cell r="E181">
            <v>43060</v>
          </cell>
          <cell r="F181">
            <v>0</v>
          </cell>
          <cell r="G181">
            <v>0</v>
          </cell>
          <cell r="H181">
            <v>0</v>
          </cell>
          <cell r="I181">
            <v>0</v>
          </cell>
          <cell r="J181">
            <v>0</v>
          </cell>
          <cell r="K181">
            <v>0</v>
          </cell>
          <cell r="L181">
            <v>0</v>
          </cell>
          <cell r="M181">
            <v>0</v>
          </cell>
          <cell r="N181">
            <v>9</v>
          </cell>
          <cell r="O181">
            <v>2</v>
          </cell>
          <cell r="P181">
            <v>1</v>
          </cell>
        </row>
        <row r="182">
          <cell r="A182" t="str">
            <v>Т 3143</v>
          </cell>
          <cell r="B182" t="str">
            <v>Т 31</v>
          </cell>
          <cell r="C182">
            <v>4</v>
          </cell>
          <cell r="D182">
            <v>3</v>
          </cell>
          <cell r="E182">
            <v>32890</v>
          </cell>
          <cell r="F182">
            <v>0</v>
          </cell>
          <cell r="G182">
            <v>0</v>
          </cell>
          <cell r="H182">
            <v>0</v>
          </cell>
          <cell r="I182">
            <v>0</v>
          </cell>
          <cell r="J182">
            <v>0</v>
          </cell>
          <cell r="K182">
            <v>0</v>
          </cell>
          <cell r="L182">
            <v>0</v>
          </cell>
          <cell r="M182">
            <v>0</v>
          </cell>
          <cell r="N182">
            <v>9</v>
          </cell>
          <cell r="O182">
            <v>2</v>
          </cell>
          <cell r="P182">
            <v>1</v>
          </cell>
        </row>
        <row r="183">
          <cell r="A183" t="str">
            <v>Т 3153</v>
          </cell>
          <cell r="B183" t="str">
            <v>Т 31</v>
          </cell>
          <cell r="C183">
            <v>5</v>
          </cell>
          <cell r="D183">
            <v>3</v>
          </cell>
          <cell r="E183">
            <v>23080</v>
          </cell>
          <cell r="F183">
            <v>0</v>
          </cell>
          <cell r="G183">
            <v>0</v>
          </cell>
          <cell r="H183">
            <v>0</v>
          </cell>
          <cell r="I183">
            <v>0</v>
          </cell>
          <cell r="J183">
            <v>0</v>
          </cell>
          <cell r="K183">
            <v>0</v>
          </cell>
          <cell r="L183">
            <v>0</v>
          </cell>
          <cell r="M183">
            <v>0</v>
          </cell>
          <cell r="N183">
            <v>9</v>
          </cell>
          <cell r="O183">
            <v>2</v>
          </cell>
          <cell r="P183">
            <v>1</v>
          </cell>
        </row>
        <row r="184">
          <cell r="A184" t="str">
            <v>С-211</v>
          </cell>
          <cell r="B184" t="str">
            <v>С-2</v>
          </cell>
          <cell r="C184">
            <v>1</v>
          </cell>
          <cell r="D184">
            <v>1</v>
          </cell>
          <cell r="E184">
            <v>93120</v>
          </cell>
          <cell r="F184">
            <v>0</v>
          </cell>
          <cell r="G184">
            <v>0</v>
          </cell>
          <cell r="H184">
            <v>0</v>
          </cell>
          <cell r="I184">
            <v>0</v>
          </cell>
          <cell r="J184">
            <v>0</v>
          </cell>
          <cell r="K184">
            <v>0</v>
          </cell>
          <cell r="L184">
            <v>0</v>
          </cell>
          <cell r="M184">
            <v>0</v>
          </cell>
          <cell r="N184">
            <v>9</v>
          </cell>
          <cell r="O184">
            <v>2</v>
          </cell>
          <cell r="P184">
            <v>1</v>
          </cell>
        </row>
        <row r="185">
          <cell r="A185" t="str">
            <v>С-212</v>
          </cell>
          <cell r="B185" t="str">
            <v>С-2</v>
          </cell>
          <cell r="C185">
            <v>1</v>
          </cell>
          <cell r="D185">
            <v>2</v>
          </cell>
          <cell r="E185">
            <v>90740</v>
          </cell>
          <cell r="F185">
            <v>0</v>
          </cell>
          <cell r="G185">
            <v>0</v>
          </cell>
          <cell r="H185">
            <v>0</v>
          </cell>
          <cell r="I185">
            <v>0</v>
          </cell>
          <cell r="J185">
            <v>0</v>
          </cell>
          <cell r="K185">
            <v>0</v>
          </cell>
          <cell r="L185">
            <v>0</v>
          </cell>
          <cell r="M185">
            <v>0</v>
          </cell>
          <cell r="N185">
            <v>9</v>
          </cell>
          <cell r="O185">
            <v>2</v>
          </cell>
          <cell r="P185">
            <v>1</v>
          </cell>
        </row>
        <row r="186">
          <cell r="A186" t="str">
            <v>С-213</v>
          </cell>
          <cell r="B186" t="str">
            <v>С-2</v>
          </cell>
          <cell r="C186">
            <v>1</v>
          </cell>
          <cell r="D186">
            <v>3</v>
          </cell>
          <cell r="E186">
            <v>72590</v>
          </cell>
          <cell r="F186">
            <v>0</v>
          </cell>
          <cell r="G186">
            <v>0</v>
          </cell>
          <cell r="H186">
            <v>0</v>
          </cell>
          <cell r="I186">
            <v>0</v>
          </cell>
          <cell r="J186">
            <v>0</v>
          </cell>
          <cell r="K186">
            <v>0</v>
          </cell>
          <cell r="L186">
            <v>0</v>
          </cell>
          <cell r="M186">
            <v>0</v>
          </cell>
          <cell r="N186">
            <v>9</v>
          </cell>
          <cell r="O186">
            <v>2</v>
          </cell>
          <cell r="P186">
            <v>1</v>
          </cell>
        </row>
        <row r="187">
          <cell r="A187" t="str">
            <v>С-221</v>
          </cell>
          <cell r="B187" t="str">
            <v>С-2</v>
          </cell>
          <cell r="C187">
            <v>2</v>
          </cell>
          <cell r="D187">
            <v>1</v>
          </cell>
          <cell r="E187">
            <v>80510</v>
          </cell>
          <cell r="F187">
            <v>0</v>
          </cell>
          <cell r="G187">
            <v>0</v>
          </cell>
          <cell r="H187">
            <v>0</v>
          </cell>
          <cell r="I187">
            <v>0</v>
          </cell>
          <cell r="J187">
            <v>0</v>
          </cell>
          <cell r="K187">
            <v>0</v>
          </cell>
          <cell r="L187">
            <v>0</v>
          </cell>
          <cell r="M187">
            <v>0</v>
          </cell>
          <cell r="N187">
            <v>9</v>
          </cell>
          <cell r="O187">
            <v>2</v>
          </cell>
          <cell r="P187">
            <v>1</v>
          </cell>
        </row>
        <row r="188">
          <cell r="A188" t="str">
            <v>С-222</v>
          </cell>
          <cell r="B188" t="str">
            <v>С-2</v>
          </cell>
          <cell r="C188">
            <v>2</v>
          </cell>
          <cell r="D188">
            <v>2</v>
          </cell>
          <cell r="E188">
            <v>78120</v>
          </cell>
          <cell r="F188">
            <v>0</v>
          </cell>
          <cell r="G188">
            <v>0</v>
          </cell>
          <cell r="H188">
            <v>0</v>
          </cell>
          <cell r="I188">
            <v>0</v>
          </cell>
          <cell r="J188">
            <v>0</v>
          </cell>
          <cell r="K188">
            <v>0</v>
          </cell>
          <cell r="L188">
            <v>0</v>
          </cell>
          <cell r="M188">
            <v>0</v>
          </cell>
          <cell r="N188">
            <v>9</v>
          </cell>
          <cell r="O188">
            <v>2</v>
          </cell>
          <cell r="P188">
            <v>1</v>
          </cell>
        </row>
        <row r="189">
          <cell r="A189" t="str">
            <v>С-223</v>
          </cell>
          <cell r="B189" t="str">
            <v>С-2</v>
          </cell>
          <cell r="C189">
            <v>2</v>
          </cell>
          <cell r="D189">
            <v>3</v>
          </cell>
          <cell r="E189">
            <v>71820</v>
          </cell>
          <cell r="F189">
            <v>0</v>
          </cell>
          <cell r="G189">
            <v>0</v>
          </cell>
          <cell r="H189">
            <v>0</v>
          </cell>
          <cell r="I189">
            <v>0</v>
          </cell>
          <cell r="J189">
            <v>0</v>
          </cell>
          <cell r="K189">
            <v>0</v>
          </cell>
          <cell r="L189">
            <v>0</v>
          </cell>
          <cell r="M189">
            <v>0</v>
          </cell>
          <cell r="N189">
            <v>9</v>
          </cell>
          <cell r="O189">
            <v>2</v>
          </cell>
          <cell r="P189">
            <v>1</v>
          </cell>
        </row>
        <row r="190">
          <cell r="A190" t="str">
            <v>С-231</v>
          </cell>
          <cell r="B190" t="str">
            <v>С-2</v>
          </cell>
          <cell r="C190">
            <v>3</v>
          </cell>
          <cell r="D190">
            <v>1</v>
          </cell>
          <cell r="E190">
            <v>74550</v>
          </cell>
          <cell r="F190">
            <v>0</v>
          </cell>
          <cell r="G190">
            <v>0</v>
          </cell>
          <cell r="H190">
            <v>0</v>
          </cell>
          <cell r="I190">
            <v>0</v>
          </cell>
          <cell r="J190">
            <v>0</v>
          </cell>
          <cell r="K190">
            <v>0</v>
          </cell>
          <cell r="L190">
            <v>0</v>
          </cell>
          <cell r="M190">
            <v>0</v>
          </cell>
          <cell r="N190">
            <v>9</v>
          </cell>
          <cell r="O190">
            <v>2</v>
          </cell>
          <cell r="P190">
            <v>1</v>
          </cell>
        </row>
        <row r="191">
          <cell r="A191" t="str">
            <v>С-232</v>
          </cell>
          <cell r="B191" t="str">
            <v>С-2</v>
          </cell>
          <cell r="C191">
            <v>3</v>
          </cell>
          <cell r="D191">
            <v>2</v>
          </cell>
          <cell r="E191">
            <v>66340</v>
          </cell>
          <cell r="F191">
            <v>0</v>
          </cell>
          <cell r="G191">
            <v>0</v>
          </cell>
          <cell r="H191">
            <v>0</v>
          </cell>
          <cell r="I191">
            <v>0</v>
          </cell>
          <cell r="J191">
            <v>0</v>
          </cell>
          <cell r="K191">
            <v>0</v>
          </cell>
          <cell r="L191">
            <v>0</v>
          </cell>
          <cell r="M191">
            <v>0</v>
          </cell>
          <cell r="N191">
            <v>9</v>
          </cell>
          <cell r="O191">
            <v>2</v>
          </cell>
          <cell r="P191">
            <v>1</v>
          </cell>
        </row>
        <row r="192">
          <cell r="A192" t="str">
            <v>С-233</v>
          </cell>
          <cell r="B192" t="str">
            <v>С-2</v>
          </cell>
          <cell r="C192">
            <v>3</v>
          </cell>
          <cell r="D192">
            <v>3</v>
          </cell>
          <cell r="E192">
            <v>46970</v>
          </cell>
          <cell r="F192">
            <v>0</v>
          </cell>
          <cell r="G192">
            <v>0</v>
          </cell>
          <cell r="H192">
            <v>0</v>
          </cell>
          <cell r="I192">
            <v>0</v>
          </cell>
          <cell r="J192">
            <v>0</v>
          </cell>
          <cell r="K192">
            <v>0</v>
          </cell>
          <cell r="L192">
            <v>0</v>
          </cell>
          <cell r="M192">
            <v>0</v>
          </cell>
          <cell r="N192">
            <v>9</v>
          </cell>
          <cell r="O192">
            <v>2</v>
          </cell>
          <cell r="P192">
            <v>1</v>
          </cell>
        </row>
        <row r="193">
          <cell r="A193" t="str">
            <v>С-241</v>
          </cell>
          <cell r="B193" t="str">
            <v>С-2</v>
          </cell>
          <cell r="C193">
            <v>4</v>
          </cell>
          <cell r="D193">
            <v>1</v>
          </cell>
          <cell r="E193">
            <v>55570</v>
          </cell>
          <cell r="F193">
            <v>0</v>
          </cell>
          <cell r="G193">
            <v>0</v>
          </cell>
          <cell r="H193">
            <v>0</v>
          </cell>
          <cell r="I193">
            <v>0</v>
          </cell>
          <cell r="J193">
            <v>0</v>
          </cell>
          <cell r="K193">
            <v>0</v>
          </cell>
          <cell r="L193">
            <v>0</v>
          </cell>
          <cell r="M193">
            <v>0</v>
          </cell>
          <cell r="N193">
            <v>9</v>
          </cell>
          <cell r="O193">
            <v>2</v>
          </cell>
          <cell r="P193">
            <v>1</v>
          </cell>
        </row>
        <row r="194">
          <cell r="A194" t="str">
            <v>С-242</v>
          </cell>
          <cell r="B194" t="str">
            <v>С-2</v>
          </cell>
          <cell r="C194">
            <v>4</v>
          </cell>
          <cell r="D194">
            <v>2</v>
          </cell>
          <cell r="E194">
            <v>43060</v>
          </cell>
          <cell r="F194">
            <v>0</v>
          </cell>
          <cell r="G194">
            <v>0</v>
          </cell>
          <cell r="H194">
            <v>0</v>
          </cell>
          <cell r="I194">
            <v>0</v>
          </cell>
          <cell r="J194">
            <v>0</v>
          </cell>
          <cell r="K194">
            <v>0</v>
          </cell>
          <cell r="L194">
            <v>0</v>
          </cell>
          <cell r="M194">
            <v>0</v>
          </cell>
          <cell r="N194">
            <v>9</v>
          </cell>
          <cell r="O194">
            <v>2</v>
          </cell>
          <cell r="P194">
            <v>1</v>
          </cell>
        </row>
        <row r="195">
          <cell r="A195" t="str">
            <v>С-243</v>
          </cell>
          <cell r="B195" t="str">
            <v>С-2</v>
          </cell>
          <cell r="C195">
            <v>4</v>
          </cell>
          <cell r="D195">
            <v>3</v>
          </cell>
          <cell r="E195">
            <v>32890</v>
          </cell>
          <cell r="F195">
            <v>0</v>
          </cell>
          <cell r="G195">
            <v>0</v>
          </cell>
          <cell r="H195">
            <v>0</v>
          </cell>
          <cell r="I195">
            <v>0</v>
          </cell>
          <cell r="J195">
            <v>0</v>
          </cell>
          <cell r="K195">
            <v>0</v>
          </cell>
          <cell r="L195">
            <v>0</v>
          </cell>
          <cell r="M195">
            <v>0</v>
          </cell>
          <cell r="N195">
            <v>9</v>
          </cell>
          <cell r="O195">
            <v>2</v>
          </cell>
          <cell r="P195">
            <v>1</v>
          </cell>
        </row>
        <row r="196">
          <cell r="A196" t="str">
            <v>С-253</v>
          </cell>
          <cell r="B196" t="str">
            <v>С-2</v>
          </cell>
          <cell r="C196">
            <v>5</v>
          </cell>
          <cell r="D196">
            <v>3</v>
          </cell>
          <cell r="E196">
            <v>23080</v>
          </cell>
          <cell r="F196">
            <v>0</v>
          </cell>
          <cell r="G196">
            <v>0</v>
          </cell>
          <cell r="H196">
            <v>0</v>
          </cell>
          <cell r="I196">
            <v>0</v>
          </cell>
          <cell r="J196">
            <v>0</v>
          </cell>
          <cell r="K196">
            <v>0</v>
          </cell>
          <cell r="L196">
            <v>0</v>
          </cell>
          <cell r="M196">
            <v>0</v>
          </cell>
          <cell r="N196">
            <v>9</v>
          </cell>
          <cell r="O196">
            <v>2</v>
          </cell>
          <cell r="P196">
            <v>1</v>
          </cell>
        </row>
        <row r="197">
          <cell r="A197" t="str">
            <v>НБ11</v>
          </cell>
          <cell r="B197" t="str">
            <v>НБ</v>
          </cell>
          <cell r="C197">
            <v>1</v>
          </cell>
          <cell r="D197">
            <v>1</v>
          </cell>
          <cell r="E197">
            <v>93120</v>
          </cell>
          <cell r="F197">
            <v>0</v>
          </cell>
          <cell r="G197">
            <v>0</v>
          </cell>
          <cell r="H197">
            <v>0</v>
          </cell>
          <cell r="I197">
            <v>0</v>
          </cell>
          <cell r="J197">
            <v>0</v>
          </cell>
          <cell r="K197">
            <v>0</v>
          </cell>
          <cell r="L197">
            <v>0</v>
          </cell>
          <cell r="M197">
            <v>0</v>
          </cell>
          <cell r="N197">
            <v>9</v>
          </cell>
          <cell r="O197">
            <v>2</v>
          </cell>
          <cell r="P197">
            <v>1</v>
          </cell>
        </row>
        <row r="198">
          <cell r="A198" t="str">
            <v>НБ12</v>
          </cell>
          <cell r="B198" t="str">
            <v>НБ</v>
          </cell>
          <cell r="C198">
            <v>1</v>
          </cell>
          <cell r="D198">
            <v>2</v>
          </cell>
          <cell r="E198">
            <v>90740</v>
          </cell>
          <cell r="F198">
            <v>0</v>
          </cell>
          <cell r="G198">
            <v>0</v>
          </cell>
          <cell r="H198">
            <v>0</v>
          </cell>
          <cell r="I198">
            <v>0</v>
          </cell>
          <cell r="J198">
            <v>0</v>
          </cell>
          <cell r="K198">
            <v>0</v>
          </cell>
          <cell r="L198">
            <v>0</v>
          </cell>
          <cell r="M198">
            <v>0</v>
          </cell>
          <cell r="N198">
            <v>9</v>
          </cell>
          <cell r="O198">
            <v>2</v>
          </cell>
          <cell r="P198">
            <v>1</v>
          </cell>
        </row>
        <row r="199">
          <cell r="A199" t="str">
            <v>НБ13</v>
          </cell>
          <cell r="B199" t="str">
            <v>НБ</v>
          </cell>
          <cell r="C199">
            <v>1</v>
          </cell>
          <cell r="D199">
            <v>3</v>
          </cell>
          <cell r="E199">
            <v>72590</v>
          </cell>
          <cell r="F199">
            <v>0</v>
          </cell>
          <cell r="G199">
            <v>0</v>
          </cell>
          <cell r="H199">
            <v>0</v>
          </cell>
          <cell r="I199">
            <v>0</v>
          </cell>
          <cell r="J199">
            <v>0</v>
          </cell>
          <cell r="K199">
            <v>0</v>
          </cell>
          <cell r="L199">
            <v>0</v>
          </cell>
          <cell r="M199">
            <v>0</v>
          </cell>
          <cell r="N199">
            <v>9</v>
          </cell>
          <cell r="O199">
            <v>2</v>
          </cell>
          <cell r="P199">
            <v>1</v>
          </cell>
        </row>
        <row r="200">
          <cell r="A200" t="str">
            <v>НБ21</v>
          </cell>
          <cell r="B200" t="str">
            <v>НБ</v>
          </cell>
          <cell r="C200">
            <v>2</v>
          </cell>
          <cell r="D200">
            <v>1</v>
          </cell>
          <cell r="E200">
            <v>80510</v>
          </cell>
          <cell r="F200">
            <v>0</v>
          </cell>
          <cell r="G200">
            <v>0</v>
          </cell>
          <cell r="H200">
            <v>0</v>
          </cell>
          <cell r="I200">
            <v>0</v>
          </cell>
          <cell r="J200">
            <v>0</v>
          </cell>
          <cell r="K200">
            <v>0</v>
          </cell>
          <cell r="L200">
            <v>0</v>
          </cell>
          <cell r="M200">
            <v>0</v>
          </cell>
          <cell r="N200">
            <v>9</v>
          </cell>
          <cell r="O200">
            <v>2</v>
          </cell>
          <cell r="P200">
            <v>1</v>
          </cell>
        </row>
        <row r="201">
          <cell r="A201" t="str">
            <v>НБ22</v>
          </cell>
          <cell r="B201" t="str">
            <v>НБ</v>
          </cell>
          <cell r="C201">
            <v>2</v>
          </cell>
          <cell r="D201">
            <v>2</v>
          </cell>
          <cell r="E201">
            <v>78120</v>
          </cell>
          <cell r="F201">
            <v>0</v>
          </cell>
          <cell r="G201">
            <v>0</v>
          </cell>
          <cell r="H201">
            <v>0</v>
          </cell>
          <cell r="I201">
            <v>0</v>
          </cell>
          <cell r="J201">
            <v>0</v>
          </cell>
          <cell r="K201">
            <v>0</v>
          </cell>
          <cell r="L201">
            <v>0</v>
          </cell>
          <cell r="M201">
            <v>0</v>
          </cell>
          <cell r="N201">
            <v>9</v>
          </cell>
          <cell r="O201">
            <v>2</v>
          </cell>
          <cell r="P201">
            <v>1</v>
          </cell>
        </row>
        <row r="202">
          <cell r="A202" t="str">
            <v>НБ23</v>
          </cell>
          <cell r="B202" t="str">
            <v>НБ</v>
          </cell>
          <cell r="C202">
            <v>2</v>
          </cell>
          <cell r="D202">
            <v>3</v>
          </cell>
          <cell r="E202">
            <v>71820</v>
          </cell>
          <cell r="F202">
            <v>0</v>
          </cell>
          <cell r="G202">
            <v>0</v>
          </cell>
          <cell r="H202">
            <v>0</v>
          </cell>
          <cell r="I202">
            <v>0</v>
          </cell>
          <cell r="J202">
            <v>0</v>
          </cell>
          <cell r="K202">
            <v>0</v>
          </cell>
          <cell r="L202">
            <v>0</v>
          </cell>
          <cell r="M202">
            <v>0</v>
          </cell>
          <cell r="N202">
            <v>9</v>
          </cell>
          <cell r="O202">
            <v>2</v>
          </cell>
          <cell r="P202">
            <v>1</v>
          </cell>
        </row>
        <row r="203">
          <cell r="A203" t="str">
            <v>НБ31</v>
          </cell>
          <cell r="B203" t="str">
            <v>НБ</v>
          </cell>
          <cell r="C203">
            <v>3</v>
          </cell>
          <cell r="D203">
            <v>1</v>
          </cell>
          <cell r="E203">
            <v>74550</v>
          </cell>
          <cell r="F203">
            <v>0</v>
          </cell>
          <cell r="G203">
            <v>0</v>
          </cell>
          <cell r="H203">
            <v>0</v>
          </cell>
          <cell r="I203">
            <v>0</v>
          </cell>
          <cell r="J203">
            <v>0</v>
          </cell>
          <cell r="K203">
            <v>0</v>
          </cell>
          <cell r="L203">
            <v>0</v>
          </cell>
          <cell r="M203">
            <v>0</v>
          </cell>
          <cell r="N203">
            <v>9</v>
          </cell>
          <cell r="O203">
            <v>2</v>
          </cell>
          <cell r="P203">
            <v>1</v>
          </cell>
        </row>
        <row r="204">
          <cell r="A204" t="str">
            <v>НБ32</v>
          </cell>
          <cell r="B204" t="str">
            <v>НБ</v>
          </cell>
          <cell r="C204">
            <v>3</v>
          </cell>
          <cell r="D204">
            <v>2</v>
          </cell>
          <cell r="E204">
            <v>66340</v>
          </cell>
          <cell r="F204">
            <v>0</v>
          </cell>
          <cell r="G204">
            <v>0</v>
          </cell>
          <cell r="H204">
            <v>0</v>
          </cell>
          <cell r="I204">
            <v>0</v>
          </cell>
          <cell r="J204">
            <v>0</v>
          </cell>
          <cell r="K204">
            <v>0</v>
          </cell>
          <cell r="L204">
            <v>0</v>
          </cell>
          <cell r="M204">
            <v>0</v>
          </cell>
          <cell r="N204">
            <v>9</v>
          </cell>
          <cell r="O204">
            <v>2</v>
          </cell>
          <cell r="P204">
            <v>1</v>
          </cell>
        </row>
        <row r="205">
          <cell r="A205" t="str">
            <v>НБ33</v>
          </cell>
          <cell r="B205" t="str">
            <v>НБ</v>
          </cell>
          <cell r="C205">
            <v>3</v>
          </cell>
          <cell r="D205">
            <v>3</v>
          </cell>
          <cell r="E205">
            <v>46970</v>
          </cell>
          <cell r="F205">
            <v>0</v>
          </cell>
          <cell r="G205">
            <v>0</v>
          </cell>
          <cell r="H205">
            <v>0</v>
          </cell>
          <cell r="I205">
            <v>0</v>
          </cell>
          <cell r="J205">
            <v>0</v>
          </cell>
          <cell r="K205">
            <v>0</v>
          </cell>
          <cell r="L205">
            <v>0</v>
          </cell>
          <cell r="M205">
            <v>0</v>
          </cell>
          <cell r="N205">
            <v>9</v>
          </cell>
          <cell r="O205">
            <v>2</v>
          </cell>
          <cell r="P205">
            <v>1</v>
          </cell>
        </row>
        <row r="206">
          <cell r="A206" t="str">
            <v>НБ41</v>
          </cell>
          <cell r="B206" t="str">
            <v>НБ</v>
          </cell>
          <cell r="C206">
            <v>4</v>
          </cell>
          <cell r="D206">
            <v>1</v>
          </cell>
          <cell r="E206">
            <v>55570</v>
          </cell>
          <cell r="F206">
            <v>0</v>
          </cell>
          <cell r="G206">
            <v>0</v>
          </cell>
          <cell r="H206">
            <v>0</v>
          </cell>
          <cell r="I206">
            <v>0</v>
          </cell>
          <cell r="J206">
            <v>0</v>
          </cell>
          <cell r="K206">
            <v>0</v>
          </cell>
          <cell r="L206">
            <v>0</v>
          </cell>
          <cell r="M206">
            <v>0</v>
          </cell>
          <cell r="N206">
            <v>9</v>
          </cell>
          <cell r="O206">
            <v>2</v>
          </cell>
          <cell r="P206">
            <v>1</v>
          </cell>
        </row>
        <row r="207">
          <cell r="A207" t="str">
            <v>НБ42</v>
          </cell>
          <cell r="B207" t="str">
            <v>НБ</v>
          </cell>
          <cell r="C207">
            <v>4</v>
          </cell>
          <cell r="D207">
            <v>2</v>
          </cell>
          <cell r="E207">
            <v>43060</v>
          </cell>
          <cell r="F207">
            <v>0</v>
          </cell>
          <cell r="G207">
            <v>0</v>
          </cell>
          <cell r="H207">
            <v>0</v>
          </cell>
          <cell r="I207">
            <v>0</v>
          </cell>
          <cell r="J207">
            <v>0</v>
          </cell>
          <cell r="K207">
            <v>0</v>
          </cell>
          <cell r="L207">
            <v>0</v>
          </cell>
          <cell r="M207">
            <v>0</v>
          </cell>
          <cell r="N207">
            <v>9</v>
          </cell>
          <cell r="O207">
            <v>2</v>
          </cell>
          <cell r="P207">
            <v>1</v>
          </cell>
        </row>
        <row r="208">
          <cell r="A208" t="str">
            <v>НБ43</v>
          </cell>
          <cell r="B208" t="str">
            <v>НБ</v>
          </cell>
          <cell r="C208">
            <v>4</v>
          </cell>
          <cell r="D208">
            <v>3</v>
          </cell>
          <cell r="E208">
            <v>32890</v>
          </cell>
          <cell r="F208">
            <v>0</v>
          </cell>
          <cell r="G208">
            <v>0</v>
          </cell>
          <cell r="H208">
            <v>0</v>
          </cell>
          <cell r="I208">
            <v>0</v>
          </cell>
          <cell r="J208">
            <v>0</v>
          </cell>
          <cell r="K208">
            <v>0</v>
          </cell>
          <cell r="L208">
            <v>0</v>
          </cell>
          <cell r="M208">
            <v>0</v>
          </cell>
          <cell r="N208">
            <v>9</v>
          </cell>
          <cell r="O208">
            <v>2</v>
          </cell>
          <cell r="P208">
            <v>1</v>
          </cell>
        </row>
        <row r="209">
          <cell r="A209" t="str">
            <v>НБ53</v>
          </cell>
          <cell r="B209" t="str">
            <v>НБ</v>
          </cell>
          <cell r="C209">
            <v>5</v>
          </cell>
          <cell r="D209">
            <v>3</v>
          </cell>
          <cell r="E209">
            <v>23080</v>
          </cell>
          <cell r="F209">
            <v>0</v>
          </cell>
          <cell r="G209">
            <v>0</v>
          </cell>
          <cell r="H209">
            <v>0</v>
          </cell>
          <cell r="I209">
            <v>0</v>
          </cell>
          <cell r="J209">
            <v>0</v>
          </cell>
          <cell r="K209">
            <v>0</v>
          </cell>
          <cell r="L209">
            <v>0</v>
          </cell>
          <cell r="M209">
            <v>0</v>
          </cell>
          <cell r="N209">
            <v>9</v>
          </cell>
          <cell r="O209">
            <v>2</v>
          </cell>
          <cell r="P209">
            <v>1</v>
          </cell>
        </row>
        <row r="210">
          <cell r="A210" t="str">
            <v>ДГ11</v>
          </cell>
          <cell r="B210" t="str">
            <v>ДГ</v>
          </cell>
          <cell r="C210">
            <v>1</v>
          </cell>
          <cell r="D210">
            <v>1</v>
          </cell>
          <cell r="E210">
            <v>93120</v>
          </cell>
          <cell r="F210">
            <v>0</v>
          </cell>
          <cell r="G210">
            <v>0</v>
          </cell>
          <cell r="H210">
            <v>0</v>
          </cell>
          <cell r="I210">
            <v>0</v>
          </cell>
          <cell r="J210">
            <v>0</v>
          </cell>
          <cell r="K210">
            <v>0</v>
          </cell>
          <cell r="L210">
            <v>0</v>
          </cell>
          <cell r="M210">
            <v>0</v>
          </cell>
          <cell r="N210">
            <v>9</v>
          </cell>
          <cell r="O210">
            <v>2</v>
          </cell>
          <cell r="P210">
            <v>1</v>
          </cell>
        </row>
        <row r="211">
          <cell r="A211" t="str">
            <v>ДГ12</v>
          </cell>
          <cell r="B211" t="str">
            <v>ДГ</v>
          </cell>
          <cell r="C211">
            <v>1</v>
          </cell>
          <cell r="D211">
            <v>2</v>
          </cell>
          <cell r="E211">
            <v>90740</v>
          </cell>
          <cell r="F211">
            <v>0</v>
          </cell>
          <cell r="G211">
            <v>0</v>
          </cell>
          <cell r="H211">
            <v>0</v>
          </cell>
          <cell r="I211">
            <v>0</v>
          </cell>
          <cell r="J211">
            <v>0</v>
          </cell>
          <cell r="K211">
            <v>0</v>
          </cell>
          <cell r="L211">
            <v>0</v>
          </cell>
          <cell r="M211">
            <v>0</v>
          </cell>
          <cell r="N211">
            <v>9</v>
          </cell>
          <cell r="O211">
            <v>2</v>
          </cell>
          <cell r="P211">
            <v>1</v>
          </cell>
        </row>
        <row r="212">
          <cell r="A212" t="str">
            <v>ДГ13</v>
          </cell>
          <cell r="B212" t="str">
            <v>ДГ</v>
          </cell>
          <cell r="C212">
            <v>1</v>
          </cell>
          <cell r="D212">
            <v>3</v>
          </cell>
          <cell r="E212">
            <v>72590</v>
          </cell>
          <cell r="F212">
            <v>0</v>
          </cell>
          <cell r="G212">
            <v>0</v>
          </cell>
          <cell r="H212">
            <v>0</v>
          </cell>
          <cell r="I212">
            <v>0</v>
          </cell>
          <cell r="J212">
            <v>0</v>
          </cell>
          <cell r="K212">
            <v>0</v>
          </cell>
          <cell r="L212">
            <v>0</v>
          </cell>
          <cell r="M212">
            <v>0</v>
          </cell>
          <cell r="N212">
            <v>9</v>
          </cell>
          <cell r="O212">
            <v>2</v>
          </cell>
          <cell r="P212">
            <v>1</v>
          </cell>
        </row>
        <row r="213">
          <cell r="A213" t="str">
            <v>ДГ21</v>
          </cell>
          <cell r="B213" t="str">
            <v>ДГ</v>
          </cell>
          <cell r="C213">
            <v>2</v>
          </cell>
          <cell r="D213">
            <v>1</v>
          </cell>
          <cell r="E213">
            <v>80510</v>
          </cell>
          <cell r="F213">
            <v>0</v>
          </cell>
          <cell r="G213">
            <v>0</v>
          </cell>
          <cell r="H213">
            <v>0</v>
          </cell>
          <cell r="I213">
            <v>0</v>
          </cell>
          <cell r="J213">
            <v>0</v>
          </cell>
          <cell r="K213">
            <v>0</v>
          </cell>
          <cell r="L213">
            <v>0</v>
          </cell>
          <cell r="M213">
            <v>0</v>
          </cell>
          <cell r="N213">
            <v>9</v>
          </cell>
          <cell r="O213">
            <v>2</v>
          </cell>
          <cell r="P213">
            <v>1</v>
          </cell>
        </row>
        <row r="214">
          <cell r="A214" t="str">
            <v>ДГ22</v>
          </cell>
          <cell r="B214" t="str">
            <v>ДГ</v>
          </cell>
          <cell r="C214">
            <v>2</v>
          </cell>
          <cell r="D214">
            <v>2</v>
          </cell>
          <cell r="E214">
            <v>78120</v>
          </cell>
          <cell r="F214">
            <v>0</v>
          </cell>
          <cell r="G214">
            <v>0</v>
          </cell>
          <cell r="H214">
            <v>0</v>
          </cell>
          <cell r="I214">
            <v>0</v>
          </cell>
          <cell r="J214">
            <v>0</v>
          </cell>
          <cell r="K214">
            <v>0</v>
          </cell>
          <cell r="L214">
            <v>0</v>
          </cell>
          <cell r="M214">
            <v>0</v>
          </cell>
          <cell r="N214">
            <v>9</v>
          </cell>
          <cell r="O214">
            <v>2</v>
          </cell>
          <cell r="P214">
            <v>1</v>
          </cell>
        </row>
        <row r="215">
          <cell r="A215" t="str">
            <v>ДГ23</v>
          </cell>
          <cell r="B215" t="str">
            <v>ДГ</v>
          </cell>
          <cell r="C215">
            <v>2</v>
          </cell>
          <cell r="D215">
            <v>3</v>
          </cell>
          <cell r="E215">
            <v>71820</v>
          </cell>
          <cell r="F215">
            <v>0</v>
          </cell>
          <cell r="G215">
            <v>0</v>
          </cell>
          <cell r="H215">
            <v>0</v>
          </cell>
          <cell r="I215">
            <v>0</v>
          </cell>
          <cell r="J215">
            <v>0</v>
          </cell>
          <cell r="K215">
            <v>0</v>
          </cell>
          <cell r="L215">
            <v>0</v>
          </cell>
          <cell r="M215">
            <v>0</v>
          </cell>
          <cell r="N215">
            <v>9</v>
          </cell>
          <cell r="O215">
            <v>2</v>
          </cell>
          <cell r="P215">
            <v>1</v>
          </cell>
        </row>
        <row r="216">
          <cell r="A216" t="str">
            <v>ДГ31</v>
          </cell>
          <cell r="B216" t="str">
            <v>ДГ</v>
          </cell>
          <cell r="C216">
            <v>3</v>
          </cell>
          <cell r="D216">
            <v>1</v>
          </cell>
          <cell r="E216">
            <v>74550</v>
          </cell>
          <cell r="F216">
            <v>0</v>
          </cell>
          <cell r="G216">
            <v>0</v>
          </cell>
          <cell r="H216">
            <v>0</v>
          </cell>
          <cell r="I216">
            <v>0</v>
          </cell>
          <cell r="J216">
            <v>0</v>
          </cell>
          <cell r="K216">
            <v>0</v>
          </cell>
          <cell r="L216">
            <v>0</v>
          </cell>
          <cell r="M216">
            <v>0</v>
          </cell>
          <cell r="N216">
            <v>9</v>
          </cell>
          <cell r="O216">
            <v>2</v>
          </cell>
          <cell r="P216">
            <v>1</v>
          </cell>
        </row>
        <row r="217">
          <cell r="A217" t="str">
            <v>ДГ32</v>
          </cell>
          <cell r="B217" t="str">
            <v>ДГ</v>
          </cell>
          <cell r="C217">
            <v>3</v>
          </cell>
          <cell r="D217">
            <v>2</v>
          </cell>
          <cell r="E217">
            <v>66340</v>
          </cell>
          <cell r="F217">
            <v>0</v>
          </cell>
          <cell r="G217">
            <v>0</v>
          </cell>
          <cell r="H217">
            <v>0</v>
          </cell>
          <cell r="I217">
            <v>0</v>
          </cell>
          <cell r="J217">
            <v>0</v>
          </cell>
          <cell r="K217">
            <v>0</v>
          </cell>
          <cell r="L217">
            <v>0</v>
          </cell>
          <cell r="M217">
            <v>0</v>
          </cell>
          <cell r="N217">
            <v>9</v>
          </cell>
          <cell r="O217">
            <v>2</v>
          </cell>
          <cell r="P217">
            <v>1</v>
          </cell>
        </row>
        <row r="218">
          <cell r="A218" t="str">
            <v>ДГ33</v>
          </cell>
          <cell r="B218" t="str">
            <v>ДГ</v>
          </cell>
          <cell r="C218">
            <v>3</v>
          </cell>
          <cell r="D218">
            <v>3</v>
          </cell>
          <cell r="E218">
            <v>46970</v>
          </cell>
          <cell r="F218">
            <v>0</v>
          </cell>
          <cell r="G218">
            <v>0</v>
          </cell>
          <cell r="H218">
            <v>0</v>
          </cell>
          <cell r="I218">
            <v>0</v>
          </cell>
          <cell r="J218">
            <v>0</v>
          </cell>
          <cell r="K218">
            <v>0</v>
          </cell>
          <cell r="L218">
            <v>0</v>
          </cell>
          <cell r="M218">
            <v>0</v>
          </cell>
          <cell r="N218">
            <v>9</v>
          </cell>
          <cell r="O218">
            <v>2</v>
          </cell>
          <cell r="P218">
            <v>1</v>
          </cell>
        </row>
        <row r="219">
          <cell r="A219" t="str">
            <v>ДГ41</v>
          </cell>
          <cell r="B219" t="str">
            <v>ДГ</v>
          </cell>
          <cell r="C219">
            <v>4</v>
          </cell>
          <cell r="D219">
            <v>1</v>
          </cell>
          <cell r="E219">
            <v>55570</v>
          </cell>
          <cell r="F219">
            <v>0</v>
          </cell>
          <cell r="G219">
            <v>0</v>
          </cell>
          <cell r="H219">
            <v>0</v>
          </cell>
          <cell r="I219">
            <v>0</v>
          </cell>
          <cell r="J219">
            <v>0</v>
          </cell>
          <cell r="K219">
            <v>0</v>
          </cell>
          <cell r="L219">
            <v>0</v>
          </cell>
          <cell r="M219">
            <v>0</v>
          </cell>
          <cell r="N219">
            <v>9</v>
          </cell>
          <cell r="O219">
            <v>2</v>
          </cell>
          <cell r="P219">
            <v>1</v>
          </cell>
        </row>
        <row r="220">
          <cell r="A220" t="str">
            <v>ДГ42</v>
          </cell>
          <cell r="B220" t="str">
            <v>ДГ</v>
          </cell>
          <cell r="C220">
            <v>4</v>
          </cell>
          <cell r="D220">
            <v>2</v>
          </cell>
          <cell r="E220">
            <v>43060</v>
          </cell>
          <cell r="F220">
            <v>0</v>
          </cell>
          <cell r="G220">
            <v>0</v>
          </cell>
          <cell r="H220">
            <v>0</v>
          </cell>
          <cell r="I220">
            <v>0</v>
          </cell>
          <cell r="J220">
            <v>0</v>
          </cell>
          <cell r="K220">
            <v>0</v>
          </cell>
          <cell r="L220">
            <v>0</v>
          </cell>
          <cell r="M220">
            <v>0</v>
          </cell>
          <cell r="N220">
            <v>9</v>
          </cell>
          <cell r="O220">
            <v>2</v>
          </cell>
          <cell r="P220">
            <v>1</v>
          </cell>
        </row>
        <row r="221">
          <cell r="A221" t="str">
            <v>ДГ43</v>
          </cell>
          <cell r="B221" t="str">
            <v>ДГ</v>
          </cell>
          <cell r="C221">
            <v>4</v>
          </cell>
          <cell r="D221">
            <v>3</v>
          </cell>
          <cell r="E221">
            <v>32890</v>
          </cell>
          <cell r="F221">
            <v>0</v>
          </cell>
          <cell r="G221">
            <v>0</v>
          </cell>
          <cell r="H221">
            <v>0</v>
          </cell>
          <cell r="I221">
            <v>0</v>
          </cell>
          <cell r="J221">
            <v>0</v>
          </cell>
          <cell r="K221">
            <v>0</v>
          </cell>
          <cell r="L221">
            <v>0</v>
          </cell>
          <cell r="M221">
            <v>0</v>
          </cell>
          <cell r="N221">
            <v>9</v>
          </cell>
          <cell r="O221">
            <v>2</v>
          </cell>
          <cell r="P221">
            <v>1</v>
          </cell>
        </row>
        <row r="222">
          <cell r="A222" t="str">
            <v>ДГ53</v>
          </cell>
          <cell r="B222" t="str">
            <v>ДГ</v>
          </cell>
          <cell r="C222">
            <v>5</v>
          </cell>
          <cell r="D222">
            <v>3</v>
          </cell>
          <cell r="E222">
            <v>23080</v>
          </cell>
          <cell r="F222">
            <v>0</v>
          </cell>
          <cell r="G222">
            <v>0</v>
          </cell>
          <cell r="H222">
            <v>0</v>
          </cell>
          <cell r="I222">
            <v>0</v>
          </cell>
          <cell r="J222">
            <v>0</v>
          </cell>
          <cell r="K222">
            <v>0</v>
          </cell>
          <cell r="L222">
            <v>0</v>
          </cell>
          <cell r="M222">
            <v>0</v>
          </cell>
          <cell r="N222">
            <v>9</v>
          </cell>
          <cell r="O222">
            <v>2</v>
          </cell>
          <cell r="P222">
            <v>1</v>
          </cell>
        </row>
        <row r="223">
          <cell r="A223" t="str">
            <v>АТТ11</v>
          </cell>
          <cell r="B223" t="str">
            <v>АТТ</v>
          </cell>
          <cell r="C223">
            <v>1</v>
          </cell>
          <cell r="D223">
            <v>1</v>
          </cell>
          <cell r="E223">
            <v>93120</v>
          </cell>
          <cell r="F223">
            <v>0</v>
          </cell>
          <cell r="G223">
            <v>0</v>
          </cell>
          <cell r="H223">
            <v>0</v>
          </cell>
          <cell r="I223">
            <v>0</v>
          </cell>
          <cell r="J223">
            <v>0</v>
          </cell>
          <cell r="K223">
            <v>0</v>
          </cell>
          <cell r="L223">
            <v>0</v>
          </cell>
          <cell r="M223">
            <v>0</v>
          </cell>
          <cell r="N223">
            <v>9</v>
          </cell>
          <cell r="O223">
            <v>2</v>
          </cell>
          <cell r="P223">
            <v>1</v>
          </cell>
        </row>
        <row r="224">
          <cell r="A224" t="str">
            <v>АТТ12</v>
          </cell>
          <cell r="B224" t="str">
            <v>АТТ</v>
          </cell>
          <cell r="C224">
            <v>1</v>
          </cell>
          <cell r="D224">
            <v>2</v>
          </cell>
          <cell r="E224">
            <v>90740</v>
          </cell>
          <cell r="F224">
            <v>0</v>
          </cell>
          <cell r="G224">
            <v>0</v>
          </cell>
          <cell r="H224">
            <v>0</v>
          </cell>
          <cell r="I224">
            <v>0</v>
          </cell>
          <cell r="J224">
            <v>0</v>
          </cell>
          <cell r="K224">
            <v>0</v>
          </cell>
          <cell r="L224">
            <v>0</v>
          </cell>
          <cell r="M224">
            <v>0</v>
          </cell>
          <cell r="N224">
            <v>9</v>
          </cell>
          <cell r="O224">
            <v>2</v>
          </cell>
          <cell r="P224">
            <v>1</v>
          </cell>
        </row>
        <row r="225">
          <cell r="A225" t="str">
            <v>АТТ13</v>
          </cell>
          <cell r="B225" t="str">
            <v>АТТ</v>
          </cell>
          <cell r="C225">
            <v>1</v>
          </cell>
          <cell r="D225">
            <v>3</v>
          </cell>
          <cell r="E225">
            <v>72590</v>
          </cell>
          <cell r="F225">
            <v>0</v>
          </cell>
          <cell r="G225">
            <v>0</v>
          </cell>
          <cell r="H225">
            <v>0</v>
          </cell>
          <cell r="I225">
            <v>0</v>
          </cell>
          <cell r="J225">
            <v>0</v>
          </cell>
          <cell r="K225">
            <v>0</v>
          </cell>
          <cell r="L225">
            <v>0</v>
          </cell>
          <cell r="M225">
            <v>0</v>
          </cell>
          <cell r="N225">
            <v>9</v>
          </cell>
          <cell r="O225">
            <v>2</v>
          </cell>
          <cell r="P225">
            <v>1</v>
          </cell>
        </row>
        <row r="226">
          <cell r="A226" t="str">
            <v>АТТ21</v>
          </cell>
          <cell r="B226" t="str">
            <v>АТТ</v>
          </cell>
          <cell r="C226">
            <v>2</v>
          </cell>
          <cell r="D226">
            <v>1</v>
          </cell>
          <cell r="E226">
            <v>80510</v>
          </cell>
          <cell r="F226">
            <v>0</v>
          </cell>
          <cell r="G226">
            <v>0</v>
          </cell>
          <cell r="H226">
            <v>0</v>
          </cell>
          <cell r="I226">
            <v>0</v>
          </cell>
          <cell r="J226">
            <v>0</v>
          </cell>
          <cell r="K226">
            <v>0</v>
          </cell>
          <cell r="L226">
            <v>0</v>
          </cell>
          <cell r="M226">
            <v>0</v>
          </cell>
          <cell r="N226">
            <v>9</v>
          </cell>
          <cell r="O226">
            <v>2</v>
          </cell>
          <cell r="P226">
            <v>1</v>
          </cell>
        </row>
        <row r="227">
          <cell r="A227" t="str">
            <v>АТТ22</v>
          </cell>
          <cell r="B227" t="str">
            <v>АТТ</v>
          </cell>
          <cell r="C227">
            <v>2</v>
          </cell>
          <cell r="D227">
            <v>2</v>
          </cell>
          <cell r="E227">
            <v>78120</v>
          </cell>
          <cell r="F227">
            <v>0</v>
          </cell>
          <cell r="G227">
            <v>0</v>
          </cell>
          <cell r="H227">
            <v>0</v>
          </cell>
          <cell r="I227">
            <v>0</v>
          </cell>
          <cell r="J227">
            <v>0</v>
          </cell>
          <cell r="K227">
            <v>0</v>
          </cell>
          <cell r="L227">
            <v>0</v>
          </cell>
          <cell r="M227">
            <v>0</v>
          </cell>
          <cell r="N227">
            <v>9</v>
          </cell>
          <cell r="O227">
            <v>2</v>
          </cell>
          <cell r="P227">
            <v>1</v>
          </cell>
        </row>
        <row r="228">
          <cell r="A228" t="str">
            <v>АТТ23</v>
          </cell>
          <cell r="B228" t="str">
            <v>АТТ</v>
          </cell>
          <cell r="C228">
            <v>2</v>
          </cell>
          <cell r="D228">
            <v>3</v>
          </cell>
          <cell r="E228">
            <v>71820</v>
          </cell>
          <cell r="F228">
            <v>0</v>
          </cell>
          <cell r="G228">
            <v>0</v>
          </cell>
          <cell r="H228">
            <v>0</v>
          </cell>
          <cell r="I228">
            <v>0</v>
          </cell>
          <cell r="J228">
            <v>0</v>
          </cell>
          <cell r="K228">
            <v>0</v>
          </cell>
          <cell r="L228">
            <v>0</v>
          </cell>
          <cell r="M228">
            <v>0</v>
          </cell>
          <cell r="N228">
            <v>9</v>
          </cell>
          <cell r="O228">
            <v>2</v>
          </cell>
          <cell r="P228">
            <v>1</v>
          </cell>
        </row>
        <row r="229">
          <cell r="A229" t="str">
            <v>АТТ31</v>
          </cell>
          <cell r="B229" t="str">
            <v>АТТ</v>
          </cell>
          <cell r="C229">
            <v>3</v>
          </cell>
          <cell r="D229">
            <v>1</v>
          </cell>
          <cell r="E229">
            <v>74550</v>
          </cell>
          <cell r="F229">
            <v>0</v>
          </cell>
          <cell r="G229">
            <v>0</v>
          </cell>
          <cell r="H229">
            <v>0</v>
          </cell>
          <cell r="I229">
            <v>0</v>
          </cell>
          <cell r="J229">
            <v>0</v>
          </cell>
          <cell r="K229">
            <v>0</v>
          </cell>
          <cell r="L229">
            <v>0</v>
          </cell>
          <cell r="M229">
            <v>0</v>
          </cell>
          <cell r="N229">
            <v>9</v>
          </cell>
          <cell r="O229">
            <v>2</v>
          </cell>
          <cell r="P229">
            <v>1</v>
          </cell>
        </row>
        <row r="230">
          <cell r="A230" t="str">
            <v>АТТ32</v>
          </cell>
          <cell r="B230" t="str">
            <v>АТТ</v>
          </cell>
          <cell r="C230">
            <v>3</v>
          </cell>
          <cell r="D230">
            <v>2</v>
          </cell>
          <cell r="E230">
            <v>66340</v>
          </cell>
          <cell r="F230">
            <v>0</v>
          </cell>
          <cell r="G230">
            <v>0</v>
          </cell>
          <cell r="H230">
            <v>0</v>
          </cell>
          <cell r="I230">
            <v>0</v>
          </cell>
          <cell r="J230">
            <v>0</v>
          </cell>
          <cell r="K230">
            <v>0</v>
          </cell>
          <cell r="L230">
            <v>0</v>
          </cell>
          <cell r="M230">
            <v>0</v>
          </cell>
          <cell r="N230">
            <v>9</v>
          </cell>
          <cell r="O230">
            <v>2</v>
          </cell>
          <cell r="P230">
            <v>1</v>
          </cell>
        </row>
        <row r="231">
          <cell r="A231" t="str">
            <v>АТТ33</v>
          </cell>
          <cell r="B231" t="str">
            <v>АТТ</v>
          </cell>
          <cell r="C231">
            <v>3</v>
          </cell>
          <cell r="D231">
            <v>3</v>
          </cell>
          <cell r="E231">
            <v>46970</v>
          </cell>
          <cell r="F231">
            <v>0</v>
          </cell>
          <cell r="G231">
            <v>0</v>
          </cell>
          <cell r="H231">
            <v>0</v>
          </cell>
          <cell r="I231">
            <v>0</v>
          </cell>
          <cell r="J231">
            <v>0</v>
          </cell>
          <cell r="K231">
            <v>0</v>
          </cell>
          <cell r="L231">
            <v>0</v>
          </cell>
          <cell r="M231">
            <v>0</v>
          </cell>
          <cell r="N231">
            <v>9</v>
          </cell>
          <cell r="O231">
            <v>2</v>
          </cell>
          <cell r="P231">
            <v>1</v>
          </cell>
        </row>
        <row r="232">
          <cell r="A232" t="str">
            <v>АТТ41</v>
          </cell>
          <cell r="B232" t="str">
            <v>АТТ</v>
          </cell>
          <cell r="C232">
            <v>4</v>
          </cell>
          <cell r="D232">
            <v>1</v>
          </cell>
          <cell r="E232">
            <v>55570</v>
          </cell>
          <cell r="F232">
            <v>0</v>
          </cell>
          <cell r="G232">
            <v>0</v>
          </cell>
          <cell r="H232">
            <v>0</v>
          </cell>
          <cell r="I232">
            <v>0</v>
          </cell>
          <cell r="J232">
            <v>0</v>
          </cell>
          <cell r="K232">
            <v>0</v>
          </cell>
          <cell r="L232">
            <v>0</v>
          </cell>
          <cell r="M232">
            <v>0</v>
          </cell>
          <cell r="N232">
            <v>9</v>
          </cell>
          <cell r="O232">
            <v>2</v>
          </cell>
          <cell r="P232">
            <v>1</v>
          </cell>
        </row>
        <row r="233">
          <cell r="A233" t="str">
            <v>АТТ42</v>
          </cell>
          <cell r="B233" t="str">
            <v>АТТ</v>
          </cell>
          <cell r="C233">
            <v>4</v>
          </cell>
          <cell r="D233">
            <v>2</v>
          </cell>
          <cell r="E233">
            <v>43060</v>
          </cell>
          <cell r="F233">
            <v>0</v>
          </cell>
          <cell r="G233">
            <v>0</v>
          </cell>
          <cell r="H233">
            <v>0</v>
          </cell>
          <cell r="I233">
            <v>0</v>
          </cell>
          <cell r="J233">
            <v>0</v>
          </cell>
          <cell r="K233">
            <v>0</v>
          </cell>
          <cell r="L233">
            <v>0</v>
          </cell>
          <cell r="M233">
            <v>0</v>
          </cell>
          <cell r="N233">
            <v>9</v>
          </cell>
          <cell r="O233">
            <v>2</v>
          </cell>
          <cell r="P233">
            <v>1</v>
          </cell>
        </row>
        <row r="234">
          <cell r="A234" t="str">
            <v>АТТ43</v>
          </cell>
          <cell r="B234" t="str">
            <v>АТТ</v>
          </cell>
          <cell r="C234">
            <v>4</v>
          </cell>
          <cell r="D234">
            <v>3</v>
          </cell>
          <cell r="E234">
            <v>32890</v>
          </cell>
          <cell r="F234">
            <v>0</v>
          </cell>
          <cell r="G234">
            <v>0</v>
          </cell>
          <cell r="H234">
            <v>0</v>
          </cell>
          <cell r="I234">
            <v>0</v>
          </cell>
          <cell r="J234">
            <v>0</v>
          </cell>
          <cell r="K234">
            <v>0</v>
          </cell>
          <cell r="L234">
            <v>0</v>
          </cell>
          <cell r="M234">
            <v>0</v>
          </cell>
          <cell r="N234">
            <v>9</v>
          </cell>
          <cell r="O234">
            <v>2</v>
          </cell>
          <cell r="P234">
            <v>1</v>
          </cell>
        </row>
        <row r="235">
          <cell r="A235" t="str">
            <v>АТТ53</v>
          </cell>
          <cell r="B235" t="str">
            <v>АТТ</v>
          </cell>
          <cell r="C235">
            <v>5</v>
          </cell>
          <cell r="D235">
            <v>3</v>
          </cell>
          <cell r="E235">
            <v>23080</v>
          </cell>
          <cell r="F235">
            <v>0</v>
          </cell>
          <cell r="G235">
            <v>0</v>
          </cell>
          <cell r="H235">
            <v>0</v>
          </cell>
          <cell r="I235">
            <v>0</v>
          </cell>
          <cell r="J235">
            <v>0</v>
          </cell>
          <cell r="K235">
            <v>0</v>
          </cell>
          <cell r="L235">
            <v>0</v>
          </cell>
          <cell r="M235">
            <v>0</v>
          </cell>
          <cell r="N235">
            <v>9</v>
          </cell>
          <cell r="O235">
            <v>2</v>
          </cell>
          <cell r="P235">
            <v>1</v>
          </cell>
        </row>
        <row r="236">
          <cell r="A236" t="str">
            <v>Мехнат11</v>
          </cell>
          <cell r="B236" t="str">
            <v>Мехнат</v>
          </cell>
          <cell r="C236">
            <v>1</v>
          </cell>
          <cell r="D236">
            <v>1</v>
          </cell>
          <cell r="E236">
            <v>93120</v>
          </cell>
          <cell r="F236">
            <v>0</v>
          </cell>
          <cell r="G236">
            <v>0</v>
          </cell>
          <cell r="H236">
            <v>0</v>
          </cell>
          <cell r="I236">
            <v>0</v>
          </cell>
          <cell r="J236">
            <v>0</v>
          </cell>
          <cell r="K236">
            <v>0</v>
          </cell>
          <cell r="L236">
            <v>0</v>
          </cell>
          <cell r="M236">
            <v>0</v>
          </cell>
          <cell r="N236">
            <v>9</v>
          </cell>
          <cell r="O236">
            <v>2</v>
          </cell>
          <cell r="P236">
            <v>1</v>
          </cell>
        </row>
        <row r="237">
          <cell r="A237" t="str">
            <v>Мехнат12</v>
          </cell>
          <cell r="B237" t="str">
            <v>Мехнат</v>
          </cell>
          <cell r="C237">
            <v>1</v>
          </cell>
          <cell r="D237">
            <v>2</v>
          </cell>
          <cell r="E237">
            <v>90740</v>
          </cell>
          <cell r="F237">
            <v>0</v>
          </cell>
          <cell r="G237">
            <v>0</v>
          </cell>
          <cell r="H237">
            <v>0</v>
          </cell>
          <cell r="I237">
            <v>0</v>
          </cell>
          <cell r="J237">
            <v>0</v>
          </cell>
          <cell r="K237">
            <v>0</v>
          </cell>
          <cell r="L237">
            <v>0</v>
          </cell>
          <cell r="M237">
            <v>0</v>
          </cell>
          <cell r="N237">
            <v>9</v>
          </cell>
          <cell r="O237">
            <v>2</v>
          </cell>
          <cell r="P237">
            <v>1</v>
          </cell>
        </row>
        <row r="238">
          <cell r="A238" t="str">
            <v>Мехнат13</v>
          </cell>
          <cell r="B238" t="str">
            <v>Мехнат</v>
          </cell>
          <cell r="C238">
            <v>1</v>
          </cell>
          <cell r="D238">
            <v>3</v>
          </cell>
          <cell r="E238">
            <v>72590</v>
          </cell>
          <cell r="F238">
            <v>0</v>
          </cell>
          <cell r="G238">
            <v>0</v>
          </cell>
          <cell r="H238">
            <v>0</v>
          </cell>
          <cell r="I238">
            <v>0</v>
          </cell>
          <cell r="J238">
            <v>0</v>
          </cell>
          <cell r="K238">
            <v>0</v>
          </cell>
          <cell r="L238">
            <v>0</v>
          </cell>
          <cell r="M238">
            <v>0</v>
          </cell>
          <cell r="N238">
            <v>9</v>
          </cell>
          <cell r="O238">
            <v>2</v>
          </cell>
          <cell r="P238">
            <v>1</v>
          </cell>
        </row>
        <row r="239">
          <cell r="A239" t="str">
            <v>Мехнат21</v>
          </cell>
          <cell r="B239" t="str">
            <v>Мехнат</v>
          </cell>
          <cell r="C239">
            <v>2</v>
          </cell>
          <cell r="D239">
            <v>1</v>
          </cell>
          <cell r="E239">
            <v>80510</v>
          </cell>
          <cell r="F239">
            <v>0</v>
          </cell>
          <cell r="G239">
            <v>0</v>
          </cell>
          <cell r="H239">
            <v>0</v>
          </cell>
          <cell r="I239">
            <v>0</v>
          </cell>
          <cell r="J239">
            <v>0</v>
          </cell>
          <cell r="K239">
            <v>0</v>
          </cell>
          <cell r="L239">
            <v>0</v>
          </cell>
          <cell r="M239">
            <v>0</v>
          </cell>
          <cell r="N239">
            <v>9</v>
          </cell>
          <cell r="O239">
            <v>2</v>
          </cell>
          <cell r="P239">
            <v>1</v>
          </cell>
        </row>
        <row r="240">
          <cell r="A240" t="str">
            <v>Мехнат22</v>
          </cell>
          <cell r="B240" t="str">
            <v>Мехнат</v>
          </cell>
          <cell r="C240">
            <v>2</v>
          </cell>
          <cell r="D240">
            <v>2</v>
          </cell>
          <cell r="E240">
            <v>78120</v>
          </cell>
          <cell r="F240">
            <v>0</v>
          </cell>
          <cell r="G240">
            <v>0</v>
          </cell>
          <cell r="H240">
            <v>0</v>
          </cell>
          <cell r="I240">
            <v>0</v>
          </cell>
          <cell r="J240">
            <v>0</v>
          </cell>
          <cell r="K240">
            <v>0</v>
          </cell>
          <cell r="L240">
            <v>0</v>
          </cell>
          <cell r="M240">
            <v>0</v>
          </cell>
          <cell r="N240">
            <v>9</v>
          </cell>
          <cell r="O240">
            <v>2</v>
          </cell>
          <cell r="P240">
            <v>1</v>
          </cell>
        </row>
        <row r="241">
          <cell r="A241" t="str">
            <v>Мехнат23</v>
          </cell>
          <cell r="B241" t="str">
            <v>Мехнат</v>
          </cell>
          <cell r="C241">
            <v>2</v>
          </cell>
          <cell r="D241">
            <v>3</v>
          </cell>
          <cell r="E241">
            <v>71820</v>
          </cell>
          <cell r="F241">
            <v>0</v>
          </cell>
          <cell r="G241">
            <v>0</v>
          </cell>
          <cell r="H241">
            <v>0</v>
          </cell>
          <cell r="I241">
            <v>0</v>
          </cell>
          <cell r="J241">
            <v>0</v>
          </cell>
          <cell r="K241">
            <v>0</v>
          </cell>
          <cell r="L241">
            <v>0</v>
          </cell>
          <cell r="M241">
            <v>0</v>
          </cell>
          <cell r="N241">
            <v>9</v>
          </cell>
          <cell r="O241">
            <v>2</v>
          </cell>
          <cell r="P241">
            <v>1</v>
          </cell>
        </row>
        <row r="242">
          <cell r="A242" t="str">
            <v>Мехнат31</v>
          </cell>
          <cell r="B242" t="str">
            <v>Мехнат</v>
          </cell>
          <cell r="C242">
            <v>3</v>
          </cell>
          <cell r="D242">
            <v>1</v>
          </cell>
          <cell r="E242">
            <v>74550</v>
          </cell>
          <cell r="F242">
            <v>0</v>
          </cell>
          <cell r="G242">
            <v>0</v>
          </cell>
          <cell r="H242">
            <v>0</v>
          </cell>
          <cell r="I242">
            <v>0</v>
          </cell>
          <cell r="J242">
            <v>0</v>
          </cell>
          <cell r="K242">
            <v>0</v>
          </cell>
          <cell r="L242">
            <v>0</v>
          </cell>
          <cell r="M242">
            <v>0</v>
          </cell>
          <cell r="N242">
            <v>9</v>
          </cell>
          <cell r="O242">
            <v>2</v>
          </cell>
          <cell r="P242">
            <v>1</v>
          </cell>
        </row>
        <row r="243">
          <cell r="A243" t="str">
            <v>Мехнат32</v>
          </cell>
          <cell r="B243" t="str">
            <v>Мехнат</v>
          </cell>
          <cell r="C243">
            <v>3</v>
          </cell>
          <cell r="D243">
            <v>2</v>
          </cell>
          <cell r="E243">
            <v>66340</v>
          </cell>
          <cell r="F243">
            <v>0</v>
          </cell>
          <cell r="G243">
            <v>0</v>
          </cell>
          <cell r="H243">
            <v>0</v>
          </cell>
          <cell r="I243">
            <v>0</v>
          </cell>
          <cell r="J243">
            <v>0</v>
          </cell>
          <cell r="K243">
            <v>0</v>
          </cell>
          <cell r="L243">
            <v>0</v>
          </cell>
          <cell r="M243">
            <v>0</v>
          </cell>
          <cell r="N243">
            <v>9</v>
          </cell>
          <cell r="O243">
            <v>2</v>
          </cell>
          <cell r="P243">
            <v>1</v>
          </cell>
        </row>
        <row r="244">
          <cell r="A244" t="str">
            <v>Мехнат33</v>
          </cell>
          <cell r="B244" t="str">
            <v>Мехнат</v>
          </cell>
          <cell r="C244">
            <v>3</v>
          </cell>
          <cell r="D244">
            <v>3</v>
          </cell>
          <cell r="E244">
            <v>46970</v>
          </cell>
          <cell r="F244">
            <v>0</v>
          </cell>
          <cell r="G244">
            <v>0</v>
          </cell>
          <cell r="H244">
            <v>0</v>
          </cell>
          <cell r="I244">
            <v>0</v>
          </cell>
          <cell r="J244">
            <v>0</v>
          </cell>
          <cell r="K244">
            <v>0</v>
          </cell>
          <cell r="L244">
            <v>0</v>
          </cell>
          <cell r="M244">
            <v>0</v>
          </cell>
          <cell r="N244">
            <v>9</v>
          </cell>
          <cell r="O244">
            <v>2</v>
          </cell>
          <cell r="P244">
            <v>1</v>
          </cell>
        </row>
        <row r="245">
          <cell r="A245" t="str">
            <v>Мехнат41</v>
          </cell>
          <cell r="B245" t="str">
            <v>Мехнат</v>
          </cell>
          <cell r="C245">
            <v>4</v>
          </cell>
          <cell r="D245">
            <v>1</v>
          </cell>
          <cell r="E245">
            <v>55570</v>
          </cell>
          <cell r="F245">
            <v>0</v>
          </cell>
          <cell r="G245">
            <v>0</v>
          </cell>
          <cell r="H245">
            <v>0</v>
          </cell>
          <cell r="I245">
            <v>0</v>
          </cell>
          <cell r="J245">
            <v>0</v>
          </cell>
          <cell r="K245">
            <v>0</v>
          </cell>
          <cell r="L245">
            <v>0</v>
          </cell>
          <cell r="M245">
            <v>0</v>
          </cell>
          <cell r="N245">
            <v>9</v>
          </cell>
          <cell r="O245">
            <v>2</v>
          </cell>
          <cell r="P245">
            <v>1</v>
          </cell>
        </row>
        <row r="246">
          <cell r="A246" t="str">
            <v>Мехнат42</v>
          </cell>
          <cell r="B246" t="str">
            <v>Мехнат</v>
          </cell>
          <cell r="C246">
            <v>4</v>
          </cell>
          <cell r="D246">
            <v>2</v>
          </cell>
          <cell r="E246">
            <v>43060</v>
          </cell>
          <cell r="F246">
            <v>0</v>
          </cell>
          <cell r="G246">
            <v>0</v>
          </cell>
          <cell r="H246">
            <v>0</v>
          </cell>
          <cell r="I246">
            <v>0</v>
          </cell>
          <cell r="J246">
            <v>0</v>
          </cell>
          <cell r="K246">
            <v>0</v>
          </cell>
          <cell r="L246">
            <v>0</v>
          </cell>
          <cell r="M246">
            <v>0</v>
          </cell>
          <cell r="N246">
            <v>9</v>
          </cell>
          <cell r="O246">
            <v>2</v>
          </cell>
          <cell r="P246">
            <v>1</v>
          </cell>
        </row>
        <row r="247">
          <cell r="A247" t="str">
            <v>Мехнат43</v>
          </cell>
          <cell r="B247" t="str">
            <v>Мехнат</v>
          </cell>
          <cell r="C247">
            <v>4</v>
          </cell>
          <cell r="D247">
            <v>3</v>
          </cell>
          <cell r="E247">
            <v>32890</v>
          </cell>
          <cell r="F247">
            <v>0</v>
          </cell>
          <cell r="G247">
            <v>0</v>
          </cell>
          <cell r="H247">
            <v>0</v>
          </cell>
          <cell r="I247">
            <v>0</v>
          </cell>
          <cell r="J247">
            <v>0</v>
          </cell>
          <cell r="K247">
            <v>0</v>
          </cell>
          <cell r="L247">
            <v>0</v>
          </cell>
          <cell r="M247">
            <v>0</v>
          </cell>
          <cell r="N247">
            <v>9</v>
          </cell>
          <cell r="O247">
            <v>2</v>
          </cell>
          <cell r="P247">
            <v>1</v>
          </cell>
        </row>
        <row r="248">
          <cell r="A248" t="str">
            <v>Мехнат53</v>
          </cell>
          <cell r="B248" t="str">
            <v>Мехнат</v>
          </cell>
          <cell r="C248">
            <v>5</v>
          </cell>
          <cell r="D248">
            <v>3</v>
          </cell>
          <cell r="E248">
            <v>23080</v>
          </cell>
          <cell r="F248">
            <v>0</v>
          </cell>
          <cell r="G248">
            <v>0</v>
          </cell>
          <cell r="H248">
            <v>0</v>
          </cell>
          <cell r="I248">
            <v>0</v>
          </cell>
          <cell r="J248">
            <v>0</v>
          </cell>
          <cell r="K248">
            <v>0</v>
          </cell>
          <cell r="L248">
            <v>0</v>
          </cell>
          <cell r="M248">
            <v>0</v>
          </cell>
          <cell r="N248">
            <v>9</v>
          </cell>
          <cell r="O248">
            <v>2</v>
          </cell>
          <cell r="P248">
            <v>1</v>
          </cell>
        </row>
      </sheetData>
      <sheetData sheetId="5">
        <row r="1">
          <cell r="A1" t="str">
            <v>Ракам</v>
          </cell>
        </row>
      </sheetData>
      <sheetData sheetId="6" refreshError="1"/>
      <sheetData sheetId="7">
        <row r="1">
          <cell r="A1" t="str">
            <v>Ракам</v>
          </cell>
        </row>
      </sheetData>
      <sheetData sheetId="8" refreshError="1">
        <row r="1">
          <cell r="A1" t="str">
            <v>Ракам</v>
          </cell>
          <cell r="B1" t="str">
            <v>Пункт</v>
          </cell>
        </row>
        <row r="2">
          <cell r="A2">
            <v>1</v>
          </cell>
          <cell r="B2" t="str">
            <v>Завод</v>
          </cell>
        </row>
        <row r="3">
          <cell r="A3">
            <v>2</v>
          </cell>
          <cell r="B3" t="str">
            <v>М. Дадажонов</v>
          </cell>
        </row>
        <row r="4">
          <cell r="A4">
            <v>3</v>
          </cell>
          <cell r="B4" t="str">
            <v>Дустлик</v>
          </cell>
        </row>
        <row r="5">
          <cell r="A5">
            <v>4</v>
          </cell>
          <cell r="B5" t="str">
            <v>Манас</v>
          </cell>
        </row>
        <row r="6">
          <cell r="A6">
            <v>5</v>
          </cell>
          <cell r="B6" t="str">
            <v>Иржар приз</v>
          </cell>
        </row>
        <row r="7">
          <cell r="A7">
            <v>6</v>
          </cell>
          <cell r="B7" t="str">
            <v>Пахтазор</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t="str">
            <v>ключ</v>
          </cell>
        </row>
      </sheetData>
      <sheetData sheetId="24">
        <row r="1">
          <cell r="A1" t="str">
            <v>ключ</v>
          </cell>
        </row>
      </sheetData>
      <sheetData sheetId="25">
        <row r="1">
          <cell r="A1" t="str">
            <v>ключ</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A1" t="str">
            <v>ключ</v>
          </cell>
        </row>
      </sheetData>
      <sheetData sheetId="62">
        <row r="1">
          <cell r="A1" t="str">
            <v>ключ</v>
          </cell>
        </row>
      </sheetData>
      <sheetData sheetId="63">
        <row r="1">
          <cell r="A1" t="str">
            <v>ключ</v>
          </cell>
        </row>
      </sheetData>
      <sheetData sheetId="64">
        <row r="1">
          <cell r="A1" t="str">
            <v>ключ</v>
          </cell>
        </row>
      </sheetData>
      <sheetData sheetId="65">
        <row r="1">
          <cell r="A1" t="str">
            <v>ключ</v>
          </cell>
        </row>
      </sheetData>
      <sheetData sheetId="66">
        <row r="1">
          <cell r="A1" t="str">
            <v>ключ</v>
          </cell>
        </row>
      </sheetData>
      <sheetData sheetId="67">
        <row r="1">
          <cell r="A1" t="str">
            <v>ключ</v>
          </cell>
        </row>
      </sheetData>
      <sheetData sheetId="68">
        <row r="1">
          <cell r="A1" t="str">
            <v>ключ</v>
          </cell>
        </row>
      </sheetData>
      <sheetData sheetId="69">
        <row r="1">
          <cell r="A1" t="str">
            <v>ключ</v>
          </cell>
        </row>
      </sheetData>
      <sheetData sheetId="70">
        <row r="1">
          <cell r="A1" t="str">
            <v>ключ</v>
          </cell>
        </row>
      </sheetData>
      <sheetData sheetId="71">
        <row r="1">
          <cell r="A1" t="str">
            <v>ключ</v>
          </cell>
        </row>
      </sheetData>
      <sheetData sheetId="72">
        <row r="1">
          <cell r="A1" t="str">
            <v>ключ</v>
          </cell>
        </row>
      </sheetData>
      <sheetData sheetId="73">
        <row r="1">
          <cell r="A1" t="str">
            <v>ключ</v>
          </cell>
        </row>
      </sheetData>
      <sheetData sheetId="74">
        <row r="1">
          <cell r="A1" t="str">
            <v>ключ</v>
          </cell>
        </row>
      </sheetData>
      <sheetData sheetId="75" refreshError="1"/>
      <sheetData sheetId="76">
        <row r="1">
          <cell r="A1" t="str">
            <v>ключ</v>
          </cell>
        </row>
      </sheetData>
      <sheetData sheetId="77">
        <row r="1">
          <cell r="A1" t="str">
            <v>ключ</v>
          </cell>
        </row>
      </sheetData>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ow r="1">
          <cell r="A1" t="str">
            <v>ключ</v>
          </cell>
        </row>
      </sheetData>
      <sheetData sheetId="94">
        <row r="1">
          <cell r="A1" t="str">
            <v>ключ</v>
          </cell>
        </row>
      </sheetData>
      <sheetData sheetId="95">
        <row r="1">
          <cell r="A1" t="str">
            <v>ключ</v>
          </cell>
        </row>
      </sheetData>
      <sheetData sheetId="96">
        <row r="1">
          <cell r="A1" t="str">
            <v>ключ</v>
          </cell>
        </row>
      </sheetData>
      <sheetData sheetId="97">
        <row r="1">
          <cell r="A1" t="str">
            <v>ключ</v>
          </cell>
        </row>
      </sheetData>
      <sheetData sheetId="98">
        <row r="1">
          <cell r="A1" t="str">
            <v>ключ</v>
          </cell>
        </row>
      </sheetData>
      <sheetData sheetId="99">
        <row r="1">
          <cell r="A1" t="str">
            <v>ключ</v>
          </cell>
        </row>
      </sheetData>
      <sheetData sheetId="100">
        <row r="1">
          <cell r="A1" t="str">
            <v>ключ</v>
          </cell>
        </row>
      </sheetData>
      <sheetData sheetId="101">
        <row r="1">
          <cell r="A1" t="str">
            <v>ключ</v>
          </cell>
        </row>
      </sheetData>
      <sheetData sheetId="102">
        <row r="1">
          <cell r="A1" t="str">
            <v>ключ</v>
          </cell>
        </row>
      </sheetData>
      <sheetData sheetId="103">
        <row r="1">
          <cell r="A1" t="str">
            <v>ключ</v>
          </cell>
        </row>
      </sheetData>
      <sheetData sheetId="104">
        <row r="1">
          <cell r="A1" t="str">
            <v>ключ</v>
          </cell>
        </row>
      </sheetData>
      <sheetData sheetId="105">
        <row r="1">
          <cell r="A1" t="str">
            <v>ключ</v>
          </cell>
        </row>
      </sheetData>
      <sheetData sheetId="106">
        <row r="1">
          <cell r="A1" t="str">
            <v>ключ</v>
          </cell>
        </row>
      </sheetData>
      <sheetData sheetId="107" refreshError="1"/>
      <sheetData sheetId="108" refreshError="1"/>
      <sheetData sheetId="109" refreshError="1"/>
      <sheetData sheetId="110">
        <row r="1">
          <cell r="A1" t="str">
            <v>ключ</v>
          </cell>
        </row>
      </sheetData>
      <sheetData sheetId="111">
        <row r="1">
          <cell r="A1" t="str">
            <v>ключ</v>
          </cell>
        </row>
      </sheetData>
      <sheetData sheetId="112">
        <row r="1">
          <cell r="A1" t="str">
            <v>ключ</v>
          </cell>
        </row>
      </sheetData>
      <sheetData sheetId="113">
        <row r="1">
          <cell r="A1" t="str">
            <v>ключ</v>
          </cell>
        </row>
      </sheetData>
      <sheetData sheetId="114">
        <row r="1">
          <cell r="A1" t="str">
            <v>ключ</v>
          </cell>
        </row>
      </sheetData>
      <sheetData sheetId="115">
        <row r="1">
          <cell r="A1" t="str">
            <v>ключ</v>
          </cell>
        </row>
      </sheetData>
      <sheetData sheetId="116">
        <row r="1">
          <cell r="A1" t="str">
            <v>ключ</v>
          </cell>
        </row>
      </sheetData>
      <sheetData sheetId="117">
        <row r="1">
          <cell r="A1" t="str">
            <v>ключ</v>
          </cell>
        </row>
      </sheetData>
      <sheetData sheetId="118">
        <row r="1">
          <cell r="A1" t="str">
            <v>ключ</v>
          </cell>
        </row>
      </sheetData>
      <sheetData sheetId="119">
        <row r="1">
          <cell r="A1" t="str">
            <v>ключ</v>
          </cell>
        </row>
      </sheetData>
      <sheetData sheetId="120">
        <row r="1">
          <cell r="A1" t="str">
            <v>ключ</v>
          </cell>
        </row>
      </sheetData>
      <sheetData sheetId="121">
        <row r="1">
          <cell r="A1" t="str">
            <v>ключ</v>
          </cell>
        </row>
      </sheetData>
      <sheetData sheetId="122">
        <row r="1">
          <cell r="A1" t="str">
            <v>ключ</v>
          </cell>
        </row>
      </sheetData>
      <sheetData sheetId="123">
        <row r="1">
          <cell r="A1" t="str">
            <v>ключ</v>
          </cell>
        </row>
      </sheetData>
      <sheetData sheetId="124">
        <row r="1">
          <cell r="A1" t="str">
            <v>ключ</v>
          </cell>
        </row>
      </sheetData>
      <sheetData sheetId="125">
        <row r="1">
          <cell r="A1" t="str">
            <v>ключ</v>
          </cell>
        </row>
      </sheetData>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1">
          <cell r="A1" t="str">
            <v>ключ</v>
          </cell>
        </row>
      </sheetData>
      <sheetData sheetId="156">
        <row r="1">
          <cell r="A1" t="str">
            <v>ключ</v>
          </cell>
        </row>
      </sheetData>
      <sheetData sheetId="157" refreshError="1"/>
      <sheetData sheetId="158" refreshError="1"/>
      <sheetData sheetId="159">
        <row r="1">
          <cell r="A1" t="str">
            <v>ключ</v>
          </cell>
        </row>
      </sheetData>
      <sheetData sheetId="160">
        <row r="1">
          <cell r="A1" t="str">
            <v>ключ</v>
          </cell>
        </row>
      </sheetData>
      <sheetData sheetId="161">
        <row r="1">
          <cell r="A1" t="str">
            <v>ключ</v>
          </cell>
        </row>
      </sheetData>
      <sheetData sheetId="162">
        <row r="1">
          <cell r="A1" t="str">
            <v>ключ</v>
          </cell>
        </row>
      </sheetData>
      <sheetData sheetId="163">
        <row r="1">
          <cell r="A1" t="str">
            <v>ключ</v>
          </cell>
        </row>
      </sheetData>
      <sheetData sheetId="164">
        <row r="1">
          <cell r="A1" t="str">
            <v>ключ</v>
          </cell>
        </row>
      </sheetData>
      <sheetData sheetId="165">
        <row r="1">
          <cell r="A1" t="str">
            <v>ключ</v>
          </cell>
        </row>
      </sheetData>
      <sheetData sheetId="166">
        <row r="1">
          <cell r="A1" t="str">
            <v>ключ</v>
          </cell>
        </row>
      </sheetData>
      <sheetData sheetId="167">
        <row r="1">
          <cell r="A1" t="str">
            <v>ключ</v>
          </cell>
        </row>
      </sheetData>
      <sheetData sheetId="168">
        <row r="1">
          <cell r="A1" t="str">
            <v>ключ</v>
          </cell>
        </row>
      </sheetData>
      <sheetData sheetId="169">
        <row r="1">
          <cell r="A1" t="str">
            <v>ключ</v>
          </cell>
        </row>
      </sheetData>
      <sheetData sheetId="170">
        <row r="1">
          <cell r="A1" t="str">
            <v>ключ</v>
          </cell>
        </row>
      </sheetData>
      <sheetData sheetId="171">
        <row r="1">
          <cell r="A1" t="str">
            <v>ключ</v>
          </cell>
        </row>
      </sheetData>
      <sheetData sheetId="172">
        <row r="1">
          <cell r="A1" t="str">
            <v>ключ</v>
          </cell>
        </row>
      </sheetData>
      <sheetData sheetId="173">
        <row r="1">
          <cell r="A1" t="str">
            <v>ключ</v>
          </cell>
        </row>
      </sheetData>
      <sheetData sheetId="174">
        <row r="1">
          <cell r="A1" t="str">
            <v>ключ</v>
          </cell>
        </row>
      </sheetData>
      <sheetData sheetId="175">
        <row r="1">
          <cell r="A1" t="str">
            <v>ключ</v>
          </cell>
        </row>
      </sheetData>
      <sheetData sheetId="176">
        <row r="1">
          <cell r="A1" t="str">
            <v>ключ</v>
          </cell>
        </row>
      </sheetData>
      <sheetData sheetId="177">
        <row r="1">
          <cell r="A1" t="str">
            <v>ключ</v>
          </cell>
        </row>
      </sheetData>
      <sheetData sheetId="178">
        <row r="1">
          <cell r="A1" t="str">
            <v>ключ</v>
          </cell>
        </row>
      </sheetData>
      <sheetData sheetId="179">
        <row r="1">
          <cell r="A1" t="str">
            <v>ключ</v>
          </cell>
        </row>
      </sheetData>
      <sheetData sheetId="180">
        <row r="1">
          <cell r="A1" t="str">
            <v>ключ</v>
          </cell>
        </row>
      </sheetData>
      <sheetData sheetId="181" refreshError="1"/>
      <sheetData sheetId="182" refreshError="1"/>
      <sheetData sheetId="183" refreshError="1"/>
      <sheetData sheetId="184" refreshError="1"/>
      <sheetData sheetId="185">
        <row r="1">
          <cell r="A1" t="str">
            <v>ключ</v>
          </cell>
        </row>
      </sheetData>
      <sheetData sheetId="186">
        <row r="1">
          <cell r="A1" t="str">
            <v>ключ</v>
          </cell>
        </row>
      </sheetData>
      <sheetData sheetId="187">
        <row r="1">
          <cell r="A1" t="str">
            <v>ключ</v>
          </cell>
        </row>
      </sheetData>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ow r="1">
          <cell r="A1" t="str">
            <v>ключ</v>
          </cell>
        </row>
      </sheetData>
      <sheetData sheetId="205">
        <row r="1">
          <cell r="A1" t="str">
            <v>ключ</v>
          </cell>
        </row>
      </sheetData>
      <sheetData sheetId="206">
        <row r="1">
          <cell r="A1" t="str">
            <v>ключ</v>
          </cell>
        </row>
      </sheetData>
      <sheetData sheetId="207">
        <row r="1">
          <cell r="A1" t="str">
            <v>ключ</v>
          </cell>
        </row>
      </sheetData>
      <sheetData sheetId="208">
        <row r="1">
          <cell r="A1" t="str">
            <v>ключ</v>
          </cell>
        </row>
      </sheetData>
      <sheetData sheetId="209">
        <row r="1">
          <cell r="A1" t="str">
            <v>ключ</v>
          </cell>
        </row>
      </sheetData>
      <sheetData sheetId="210">
        <row r="1">
          <cell r="A1" t="str">
            <v>ключ</v>
          </cell>
        </row>
      </sheetData>
      <sheetData sheetId="211">
        <row r="1">
          <cell r="A1" t="str">
            <v>ключ</v>
          </cell>
        </row>
      </sheetData>
      <sheetData sheetId="212">
        <row r="1">
          <cell r="A1" t="str">
            <v>ключ</v>
          </cell>
        </row>
      </sheetData>
      <sheetData sheetId="213">
        <row r="1">
          <cell r="A1" t="str">
            <v>ключ</v>
          </cell>
        </row>
      </sheetData>
      <sheetData sheetId="214">
        <row r="1">
          <cell r="A1" t="str">
            <v>ключ</v>
          </cell>
        </row>
      </sheetData>
      <sheetData sheetId="215">
        <row r="1">
          <cell r="A1" t="str">
            <v>ключ</v>
          </cell>
        </row>
      </sheetData>
      <sheetData sheetId="216">
        <row r="1">
          <cell r="A1" t="str">
            <v>ключ</v>
          </cell>
        </row>
      </sheetData>
      <sheetData sheetId="217">
        <row r="1">
          <cell r="A1" t="str">
            <v>ключ</v>
          </cell>
        </row>
      </sheetData>
      <sheetData sheetId="218">
        <row r="1">
          <cell r="A1" t="str">
            <v>ключ</v>
          </cell>
        </row>
      </sheetData>
      <sheetData sheetId="219">
        <row r="1">
          <cell r="A1" t="str">
            <v>ключ</v>
          </cell>
        </row>
      </sheetData>
      <sheetData sheetId="220">
        <row r="1">
          <cell r="A1" t="str">
            <v>ключ</v>
          </cell>
        </row>
      </sheetData>
      <sheetData sheetId="221">
        <row r="1">
          <cell r="A1" t="str">
            <v>ключ</v>
          </cell>
        </row>
      </sheetData>
      <sheetData sheetId="222">
        <row r="1">
          <cell r="A1" t="str">
            <v>ключ</v>
          </cell>
        </row>
      </sheetData>
      <sheetData sheetId="223">
        <row r="1">
          <cell r="A1" t="str">
            <v>ключ</v>
          </cell>
        </row>
      </sheetData>
      <sheetData sheetId="224">
        <row r="1">
          <cell r="A1" t="str">
            <v>ключ</v>
          </cell>
        </row>
      </sheetData>
      <sheetData sheetId="225">
        <row r="1">
          <cell r="A1" t="str">
            <v>ключ</v>
          </cell>
        </row>
      </sheetData>
      <sheetData sheetId="226">
        <row r="1">
          <cell r="A1" t="str">
            <v>ключ</v>
          </cell>
        </row>
      </sheetData>
      <sheetData sheetId="227">
        <row r="1">
          <cell r="A1" t="str">
            <v>ключ</v>
          </cell>
        </row>
      </sheetData>
      <sheetData sheetId="228">
        <row r="1">
          <cell r="A1" t="str">
            <v>ключ</v>
          </cell>
        </row>
      </sheetData>
      <sheetData sheetId="229">
        <row r="1">
          <cell r="A1" t="str">
            <v>ключ</v>
          </cell>
        </row>
      </sheetData>
      <sheetData sheetId="230">
        <row r="1">
          <cell r="A1" t="str">
            <v>ключ</v>
          </cell>
        </row>
      </sheetData>
      <sheetData sheetId="231">
        <row r="1">
          <cell r="A1" t="str">
            <v>ключ</v>
          </cell>
        </row>
      </sheetData>
      <sheetData sheetId="232">
        <row r="1">
          <cell r="A1" t="str">
            <v>ключ</v>
          </cell>
        </row>
      </sheetData>
      <sheetData sheetId="233" refreshError="1"/>
      <sheetData sheetId="234">
        <row r="1">
          <cell r="A1" t="str">
            <v>ключ</v>
          </cell>
        </row>
      </sheetData>
      <sheetData sheetId="235">
        <row r="1">
          <cell r="A1" t="str">
            <v>ключ</v>
          </cell>
        </row>
      </sheetData>
      <sheetData sheetId="236">
        <row r="1">
          <cell r="A1" t="str">
            <v>ключ</v>
          </cell>
        </row>
      </sheetData>
      <sheetData sheetId="237">
        <row r="1">
          <cell r="A1" t="str">
            <v>ключ</v>
          </cell>
        </row>
      </sheetData>
      <sheetData sheetId="238">
        <row r="1">
          <cell r="A1" t="str">
            <v>ключ</v>
          </cell>
        </row>
      </sheetData>
      <sheetData sheetId="239">
        <row r="1">
          <cell r="A1" t="str">
            <v>ключ</v>
          </cell>
        </row>
      </sheetData>
      <sheetData sheetId="240"/>
      <sheetData sheetId="241"/>
      <sheetData sheetId="242"/>
      <sheetData sheetId="243"/>
      <sheetData sheetId="244"/>
      <sheetData sheetId="245"/>
      <sheetData sheetId="246"/>
      <sheetData sheetId="247"/>
      <sheetData sheetId="248"/>
      <sheetData sheetId="249"/>
      <sheetData sheetId="250"/>
      <sheetData sheetId="251"/>
      <sheetData sheetId="252">
        <row r="1">
          <cell r="A1" t="str">
            <v>ключ</v>
          </cell>
        </row>
      </sheetData>
      <sheetData sheetId="253">
        <row r="1">
          <cell r="A1" t="str">
            <v>ключ</v>
          </cell>
        </row>
      </sheetData>
      <sheetData sheetId="254">
        <row r="1">
          <cell r="A1" t="str">
            <v>ключ</v>
          </cell>
        </row>
      </sheetData>
      <sheetData sheetId="255">
        <row r="1">
          <cell r="A1" t="str">
            <v>ключ</v>
          </cell>
        </row>
      </sheetData>
      <sheetData sheetId="256">
        <row r="1">
          <cell r="A1" t="str">
            <v>ключ</v>
          </cell>
        </row>
      </sheetData>
      <sheetData sheetId="257">
        <row r="1">
          <cell r="A1" t="str">
            <v>ключ</v>
          </cell>
        </row>
      </sheetData>
      <sheetData sheetId="258">
        <row r="1">
          <cell r="A1" t="str">
            <v>ключ</v>
          </cell>
        </row>
      </sheetData>
      <sheetData sheetId="259">
        <row r="1">
          <cell r="A1" t="str">
            <v>ключ</v>
          </cell>
        </row>
      </sheetData>
      <sheetData sheetId="260">
        <row r="1">
          <cell r="A1" t="str">
            <v>ключ</v>
          </cell>
        </row>
      </sheetData>
      <sheetData sheetId="261">
        <row r="1">
          <cell r="A1" t="str">
            <v>ключ</v>
          </cell>
        </row>
      </sheetData>
      <sheetData sheetId="262">
        <row r="1">
          <cell r="A1" t="str">
            <v>ключ</v>
          </cell>
        </row>
      </sheetData>
      <sheetData sheetId="263">
        <row r="1">
          <cell r="A1" t="str">
            <v>ключ</v>
          </cell>
        </row>
      </sheetData>
      <sheetData sheetId="264">
        <row r="1">
          <cell r="A1" t="str">
            <v>ключ</v>
          </cell>
        </row>
      </sheetData>
      <sheetData sheetId="265">
        <row r="1">
          <cell r="A1" t="str">
            <v>ключ</v>
          </cell>
        </row>
      </sheetData>
      <sheetData sheetId="266"/>
      <sheetData sheetId="267">
        <row r="1">
          <cell r="A1" t="str">
            <v>ключ</v>
          </cell>
        </row>
      </sheetData>
      <sheetData sheetId="268">
        <row r="1">
          <cell r="A1" t="str">
            <v>ключ</v>
          </cell>
        </row>
      </sheetData>
      <sheetData sheetId="269">
        <row r="1">
          <cell r="A1" t="str">
            <v>ключ</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1">
          <cell r="A1" t="str">
            <v>ключ</v>
          </cell>
        </row>
      </sheetData>
      <sheetData sheetId="281">
        <row r="1">
          <cell r="A1" t="str">
            <v>ключ</v>
          </cell>
        </row>
      </sheetData>
      <sheetData sheetId="282">
        <row r="1">
          <cell r="A1" t="str">
            <v>ключ</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ow r="1">
          <cell r="A1" t="str">
            <v>ключ</v>
          </cell>
        </row>
      </sheetData>
      <sheetData sheetId="308">
        <row r="1">
          <cell r="A1" t="str">
            <v>ключ</v>
          </cell>
        </row>
      </sheetData>
      <sheetData sheetId="309">
        <row r="1">
          <cell r="A1" t="str">
            <v>ключ</v>
          </cell>
        </row>
      </sheetData>
      <sheetData sheetId="310">
        <row r="1">
          <cell r="A1" t="str">
            <v>ключ</v>
          </cell>
        </row>
      </sheetData>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Фориш_2003"/>
      <sheetName val="Лист2"/>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Results"/>
      <sheetName val="Ер Ресурс"/>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Ж-8."/>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лой"/>
      <sheetName val="MIN-MAX"/>
      <sheetName val="выполнение"/>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экс хар"/>
      <sheetName val="САРФ жур-л"/>
      <sheetName val="Максам-Чирчик"/>
      <sheetName val="Олт"/>
      <sheetName val="кассак бюдже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Лист1"/>
      <sheetName val="база"/>
      <sheetName val="Районы"/>
      <sheetName val="NA6502"/>
      <sheetName val="Data input"/>
      <sheetName val="Пр1э"/>
      <sheetName val="amp_spr"/>
      <sheetName val="MOTO"/>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 устама "/>
      <sheetName val="Ж-1"/>
      <sheetName val="Ж-1а "/>
      <sheetName val="Ж-2."/>
      <sheetName val="Ж-3."/>
      <sheetName val="Ж-4"/>
      <sheetName val="Ж-4а"/>
      <sheetName val="Ж-5."/>
      <sheetName val="Ж-5-1"/>
      <sheetName val="Ж-6."/>
      <sheetName val="Ж-6-1"/>
      <sheetName val="Ж-7"/>
      <sheetName val="Ж-7.1"/>
      <sheetName val="Ж-7.2"/>
      <sheetName val="Ж-8-1"/>
      <sheetName val="Ж-9"/>
      <sheetName val="Ж-10"/>
      <sheetName val="Ж-11"/>
      <sheetName val="Ж-12"/>
      <sheetName val="Ж-13."/>
      <sheetName val="Ж-14."/>
      <sheetName val="ж-15"/>
      <sheetName val="натижадорлик ж-16"/>
      <sheetName val="муаммоли фер хужаликлари ж-17"/>
      <sheetName val="жад 18"/>
      <sheetName val="Kur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sheetData sheetId="19"/>
      <sheetData sheetId="20"/>
      <sheetData sheetId="21"/>
      <sheetData sheetId="22"/>
      <sheetData sheetId="23" refreshError="1"/>
      <sheetData sheetId="24"/>
      <sheetData sheetId="25"/>
      <sheetData sheetId="26" refreshError="1"/>
      <sheetData sheetId="27" refreshError="1"/>
      <sheetData sheetId="28" refreshError="1"/>
      <sheetData sheetId="29"/>
      <sheetData sheetId="30"/>
      <sheetData sheetId="31"/>
      <sheetData sheetId="32"/>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ссив"/>
      <sheetName val="Svod_T1"/>
      <sheetName val="Baza_T1"/>
      <sheetName val="Svod_T1a"/>
      <sheetName val="Baza_т1а"/>
      <sheetName val="Svod_T2"/>
      <sheetName val="Baza_т2"/>
      <sheetName val="Svod_T3"/>
      <sheetName val="Baza_т3"/>
      <sheetName val="Svod_T4"/>
      <sheetName val="Baza_т4"/>
      <sheetName val="Фориш 2003"/>
      <sheetName val="Нарх"/>
      <sheetName val="Пункт"/>
      <sheetName val="Гай пахта"/>
      <sheetName val="Прогноз"/>
      <sheetName val="c"/>
      <sheetName val="Отряд  монит"/>
      <sheetName val="Фориш_2003"/>
      <sheetName val="Гай_пахта"/>
      <sheetName val="Отряд__монит"/>
      <sheetName val="Results"/>
      <sheetName val="Олт"/>
      <sheetName val="15,05,06йилга жами"/>
      <sheetName val="апрель кре.жами"/>
      <sheetName val="Зар"/>
      <sheetName val="Заф"/>
      <sheetName val="Мир"/>
      <sheetName val="Зом"/>
      <sheetName val="Макрос1"/>
      <sheetName val="Фориш_20031"/>
      <sheetName val="Гай_пахта1"/>
      <sheetName val="Отряд__монит1"/>
      <sheetName val="Фориш_20032"/>
      <sheetName val="Гай_пахта2"/>
      <sheetName val="Отряд__монит2"/>
      <sheetName val="15,05,06йилга_жами"/>
      <sheetName val="апрель_кре_жами"/>
      <sheetName val="инф"/>
      <sheetName val="BAL"/>
      <sheetName val="Нокон хол"/>
      <sheetName val="ЯнварБюджет"/>
      <sheetName val="Мин.угит"/>
      <sheetName val="Лист2"/>
      <sheetName val="Зан-ть(р-ны)"/>
    </sheetNames>
    <sheetDataSet>
      <sheetData sheetId="0">
        <row r="9">
          <cell r="B9" t="str">
            <v>03</v>
          </cell>
          <cell r="C9" t="str">
            <v>Андижон вилояти</v>
          </cell>
        </row>
        <row r="10">
          <cell r="B10" t="str">
            <v>06</v>
          </cell>
          <cell r="C10" t="str">
            <v>Бухоро вилояти</v>
          </cell>
        </row>
        <row r="11">
          <cell r="B11" t="str">
            <v>08</v>
          </cell>
          <cell r="C11" t="str">
            <v>Жиззах вилояти</v>
          </cell>
        </row>
        <row r="12">
          <cell r="B12" t="str">
            <v>10</v>
          </cell>
          <cell r="C12" t="str">
            <v>Кашкадарё вилояти</v>
          </cell>
        </row>
        <row r="13">
          <cell r="B13" t="str">
            <v>12</v>
          </cell>
          <cell r="C13" t="str">
            <v>Навоий вилояти</v>
          </cell>
        </row>
        <row r="14">
          <cell r="B14" t="str">
            <v>14</v>
          </cell>
          <cell r="C14" t="str">
            <v>Наманган вилояти</v>
          </cell>
        </row>
        <row r="15">
          <cell r="B15" t="str">
            <v>18</v>
          </cell>
          <cell r="C15" t="str">
            <v>Самарканд вилояти</v>
          </cell>
        </row>
        <row r="16">
          <cell r="B16" t="str">
            <v>22</v>
          </cell>
          <cell r="C16" t="str">
            <v>Сурхандарё вилояти</v>
          </cell>
        </row>
        <row r="17">
          <cell r="B17" t="str">
            <v>24</v>
          </cell>
          <cell r="C17" t="str">
            <v>Сирдарё вилояти</v>
          </cell>
        </row>
        <row r="18">
          <cell r="B18" t="str">
            <v>27</v>
          </cell>
          <cell r="C18" t="str">
            <v>Тошкент вилояти</v>
          </cell>
        </row>
        <row r="19">
          <cell r="B19" t="str">
            <v>30</v>
          </cell>
          <cell r="C19" t="str">
            <v>Фаргона вилояти</v>
          </cell>
        </row>
        <row r="20">
          <cell r="B20" t="str">
            <v>33</v>
          </cell>
          <cell r="C20" t="str">
            <v>Хоразм вилояти</v>
          </cell>
        </row>
        <row r="21">
          <cell r="B21" t="str">
            <v>35</v>
          </cell>
          <cell r="C21" t="str">
            <v>Каракалпогистон Республикаси</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sheetData sheetId="40" refreshError="1"/>
      <sheetData sheetId="41" refreshError="1"/>
      <sheetData sheetId="42" refreshError="1"/>
      <sheetData sheetId="43" refreshError="1"/>
      <sheetData sheetId="4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Уюшмага 2-Ф"/>
      <sheetName val="уюшмага10,09 холатига"/>
      <sheetName val="Жами свод"/>
      <sheetName val="Уюшмага Форма-2"/>
      <sheetName val="Уюшмага Ж10,09"/>
      <sheetName val="Массив"/>
      <sheetName val="Results"/>
      <sheetName val="Прогноз"/>
      <sheetName val="Фориш 2003"/>
      <sheetName val="Макрос1"/>
      <sheetName val="Уюшмага_2-Ф"/>
      <sheetName val="уюшмага10,09_холатига"/>
      <sheetName val="Жами_свод"/>
      <sheetName val="Уюшмага_Форма-2"/>
      <sheetName val="Уюшмага_Ж10,09"/>
      <sheetName val="Фориш_2003"/>
      <sheetName val="Гай пахта"/>
      <sheetName val="Нарх"/>
      <sheetName val="Пункт"/>
      <sheetName val="Svod_T1"/>
      <sheetName val="Baza_T1"/>
      <sheetName val="Svod_T1a"/>
      <sheetName val="Baza_т1а"/>
      <sheetName val="Svod_T2"/>
      <sheetName val="Baza_т2"/>
      <sheetName val="Svod_T3"/>
      <sheetName val="Baza_т3"/>
      <sheetName val="Svod_T4"/>
      <sheetName val="Baza_т4"/>
      <sheetName val="экс хар"/>
      <sheetName val="Уюшмага_2-Ф1"/>
      <sheetName val="уюшмага10,09_холатига1"/>
      <sheetName val="Жами_свод1"/>
      <sheetName val="Уюшмага_Форма-21"/>
      <sheetName val="Уюшмага_Ж10,091"/>
      <sheetName val="Фориш_20031"/>
      <sheetName val="Гай_пахта"/>
      <sheetName val="экс_хар"/>
      <sheetName val="Зан-ть(р-ны)"/>
      <sheetName val="Олт"/>
      <sheetName val="DNET"/>
      <sheetName val="База"/>
      <sheetName val="Параметры"/>
      <sheetName val="меъёр2"/>
      <sheetName val="Лист2"/>
      <sheetName val="ЯнварБюджет"/>
      <sheetName val="Уюшмага_2-Ф2"/>
      <sheetName val="уюшмага10,09_холатига2"/>
      <sheetName val="Жами_свод2"/>
      <sheetName val="Уюшмага_Форма-22"/>
      <sheetName val="Уюшмага_Ж10,092"/>
      <sheetName val="Фориш_20032"/>
      <sheetName val="Гай_пахта1"/>
      <sheetName val="экс_хар1"/>
      <sheetName val="Максам-Чирчик"/>
      <sheetName val="KAT2344"/>
      <sheetName val="Ер Ресурс"/>
      <sheetName val="63- протокол (4)"/>
      <sheetName val="Prog. rost tarifov"/>
      <sheetName val="Лист1 (2)"/>
      <sheetName val="NA6502"/>
      <sheetName val="ВВОД"/>
      <sheetName val="Абдумуродга_охи"/>
    </sheetNames>
    <sheetDataSet>
      <sheetData sheetId="0">
        <row r="9">
          <cell r="B9" t="str">
            <v>03</v>
          </cell>
        </row>
      </sheetData>
      <sheetData sheetId="1">
        <row r="9">
          <cell r="B9" t="str">
            <v>03</v>
          </cell>
        </row>
      </sheetData>
      <sheetData sheetId="2">
        <row r="9">
          <cell r="B9" t="str">
            <v>03</v>
          </cell>
        </row>
      </sheetData>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RA_235"/>
      <sheetName val="№2б"/>
      <sheetName val="ЭЛ"/>
      <sheetName val="фориш_свод"/>
      <sheetName val="Фориш_2003"/>
      <sheetName val="Жиззах_янги_раз"/>
      <sheetName val="уюшмага10,09_холатига"/>
      <sheetName val="ХЮС"/>
      <sheetName val="Гай пахта"/>
      <sheetName val="사양조정"/>
      <sheetName val="Лист4"/>
      <sheetName val="Зан-ть(р-ны)"/>
      <sheetName val="Макрос1"/>
      <sheetName val="ном"/>
      <sheetName val="Асосий майдон-уруглик"/>
      <sheetName val="Параметр (ФОРМУДА)"/>
      <sheetName val="Лист1 (2)"/>
      <sheetName val="Прогноз"/>
      <sheetName val="Results"/>
      <sheetName val="фориш_свод1"/>
      <sheetName val="Фориш_20031"/>
      <sheetName val="Жиззах_янги_раз1"/>
      <sheetName val="уюшмага10,09_холатига1"/>
      <sheetName val="Гай_пахта"/>
      <sheetName val="Асосий_майдон-уруглик"/>
      <sheetName val="Параметр_(ФОРМУДА)"/>
      <sheetName val="Лист1_(2)"/>
      <sheetName val=" ОблУНО"/>
      <sheetName val=" ОблУНО (1)"/>
      <sheetName val="Спорт"/>
      <sheetName val="ПТО "/>
      <sheetName val="Урганч Муз"/>
      <sheetName val="ОблИУУ"/>
      <sheetName val="бер"/>
      <sheetName val="База"/>
      <sheetName val="туман"/>
      <sheetName val="Уругликка"/>
      <sheetName val="банк табл"/>
      <sheetName val="Лист2"/>
      <sheetName val="Ресстр2"/>
      <sheetName val="реестр3"/>
      <sheetName val="Реестр1"/>
      <sheetName val="Т19"/>
      <sheetName val="Дефектная ведомость"/>
      <sheetName val="режа"/>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Жад 30"/>
      <sheetName val="Уюшмага 2-Ф"/>
      <sheetName val="Жами свод"/>
      <sheetName val="Уюшмага Форма-2"/>
      <sheetName val="Уюшмага Ж10,09"/>
      <sheetName val="63- протокол (4)"/>
      <sheetName val="ер ресурс"/>
      <sheetName val="К.смета"/>
      <sheetName val="s"/>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63-_протокол_(4)"/>
      <sheetName val="ер_ресурс"/>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Пр1э"/>
      <sheetName val="год_утч"/>
      <sheetName val="11 жадвал"/>
      <sheetName val="10 жадвал"/>
      <sheetName val="11_жадвал"/>
      <sheetName val="10_жадвал"/>
      <sheetName val="экс хар"/>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ер_ресурс3"/>
      <sheetName val="К_смета3"/>
      <sheetName val="63-_протокол_(4)3"/>
      <sheetName val="11_жадвал1"/>
      <sheetName val="10_жадвал1"/>
      <sheetName val="экс_хар"/>
      <sheetName val="c"/>
      <sheetName val="KAT2344"/>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данные"/>
      <sheetName val="сталь по годам"/>
      <sheetName val="транспортировка"/>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МФО руйхат"/>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ССЫЛКА"/>
      <sheetName val="Нокон хол"/>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инф"/>
      <sheetName val="Фориш_20031〲"/>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Фориш_20031Ȳ"/>
      <sheetName val="Рабочая таблица"/>
      <sheetName val="март"/>
      <sheetName val="Тохирбек%202003-1"/>
      <sheetName val="январбюджет"/>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выполнение"/>
      <sheetName val="ФО"/>
      <sheetName val="лой"/>
      <sheetName val="203 квп"/>
      <sheetName val="Облсэс"/>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свод_СвС"/>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табли 4 местний совет"/>
      <sheetName val="193 свод"/>
      <sheetName val="5 жадвал"/>
      <sheetName val="адресная часть"/>
      <sheetName val="физ.тон"/>
      <sheetName val="БД"/>
      <sheetName val="по фермер"/>
      <sheetName val="Date"/>
      <sheetName val="63-_протокол_(4)䀀"/>
      <sheetName val="По районам"/>
      <sheetName val="Йигилишга"/>
      <sheetName val="Олт"/>
      <sheetName val="ОКДАРЁ (3)"/>
      <sheetName val="муд форм"/>
      <sheetName val="граф форм"/>
      <sheetName val="13.1.Издержки"/>
      <sheetName val="табл чувств"/>
      <sheetName val="Форма №2а"/>
      <sheetName val="NA6502"/>
      <sheetName val="План пр-ва"/>
      <sheetName val="er96"/>
      <sheetName val="CPIINDEX"/>
      <sheetName val="План продаж"/>
      <sheetName val="ж а м и"/>
      <sheetName val="Дебет"/>
      <sheetName val="tab17"/>
      <sheetName val="Q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исходные"/>
      <sheetName val="сана"/>
      <sheetName val="HCCE01"/>
      <sheetName val="оборот"/>
      <sheetName val="1-илова, ном-ном"/>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 val=""/>
      <sheetName val="Список"/>
      <sheetName val="0"/>
      <sheetName val="Info"/>
      <sheetName val="рабочая"/>
      <sheetName val="прибыль и ДКЗ"/>
      <sheetName val="Справка"/>
      <sheetName val="Налоги"/>
      <sheetName val="Oglavlenie"/>
      <sheetName val="Base-новая"/>
      <sheetName val="прибыль_и_ДКЗ"/>
      <sheetName val="3"/>
      <sheetName val="PV6 3.5L LX5 GMX170"/>
      <sheetName val="Р з.п"/>
      <sheetName val="прибыль_и_ДКЗ1"/>
      <sheetName val="PV6_3_5L_LX5_GMX170"/>
      <sheetName val="Р_з_п"/>
      <sheetName val="коэф роста"/>
      <sheetName val="кассак бюджет"/>
      <sheetName val="Тул-маганИш хаки. "/>
      <sheetName val="List3"/>
      <sheetName val="List25"/>
      <sheetName val="koplanmay"/>
      <sheetName val="forish svod"/>
      <sheetName val="Forish 2003"/>
      <sheetName val="Jizzax yangi raz"/>
      <sheetName val="List1"/>
      <sheetName val="Massiv"/>
      <sheetName val="uyushmaga10,09 xolatiga"/>
      <sheetName val="Narx"/>
      <sheetName val="Punkt"/>
      <sheetName val="№2b"/>
      <sheetName val="EL"/>
      <sheetName val="forish_svod"/>
      <sheetName val="Forish_2003"/>
      <sheetName val="Jizzax_yangi_raz"/>
      <sheetName val="uyushmaga10,09_xolatiga"/>
      <sheetName val="XYuS"/>
      <sheetName val="Gay paxta"/>
      <sheetName val="List4"/>
      <sheetName val="Makros1"/>
      <sheetName val="Zan-t(r-ni)"/>
      <sheetName val="nom"/>
      <sheetName val="Parametr (FORMUDA)"/>
      <sheetName val="Asosiy maydon-uruglik"/>
      <sheetName val="List1 (2)"/>
      <sheetName val="Prognoz"/>
      <sheetName val=" OblUNO"/>
      <sheetName val=" OblUNO (1)"/>
      <sheetName val="Sport"/>
      <sheetName val="PTO "/>
      <sheetName val="Urganch Muz"/>
      <sheetName val="OblIUU"/>
      <sheetName val="ber"/>
      <sheetName val="Baza"/>
      <sheetName val="forish_svod1"/>
      <sheetName val="Forish_20031"/>
      <sheetName val="Jizzax_yangi_raz1"/>
      <sheetName val="uyushmaga10,09_xolatiga1"/>
      <sheetName val="Gay_paxta"/>
      <sheetName val="Asosiy_maydon-uruglik"/>
      <sheetName val="Parametr_(FORMUDA)"/>
      <sheetName val="List1_(2)"/>
      <sheetName val="tuman"/>
      <sheetName val="Uruglikka"/>
      <sheetName val="bank tabl"/>
      <sheetName val="List2"/>
      <sheetName val="Resstr2"/>
      <sheetName val="reestr3"/>
      <sheetName val="Reestr1"/>
      <sheetName val="T19"/>
      <sheetName val="Defektnaya vedomost"/>
      <sheetName val="reja"/>
      <sheetName val="Uyushmaga 2-F"/>
      <sheetName val="Jami svod"/>
      <sheetName val="Uyushmaga Forma-2"/>
      <sheetName val="Uyushmaga J10,09"/>
      <sheetName val="Jad 30"/>
      <sheetName val="forish_svod2"/>
      <sheetName val="Forish_20032"/>
      <sheetName val="Jizzax_yangi_raz2"/>
      <sheetName val="uyushmaga10,09_xolatiga2"/>
      <sheetName val="Gay_paxta1"/>
      <sheetName val="Parametr_(FORMUDA)1"/>
      <sheetName val="Asosiy_maydon-uruglik1"/>
      <sheetName val="List1_(2)1"/>
      <sheetName val="_OblUNO"/>
      <sheetName val="_OblUNO_(1)"/>
      <sheetName val="PTO_"/>
      <sheetName val="Urganch_Muz"/>
      <sheetName val="bank_tabl"/>
      <sheetName val="63- protokol (4)"/>
      <sheetName val="er resurs"/>
      <sheetName val="K.smeta"/>
      <sheetName val="forish_svod3"/>
      <sheetName val="Forish_20033"/>
      <sheetName val="Jizzax_yangi_raz3"/>
      <sheetName val="uyushmaga10,09_xolatiga3"/>
      <sheetName val="Gay_paxta2"/>
      <sheetName val="Parametr_(FORMUDA)2"/>
      <sheetName val="Asosiy_maydon-uruglik2"/>
      <sheetName val="List1_(2)2"/>
      <sheetName val="_OblUNO1"/>
      <sheetName val="_OblUNO_(1)1"/>
      <sheetName val="PTO_1"/>
      <sheetName val="Urganch_Muz1"/>
      <sheetName val="bank_tabl1"/>
      <sheetName val="Uyushmaga_2-F"/>
      <sheetName val="Jami_svod"/>
      <sheetName val="Uyushmaga_Forma-2"/>
      <sheetName val="Uyushmaga_J10,09"/>
      <sheetName val="Defektnaya_vedomost"/>
      <sheetName val="Jad_30"/>
      <sheetName val="63-_protokol_(4)"/>
      <sheetName val="er_resurs"/>
      <sheetName val="K_smeta"/>
      <sheetName val="forish_svod5"/>
      <sheetName val="Forish_20035"/>
      <sheetName val="Jizzax_yangi_raz5"/>
      <sheetName val="uyushmaga10,09_xolatiga5"/>
      <sheetName val="Gay_paxta4"/>
      <sheetName val="Parametr_(FORMUDA)4"/>
      <sheetName val="Asosiy_maydon-uruglik4"/>
      <sheetName val="List1_(2)4"/>
      <sheetName val="_OblUNO3"/>
      <sheetName val="_OblUNO_(1)3"/>
      <sheetName val="PTO_3"/>
      <sheetName val="Urganch_Muz3"/>
      <sheetName val="bank_tabl3"/>
      <sheetName val="Uyushmaga_2-F2"/>
      <sheetName val="Jami_svod2"/>
      <sheetName val="Uyushmaga_Forma-22"/>
      <sheetName val="Uyushmaga_J10,092"/>
      <sheetName val="Defektnaya_vedomost2"/>
      <sheetName val="Jad_302"/>
      <sheetName val="63-_protokol_(4)2"/>
      <sheetName val="er_resurs2"/>
      <sheetName val="K_smeta2"/>
      <sheetName val="forish_svod4"/>
      <sheetName val="Forish_20034"/>
      <sheetName val="Jizzax_yangi_raz4"/>
      <sheetName val="uyushmaga10,09_xolatiga4"/>
      <sheetName val="Gay_paxta3"/>
      <sheetName val="Parametr_(FORMUDA)3"/>
      <sheetName val="Asosiy_maydon-uruglik3"/>
      <sheetName val="List1_(2)3"/>
      <sheetName val="_OblUNO2"/>
      <sheetName val="_OblUNO_(1)2"/>
      <sheetName val="PTO_2"/>
      <sheetName val="Urganch_Muz2"/>
      <sheetName val="bank_tabl2"/>
      <sheetName val="Uyushmaga_2-F1"/>
      <sheetName val="Jami_svod1"/>
      <sheetName val="Uyushmaga_Forma-21"/>
      <sheetName val="Uyushmaga_J10,091"/>
      <sheetName val="Defektnaya_vedomost1"/>
      <sheetName val="Jad_301"/>
      <sheetName val="63-_protokol_(4)1"/>
      <sheetName val="er_resurs1"/>
      <sheetName val="K_smeta1"/>
      <sheetName val="Pr1e"/>
      <sheetName val="god_utch"/>
      <sheetName val="11 jadval"/>
      <sheetName val="10 jadval"/>
      <sheetName val="11_jadval"/>
      <sheetName val="10_jadval"/>
      <sheetName val="eks xar"/>
      <sheetName val="forish_svod6"/>
      <sheetName val="Forish_20036"/>
      <sheetName val="Jizzax_yangi_raz6"/>
      <sheetName val="uyushmaga10,09_xolatiga6"/>
      <sheetName val="Gay_paxta5"/>
      <sheetName val="Parametr_(FORMUDA)5"/>
      <sheetName val="Asosiy_maydon-uruglik5"/>
      <sheetName val="List1_(2)5"/>
      <sheetName val="_OblUNO4"/>
      <sheetName val="_OblUNO_(1)4"/>
      <sheetName val="PTO_4"/>
      <sheetName val="Urganch_Muz4"/>
      <sheetName val="bank_tabl4"/>
      <sheetName val="Defektnaya_vedomost3"/>
      <sheetName val="Uyushmaga_2-F3"/>
      <sheetName val="Jami_svod3"/>
      <sheetName val="Uyushmaga_Forma-23"/>
      <sheetName val="Uyushmaga_J10,093"/>
      <sheetName val="Jad_303"/>
      <sheetName val="63-_protokol_(4)3"/>
      <sheetName val="er_resurs3"/>
      <sheetName val="K_smeta3"/>
      <sheetName val="11_jadval1"/>
      <sheetName val="10_jadval1"/>
      <sheetName val="eks_xar"/>
      <sheetName val="forish_svod7"/>
      <sheetName val="Forish_20037"/>
      <sheetName val="Jizzax_yangi_raz7"/>
      <sheetName val="uyushmaga10,09_xolatiga7"/>
      <sheetName val="Gay_paxta6"/>
      <sheetName val="Parametr_(FORMUDA)6"/>
      <sheetName val="Asosiy_maydon-uruglik6"/>
      <sheetName val="List1_(2)6"/>
      <sheetName val="_OblUNO5"/>
      <sheetName val="_OblUNO_(1)5"/>
      <sheetName val="PTO_5"/>
      <sheetName val="Urganch_Muz5"/>
      <sheetName val="bank_tabl5"/>
      <sheetName val="Defektnaya_vedomost4"/>
      <sheetName val="Uyushmaga_2-F4"/>
      <sheetName val="Jami_svod4"/>
      <sheetName val="Uyushmaga_Forma-24"/>
      <sheetName val="Uyushmaga_J10,094"/>
      <sheetName val="Jad_304"/>
      <sheetName val="er_resurs4"/>
      <sheetName val="K_smeta4"/>
      <sheetName val="63-_protokol_(4)4"/>
      <sheetName val="11_jadval2"/>
      <sheetName val="10_jadval2"/>
      <sheetName val="eks_xar1"/>
      <sheetName val="dannie"/>
      <sheetName val="stal po godam"/>
      <sheetName val="transportirovka"/>
      <sheetName val="forish_svod9"/>
      <sheetName val="forish_svod8"/>
      <sheetName val="Forish_20038"/>
      <sheetName val="Jizzax_yangi_raz8"/>
      <sheetName val="uyushmaga10,09_xolatiga8"/>
      <sheetName val="Gay_paxta7"/>
      <sheetName val="Parametr_(FORMUDA)7"/>
      <sheetName val="Asosiy_maydon-uruglik7"/>
      <sheetName val="List1_(2)7"/>
      <sheetName val="_OblUNO6"/>
      <sheetName val="_OblUNO_(1)6"/>
      <sheetName val="PTO_6"/>
      <sheetName val="Urganch_Muz6"/>
      <sheetName val="bank_tabl6"/>
      <sheetName val="Defektnaya_vedomost5"/>
      <sheetName val="Uyushmaga_2-F5"/>
      <sheetName val="Jami_svod5"/>
      <sheetName val="Uyushmaga_Forma-25"/>
      <sheetName val="Uyushmaga_J10,095"/>
      <sheetName val="er_resurs5"/>
      <sheetName val="Jad_305"/>
      <sheetName val="K_smeta5"/>
      <sheetName val="63-_protokol_(4)5"/>
      <sheetName val="stal_po_godam"/>
      <sheetName val="MFO ruyxat"/>
      <sheetName val="Forish_20039"/>
      <sheetName val="Jizzax_yangi_raz9"/>
      <sheetName val="uyushmaga10,09_xolatiga9"/>
      <sheetName val="Gay_paxta8"/>
      <sheetName val="Parametr_(FORMUDA)8"/>
      <sheetName val="Asosiy_maydon-uruglik8"/>
      <sheetName val="List1_(2)8"/>
      <sheetName val="_OblUNO7"/>
      <sheetName val="_OblUNO_(1)7"/>
      <sheetName val="PTO_7"/>
      <sheetName val="Urganch_Muz7"/>
      <sheetName val="bank_tabl7"/>
      <sheetName val="Defektnaya_vedomost6"/>
      <sheetName val="Uyushmaga_2-F6"/>
      <sheetName val="Jami_svod6"/>
      <sheetName val="Uyushmaga_Forma-26"/>
      <sheetName val="Uyushmaga_J10,096"/>
      <sheetName val="K_smeta6"/>
      <sheetName val="Jad_306"/>
      <sheetName val="er_resurs6"/>
      <sheetName val="11_jadval3"/>
      <sheetName val="10_jadval3"/>
      <sheetName val="63-_protokol_(4)6"/>
      <sheetName val="forish_svod10"/>
      <sheetName val="Forish_200310"/>
      <sheetName val="Jizzax_yangi_raz10"/>
      <sheetName val="uyushmaga10,09_xolatiga10"/>
      <sheetName val="Gay_paxta9"/>
      <sheetName val="Parametr_(FORMUDA)9"/>
      <sheetName val="Asosiy_maydon-uruglik9"/>
      <sheetName val="List1_(2)9"/>
      <sheetName val="_OblUNO8"/>
      <sheetName val="_OblUNO_(1)8"/>
      <sheetName val="PTO_8"/>
      <sheetName val="Urganch_Muz8"/>
      <sheetName val="bank_tabl8"/>
      <sheetName val="Defektnaya_vedomost7"/>
      <sheetName val="Uyushmaga_2-F7"/>
      <sheetName val="Jami_svod7"/>
      <sheetName val="Uyushmaga_Forma-27"/>
      <sheetName val="Uyushmaga_J10,097"/>
      <sheetName val="K_smeta7"/>
      <sheetName val="Jad_307"/>
      <sheetName val="er_resurs7"/>
      <sheetName val="11_jadval4"/>
      <sheetName val="10_jadval4"/>
      <sheetName val="63-_protokol_(4)7"/>
      <sheetName val="forish_svod11"/>
      <sheetName val="Forish_200311"/>
      <sheetName val="Jizzax_yangi_raz11"/>
      <sheetName val="uyushmaga10,09_xolatiga11"/>
      <sheetName val="Gay_paxta10"/>
      <sheetName val="Parametr_(FORMUDA)10"/>
      <sheetName val="Asosiy_maydon-uruglik10"/>
      <sheetName val="List1_(2)10"/>
      <sheetName val="_OblUNO9"/>
      <sheetName val="_OblUNO_(1)9"/>
      <sheetName val="PTO_9"/>
      <sheetName val="Urganch_Muz9"/>
      <sheetName val="bank_tabl9"/>
      <sheetName val="Defektnaya_vedomost8"/>
      <sheetName val="Uyushmaga_2-F8"/>
      <sheetName val="Jami_svod8"/>
      <sheetName val="Uyushmaga_Forma-28"/>
      <sheetName val="Uyushmaga_J10,098"/>
      <sheetName val="K_smeta8"/>
      <sheetName val="Jad_308"/>
      <sheetName val="er_resurs8"/>
      <sheetName val="11_jadval5"/>
      <sheetName val="10_jadval5"/>
      <sheetName val="63-_protokol_(4)8"/>
      <sheetName val="forish_svod12"/>
      <sheetName val="Forish_200312"/>
      <sheetName val="Jizzax_yangi_raz12"/>
      <sheetName val="uyushmaga10,09_xolatiga12"/>
      <sheetName val="Gay_paxta11"/>
      <sheetName val="Parametr_(FORMUDA)11"/>
      <sheetName val="Asosiy_maydon-uruglik11"/>
      <sheetName val="List1_(2)11"/>
      <sheetName val="_OblUNO10"/>
      <sheetName val="_OblUNO_(1)10"/>
      <sheetName val="PTO_10"/>
      <sheetName val="Urganch_Muz10"/>
      <sheetName val="bank_tabl10"/>
      <sheetName val="Defektnaya_vedomost9"/>
      <sheetName val="Uyushmaga_2-F9"/>
      <sheetName val="Jami_svod9"/>
      <sheetName val="Uyushmaga_Forma-29"/>
      <sheetName val="Uyushmaga_J10,099"/>
      <sheetName val="K_smeta9"/>
      <sheetName val="Jad_309"/>
      <sheetName val="er_resurs9"/>
      <sheetName val="11_jadval6"/>
      <sheetName val="10_jadval6"/>
      <sheetName val="63-_protokol_(4)9"/>
      <sheetName val="forish_svod13"/>
      <sheetName val="Forish_200313"/>
      <sheetName val="Jizzax_yangi_raz13"/>
      <sheetName val="uyushmaga10,09_xolatiga13"/>
      <sheetName val="Gay_paxta12"/>
      <sheetName val="Parametr_(FORMUDA)12"/>
      <sheetName val="Asosiy_maydon-uruglik12"/>
      <sheetName val="List1_(2)12"/>
      <sheetName val="_OblUNO11"/>
      <sheetName val="_OblUNO_(1)11"/>
      <sheetName val="PTO_11"/>
      <sheetName val="Urganch_Muz11"/>
      <sheetName val="bank_tabl11"/>
      <sheetName val="Defektnaya_vedomost10"/>
      <sheetName val="Uyushmaga_2-F10"/>
      <sheetName val="Jami_svod10"/>
      <sheetName val="Uyushmaga_Forma-210"/>
      <sheetName val="Uyushmaga_J10,0910"/>
      <sheetName val="Jad_3010"/>
      <sheetName val="K_smeta10"/>
      <sheetName val="forish_svod14"/>
      <sheetName val="Forish_200314"/>
      <sheetName val="Jizzax_yangi_raz14"/>
      <sheetName val="uyushmaga10,09_xolatiga14"/>
      <sheetName val="Gay_paxta13"/>
      <sheetName val="Parametr_(FORMUDA)13"/>
      <sheetName val="Asosiy_maydon-uruglik13"/>
      <sheetName val="List1_(2)13"/>
      <sheetName val="_OblUNO12"/>
      <sheetName val="_OblUNO_(1)12"/>
      <sheetName val="PTO_12"/>
      <sheetName val="Urganch_Muz12"/>
      <sheetName val="bank_tabl12"/>
      <sheetName val="Defektnaya_vedomost11"/>
      <sheetName val="Uyushmaga_2-F11"/>
      <sheetName val="Jami_svod11"/>
      <sheetName val="Uyushmaga_Forma-211"/>
      <sheetName val="Uyushmaga_J10,0911"/>
      <sheetName val="Jad_3011"/>
      <sheetName val="K_smeta11"/>
      <sheetName val="forish_svod15"/>
      <sheetName val="Forish_200315"/>
      <sheetName val="Jizzax_yangi_raz15"/>
      <sheetName val="uyushmaga10,09_xolatiga15"/>
      <sheetName val="Gay_paxta14"/>
      <sheetName val="Parametr_(FORMUDA)14"/>
      <sheetName val="Asosiy_maydon-uruglik14"/>
      <sheetName val="List1_(2)14"/>
      <sheetName val="_OblUNO13"/>
      <sheetName val="_OblUNO_(1)13"/>
      <sheetName val="PTO_13"/>
      <sheetName val="Urganch_Muz13"/>
      <sheetName val="bank_tabl13"/>
      <sheetName val="Defektnaya_vedomost12"/>
      <sheetName val="Uyushmaga_2-F12"/>
      <sheetName val="Jami_svod12"/>
      <sheetName val="Uyushmaga_Forma-212"/>
      <sheetName val="Uyushmaga_J10,0912"/>
      <sheetName val="Jad_3012"/>
      <sheetName val="K_smeta12"/>
      <sheetName val="er_resurs10"/>
      <sheetName val="63-_protokol_(4)10"/>
      <sheetName val="11_jadval7"/>
      <sheetName val="10_jadval7"/>
      <sheetName val="eks_xar2"/>
      <sheetName val="stal_po_godam1"/>
      <sheetName val="forish_svod16"/>
      <sheetName val="Forish_200316"/>
      <sheetName val="Jizzax_yangi_raz16"/>
      <sheetName val="uyushmaga10,09_xolatiga16"/>
      <sheetName val="Gay_paxta15"/>
      <sheetName val="Parametr_(FORMUDA)15"/>
      <sheetName val="Asosiy_maydon-uruglik15"/>
      <sheetName val="List1_(2)15"/>
      <sheetName val="_OblUNO14"/>
      <sheetName val="_OblUNO_(1)14"/>
      <sheetName val="PTO_14"/>
      <sheetName val="Urganch_Muz14"/>
      <sheetName val="bank_tabl14"/>
      <sheetName val="Defektnaya_vedomost13"/>
      <sheetName val="Uyushmaga_2-F13"/>
      <sheetName val="Jami_svod13"/>
      <sheetName val="Uyushmaga_Forma-213"/>
      <sheetName val="Uyushmaga_J10,0913"/>
      <sheetName val="K_smeta13"/>
      <sheetName val="Jad_3013"/>
      <sheetName val="er_resurs11"/>
      <sheetName val="11_jadval8"/>
      <sheetName val="10_jadval8"/>
      <sheetName val="63-_protokol_(4)11"/>
      <sheetName val="eks_xar3"/>
      <sheetName val="stal_po_godam2"/>
      <sheetName val="forish_svod17"/>
      <sheetName val="Forish_200317"/>
      <sheetName val="Jizzax_yangi_raz17"/>
      <sheetName val="uyushmaga10,09_xolatiga17"/>
      <sheetName val="Gay_paxta16"/>
      <sheetName val="Parametr_(FORMUDA)16"/>
      <sheetName val="Asosiy_maydon-uruglik16"/>
      <sheetName val="List1_(2)16"/>
      <sheetName val="_OblUNO15"/>
      <sheetName val="_OblUNO_(1)15"/>
      <sheetName val="PTO_15"/>
      <sheetName val="Urganch_Muz15"/>
      <sheetName val="bank_tabl15"/>
      <sheetName val="Defektnaya_vedomost14"/>
      <sheetName val="Uyushmaga_2-F14"/>
      <sheetName val="Jami_svod14"/>
      <sheetName val="Uyushmaga_Forma-214"/>
      <sheetName val="Uyushmaga_J10,0914"/>
      <sheetName val="K_smeta14"/>
      <sheetName val="Jad_3014"/>
      <sheetName val="er_resurs12"/>
      <sheetName val="11_jadval9"/>
      <sheetName val="10_jadval9"/>
      <sheetName val="63-_protokol_(4)12"/>
      <sheetName val="eks_xar4"/>
      <sheetName val="stal_po_godam3"/>
      <sheetName val="forish_svod18"/>
      <sheetName val="Forish_200318"/>
      <sheetName val="Jizzax_yangi_raz18"/>
      <sheetName val="uyushmaga10,09_xolatiga18"/>
      <sheetName val="Gay_paxta17"/>
      <sheetName val="Parametr_(FORMUDA)17"/>
      <sheetName val="Asosiy_maydon-uruglik17"/>
      <sheetName val="List1_(2)17"/>
      <sheetName val="_OblUNO16"/>
      <sheetName val="_OblUNO_(1)16"/>
      <sheetName val="PTO_16"/>
      <sheetName val="Urganch_Muz16"/>
      <sheetName val="bank_tabl16"/>
      <sheetName val="Defektnaya_vedomost15"/>
      <sheetName val="Uyushmaga_2-F15"/>
      <sheetName val="Jami_svod15"/>
      <sheetName val="Uyushmaga_Forma-215"/>
      <sheetName val="Uyushmaga_J10,0915"/>
      <sheetName val="K_smeta15"/>
      <sheetName val="Jad_3015"/>
      <sheetName val="er_resurs13"/>
      <sheetName val="11_jadval10"/>
      <sheetName val="10_jadval10"/>
      <sheetName val="63-_protokol_(4)13"/>
      <sheetName val="eks_xar5"/>
      <sheetName val="stal_po_godam4"/>
      <sheetName val="sud"/>
      <sheetName val="Nokon xol"/>
      <sheetName val="forish_svod19"/>
      <sheetName val="Forish_200319"/>
      <sheetName val="Jizzax_yangi_raz19"/>
      <sheetName val="uyushmaga10,09_xolatiga19"/>
      <sheetName val="Gay_paxta18"/>
      <sheetName val="Parametr_(FORMUDA)18"/>
      <sheetName val="Asosiy_maydon-uruglik18"/>
      <sheetName val="List1_(2)18"/>
      <sheetName val="#SSILKA"/>
      <sheetName val="VVOD"/>
      <sheetName val="Bal"/>
      <sheetName val="Toxirbek 2003-1"/>
      <sheetName val="p2"/>
      <sheetName val="analiz.chuvst"/>
      <sheetName val="Isxodnie1"/>
      <sheetName val="_OblUNO17"/>
      <sheetName val="_OblUNO_(1)17"/>
      <sheetName val="PTO_17"/>
      <sheetName val="Urganch_Muz17"/>
      <sheetName val="bank_tabl17"/>
      <sheetName val="Defektnaya_vedomost16"/>
      <sheetName val="Uyushmaga_2-F16"/>
      <sheetName val="Jami_svod16"/>
      <sheetName val="Uyushmaga_Forma-216"/>
      <sheetName val="Uyushmaga_J10,0916"/>
      <sheetName val="K_smeta16"/>
      <sheetName val="er_resurs14"/>
      <sheetName val="Jad_3016"/>
      <sheetName val="11_jadval11"/>
      <sheetName val="10_jadval11"/>
      <sheetName val="63-_protokol_(4)14"/>
      <sheetName val="eks_xar6"/>
      <sheetName val="stal_po_godam5"/>
      <sheetName val="MFO_ruyxat"/>
      <sheetName val="2 doxod-variant s formuloy"/>
      <sheetName val="DSB SVOD"/>
      <sheetName val="TUMAN SVOD"/>
      <sheetName val="Svod solishtirma"/>
      <sheetName val="nomma-nom ishlashga"/>
      <sheetName val="Ma'lumotnoma svod"/>
      <sheetName val="Nomma-nom (notijorat)"/>
      <sheetName val="inf"/>
      <sheetName val="forish_svod20"/>
      <sheetName val="Forish_200320"/>
      <sheetName val="Jizzax_yangi_raz20"/>
      <sheetName val="uyushmaga10,09_xolatiga20"/>
      <sheetName val="Gay_paxta19"/>
      <sheetName val="Parametr_(FORMUDA)19"/>
      <sheetName val="Asosiy_maydon-uruglik19"/>
      <sheetName val="List1_(2)19"/>
      <sheetName val="Toxirbek_2003-1"/>
      <sheetName val="analiz_chuvst"/>
      <sheetName val="Nokon_xol"/>
      <sheetName val="Forish_20031〲"/>
      <sheetName val="Forish_20031Ȳ"/>
      <sheetName val="Rabochaya tablisa"/>
      <sheetName val="mart"/>
      <sheetName val="Toxirbek%202003-1"/>
      <sheetName val="yanvarbyudjet"/>
      <sheetName val="struktura"/>
      <sheetName val="ISXD"/>
      <sheetName val="Schet-Faktura"/>
      <sheetName val="фориш_свод25"/>
      <sheetName val="Фориш_200325"/>
      <sheetName val="Жиззах_янги_раз25"/>
      <sheetName val="уюшмага10,09_холатига25"/>
      <sheetName val="Гай_пахта24"/>
      <sheetName val="Параметр_(ФОРМУДА)24"/>
      <sheetName val="Асосий_майдон-уруглик24"/>
      <sheetName val="Лист1_(2)24"/>
      <sheetName val="_ОблУНО22"/>
      <sheetName val="_ОблУНО_(1)22"/>
      <sheetName val="ПТО_22"/>
      <sheetName val="Урганч_Муз22"/>
      <sheetName val="банк_табл22"/>
      <sheetName val="Дефектная_ведомость21"/>
      <sheetName val="Уюшмага_2-Ф21"/>
      <sheetName val="Жами_свод21"/>
      <sheetName val="Уюшмага_Форма-221"/>
      <sheetName val="Уюшмага_Ж10,0921"/>
      <sheetName val="Жад_3021"/>
      <sheetName val="ер_ресурс19"/>
      <sheetName val="К_смета21"/>
      <sheetName val="63-_протокол_(4)19"/>
      <sheetName val="11_жадвал16"/>
      <sheetName val="10_жадвал16"/>
      <sheetName val="экс_хар11"/>
      <sheetName val="сталь_по_годам10"/>
      <sheetName val="МФО_руйхат5"/>
      <sheetName val="Нокон_хол5"/>
      <sheetName val="Тохирбек_2003-15"/>
      <sheetName val="анализ_чувст5"/>
      <sheetName val="2_доход-вариант_с_формулой4"/>
      <sheetName val="ДСБ_СВОД4"/>
      <sheetName val="ТУМАН_СВОД4"/>
      <sheetName val="Свод_солиштирма4"/>
      <sheetName val="номма-ном_ишлашга4"/>
      <sheetName val="Маълумотнома_свод4"/>
      <sheetName val="Номма-ном_(нотижорат)4"/>
      <sheetName val="Рабочая_таблица4"/>
      <sheetName val="Prog__rost_tarifov4"/>
      <sheetName val="Pr_cost4"/>
      <sheetName val="203_квп3"/>
      <sheetName val="План_пр-ва_13"/>
      <sheetName val="Data_input3"/>
      <sheetName val="для_ГАКа3"/>
      <sheetName val="5_жадвал2"/>
      <sheetName val="физ_тон2"/>
      <sheetName val="193_свод3"/>
      <sheetName val="табли_4_местний_совет2"/>
      <sheetName val="Затраты_цехов2"/>
      <sheetName val="План_элек_энер_за_2004_год_2"/>
      <sheetName val="амортизация_за_2004_год2"/>
      <sheetName val="итого_содержание_ОС2"/>
      <sheetName val="адресная_часть2"/>
      <sheetName val="По_районам2"/>
      <sheetName val="по_фермер2"/>
      <sheetName val="муд_форм2"/>
      <sheetName val="граф_форм2"/>
      <sheetName val="ОКДАРЁ_(3)2"/>
      <sheetName val="13_1_Издержки2"/>
      <sheetName val="табл_чувств2"/>
      <sheetName val="Форма_№2а2"/>
      <sheetName val="План_пр-ва2"/>
      <sheetName val="План_продаж2"/>
      <sheetName val="ж_а_м_и2"/>
      <sheetName val="Максам-Чирчик"/>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ow r="4">
          <cell r="O4">
            <v>67.099999999999994</v>
          </cell>
        </row>
      </sheetData>
      <sheetData sheetId="56">
        <row r="4">
          <cell r="O4">
            <v>67.099999999999994</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efreshError="1"/>
      <sheetData sheetId="69" refreshError="1"/>
      <sheetData sheetId="70" refreshError="1"/>
      <sheetData sheetId="71" refreshError="1"/>
      <sheetData sheetId="72" refreshError="1"/>
      <sheetData sheetId="73" refreshError="1"/>
      <sheetData sheetId="74">
        <row r="4">
          <cell r="O4">
            <v>67.099999999999994</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efreshError="1"/>
      <sheetData sheetId="174" refreshError="1"/>
      <sheetData sheetId="175" refreshError="1"/>
      <sheetData sheetId="176">
        <row r="4">
          <cell r="O4">
            <v>67.099999999999994</v>
          </cell>
        </row>
      </sheetData>
      <sheetData sheetId="177" refreshError="1"/>
      <sheetData sheetId="178">
        <row r="4">
          <cell r="O4">
            <v>67.099999999999994</v>
          </cell>
        </row>
      </sheetData>
      <sheetData sheetId="179">
        <row r="4">
          <cell r="O4">
            <v>67.099999999999994</v>
          </cell>
        </row>
      </sheetData>
      <sheetData sheetId="180">
        <row r="4">
          <cell r="O4">
            <v>67.099999999999994</v>
          </cell>
        </row>
      </sheetData>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efreshError="1"/>
      <sheetData sheetId="202" refreshError="1"/>
      <sheetData sheetId="203" refreshError="1"/>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efreshError="1"/>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efreshError="1"/>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efreshError="1"/>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efreshError="1"/>
      <sheetData sheetId="472" refreshError="1"/>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ow r="4">
          <cell r="O4">
            <v>67.099999999999994</v>
          </cell>
        </row>
      </sheetData>
      <sheetData sheetId="503">
        <row r="4">
          <cell r="O4">
            <v>67.099999999999994</v>
          </cell>
        </row>
      </sheetData>
      <sheetData sheetId="504">
        <row r="4">
          <cell r="O4">
            <v>67.099999999999994</v>
          </cell>
        </row>
      </sheetData>
      <sheetData sheetId="505">
        <row r="4">
          <cell r="O4">
            <v>67.099999999999994</v>
          </cell>
        </row>
      </sheetData>
      <sheetData sheetId="506">
        <row r="4">
          <cell r="O4">
            <v>67.099999999999994</v>
          </cell>
        </row>
      </sheetData>
      <sheetData sheetId="507" refreshError="1"/>
      <sheetData sheetId="508">
        <row r="4">
          <cell r="O4">
            <v>0</v>
          </cell>
        </row>
      </sheetData>
      <sheetData sheetId="509">
        <row r="4">
          <cell r="O4">
            <v>0</v>
          </cell>
        </row>
      </sheetData>
      <sheetData sheetId="510">
        <row r="4">
          <cell r="O4">
            <v>0</v>
          </cell>
        </row>
      </sheetData>
      <sheetData sheetId="511">
        <row r="4">
          <cell r="O4">
            <v>67.099999999999994</v>
          </cell>
        </row>
      </sheetData>
      <sheetData sheetId="512">
        <row r="4">
          <cell r="O4">
            <v>67.099999999999994</v>
          </cell>
        </row>
      </sheetData>
      <sheetData sheetId="513">
        <row r="4">
          <cell r="O4">
            <v>67.099999999999994</v>
          </cell>
        </row>
      </sheetData>
      <sheetData sheetId="514" refreshError="1"/>
      <sheetData sheetId="515">
        <row r="4">
          <cell r="O4">
            <v>67.099999999999994</v>
          </cell>
        </row>
      </sheetData>
      <sheetData sheetId="516">
        <row r="4">
          <cell r="O4">
            <v>67.099999999999994</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0</v>
          </cell>
        </row>
      </sheetData>
      <sheetData sheetId="521">
        <row r="4">
          <cell r="O4">
            <v>0</v>
          </cell>
        </row>
      </sheetData>
      <sheetData sheetId="522">
        <row r="4">
          <cell r="O4">
            <v>67.099999999999994</v>
          </cell>
        </row>
      </sheetData>
      <sheetData sheetId="523">
        <row r="4">
          <cell r="O4">
            <v>67.099999999999994</v>
          </cell>
        </row>
      </sheetData>
      <sheetData sheetId="524">
        <row r="4">
          <cell r="O4">
            <v>67.099999999999994</v>
          </cell>
        </row>
      </sheetData>
      <sheetData sheetId="525">
        <row r="4">
          <cell r="O4">
            <v>67.099999999999994</v>
          </cell>
        </row>
      </sheetData>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ow r="4">
          <cell r="O4" t="str">
            <v>Ундиришга қолагнлар</v>
          </cell>
        </row>
      </sheetData>
      <sheetData sheetId="538">
        <row r="4">
          <cell r="O4" t="str">
            <v>Ундиришга қолагнлар</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67.099999999999994</v>
          </cell>
        </row>
      </sheetData>
      <sheetData sheetId="582">
        <row r="4">
          <cell r="O4">
            <v>67.099999999999994</v>
          </cell>
        </row>
      </sheetData>
      <sheetData sheetId="583">
        <row r="4">
          <cell r="O4">
            <v>0</v>
          </cell>
        </row>
      </sheetData>
      <sheetData sheetId="584">
        <row r="4">
          <cell r="O4">
            <v>67.099999999999994</v>
          </cell>
        </row>
      </sheetData>
      <sheetData sheetId="585">
        <row r="4">
          <cell r="O4">
            <v>0</v>
          </cell>
        </row>
      </sheetData>
      <sheetData sheetId="586">
        <row r="4">
          <cell r="O4">
            <v>67.099999999999994</v>
          </cell>
        </row>
      </sheetData>
      <sheetData sheetId="587">
        <row r="4">
          <cell r="O4">
            <v>67.099999999999994</v>
          </cell>
        </row>
      </sheetData>
      <sheetData sheetId="588">
        <row r="4">
          <cell r="O4">
            <v>67.099999999999994</v>
          </cell>
        </row>
      </sheetData>
      <sheetData sheetId="589">
        <row r="4">
          <cell r="O4">
            <v>67.099999999999994</v>
          </cell>
        </row>
      </sheetData>
      <sheetData sheetId="590">
        <row r="4">
          <cell r="O4">
            <v>67.099999999999994</v>
          </cell>
        </row>
      </sheetData>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67.099999999999994</v>
          </cell>
        </row>
      </sheetData>
      <sheetData sheetId="661">
        <row r="4">
          <cell r="O4">
            <v>67.099999999999994</v>
          </cell>
        </row>
      </sheetData>
      <sheetData sheetId="662">
        <row r="4">
          <cell r="O4">
            <v>0</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67.099999999999994</v>
          </cell>
        </row>
      </sheetData>
      <sheetData sheetId="670">
        <row r="4">
          <cell r="O4">
            <v>67.099999999999994</v>
          </cell>
        </row>
      </sheetData>
      <sheetData sheetId="671">
        <row r="4">
          <cell r="O4">
            <v>0</v>
          </cell>
        </row>
      </sheetData>
      <sheetData sheetId="672">
        <row r="4">
          <cell r="O4">
            <v>67.099999999999994</v>
          </cell>
        </row>
      </sheetData>
      <sheetData sheetId="673">
        <row r="4">
          <cell r="O4">
            <v>67.099999999999994</v>
          </cell>
        </row>
      </sheetData>
      <sheetData sheetId="674">
        <row r="4">
          <cell r="O4">
            <v>67.099999999999994</v>
          </cell>
        </row>
      </sheetData>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ow r="4">
          <cell r="O4">
            <v>67.099999999999994</v>
          </cell>
        </row>
      </sheetData>
      <sheetData sheetId="753">
        <row r="4">
          <cell r="O4">
            <v>67.099999999999994</v>
          </cell>
        </row>
      </sheetData>
      <sheetData sheetId="754">
        <row r="4">
          <cell r="O4">
            <v>67.099999999999994</v>
          </cell>
        </row>
      </sheetData>
      <sheetData sheetId="755">
        <row r="4">
          <cell r="O4">
            <v>67.099999999999994</v>
          </cell>
        </row>
      </sheetData>
      <sheetData sheetId="756">
        <row r="4">
          <cell r="O4">
            <v>67.099999999999994</v>
          </cell>
        </row>
      </sheetData>
      <sheetData sheetId="757">
        <row r="4">
          <cell r="O4">
            <v>67.099999999999994</v>
          </cell>
        </row>
      </sheetData>
      <sheetData sheetId="758"/>
      <sheetData sheetId="759">
        <row r="4">
          <cell r="O4">
            <v>67.099999999999994</v>
          </cell>
        </row>
      </sheetData>
      <sheetData sheetId="760">
        <row r="4">
          <cell r="O4">
            <v>67.099999999999994</v>
          </cell>
        </row>
      </sheetData>
      <sheetData sheetId="761">
        <row r="4">
          <cell r="O4">
            <v>67.099999999999994</v>
          </cell>
        </row>
      </sheetData>
      <sheetData sheetId="762">
        <row r="4">
          <cell r="O4">
            <v>67.099999999999994</v>
          </cell>
        </row>
      </sheetData>
      <sheetData sheetId="763">
        <row r="4">
          <cell r="O4">
            <v>67.099999999999994</v>
          </cell>
        </row>
      </sheetData>
      <sheetData sheetId="764">
        <row r="4">
          <cell r="O4">
            <v>67.099999999999994</v>
          </cell>
        </row>
      </sheetData>
      <sheetData sheetId="765">
        <row r="4">
          <cell r="O4">
            <v>67.099999999999994</v>
          </cell>
        </row>
      </sheetData>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row r="4">
          <cell r="O4">
            <v>67.099999999999994</v>
          </cell>
        </row>
      </sheetData>
      <sheetData sheetId="772">
        <row r="4">
          <cell r="O4">
            <v>67.099999999999994</v>
          </cell>
        </row>
      </sheetData>
      <sheetData sheetId="773">
        <row r="4">
          <cell r="O4">
            <v>67.099999999999994</v>
          </cell>
        </row>
      </sheetData>
      <sheetData sheetId="774">
        <row r="4">
          <cell r="O4">
            <v>67.099999999999994</v>
          </cell>
        </row>
      </sheetData>
      <sheetData sheetId="775">
        <row r="4">
          <cell r="O4">
            <v>67.099999999999994</v>
          </cell>
        </row>
      </sheetData>
      <sheetData sheetId="776">
        <row r="4">
          <cell r="O4">
            <v>67.099999999999994</v>
          </cell>
        </row>
      </sheetData>
      <sheetData sheetId="777">
        <row r="4">
          <cell r="O4">
            <v>67.099999999999994</v>
          </cell>
        </row>
      </sheetData>
      <sheetData sheetId="778">
        <row r="4">
          <cell r="O4">
            <v>67.099999999999994</v>
          </cell>
        </row>
      </sheetData>
      <sheetData sheetId="779">
        <row r="4">
          <cell r="O4">
            <v>67.099999999999994</v>
          </cell>
        </row>
      </sheetData>
      <sheetData sheetId="780">
        <row r="4">
          <cell r="O4">
            <v>67.099999999999994</v>
          </cell>
        </row>
      </sheetData>
      <sheetData sheetId="781">
        <row r="4">
          <cell r="O4">
            <v>67.099999999999994</v>
          </cell>
        </row>
      </sheetData>
      <sheetData sheetId="782">
        <row r="4">
          <cell r="O4">
            <v>67.099999999999994</v>
          </cell>
        </row>
      </sheetData>
      <sheetData sheetId="783">
        <row r="4">
          <cell r="O4">
            <v>67.099999999999994</v>
          </cell>
        </row>
      </sheetData>
      <sheetData sheetId="784">
        <row r="4">
          <cell r="O4">
            <v>0</v>
          </cell>
        </row>
      </sheetData>
      <sheetData sheetId="785">
        <row r="4">
          <cell r="O4">
            <v>67.099999999999994</v>
          </cell>
        </row>
      </sheetData>
      <sheetData sheetId="786">
        <row r="4">
          <cell r="O4">
            <v>67.099999999999994</v>
          </cell>
        </row>
      </sheetData>
      <sheetData sheetId="787">
        <row r="4">
          <cell r="O4">
            <v>67.099999999999994</v>
          </cell>
        </row>
      </sheetData>
      <sheetData sheetId="788">
        <row r="4">
          <cell r="O4">
            <v>67.099999999999994</v>
          </cell>
        </row>
      </sheetData>
      <sheetData sheetId="789">
        <row r="4">
          <cell r="O4">
            <v>67.099999999999994</v>
          </cell>
        </row>
      </sheetData>
      <sheetData sheetId="790">
        <row r="4">
          <cell r="O4">
            <v>67.099999999999994</v>
          </cell>
        </row>
      </sheetData>
      <sheetData sheetId="791">
        <row r="4">
          <cell r="O4">
            <v>67.099999999999994</v>
          </cell>
        </row>
      </sheetData>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row r="4">
          <cell r="O4">
            <v>67.099999999999994</v>
          </cell>
        </row>
      </sheetData>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noma_nom"/>
    </sheetNames>
    <sheetDataSet>
      <sheetData sheetId="0" refreshError="1">
        <row r="1">
          <cell r="A1">
            <v>0</v>
          </cell>
          <cell r="B1" t="str">
            <v xml:space="preserve"> ЎРҚ 937-сонли қонун ижросини бўйича хатлов ишларини Узкадга мигратция жараёнда турган холати бўйича
МАЪЛУМОТ</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row>
        <row r="2">
          <cell r="A2">
            <v>0</v>
          </cell>
          <cell r="B2">
            <v>0</v>
          </cell>
          <cell r="C2" t="str">
            <v>15.05.2025-09:00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row>
        <row r="3">
          <cell r="A3">
            <v>0</v>
          </cell>
          <cell r="B3" t="str">
            <v>№</v>
          </cell>
          <cell r="C3" t="str">
            <v>Худудлар</v>
          </cell>
          <cell r="D3" t="str">
            <v>Жами якунлаш керак</v>
          </cell>
          <cell r="E3" t="str">
            <v>Объект тури</v>
          </cell>
          <cell r="F3">
            <v>0</v>
          </cell>
          <cell r="G3" t="str">
            <v>Шундан жараёнда турган рўллар кесмида</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row>
        <row r="4">
          <cell r="A4">
            <v>0</v>
          </cell>
          <cell r="B4">
            <v>0</v>
          </cell>
          <cell r="C4">
            <v>0</v>
          </cell>
          <cell r="D4">
            <v>0</v>
          </cell>
          <cell r="E4" t="str">
            <v>Турар</v>
          </cell>
          <cell r="F4" t="str">
            <v>Нотурар</v>
          </cell>
          <cell r="G4" t="str">
            <v>Рахбар, Бош мухандис</v>
          </cell>
          <cell r="H4" t="str">
            <v>Arizani qabul qilish</v>
          </cell>
          <cell r="I4" t="str">
            <v>Ko'chmas mulkni UZKAD ga migratsiya qilish</v>
          </cell>
          <cell r="J4" t="str">
            <v>Migratisya qilingan obyekt holatini tekshirish</v>
          </cell>
          <cell r="K4" t="str">
            <v>Ko‘chmas mulkni tanlash</v>
          </cell>
          <cell r="L4" t="str">
            <v>Arizani ko'rib chiqish</v>
          </cell>
          <cell r="M4" t="str">
            <v>Kadastr muhandisini tanlash</v>
          </cell>
          <cell r="N4" t="str">
            <v>Ko'chmas mulk turini tanlash</v>
          </cell>
          <cell r="O4" t="str">
            <v>Rad qilish</v>
          </cell>
          <cell r="P4" t="str">
            <v>ijrochi tanlash</v>
          </cell>
          <cell r="Q4" t="str">
            <v>Кадастр мухандис</v>
          </cell>
          <cell r="R4" t="str">
            <v>Ijroga qabul qilish</v>
          </cell>
          <cell r="S4" t="str">
            <v>Joyida o'rganish va ma'lumotlarni kiritish</v>
          </cell>
          <cell r="T4" t="str">
            <v>Asosiy qismdan ajratish jarayonida</v>
          </cell>
          <cell r="U4" t="str">
            <v>Umumiy foydalanishdagi obyekt yaratilish</v>
          </cell>
          <cell r="V4" t="str">
            <v>Migratsiya qilinadigan kadastr raqamini kiritish</v>
          </cell>
          <cell r="W4" t="str">
            <v>O'zida qolgan obyektni yaratish</v>
          </cell>
          <cell r="X4" t="str">
            <v>O'lchov natijalarini kiritish</v>
          </cell>
          <cell r="Y4" t="str">
            <v>Топограф</v>
          </cell>
          <cell r="Z4" t="str">
            <v>ДКЯТ</v>
          </cell>
          <cell r="AA4" t="str">
            <v>Yer uchastkasini yaratish</v>
          </cell>
          <cell r="AB4" t="str">
            <v>ДКЯТ Бошқарма</v>
          </cell>
        </row>
        <row r="5">
          <cell r="A5">
            <v>0</v>
          </cell>
          <cell r="B5" t="str">
            <v>НАМАНГАН</v>
          </cell>
          <cell r="C5">
            <v>0</v>
          </cell>
          <cell r="D5">
            <v>2448</v>
          </cell>
          <cell r="E5">
            <v>2408</v>
          </cell>
          <cell r="F5">
            <v>40</v>
          </cell>
          <cell r="G5">
            <v>84</v>
          </cell>
          <cell r="H5">
            <v>26</v>
          </cell>
          <cell r="I5">
            <v>0</v>
          </cell>
          <cell r="J5">
            <v>0</v>
          </cell>
          <cell r="K5">
            <v>0</v>
          </cell>
          <cell r="L5">
            <v>0</v>
          </cell>
          <cell r="M5">
            <v>2</v>
          </cell>
          <cell r="N5">
            <v>1</v>
          </cell>
          <cell r="O5">
            <v>55</v>
          </cell>
          <cell r="P5">
            <v>0</v>
          </cell>
          <cell r="Q5">
            <v>746</v>
          </cell>
          <cell r="R5">
            <v>88</v>
          </cell>
          <cell r="S5">
            <v>0</v>
          </cell>
          <cell r="T5">
            <v>0</v>
          </cell>
          <cell r="U5">
            <v>0</v>
          </cell>
          <cell r="V5">
            <v>0</v>
          </cell>
          <cell r="W5">
            <v>0</v>
          </cell>
          <cell r="X5">
            <v>658</v>
          </cell>
          <cell r="Y5">
            <v>193</v>
          </cell>
          <cell r="Z5">
            <v>303</v>
          </cell>
          <cell r="AA5">
            <v>303</v>
          </cell>
          <cell r="AB5">
            <v>8</v>
          </cell>
        </row>
        <row r="6">
          <cell r="A6" t="str">
            <v>KSST</v>
          </cell>
          <cell r="B6">
            <v>1</v>
          </cell>
          <cell r="C6" t="str">
            <v>Косонсой тумани</v>
          </cell>
          <cell r="D6">
            <v>125</v>
          </cell>
          <cell r="E6">
            <v>125</v>
          </cell>
          <cell r="F6">
            <v>0</v>
          </cell>
          <cell r="G6">
            <v>0</v>
          </cell>
          <cell r="H6">
            <v>0</v>
          </cell>
          <cell r="I6">
            <v>0</v>
          </cell>
          <cell r="J6">
            <v>0</v>
          </cell>
          <cell r="K6">
            <v>0</v>
          </cell>
          <cell r="L6">
            <v>0</v>
          </cell>
          <cell r="M6">
            <v>0</v>
          </cell>
          <cell r="N6">
            <v>0</v>
          </cell>
          <cell r="O6">
            <v>0</v>
          </cell>
          <cell r="P6">
            <v>0</v>
          </cell>
          <cell r="Q6">
            <v>77</v>
          </cell>
          <cell r="R6">
            <v>17</v>
          </cell>
          <cell r="S6">
            <v>0</v>
          </cell>
          <cell r="T6">
            <v>0</v>
          </cell>
          <cell r="U6">
            <v>0</v>
          </cell>
          <cell r="V6">
            <v>0</v>
          </cell>
          <cell r="W6">
            <v>0</v>
          </cell>
          <cell r="X6">
            <v>60</v>
          </cell>
          <cell r="Y6">
            <v>3</v>
          </cell>
          <cell r="Z6">
            <v>18</v>
          </cell>
          <cell r="AA6">
            <v>18</v>
          </cell>
          <cell r="AB6">
            <v>0</v>
          </cell>
        </row>
        <row r="7">
          <cell r="A7" t="str">
            <v>MINT</v>
          </cell>
          <cell r="B7">
            <v>2</v>
          </cell>
          <cell r="C7" t="str">
            <v>Мингбулоқ тумани</v>
          </cell>
          <cell r="D7">
            <v>222</v>
          </cell>
          <cell r="E7">
            <v>221</v>
          </cell>
          <cell r="F7">
            <v>1</v>
          </cell>
          <cell r="G7">
            <v>28</v>
          </cell>
          <cell r="H7">
            <v>25</v>
          </cell>
          <cell r="I7">
            <v>0</v>
          </cell>
          <cell r="J7">
            <v>0</v>
          </cell>
          <cell r="K7">
            <v>0</v>
          </cell>
          <cell r="L7">
            <v>0</v>
          </cell>
          <cell r="M7">
            <v>0</v>
          </cell>
          <cell r="N7">
            <v>0</v>
          </cell>
          <cell r="O7">
            <v>3</v>
          </cell>
          <cell r="P7">
            <v>0</v>
          </cell>
          <cell r="Q7">
            <v>32</v>
          </cell>
          <cell r="R7">
            <v>0</v>
          </cell>
          <cell r="S7">
            <v>0</v>
          </cell>
          <cell r="T7">
            <v>0</v>
          </cell>
          <cell r="U7">
            <v>0</v>
          </cell>
          <cell r="V7">
            <v>0</v>
          </cell>
          <cell r="W7">
            <v>0</v>
          </cell>
          <cell r="X7">
            <v>32</v>
          </cell>
          <cell r="Y7">
            <v>16</v>
          </cell>
          <cell r="Z7">
            <v>58</v>
          </cell>
          <cell r="AA7">
            <v>58</v>
          </cell>
          <cell r="AB7">
            <v>0</v>
          </cell>
        </row>
        <row r="8">
          <cell r="A8" t="str">
            <v>NAMT</v>
          </cell>
          <cell r="B8">
            <v>3</v>
          </cell>
          <cell r="C8" t="str">
            <v>Наманган тумани</v>
          </cell>
          <cell r="D8">
            <v>159</v>
          </cell>
          <cell r="E8">
            <v>156</v>
          </cell>
          <cell r="F8">
            <v>3</v>
          </cell>
          <cell r="G8">
            <v>4</v>
          </cell>
          <cell r="H8">
            <v>0</v>
          </cell>
          <cell r="I8">
            <v>0</v>
          </cell>
          <cell r="J8">
            <v>0</v>
          </cell>
          <cell r="K8">
            <v>0</v>
          </cell>
          <cell r="L8">
            <v>0</v>
          </cell>
          <cell r="M8">
            <v>0</v>
          </cell>
          <cell r="N8">
            <v>0</v>
          </cell>
          <cell r="O8">
            <v>4</v>
          </cell>
          <cell r="P8">
            <v>0</v>
          </cell>
          <cell r="Q8">
            <v>16</v>
          </cell>
          <cell r="R8">
            <v>0</v>
          </cell>
          <cell r="S8">
            <v>0</v>
          </cell>
          <cell r="T8">
            <v>0</v>
          </cell>
          <cell r="U8">
            <v>0</v>
          </cell>
          <cell r="V8">
            <v>0</v>
          </cell>
          <cell r="W8">
            <v>0</v>
          </cell>
          <cell r="X8">
            <v>16</v>
          </cell>
          <cell r="Y8">
            <v>34</v>
          </cell>
          <cell r="Z8">
            <v>52</v>
          </cell>
          <cell r="AA8">
            <v>52</v>
          </cell>
          <cell r="AB8">
            <v>0</v>
          </cell>
        </row>
        <row r="9">
          <cell r="A9" t="str">
            <v>NAMS</v>
          </cell>
          <cell r="B9">
            <v>4</v>
          </cell>
          <cell r="C9" t="str">
            <v>Наманган шаҳар</v>
          </cell>
          <cell r="D9">
            <v>607</v>
          </cell>
          <cell r="E9">
            <v>590</v>
          </cell>
          <cell r="F9">
            <v>17</v>
          </cell>
          <cell r="G9">
            <v>11</v>
          </cell>
          <cell r="H9">
            <v>0</v>
          </cell>
          <cell r="I9">
            <v>0</v>
          </cell>
          <cell r="J9">
            <v>0</v>
          </cell>
          <cell r="K9">
            <v>0</v>
          </cell>
          <cell r="L9">
            <v>0</v>
          </cell>
          <cell r="M9">
            <v>0</v>
          </cell>
          <cell r="N9">
            <v>0</v>
          </cell>
          <cell r="O9">
            <v>11</v>
          </cell>
          <cell r="P9">
            <v>0</v>
          </cell>
          <cell r="Q9">
            <v>219</v>
          </cell>
          <cell r="R9">
            <v>39</v>
          </cell>
          <cell r="S9">
            <v>0</v>
          </cell>
          <cell r="T9">
            <v>0</v>
          </cell>
          <cell r="U9">
            <v>0</v>
          </cell>
          <cell r="V9">
            <v>0</v>
          </cell>
          <cell r="W9">
            <v>0</v>
          </cell>
          <cell r="X9">
            <v>180</v>
          </cell>
          <cell r="Y9">
            <v>114</v>
          </cell>
          <cell r="Z9">
            <v>122</v>
          </cell>
          <cell r="AA9">
            <v>122</v>
          </cell>
          <cell r="AB9">
            <v>0</v>
          </cell>
        </row>
        <row r="10">
          <cell r="A10" t="str">
            <v>NORT</v>
          </cell>
          <cell r="B10">
            <v>5</v>
          </cell>
          <cell r="C10" t="str">
            <v>Норин тумани</v>
          </cell>
          <cell r="D10">
            <v>213</v>
          </cell>
          <cell r="E10">
            <v>210</v>
          </cell>
          <cell r="F10">
            <v>3</v>
          </cell>
          <cell r="G10">
            <v>3</v>
          </cell>
          <cell r="H10">
            <v>0</v>
          </cell>
          <cell r="I10">
            <v>0</v>
          </cell>
          <cell r="J10">
            <v>0</v>
          </cell>
          <cell r="K10">
            <v>0</v>
          </cell>
          <cell r="L10">
            <v>0</v>
          </cell>
          <cell r="M10">
            <v>0</v>
          </cell>
          <cell r="N10">
            <v>0</v>
          </cell>
          <cell r="O10">
            <v>3</v>
          </cell>
          <cell r="P10">
            <v>0</v>
          </cell>
          <cell r="Q10">
            <v>102</v>
          </cell>
          <cell r="R10">
            <v>0</v>
          </cell>
          <cell r="S10">
            <v>0</v>
          </cell>
          <cell r="T10">
            <v>0</v>
          </cell>
          <cell r="U10">
            <v>0</v>
          </cell>
          <cell r="V10">
            <v>0</v>
          </cell>
          <cell r="W10">
            <v>0</v>
          </cell>
          <cell r="X10">
            <v>102</v>
          </cell>
          <cell r="Y10">
            <v>4</v>
          </cell>
          <cell r="Z10">
            <v>11</v>
          </cell>
          <cell r="AA10">
            <v>11</v>
          </cell>
          <cell r="AB10">
            <v>0</v>
          </cell>
        </row>
        <row r="11">
          <cell r="A11" t="str">
            <v>POPT</v>
          </cell>
          <cell r="B11">
            <v>6</v>
          </cell>
          <cell r="C11" t="str">
            <v>Поп тумани</v>
          </cell>
          <cell r="D11">
            <v>263</v>
          </cell>
          <cell r="E11">
            <v>252</v>
          </cell>
          <cell r="F11">
            <v>11</v>
          </cell>
          <cell r="G11">
            <v>10</v>
          </cell>
          <cell r="H11">
            <v>0</v>
          </cell>
          <cell r="I11">
            <v>0</v>
          </cell>
          <cell r="J11">
            <v>0</v>
          </cell>
          <cell r="K11">
            <v>0</v>
          </cell>
          <cell r="L11">
            <v>0</v>
          </cell>
          <cell r="M11">
            <v>0</v>
          </cell>
          <cell r="N11">
            <v>0</v>
          </cell>
          <cell r="O11">
            <v>10</v>
          </cell>
          <cell r="P11">
            <v>0</v>
          </cell>
          <cell r="Q11">
            <v>47</v>
          </cell>
          <cell r="R11">
            <v>1</v>
          </cell>
          <cell r="S11">
            <v>0</v>
          </cell>
          <cell r="T11">
            <v>0</v>
          </cell>
          <cell r="U11">
            <v>0</v>
          </cell>
          <cell r="V11">
            <v>0</v>
          </cell>
          <cell r="W11">
            <v>0</v>
          </cell>
          <cell r="X11">
            <v>46</v>
          </cell>
          <cell r="Y11">
            <v>8</v>
          </cell>
          <cell r="Z11">
            <v>8</v>
          </cell>
          <cell r="AA11">
            <v>8</v>
          </cell>
          <cell r="AB11">
            <v>6</v>
          </cell>
        </row>
        <row r="12">
          <cell r="A12" t="str">
            <v>TORT</v>
          </cell>
          <cell r="B12">
            <v>7</v>
          </cell>
          <cell r="C12" t="str">
            <v>Тўрақўрғон тумани</v>
          </cell>
          <cell r="D12">
            <v>97</v>
          </cell>
          <cell r="E12">
            <v>95</v>
          </cell>
          <cell r="F12">
            <v>2</v>
          </cell>
          <cell r="G12">
            <v>6</v>
          </cell>
          <cell r="H12">
            <v>0</v>
          </cell>
          <cell r="I12">
            <v>0</v>
          </cell>
          <cell r="J12">
            <v>0</v>
          </cell>
          <cell r="K12">
            <v>0</v>
          </cell>
          <cell r="L12">
            <v>0</v>
          </cell>
          <cell r="M12">
            <v>0</v>
          </cell>
          <cell r="N12">
            <v>0</v>
          </cell>
          <cell r="O12">
            <v>6</v>
          </cell>
          <cell r="P12">
            <v>0</v>
          </cell>
          <cell r="Q12">
            <v>39</v>
          </cell>
          <cell r="R12">
            <v>0</v>
          </cell>
          <cell r="S12">
            <v>0</v>
          </cell>
          <cell r="T12">
            <v>0</v>
          </cell>
          <cell r="U12">
            <v>0</v>
          </cell>
          <cell r="V12">
            <v>0</v>
          </cell>
          <cell r="W12">
            <v>0</v>
          </cell>
          <cell r="X12">
            <v>39</v>
          </cell>
          <cell r="Y12">
            <v>0</v>
          </cell>
          <cell r="Z12">
            <v>0</v>
          </cell>
          <cell r="AA12">
            <v>0</v>
          </cell>
          <cell r="AB12">
            <v>0</v>
          </cell>
        </row>
        <row r="13">
          <cell r="A13" t="str">
            <v>UYCT</v>
          </cell>
          <cell r="B13">
            <v>8</v>
          </cell>
          <cell r="C13" t="str">
            <v>Уйчи тумани</v>
          </cell>
          <cell r="D13">
            <v>80</v>
          </cell>
          <cell r="E13">
            <v>78</v>
          </cell>
          <cell r="F13">
            <v>2</v>
          </cell>
          <cell r="G13">
            <v>0</v>
          </cell>
          <cell r="H13">
            <v>0</v>
          </cell>
          <cell r="I13">
            <v>0</v>
          </cell>
          <cell r="J13">
            <v>0</v>
          </cell>
          <cell r="K13">
            <v>0</v>
          </cell>
          <cell r="L13">
            <v>0</v>
          </cell>
          <cell r="M13">
            <v>0</v>
          </cell>
          <cell r="N13">
            <v>0</v>
          </cell>
          <cell r="O13">
            <v>0</v>
          </cell>
          <cell r="P13">
            <v>0</v>
          </cell>
          <cell r="Q13">
            <v>49</v>
          </cell>
          <cell r="R13">
            <v>7</v>
          </cell>
          <cell r="S13">
            <v>0</v>
          </cell>
          <cell r="T13">
            <v>0</v>
          </cell>
          <cell r="U13">
            <v>0</v>
          </cell>
          <cell r="V13">
            <v>0</v>
          </cell>
          <cell r="W13">
            <v>0</v>
          </cell>
          <cell r="X13">
            <v>42</v>
          </cell>
          <cell r="Y13">
            <v>0</v>
          </cell>
          <cell r="Z13">
            <v>0</v>
          </cell>
          <cell r="AA13">
            <v>0</v>
          </cell>
          <cell r="AB13">
            <v>0</v>
          </cell>
        </row>
        <row r="14">
          <cell r="A14" t="str">
            <v>UCQT</v>
          </cell>
          <cell r="B14">
            <v>9</v>
          </cell>
          <cell r="C14" t="str">
            <v>Учқўрғон тумани</v>
          </cell>
          <cell r="D14">
            <v>128</v>
          </cell>
          <cell r="E14">
            <v>128</v>
          </cell>
          <cell r="F14">
            <v>0</v>
          </cell>
          <cell r="G14">
            <v>4</v>
          </cell>
          <cell r="H14">
            <v>1</v>
          </cell>
          <cell r="I14">
            <v>0</v>
          </cell>
          <cell r="J14">
            <v>0</v>
          </cell>
          <cell r="K14">
            <v>0</v>
          </cell>
          <cell r="L14">
            <v>0</v>
          </cell>
          <cell r="M14">
            <v>2</v>
          </cell>
          <cell r="N14">
            <v>0</v>
          </cell>
          <cell r="O14">
            <v>1</v>
          </cell>
          <cell r="P14">
            <v>0</v>
          </cell>
          <cell r="Q14">
            <v>43</v>
          </cell>
          <cell r="R14">
            <v>0</v>
          </cell>
          <cell r="S14">
            <v>0</v>
          </cell>
          <cell r="T14">
            <v>0</v>
          </cell>
          <cell r="U14">
            <v>0</v>
          </cell>
          <cell r="V14">
            <v>0</v>
          </cell>
          <cell r="W14">
            <v>0</v>
          </cell>
          <cell r="X14">
            <v>43</v>
          </cell>
          <cell r="Y14">
            <v>5</v>
          </cell>
          <cell r="Z14">
            <v>17</v>
          </cell>
          <cell r="AA14">
            <v>17</v>
          </cell>
          <cell r="AB14">
            <v>1</v>
          </cell>
        </row>
        <row r="15">
          <cell r="A15" t="str">
            <v>CHOT</v>
          </cell>
          <cell r="B15">
            <v>10</v>
          </cell>
          <cell r="C15" t="str">
            <v>Чортоқ тумани</v>
          </cell>
          <cell r="D15">
            <v>216</v>
          </cell>
          <cell r="E15">
            <v>216</v>
          </cell>
          <cell r="F15">
            <v>0</v>
          </cell>
          <cell r="G15">
            <v>2</v>
          </cell>
          <cell r="H15">
            <v>0</v>
          </cell>
          <cell r="I15">
            <v>0</v>
          </cell>
          <cell r="J15">
            <v>0</v>
          </cell>
          <cell r="K15">
            <v>0</v>
          </cell>
          <cell r="L15">
            <v>0</v>
          </cell>
          <cell r="M15">
            <v>0</v>
          </cell>
          <cell r="N15">
            <v>1</v>
          </cell>
          <cell r="O15">
            <v>1</v>
          </cell>
          <cell r="P15">
            <v>0</v>
          </cell>
          <cell r="Q15">
            <v>50</v>
          </cell>
          <cell r="R15">
            <v>0</v>
          </cell>
          <cell r="S15">
            <v>0</v>
          </cell>
          <cell r="T15">
            <v>0</v>
          </cell>
          <cell r="U15">
            <v>0</v>
          </cell>
          <cell r="V15">
            <v>0</v>
          </cell>
          <cell r="W15">
            <v>0</v>
          </cell>
          <cell r="X15">
            <v>50</v>
          </cell>
          <cell r="Y15">
            <v>0</v>
          </cell>
          <cell r="Z15">
            <v>1</v>
          </cell>
          <cell r="AA15">
            <v>1</v>
          </cell>
          <cell r="AB15">
            <v>0</v>
          </cell>
        </row>
        <row r="16">
          <cell r="A16" t="str">
            <v>CHUT</v>
          </cell>
          <cell r="B16">
            <v>11</v>
          </cell>
          <cell r="C16" t="str">
            <v>Чуст тумани</v>
          </cell>
          <cell r="D16">
            <v>206</v>
          </cell>
          <cell r="E16">
            <v>206</v>
          </cell>
          <cell r="F16">
            <v>0</v>
          </cell>
          <cell r="G16">
            <v>9</v>
          </cell>
          <cell r="H16">
            <v>0</v>
          </cell>
          <cell r="I16">
            <v>0</v>
          </cell>
          <cell r="J16">
            <v>0</v>
          </cell>
          <cell r="K16">
            <v>0</v>
          </cell>
          <cell r="L16">
            <v>0</v>
          </cell>
          <cell r="M16">
            <v>0</v>
          </cell>
          <cell r="N16">
            <v>0</v>
          </cell>
          <cell r="O16">
            <v>9</v>
          </cell>
          <cell r="P16">
            <v>0</v>
          </cell>
          <cell r="Q16">
            <v>28</v>
          </cell>
          <cell r="R16">
            <v>18</v>
          </cell>
          <cell r="S16">
            <v>0</v>
          </cell>
          <cell r="T16">
            <v>0</v>
          </cell>
          <cell r="U16">
            <v>0</v>
          </cell>
          <cell r="V16">
            <v>0</v>
          </cell>
          <cell r="W16">
            <v>0</v>
          </cell>
          <cell r="X16">
            <v>10</v>
          </cell>
          <cell r="Y16">
            <v>0</v>
          </cell>
          <cell r="Z16">
            <v>8</v>
          </cell>
          <cell r="AA16">
            <v>8</v>
          </cell>
          <cell r="AB16">
            <v>1</v>
          </cell>
        </row>
        <row r="17">
          <cell r="A17" t="str">
            <v>YGQT</v>
          </cell>
          <cell r="B17">
            <v>12</v>
          </cell>
          <cell r="C17" t="str">
            <v>Янгиқўрғон тумани</v>
          </cell>
          <cell r="D17">
            <v>132</v>
          </cell>
          <cell r="E17">
            <v>131</v>
          </cell>
          <cell r="F17">
            <v>1</v>
          </cell>
          <cell r="G17">
            <v>7</v>
          </cell>
          <cell r="H17">
            <v>0</v>
          </cell>
          <cell r="I17">
            <v>0</v>
          </cell>
          <cell r="J17">
            <v>0</v>
          </cell>
          <cell r="K17">
            <v>0</v>
          </cell>
          <cell r="L17">
            <v>0</v>
          </cell>
          <cell r="M17">
            <v>0</v>
          </cell>
          <cell r="N17">
            <v>0</v>
          </cell>
          <cell r="O17">
            <v>7</v>
          </cell>
          <cell r="P17">
            <v>0</v>
          </cell>
          <cell r="Q17">
            <v>44</v>
          </cell>
          <cell r="R17">
            <v>6</v>
          </cell>
          <cell r="S17">
            <v>0</v>
          </cell>
          <cell r="T17">
            <v>0</v>
          </cell>
          <cell r="U17">
            <v>0</v>
          </cell>
          <cell r="V17">
            <v>0</v>
          </cell>
          <cell r="W17">
            <v>0</v>
          </cell>
          <cell r="X17">
            <v>38</v>
          </cell>
          <cell r="Y17">
            <v>9</v>
          </cell>
          <cell r="Z17">
            <v>8</v>
          </cell>
          <cell r="AA17">
            <v>8</v>
          </cell>
          <cell r="AB17">
            <v>0</v>
          </cell>
        </row>
        <row r="18">
          <cell r="A18" t="str">
            <v>YGQT</v>
          </cell>
          <cell r="B18">
            <v>12</v>
          </cell>
          <cell r="C18" t="str">
            <v>Янгиқўрғон тумани</v>
          </cell>
          <cell r="D18">
            <v>6</v>
          </cell>
          <cell r="E18">
            <v>0</v>
          </cell>
          <cell r="F18">
            <v>6</v>
          </cell>
        </row>
        <row r="19">
          <cell r="C19">
            <v>0</v>
          </cell>
        </row>
      </sheetData>
      <sheetData sheetId="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ulk.kadastr.uz/index.js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K247"/>
  <sheetViews>
    <sheetView showZeros="0" topLeftCell="B5" zoomScale="55" zoomScaleNormal="55" zoomScaleSheetLayoutView="55" workbookViewId="0">
      <selection activeCell="B1" sqref="B1:DJ227"/>
    </sheetView>
  </sheetViews>
  <sheetFormatPr defaultRowHeight="15" outlineLevelRow="2" outlineLevelCol="1" x14ac:dyDescent="0.25"/>
  <cols>
    <col min="1" max="1" width="15.5703125" hidden="1" customWidth="1"/>
    <col min="2" max="2" width="9.28515625" customWidth="1"/>
    <col min="3" max="3" width="55.85546875" customWidth="1"/>
    <col min="4" max="4" width="12.42578125" customWidth="1"/>
    <col min="5" max="5" width="13.85546875" customWidth="1"/>
    <col min="6" max="6" width="17.28515625" customWidth="1"/>
    <col min="7" max="7" width="15.7109375" customWidth="1"/>
    <col min="8" max="8" width="10.28515625" customWidth="1"/>
    <col min="9" max="9" width="12" customWidth="1"/>
    <col min="10" max="10" width="10.42578125" customWidth="1"/>
    <col min="11" max="19" width="16.42578125" hidden="1" customWidth="1" outlineLevel="1"/>
    <col min="20" max="20" width="12" hidden="1" customWidth="1" outlineLevel="1"/>
    <col min="21" max="21" width="13.85546875" hidden="1" customWidth="1" outlineLevel="1"/>
    <col min="22" max="22" width="9.5703125" hidden="1" customWidth="1" outlineLevel="1"/>
    <col min="23" max="24" width="11" hidden="1" customWidth="1" outlineLevel="1"/>
    <col min="25" max="25" width="9.140625" customWidth="1" collapsed="1"/>
    <col min="26" max="32" width="9.140625" hidden="1" customWidth="1" outlineLevel="1"/>
    <col min="33" max="33" width="6.7109375" customWidth="1" collapsed="1"/>
    <col min="34" max="34" width="6.7109375" customWidth="1"/>
    <col min="35" max="35" width="9.140625" hidden="1" customWidth="1" outlineLevel="1"/>
    <col min="36" max="36" width="6.7109375" customWidth="1" collapsed="1"/>
    <col min="37" max="37" width="9.140625" hidden="1" customWidth="1" outlineLevel="1"/>
    <col min="38" max="38" width="6.7109375" customWidth="1" collapsed="1"/>
    <col min="39" max="39" width="9.140625" hidden="1" customWidth="1" outlineLevel="1"/>
    <col min="40" max="41" width="10.5703125" hidden="1" customWidth="1" outlineLevel="1"/>
    <col min="42" max="42" width="6.7109375" customWidth="1" collapsed="1"/>
    <col min="43" max="46" width="9.140625" hidden="1" customWidth="1" outlineLevel="1"/>
    <col min="47" max="47" width="6.7109375" customWidth="1" collapsed="1"/>
    <col min="48" max="52" width="9.140625" hidden="1" customWidth="1" outlineLevel="1"/>
    <col min="53" max="53" width="6.7109375" customWidth="1" collapsed="1"/>
    <col min="54" max="63" width="9.140625" hidden="1" customWidth="1" outlineLevel="1"/>
    <col min="64" max="64" width="6.7109375" customWidth="1" collapsed="1"/>
    <col min="65" max="69" width="9.140625" hidden="1" customWidth="1" outlineLevel="1"/>
    <col min="70" max="70" width="9.28515625" customWidth="1" collapsed="1"/>
    <col min="71" max="71" width="9.140625" hidden="1" customWidth="1" outlineLevel="1"/>
    <col min="72" max="72" width="13.28515625" hidden="1" customWidth="1" outlineLevel="1"/>
    <col min="73" max="77" width="9.140625" hidden="1" customWidth="1" outlineLevel="1"/>
    <col min="78" max="78" width="6.7109375" customWidth="1" collapsed="1"/>
    <col min="79" max="79" width="9.140625" hidden="1" customWidth="1" outlineLevel="1"/>
    <col min="80" max="80" width="6.7109375" customWidth="1" collapsed="1"/>
    <col min="81" max="81" width="9.140625" hidden="1" customWidth="1" outlineLevel="1"/>
    <col min="82" max="82" width="6.7109375" customWidth="1" collapsed="1"/>
    <col min="83" max="88" width="9.140625" hidden="1" customWidth="1" outlineLevel="1"/>
    <col min="89" max="89" width="6.7109375" customWidth="1" collapsed="1"/>
    <col min="90" max="90" width="6.7109375" customWidth="1"/>
    <col min="91" max="98" width="9.140625" hidden="1" customWidth="1" outlineLevel="1"/>
    <col min="99" max="99" width="6.7109375" customWidth="1" collapsed="1"/>
    <col min="100" max="100" width="9.140625" hidden="1" customWidth="1" outlineLevel="1"/>
    <col min="101" max="101" width="6.7109375" customWidth="1" collapsed="1"/>
    <col min="102" max="103" width="9.140625" hidden="1" customWidth="1" outlineLevel="1"/>
    <col min="104" max="104" width="6.7109375" customWidth="1" collapsed="1"/>
    <col min="105" max="105" width="11.140625" customWidth="1"/>
    <col min="106" max="106" width="9" hidden="1" customWidth="1"/>
    <col min="107" max="107" width="11" customWidth="1"/>
    <col min="108" max="112" width="18.7109375" customWidth="1" outlineLevel="1"/>
    <col min="113" max="113" width="19.7109375" customWidth="1" outlineLevel="1"/>
    <col min="114" max="114" width="20.28515625" customWidth="1" outlineLevel="1"/>
    <col min="115" max="115" width="11.7109375" customWidth="1"/>
  </cols>
  <sheetData>
    <row r="1" spans="1:115" ht="128.25" customHeight="1" x14ac:dyDescent="0.25">
      <c r="A1" s="1"/>
      <c r="B1" s="147" t="s">
        <v>943</v>
      </c>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7"/>
      <c r="CL1" s="147"/>
      <c r="CM1" s="147"/>
      <c r="CN1" s="147"/>
      <c r="CO1" s="147"/>
      <c r="CP1" s="147"/>
      <c r="CQ1" s="147"/>
      <c r="CR1" s="147"/>
      <c r="CS1" s="147"/>
      <c r="CT1" s="147"/>
      <c r="CU1" s="147"/>
      <c r="CV1" s="147"/>
      <c r="CW1" s="147"/>
      <c r="CX1" s="147"/>
      <c r="CY1" s="147"/>
      <c r="CZ1" s="147"/>
      <c r="DA1" s="147"/>
      <c r="DB1" s="147"/>
      <c r="DC1" s="147"/>
      <c r="DD1" s="147"/>
      <c r="DE1" s="147"/>
      <c r="DF1" s="147"/>
      <c r="DG1" s="147"/>
      <c r="DH1" s="147"/>
      <c r="DI1" s="147"/>
      <c r="DJ1" s="147"/>
    </row>
    <row r="2" spans="1:115" ht="26.25" thickBot="1" x14ac:dyDescent="0.3">
      <c r="A2" s="1"/>
      <c r="B2" s="2"/>
      <c r="C2" s="9" t="s">
        <v>10640</v>
      </c>
      <c r="D2" s="3"/>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5"/>
      <c r="CL2" s="5"/>
      <c r="CM2" s="5"/>
      <c r="CN2" s="5"/>
      <c r="CO2" s="5"/>
      <c r="CP2" s="5"/>
      <c r="CQ2" s="5"/>
      <c r="CR2" s="5"/>
      <c r="CS2" s="5"/>
      <c r="CT2" s="5"/>
      <c r="CU2" s="5"/>
      <c r="CV2" s="5"/>
      <c r="CW2" s="5"/>
      <c r="CX2" s="5"/>
      <c r="CY2" s="5"/>
      <c r="CZ2" s="5"/>
      <c r="DA2" s="5"/>
      <c r="DB2" s="5"/>
      <c r="DC2" s="5"/>
      <c r="DD2" s="1"/>
      <c r="DE2" s="1"/>
      <c r="DF2" s="1"/>
      <c r="DG2" s="1"/>
      <c r="DH2" s="1"/>
      <c r="DI2" s="1"/>
      <c r="DJ2" s="1"/>
    </row>
    <row r="3" spans="1:115" ht="48.75" customHeight="1" x14ac:dyDescent="0.25">
      <c r="A3" s="72"/>
      <c r="B3" s="148" t="s">
        <v>0</v>
      </c>
      <c r="C3" s="150" t="s">
        <v>18</v>
      </c>
      <c r="D3" s="152" t="s">
        <v>19</v>
      </c>
      <c r="E3" s="159" t="s">
        <v>112</v>
      </c>
      <c r="F3" s="159"/>
      <c r="G3" s="160" t="s">
        <v>126</v>
      </c>
      <c r="H3" s="157" t="s">
        <v>108</v>
      </c>
      <c r="I3" s="158"/>
      <c r="J3" s="154" t="s">
        <v>113</v>
      </c>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c r="BU3" s="155"/>
      <c r="BV3" s="155"/>
      <c r="BW3" s="155"/>
      <c r="BX3" s="155"/>
      <c r="BY3" s="155"/>
      <c r="BZ3" s="155"/>
      <c r="CA3" s="155"/>
      <c r="CB3" s="155"/>
      <c r="CC3" s="155"/>
      <c r="CD3" s="155"/>
      <c r="CE3" s="155"/>
      <c r="CF3" s="155"/>
      <c r="CG3" s="155"/>
      <c r="CH3" s="155"/>
      <c r="CI3" s="155"/>
      <c r="CJ3" s="155"/>
      <c r="CK3" s="155"/>
      <c r="CL3" s="155"/>
      <c r="CM3" s="155"/>
      <c r="CN3" s="155"/>
      <c r="CO3" s="155"/>
      <c r="CP3" s="155"/>
      <c r="CQ3" s="155"/>
      <c r="CR3" s="155"/>
      <c r="CS3" s="155"/>
      <c r="CT3" s="155"/>
      <c r="CU3" s="155"/>
      <c r="CV3" s="155"/>
      <c r="CW3" s="155"/>
      <c r="CX3" s="155"/>
      <c r="CY3" s="155"/>
      <c r="CZ3" s="155"/>
      <c r="DA3" s="155"/>
      <c r="DB3" s="155"/>
      <c r="DC3" s="156"/>
      <c r="DD3" s="144" t="s">
        <v>150</v>
      </c>
      <c r="DE3" s="145"/>
      <c r="DF3" s="145"/>
      <c r="DG3" s="145"/>
      <c r="DH3" s="145"/>
      <c r="DI3" s="145"/>
      <c r="DJ3" s="146"/>
    </row>
    <row r="4" spans="1:115" ht="222.75" customHeight="1" thickBot="1" x14ac:dyDescent="0.3">
      <c r="A4" s="73"/>
      <c r="B4" s="149"/>
      <c r="C4" s="151"/>
      <c r="D4" s="153"/>
      <c r="E4" s="53" t="s">
        <v>138</v>
      </c>
      <c r="F4" s="53" t="s">
        <v>103</v>
      </c>
      <c r="G4" s="161"/>
      <c r="H4" s="54" t="s">
        <v>127</v>
      </c>
      <c r="I4" s="55" t="s">
        <v>128</v>
      </c>
      <c r="J4" s="56" t="s">
        <v>20</v>
      </c>
      <c r="K4" s="57" t="s">
        <v>11</v>
      </c>
      <c r="L4" s="57" t="s">
        <v>133</v>
      </c>
      <c r="M4" s="57" t="s">
        <v>136</v>
      </c>
      <c r="N4" s="57" t="s">
        <v>137</v>
      </c>
      <c r="O4" s="57" t="s">
        <v>134</v>
      </c>
      <c r="P4" s="57" t="s">
        <v>115</v>
      </c>
      <c r="Q4" s="57" t="s">
        <v>116</v>
      </c>
      <c r="R4" s="57" t="s">
        <v>107</v>
      </c>
      <c r="S4" s="57" t="s">
        <v>104</v>
      </c>
      <c r="T4" s="57" t="s">
        <v>21</v>
      </c>
      <c r="U4" s="57" t="s">
        <v>22</v>
      </c>
      <c r="V4" s="57" t="s">
        <v>23</v>
      </c>
      <c r="W4" s="57" t="s">
        <v>87</v>
      </c>
      <c r="X4" s="57" t="s">
        <v>22</v>
      </c>
      <c r="Y4" s="58" t="s">
        <v>24</v>
      </c>
      <c r="Z4" s="58" t="s">
        <v>25</v>
      </c>
      <c r="AA4" s="58" t="s">
        <v>132</v>
      </c>
      <c r="AB4" s="58" t="s">
        <v>100</v>
      </c>
      <c r="AC4" s="58" t="s">
        <v>109</v>
      </c>
      <c r="AD4" s="58" t="s">
        <v>114</v>
      </c>
      <c r="AE4" s="58" t="s">
        <v>117</v>
      </c>
      <c r="AF4" s="58" t="s">
        <v>2</v>
      </c>
      <c r="AG4" s="58" t="s">
        <v>26</v>
      </c>
      <c r="AH4" s="58" t="s">
        <v>27</v>
      </c>
      <c r="AI4" s="58" t="s">
        <v>13</v>
      </c>
      <c r="AJ4" s="58" t="s">
        <v>28</v>
      </c>
      <c r="AK4" s="58" t="s">
        <v>29</v>
      </c>
      <c r="AL4" s="58" t="s">
        <v>31</v>
      </c>
      <c r="AM4" s="58" t="s">
        <v>32</v>
      </c>
      <c r="AN4" s="58" t="s">
        <v>129</v>
      </c>
      <c r="AO4" s="58" t="s">
        <v>130</v>
      </c>
      <c r="AP4" s="58" t="s">
        <v>27</v>
      </c>
      <c r="AQ4" s="59" t="s">
        <v>33</v>
      </c>
      <c r="AR4" s="59" t="s">
        <v>15</v>
      </c>
      <c r="AS4" s="59" t="s">
        <v>111</v>
      </c>
      <c r="AT4" s="59" t="s">
        <v>94</v>
      </c>
      <c r="AU4" s="58" t="s">
        <v>34</v>
      </c>
      <c r="AV4" s="58" t="s">
        <v>35</v>
      </c>
      <c r="AW4" s="58" t="s">
        <v>86</v>
      </c>
      <c r="AX4" s="58" t="s">
        <v>93</v>
      </c>
      <c r="AY4" s="58" t="s">
        <v>95</v>
      </c>
      <c r="AZ4" s="58" t="s">
        <v>98</v>
      </c>
      <c r="BA4" s="58" t="s">
        <v>24</v>
      </c>
      <c r="BB4" s="58" t="s">
        <v>36</v>
      </c>
      <c r="BC4" s="58" t="s">
        <v>16</v>
      </c>
      <c r="BD4" s="58" t="s">
        <v>84</v>
      </c>
      <c r="BE4" s="58" t="s">
        <v>85</v>
      </c>
      <c r="BF4" s="58" t="s">
        <v>37</v>
      </c>
      <c r="BG4" s="58" t="s">
        <v>89</v>
      </c>
      <c r="BH4" s="58" t="s">
        <v>90</v>
      </c>
      <c r="BI4" s="58" t="s">
        <v>91</v>
      </c>
      <c r="BJ4" s="58" t="s">
        <v>92</v>
      </c>
      <c r="BK4" s="58" t="s">
        <v>101</v>
      </c>
      <c r="BL4" s="58" t="s">
        <v>20</v>
      </c>
      <c r="BM4" s="58" t="s">
        <v>12</v>
      </c>
      <c r="BN4" s="58" t="s">
        <v>38</v>
      </c>
      <c r="BO4" s="58" t="s">
        <v>45</v>
      </c>
      <c r="BP4" s="58" t="s">
        <v>88</v>
      </c>
      <c r="BQ4" s="58" t="s">
        <v>131</v>
      </c>
      <c r="BR4" s="60" t="s">
        <v>39</v>
      </c>
      <c r="BS4" s="58" t="s">
        <v>1</v>
      </c>
      <c r="BT4" s="58" t="s">
        <v>153</v>
      </c>
      <c r="BU4" s="58" t="s">
        <v>40</v>
      </c>
      <c r="BV4" s="58" t="s">
        <v>8</v>
      </c>
      <c r="BW4" s="58" t="s">
        <v>41</v>
      </c>
      <c r="BX4" s="58" t="s">
        <v>42</v>
      </c>
      <c r="BY4" s="58" t="s">
        <v>43</v>
      </c>
      <c r="BZ4" s="58" t="s">
        <v>44</v>
      </c>
      <c r="CA4" s="58" t="s">
        <v>30</v>
      </c>
      <c r="CB4" s="58" t="s">
        <v>24</v>
      </c>
      <c r="CC4" s="58" t="s">
        <v>17</v>
      </c>
      <c r="CD4" s="58" t="s">
        <v>20</v>
      </c>
      <c r="CE4" s="58" t="s">
        <v>10</v>
      </c>
      <c r="CF4" s="58" t="s">
        <v>105</v>
      </c>
      <c r="CG4" s="58" t="s">
        <v>46</v>
      </c>
      <c r="CH4" s="57" t="s">
        <v>145</v>
      </c>
      <c r="CI4" s="58" t="s">
        <v>47</v>
      </c>
      <c r="CJ4" s="58" t="s">
        <v>48</v>
      </c>
      <c r="CK4" s="61" t="s">
        <v>49</v>
      </c>
      <c r="CL4" s="60" t="s">
        <v>50</v>
      </c>
      <c r="CM4" s="58" t="s">
        <v>96</v>
      </c>
      <c r="CN4" s="58" t="s">
        <v>9</v>
      </c>
      <c r="CO4" s="58" t="s">
        <v>106</v>
      </c>
      <c r="CP4" s="58" t="s">
        <v>51</v>
      </c>
      <c r="CQ4" s="58" t="s">
        <v>52</v>
      </c>
      <c r="CR4" s="62" t="s">
        <v>99</v>
      </c>
      <c r="CS4" s="58" t="s">
        <v>97</v>
      </c>
      <c r="CT4" s="58" t="s">
        <v>102</v>
      </c>
      <c r="CU4" s="58" t="s">
        <v>24</v>
      </c>
      <c r="CV4" s="58" t="s">
        <v>53</v>
      </c>
      <c r="CW4" s="58" t="s">
        <v>54</v>
      </c>
      <c r="CX4" s="58" t="s">
        <v>55</v>
      </c>
      <c r="CY4" s="58" t="s">
        <v>56</v>
      </c>
      <c r="CZ4" s="61" t="s">
        <v>57</v>
      </c>
      <c r="DA4" s="61" t="s">
        <v>58</v>
      </c>
      <c r="DB4" s="63" t="s">
        <v>139</v>
      </c>
      <c r="DC4" s="103" t="s">
        <v>59</v>
      </c>
      <c r="DD4" s="64" t="s">
        <v>362</v>
      </c>
      <c r="DE4" s="65" t="s">
        <v>363</v>
      </c>
      <c r="DF4" s="65" t="s">
        <v>364</v>
      </c>
      <c r="DG4" s="65" t="s">
        <v>365</v>
      </c>
      <c r="DH4" s="65" t="s">
        <v>366</v>
      </c>
      <c r="DI4" s="65" t="s">
        <v>367</v>
      </c>
      <c r="DJ4" s="66" t="s">
        <v>941</v>
      </c>
    </row>
    <row r="5" spans="1:115" s="33" customFormat="1" ht="42" customHeight="1" thickBot="1" x14ac:dyDescent="0.45">
      <c r="A5" s="78"/>
      <c r="B5" s="35"/>
      <c r="C5" s="50" t="s">
        <v>60</v>
      </c>
      <c r="D5" s="51">
        <f t="shared" ref="D5:AI5" si="0">+D6+D21+D35+D49+D100+D117+D141+D161+D180+D194+D208+D227</f>
        <v>276</v>
      </c>
      <c r="E5" s="109">
        <f t="shared" si="0"/>
        <v>67</v>
      </c>
      <c r="F5" s="109">
        <f t="shared" si="0"/>
        <v>17</v>
      </c>
      <c r="G5" s="36">
        <f t="shared" si="0"/>
        <v>192</v>
      </c>
      <c r="H5" s="36">
        <f t="shared" si="0"/>
        <v>226</v>
      </c>
      <c r="I5" s="52">
        <f t="shared" si="0"/>
        <v>50</v>
      </c>
      <c r="J5" s="51">
        <f t="shared" si="0"/>
        <v>9</v>
      </c>
      <c r="K5" s="36">
        <f t="shared" si="0"/>
        <v>1</v>
      </c>
      <c r="L5" s="36">
        <f t="shared" si="0"/>
        <v>0</v>
      </c>
      <c r="M5" s="36">
        <f t="shared" si="0"/>
        <v>0</v>
      </c>
      <c r="N5" s="36">
        <f t="shared" si="0"/>
        <v>0</v>
      </c>
      <c r="O5" s="36">
        <f t="shared" si="0"/>
        <v>8</v>
      </c>
      <c r="P5" s="36">
        <f t="shared" si="0"/>
        <v>0</v>
      </c>
      <c r="Q5" s="36">
        <f t="shared" si="0"/>
        <v>0</v>
      </c>
      <c r="R5" s="36">
        <f t="shared" si="0"/>
        <v>0</v>
      </c>
      <c r="S5" s="36">
        <f t="shared" si="0"/>
        <v>0</v>
      </c>
      <c r="T5" s="36">
        <f t="shared" si="0"/>
        <v>0</v>
      </c>
      <c r="U5" s="36">
        <f t="shared" si="0"/>
        <v>0</v>
      </c>
      <c r="V5" s="36">
        <f t="shared" si="0"/>
        <v>0</v>
      </c>
      <c r="W5" s="36">
        <f t="shared" si="0"/>
        <v>0</v>
      </c>
      <c r="X5" s="36">
        <f t="shared" si="0"/>
        <v>0</v>
      </c>
      <c r="Y5" s="36">
        <f t="shared" si="0"/>
        <v>20</v>
      </c>
      <c r="Z5" s="36">
        <f t="shared" si="0"/>
        <v>1</v>
      </c>
      <c r="AA5" s="36">
        <f t="shared" si="0"/>
        <v>1</v>
      </c>
      <c r="AB5" s="36">
        <f t="shared" si="0"/>
        <v>5</v>
      </c>
      <c r="AC5" s="36">
        <f t="shared" si="0"/>
        <v>1</v>
      </c>
      <c r="AD5" s="36">
        <f t="shared" si="0"/>
        <v>0</v>
      </c>
      <c r="AE5" s="36">
        <f t="shared" si="0"/>
        <v>0</v>
      </c>
      <c r="AF5" s="36">
        <f t="shared" si="0"/>
        <v>12</v>
      </c>
      <c r="AG5" s="36">
        <f t="shared" si="0"/>
        <v>0</v>
      </c>
      <c r="AH5" s="36">
        <f t="shared" si="0"/>
        <v>9</v>
      </c>
      <c r="AI5" s="36">
        <f t="shared" si="0"/>
        <v>9</v>
      </c>
      <c r="AJ5" s="36">
        <f t="shared" ref="AJ5:BO5" si="1">+AJ6+AJ21+AJ35+AJ49+AJ100+AJ117+AJ141+AJ161+AJ180+AJ194+AJ208+AJ227</f>
        <v>3</v>
      </c>
      <c r="AK5" s="36">
        <f t="shared" si="1"/>
        <v>3</v>
      </c>
      <c r="AL5" s="36">
        <f t="shared" si="1"/>
        <v>1</v>
      </c>
      <c r="AM5" s="36">
        <f t="shared" si="1"/>
        <v>0</v>
      </c>
      <c r="AN5" s="36">
        <f t="shared" si="1"/>
        <v>1</v>
      </c>
      <c r="AO5" s="36">
        <f t="shared" si="1"/>
        <v>0</v>
      </c>
      <c r="AP5" s="36">
        <f t="shared" si="1"/>
        <v>1</v>
      </c>
      <c r="AQ5" s="36">
        <f t="shared" si="1"/>
        <v>1</v>
      </c>
      <c r="AR5" s="36">
        <f t="shared" si="1"/>
        <v>0</v>
      </c>
      <c r="AS5" s="36">
        <f t="shared" si="1"/>
        <v>0</v>
      </c>
      <c r="AT5" s="36">
        <f t="shared" si="1"/>
        <v>0</v>
      </c>
      <c r="AU5" s="36">
        <f t="shared" si="1"/>
        <v>3</v>
      </c>
      <c r="AV5" s="36">
        <f t="shared" si="1"/>
        <v>3</v>
      </c>
      <c r="AW5" s="36">
        <f t="shared" si="1"/>
        <v>0</v>
      </c>
      <c r="AX5" s="36">
        <f t="shared" si="1"/>
        <v>0</v>
      </c>
      <c r="AY5" s="36">
        <f t="shared" si="1"/>
        <v>0</v>
      </c>
      <c r="AZ5" s="36">
        <f t="shared" si="1"/>
        <v>0</v>
      </c>
      <c r="BA5" s="36">
        <f t="shared" si="1"/>
        <v>12</v>
      </c>
      <c r="BB5" s="36">
        <f t="shared" si="1"/>
        <v>7</v>
      </c>
      <c r="BC5" s="36">
        <f t="shared" si="1"/>
        <v>4</v>
      </c>
      <c r="BD5" s="36">
        <f t="shared" si="1"/>
        <v>0</v>
      </c>
      <c r="BE5" s="36">
        <f t="shared" si="1"/>
        <v>1</v>
      </c>
      <c r="BF5" s="36">
        <f t="shared" si="1"/>
        <v>0</v>
      </c>
      <c r="BG5" s="36">
        <f t="shared" si="1"/>
        <v>0</v>
      </c>
      <c r="BH5" s="36">
        <f t="shared" si="1"/>
        <v>0</v>
      </c>
      <c r="BI5" s="36">
        <f t="shared" si="1"/>
        <v>0</v>
      </c>
      <c r="BJ5" s="36">
        <f t="shared" si="1"/>
        <v>0</v>
      </c>
      <c r="BK5" s="36">
        <f t="shared" si="1"/>
        <v>0</v>
      </c>
      <c r="BL5" s="36">
        <f t="shared" si="1"/>
        <v>17</v>
      </c>
      <c r="BM5" s="36">
        <f t="shared" si="1"/>
        <v>16</v>
      </c>
      <c r="BN5" s="36">
        <f t="shared" si="1"/>
        <v>0</v>
      </c>
      <c r="BO5" s="36">
        <f t="shared" si="1"/>
        <v>0</v>
      </c>
      <c r="BP5" s="36">
        <f t="shared" ref="BP5:CU5" si="2">+BP6+BP21+BP35+BP49+BP100+BP117+BP141+BP161+BP180+BP194+BP208+BP227</f>
        <v>0</v>
      </c>
      <c r="BQ5" s="36">
        <f t="shared" si="2"/>
        <v>1</v>
      </c>
      <c r="BR5" s="36">
        <f t="shared" si="2"/>
        <v>58</v>
      </c>
      <c r="BS5" s="36">
        <f t="shared" si="2"/>
        <v>56</v>
      </c>
      <c r="BT5" s="36">
        <f t="shared" si="2"/>
        <v>0</v>
      </c>
      <c r="BU5" s="36">
        <f t="shared" si="2"/>
        <v>0</v>
      </c>
      <c r="BV5" s="36">
        <f t="shared" si="2"/>
        <v>1</v>
      </c>
      <c r="BW5" s="36">
        <f t="shared" si="2"/>
        <v>1</v>
      </c>
      <c r="BX5" s="36">
        <f t="shared" si="2"/>
        <v>0</v>
      </c>
      <c r="BY5" s="36">
        <f t="shared" si="2"/>
        <v>0</v>
      </c>
      <c r="BZ5" s="36">
        <f t="shared" si="2"/>
        <v>0</v>
      </c>
      <c r="CA5" s="36">
        <f t="shared" si="2"/>
        <v>0</v>
      </c>
      <c r="CB5" s="36">
        <f t="shared" si="2"/>
        <v>10</v>
      </c>
      <c r="CC5" s="36">
        <f t="shared" si="2"/>
        <v>10</v>
      </c>
      <c r="CD5" s="36">
        <f t="shared" si="2"/>
        <v>19</v>
      </c>
      <c r="CE5" s="36">
        <f t="shared" si="2"/>
        <v>12</v>
      </c>
      <c r="CF5" s="36">
        <f t="shared" si="2"/>
        <v>0</v>
      </c>
      <c r="CG5" s="36">
        <f t="shared" si="2"/>
        <v>0</v>
      </c>
      <c r="CH5" s="36">
        <f t="shared" si="2"/>
        <v>7</v>
      </c>
      <c r="CI5" s="36">
        <f t="shared" si="2"/>
        <v>0</v>
      </c>
      <c r="CJ5" s="36">
        <f t="shared" si="2"/>
        <v>0</v>
      </c>
      <c r="CK5" s="36">
        <f t="shared" si="2"/>
        <v>34</v>
      </c>
      <c r="CL5" s="36">
        <f t="shared" si="2"/>
        <v>6</v>
      </c>
      <c r="CM5" s="36">
        <f t="shared" si="2"/>
        <v>0</v>
      </c>
      <c r="CN5" s="36">
        <f t="shared" si="2"/>
        <v>3</v>
      </c>
      <c r="CO5" s="36">
        <f t="shared" si="2"/>
        <v>0</v>
      </c>
      <c r="CP5" s="36">
        <f t="shared" si="2"/>
        <v>3</v>
      </c>
      <c r="CQ5" s="36">
        <f t="shared" si="2"/>
        <v>0</v>
      </c>
      <c r="CR5" s="36">
        <f t="shared" si="2"/>
        <v>0</v>
      </c>
      <c r="CS5" s="36">
        <f t="shared" si="2"/>
        <v>0</v>
      </c>
      <c r="CT5" s="36">
        <f t="shared" si="2"/>
        <v>0</v>
      </c>
      <c r="CU5" s="36">
        <f t="shared" si="2"/>
        <v>2</v>
      </c>
      <c r="CV5" s="36">
        <f t="shared" ref="CV5:DC5" si="3">+CV6+CV21+CV35+CV49+CV100+CV117+CV141+CV161+CV180+CV194+CV208+CV227</f>
        <v>2</v>
      </c>
      <c r="CW5" s="36">
        <f t="shared" si="3"/>
        <v>4</v>
      </c>
      <c r="CX5" s="36">
        <f t="shared" si="3"/>
        <v>3</v>
      </c>
      <c r="CY5" s="36">
        <f t="shared" si="3"/>
        <v>1</v>
      </c>
      <c r="CZ5" s="36">
        <f t="shared" si="3"/>
        <v>0</v>
      </c>
      <c r="DA5" s="36">
        <f t="shared" si="3"/>
        <v>68</v>
      </c>
      <c r="DB5" s="36">
        <f t="shared" si="3"/>
        <v>0</v>
      </c>
      <c r="DC5" s="110">
        <f t="shared" si="3"/>
        <v>-174</v>
      </c>
      <c r="DD5" s="51">
        <f t="shared" ref="DD5:DJ5" si="4">+DD6+DD21+DD35+DD49+DD100+DD117+DD141+DD161+DD180+DD194+DD208+DD227+DD99</f>
        <v>0</v>
      </c>
      <c r="DE5" s="36">
        <f t="shared" si="4"/>
        <v>0</v>
      </c>
      <c r="DF5" s="36">
        <f t="shared" si="4"/>
        <v>237</v>
      </c>
      <c r="DG5" s="36">
        <f t="shared" si="4"/>
        <v>232</v>
      </c>
      <c r="DH5" s="36">
        <f t="shared" si="4"/>
        <v>289</v>
      </c>
      <c r="DI5" s="36">
        <f t="shared" si="4"/>
        <v>1029</v>
      </c>
      <c r="DJ5" s="52">
        <f t="shared" si="4"/>
        <v>1061</v>
      </c>
    </row>
    <row r="6" spans="1:115" s="29" customFormat="1" ht="57.95" customHeight="1" thickBot="1" x14ac:dyDescent="0.3">
      <c r="A6" s="91" t="s">
        <v>72</v>
      </c>
      <c r="B6" s="76">
        <v>1</v>
      </c>
      <c r="C6" s="69" t="s">
        <v>61</v>
      </c>
      <c r="D6" s="47">
        <f>+COUNTIFS('muddati otgan'!B:B,A6,'muddati otgan'!B:B,A6)</f>
        <v>19</v>
      </c>
      <c r="E6" s="37">
        <f>SUMIFS('muddati otgan'!$V:V,'muddati otgan'!$B:B,$A:A)</f>
        <v>1</v>
      </c>
      <c r="F6" s="37">
        <f>SUMIFS('muddati otgan'!$W:W,'muddati otgan'!$B:B,$A:A)</f>
        <v>0</v>
      </c>
      <c r="G6" s="38">
        <f>SUMIFS('muddati otgan'!$U:U,'muddati otgan'!$B:B,$A:A)</f>
        <v>18</v>
      </c>
      <c r="H6" s="39">
        <f>SUMIFS('muddati otgan'!$G:G,'muddati otgan'!$B:B,$A:A)</f>
        <v>12</v>
      </c>
      <c r="I6" s="40">
        <f>SUMIFS('muddati otgan'!$H:H,'muddati otgan'!$B:B,$A:A)</f>
        <v>7</v>
      </c>
      <c r="J6" s="43">
        <f>K6+P6+Q6+R6+S6+T6+U6+V6+W6+L6+O6+M6+N6+X6</f>
        <v>0</v>
      </c>
      <c r="K6" s="39">
        <f>+COUNTIFS('muddati otgan'!B:B,A6,'muddati otgan'!AA:AA,"Arizani qabul qilish")</f>
        <v>0</v>
      </c>
      <c r="L6" s="39">
        <f>+COUNTIFS('muddati otgan'!B:B,A6,'muddati otgan'!J:J,"Arizani rad etish")</f>
        <v>0</v>
      </c>
      <c r="M6" s="39">
        <f>+COUNTIFS('muddati otgan'!B:B,A6,'muddati otgan'!J:J,"Arizani tasdiqlash")</f>
        <v>0</v>
      </c>
      <c r="N6" s="39">
        <f>+COUNTIFS('muddati otgan'!B:B,A6,'muddati otgan'!J:J,"Arizani yo'naltirish")</f>
        <v>0</v>
      </c>
      <c r="O6" s="39">
        <f>+COUNTIFS('muddati otgan'!B:B,A6,'muddati otgan'!J:J,"Rad qilish sababini o'rganish")</f>
        <v>0</v>
      </c>
      <c r="P6" s="39">
        <f>+COUNTIFS('muddati otgan'!B:B,A6,'muddati otgan'!J:J,"Ko'chmas mulkni UZKAD ga migratsiya qilish")</f>
        <v>0</v>
      </c>
      <c r="Q6" s="39">
        <f>+COUNTIFS('muddati otgan'!B:B,A6,'muddati otgan'!J:J,"Migratisya qilingan obyekt holatini tekshirish")</f>
        <v>0</v>
      </c>
      <c r="R6" s="39">
        <f>+COUNTIFS('muddati otgan'!B:B,A6,'muddati otgan'!J:J,"Ko‘chmas mulkni tanlash")</f>
        <v>0</v>
      </c>
      <c r="S6" s="39">
        <f>+COUNTIFS('muddati otgan'!B:B,A6,'muddati otgan'!J:J,"Arizani ko'rib chiqish")</f>
        <v>0</v>
      </c>
      <c r="T6" s="39">
        <f>+COUNTIFS('muddati otgan'!B:B,A6,'muddati otgan'!J:J,"Kadastr muhandisini tanlash")</f>
        <v>0</v>
      </c>
      <c r="U6" s="39">
        <f>+COUNTIFS('muddati otgan'!B:B,A6,'muddati otgan'!J:J,"Ko'chmas mulk turini tanlahsh")</f>
        <v>0</v>
      </c>
      <c r="V6" s="39">
        <f>+COUNTIFS('muddati otgan'!B:B,A6,'muddati otgan'!AA:AA,"Rad qilish")</f>
        <v>0</v>
      </c>
      <c r="W6" s="39">
        <f>+COUNTIFS('muddati otgan'!B:B,A6,'muddati otgan'!J:J,"ijrochi tanlash")</f>
        <v>0</v>
      </c>
      <c r="X6" s="39">
        <f>+COUNTIFS('muddati otgan'!B:B,A6,'muddati otgan'!J:J,"Ko'chmas mulk turini tanlash")</f>
        <v>0</v>
      </c>
      <c r="Y6" s="39">
        <f>Z6+AD6+AF6+AE6+AC6+AB6+AA6</f>
        <v>0</v>
      </c>
      <c r="Z6" s="39">
        <f>+COUNTIFS('muddati otgan'!B:B,A6,'muddati otgan'!J:J,"Ijroga qabul qilish")</f>
        <v>0</v>
      </c>
      <c r="AA6" s="39">
        <f>+COUNTIFS('muddati otgan'!B:B,A6,'muddati otgan'!J:J,"Joyida o'rganish va ma'lumotlarni kiritish")</f>
        <v>0</v>
      </c>
      <c r="AB6" s="39">
        <f>+COUNTIFS('muddati otgan'!B:B,A6,'muddati otgan'!J:J,"Asosiy qismdan ajratish jarayonida")</f>
        <v>0</v>
      </c>
      <c r="AC6" s="39">
        <f>+COUNTIFS('muddati otgan'!B:B,A6,'muddati otgan'!J:J,"Umumiy foydalanishdagi obyekt yaratilish")</f>
        <v>0</v>
      </c>
      <c r="AD6" s="39">
        <f>+COUNTIFS('muddati otgan'!B:B,A6,'muddati otgan'!J:J,"Migratsiya qilinadigan kadastr raqamini kiritish")</f>
        <v>0</v>
      </c>
      <c r="AE6" s="39">
        <f>+COUNTIFS('muddati otgan'!B:B,A6,'muddati otgan'!J:J,"O'zida qolgan obyektni yaratish")</f>
        <v>0</v>
      </c>
      <c r="AF6" s="39">
        <f>+COUNTIFS('muddati otgan'!B:B,A6,'muddati otgan'!J:J,"O'lchov natijalarini kiritish")</f>
        <v>0</v>
      </c>
      <c r="AG6" s="39">
        <f>+COUNTIFS('muddati otgan'!B:B,A6,'muddati otgan'!J:J,"Topoxaritani tayyorlash (dwg, pdf)")</f>
        <v>0</v>
      </c>
      <c r="AH6" s="39">
        <f>AI6</f>
        <v>0</v>
      </c>
      <c r="AI6" s="39">
        <f>+COUNTIFS('muddati otgan'!B:B,A6,'muddati otgan'!J:J,"Yer uchastkasini yaratish")</f>
        <v>0</v>
      </c>
      <c r="AJ6" s="39">
        <f>AK6</f>
        <v>0</v>
      </c>
      <c r="AK6" s="39">
        <f>+COUNTIFS('muddati otgan'!B:B,A6,'muddati otgan'!J:J,"Kelishish (Boshqarma)")</f>
        <v>0</v>
      </c>
      <c r="AL6" s="39">
        <f>AM6+AN6+AO6</f>
        <v>0</v>
      </c>
      <c r="AM6" s="39">
        <f>+COUNTIFS('muddati otgan'!B:B,A6,'muddati otgan'!J:J,"Kelishish (DKP)")</f>
        <v>0</v>
      </c>
      <c r="AN6" s="39">
        <f>+COUNTIFS('muddati otgan'!B:B,A6,'muddati otgan'!J:J,"Kelishish")</f>
        <v>0</v>
      </c>
      <c r="AO6" s="39">
        <f>+COUNTIFS('muddati otgan'!B:B,A6,'muddati otgan'!J:J,"Kelishish (Registratsiya DKP)")</f>
        <v>0</v>
      </c>
      <c r="AP6" s="39">
        <f>AQ6+AR6+AS6+AT6</f>
        <v>0</v>
      </c>
      <c r="AQ6" s="39">
        <f>+COUNTIFS('muddati otgan'!B:B,A6,'muddati otgan'!J:J,"Manzil biriktirish")</f>
        <v>0</v>
      </c>
      <c r="AR6" s="39">
        <f>+COUNTIFS('muddati otgan'!B:B,A6,'muddati otgan'!J:J,"Bino va inshootlarni yaratish")</f>
        <v>0</v>
      </c>
      <c r="AS6" s="39">
        <f>+COUNTIFS('muddati otgan'!B:B,A6,'muddati otgan'!J:J,"Dov daraxtlarni yaratish")</f>
        <v>0</v>
      </c>
      <c r="AT6" s="39">
        <f>+COUNTIFS('muddati otgan'!B:B,A6,'muddati otgan'!J:J,"Yer uchastkasini tahrirlash")</f>
        <v>0</v>
      </c>
      <c r="AU6" s="39">
        <f>AV6+AW6+AX6+AY6+AZ6</f>
        <v>0</v>
      </c>
      <c r="AV6" s="39">
        <f>+COUNTIFS('muddati otgan'!B:B,A6,'muddati otgan'!J:J,"Yer toifasi va maqsadini kiritish")</f>
        <v>0</v>
      </c>
      <c r="AW6" s="39">
        <f>+COUNTIFS('muddati otgan'!B:B,A6,'muddati otgan'!J:J,"Auksion yer tekshirish")</f>
        <v>0</v>
      </c>
      <c r="AX6" s="39">
        <f>+COUNTIFS('muddati otgan'!B:B,A6,'muddati otgan'!J:J,"Yer turlarini kiritish")</f>
        <v>0</v>
      </c>
      <c r="AY6" s="39">
        <f>+COUNTIFS('muddati otgan'!B:B,A6,'muddati otgan'!J:J,"Ma'lumotlarni kiritish")</f>
        <v>0</v>
      </c>
      <c r="AZ6" s="39">
        <f>+COUNTIFS('muddati otgan'!B:B,A6,'muddati otgan'!J:J,"Yer tekshirish")</f>
        <v>0</v>
      </c>
      <c r="BA6" s="39">
        <f>BB6+BC6+BD6+BE6+BF6+BG6+BH6+BI6+BJ6+BK6</f>
        <v>0</v>
      </c>
      <c r="BB6" s="39">
        <f>+COUNTIFS('muddati otgan'!B:B,A6,'muddati otgan'!J:J,"Bino va inshoot ma'lumotlarini to‘ldirish")</f>
        <v>0</v>
      </c>
      <c r="BC6" s="39">
        <f>+COUNTIFS('muddati otgan'!B:B,A6,'muddati otgan'!J:J,"Inventarizatsiya ma'lumotlarini to‘ldirish")</f>
        <v>0</v>
      </c>
      <c r="BD6" s="39">
        <f>+COUNTIFS('muddati otgan'!B:B,A6,'muddati otgan'!J:J,"Yer uchastkasiga huquqiy hujjatlarni kiritsh")</f>
        <v>0</v>
      </c>
      <c r="BE6" s="39">
        <f>+COUNTIFS('muddati otgan'!B:B,A6,'muddati otgan'!J:J,"Bino-inshootlarga huquqiy hujjatlarni kiritsh")</f>
        <v>0</v>
      </c>
      <c r="BF6" s="39">
        <f>+COUNTIFS('muddati otgan'!B:B,A6,'muddati otgan'!J:J,"Kadastr qiymatini hisoblash va kiritish")</f>
        <v>0</v>
      </c>
      <c r="BG6" s="39">
        <f>+COUNTIFS('muddati otgan'!B:B,A6,'muddati otgan'!J:J,"Kadastr raqam biriktirish")</f>
        <v>0</v>
      </c>
      <c r="BH6" s="39">
        <f>+COUNTIFS('muddati otgan'!B:B,A6,'muddati otgan'!J:J,"Kadastr yig'ma jildni tayyorlash")</f>
        <v>0</v>
      </c>
      <c r="BI6" s="39">
        <f>+COUNTIFS('muddati otgan'!B:B,A6,'muddati otgan'!J:J,"Huquqni yaratish")</f>
        <v>0</v>
      </c>
      <c r="BJ6" s="39">
        <f>+COUNTIFS('muddati otgan'!B:B,A6,'muddati otgan'!J:J,"Hujjatlarni o'rganish")</f>
        <v>0</v>
      </c>
      <c r="BK6" s="39">
        <f>+COUNTIFS('muddati otgan'!B:B,A6,'muddati otgan'!J:J,"Ma'lumotlarni tekshirish")</f>
        <v>0</v>
      </c>
      <c r="BL6" s="39">
        <f>BM6+BN6+BP6+BO6+BQ6</f>
        <v>0</v>
      </c>
      <c r="BM6" s="39">
        <f>+COUNTIFS('muddati otgan'!B:B,A6,'muddati otgan'!J:J,"Tekshirish")</f>
        <v>0</v>
      </c>
      <c r="BN6" s="39">
        <f>+COUNTIFS('muddati otgan'!B:B,A6,'muddati otgan'!J:J,"Hujjatlarni tekshirish")</f>
        <v>0</v>
      </c>
      <c r="BO6" s="39">
        <f>+COUNTIFS('muddati otgan'!B:B,A6,'muddati otgan'!J:J,"Tasdiqlash")</f>
        <v>0</v>
      </c>
      <c r="BP6" s="39">
        <f>+COUNTIFS('muddati otgan'!B:B,A6,'muddati otgan'!J:J,"tekshirish/tasdiqlash")</f>
        <v>0</v>
      </c>
      <c r="BQ6" s="39">
        <f>+COUNTIFS('muddati otgan'!B:B,A6,'muddati otgan'!J:J,"Ma'lumotlarni tasdiqlash")</f>
        <v>0</v>
      </c>
      <c r="BR6" s="39">
        <f>BS6+BU6+BV6+BW6+BX6+BY6-BT6</f>
        <v>4</v>
      </c>
      <c r="BS6" s="39">
        <f>+COUNTIFS('muddati otgan'!B:B,A6,'muddati otgan'!J:J,"Ro'yxatdan o'tkazish ma'lumotlarini tekshirish")</f>
        <v>4</v>
      </c>
      <c r="BT6" s="39">
        <f>+COUNTIFS('muddati otgan'!B:B,A6,'muddati otgan'!J:J,"Kamchiliklar bo'yicha habarnoma yuborish va 3 kunga to'xtatish")</f>
        <v>0</v>
      </c>
      <c r="BU6" s="39">
        <f>+COUNTIFS('muddati otgan'!B:B,A6,'muddati otgan'!J:J,"Hisobga olish")</f>
        <v>0</v>
      </c>
      <c r="BV6" s="39">
        <f>+COUNTIFS('muddati otgan'!B:B,A6,'muddati otgan'!J:J,"Yer uchastkasiga huquq yaratish")</f>
        <v>0</v>
      </c>
      <c r="BW6" s="39">
        <f>+COUNTIFS('muddati otgan'!B:B,A6,'muddati otgan'!J:J,"Bino-inshootga huquq yaratish")</f>
        <v>0</v>
      </c>
      <c r="BX6" s="39">
        <f>+COUNTIFS('muddati otgan'!B:B,A6,'muddati otgan'!J:J,"Cheklov yaratish")</f>
        <v>0</v>
      </c>
      <c r="BY6" s="39">
        <f>+COUNTIFS('muddati otgan'!B:B,A6,'muddati otgan'!J:J,"Taqiq yaratish")</f>
        <v>0</v>
      </c>
      <c r="BZ6" s="39">
        <f>CA6</f>
        <v>0</v>
      </c>
      <c r="CA6" s="39">
        <f>+COUNTIFS('muddati otgan'!B:B,A6,'muddati otgan'!J:J,"Soliq maydonini tekshirish")</f>
        <v>0</v>
      </c>
      <c r="CB6" s="39">
        <f>CC6</f>
        <v>0</v>
      </c>
      <c r="CC6" s="39">
        <f>+COUNTIFS('muddati otgan'!B:B,A6,'muddati otgan'!J:J,"Kadastr yig'majildini shakllantirish")</f>
        <v>0</v>
      </c>
      <c r="CD6" s="39">
        <f>CE6+CF6+CG6+CI6+CJ6+CH6</f>
        <v>0</v>
      </c>
      <c r="CE6" s="39">
        <f>+COUNTIFS('muddati otgan'!B:B,A6,'muddati otgan'!J:J,"Kadastr passportini shakllantirish")</f>
        <v>0</v>
      </c>
      <c r="CF6" s="39">
        <f>+COUNTIFS('muddati otgan'!B:B,A6,'muddati otgan'!J:J,"Yig'ma jildni tasdiqlash")</f>
        <v>0</v>
      </c>
      <c r="CG6" s="39">
        <f>+COUNTIFS('muddati otgan'!B:B,A6,'muddati otgan'!J:J,"To'lov yoki bepul tasdiqlash")</f>
        <v>0</v>
      </c>
      <c r="CH6" s="39">
        <f>+COUNTIFS('muddati otgan'!B:B,A6,'muddati otgan'!J:J,"Bog'liq arizani kutish")</f>
        <v>0</v>
      </c>
      <c r="CI6" s="39">
        <f>+COUNTIFS('muddati otgan'!B:B,A6,'muddati otgan'!J:J,"To'lovga chiqarish")</f>
        <v>0</v>
      </c>
      <c r="CJ6" s="39">
        <f>+COUNTIFS('muddati otgan'!B:B,A6,'muddati otgan'!J:J,"Hisobga qo'yish")</f>
        <v>0</v>
      </c>
      <c r="CK6" s="67">
        <f>+COUNTIFS('muddati otgan'!B:B,A6,'muddati otgan'!J:J,"To'lov kutilmoqda")</f>
        <v>8</v>
      </c>
      <c r="CL6" s="39">
        <f>CM6+CN6+CO6+CP6+CQ6+CR6+CS6+CT6</f>
        <v>0</v>
      </c>
      <c r="CM6" s="39">
        <f>+COUNTIFS('muddati otgan'!B:B,A6,'muddati otgan'!AA:AA,"Arizani qabul qilish2")</f>
        <v>0</v>
      </c>
      <c r="CN6" s="39">
        <f>+COUNTIFS('muddati otgan'!B:B,A6,'muddati otgan'!J:J,"Huquqlarni tekshirish")</f>
        <v>0</v>
      </c>
      <c r="CO6" s="39">
        <f>+COUNTIFS('muddati otgan'!B:B,A6,'muddati otgan'!J:J,"Ko'chmas mulkni ro'yhatdan o'tkazishga qabul qilish")</f>
        <v>0</v>
      </c>
      <c r="CP6" s="39">
        <f>+COUNTIFS('muddati otgan'!B:B,A6,'muddati otgan'!J:J,"Ro'yxatdan o'tkazish")</f>
        <v>0</v>
      </c>
      <c r="CQ6" s="39">
        <f>+COUNTIFS('muddati otgan'!B:B,A6,'muddati otgan'!J:J,"Kadastr pasporti va ko'chirmani yuborish")</f>
        <v>0</v>
      </c>
      <c r="CR6" s="39">
        <f>+COUNTIFS('muddati otgan'!B:B,A6,'muddati otgan'!AA:AA,"Rad qilish2")</f>
        <v>0</v>
      </c>
      <c r="CS6" s="39">
        <f>+COUNTIFS('muddati otgan'!B:B,A6,'muddati otgan'!J:J,"Ko'chirmani yuborish")</f>
        <v>0</v>
      </c>
      <c r="CT6" s="39">
        <f>+COUNTIFS('muddati otgan'!B:B,A6,'muddati otgan'!J:J,"Ma‘lumotlarni tekshirish")</f>
        <v>0</v>
      </c>
      <c r="CU6" s="39">
        <f>CV6</f>
        <v>0</v>
      </c>
      <c r="CV6" s="39">
        <f>+COUNTIFS('muddati otgan'!B:B,A6,'muddati otgan'!J:J,"Kadastr yig'majildini chop etish va arxiv ishiga tikish")</f>
        <v>0</v>
      </c>
      <c r="CW6" s="39">
        <f>CX6+CY6</f>
        <v>0</v>
      </c>
      <c r="CX6" s="39">
        <f>+COUNTIFS('muddati otgan'!B:B,A6,'muddati otgan'!J:J,"Kadastr yig‘majildini qabul qilish, arizani yakunlash")</f>
        <v>0</v>
      </c>
      <c r="CY6" s="39">
        <f>+COUNTIFS('muddati otgan'!B:B,A6,'muddati otgan'!J:J,"Next Cloudga yuklash")</f>
        <v>0</v>
      </c>
      <c r="CZ6" s="67">
        <f>+COUNTIFS('muddati otgan'!B:B,A6,'muddati otgan'!J:J,"Kelishish kutilmoqda")</f>
        <v>0</v>
      </c>
      <c r="DA6" s="67">
        <f>+COUNTIFS('muddati otgan'!B:B,A6,'muddati otgan'!J:J,"Yakunlandi")</f>
        <v>7</v>
      </c>
      <c r="DB6" s="37">
        <f>+COUNTIFS('muddati otgan'!B:B,A6,'muddati otgan'!J:J,"Rad etildi")</f>
        <v>0</v>
      </c>
      <c r="DC6" s="99">
        <f t="shared" ref="DC6:DC227" si="5">CK6+CZ6+DA6+DB6-D6</f>
        <v>-4</v>
      </c>
      <c r="DD6" s="43">
        <f>COUNTIFS('jami 1-20 kunlik arizalar'!B:B,A:A,'jami 1-20 kunlik arizalar'!S:S,"1")</f>
        <v>0</v>
      </c>
      <c r="DE6" s="39">
        <f>COUNTIFS('jami 1-20 kunlik arizalar'!B:B,A:A,'jami 1-20 kunlik arizalar'!S:S,"2")</f>
        <v>0</v>
      </c>
      <c r="DF6" s="39">
        <f>COUNTIFS('jami 1-20 kunlik arizalar'!B:B,A:A,'jami 1-20 kunlik arizalar'!S:S,"3")</f>
        <v>25</v>
      </c>
      <c r="DG6" s="39">
        <f>COUNTIFS('jami 1-20 kunlik arizalar'!B:B,A:A,'jami 1-20 kunlik arizalar'!S:S,"4")</f>
        <v>9</v>
      </c>
      <c r="DH6" s="39">
        <f>COUNTIFS('jami 1-20 kunlik arizalar'!B:B,A:A,'jami 1-20 kunlik arizalar'!S:S,"5")</f>
        <v>14</v>
      </c>
      <c r="DI6" s="39">
        <f>SUM(COUNTIFS('jami 1-20 kunlik arizalar'!B:B,A:A, 'jami 1-20 kunlik arizalar'!S:S, {6,7,8,9,10}))</f>
        <v>87</v>
      </c>
      <c r="DJ6" s="40">
        <f>SUMPRODUCT(('jami 1-20 kunlik arizalar'!B:B=A6)*('jami 1-20 kunlik arizalar'!S:S&gt;10))</f>
        <v>79</v>
      </c>
      <c r="DK6" s="34"/>
    </row>
    <row r="7" spans="1:115" ht="39.950000000000003" hidden="1" customHeight="1" outlineLevel="1" x14ac:dyDescent="0.25">
      <c r="A7" s="92" t="s">
        <v>447</v>
      </c>
      <c r="B7" s="74"/>
      <c r="C7" s="70" t="s">
        <v>742</v>
      </c>
      <c r="D7" s="48">
        <f>+COUNTIFS('muddati otgan'!C:C,A7,'muddati otgan'!C:C,A7)</f>
        <v>3</v>
      </c>
      <c r="E7" s="10">
        <f>SUMIFS('muddati otgan'!$V:V,'muddati otgan'!$C:C,$A:A)</f>
        <v>0</v>
      </c>
      <c r="F7" s="10">
        <f>SUMIFS('muddati otgan'!$W:W,'muddati otgan'!$C:C,$A:A)</f>
        <v>0</v>
      </c>
      <c r="G7" s="24">
        <f>SUMIFS('muddati otgan'!$U:U,'muddati otgan'!$C:C,$A:A)</f>
        <v>3</v>
      </c>
      <c r="H7" s="11">
        <f>SUMIFS('muddati otgan'!$G:G,'muddati otgan'!$C:C,$A:A)</f>
        <v>3</v>
      </c>
      <c r="I7" s="12">
        <f>SUMIFS('muddati otgan'!$H:H,'muddati otgan'!$C:C,$A:A)</f>
        <v>0</v>
      </c>
      <c r="J7" s="44">
        <f t="shared" ref="J7:J19" si="6">K7+P7+Q7+R7+S7+T7+U7+V7+W7+L7+O7+M7+N7+X7</f>
        <v>0</v>
      </c>
      <c r="K7" s="11">
        <f>+COUNTIFS('muddati otgan'!C:C,A7,'muddati otgan'!AA:AA,"Arizani qabul qilish")</f>
        <v>0</v>
      </c>
      <c r="L7" s="11">
        <f>+COUNTIFS('muddati otgan'!C:C,A7,'muddati otgan'!J:J,"Arizani rad etish")</f>
        <v>0</v>
      </c>
      <c r="M7" s="11">
        <f>+COUNTIFS('muddati otgan'!C:C,A7,'muddati otgan'!J:J,"Arizani tasdiqlash")</f>
        <v>0</v>
      </c>
      <c r="N7" s="11">
        <f>+COUNTIFS('muddati otgan'!C:C,A7,'muddati otgan'!J:J,"Arizani yo'naltirish")</f>
        <v>0</v>
      </c>
      <c r="O7" s="11">
        <f>+COUNTIFS('muddati otgan'!C:C,A7,'muddati otgan'!J:J,"Rad qilish sababini o'rganish")</f>
        <v>0</v>
      </c>
      <c r="P7" s="11">
        <f>+COUNTIFS('muddati otgan'!C:C,A7,'muddati otgan'!J:J,"Ko'chmas mulkni UZKAD ga migratsiya qilish")</f>
        <v>0</v>
      </c>
      <c r="Q7" s="11">
        <f>+COUNTIFS('muddati otgan'!C:C,A7,'muddati otgan'!J:J,"Migratisya qilingan obyekt holatini tekshirish")</f>
        <v>0</v>
      </c>
      <c r="R7" s="11">
        <f>+COUNTIFS('muddati otgan'!C:C,A7,'muddati otgan'!J:J,"Ko‘chmas mulkni tanlash")</f>
        <v>0</v>
      </c>
      <c r="S7" s="11">
        <f>+COUNTIFS('muddati otgan'!C:C,A7,'muddati otgan'!J:J,"Arizani ko'rib chiqish")</f>
        <v>0</v>
      </c>
      <c r="T7" s="11">
        <f>+COUNTIFS('muddati otgan'!C:C,A7,'muddati otgan'!J:J,"Kadastr muhandisini tanlash")</f>
        <v>0</v>
      </c>
      <c r="U7" s="11">
        <f>+COUNTIFS('muddati otgan'!C:C,A7,'muddati otgan'!J:J,"Ko'chmas mulk turini tanlahsh")</f>
        <v>0</v>
      </c>
      <c r="V7" s="11">
        <f>+COUNTIFS('muddati otgan'!C:C,A7,'muddati otgan'!AA:AA,"Rad qilish")</f>
        <v>0</v>
      </c>
      <c r="W7" s="11">
        <f>+COUNTIFS('muddati otgan'!C:C,A7,'muddati otgan'!J:J,"ijrochi tanlash")</f>
        <v>0</v>
      </c>
      <c r="X7" s="11">
        <f>+COUNTIFS('muddati otgan'!C:C,A7,'muddati otgan'!J:J,"Ko'chmas mulk turini tanlash")</f>
        <v>0</v>
      </c>
      <c r="Y7" s="11">
        <f t="shared" ref="Y7:Y19" si="7">Z7+AD7+AF7+AE7+AC7+AB7+AA7</f>
        <v>0</v>
      </c>
      <c r="Z7" s="11">
        <f>+COUNTIFS('muddati otgan'!C:C,A7,'muddati otgan'!J:J,"Ijroga qabul qilish")</f>
        <v>0</v>
      </c>
      <c r="AA7" s="11">
        <f>+COUNTIFS('muddati otgan'!C:C,A7,'muddati otgan'!J:J,"Joyida o'rganish va ma'lumotlarni kiritish")</f>
        <v>0</v>
      </c>
      <c r="AB7" s="11">
        <f>+COUNTIFS('muddati otgan'!C:C,A7,'muddati otgan'!J:J,"Asosiy qismdan ajratish jarayonida")</f>
        <v>0</v>
      </c>
      <c r="AC7" s="11">
        <f>+COUNTIFS('muddati otgan'!C:C,A7,'muddati otgan'!J:J,"Umumiy foydalanishdagi obyekt yaratilish")</f>
        <v>0</v>
      </c>
      <c r="AD7" s="11">
        <f>+COUNTIFS('muddati otgan'!C:C,A7,'muddati otgan'!J:J,"Migratsiya qilinadigan kadastr raqamini kiritish")</f>
        <v>0</v>
      </c>
      <c r="AE7" s="11">
        <f>+COUNTIFS('muddati otgan'!C:C,A7,'muddati otgan'!J:J,"O'zida qolgan obyektni yaratish")</f>
        <v>0</v>
      </c>
      <c r="AF7" s="11">
        <f>+COUNTIFS('muddati otgan'!C:C,A7,'muddati otgan'!J:J,"O'lchov natijalarini kiritish")</f>
        <v>0</v>
      </c>
      <c r="AG7" s="11">
        <f>+COUNTIFS('muddati otgan'!C:C,A7,'muddati otgan'!J:J,"Topoxaritani tayyorlash (dwg, pdf)")</f>
        <v>0</v>
      </c>
      <c r="AH7" s="11">
        <f t="shared" ref="AH7:AH19" si="8">AI7</f>
        <v>0</v>
      </c>
      <c r="AI7" s="11">
        <f>+COUNTIFS('muddati otgan'!C:C,A7,'muddati otgan'!J:J,"Yer uchastkasini yaratish")</f>
        <v>0</v>
      </c>
      <c r="AJ7" s="11">
        <f t="shared" ref="AJ7:AJ19" si="9">AK7</f>
        <v>0</v>
      </c>
      <c r="AK7" s="11">
        <f>+COUNTIFS('muddati otgan'!C:C,A7,'muddati otgan'!J:J,"Kelishish (Boshqarma)")</f>
        <v>0</v>
      </c>
      <c r="AL7" s="11">
        <f t="shared" ref="AL7:AL19" si="10">AM7+AN7+AO7</f>
        <v>0</v>
      </c>
      <c r="AM7" s="11">
        <f>+COUNTIFS('muddati otgan'!C:C,A7,'muddati otgan'!J:J,"Kelishish (DKP)")</f>
        <v>0</v>
      </c>
      <c r="AN7" s="11">
        <f>+COUNTIFS('muddati otgan'!C:C,A7,'muddati otgan'!J:J,"Kelishish")</f>
        <v>0</v>
      </c>
      <c r="AO7" s="11">
        <f>+COUNTIFS('muddati otgan'!C:C,A7,'muddati otgan'!J:J,"Kelishish (Registratsiya DKP)")</f>
        <v>0</v>
      </c>
      <c r="AP7" s="11">
        <f t="shared" ref="AP7:AP19" si="11">AQ7+AR7+AS7+AT7</f>
        <v>0</v>
      </c>
      <c r="AQ7" s="11">
        <f>+COUNTIFS('muddati otgan'!C:C,A7,'muddati otgan'!J:J,"Manzil biriktirish")</f>
        <v>0</v>
      </c>
      <c r="AR7" s="11">
        <f>+COUNTIFS('muddati otgan'!C:C,A7,'muddati otgan'!J:J,"Bino va inshootlarni yaratish")</f>
        <v>0</v>
      </c>
      <c r="AS7" s="11">
        <f>+COUNTIFS('muddati otgan'!C:C,A7,'muddati otgan'!J:J,"Dov daraxtlarni yaratish")</f>
        <v>0</v>
      </c>
      <c r="AT7" s="11">
        <f>+COUNTIFS('muddati otgan'!C:C,A7,'muddati otgan'!J:J,"Yer uchastkasini tahrirlash")</f>
        <v>0</v>
      </c>
      <c r="AU7" s="11">
        <f t="shared" ref="AU7:AU19" si="12">AV7+AW7+AX7+AY7+AZ7</f>
        <v>0</v>
      </c>
      <c r="AV7" s="11">
        <f>+COUNTIFS('muddati otgan'!C:C,A7,'muddati otgan'!J:J,"Yer toifasi va maqsadini kiritish")</f>
        <v>0</v>
      </c>
      <c r="AW7" s="11">
        <f>+COUNTIFS('muddati otgan'!C:C,A7,'muddati otgan'!J:J,"Auksion yer tekshirish")</f>
        <v>0</v>
      </c>
      <c r="AX7" s="11">
        <f>+COUNTIFS('muddati otgan'!C:C,A7,'muddati otgan'!J:J,"Yer turlarini kiritish")</f>
        <v>0</v>
      </c>
      <c r="AY7" s="11">
        <f>+COUNTIFS('muddati otgan'!C:C,A7,'muddati otgan'!J:J,"Ma'lumotlarni kiritish")</f>
        <v>0</v>
      </c>
      <c r="AZ7" s="11">
        <f>+COUNTIFS('muddati otgan'!C:C,A7,'muddati otgan'!J:J,"Yer tekshirish")</f>
        <v>0</v>
      </c>
      <c r="BA7" s="11">
        <f t="shared" ref="BA7:BA19" si="13">BB7+BC7+BD7+BE7+BF7+BG7+BH7+BI7+BJ7+BK7</f>
        <v>0</v>
      </c>
      <c r="BB7" s="11">
        <f>+COUNTIFS('muddati otgan'!C:C,A7,'muddati otgan'!J:J,"Bino va inshoot ma'lumotlarini to‘ldirish")</f>
        <v>0</v>
      </c>
      <c r="BC7" s="11">
        <f>+COUNTIFS('muddati otgan'!C:C,A7,'muddati otgan'!J:J,"Inventarizatsiya ma'lumotlarini to‘ldirish")</f>
        <v>0</v>
      </c>
      <c r="BD7" s="11">
        <f>+COUNTIFS('muddati otgan'!C:C,A7,'muddati otgan'!J:J,"Yer uchastkasiga huquqiy hujjatlarni kiritsh")</f>
        <v>0</v>
      </c>
      <c r="BE7" s="11">
        <f>+COUNTIFS('muddati otgan'!C:C,A7,'muddati otgan'!J:J,"Bino-inshootlarga huquqiy hujjatlarni kiritsh")</f>
        <v>0</v>
      </c>
      <c r="BF7" s="11">
        <f>+COUNTIFS('muddati otgan'!C:C,A7,'muddati otgan'!J:J,"Kadastr qiymatini hisoblash va kiritish")</f>
        <v>0</v>
      </c>
      <c r="BG7" s="11">
        <f>+COUNTIFS('muddati otgan'!C:C,A7,'muddati otgan'!J:J,"Kadastr raqam biriktirish")</f>
        <v>0</v>
      </c>
      <c r="BH7" s="11">
        <f>+COUNTIFS('muddati otgan'!C:C,A7,'muddati otgan'!J:J,"Kadastr yig'ma jildni tayyorlash")</f>
        <v>0</v>
      </c>
      <c r="BI7" s="11">
        <f>+COUNTIFS('muddati otgan'!C:C,A7,'muddati otgan'!J:J,"Huquqni yaratish")</f>
        <v>0</v>
      </c>
      <c r="BJ7" s="11">
        <f>+COUNTIFS('muddati otgan'!C:C,A7,'muddati otgan'!J:J,"Hujjatlarni o'rganish")</f>
        <v>0</v>
      </c>
      <c r="BK7" s="11">
        <f>+COUNTIFS('muddati otgan'!C:C,A7,'muddati otgan'!J:J,"Ma'lumotlarni tekshirish")</f>
        <v>0</v>
      </c>
      <c r="BL7" s="11">
        <f t="shared" ref="BL7:BL19" si="14">BM7+BN7+BP7+BO7+BQ7</f>
        <v>0</v>
      </c>
      <c r="BM7" s="11">
        <f>+COUNTIFS('muddati otgan'!C:C,A7,'muddati otgan'!J:J,"Tekshirish")</f>
        <v>0</v>
      </c>
      <c r="BN7" s="11">
        <f>+COUNTIFS('muddati otgan'!C:C,A7,'muddati otgan'!J:J,"Hujjatlarni tekshirish")</f>
        <v>0</v>
      </c>
      <c r="BO7" s="11">
        <f>+COUNTIFS('muddati otgan'!C:C,A7,'muddati otgan'!J:J,"Tasdiqlash")</f>
        <v>0</v>
      </c>
      <c r="BP7" s="11">
        <f>+COUNTIFS('muddati otgan'!C:C,A7,'muddati otgan'!J:J,"tekshirish/tasdiqlash")</f>
        <v>0</v>
      </c>
      <c r="BQ7" s="11">
        <f>+COUNTIFS('muddati otgan'!C:C,A7,'muddati otgan'!J:J,"Ma'lumotlarni tasdiqlash")</f>
        <v>0</v>
      </c>
      <c r="BR7" s="11">
        <f t="shared" ref="BR7:BR19" si="15">BS7+BU7+BV7+BW7+BX7+BY7-BT7</f>
        <v>1</v>
      </c>
      <c r="BS7" s="11">
        <f>+COUNTIFS('muddati otgan'!C:C,A7,'muddati otgan'!J:J,"Ro'yxatdan o'tkazish ma'lumotlarini tekshirish")</f>
        <v>1</v>
      </c>
      <c r="BT7" s="11">
        <f>+COUNTIFS('muddati otgan'!C:C,A7,'muddati otgan'!J:J,"Kamchiliklar bo'yicha habarnoma yuborish va 3 kunga to'xtatish")</f>
        <v>0</v>
      </c>
      <c r="BU7" s="11">
        <f>+COUNTIFS('muddati otgan'!C:C,A7,'muddati otgan'!J:J,"Hisobga olish")</f>
        <v>0</v>
      </c>
      <c r="BV7" s="11">
        <f>+COUNTIFS('muddati otgan'!C:C,A7,'muddati otgan'!J:J,"Yer uchastkasiga huquq yaratish")</f>
        <v>0</v>
      </c>
      <c r="BW7" s="11">
        <f>+COUNTIFS('muddati otgan'!C:C,A7,'muddati otgan'!J:J,"Bino-inshootga huquq yaratish")</f>
        <v>0</v>
      </c>
      <c r="BX7" s="11">
        <f>+COUNTIFS('muddati otgan'!C:C,A7,'muddati otgan'!J:J,"Cheklov yaratish")</f>
        <v>0</v>
      </c>
      <c r="BY7" s="11">
        <f>+COUNTIFS('muddati otgan'!C:C,A7,'muddati otgan'!J:J,"Taqiq yaratish")</f>
        <v>0</v>
      </c>
      <c r="BZ7" s="11">
        <f t="shared" ref="BZ7:BZ19" si="16">CA7</f>
        <v>0</v>
      </c>
      <c r="CA7" s="11">
        <f>+COUNTIFS('muddati otgan'!C:C,A7,'muddati otgan'!J:J,"Soliq maydonini tekshirish")</f>
        <v>0</v>
      </c>
      <c r="CB7" s="11">
        <f t="shared" ref="CB7:CB19" si="17">CC7</f>
        <v>0</v>
      </c>
      <c r="CC7" s="11">
        <f>+COUNTIFS('muddati otgan'!C:C,A7,'muddati otgan'!J:J,"Kadastr yig'majildini shakllantirish")</f>
        <v>0</v>
      </c>
      <c r="CD7" s="11">
        <f t="shared" ref="CD7:CD19" si="18">CE7+CF7+CG7+CI7+CJ7+CH7</f>
        <v>0</v>
      </c>
      <c r="CE7" s="11">
        <f>+COUNTIFS('muddati otgan'!C:C,A7,'muddati otgan'!J:J,"Kadastr passportini shakllantirish")</f>
        <v>0</v>
      </c>
      <c r="CF7" s="11">
        <f>+COUNTIFS('muddati otgan'!C:C,A7,'muddati otgan'!J:J,"Yig'ma jildni tasdiqlash")</f>
        <v>0</v>
      </c>
      <c r="CG7" s="11">
        <f>+COUNTIFS('muddati otgan'!C:C,A7,'muddati otgan'!J:J,"To'lov yoki bepul tasdiqlash")</f>
        <v>0</v>
      </c>
      <c r="CH7" s="11">
        <f>+COUNTIFS('muddati otgan'!C:C,A7,'muddati otgan'!J:J,"Bog'liq arizani kutish")</f>
        <v>0</v>
      </c>
      <c r="CI7" s="11">
        <f>+COUNTIFS('muddati otgan'!C:C,A7,'muddati otgan'!J:J,"To'lovga chiqarish")</f>
        <v>0</v>
      </c>
      <c r="CJ7" s="11">
        <f>+COUNTIFS('muddati otgan'!C:C,A7,'muddati otgan'!J:J,"Hisobga qo'yish")</f>
        <v>0</v>
      </c>
      <c r="CK7" s="6">
        <f>+COUNTIFS('muddati otgan'!C:C,A7,'muddati otgan'!J:J,"To'lov kutilmoqda")</f>
        <v>2</v>
      </c>
      <c r="CL7" s="11">
        <f t="shared" ref="CL7:CL19" si="19">CM7+CN7+CO7+CP7+CQ7+CR7+CS7+CT7</f>
        <v>0</v>
      </c>
      <c r="CM7" s="11">
        <f>+COUNTIFS('muddati otgan'!C:C,A7,'muddati otgan'!AA:AA,"Arizani qabul qilish2")</f>
        <v>0</v>
      </c>
      <c r="CN7" s="11">
        <f>+COUNTIFS('muddati otgan'!C:C,A7,'muddati otgan'!J:J,"Huquqlarni tekshirish")</f>
        <v>0</v>
      </c>
      <c r="CO7" s="11">
        <f>+COUNTIFS('muddati otgan'!C:C,A7,'muddati otgan'!J:J,"Ko'chmas mulkni ro'yhatdan o'tkazishga qabul qilish")</f>
        <v>0</v>
      </c>
      <c r="CP7" s="11">
        <f>+COUNTIFS('muddati otgan'!C:C,A7,'muddati otgan'!J:J,"Ro'yxatdan o'tkazish")</f>
        <v>0</v>
      </c>
      <c r="CQ7" s="11">
        <f>+COUNTIFS('muddati otgan'!C:C,A7,'muddati otgan'!J:J,"Kadastr pasporti va ko'chirmani yuborish")</f>
        <v>0</v>
      </c>
      <c r="CR7" s="11">
        <f>+COUNTIFS('muddati otgan'!C:C,A7,'muddati otgan'!AA:AA,"Rad qilish2")</f>
        <v>0</v>
      </c>
      <c r="CS7" s="11">
        <f>+COUNTIFS('muddati otgan'!C:C,A7,'muddati otgan'!J:J,"Ko'chirmani yuborish")</f>
        <v>0</v>
      </c>
      <c r="CT7" s="11">
        <f>+COUNTIFS('muddati otgan'!C:C,A7,'muddati otgan'!J:J,"Ma‘lumotlarni tekshirish")</f>
        <v>0</v>
      </c>
      <c r="CU7" s="11">
        <f t="shared" ref="CU7:CU19" si="20">CV7</f>
        <v>0</v>
      </c>
      <c r="CV7" s="11">
        <f>+COUNTIFS('muddati otgan'!C:C,A7,'muddati otgan'!J:J,"Kadastr yig'majildini chop etish va arxiv ishiga tikish")</f>
        <v>0</v>
      </c>
      <c r="CW7" s="11">
        <f t="shared" ref="CW7:CW19" si="21">CX7+CY7</f>
        <v>0</v>
      </c>
      <c r="CX7" s="11">
        <f>+COUNTIFS('muddati otgan'!C:C,A7,'muddati otgan'!J:J,"Kadastr yig‘majildini qabul qilish, arizani yakunlash")</f>
        <v>0</v>
      </c>
      <c r="CY7" s="11">
        <f>+COUNTIFS('muddati otgan'!C:C,A7,'muddati otgan'!J:J,"Next Cloudga yuklash")</f>
        <v>0</v>
      </c>
      <c r="CZ7" s="6">
        <f>+COUNTIFS('muddati otgan'!C:C,A7,'muddati otgan'!J:J,"Kelishish kutilmoqda")</f>
        <v>0</v>
      </c>
      <c r="DA7" s="6">
        <f>+COUNTIFS('muddati otgan'!C:C,A7,'muddati otgan'!J:J,"Yakunlandi")</f>
        <v>0</v>
      </c>
      <c r="DB7" s="10">
        <f>+COUNTIFS('muddati otgan'!C:C,A7,'muddati otgan'!J:J,"Rad etildi")</f>
        <v>0</v>
      </c>
      <c r="DC7" s="100">
        <f t="shared" si="5"/>
        <v>-1</v>
      </c>
      <c r="DD7" s="44">
        <f>COUNTIFS('jami 1-20 kunlik arizalar'!C:C,A:A,'jami 1-20 kunlik arizalar'!S:S,"1")</f>
        <v>0</v>
      </c>
      <c r="DE7" s="11">
        <f>COUNTIFS('jami 1-20 kunlik arizalar'!C:C,A:A,'jami 1-20 kunlik arizalar'!S:S,"2")</f>
        <v>0</v>
      </c>
      <c r="DF7" s="11">
        <f>COUNTIFS('jami 1-20 kunlik arizalar'!C:C,A:A,'jami 1-20 kunlik arizalar'!S:S,"3")</f>
        <v>2</v>
      </c>
      <c r="DG7" s="11">
        <f>COUNTIFS('jami 1-20 kunlik arizalar'!C:C,A:A,'jami 1-20 kunlik arizalar'!S:S,"4")</f>
        <v>0</v>
      </c>
      <c r="DH7" s="11">
        <f>COUNTIFS('jami 1-20 kunlik arizalar'!C:C,A:A,'jami 1-20 kunlik arizalar'!S:S,"5")</f>
        <v>1</v>
      </c>
      <c r="DI7" s="11">
        <f>SUM(COUNTIFS('jami 1-20 kunlik arizalar'!C:C,A:A, 'jami 1-20 kunlik arizalar'!S:S, {6,7,8,9,10}))</f>
        <v>12</v>
      </c>
      <c r="DJ7" s="12">
        <f>SUM(COUNTIFS('jami 1-20 kunlik arizalar'!C:C,A:A, 'jami 1-20 kunlik arizalar'!S:S,"&gt;10"))</f>
        <v>8</v>
      </c>
    </row>
    <row r="8" spans="1:115" ht="39.950000000000003" hidden="1" customHeight="1" outlineLevel="1" x14ac:dyDescent="0.25">
      <c r="A8" s="92">
        <v>31207812190095</v>
      </c>
      <c r="B8" s="74"/>
      <c r="C8" s="70" t="s">
        <v>743</v>
      </c>
      <c r="D8" s="48">
        <f>+COUNTIFS('muddati otgan'!C:C,A8,'muddati otgan'!C:C,A8)</f>
        <v>0</v>
      </c>
      <c r="E8" s="10">
        <f>SUMIFS('muddati otgan'!$V:V,'muddati otgan'!$C:C,$A:A)</f>
        <v>0</v>
      </c>
      <c r="F8" s="10">
        <f>SUMIFS('muddati otgan'!$W:W,'muddati otgan'!$C:C,$A:A)</f>
        <v>0</v>
      </c>
      <c r="G8" s="24">
        <f>SUMIFS('muddati otgan'!$U:U,'muddati otgan'!$C:C,$A:A)</f>
        <v>0</v>
      </c>
      <c r="H8" s="11">
        <f>SUMIFS('muddati otgan'!$G:G,'muddati otgan'!$C:C,$A:A)</f>
        <v>0</v>
      </c>
      <c r="I8" s="12">
        <f>SUMIFS('muddati otgan'!$H:H,'muddati otgan'!$C:C,$A:A)</f>
        <v>0</v>
      </c>
      <c r="J8" s="44">
        <f t="shared" si="6"/>
        <v>0</v>
      </c>
      <c r="K8" s="11">
        <f>+COUNTIFS('muddati otgan'!C:C,A8,'muddati otgan'!AA:AA,"Arizani qabul qilish")</f>
        <v>0</v>
      </c>
      <c r="L8" s="11">
        <f>+COUNTIFS('muddati otgan'!C:C,A8,'muddati otgan'!J:J,"Arizani rad etish")</f>
        <v>0</v>
      </c>
      <c r="M8" s="11">
        <f>+COUNTIFS('muddati otgan'!C:C,A8,'muddati otgan'!J:J,"Arizani tasdiqlash")</f>
        <v>0</v>
      </c>
      <c r="N8" s="11">
        <f>+COUNTIFS('muddati otgan'!C:C,A8,'muddati otgan'!J:J,"Arizani yo'naltirish")</f>
        <v>0</v>
      </c>
      <c r="O8" s="11">
        <f>+COUNTIFS('muddati otgan'!C:C,A8,'muddati otgan'!J:J,"Rad qilish sababini o'rganish")</f>
        <v>0</v>
      </c>
      <c r="P8" s="11">
        <f>+COUNTIFS('muddati otgan'!C:C,A8,'muddati otgan'!J:J,"Ko'chmas mulkni UZKAD ga migratsiya qilish")</f>
        <v>0</v>
      </c>
      <c r="Q8" s="11">
        <f>+COUNTIFS('muddati otgan'!C:C,A8,'muddati otgan'!J:J,"Migratisya qilingan obyekt holatini tekshirish")</f>
        <v>0</v>
      </c>
      <c r="R8" s="11">
        <f>+COUNTIFS('muddati otgan'!C:C,A8,'muddati otgan'!J:J,"Ko‘chmas mulkni tanlash")</f>
        <v>0</v>
      </c>
      <c r="S8" s="11">
        <f>+COUNTIFS('muddati otgan'!C:C,A8,'muddati otgan'!J:J,"Arizani ko'rib chiqish")</f>
        <v>0</v>
      </c>
      <c r="T8" s="11">
        <f>+COUNTIFS('muddati otgan'!C:C,A8,'muddati otgan'!J:J,"Kadastr muhandisini tanlash")</f>
        <v>0</v>
      </c>
      <c r="U8" s="11">
        <f>+COUNTIFS('muddati otgan'!C:C,A8,'muddati otgan'!J:J,"Ko'chmas mulk turini tanlahsh")</f>
        <v>0</v>
      </c>
      <c r="V8" s="11">
        <f>+COUNTIFS('muddati otgan'!C:C,A8,'muddati otgan'!AA:AA,"Rad qilish")</f>
        <v>0</v>
      </c>
      <c r="W8" s="11">
        <f>+COUNTIFS('muddati otgan'!C:C,A8,'muddati otgan'!J:J,"ijrochi tanlash")</f>
        <v>0</v>
      </c>
      <c r="X8" s="11">
        <f>+COUNTIFS('muddati otgan'!C:C,A8,'muddati otgan'!J:J,"Ko'chmas mulk turini tanlash")</f>
        <v>0</v>
      </c>
      <c r="Y8" s="11">
        <f t="shared" si="7"/>
        <v>0</v>
      </c>
      <c r="Z8" s="11">
        <f>+COUNTIFS('muddati otgan'!C:C,A8,'muddati otgan'!J:J,"Ijroga qabul qilish")</f>
        <v>0</v>
      </c>
      <c r="AA8" s="11">
        <f>+COUNTIFS('muddati otgan'!C:C,A8,'muddati otgan'!J:J,"Joyida o'rganish va ma'lumotlarni kiritish")</f>
        <v>0</v>
      </c>
      <c r="AB8" s="11">
        <f>+COUNTIFS('muddati otgan'!C:C,A8,'muddati otgan'!J:J,"Asosiy qismdan ajratish jarayonida")</f>
        <v>0</v>
      </c>
      <c r="AC8" s="11">
        <f>+COUNTIFS('muddati otgan'!C:C,A8,'muddati otgan'!J:J,"Umumiy foydalanishdagi obyekt yaratilish")</f>
        <v>0</v>
      </c>
      <c r="AD8" s="11">
        <f>+COUNTIFS('muddati otgan'!C:C,A8,'muddati otgan'!J:J,"Migratsiya qilinadigan kadastr raqamini kiritish")</f>
        <v>0</v>
      </c>
      <c r="AE8" s="11">
        <f>+COUNTIFS('muddati otgan'!C:C,A8,'muddati otgan'!J:J,"O'zida qolgan obyektni yaratish")</f>
        <v>0</v>
      </c>
      <c r="AF8" s="11">
        <f>+COUNTIFS('muddati otgan'!C:C,A8,'muddati otgan'!J:J,"O'lchov natijalarini kiritish")</f>
        <v>0</v>
      </c>
      <c r="AG8" s="11">
        <f>+COUNTIFS('muddati otgan'!C:C,A8,'muddati otgan'!J:J,"Topoxaritani tayyorlash (dwg, pdf)")</f>
        <v>0</v>
      </c>
      <c r="AH8" s="11">
        <f t="shared" si="8"/>
        <v>0</v>
      </c>
      <c r="AI8" s="11">
        <f>+COUNTIFS('muddati otgan'!C:C,A8,'muddati otgan'!J:J,"Yer uchastkasini yaratish")</f>
        <v>0</v>
      </c>
      <c r="AJ8" s="11">
        <f t="shared" si="9"/>
        <v>0</v>
      </c>
      <c r="AK8" s="11">
        <f>+COUNTIFS('muddati otgan'!C:C,A8,'muddati otgan'!J:J,"Kelishish (Boshqarma)")</f>
        <v>0</v>
      </c>
      <c r="AL8" s="11">
        <f t="shared" si="10"/>
        <v>0</v>
      </c>
      <c r="AM8" s="11">
        <f>+COUNTIFS('muddati otgan'!C:C,A8,'muddati otgan'!J:J,"Kelishish (DKP)")</f>
        <v>0</v>
      </c>
      <c r="AN8" s="11">
        <f>+COUNTIFS('muddati otgan'!C:C,A8,'muddati otgan'!J:J,"Kelishish")</f>
        <v>0</v>
      </c>
      <c r="AO8" s="11">
        <f>+COUNTIFS('muddati otgan'!C:C,A8,'muddati otgan'!J:J,"Kelishish (Registratsiya DKP)")</f>
        <v>0</v>
      </c>
      <c r="AP8" s="11">
        <f t="shared" si="11"/>
        <v>0</v>
      </c>
      <c r="AQ8" s="11">
        <f>+COUNTIFS('muddati otgan'!C:C,A8,'muddati otgan'!J:J,"Manzil biriktirish")</f>
        <v>0</v>
      </c>
      <c r="AR8" s="11">
        <f>+COUNTIFS('muddati otgan'!C:C,A8,'muddati otgan'!J:J,"Bino va inshootlarni yaratish")</f>
        <v>0</v>
      </c>
      <c r="AS8" s="11">
        <f>+COUNTIFS('muddati otgan'!C:C,A8,'muddati otgan'!J:J,"Dov daraxtlarni yaratish")</f>
        <v>0</v>
      </c>
      <c r="AT8" s="11">
        <f>+COUNTIFS('muddati otgan'!C:C,A8,'muddati otgan'!J:J,"Yer uchastkasini tahrirlash")</f>
        <v>0</v>
      </c>
      <c r="AU8" s="11">
        <f t="shared" si="12"/>
        <v>0</v>
      </c>
      <c r="AV8" s="11">
        <f>+COUNTIFS('muddati otgan'!C:C,A8,'muddati otgan'!J:J,"Yer toifasi va maqsadini kiritish")</f>
        <v>0</v>
      </c>
      <c r="AW8" s="11">
        <f>+COUNTIFS('muddati otgan'!C:C,A8,'muddati otgan'!J:J,"Auksion yer tekshirish")</f>
        <v>0</v>
      </c>
      <c r="AX8" s="11">
        <f>+COUNTIFS('muddati otgan'!C:C,A8,'muddati otgan'!J:J,"Yer turlarini kiritish")</f>
        <v>0</v>
      </c>
      <c r="AY8" s="11">
        <f>+COUNTIFS('muddati otgan'!C:C,A8,'muddati otgan'!J:J,"Ma'lumotlarni kiritish")</f>
        <v>0</v>
      </c>
      <c r="AZ8" s="11">
        <f>+COUNTIFS('muddati otgan'!C:C,A8,'muddati otgan'!J:J,"Yer tekshirish")</f>
        <v>0</v>
      </c>
      <c r="BA8" s="11">
        <f t="shared" si="13"/>
        <v>0</v>
      </c>
      <c r="BB8" s="11">
        <f>+COUNTIFS('muddati otgan'!C:C,A8,'muddati otgan'!J:J,"Bino va inshoot ma'lumotlarini to‘ldirish")</f>
        <v>0</v>
      </c>
      <c r="BC8" s="11">
        <f>+COUNTIFS('muddati otgan'!C:C,A8,'muddati otgan'!J:J,"Inventarizatsiya ma'lumotlarini to‘ldirish")</f>
        <v>0</v>
      </c>
      <c r="BD8" s="11">
        <f>+COUNTIFS('muddati otgan'!C:C,A8,'muddati otgan'!J:J,"Yer uchastkasiga huquqiy hujjatlarni kiritsh")</f>
        <v>0</v>
      </c>
      <c r="BE8" s="11">
        <f>+COUNTIFS('muddati otgan'!C:C,A8,'muddati otgan'!J:J,"Bino-inshootlarga huquqiy hujjatlarni kiritsh")</f>
        <v>0</v>
      </c>
      <c r="BF8" s="11">
        <f>+COUNTIFS('muddati otgan'!C:C,A8,'muddati otgan'!J:J,"Kadastr qiymatini hisoblash va kiritish")</f>
        <v>0</v>
      </c>
      <c r="BG8" s="11">
        <f>+COUNTIFS('muddati otgan'!C:C,A8,'muddati otgan'!J:J,"Kadastr raqam biriktirish")</f>
        <v>0</v>
      </c>
      <c r="BH8" s="11">
        <f>+COUNTIFS('muddati otgan'!C:C,A8,'muddati otgan'!J:J,"Kadastr yig'ma jildni tayyorlash")</f>
        <v>0</v>
      </c>
      <c r="BI8" s="11">
        <f>+COUNTIFS('muddati otgan'!C:C,A8,'muddati otgan'!J:J,"Huquqni yaratish")</f>
        <v>0</v>
      </c>
      <c r="BJ8" s="11">
        <f>+COUNTIFS('muddati otgan'!C:C,A8,'muddati otgan'!J:J,"Hujjatlarni o'rganish")</f>
        <v>0</v>
      </c>
      <c r="BK8" s="11">
        <f>+COUNTIFS('muddati otgan'!C:C,A8,'muddati otgan'!J:J,"Ma'lumotlarni tekshirish")</f>
        <v>0</v>
      </c>
      <c r="BL8" s="11">
        <f t="shared" si="14"/>
        <v>0</v>
      </c>
      <c r="BM8" s="11">
        <f>+COUNTIFS('muddati otgan'!C:C,A8,'muddati otgan'!J:J,"Tekshirish")</f>
        <v>0</v>
      </c>
      <c r="BN8" s="11">
        <f>+COUNTIFS('muddati otgan'!C:C,A8,'muddati otgan'!J:J,"Hujjatlarni tekshirish")</f>
        <v>0</v>
      </c>
      <c r="BO8" s="11">
        <f>+COUNTIFS('muddati otgan'!C:C,A8,'muddati otgan'!J:J,"Tasdiqlash")</f>
        <v>0</v>
      </c>
      <c r="BP8" s="11">
        <f>+COUNTIFS('muddati otgan'!C:C,A8,'muddati otgan'!J:J,"tekshirish/tasdiqlash")</f>
        <v>0</v>
      </c>
      <c r="BQ8" s="11">
        <f>+COUNTIFS('muddati otgan'!C:C,A8,'muddati otgan'!J:J,"Ma'lumotlarni tasdiqlash")</f>
        <v>0</v>
      </c>
      <c r="BR8" s="11">
        <f t="shared" si="15"/>
        <v>0</v>
      </c>
      <c r="BS8" s="11">
        <f>+COUNTIFS('muddati otgan'!C:C,A8,'muddati otgan'!J:J,"Ro'yxatdan o'tkazish ma'lumotlarini tekshirish")</f>
        <v>0</v>
      </c>
      <c r="BT8" s="11">
        <f>+COUNTIFS('muddati otgan'!C:C,A8,'muddati otgan'!J:J,"Kamchiliklar bo'yicha habarnoma yuborish va 3 kunga to'xtatish")</f>
        <v>0</v>
      </c>
      <c r="BU8" s="11">
        <f>+COUNTIFS('muddati otgan'!C:C,A8,'muddati otgan'!J:J,"Hisobga olish")</f>
        <v>0</v>
      </c>
      <c r="BV8" s="11">
        <f>+COUNTIFS('muddati otgan'!C:C,A8,'muddati otgan'!J:J,"Yer uchastkasiga huquq yaratish")</f>
        <v>0</v>
      </c>
      <c r="BW8" s="11">
        <f>+COUNTIFS('muddati otgan'!C:C,A8,'muddati otgan'!J:J,"Bino-inshootga huquq yaratish")</f>
        <v>0</v>
      </c>
      <c r="BX8" s="11">
        <f>+COUNTIFS('muddati otgan'!C:C,A8,'muddati otgan'!J:J,"Cheklov yaratish")</f>
        <v>0</v>
      </c>
      <c r="BY8" s="11">
        <f>+COUNTIFS('muddati otgan'!C:C,A8,'muddati otgan'!J:J,"Taqiq yaratish")</f>
        <v>0</v>
      </c>
      <c r="BZ8" s="11">
        <f t="shared" si="16"/>
        <v>0</v>
      </c>
      <c r="CA8" s="11">
        <f>+COUNTIFS('muddati otgan'!C:C,A8,'muddati otgan'!J:J,"Soliq maydonini tekshirish")</f>
        <v>0</v>
      </c>
      <c r="CB8" s="11">
        <f t="shared" si="17"/>
        <v>0</v>
      </c>
      <c r="CC8" s="11">
        <f>+COUNTIFS('muddati otgan'!C:C,A8,'muddati otgan'!J:J,"Kadastr yig'majildini shakllantirish")</f>
        <v>0</v>
      </c>
      <c r="CD8" s="11">
        <f t="shared" si="18"/>
        <v>0</v>
      </c>
      <c r="CE8" s="11">
        <f>+COUNTIFS('muddati otgan'!C:C,A8,'muddati otgan'!J:J,"Kadastr passportini shakllantirish")</f>
        <v>0</v>
      </c>
      <c r="CF8" s="11">
        <f>+COUNTIFS('muddati otgan'!C:C,A8,'muddati otgan'!J:J,"Yig'ma jildni tasdiqlash")</f>
        <v>0</v>
      </c>
      <c r="CG8" s="11">
        <f>+COUNTIFS('muddati otgan'!C:C,A8,'muddati otgan'!J:J,"To'lov yoki bepul tasdiqlash")</f>
        <v>0</v>
      </c>
      <c r="CH8" s="11">
        <f>+COUNTIFS('muddati otgan'!C:C,A8,'muddati otgan'!J:J,"Bog'liq arizani kutish")</f>
        <v>0</v>
      </c>
      <c r="CI8" s="11">
        <f>+COUNTIFS('muddati otgan'!C:C,A8,'muddati otgan'!J:J,"To'lovga chiqarish")</f>
        <v>0</v>
      </c>
      <c r="CJ8" s="11">
        <f>+COUNTIFS('muddati otgan'!C:C,A8,'muddati otgan'!J:J,"Hisobga qo'yish")</f>
        <v>0</v>
      </c>
      <c r="CK8" s="6">
        <f>+COUNTIFS('muddati otgan'!C:C,A8,'muddati otgan'!J:J,"To'lov kutilmoqda")</f>
        <v>0</v>
      </c>
      <c r="CL8" s="11">
        <f t="shared" si="19"/>
        <v>0</v>
      </c>
      <c r="CM8" s="11">
        <f>+COUNTIFS('muddati otgan'!C:C,A8,'muddati otgan'!AA:AA,"Arizani qabul qilish2")</f>
        <v>0</v>
      </c>
      <c r="CN8" s="11">
        <f>+COUNTIFS('muddati otgan'!C:C,A8,'muddati otgan'!J:J,"Huquqlarni tekshirish")</f>
        <v>0</v>
      </c>
      <c r="CO8" s="11">
        <f>+COUNTIFS('muddati otgan'!C:C,A8,'muddati otgan'!J:J,"Ko'chmas mulkni ro'yhatdan o'tkazishga qabul qilish")</f>
        <v>0</v>
      </c>
      <c r="CP8" s="11">
        <f>+COUNTIFS('muddati otgan'!C:C,A8,'muddati otgan'!J:J,"Ro'yxatdan o'tkazish")</f>
        <v>0</v>
      </c>
      <c r="CQ8" s="11">
        <f>+COUNTIFS('muddati otgan'!C:C,A8,'muddati otgan'!J:J,"Kadastr pasporti va ko'chirmani yuborish")</f>
        <v>0</v>
      </c>
      <c r="CR8" s="11">
        <f>+COUNTIFS('muddati otgan'!C:C,A8,'muddati otgan'!AA:AA,"Rad qilish2")</f>
        <v>0</v>
      </c>
      <c r="CS8" s="11">
        <f>+COUNTIFS('muddati otgan'!C:C,A8,'muddati otgan'!J:J,"Ko'chirmani yuborish")</f>
        <v>0</v>
      </c>
      <c r="CT8" s="11">
        <f>+COUNTIFS('muddati otgan'!C:C,A8,'muddati otgan'!J:J,"Ma‘lumotlarni tekshirish")</f>
        <v>0</v>
      </c>
      <c r="CU8" s="11">
        <f t="shared" si="20"/>
        <v>0</v>
      </c>
      <c r="CV8" s="11">
        <f>+COUNTIFS('muddati otgan'!C:C,A8,'muddati otgan'!J:J,"Kadastr yig'majildini chop etish va arxiv ishiga tikish")</f>
        <v>0</v>
      </c>
      <c r="CW8" s="11">
        <f t="shared" si="21"/>
        <v>0</v>
      </c>
      <c r="CX8" s="11">
        <f>+COUNTIFS('muddati otgan'!C:C,A8,'muddati otgan'!J:J,"Kadastr yig‘majildini qabul qilish, arizani yakunlash")</f>
        <v>0</v>
      </c>
      <c r="CY8" s="11">
        <f>+COUNTIFS('muddati otgan'!C:C,A8,'muddati otgan'!J:J,"Next Cloudga yuklash")</f>
        <v>0</v>
      </c>
      <c r="CZ8" s="6">
        <f>+COUNTIFS('muddati otgan'!C:C,A8,'muddati otgan'!J:J,"Kelishish kutilmoqda")</f>
        <v>0</v>
      </c>
      <c r="DA8" s="6">
        <f>+COUNTIFS('muddati otgan'!C:C,A8,'muddati otgan'!J:J,"Yakunlandi")</f>
        <v>0</v>
      </c>
      <c r="DB8" s="10">
        <f>+COUNTIFS('muddati otgan'!C:C,A8,'muddati otgan'!J:J,"Rad etildi")</f>
        <v>0</v>
      </c>
      <c r="DC8" s="100">
        <f t="shared" si="5"/>
        <v>0</v>
      </c>
      <c r="DD8" s="44">
        <f>COUNTIFS('jami 1-20 kunlik arizalar'!C:C,A:A,'jami 1-20 kunlik arizalar'!S:S,"1")</f>
        <v>0</v>
      </c>
      <c r="DE8" s="11">
        <f>COUNTIFS('jami 1-20 kunlik arizalar'!C:C,A:A,'jami 1-20 kunlik arizalar'!S:S,"2")</f>
        <v>0</v>
      </c>
      <c r="DF8" s="11">
        <f>COUNTIFS('jami 1-20 kunlik arizalar'!C:C,A:A,'jami 1-20 kunlik arizalar'!S:S,"3")</f>
        <v>0</v>
      </c>
      <c r="DG8" s="11">
        <f>COUNTIFS('jami 1-20 kunlik arizalar'!C:C,A:A,'jami 1-20 kunlik arizalar'!S:S,"4")</f>
        <v>0</v>
      </c>
      <c r="DH8" s="11">
        <f>COUNTIFS('jami 1-20 kunlik arizalar'!C:C,A:A,'jami 1-20 kunlik arizalar'!S:S,"5")</f>
        <v>0</v>
      </c>
      <c r="DI8" s="11">
        <f>SUM(COUNTIFS('jami 1-20 kunlik arizalar'!C:C,A:A, 'jami 1-20 kunlik arizalar'!S:S, {6,7,8,9,10}))</f>
        <v>0</v>
      </c>
      <c r="DJ8" s="12">
        <f>SUM(COUNTIFS('jami 1-20 kunlik arizalar'!C:C,A:A, 'jami 1-20 kunlik arizalar'!S:S,"&gt;10"))</f>
        <v>0</v>
      </c>
    </row>
    <row r="9" spans="1:115" ht="39.950000000000003" hidden="1" customHeight="1" outlineLevel="1" x14ac:dyDescent="0.25">
      <c r="A9" s="92" t="s">
        <v>469</v>
      </c>
      <c r="B9" s="74"/>
      <c r="C9" s="70" t="s">
        <v>744</v>
      </c>
      <c r="D9" s="48">
        <f>+COUNTIFS('muddati otgan'!C:C,A9,'muddati otgan'!C:C,A9)</f>
        <v>4</v>
      </c>
      <c r="E9" s="10">
        <f>SUMIFS('muddati otgan'!$V:V,'muddati otgan'!$C:C,$A:A)</f>
        <v>0</v>
      </c>
      <c r="F9" s="10">
        <f>SUMIFS('muddati otgan'!$W:W,'muddati otgan'!$C:C,$A:A)</f>
        <v>0</v>
      </c>
      <c r="G9" s="24">
        <f>SUMIFS('muddati otgan'!$U:U,'muddati otgan'!$C:C,$A:A)</f>
        <v>4</v>
      </c>
      <c r="H9" s="11">
        <f>SUMIFS('muddati otgan'!$G:G,'muddati otgan'!$C:C,$A:A)</f>
        <v>2</v>
      </c>
      <c r="I9" s="12">
        <f>SUMIFS('muddati otgan'!$H:H,'muddati otgan'!$C:C,$A:A)</f>
        <v>2</v>
      </c>
      <c r="J9" s="44">
        <f t="shared" si="6"/>
        <v>0</v>
      </c>
      <c r="K9" s="11">
        <f>+COUNTIFS('muddati otgan'!C:C,A9,'muddati otgan'!AA:AA,"Arizani qabul qilish")</f>
        <v>0</v>
      </c>
      <c r="L9" s="11">
        <f>+COUNTIFS('muddati otgan'!C:C,A9,'muddati otgan'!J:J,"Arizani rad etish")</f>
        <v>0</v>
      </c>
      <c r="M9" s="11">
        <f>+COUNTIFS('muddati otgan'!C:C,A9,'muddati otgan'!J:J,"Arizani tasdiqlash")</f>
        <v>0</v>
      </c>
      <c r="N9" s="11">
        <f>+COUNTIFS('muddati otgan'!C:C,A9,'muddati otgan'!J:J,"Arizani yo'naltirish")</f>
        <v>0</v>
      </c>
      <c r="O9" s="11">
        <f>+COUNTIFS('muddati otgan'!C:C,A9,'muddati otgan'!J:J,"Rad qilish sababini o'rganish")</f>
        <v>0</v>
      </c>
      <c r="P9" s="11">
        <f>+COUNTIFS('muddati otgan'!C:C,A9,'muddati otgan'!J:J,"Ko'chmas mulkni UZKAD ga migratsiya qilish")</f>
        <v>0</v>
      </c>
      <c r="Q9" s="11">
        <f>+COUNTIFS('muddati otgan'!C:C,A9,'muddati otgan'!J:J,"Migratisya qilingan obyekt holatini tekshirish")</f>
        <v>0</v>
      </c>
      <c r="R9" s="11">
        <f>+COUNTIFS('muddati otgan'!C:C,A9,'muddati otgan'!J:J,"Ko‘chmas mulkni tanlash")</f>
        <v>0</v>
      </c>
      <c r="S9" s="11">
        <f>+COUNTIFS('muddati otgan'!C:C,A9,'muddati otgan'!J:J,"Arizani ko'rib chiqish")</f>
        <v>0</v>
      </c>
      <c r="T9" s="11">
        <f>+COUNTIFS('muddati otgan'!C:C,A9,'muddati otgan'!J:J,"Kadastr muhandisini tanlash")</f>
        <v>0</v>
      </c>
      <c r="U9" s="11">
        <f>+COUNTIFS('muddati otgan'!C:C,A9,'muddati otgan'!J:J,"Ko'chmas mulk turini tanlahsh")</f>
        <v>0</v>
      </c>
      <c r="V9" s="11">
        <f>+COUNTIFS('muddati otgan'!C:C,A9,'muddati otgan'!AA:AA,"Rad qilish")</f>
        <v>0</v>
      </c>
      <c r="W9" s="11">
        <f>+COUNTIFS('muddati otgan'!C:C,A9,'muddati otgan'!J:J,"ijrochi tanlash")</f>
        <v>0</v>
      </c>
      <c r="X9" s="11">
        <f>+COUNTIFS('muddati otgan'!C:C,A9,'muddati otgan'!J:J,"Ko'chmas mulk turini tanlash")</f>
        <v>0</v>
      </c>
      <c r="Y9" s="11">
        <f t="shared" si="7"/>
        <v>0</v>
      </c>
      <c r="Z9" s="11">
        <f>+COUNTIFS('muddati otgan'!C:C,A9,'muddati otgan'!J:J,"Ijroga qabul qilish")</f>
        <v>0</v>
      </c>
      <c r="AA9" s="11">
        <f>+COUNTIFS('muddati otgan'!C:C,A9,'muddati otgan'!J:J,"Joyida o'rganish va ma'lumotlarni kiritish")</f>
        <v>0</v>
      </c>
      <c r="AB9" s="11">
        <f>+COUNTIFS('muddati otgan'!C:C,A9,'muddati otgan'!J:J,"Asosiy qismdan ajratish jarayonida")</f>
        <v>0</v>
      </c>
      <c r="AC9" s="11">
        <f>+COUNTIFS('muddati otgan'!C:C,A9,'muddati otgan'!J:J,"Umumiy foydalanishdagi obyekt yaratilish")</f>
        <v>0</v>
      </c>
      <c r="AD9" s="11">
        <f>+COUNTIFS('muddati otgan'!C:C,A9,'muddati otgan'!J:J,"Migratsiya qilinadigan kadastr raqamini kiritish")</f>
        <v>0</v>
      </c>
      <c r="AE9" s="11">
        <f>+COUNTIFS('muddati otgan'!C:C,A9,'muddati otgan'!J:J,"O'zida qolgan obyektni yaratish")</f>
        <v>0</v>
      </c>
      <c r="AF9" s="11">
        <f>+COUNTIFS('muddati otgan'!C:C,A9,'muddati otgan'!J:J,"O'lchov natijalarini kiritish")</f>
        <v>0</v>
      </c>
      <c r="AG9" s="11">
        <f>+COUNTIFS('muddati otgan'!C:C,A9,'muddati otgan'!J:J,"Topoxaritani tayyorlash (dwg, pdf)")</f>
        <v>0</v>
      </c>
      <c r="AH9" s="11">
        <f t="shared" si="8"/>
        <v>0</v>
      </c>
      <c r="AI9" s="11">
        <f>+COUNTIFS('muddati otgan'!C:C,A9,'muddati otgan'!J:J,"Yer uchastkasini yaratish")</f>
        <v>0</v>
      </c>
      <c r="AJ9" s="11">
        <f t="shared" si="9"/>
        <v>0</v>
      </c>
      <c r="AK9" s="11">
        <f>+COUNTIFS('muddati otgan'!C:C,A9,'muddati otgan'!J:J,"Kelishish (Boshqarma)")</f>
        <v>0</v>
      </c>
      <c r="AL9" s="11">
        <f t="shared" si="10"/>
        <v>0</v>
      </c>
      <c r="AM9" s="11">
        <f>+COUNTIFS('muddati otgan'!C:C,A9,'muddati otgan'!J:J,"Kelishish (DKP)")</f>
        <v>0</v>
      </c>
      <c r="AN9" s="11">
        <f>+COUNTIFS('muddati otgan'!C:C,A9,'muddati otgan'!J:J,"Kelishish")</f>
        <v>0</v>
      </c>
      <c r="AO9" s="11">
        <f>+COUNTIFS('muddati otgan'!C:C,A9,'muddati otgan'!J:J,"Kelishish (Registratsiya DKP)")</f>
        <v>0</v>
      </c>
      <c r="AP9" s="11">
        <f t="shared" si="11"/>
        <v>0</v>
      </c>
      <c r="AQ9" s="11">
        <f>+COUNTIFS('muddati otgan'!C:C,A9,'muddati otgan'!J:J,"Manzil biriktirish")</f>
        <v>0</v>
      </c>
      <c r="AR9" s="11">
        <f>+COUNTIFS('muddati otgan'!C:C,A9,'muddati otgan'!J:J,"Bino va inshootlarni yaratish")</f>
        <v>0</v>
      </c>
      <c r="AS9" s="11">
        <f>+COUNTIFS('muddati otgan'!C:C,A9,'muddati otgan'!J:J,"Dov daraxtlarni yaratish")</f>
        <v>0</v>
      </c>
      <c r="AT9" s="11">
        <f>+COUNTIFS('muddati otgan'!C:C,A9,'muddati otgan'!J:J,"Yer uchastkasini tahrirlash")</f>
        <v>0</v>
      </c>
      <c r="AU9" s="11">
        <f t="shared" si="12"/>
        <v>0</v>
      </c>
      <c r="AV9" s="11">
        <f>+COUNTIFS('muddati otgan'!C:C,A9,'muddati otgan'!J:J,"Yer toifasi va maqsadini kiritish")</f>
        <v>0</v>
      </c>
      <c r="AW9" s="11">
        <f>+COUNTIFS('muddati otgan'!C:C,A9,'muddati otgan'!J:J,"Auksion yer tekshirish")</f>
        <v>0</v>
      </c>
      <c r="AX9" s="11">
        <f>+COUNTIFS('muddati otgan'!C:C,A9,'muddati otgan'!J:J,"Yer turlarini kiritish")</f>
        <v>0</v>
      </c>
      <c r="AY9" s="11">
        <f>+COUNTIFS('muddati otgan'!C:C,A9,'muddati otgan'!J:J,"Ma'lumotlarni kiritish")</f>
        <v>0</v>
      </c>
      <c r="AZ9" s="11">
        <f>+COUNTIFS('muddati otgan'!C:C,A9,'muddati otgan'!J:J,"Yer tekshirish")</f>
        <v>0</v>
      </c>
      <c r="BA9" s="11">
        <f t="shared" si="13"/>
        <v>0</v>
      </c>
      <c r="BB9" s="11">
        <f>+COUNTIFS('muddati otgan'!C:C,A9,'muddati otgan'!J:J,"Bino va inshoot ma'lumotlarini to‘ldirish")</f>
        <v>0</v>
      </c>
      <c r="BC9" s="11">
        <f>+COUNTIFS('muddati otgan'!C:C,A9,'muddati otgan'!J:J,"Inventarizatsiya ma'lumotlarini to‘ldirish")</f>
        <v>0</v>
      </c>
      <c r="BD9" s="11">
        <f>+COUNTIFS('muddati otgan'!C:C,A9,'muddati otgan'!J:J,"Yer uchastkasiga huquqiy hujjatlarni kiritsh")</f>
        <v>0</v>
      </c>
      <c r="BE9" s="11">
        <f>+COUNTIFS('muddati otgan'!C:C,A9,'muddati otgan'!J:J,"Bino-inshootlarga huquqiy hujjatlarni kiritsh")</f>
        <v>0</v>
      </c>
      <c r="BF9" s="11">
        <f>+COUNTIFS('muddati otgan'!C:C,A9,'muddati otgan'!J:J,"Kadastr qiymatini hisoblash va kiritish")</f>
        <v>0</v>
      </c>
      <c r="BG9" s="11">
        <f>+COUNTIFS('muddati otgan'!C:C,A9,'muddati otgan'!J:J,"Kadastr raqam biriktirish")</f>
        <v>0</v>
      </c>
      <c r="BH9" s="11">
        <f>+COUNTIFS('muddati otgan'!C:C,A9,'muddati otgan'!J:J,"Kadastr yig'ma jildni tayyorlash")</f>
        <v>0</v>
      </c>
      <c r="BI9" s="11">
        <f>+COUNTIFS('muddati otgan'!C:C,A9,'muddati otgan'!J:J,"Huquqni yaratish")</f>
        <v>0</v>
      </c>
      <c r="BJ9" s="11">
        <f>+COUNTIFS('muddati otgan'!C:C,A9,'muddati otgan'!J:J,"Hujjatlarni o'rganish")</f>
        <v>0</v>
      </c>
      <c r="BK9" s="11">
        <f>+COUNTIFS('muddati otgan'!C:C,A9,'muddati otgan'!J:J,"Ma'lumotlarni tekshirish")</f>
        <v>0</v>
      </c>
      <c r="BL9" s="11">
        <f t="shared" si="14"/>
        <v>0</v>
      </c>
      <c r="BM9" s="11">
        <f>+COUNTIFS('muddati otgan'!C:C,A9,'muddati otgan'!J:J,"Tekshirish")</f>
        <v>0</v>
      </c>
      <c r="BN9" s="11">
        <f>+COUNTIFS('muddati otgan'!C:C,A9,'muddati otgan'!J:J,"Hujjatlarni tekshirish")</f>
        <v>0</v>
      </c>
      <c r="BO9" s="11">
        <f>+COUNTIFS('muddati otgan'!C:C,A9,'muddati otgan'!J:J,"Tasdiqlash")</f>
        <v>0</v>
      </c>
      <c r="BP9" s="11">
        <f>+COUNTIFS('muddati otgan'!C:C,A9,'muddati otgan'!J:J,"tekshirish/tasdiqlash")</f>
        <v>0</v>
      </c>
      <c r="BQ9" s="11">
        <f>+COUNTIFS('muddati otgan'!C:C,A9,'muddati otgan'!J:J,"Ma'lumotlarni tasdiqlash")</f>
        <v>0</v>
      </c>
      <c r="BR9" s="11">
        <f t="shared" si="15"/>
        <v>0</v>
      </c>
      <c r="BS9" s="11">
        <f>+COUNTIFS('muddati otgan'!C:C,A9,'muddati otgan'!J:J,"Ro'yxatdan o'tkazish ma'lumotlarini tekshirish")</f>
        <v>0</v>
      </c>
      <c r="BT9" s="11">
        <f>+COUNTIFS('muddati otgan'!C:C,A9,'muddati otgan'!J:J,"Kamchiliklar bo'yicha habarnoma yuborish va 3 kunga to'xtatish")</f>
        <v>0</v>
      </c>
      <c r="BU9" s="11">
        <f>+COUNTIFS('muddati otgan'!C:C,A9,'muddati otgan'!J:J,"Hisobga olish")</f>
        <v>0</v>
      </c>
      <c r="BV9" s="11">
        <f>+COUNTIFS('muddati otgan'!C:C,A9,'muddati otgan'!J:J,"Yer uchastkasiga huquq yaratish")</f>
        <v>0</v>
      </c>
      <c r="BW9" s="11">
        <f>+COUNTIFS('muddati otgan'!C:C,A9,'muddati otgan'!J:J,"Bino-inshootga huquq yaratish")</f>
        <v>0</v>
      </c>
      <c r="BX9" s="11">
        <f>+COUNTIFS('muddati otgan'!C:C,A9,'muddati otgan'!J:J,"Cheklov yaratish")</f>
        <v>0</v>
      </c>
      <c r="BY9" s="11">
        <f>+COUNTIFS('muddati otgan'!C:C,A9,'muddati otgan'!J:J,"Taqiq yaratish")</f>
        <v>0</v>
      </c>
      <c r="BZ9" s="11">
        <f t="shared" si="16"/>
        <v>0</v>
      </c>
      <c r="CA9" s="11">
        <f>+COUNTIFS('muddati otgan'!C:C,A9,'muddati otgan'!J:J,"Soliq maydonini tekshirish")</f>
        <v>0</v>
      </c>
      <c r="CB9" s="11">
        <f t="shared" si="17"/>
        <v>0</v>
      </c>
      <c r="CC9" s="11">
        <f>+COUNTIFS('muddati otgan'!C:C,A9,'muddati otgan'!J:J,"Kadastr yig'majildini shakllantirish")</f>
        <v>0</v>
      </c>
      <c r="CD9" s="11">
        <f t="shared" si="18"/>
        <v>0</v>
      </c>
      <c r="CE9" s="11">
        <f>+COUNTIFS('muddati otgan'!C:C,A9,'muddati otgan'!J:J,"Kadastr passportini shakllantirish")</f>
        <v>0</v>
      </c>
      <c r="CF9" s="11">
        <f>+COUNTIFS('muddati otgan'!C:C,A9,'muddati otgan'!J:J,"Yig'ma jildni tasdiqlash")</f>
        <v>0</v>
      </c>
      <c r="CG9" s="11">
        <f>+COUNTIFS('muddati otgan'!C:C,A9,'muddati otgan'!J:J,"To'lov yoki bepul tasdiqlash")</f>
        <v>0</v>
      </c>
      <c r="CH9" s="11">
        <f>+COUNTIFS('muddati otgan'!C:C,A9,'muddati otgan'!J:J,"Bog'liq arizani kutish")</f>
        <v>0</v>
      </c>
      <c r="CI9" s="11">
        <f>+COUNTIFS('muddati otgan'!C:C,A9,'muddati otgan'!J:J,"To'lovga chiqarish")</f>
        <v>0</v>
      </c>
      <c r="CJ9" s="11">
        <f>+COUNTIFS('muddati otgan'!C:C,A9,'muddati otgan'!J:J,"Hisobga qo'yish")</f>
        <v>0</v>
      </c>
      <c r="CK9" s="6">
        <f>+COUNTIFS('muddati otgan'!C:C,A9,'muddati otgan'!J:J,"To'lov kutilmoqda")</f>
        <v>3</v>
      </c>
      <c r="CL9" s="11">
        <f t="shared" si="19"/>
        <v>0</v>
      </c>
      <c r="CM9" s="11">
        <f>+COUNTIFS('muddati otgan'!C:C,A9,'muddati otgan'!AA:AA,"Arizani qabul qilish2")</f>
        <v>0</v>
      </c>
      <c r="CN9" s="11">
        <f>+COUNTIFS('muddati otgan'!C:C,A9,'muddati otgan'!J:J,"Huquqlarni tekshirish")</f>
        <v>0</v>
      </c>
      <c r="CO9" s="11">
        <f>+COUNTIFS('muddati otgan'!C:C,A9,'muddati otgan'!J:J,"Ko'chmas mulkni ro'yhatdan o'tkazishga qabul qilish")</f>
        <v>0</v>
      </c>
      <c r="CP9" s="11">
        <f>+COUNTIFS('muddati otgan'!C:C,A9,'muddati otgan'!J:J,"Ro'yxatdan o'tkazish")</f>
        <v>0</v>
      </c>
      <c r="CQ9" s="11">
        <f>+COUNTIFS('muddati otgan'!C:C,A9,'muddati otgan'!J:J,"Kadastr pasporti va ko'chirmani yuborish")</f>
        <v>0</v>
      </c>
      <c r="CR9" s="11">
        <f>+COUNTIFS('muddati otgan'!C:C,A9,'muddati otgan'!AA:AA,"Rad qilish2")</f>
        <v>0</v>
      </c>
      <c r="CS9" s="11">
        <f>+COUNTIFS('muddati otgan'!C:C,A9,'muddati otgan'!J:J,"Ko'chirmani yuborish")</f>
        <v>0</v>
      </c>
      <c r="CT9" s="11">
        <f>+COUNTIFS('muddati otgan'!C:C,A9,'muddati otgan'!J:J,"Ma‘lumotlarni tekshirish")</f>
        <v>0</v>
      </c>
      <c r="CU9" s="11">
        <f t="shared" si="20"/>
        <v>0</v>
      </c>
      <c r="CV9" s="11">
        <f>+COUNTIFS('muddati otgan'!C:C,A9,'muddati otgan'!J:J,"Kadastr yig'majildini chop etish va arxiv ishiga tikish")</f>
        <v>0</v>
      </c>
      <c r="CW9" s="11">
        <f t="shared" si="21"/>
        <v>0</v>
      </c>
      <c r="CX9" s="11">
        <f>+COUNTIFS('muddati otgan'!C:C,A9,'muddati otgan'!J:J,"Kadastr yig‘majildini qabul qilish, arizani yakunlash")</f>
        <v>0</v>
      </c>
      <c r="CY9" s="11">
        <f>+COUNTIFS('muddati otgan'!C:C,A9,'muddati otgan'!J:J,"Next Cloudga yuklash")</f>
        <v>0</v>
      </c>
      <c r="CZ9" s="6">
        <f>+COUNTIFS('muddati otgan'!C:C,A9,'muddati otgan'!J:J,"Kelishish kutilmoqda")</f>
        <v>0</v>
      </c>
      <c r="DA9" s="6">
        <f>+COUNTIFS('muddati otgan'!C:C,A9,'muddati otgan'!J:J,"Yakunlandi")</f>
        <v>1</v>
      </c>
      <c r="DB9" s="10">
        <f>+COUNTIFS('muddati otgan'!C:C,A9,'muddati otgan'!J:J,"Rad etildi")</f>
        <v>0</v>
      </c>
      <c r="DC9" s="100">
        <f t="shared" si="5"/>
        <v>0</v>
      </c>
      <c r="DD9" s="44">
        <f>COUNTIFS('jami 1-20 kunlik arizalar'!C:C,A:A,'jami 1-20 kunlik arizalar'!S:S,"1")</f>
        <v>0</v>
      </c>
      <c r="DE9" s="11">
        <f>COUNTIFS('jami 1-20 kunlik arizalar'!C:C,A:A,'jami 1-20 kunlik arizalar'!S:S,"2")</f>
        <v>0</v>
      </c>
      <c r="DF9" s="11">
        <f>COUNTIFS('jami 1-20 kunlik arizalar'!C:C,A:A,'jami 1-20 kunlik arizalar'!S:S,"3")</f>
        <v>5</v>
      </c>
      <c r="DG9" s="11">
        <f>COUNTIFS('jami 1-20 kunlik arizalar'!C:C,A:A,'jami 1-20 kunlik arizalar'!S:S,"4")</f>
        <v>0</v>
      </c>
      <c r="DH9" s="11">
        <f>COUNTIFS('jami 1-20 kunlik arizalar'!C:C,A:A,'jami 1-20 kunlik arizalar'!S:S,"5")</f>
        <v>3</v>
      </c>
      <c r="DI9" s="11">
        <f>SUM(COUNTIFS('jami 1-20 kunlik arizalar'!C:C,A:A, 'jami 1-20 kunlik arizalar'!S:S, {6,7,8,9,10}))</f>
        <v>8</v>
      </c>
      <c r="DJ9" s="12">
        <f>SUM(COUNTIFS('jami 1-20 kunlik arizalar'!C:C,A:A, 'jami 1-20 kunlik arizalar'!S:S,"&gt;10"))</f>
        <v>8</v>
      </c>
    </row>
    <row r="10" spans="1:115" ht="39.950000000000003" hidden="1" customHeight="1" outlineLevel="1" x14ac:dyDescent="0.25">
      <c r="A10" s="92" t="s">
        <v>486</v>
      </c>
      <c r="B10" s="74"/>
      <c r="C10" s="70" t="s">
        <v>745</v>
      </c>
      <c r="D10" s="48">
        <f>+COUNTIFS('muddati otgan'!C:C,A10,'muddati otgan'!C:C,A10)</f>
        <v>3</v>
      </c>
      <c r="E10" s="10">
        <f>SUMIFS('muddati otgan'!$V:V,'muddati otgan'!$C:C,$A:A)</f>
        <v>0</v>
      </c>
      <c r="F10" s="10">
        <f>SUMIFS('muddati otgan'!$W:W,'muddati otgan'!$C:C,$A:A)</f>
        <v>0</v>
      </c>
      <c r="G10" s="24">
        <f>SUMIFS('muddati otgan'!$U:U,'muddati otgan'!$C:C,$A:A)</f>
        <v>3</v>
      </c>
      <c r="H10" s="11">
        <f>SUMIFS('muddati otgan'!$G:G,'muddati otgan'!$C:C,$A:A)</f>
        <v>1</v>
      </c>
      <c r="I10" s="12">
        <f>SUMIFS('muddati otgan'!$H:H,'muddati otgan'!$C:C,$A:A)</f>
        <v>2</v>
      </c>
      <c r="J10" s="44">
        <f t="shared" si="6"/>
        <v>0</v>
      </c>
      <c r="K10" s="11">
        <f>+COUNTIFS('muddati otgan'!C:C,A10,'muddati otgan'!AA:AA,"Arizani qabul qilish")</f>
        <v>0</v>
      </c>
      <c r="L10" s="11">
        <f>+COUNTIFS('muddati otgan'!C:C,A10,'muddati otgan'!J:J,"Arizani rad etish")</f>
        <v>0</v>
      </c>
      <c r="M10" s="11">
        <f>+COUNTIFS('muddati otgan'!C:C,A10,'muddati otgan'!J:J,"Arizani tasdiqlash")</f>
        <v>0</v>
      </c>
      <c r="N10" s="11">
        <f>+COUNTIFS('muddati otgan'!C:C,A10,'muddati otgan'!J:J,"Arizani yo'naltirish")</f>
        <v>0</v>
      </c>
      <c r="O10" s="11">
        <f>+COUNTIFS('muddati otgan'!C:C,A10,'muddati otgan'!J:J,"Rad qilish sababini o'rganish")</f>
        <v>0</v>
      </c>
      <c r="P10" s="11">
        <f>+COUNTIFS('muddati otgan'!C:C,A10,'muddati otgan'!J:J,"Ko'chmas mulkni UZKAD ga migratsiya qilish")</f>
        <v>0</v>
      </c>
      <c r="Q10" s="11">
        <f>+COUNTIFS('muddati otgan'!C:C,A10,'muddati otgan'!J:J,"Migratisya qilingan obyekt holatini tekshirish")</f>
        <v>0</v>
      </c>
      <c r="R10" s="11">
        <f>+COUNTIFS('muddati otgan'!C:C,A10,'muddati otgan'!J:J,"Ko‘chmas mulkni tanlash")</f>
        <v>0</v>
      </c>
      <c r="S10" s="11">
        <f>+COUNTIFS('muddati otgan'!C:C,A10,'muddati otgan'!J:J,"Arizani ko'rib chiqish")</f>
        <v>0</v>
      </c>
      <c r="T10" s="11">
        <f>+COUNTIFS('muddati otgan'!C:C,A10,'muddati otgan'!J:J,"Kadastr muhandisini tanlash")</f>
        <v>0</v>
      </c>
      <c r="U10" s="11">
        <f>+COUNTIFS('muddati otgan'!C:C,A10,'muddati otgan'!J:J,"Ko'chmas mulk turini tanlahsh")</f>
        <v>0</v>
      </c>
      <c r="V10" s="11">
        <f>+COUNTIFS('muddati otgan'!C:C,A10,'muddati otgan'!AA:AA,"Rad qilish")</f>
        <v>0</v>
      </c>
      <c r="W10" s="11">
        <f>+COUNTIFS('muddati otgan'!C:C,A10,'muddati otgan'!J:J,"ijrochi tanlash")</f>
        <v>0</v>
      </c>
      <c r="X10" s="11">
        <f>+COUNTIFS('muddati otgan'!C:C,A10,'muddati otgan'!J:J,"Ko'chmas mulk turini tanlash")</f>
        <v>0</v>
      </c>
      <c r="Y10" s="11">
        <f t="shared" si="7"/>
        <v>0</v>
      </c>
      <c r="Z10" s="11">
        <f>+COUNTIFS('muddati otgan'!C:C,A10,'muddati otgan'!J:J,"Ijroga qabul qilish")</f>
        <v>0</v>
      </c>
      <c r="AA10" s="11">
        <f>+COUNTIFS('muddati otgan'!C:C,A10,'muddati otgan'!J:J,"Joyida o'rganish va ma'lumotlarni kiritish")</f>
        <v>0</v>
      </c>
      <c r="AB10" s="11">
        <f>+COUNTIFS('muddati otgan'!C:C,A10,'muddati otgan'!J:J,"Asosiy qismdan ajratish jarayonida")</f>
        <v>0</v>
      </c>
      <c r="AC10" s="11">
        <f>+COUNTIFS('muddati otgan'!C:C,A10,'muddati otgan'!J:J,"Umumiy foydalanishdagi obyekt yaratilish")</f>
        <v>0</v>
      </c>
      <c r="AD10" s="11">
        <f>+COUNTIFS('muddati otgan'!C:C,A10,'muddati otgan'!J:J,"Migratsiya qilinadigan kadastr raqamini kiritish")</f>
        <v>0</v>
      </c>
      <c r="AE10" s="11">
        <f>+COUNTIFS('muddati otgan'!C:C,A10,'muddati otgan'!J:J,"O'zida qolgan obyektni yaratish")</f>
        <v>0</v>
      </c>
      <c r="AF10" s="11">
        <f>+COUNTIFS('muddati otgan'!C:C,A10,'muddati otgan'!J:J,"O'lchov natijalarini kiritish")</f>
        <v>0</v>
      </c>
      <c r="AG10" s="11">
        <f>+COUNTIFS('muddati otgan'!C:C,A10,'muddati otgan'!J:J,"Topoxaritani tayyorlash (dwg, pdf)")</f>
        <v>0</v>
      </c>
      <c r="AH10" s="11">
        <f t="shared" si="8"/>
        <v>0</v>
      </c>
      <c r="AI10" s="11">
        <f>+COUNTIFS('muddati otgan'!C:C,A10,'muddati otgan'!J:J,"Yer uchastkasini yaratish")</f>
        <v>0</v>
      </c>
      <c r="AJ10" s="11">
        <f t="shared" si="9"/>
        <v>0</v>
      </c>
      <c r="AK10" s="11">
        <f>+COUNTIFS('muddati otgan'!C:C,A10,'muddati otgan'!J:J,"Kelishish (Boshqarma)")</f>
        <v>0</v>
      </c>
      <c r="AL10" s="11">
        <f t="shared" si="10"/>
        <v>0</v>
      </c>
      <c r="AM10" s="11">
        <f>+COUNTIFS('muddati otgan'!C:C,A10,'muddati otgan'!J:J,"Kelishish (DKP)")</f>
        <v>0</v>
      </c>
      <c r="AN10" s="11">
        <f>+COUNTIFS('muddati otgan'!C:C,A10,'muddati otgan'!J:J,"Kelishish")</f>
        <v>0</v>
      </c>
      <c r="AO10" s="11">
        <f>+COUNTIFS('muddati otgan'!C:C,A10,'muddati otgan'!J:J,"Kelishish (Registratsiya DKP)")</f>
        <v>0</v>
      </c>
      <c r="AP10" s="11">
        <f t="shared" si="11"/>
        <v>0</v>
      </c>
      <c r="AQ10" s="11">
        <f>+COUNTIFS('muddati otgan'!C:C,A10,'muddati otgan'!J:J,"Manzil biriktirish")</f>
        <v>0</v>
      </c>
      <c r="AR10" s="11">
        <f>+COUNTIFS('muddati otgan'!C:C,A10,'muddati otgan'!J:J,"Bino va inshootlarni yaratish")</f>
        <v>0</v>
      </c>
      <c r="AS10" s="11">
        <f>+COUNTIFS('muddati otgan'!C:C,A10,'muddati otgan'!J:J,"Dov daraxtlarni yaratish")</f>
        <v>0</v>
      </c>
      <c r="AT10" s="11">
        <f>+COUNTIFS('muddati otgan'!C:C,A10,'muddati otgan'!J:J,"Yer uchastkasini tahrirlash")</f>
        <v>0</v>
      </c>
      <c r="AU10" s="11">
        <f t="shared" si="12"/>
        <v>0</v>
      </c>
      <c r="AV10" s="11">
        <f>+COUNTIFS('muddati otgan'!C:C,A10,'muddati otgan'!J:J,"Yer toifasi va maqsadini kiritish")</f>
        <v>0</v>
      </c>
      <c r="AW10" s="11">
        <f>+COUNTIFS('muddati otgan'!C:C,A10,'muddati otgan'!J:J,"Auksion yer tekshirish")</f>
        <v>0</v>
      </c>
      <c r="AX10" s="11">
        <f>+COUNTIFS('muddati otgan'!C:C,A10,'muddati otgan'!J:J,"Yer turlarini kiritish")</f>
        <v>0</v>
      </c>
      <c r="AY10" s="11">
        <f>+COUNTIFS('muddati otgan'!C:C,A10,'muddati otgan'!J:J,"Ma'lumotlarni kiritish")</f>
        <v>0</v>
      </c>
      <c r="AZ10" s="11">
        <f>+COUNTIFS('muddati otgan'!C:C,A10,'muddati otgan'!J:J,"Yer tekshirish")</f>
        <v>0</v>
      </c>
      <c r="BA10" s="11">
        <f t="shared" si="13"/>
        <v>0</v>
      </c>
      <c r="BB10" s="11">
        <f>+COUNTIFS('muddati otgan'!C:C,A10,'muddati otgan'!J:J,"Bino va inshoot ma'lumotlarini to‘ldirish")</f>
        <v>0</v>
      </c>
      <c r="BC10" s="11">
        <f>+COUNTIFS('muddati otgan'!C:C,A10,'muddati otgan'!J:J,"Inventarizatsiya ma'lumotlarini to‘ldirish")</f>
        <v>0</v>
      </c>
      <c r="BD10" s="11">
        <f>+COUNTIFS('muddati otgan'!C:C,A10,'muddati otgan'!J:J,"Yer uchastkasiga huquqiy hujjatlarni kiritsh")</f>
        <v>0</v>
      </c>
      <c r="BE10" s="11">
        <f>+COUNTIFS('muddati otgan'!C:C,A10,'muddati otgan'!J:J,"Bino-inshootlarga huquqiy hujjatlarni kiritsh")</f>
        <v>0</v>
      </c>
      <c r="BF10" s="11">
        <f>+COUNTIFS('muddati otgan'!C:C,A10,'muddati otgan'!J:J,"Kadastr qiymatini hisoblash va kiritish")</f>
        <v>0</v>
      </c>
      <c r="BG10" s="11">
        <f>+COUNTIFS('muddati otgan'!C:C,A10,'muddati otgan'!J:J,"Kadastr raqam biriktirish")</f>
        <v>0</v>
      </c>
      <c r="BH10" s="11">
        <f>+COUNTIFS('muddati otgan'!C:C,A10,'muddati otgan'!J:J,"Kadastr yig'ma jildni tayyorlash")</f>
        <v>0</v>
      </c>
      <c r="BI10" s="11">
        <f>+COUNTIFS('muddati otgan'!C:C,A10,'muddati otgan'!J:J,"Huquqni yaratish")</f>
        <v>0</v>
      </c>
      <c r="BJ10" s="11">
        <f>+COUNTIFS('muddati otgan'!C:C,A10,'muddati otgan'!J:J,"Hujjatlarni o'rganish")</f>
        <v>0</v>
      </c>
      <c r="BK10" s="11">
        <f>+COUNTIFS('muddati otgan'!C:C,A10,'muddati otgan'!J:J,"Ma'lumotlarni tekshirish")</f>
        <v>0</v>
      </c>
      <c r="BL10" s="11">
        <f t="shared" si="14"/>
        <v>0</v>
      </c>
      <c r="BM10" s="11">
        <f>+COUNTIFS('muddati otgan'!C:C,A10,'muddati otgan'!J:J,"Tekshirish")</f>
        <v>0</v>
      </c>
      <c r="BN10" s="11">
        <f>+COUNTIFS('muddati otgan'!C:C,A10,'muddati otgan'!J:J,"Hujjatlarni tekshirish")</f>
        <v>0</v>
      </c>
      <c r="BO10" s="11">
        <f>+COUNTIFS('muddati otgan'!C:C,A10,'muddati otgan'!J:J,"Tasdiqlash")</f>
        <v>0</v>
      </c>
      <c r="BP10" s="11">
        <f>+COUNTIFS('muddati otgan'!C:C,A10,'muddati otgan'!J:J,"tekshirish/tasdiqlash")</f>
        <v>0</v>
      </c>
      <c r="BQ10" s="11">
        <f>+COUNTIFS('muddati otgan'!C:C,A10,'muddati otgan'!J:J,"Ma'lumotlarni tasdiqlash")</f>
        <v>0</v>
      </c>
      <c r="BR10" s="11">
        <f t="shared" si="15"/>
        <v>0</v>
      </c>
      <c r="BS10" s="11">
        <f>+COUNTIFS('muddati otgan'!C:C,A10,'muddati otgan'!J:J,"Ro'yxatdan o'tkazish ma'lumotlarini tekshirish")</f>
        <v>0</v>
      </c>
      <c r="BT10" s="11">
        <f>+COUNTIFS('muddati otgan'!C:C,A10,'muddati otgan'!J:J,"Kamchiliklar bo'yicha habarnoma yuborish va 3 kunga to'xtatish")</f>
        <v>0</v>
      </c>
      <c r="BU10" s="11">
        <f>+COUNTIFS('muddati otgan'!C:C,A10,'muddati otgan'!J:J,"Hisobga olish")</f>
        <v>0</v>
      </c>
      <c r="BV10" s="11">
        <f>+COUNTIFS('muddati otgan'!C:C,A10,'muddati otgan'!J:J,"Yer uchastkasiga huquq yaratish")</f>
        <v>0</v>
      </c>
      <c r="BW10" s="11">
        <f>+COUNTIFS('muddati otgan'!C:C,A10,'muddati otgan'!J:J,"Bino-inshootga huquq yaratish")</f>
        <v>0</v>
      </c>
      <c r="BX10" s="11">
        <f>+COUNTIFS('muddati otgan'!C:C,A10,'muddati otgan'!J:J,"Cheklov yaratish")</f>
        <v>0</v>
      </c>
      <c r="BY10" s="11">
        <f>+COUNTIFS('muddati otgan'!C:C,A10,'muddati otgan'!J:J,"Taqiq yaratish")</f>
        <v>0</v>
      </c>
      <c r="BZ10" s="11">
        <f t="shared" si="16"/>
        <v>0</v>
      </c>
      <c r="CA10" s="11">
        <f>+COUNTIFS('muddati otgan'!C:C,A10,'muddati otgan'!J:J,"Soliq maydonini tekshirish")</f>
        <v>0</v>
      </c>
      <c r="CB10" s="11">
        <f t="shared" si="17"/>
        <v>0</v>
      </c>
      <c r="CC10" s="11">
        <f>+COUNTIFS('muddati otgan'!C:C,A10,'muddati otgan'!J:J,"Kadastr yig'majildini shakllantirish")</f>
        <v>0</v>
      </c>
      <c r="CD10" s="11">
        <f t="shared" si="18"/>
        <v>0</v>
      </c>
      <c r="CE10" s="11">
        <f>+COUNTIFS('muddati otgan'!C:C,A10,'muddati otgan'!J:J,"Kadastr passportini shakllantirish")</f>
        <v>0</v>
      </c>
      <c r="CF10" s="11">
        <f>+COUNTIFS('muddati otgan'!C:C,A10,'muddati otgan'!J:J,"Yig'ma jildni tasdiqlash")</f>
        <v>0</v>
      </c>
      <c r="CG10" s="11">
        <f>+COUNTIFS('muddati otgan'!C:C,A10,'muddati otgan'!J:J,"To'lov yoki bepul tasdiqlash")</f>
        <v>0</v>
      </c>
      <c r="CH10" s="11">
        <f>+COUNTIFS('muddati otgan'!C:C,A10,'muddati otgan'!J:J,"Bog'liq arizani kutish")</f>
        <v>0</v>
      </c>
      <c r="CI10" s="11">
        <f>+COUNTIFS('muddati otgan'!C:C,A10,'muddati otgan'!J:J,"To'lovga chiqarish")</f>
        <v>0</v>
      </c>
      <c r="CJ10" s="11">
        <f>+COUNTIFS('muddati otgan'!C:C,A10,'muddati otgan'!J:J,"Hisobga qo'yish")</f>
        <v>0</v>
      </c>
      <c r="CK10" s="6">
        <f>+COUNTIFS('muddati otgan'!C:C,A10,'muddati otgan'!J:J,"To'lov kutilmoqda")</f>
        <v>1</v>
      </c>
      <c r="CL10" s="11">
        <f t="shared" si="19"/>
        <v>0</v>
      </c>
      <c r="CM10" s="11">
        <f>+COUNTIFS('muddati otgan'!C:C,A10,'muddati otgan'!AA:AA,"Arizani qabul qilish2")</f>
        <v>0</v>
      </c>
      <c r="CN10" s="11">
        <f>+COUNTIFS('muddati otgan'!C:C,A10,'muddati otgan'!J:J,"Huquqlarni tekshirish")</f>
        <v>0</v>
      </c>
      <c r="CO10" s="11">
        <f>+COUNTIFS('muddati otgan'!C:C,A10,'muddati otgan'!J:J,"Ko'chmas mulkni ro'yhatdan o'tkazishga qabul qilish")</f>
        <v>0</v>
      </c>
      <c r="CP10" s="11">
        <f>+COUNTIFS('muddati otgan'!C:C,A10,'muddati otgan'!J:J,"Ro'yxatdan o'tkazish")</f>
        <v>0</v>
      </c>
      <c r="CQ10" s="11">
        <f>+COUNTIFS('muddati otgan'!C:C,A10,'muddati otgan'!J:J,"Kadastr pasporti va ko'chirmani yuborish")</f>
        <v>0</v>
      </c>
      <c r="CR10" s="11">
        <f>+COUNTIFS('muddati otgan'!C:C,A10,'muddati otgan'!AA:AA,"Rad qilish2")</f>
        <v>0</v>
      </c>
      <c r="CS10" s="11">
        <f>+COUNTIFS('muddati otgan'!C:C,A10,'muddati otgan'!J:J,"Ko'chirmani yuborish")</f>
        <v>0</v>
      </c>
      <c r="CT10" s="11">
        <f>+COUNTIFS('muddati otgan'!C:C,A10,'muddati otgan'!J:J,"Ma‘lumotlarni tekshirish")</f>
        <v>0</v>
      </c>
      <c r="CU10" s="11">
        <f t="shared" si="20"/>
        <v>0</v>
      </c>
      <c r="CV10" s="11">
        <f>+COUNTIFS('muddati otgan'!C:C,A10,'muddati otgan'!J:J,"Kadastr yig'majildini chop etish va arxiv ishiga tikish")</f>
        <v>0</v>
      </c>
      <c r="CW10" s="11">
        <f t="shared" si="21"/>
        <v>0</v>
      </c>
      <c r="CX10" s="11">
        <f>+COUNTIFS('muddati otgan'!C:C,A10,'muddati otgan'!J:J,"Kadastr yig‘majildini qabul qilish, arizani yakunlash")</f>
        <v>0</v>
      </c>
      <c r="CY10" s="11">
        <f>+COUNTIFS('muddati otgan'!C:C,A10,'muddati otgan'!J:J,"Next Cloudga yuklash")</f>
        <v>0</v>
      </c>
      <c r="CZ10" s="6">
        <f>+COUNTIFS('muddati otgan'!C:C,A10,'muddati otgan'!J:J,"Kelishish kutilmoqda")</f>
        <v>0</v>
      </c>
      <c r="DA10" s="6">
        <f>+COUNTIFS('muddati otgan'!C:C,A10,'muddati otgan'!J:J,"Yakunlandi")</f>
        <v>2</v>
      </c>
      <c r="DB10" s="10">
        <f>+COUNTIFS('muddati otgan'!C:C,A10,'muddati otgan'!J:J,"Rad etildi")</f>
        <v>0</v>
      </c>
      <c r="DC10" s="100">
        <f t="shared" si="5"/>
        <v>0</v>
      </c>
      <c r="DD10" s="44">
        <f>COUNTIFS('jami 1-20 kunlik arizalar'!C:C,A:A,'jami 1-20 kunlik arizalar'!S:S,"1")</f>
        <v>0</v>
      </c>
      <c r="DE10" s="11">
        <f>COUNTIFS('jami 1-20 kunlik arizalar'!C:C,A:A,'jami 1-20 kunlik arizalar'!S:S,"2")</f>
        <v>0</v>
      </c>
      <c r="DF10" s="11">
        <f>COUNTIFS('jami 1-20 kunlik arizalar'!C:C,A:A,'jami 1-20 kunlik arizalar'!S:S,"3")</f>
        <v>0</v>
      </c>
      <c r="DG10" s="11">
        <f>COUNTIFS('jami 1-20 kunlik arizalar'!C:C,A:A,'jami 1-20 kunlik arizalar'!S:S,"4")</f>
        <v>1</v>
      </c>
      <c r="DH10" s="11">
        <f>COUNTIFS('jami 1-20 kunlik arizalar'!C:C,A:A,'jami 1-20 kunlik arizalar'!S:S,"5")</f>
        <v>1</v>
      </c>
      <c r="DI10" s="11">
        <f>SUM(COUNTIFS('jami 1-20 kunlik arizalar'!C:C,A:A, 'jami 1-20 kunlik arizalar'!S:S, {6,7,8,9,10}))</f>
        <v>3</v>
      </c>
      <c r="DJ10" s="12">
        <f>SUM(COUNTIFS('jami 1-20 kunlik arizalar'!C:C,A:A, 'jami 1-20 kunlik arizalar'!S:S,"&gt;10"))</f>
        <v>10</v>
      </c>
    </row>
    <row r="11" spans="1:115" ht="39.950000000000003" hidden="1" customHeight="1" outlineLevel="1" x14ac:dyDescent="0.25">
      <c r="A11" s="92" t="s">
        <v>559</v>
      </c>
      <c r="B11" s="74"/>
      <c r="C11" s="70" t="s">
        <v>746</v>
      </c>
      <c r="D11" s="48">
        <f>+COUNTIFS('muddati otgan'!C:C,A11,'muddati otgan'!C:C,A11)</f>
        <v>0</v>
      </c>
      <c r="E11" s="10">
        <f>SUMIFS('muddati otgan'!$V:V,'muddati otgan'!$C:C,$A:A)</f>
        <v>0</v>
      </c>
      <c r="F11" s="10">
        <f>SUMIFS('muddati otgan'!$W:W,'muddati otgan'!$C:C,$A:A)</f>
        <v>0</v>
      </c>
      <c r="G11" s="24">
        <f>SUMIFS('muddati otgan'!$U:U,'muddati otgan'!$C:C,$A:A)</f>
        <v>0</v>
      </c>
      <c r="H11" s="11">
        <f>SUMIFS('muddati otgan'!$G:G,'muddati otgan'!$C:C,$A:A)</f>
        <v>0</v>
      </c>
      <c r="I11" s="12">
        <f>SUMIFS('muddati otgan'!$H:H,'muddati otgan'!$C:C,$A:A)</f>
        <v>0</v>
      </c>
      <c r="J11" s="44">
        <f t="shared" si="6"/>
        <v>0</v>
      </c>
      <c r="K11" s="11">
        <f>+COUNTIFS('muddati otgan'!C:C,A11,'muddati otgan'!AA:AA,"Arizani qabul qilish")</f>
        <v>0</v>
      </c>
      <c r="L11" s="11">
        <f>+COUNTIFS('muddati otgan'!C:C,A11,'muddati otgan'!J:J,"Arizani rad etish")</f>
        <v>0</v>
      </c>
      <c r="M11" s="11">
        <f>+COUNTIFS('muddati otgan'!C:C,A11,'muddati otgan'!J:J,"Arizani tasdiqlash")</f>
        <v>0</v>
      </c>
      <c r="N11" s="11">
        <f>+COUNTIFS('muddati otgan'!C:C,A11,'muddati otgan'!J:J,"Arizani yo'naltirish")</f>
        <v>0</v>
      </c>
      <c r="O11" s="11">
        <f>+COUNTIFS('muddati otgan'!C:C,A11,'muddati otgan'!J:J,"Rad qilish sababini o'rganish")</f>
        <v>0</v>
      </c>
      <c r="P11" s="11">
        <f>+COUNTIFS('muddati otgan'!C:C,A11,'muddati otgan'!J:J,"Ko'chmas mulkni UZKAD ga migratsiya qilish")</f>
        <v>0</v>
      </c>
      <c r="Q11" s="11">
        <f>+COUNTIFS('muddati otgan'!C:C,A11,'muddati otgan'!J:J,"Migratisya qilingan obyekt holatini tekshirish")</f>
        <v>0</v>
      </c>
      <c r="R11" s="11">
        <f>+COUNTIFS('muddati otgan'!C:C,A11,'muddati otgan'!J:J,"Ko‘chmas mulkni tanlash")</f>
        <v>0</v>
      </c>
      <c r="S11" s="11">
        <f>+COUNTIFS('muddati otgan'!C:C,A11,'muddati otgan'!J:J,"Arizani ko'rib chiqish")</f>
        <v>0</v>
      </c>
      <c r="T11" s="11">
        <f>+COUNTIFS('muddati otgan'!C:C,A11,'muddati otgan'!J:J,"Kadastr muhandisini tanlash")</f>
        <v>0</v>
      </c>
      <c r="U11" s="11">
        <f>+COUNTIFS('muddati otgan'!C:C,A11,'muddati otgan'!J:J,"Ko'chmas mulk turini tanlahsh")</f>
        <v>0</v>
      </c>
      <c r="V11" s="11">
        <f>+COUNTIFS('muddati otgan'!C:C,A11,'muddati otgan'!AA:AA,"Rad qilish")</f>
        <v>0</v>
      </c>
      <c r="W11" s="11">
        <f>+COUNTIFS('muddati otgan'!C:C,A11,'muddati otgan'!J:J,"ijrochi tanlash")</f>
        <v>0</v>
      </c>
      <c r="X11" s="11">
        <f>+COUNTIFS('muddati otgan'!C:C,A11,'muddati otgan'!J:J,"Ko'chmas mulk turini tanlash")</f>
        <v>0</v>
      </c>
      <c r="Y11" s="11">
        <f t="shared" si="7"/>
        <v>0</v>
      </c>
      <c r="Z11" s="11">
        <f>+COUNTIFS('muddati otgan'!C:C,A11,'muddati otgan'!J:J,"Ijroga qabul qilish")</f>
        <v>0</v>
      </c>
      <c r="AA11" s="11">
        <f>+COUNTIFS('muddati otgan'!C:C,A11,'muddati otgan'!J:J,"Joyida o'rganish va ma'lumotlarni kiritish")</f>
        <v>0</v>
      </c>
      <c r="AB11" s="11">
        <f>+COUNTIFS('muddati otgan'!C:C,A11,'muddati otgan'!J:J,"Asosiy qismdan ajratish jarayonida")</f>
        <v>0</v>
      </c>
      <c r="AC11" s="11">
        <f>+COUNTIFS('muddati otgan'!C:C,A11,'muddati otgan'!J:J,"Umumiy foydalanishdagi obyekt yaratilish")</f>
        <v>0</v>
      </c>
      <c r="AD11" s="11">
        <f>+COUNTIFS('muddati otgan'!C:C,A11,'muddati otgan'!J:J,"Migratsiya qilinadigan kadastr raqamini kiritish")</f>
        <v>0</v>
      </c>
      <c r="AE11" s="11">
        <f>+COUNTIFS('muddati otgan'!C:C,A11,'muddati otgan'!J:J,"O'zida qolgan obyektni yaratish")</f>
        <v>0</v>
      </c>
      <c r="AF11" s="11">
        <f>+COUNTIFS('muddati otgan'!C:C,A11,'muddati otgan'!J:J,"O'lchov natijalarini kiritish")</f>
        <v>0</v>
      </c>
      <c r="AG11" s="11">
        <f>+COUNTIFS('muddati otgan'!C:C,A11,'muddati otgan'!J:J,"Topoxaritani tayyorlash (dwg, pdf)")</f>
        <v>0</v>
      </c>
      <c r="AH11" s="11">
        <f t="shared" si="8"/>
        <v>0</v>
      </c>
      <c r="AI11" s="11">
        <f>+COUNTIFS('muddati otgan'!C:C,A11,'muddati otgan'!J:J,"Yer uchastkasini yaratish")</f>
        <v>0</v>
      </c>
      <c r="AJ11" s="11">
        <f t="shared" si="9"/>
        <v>0</v>
      </c>
      <c r="AK11" s="11">
        <f>+COUNTIFS('muddati otgan'!C:C,A11,'muddati otgan'!J:J,"Kelishish (Boshqarma)")</f>
        <v>0</v>
      </c>
      <c r="AL11" s="11">
        <f t="shared" si="10"/>
        <v>0</v>
      </c>
      <c r="AM11" s="11">
        <f>+COUNTIFS('muddati otgan'!C:C,A11,'muddati otgan'!J:J,"Kelishish (DKP)")</f>
        <v>0</v>
      </c>
      <c r="AN11" s="11">
        <f>+COUNTIFS('muddati otgan'!C:C,A11,'muddati otgan'!J:J,"Kelishish")</f>
        <v>0</v>
      </c>
      <c r="AO11" s="11">
        <f>+COUNTIFS('muddati otgan'!C:C,A11,'muddati otgan'!J:J,"Kelishish (Registratsiya DKP)")</f>
        <v>0</v>
      </c>
      <c r="AP11" s="11">
        <f t="shared" si="11"/>
        <v>0</v>
      </c>
      <c r="AQ11" s="11">
        <f>+COUNTIFS('muddati otgan'!C:C,A11,'muddati otgan'!J:J,"Manzil biriktirish")</f>
        <v>0</v>
      </c>
      <c r="AR11" s="11">
        <f>+COUNTIFS('muddati otgan'!C:C,A11,'muddati otgan'!J:J,"Bino va inshootlarni yaratish")</f>
        <v>0</v>
      </c>
      <c r="AS11" s="11">
        <f>+COUNTIFS('muddati otgan'!C:C,A11,'muddati otgan'!J:J,"Dov daraxtlarni yaratish")</f>
        <v>0</v>
      </c>
      <c r="AT11" s="11">
        <f>+COUNTIFS('muddati otgan'!C:C,A11,'muddati otgan'!J:J,"Yer uchastkasini tahrirlash")</f>
        <v>0</v>
      </c>
      <c r="AU11" s="11">
        <f t="shared" si="12"/>
        <v>0</v>
      </c>
      <c r="AV11" s="11">
        <f>+COUNTIFS('muddati otgan'!C:C,A11,'muddati otgan'!J:J,"Yer toifasi va maqsadini kiritish")</f>
        <v>0</v>
      </c>
      <c r="AW11" s="11">
        <f>+COUNTIFS('muddati otgan'!C:C,A11,'muddati otgan'!J:J,"Auksion yer tekshirish")</f>
        <v>0</v>
      </c>
      <c r="AX11" s="11">
        <f>+COUNTIFS('muddati otgan'!C:C,A11,'muddati otgan'!J:J,"Yer turlarini kiritish")</f>
        <v>0</v>
      </c>
      <c r="AY11" s="11">
        <f>+COUNTIFS('muddati otgan'!C:C,A11,'muddati otgan'!J:J,"Ma'lumotlarni kiritish")</f>
        <v>0</v>
      </c>
      <c r="AZ11" s="11">
        <f>+COUNTIFS('muddati otgan'!C:C,A11,'muddati otgan'!J:J,"Yer tekshirish")</f>
        <v>0</v>
      </c>
      <c r="BA11" s="11">
        <f t="shared" si="13"/>
        <v>0</v>
      </c>
      <c r="BB11" s="11">
        <f>+COUNTIFS('muddati otgan'!C:C,A11,'muddati otgan'!J:J,"Bino va inshoot ma'lumotlarini to‘ldirish")</f>
        <v>0</v>
      </c>
      <c r="BC11" s="11">
        <f>+COUNTIFS('muddati otgan'!C:C,A11,'muddati otgan'!J:J,"Inventarizatsiya ma'lumotlarini to‘ldirish")</f>
        <v>0</v>
      </c>
      <c r="BD11" s="11">
        <f>+COUNTIFS('muddati otgan'!C:C,A11,'muddati otgan'!J:J,"Yer uchastkasiga huquqiy hujjatlarni kiritsh")</f>
        <v>0</v>
      </c>
      <c r="BE11" s="11">
        <f>+COUNTIFS('muddati otgan'!C:C,A11,'muddati otgan'!J:J,"Bino-inshootlarga huquqiy hujjatlarni kiritsh")</f>
        <v>0</v>
      </c>
      <c r="BF11" s="11">
        <f>+COUNTIFS('muddati otgan'!C:C,A11,'muddati otgan'!J:J,"Kadastr qiymatini hisoblash va kiritish")</f>
        <v>0</v>
      </c>
      <c r="BG11" s="11">
        <f>+COUNTIFS('muddati otgan'!C:C,A11,'muddati otgan'!J:J,"Kadastr raqam biriktirish")</f>
        <v>0</v>
      </c>
      <c r="BH11" s="11">
        <f>+COUNTIFS('muddati otgan'!C:C,A11,'muddati otgan'!J:J,"Kadastr yig'ma jildni tayyorlash")</f>
        <v>0</v>
      </c>
      <c r="BI11" s="11">
        <f>+COUNTIFS('muddati otgan'!C:C,A11,'muddati otgan'!J:J,"Huquqni yaratish")</f>
        <v>0</v>
      </c>
      <c r="BJ11" s="11">
        <f>+COUNTIFS('muddati otgan'!C:C,A11,'muddati otgan'!J:J,"Hujjatlarni o'rganish")</f>
        <v>0</v>
      </c>
      <c r="BK11" s="11">
        <f>+COUNTIFS('muddati otgan'!C:C,A11,'muddati otgan'!J:J,"Ma'lumotlarni tekshirish")</f>
        <v>0</v>
      </c>
      <c r="BL11" s="11">
        <f t="shared" si="14"/>
        <v>0</v>
      </c>
      <c r="BM11" s="11">
        <f>+COUNTIFS('muddati otgan'!C:C,A11,'muddati otgan'!J:J,"Tekshirish")</f>
        <v>0</v>
      </c>
      <c r="BN11" s="11">
        <f>+COUNTIFS('muddati otgan'!C:C,A11,'muddati otgan'!J:J,"Hujjatlarni tekshirish")</f>
        <v>0</v>
      </c>
      <c r="BO11" s="11">
        <f>+COUNTIFS('muddati otgan'!C:C,A11,'muddati otgan'!J:J,"Tasdiqlash")</f>
        <v>0</v>
      </c>
      <c r="BP11" s="11">
        <f>+COUNTIFS('muddati otgan'!C:C,A11,'muddati otgan'!J:J,"tekshirish/tasdiqlash")</f>
        <v>0</v>
      </c>
      <c r="BQ11" s="11">
        <f>+COUNTIFS('muddati otgan'!C:C,A11,'muddati otgan'!J:J,"Ma'lumotlarni tasdiqlash")</f>
        <v>0</v>
      </c>
      <c r="BR11" s="11">
        <f t="shared" si="15"/>
        <v>0</v>
      </c>
      <c r="BS11" s="11">
        <f>+COUNTIFS('muddati otgan'!C:C,A11,'muddati otgan'!J:J,"Ro'yxatdan o'tkazish ma'lumotlarini tekshirish")</f>
        <v>0</v>
      </c>
      <c r="BT11" s="11">
        <f>+COUNTIFS('muddati otgan'!C:C,A11,'muddati otgan'!J:J,"Kamchiliklar bo'yicha habarnoma yuborish va 3 kunga to'xtatish")</f>
        <v>0</v>
      </c>
      <c r="BU11" s="11">
        <f>+COUNTIFS('muddati otgan'!C:C,A11,'muddati otgan'!J:J,"Hisobga olish")</f>
        <v>0</v>
      </c>
      <c r="BV11" s="11">
        <f>+COUNTIFS('muddati otgan'!C:C,A11,'muddati otgan'!J:J,"Yer uchastkasiga huquq yaratish")</f>
        <v>0</v>
      </c>
      <c r="BW11" s="11">
        <f>+COUNTIFS('muddati otgan'!C:C,A11,'muddati otgan'!J:J,"Bino-inshootga huquq yaratish")</f>
        <v>0</v>
      </c>
      <c r="BX11" s="11">
        <f>+COUNTIFS('muddati otgan'!C:C,A11,'muddati otgan'!J:J,"Cheklov yaratish")</f>
        <v>0</v>
      </c>
      <c r="BY11" s="11">
        <f>+COUNTIFS('muddati otgan'!C:C,A11,'muddati otgan'!J:J,"Taqiq yaratish")</f>
        <v>0</v>
      </c>
      <c r="BZ11" s="11">
        <f t="shared" si="16"/>
        <v>0</v>
      </c>
      <c r="CA11" s="11">
        <f>+COUNTIFS('muddati otgan'!C:C,A11,'muddati otgan'!J:J,"Soliq maydonini tekshirish")</f>
        <v>0</v>
      </c>
      <c r="CB11" s="11">
        <f t="shared" si="17"/>
        <v>0</v>
      </c>
      <c r="CC11" s="11">
        <f>+COUNTIFS('muddati otgan'!C:C,A11,'muddati otgan'!J:J,"Kadastr yig'majildini shakllantirish")</f>
        <v>0</v>
      </c>
      <c r="CD11" s="11">
        <f t="shared" si="18"/>
        <v>0</v>
      </c>
      <c r="CE11" s="11">
        <f>+COUNTIFS('muddati otgan'!C:C,A11,'muddati otgan'!J:J,"Kadastr passportini shakllantirish")</f>
        <v>0</v>
      </c>
      <c r="CF11" s="11">
        <f>+COUNTIFS('muddati otgan'!C:C,A11,'muddati otgan'!J:J,"Yig'ma jildni tasdiqlash")</f>
        <v>0</v>
      </c>
      <c r="CG11" s="11">
        <f>+COUNTIFS('muddati otgan'!C:C,A11,'muddati otgan'!J:J,"To'lov yoki bepul tasdiqlash")</f>
        <v>0</v>
      </c>
      <c r="CH11" s="11">
        <f>+COUNTIFS('muddati otgan'!C:C,A11,'muddati otgan'!J:J,"Bog'liq arizani kutish")</f>
        <v>0</v>
      </c>
      <c r="CI11" s="11">
        <f>+COUNTIFS('muddati otgan'!C:C,A11,'muddati otgan'!J:J,"To'lovga chiqarish")</f>
        <v>0</v>
      </c>
      <c r="CJ11" s="11">
        <f>+COUNTIFS('muddati otgan'!C:C,A11,'muddati otgan'!J:J,"Hisobga qo'yish")</f>
        <v>0</v>
      </c>
      <c r="CK11" s="6">
        <f>+COUNTIFS('muddati otgan'!C:C,A11,'muddati otgan'!J:J,"To'lov kutilmoqda")</f>
        <v>0</v>
      </c>
      <c r="CL11" s="11">
        <f t="shared" si="19"/>
        <v>0</v>
      </c>
      <c r="CM11" s="11">
        <f>+COUNTIFS('muddati otgan'!C:C,A11,'muddati otgan'!AA:AA,"Arizani qabul qilish2")</f>
        <v>0</v>
      </c>
      <c r="CN11" s="11">
        <f>+COUNTIFS('muddati otgan'!C:C,A11,'muddati otgan'!J:J,"Huquqlarni tekshirish")</f>
        <v>0</v>
      </c>
      <c r="CO11" s="11">
        <f>+COUNTIFS('muddati otgan'!C:C,A11,'muddati otgan'!J:J,"Ko'chmas mulkni ro'yhatdan o'tkazishga qabul qilish")</f>
        <v>0</v>
      </c>
      <c r="CP11" s="11">
        <f>+COUNTIFS('muddati otgan'!C:C,A11,'muddati otgan'!J:J,"Ro'yxatdan o'tkazish")</f>
        <v>0</v>
      </c>
      <c r="CQ11" s="11">
        <f>+COUNTIFS('muddati otgan'!C:C,A11,'muddati otgan'!J:J,"Kadastr pasporti va ko'chirmani yuborish")</f>
        <v>0</v>
      </c>
      <c r="CR11" s="11">
        <f>+COUNTIFS('muddati otgan'!C:C,A11,'muddati otgan'!AA:AA,"Rad qilish2")</f>
        <v>0</v>
      </c>
      <c r="CS11" s="11">
        <f>+COUNTIFS('muddati otgan'!C:C,A11,'muddati otgan'!J:J,"Ko'chirmani yuborish")</f>
        <v>0</v>
      </c>
      <c r="CT11" s="11">
        <f>+COUNTIFS('muddati otgan'!C:C,A11,'muddati otgan'!J:J,"Ma‘lumotlarni tekshirish")</f>
        <v>0</v>
      </c>
      <c r="CU11" s="11">
        <f t="shared" si="20"/>
        <v>0</v>
      </c>
      <c r="CV11" s="11">
        <f>+COUNTIFS('muddati otgan'!C:C,A11,'muddati otgan'!J:J,"Kadastr yig'majildini chop etish va arxiv ishiga tikish")</f>
        <v>0</v>
      </c>
      <c r="CW11" s="11">
        <f t="shared" si="21"/>
        <v>0</v>
      </c>
      <c r="CX11" s="11">
        <f>+COUNTIFS('muddati otgan'!C:C,A11,'muddati otgan'!J:J,"Kadastr yig‘majildini qabul qilish, arizani yakunlash")</f>
        <v>0</v>
      </c>
      <c r="CY11" s="11">
        <f>+COUNTIFS('muddati otgan'!C:C,A11,'muddati otgan'!J:J,"Next Cloudga yuklash")</f>
        <v>0</v>
      </c>
      <c r="CZ11" s="6">
        <f>+COUNTIFS('muddati otgan'!C:C,A11,'muddati otgan'!J:J,"Kelishish kutilmoqda")</f>
        <v>0</v>
      </c>
      <c r="DA11" s="6">
        <f>+COUNTIFS('muddati otgan'!C:C,A11,'muddati otgan'!J:J,"Yakunlandi")</f>
        <v>0</v>
      </c>
      <c r="DB11" s="10">
        <f>+COUNTIFS('muddati otgan'!C:C,A11,'muddati otgan'!J:J,"Rad etildi")</f>
        <v>0</v>
      </c>
      <c r="DC11" s="100">
        <f t="shared" si="5"/>
        <v>0</v>
      </c>
      <c r="DD11" s="44">
        <f>COUNTIFS('jami 1-20 kunlik arizalar'!C:C,A:A,'jami 1-20 kunlik arizalar'!S:S,"1")</f>
        <v>0</v>
      </c>
      <c r="DE11" s="11">
        <f>COUNTIFS('jami 1-20 kunlik arizalar'!C:C,A:A,'jami 1-20 kunlik arizalar'!S:S,"2")</f>
        <v>0</v>
      </c>
      <c r="DF11" s="11">
        <f>COUNTIFS('jami 1-20 kunlik arizalar'!C:C,A:A,'jami 1-20 kunlik arizalar'!S:S,"3")</f>
        <v>1</v>
      </c>
      <c r="DG11" s="11">
        <f>COUNTIFS('jami 1-20 kunlik arizalar'!C:C,A:A,'jami 1-20 kunlik arizalar'!S:S,"4")</f>
        <v>0</v>
      </c>
      <c r="DH11" s="11">
        <f>COUNTIFS('jami 1-20 kunlik arizalar'!C:C,A:A,'jami 1-20 kunlik arizalar'!S:S,"5")</f>
        <v>0</v>
      </c>
      <c r="DI11" s="11">
        <f>SUM(COUNTIFS('jami 1-20 kunlik arizalar'!C:C,A:A, 'jami 1-20 kunlik arizalar'!S:S, {6,7,8,9,10}))</f>
        <v>8</v>
      </c>
      <c r="DJ11" s="12">
        <f>SUM(COUNTIFS('jami 1-20 kunlik arizalar'!C:C,A:A, 'jami 1-20 kunlik arizalar'!S:S,"&gt;10"))</f>
        <v>4</v>
      </c>
    </row>
    <row r="12" spans="1:115" ht="39.950000000000003" hidden="1" customHeight="1" outlineLevel="1" x14ac:dyDescent="0.25">
      <c r="A12" s="92" t="s">
        <v>536</v>
      </c>
      <c r="B12" s="74"/>
      <c r="C12" s="70" t="s">
        <v>747</v>
      </c>
      <c r="D12" s="48">
        <f>+COUNTIFS('muddati otgan'!C:C,A12,'muddati otgan'!C:C,A12)</f>
        <v>0</v>
      </c>
      <c r="E12" s="10">
        <f>SUMIFS('muddati otgan'!$V:V,'muddati otgan'!$C:C,$A:A)</f>
        <v>0</v>
      </c>
      <c r="F12" s="10">
        <f>SUMIFS('muddati otgan'!$W:W,'muddati otgan'!$C:C,$A:A)</f>
        <v>0</v>
      </c>
      <c r="G12" s="24">
        <f>SUMIFS('muddati otgan'!$U:U,'muddati otgan'!$C:C,$A:A)</f>
        <v>0</v>
      </c>
      <c r="H12" s="11">
        <f>SUMIFS('muddati otgan'!$G:G,'muddati otgan'!$C:C,$A:A)</f>
        <v>0</v>
      </c>
      <c r="I12" s="12">
        <f>SUMIFS('muddati otgan'!$H:H,'muddati otgan'!$C:C,$A:A)</f>
        <v>0</v>
      </c>
      <c r="J12" s="44">
        <f t="shared" si="6"/>
        <v>0</v>
      </c>
      <c r="K12" s="11">
        <f>+COUNTIFS('muddati otgan'!C:C,A12,'muddati otgan'!AA:AA,"Arizani qabul qilish")</f>
        <v>0</v>
      </c>
      <c r="L12" s="11">
        <f>+COUNTIFS('muddati otgan'!C:C,A12,'muddati otgan'!J:J,"Arizani rad etish")</f>
        <v>0</v>
      </c>
      <c r="M12" s="11">
        <f>+COUNTIFS('muddati otgan'!C:C,A12,'muddati otgan'!J:J,"Arizani tasdiqlash")</f>
        <v>0</v>
      </c>
      <c r="N12" s="11">
        <f>+COUNTIFS('muddati otgan'!C:C,A12,'muddati otgan'!J:J,"Arizani yo'naltirish")</f>
        <v>0</v>
      </c>
      <c r="O12" s="11">
        <f>+COUNTIFS('muddati otgan'!C:C,A12,'muddati otgan'!J:J,"Rad qilish sababini o'rganish")</f>
        <v>0</v>
      </c>
      <c r="P12" s="11">
        <f>+COUNTIFS('muddati otgan'!C:C,A12,'muddati otgan'!J:J,"Ko'chmas mulkni UZKAD ga migratsiya qilish")</f>
        <v>0</v>
      </c>
      <c r="Q12" s="11">
        <f>+COUNTIFS('muddati otgan'!C:C,A12,'muddati otgan'!J:J,"Migratisya qilingan obyekt holatini tekshirish")</f>
        <v>0</v>
      </c>
      <c r="R12" s="11">
        <f>+COUNTIFS('muddati otgan'!C:C,A12,'muddati otgan'!J:J,"Ko‘chmas mulkni tanlash")</f>
        <v>0</v>
      </c>
      <c r="S12" s="11">
        <f>+COUNTIFS('muddati otgan'!C:C,A12,'muddati otgan'!J:J,"Arizani ko'rib chiqish")</f>
        <v>0</v>
      </c>
      <c r="T12" s="11">
        <f>+COUNTIFS('muddati otgan'!C:C,A12,'muddati otgan'!J:J,"Kadastr muhandisini tanlash")</f>
        <v>0</v>
      </c>
      <c r="U12" s="11">
        <f>+COUNTIFS('muddati otgan'!C:C,A12,'muddati otgan'!J:J,"Ko'chmas mulk turini tanlahsh")</f>
        <v>0</v>
      </c>
      <c r="V12" s="11">
        <f>+COUNTIFS('muddati otgan'!C:C,A12,'muddati otgan'!AA:AA,"Rad qilish")</f>
        <v>0</v>
      </c>
      <c r="W12" s="11">
        <f>+COUNTIFS('muddati otgan'!C:C,A12,'muddati otgan'!J:J,"ijrochi tanlash")</f>
        <v>0</v>
      </c>
      <c r="X12" s="11">
        <f>+COUNTIFS('muddati otgan'!C:C,A12,'muddati otgan'!J:J,"Ko'chmas mulk turini tanlash")</f>
        <v>0</v>
      </c>
      <c r="Y12" s="11">
        <f t="shared" si="7"/>
        <v>0</v>
      </c>
      <c r="Z12" s="11">
        <f>+COUNTIFS('muddati otgan'!C:C,A12,'muddati otgan'!J:J,"Ijroga qabul qilish")</f>
        <v>0</v>
      </c>
      <c r="AA12" s="11">
        <f>+COUNTIFS('muddati otgan'!C:C,A12,'muddati otgan'!J:J,"Joyida o'rganish va ma'lumotlarni kiritish")</f>
        <v>0</v>
      </c>
      <c r="AB12" s="11">
        <f>+COUNTIFS('muddati otgan'!C:C,A12,'muddati otgan'!J:J,"Asosiy qismdan ajratish jarayonida")</f>
        <v>0</v>
      </c>
      <c r="AC12" s="11">
        <f>+COUNTIFS('muddati otgan'!C:C,A12,'muddati otgan'!J:J,"Umumiy foydalanishdagi obyekt yaratilish")</f>
        <v>0</v>
      </c>
      <c r="AD12" s="11">
        <f>+COUNTIFS('muddati otgan'!C:C,A12,'muddati otgan'!J:J,"Migratsiya qilinadigan kadastr raqamini kiritish")</f>
        <v>0</v>
      </c>
      <c r="AE12" s="11">
        <f>+COUNTIFS('muddati otgan'!C:C,A12,'muddati otgan'!J:J,"O'zida qolgan obyektni yaratish")</f>
        <v>0</v>
      </c>
      <c r="AF12" s="11">
        <f>+COUNTIFS('muddati otgan'!C:C,A12,'muddati otgan'!J:J,"O'lchov natijalarini kiritish")</f>
        <v>0</v>
      </c>
      <c r="AG12" s="11">
        <f>+COUNTIFS('muddati otgan'!C:C,A12,'muddati otgan'!J:J,"Topoxaritani tayyorlash (dwg, pdf)")</f>
        <v>0</v>
      </c>
      <c r="AH12" s="11">
        <f t="shared" si="8"/>
        <v>0</v>
      </c>
      <c r="AI12" s="11">
        <f>+COUNTIFS('muddati otgan'!C:C,A12,'muddati otgan'!J:J,"Yer uchastkasini yaratish")</f>
        <v>0</v>
      </c>
      <c r="AJ12" s="11">
        <f t="shared" si="9"/>
        <v>0</v>
      </c>
      <c r="AK12" s="11">
        <f>+COUNTIFS('muddati otgan'!C:C,A12,'muddati otgan'!J:J,"Kelishish (Boshqarma)")</f>
        <v>0</v>
      </c>
      <c r="AL12" s="11">
        <f t="shared" si="10"/>
        <v>0</v>
      </c>
      <c r="AM12" s="11">
        <f>+COUNTIFS('muddati otgan'!C:C,A12,'muddati otgan'!J:J,"Kelishish (DKP)")</f>
        <v>0</v>
      </c>
      <c r="AN12" s="11">
        <f>+COUNTIFS('muddati otgan'!C:C,A12,'muddati otgan'!J:J,"Kelishish")</f>
        <v>0</v>
      </c>
      <c r="AO12" s="11">
        <f>+COUNTIFS('muddati otgan'!C:C,A12,'muddati otgan'!J:J,"Kelishish (Registratsiya DKP)")</f>
        <v>0</v>
      </c>
      <c r="AP12" s="11">
        <f t="shared" si="11"/>
        <v>0</v>
      </c>
      <c r="AQ12" s="11">
        <f>+COUNTIFS('muddati otgan'!C:C,A12,'muddati otgan'!J:J,"Manzil biriktirish")</f>
        <v>0</v>
      </c>
      <c r="AR12" s="11">
        <f>+COUNTIFS('muddati otgan'!C:C,A12,'muddati otgan'!J:J,"Bino va inshootlarni yaratish")</f>
        <v>0</v>
      </c>
      <c r="AS12" s="11">
        <f>+COUNTIFS('muddati otgan'!C:C,A12,'muddati otgan'!J:J,"Dov daraxtlarni yaratish")</f>
        <v>0</v>
      </c>
      <c r="AT12" s="11">
        <f>+COUNTIFS('muddati otgan'!C:C,A12,'muddati otgan'!J:J,"Yer uchastkasini tahrirlash")</f>
        <v>0</v>
      </c>
      <c r="AU12" s="11">
        <f t="shared" si="12"/>
        <v>0</v>
      </c>
      <c r="AV12" s="11">
        <f>+COUNTIFS('muddati otgan'!C:C,A12,'muddati otgan'!J:J,"Yer toifasi va maqsadini kiritish")</f>
        <v>0</v>
      </c>
      <c r="AW12" s="11">
        <f>+COUNTIFS('muddati otgan'!C:C,A12,'muddati otgan'!J:J,"Auksion yer tekshirish")</f>
        <v>0</v>
      </c>
      <c r="AX12" s="11">
        <f>+COUNTIFS('muddati otgan'!C:C,A12,'muddati otgan'!J:J,"Yer turlarini kiritish")</f>
        <v>0</v>
      </c>
      <c r="AY12" s="11">
        <f>+COUNTIFS('muddati otgan'!C:C,A12,'muddati otgan'!J:J,"Ma'lumotlarni kiritish")</f>
        <v>0</v>
      </c>
      <c r="AZ12" s="11">
        <f>+COUNTIFS('muddati otgan'!C:C,A12,'muddati otgan'!J:J,"Yer tekshirish")</f>
        <v>0</v>
      </c>
      <c r="BA12" s="11">
        <f t="shared" si="13"/>
        <v>0</v>
      </c>
      <c r="BB12" s="11">
        <f>+COUNTIFS('muddati otgan'!C:C,A12,'muddati otgan'!J:J,"Bino va inshoot ma'lumotlarini to‘ldirish")</f>
        <v>0</v>
      </c>
      <c r="BC12" s="11">
        <f>+COUNTIFS('muddati otgan'!C:C,A12,'muddati otgan'!J:J,"Inventarizatsiya ma'lumotlarini to‘ldirish")</f>
        <v>0</v>
      </c>
      <c r="BD12" s="11">
        <f>+COUNTIFS('muddati otgan'!C:C,A12,'muddati otgan'!J:J,"Yer uchastkasiga huquqiy hujjatlarni kiritsh")</f>
        <v>0</v>
      </c>
      <c r="BE12" s="11">
        <f>+COUNTIFS('muddati otgan'!C:C,A12,'muddati otgan'!J:J,"Bino-inshootlarga huquqiy hujjatlarni kiritsh")</f>
        <v>0</v>
      </c>
      <c r="BF12" s="11">
        <f>+COUNTIFS('muddati otgan'!C:C,A12,'muddati otgan'!J:J,"Kadastr qiymatini hisoblash va kiritish")</f>
        <v>0</v>
      </c>
      <c r="BG12" s="11">
        <f>+COUNTIFS('muddati otgan'!C:C,A12,'muddati otgan'!J:J,"Kadastr raqam biriktirish")</f>
        <v>0</v>
      </c>
      <c r="BH12" s="11">
        <f>+COUNTIFS('muddati otgan'!C:C,A12,'muddati otgan'!J:J,"Kadastr yig'ma jildni tayyorlash")</f>
        <v>0</v>
      </c>
      <c r="BI12" s="11">
        <f>+COUNTIFS('muddati otgan'!C:C,A12,'muddati otgan'!J:J,"Huquqni yaratish")</f>
        <v>0</v>
      </c>
      <c r="BJ12" s="11">
        <f>+COUNTIFS('muddati otgan'!C:C,A12,'muddati otgan'!J:J,"Hujjatlarni o'rganish")</f>
        <v>0</v>
      </c>
      <c r="BK12" s="11">
        <f>+COUNTIFS('muddati otgan'!C:C,A12,'muddati otgan'!J:J,"Ma'lumotlarni tekshirish")</f>
        <v>0</v>
      </c>
      <c r="BL12" s="11">
        <f t="shared" si="14"/>
        <v>0</v>
      </c>
      <c r="BM12" s="11">
        <f>+COUNTIFS('muddati otgan'!C:C,A12,'muddati otgan'!J:J,"Tekshirish")</f>
        <v>0</v>
      </c>
      <c r="BN12" s="11">
        <f>+COUNTIFS('muddati otgan'!C:C,A12,'muddati otgan'!J:J,"Hujjatlarni tekshirish")</f>
        <v>0</v>
      </c>
      <c r="BO12" s="11">
        <f>+COUNTIFS('muddati otgan'!C:C,A12,'muddati otgan'!J:J,"Tasdiqlash")</f>
        <v>0</v>
      </c>
      <c r="BP12" s="11">
        <f>+COUNTIFS('muddati otgan'!C:C,A12,'muddati otgan'!J:J,"tekshirish/tasdiqlash")</f>
        <v>0</v>
      </c>
      <c r="BQ12" s="11">
        <f>+COUNTIFS('muddati otgan'!C:C,A12,'muddati otgan'!J:J,"Ma'lumotlarni tasdiqlash")</f>
        <v>0</v>
      </c>
      <c r="BR12" s="11">
        <f t="shared" si="15"/>
        <v>0</v>
      </c>
      <c r="BS12" s="11">
        <f>+COUNTIFS('muddati otgan'!C:C,A12,'muddati otgan'!J:J,"Ro'yxatdan o'tkazish ma'lumotlarini tekshirish")</f>
        <v>0</v>
      </c>
      <c r="BT12" s="11">
        <f>+COUNTIFS('muddati otgan'!C:C,A12,'muddati otgan'!J:J,"Kamchiliklar bo'yicha habarnoma yuborish va 3 kunga to'xtatish")</f>
        <v>0</v>
      </c>
      <c r="BU12" s="11">
        <f>+COUNTIFS('muddati otgan'!C:C,A12,'muddati otgan'!J:J,"Hisobga olish")</f>
        <v>0</v>
      </c>
      <c r="BV12" s="11">
        <f>+COUNTIFS('muddati otgan'!C:C,A12,'muddati otgan'!J:J,"Yer uchastkasiga huquq yaratish")</f>
        <v>0</v>
      </c>
      <c r="BW12" s="11">
        <f>+COUNTIFS('muddati otgan'!C:C,A12,'muddati otgan'!J:J,"Bino-inshootga huquq yaratish")</f>
        <v>0</v>
      </c>
      <c r="BX12" s="11">
        <f>+COUNTIFS('muddati otgan'!C:C,A12,'muddati otgan'!J:J,"Cheklov yaratish")</f>
        <v>0</v>
      </c>
      <c r="BY12" s="11">
        <f>+COUNTIFS('muddati otgan'!C:C,A12,'muddati otgan'!J:J,"Taqiq yaratish")</f>
        <v>0</v>
      </c>
      <c r="BZ12" s="11">
        <f t="shared" si="16"/>
        <v>0</v>
      </c>
      <c r="CA12" s="11">
        <f>+COUNTIFS('muddati otgan'!C:C,A12,'muddati otgan'!J:J,"Soliq maydonini tekshirish")</f>
        <v>0</v>
      </c>
      <c r="CB12" s="11">
        <f t="shared" si="17"/>
        <v>0</v>
      </c>
      <c r="CC12" s="11">
        <f>+COUNTIFS('muddati otgan'!C:C,A12,'muddati otgan'!J:J,"Kadastr yig'majildini shakllantirish")</f>
        <v>0</v>
      </c>
      <c r="CD12" s="11">
        <f t="shared" si="18"/>
        <v>0</v>
      </c>
      <c r="CE12" s="11">
        <f>+COUNTIFS('muddati otgan'!C:C,A12,'muddati otgan'!J:J,"Kadastr passportini shakllantirish")</f>
        <v>0</v>
      </c>
      <c r="CF12" s="11">
        <f>+COUNTIFS('muddati otgan'!C:C,A12,'muddati otgan'!J:J,"Yig'ma jildni tasdiqlash")</f>
        <v>0</v>
      </c>
      <c r="CG12" s="11">
        <f>+COUNTIFS('muddati otgan'!C:C,A12,'muddati otgan'!J:J,"To'lov yoki bepul tasdiqlash")</f>
        <v>0</v>
      </c>
      <c r="CH12" s="11">
        <f>+COUNTIFS('muddati otgan'!C:C,A12,'muddati otgan'!J:J,"Bog'liq arizani kutish")</f>
        <v>0</v>
      </c>
      <c r="CI12" s="11">
        <f>+COUNTIFS('muddati otgan'!C:C,A12,'muddati otgan'!J:J,"To'lovga chiqarish")</f>
        <v>0</v>
      </c>
      <c r="CJ12" s="11">
        <f>+COUNTIFS('muddati otgan'!C:C,A12,'muddati otgan'!J:J,"Hisobga qo'yish")</f>
        <v>0</v>
      </c>
      <c r="CK12" s="6">
        <f>+COUNTIFS('muddati otgan'!C:C,A12,'muddati otgan'!J:J,"To'lov kutilmoqda")</f>
        <v>0</v>
      </c>
      <c r="CL12" s="11">
        <f t="shared" si="19"/>
        <v>0</v>
      </c>
      <c r="CM12" s="11">
        <f>+COUNTIFS('muddati otgan'!C:C,A12,'muddati otgan'!AA:AA,"Arizani qabul qilish2")</f>
        <v>0</v>
      </c>
      <c r="CN12" s="11">
        <f>+COUNTIFS('muddati otgan'!C:C,A12,'muddati otgan'!J:J,"Huquqlarni tekshirish")</f>
        <v>0</v>
      </c>
      <c r="CO12" s="11">
        <f>+COUNTIFS('muddati otgan'!C:C,A12,'muddati otgan'!J:J,"Ko'chmas mulkni ro'yhatdan o'tkazishga qabul qilish")</f>
        <v>0</v>
      </c>
      <c r="CP12" s="11">
        <f>+COUNTIFS('muddati otgan'!C:C,A12,'muddati otgan'!J:J,"Ro'yxatdan o'tkazish")</f>
        <v>0</v>
      </c>
      <c r="CQ12" s="11">
        <f>+COUNTIFS('muddati otgan'!C:C,A12,'muddati otgan'!J:J,"Kadastr pasporti va ko'chirmani yuborish")</f>
        <v>0</v>
      </c>
      <c r="CR12" s="11">
        <f>+COUNTIFS('muddati otgan'!C:C,A12,'muddati otgan'!AA:AA,"Rad qilish2")</f>
        <v>0</v>
      </c>
      <c r="CS12" s="11">
        <f>+COUNTIFS('muddati otgan'!C:C,A12,'muddati otgan'!J:J,"Ko'chirmani yuborish")</f>
        <v>0</v>
      </c>
      <c r="CT12" s="11">
        <f>+COUNTIFS('muddati otgan'!C:C,A12,'muddati otgan'!J:J,"Ma‘lumotlarni tekshirish")</f>
        <v>0</v>
      </c>
      <c r="CU12" s="11">
        <f t="shared" si="20"/>
        <v>0</v>
      </c>
      <c r="CV12" s="11">
        <f>+COUNTIFS('muddati otgan'!C:C,A12,'muddati otgan'!J:J,"Kadastr yig'majildini chop etish va arxiv ishiga tikish")</f>
        <v>0</v>
      </c>
      <c r="CW12" s="11">
        <f t="shared" si="21"/>
        <v>0</v>
      </c>
      <c r="CX12" s="11">
        <f>+COUNTIFS('muddati otgan'!C:C,A12,'muddati otgan'!J:J,"Kadastr yig‘majildini qabul qilish, arizani yakunlash")</f>
        <v>0</v>
      </c>
      <c r="CY12" s="11">
        <f>+COUNTIFS('muddati otgan'!C:C,A12,'muddati otgan'!J:J,"Next Cloudga yuklash")</f>
        <v>0</v>
      </c>
      <c r="CZ12" s="6">
        <f>+COUNTIFS('muddati otgan'!C:C,A12,'muddati otgan'!J:J,"Kelishish kutilmoqda")</f>
        <v>0</v>
      </c>
      <c r="DA12" s="6">
        <f>+COUNTIFS('muddati otgan'!C:C,A12,'muddati otgan'!J:J,"Yakunlandi")</f>
        <v>0</v>
      </c>
      <c r="DB12" s="10">
        <f>+COUNTIFS('muddati otgan'!C:C,A12,'muddati otgan'!J:J,"Rad etildi")</f>
        <v>0</v>
      </c>
      <c r="DC12" s="100">
        <f t="shared" si="5"/>
        <v>0</v>
      </c>
      <c r="DD12" s="44">
        <f>COUNTIFS('jami 1-20 kunlik arizalar'!C:C,A:A,'jami 1-20 kunlik arizalar'!S:S,"1")</f>
        <v>0</v>
      </c>
      <c r="DE12" s="11">
        <f>COUNTIFS('jami 1-20 kunlik arizalar'!C:C,A:A,'jami 1-20 kunlik arizalar'!S:S,"2")</f>
        <v>0</v>
      </c>
      <c r="DF12" s="11">
        <f>COUNTIFS('jami 1-20 kunlik arizalar'!C:C,A:A,'jami 1-20 kunlik arizalar'!S:S,"3")</f>
        <v>4</v>
      </c>
      <c r="DG12" s="11">
        <f>COUNTIFS('jami 1-20 kunlik arizalar'!C:C,A:A,'jami 1-20 kunlik arizalar'!S:S,"4")</f>
        <v>1</v>
      </c>
      <c r="DH12" s="11">
        <f>COUNTIFS('jami 1-20 kunlik arizalar'!C:C,A:A,'jami 1-20 kunlik arizalar'!S:S,"5")</f>
        <v>2</v>
      </c>
      <c r="DI12" s="11">
        <f>SUM(COUNTIFS('jami 1-20 kunlik arizalar'!C:C,A:A, 'jami 1-20 kunlik arizalar'!S:S, {6,7,8,9,10}))</f>
        <v>4</v>
      </c>
      <c r="DJ12" s="12">
        <f>SUM(COUNTIFS('jami 1-20 kunlik arizalar'!C:C,A:A, 'jami 1-20 kunlik arizalar'!S:S, "&gt;10"))</f>
        <v>1</v>
      </c>
    </row>
    <row r="13" spans="1:115" ht="39.950000000000003" hidden="1" customHeight="1" outlineLevel="1" x14ac:dyDescent="0.25">
      <c r="A13" s="92" t="s">
        <v>556</v>
      </c>
      <c r="B13" s="74"/>
      <c r="C13" s="70" t="s">
        <v>748</v>
      </c>
      <c r="D13" s="48">
        <f>+COUNTIFS('muddati otgan'!C:C,A13,'muddati otgan'!C:C,A13)</f>
        <v>2</v>
      </c>
      <c r="E13" s="10">
        <f>SUMIFS('muddati otgan'!$V:V,'muddati otgan'!$C:C,$A:A)</f>
        <v>0</v>
      </c>
      <c r="F13" s="10">
        <f>SUMIFS('muddati otgan'!$W:W,'muddati otgan'!$C:C,$A:A)</f>
        <v>0</v>
      </c>
      <c r="G13" s="24">
        <f>SUMIFS('muddati otgan'!$U:U,'muddati otgan'!$C:C,$A:A)</f>
        <v>2</v>
      </c>
      <c r="H13" s="11">
        <f>SUMIFS('muddati otgan'!$G:G,'muddati otgan'!$C:C,$A:A)</f>
        <v>1</v>
      </c>
      <c r="I13" s="12">
        <f>SUMIFS('muddati otgan'!$H:H,'muddati otgan'!$C:C,$A:A)</f>
        <v>1</v>
      </c>
      <c r="J13" s="44">
        <f t="shared" si="6"/>
        <v>0</v>
      </c>
      <c r="K13" s="11">
        <f>+COUNTIFS('muddati otgan'!C:C,A13,'muddati otgan'!AA:AA,"Arizani qabul qilish")</f>
        <v>0</v>
      </c>
      <c r="L13" s="11">
        <f>+COUNTIFS('muddati otgan'!C:C,A13,'muddati otgan'!J:J,"Arizani rad etish")</f>
        <v>0</v>
      </c>
      <c r="M13" s="11">
        <f>+COUNTIFS('muddati otgan'!C:C,A13,'muddati otgan'!J:J,"Arizani tasdiqlash")</f>
        <v>0</v>
      </c>
      <c r="N13" s="11">
        <f>+COUNTIFS('muddati otgan'!C:C,A13,'muddati otgan'!J:J,"Arizani yo'naltirish")</f>
        <v>0</v>
      </c>
      <c r="O13" s="11">
        <f>+COUNTIFS('muddati otgan'!C:C,A13,'muddati otgan'!J:J,"Rad qilish sababini o'rganish")</f>
        <v>0</v>
      </c>
      <c r="P13" s="11">
        <f>+COUNTIFS('muddati otgan'!C:C,A13,'muddati otgan'!J:J,"Ko'chmas mulkni UZKAD ga migratsiya qilish")</f>
        <v>0</v>
      </c>
      <c r="Q13" s="11">
        <f>+COUNTIFS('muddati otgan'!C:C,A13,'muddati otgan'!J:J,"Migratisya qilingan obyekt holatini tekshirish")</f>
        <v>0</v>
      </c>
      <c r="R13" s="11">
        <f>+COUNTIFS('muddati otgan'!C:C,A13,'muddati otgan'!J:J,"Ko‘chmas mulkni tanlash")</f>
        <v>0</v>
      </c>
      <c r="S13" s="11">
        <f>+COUNTIFS('muddati otgan'!C:C,A13,'muddati otgan'!J:J,"Arizani ko'rib chiqish")</f>
        <v>0</v>
      </c>
      <c r="T13" s="11">
        <f>+COUNTIFS('muddati otgan'!C:C,A13,'muddati otgan'!J:J,"Kadastr muhandisini tanlash")</f>
        <v>0</v>
      </c>
      <c r="U13" s="11">
        <f>+COUNTIFS('muddati otgan'!C:C,A13,'muddati otgan'!J:J,"Ko'chmas mulk turini tanlahsh")</f>
        <v>0</v>
      </c>
      <c r="V13" s="11">
        <f>+COUNTIFS('muddati otgan'!C:C,A13,'muddati otgan'!AA:AA,"Rad qilish")</f>
        <v>0</v>
      </c>
      <c r="W13" s="11">
        <f>+COUNTIFS('muddati otgan'!C:C,A13,'muddati otgan'!J:J,"ijrochi tanlash")</f>
        <v>0</v>
      </c>
      <c r="X13" s="11">
        <f>+COUNTIFS('muddati otgan'!C:C,A13,'muddati otgan'!J:J,"Ko'chmas mulk turini tanlash")</f>
        <v>0</v>
      </c>
      <c r="Y13" s="11">
        <f t="shared" si="7"/>
        <v>0</v>
      </c>
      <c r="Z13" s="11">
        <f>+COUNTIFS('muddati otgan'!C:C,A13,'muddati otgan'!J:J,"Ijroga qabul qilish")</f>
        <v>0</v>
      </c>
      <c r="AA13" s="11">
        <f>+COUNTIFS('muddati otgan'!C:C,A13,'muddati otgan'!J:J,"Joyida o'rganish va ma'lumotlarni kiritish")</f>
        <v>0</v>
      </c>
      <c r="AB13" s="11">
        <f>+COUNTIFS('muddati otgan'!C:C,A13,'muddati otgan'!J:J,"Asosiy qismdan ajratish jarayonida")</f>
        <v>0</v>
      </c>
      <c r="AC13" s="11">
        <f>+COUNTIFS('muddati otgan'!C:C,A13,'muddati otgan'!J:J,"Umumiy foydalanishdagi obyekt yaratilish")</f>
        <v>0</v>
      </c>
      <c r="AD13" s="11">
        <f>+COUNTIFS('muddati otgan'!C:C,A13,'muddati otgan'!J:J,"Migratsiya qilinadigan kadastr raqamini kiritish")</f>
        <v>0</v>
      </c>
      <c r="AE13" s="11">
        <f>+COUNTIFS('muddati otgan'!C:C,A13,'muddati otgan'!J:J,"O'zida qolgan obyektni yaratish")</f>
        <v>0</v>
      </c>
      <c r="AF13" s="11">
        <f>+COUNTIFS('muddati otgan'!C:C,A13,'muddati otgan'!J:J,"O'lchov natijalarini kiritish")</f>
        <v>0</v>
      </c>
      <c r="AG13" s="11">
        <f>+COUNTIFS('muddati otgan'!C:C,A13,'muddati otgan'!J:J,"Topoxaritani tayyorlash (dwg, pdf)")</f>
        <v>0</v>
      </c>
      <c r="AH13" s="11">
        <f t="shared" si="8"/>
        <v>0</v>
      </c>
      <c r="AI13" s="11">
        <f>+COUNTIFS('muddati otgan'!C:C,A13,'muddati otgan'!J:J,"Yer uchastkasini yaratish")</f>
        <v>0</v>
      </c>
      <c r="AJ13" s="11">
        <f t="shared" si="9"/>
        <v>0</v>
      </c>
      <c r="AK13" s="11">
        <f>+COUNTIFS('muddati otgan'!C:C,A13,'muddati otgan'!J:J,"Kelishish (Boshqarma)")</f>
        <v>0</v>
      </c>
      <c r="AL13" s="11">
        <f t="shared" si="10"/>
        <v>0</v>
      </c>
      <c r="AM13" s="11">
        <f>+COUNTIFS('muddati otgan'!C:C,A13,'muddati otgan'!J:J,"Kelishish (DKP)")</f>
        <v>0</v>
      </c>
      <c r="AN13" s="11">
        <f>+COUNTIFS('muddati otgan'!C:C,A13,'muddati otgan'!J:J,"Kelishish")</f>
        <v>0</v>
      </c>
      <c r="AO13" s="11">
        <f>+COUNTIFS('muddati otgan'!C:C,A13,'muddati otgan'!J:J,"Kelishish (Registratsiya DKP)")</f>
        <v>0</v>
      </c>
      <c r="AP13" s="11">
        <f t="shared" si="11"/>
        <v>0</v>
      </c>
      <c r="AQ13" s="11">
        <f>+COUNTIFS('muddati otgan'!C:C,A13,'muddati otgan'!J:J,"Manzil biriktirish")</f>
        <v>0</v>
      </c>
      <c r="AR13" s="11">
        <f>+COUNTIFS('muddati otgan'!C:C,A13,'muddati otgan'!J:J,"Bino va inshootlarni yaratish")</f>
        <v>0</v>
      </c>
      <c r="AS13" s="11">
        <f>+COUNTIFS('muddati otgan'!C:C,A13,'muddati otgan'!J:J,"Dov daraxtlarni yaratish")</f>
        <v>0</v>
      </c>
      <c r="AT13" s="11">
        <f>+COUNTIFS('muddati otgan'!C:C,A13,'muddati otgan'!J:J,"Yer uchastkasini tahrirlash")</f>
        <v>0</v>
      </c>
      <c r="AU13" s="11">
        <f t="shared" si="12"/>
        <v>0</v>
      </c>
      <c r="AV13" s="11">
        <f>+COUNTIFS('muddati otgan'!C:C,A13,'muddati otgan'!J:J,"Yer toifasi va maqsadini kiritish")</f>
        <v>0</v>
      </c>
      <c r="AW13" s="11">
        <f>+COUNTIFS('muddati otgan'!C:C,A13,'muddati otgan'!J:J,"Auksion yer tekshirish")</f>
        <v>0</v>
      </c>
      <c r="AX13" s="11">
        <f>+COUNTIFS('muddati otgan'!C:C,A13,'muddati otgan'!J:J,"Yer turlarini kiritish")</f>
        <v>0</v>
      </c>
      <c r="AY13" s="11">
        <f>+COUNTIFS('muddati otgan'!C:C,A13,'muddati otgan'!J:J,"Ma'lumotlarni kiritish")</f>
        <v>0</v>
      </c>
      <c r="AZ13" s="11">
        <f>+COUNTIFS('muddati otgan'!C:C,A13,'muddati otgan'!J:J,"Yer tekshirish")</f>
        <v>0</v>
      </c>
      <c r="BA13" s="11">
        <f t="shared" si="13"/>
        <v>0</v>
      </c>
      <c r="BB13" s="11">
        <f>+COUNTIFS('muddati otgan'!C:C,A13,'muddati otgan'!J:J,"Bino va inshoot ma'lumotlarini to‘ldirish")</f>
        <v>0</v>
      </c>
      <c r="BC13" s="11">
        <f>+COUNTIFS('muddati otgan'!C:C,A13,'muddati otgan'!J:J,"Inventarizatsiya ma'lumotlarini to‘ldirish")</f>
        <v>0</v>
      </c>
      <c r="BD13" s="11">
        <f>+COUNTIFS('muddati otgan'!C:C,A13,'muddati otgan'!J:J,"Yer uchastkasiga huquqiy hujjatlarni kiritsh")</f>
        <v>0</v>
      </c>
      <c r="BE13" s="11">
        <f>+COUNTIFS('muddati otgan'!C:C,A13,'muddati otgan'!J:J,"Bino-inshootlarga huquqiy hujjatlarni kiritsh")</f>
        <v>0</v>
      </c>
      <c r="BF13" s="11">
        <f>+COUNTIFS('muddati otgan'!C:C,A13,'muddati otgan'!J:J,"Kadastr qiymatini hisoblash va kiritish")</f>
        <v>0</v>
      </c>
      <c r="BG13" s="11">
        <f>+COUNTIFS('muddati otgan'!C:C,A13,'muddati otgan'!J:J,"Kadastr raqam biriktirish")</f>
        <v>0</v>
      </c>
      <c r="BH13" s="11">
        <f>+COUNTIFS('muddati otgan'!C:C,A13,'muddati otgan'!J:J,"Kadastr yig'ma jildni tayyorlash")</f>
        <v>0</v>
      </c>
      <c r="BI13" s="11">
        <f>+COUNTIFS('muddati otgan'!C:C,A13,'muddati otgan'!J:J,"Huquqni yaratish")</f>
        <v>0</v>
      </c>
      <c r="BJ13" s="11">
        <f>+COUNTIFS('muddati otgan'!C:C,A13,'muddati otgan'!J:J,"Hujjatlarni o'rganish")</f>
        <v>0</v>
      </c>
      <c r="BK13" s="11">
        <f>+COUNTIFS('muddati otgan'!C:C,A13,'muddati otgan'!J:J,"Ma'lumotlarni tekshirish")</f>
        <v>0</v>
      </c>
      <c r="BL13" s="11">
        <f t="shared" si="14"/>
        <v>0</v>
      </c>
      <c r="BM13" s="11">
        <f>+COUNTIFS('muddati otgan'!C:C,A13,'muddati otgan'!J:J,"Tekshirish")</f>
        <v>0</v>
      </c>
      <c r="BN13" s="11">
        <f>+COUNTIFS('muddati otgan'!C:C,A13,'muddati otgan'!J:J,"Hujjatlarni tekshirish")</f>
        <v>0</v>
      </c>
      <c r="BO13" s="11">
        <f>+COUNTIFS('muddati otgan'!C:C,A13,'muddati otgan'!J:J,"Tasdiqlash")</f>
        <v>0</v>
      </c>
      <c r="BP13" s="11">
        <f>+COUNTIFS('muddati otgan'!C:C,A13,'muddati otgan'!J:J,"tekshirish/tasdiqlash")</f>
        <v>0</v>
      </c>
      <c r="BQ13" s="11">
        <f>+COUNTIFS('muddati otgan'!C:C,A13,'muddati otgan'!J:J,"Ma'lumotlarni tasdiqlash")</f>
        <v>0</v>
      </c>
      <c r="BR13" s="11">
        <f t="shared" si="15"/>
        <v>0</v>
      </c>
      <c r="BS13" s="11">
        <f>+COUNTIFS('muddati otgan'!C:C,A13,'muddati otgan'!J:J,"Ro'yxatdan o'tkazish ma'lumotlarini tekshirish")</f>
        <v>0</v>
      </c>
      <c r="BT13" s="11">
        <f>+COUNTIFS('muddati otgan'!C:C,A13,'muddati otgan'!J:J,"Kamchiliklar bo'yicha habarnoma yuborish va 3 kunga to'xtatish")</f>
        <v>0</v>
      </c>
      <c r="BU13" s="11">
        <f>+COUNTIFS('muddati otgan'!C:C,A13,'muddati otgan'!J:J,"Hisobga olish")</f>
        <v>0</v>
      </c>
      <c r="BV13" s="11">
        <f>+COUNTIFS('muddati otgan'!C:C,A13,'muddati otgan'!J:J,"Yer uchastkasiga huquq yaratish")</f>
        <v>0</v>
      </c>
      <c r="BW13" s="11">
        <f>+COUNTIFS('muddati otgan'!C:C,A13,'muddati otgan'!J:J,"Bino-inshootga huquq yaratish")</f>
        <v>0</v>
      </c>
      <c r="BX13" s="11">
        <f>+COUNTIFS('muddati otgan'!C:C,A13,'muddati otgan'!J:J,"Cheklov yaratish")</f>
        <v>0</v>
      </c>
      <c r="BY13" s="11">
        <f>+COUNTIFS('muddati otgan'!C:C,A13,'muddati otgan'!J:J,"Taqiq yaratish")</f>
        <v>0</v>
      </c>
      <c r="BZ13" s="11">
        <f t="shared" si="16"/>
        <v>0</v>
      </c>
      <c r="CA13" s="11">
        <f>+COUNTIFS('muddati otgan'!C:C,A13,'muddati otgan'!J:J,"Soliq maydonini tekshirish")</f>
        <v>0</v>
      </c>
      <c r="CB13" s="11">
        <f t="shared" si="17"/>
        <v>0</v>
      </c>
      <c r="CC13" s="11">
        <f>+COUNTIFS('muddati otgan'!C:C,A13,'muddati otgan'!J:J,"Kadastr yig'majildini shakllantirish")</f>
        <v>0</v>
      </c>
      <c r="CD13" s="11">
        <f t="shared" si="18"/>
        <v>0</v>
      </c>
      <c r="CE13" s="11">
        <f>+COUNTIFS('muddati otgan'!C:C,A13,'muddati otgan'!J:J,"Kadastr passportini shakllantirish")</f>
        <v>0</v>
      </c>
      <c r="CF13" s="11">
        <f>+COUNTIFS('muddati otgan'!C:C,A13,'muddati otgan'!J:J,"Yig'ma jildni tasdiqlash")</f>
        <v>0</v>
      </c>
      <c r="CG13" s="11">
        <f>+COUNTIFS('muddati otgan'!C:C,A13,'muddati otgan'!J:J,"To'lov yoki bepul tasdiqlash")</f>
        <v>0</v>
      </c>
      <c r="CH13" s="11">
        <f>+COUNTIFS('muddati otgan'!C:C,A13,'muddati otgan'!J:J,"Bog'liq arizani kutish")</f>
        <v>0</v>
      </c>
      <c r="CI13" s="11">
        <f>+COUNTIFS('muddati otgan'!C:C,A13,'muddati otgan'!J:J,"To'lovga chiqarish")</f>
        <v>0</v>
      </c>
      <c r="CJ13" s="11">
        <f>+COUNTIFS('muddati otgan'!C:C,A13,'muddati otgan'!J:J,"Hisobga qo'yish")</f>
        <v>0</v>
      </c>
      <c r="CK13" s="6">
        <f>+COUNTIFS('muddati otgan'!C:C,A13,'muddati otgan'!J:J,"To'lov kutilmoqda")</f>
        <v>0</v>
      </c>
      <c r="CL13" s="11">
        <f t="shared" si="19"/>
        <v>0</v>
      </c>
      <c r="CM13" s="11">
        <f>+COUNTIFS('muddati otgan'!C:C,A13,'muddati otgan'!AA:AA,"Arizani qabul qilish2")</f>
        <v>0</v>
      </c>
      <c r="CN13" s="11">
        <f>+COUNTIFS('muddati otgan'!C:C,A13,'muddati otgan'!J:J,"Huquqlarni tekshirish")</f>
        <v>0</v>
      </c>
      <c r="CO13" s="11">
        <f>+COUNTIFS('muddati otgan'!C:C,A13,'muddati otgan'!J:J,"Ko'chmas mulkni ro'yhatdan o'tkazishga qabul qilish")</f>
        <v>0</v>
      </c>
      <c r="CP13" s="11">
        <f>+COUNTIFS('muddati otgan'!C:C,A13,'muddati otgan'!J:J,"Ro'yxatdan o'tkazish")</f>
        <v>0</v>
      </c>
      <c r="CQ13" s="11">
        <f>+COUNTIFS('muddati otgan'!C:C,A13,'muddati otgan'!J:J,"Kadastr pasporti va ko'chirmani yuborish")</f>
        <v>0</v>
      </c>
      <c r="CR13" s="11">
        <f>+COUNTIFS('muddati otgan'!C:C,A13,'muddati otgan'!AA:AA,"Rad qilish2")</f>
        <v>0</v>
      </c>
      <c r="CS13" s="11">
        <f>+COUNTIFS('muddati otgan'!C:C,A13,'muddati otgan'!J:J,"Ko'chirmani yuborish")</f>
        <v>0</v>
      </c>
      <c r="CT13" s="11">
        <f>+COUNTIFS('muddati otgan'!C:C,A13,'muddati otgan'!J:J,"Ma‘lumotlarni tekshirish")</f>
        <v>0</v>
      </c>
      <c r="CU13" s="11">
        <f t="shared" si="20"/>
        <v>0</v>
      </c>
      <c r="CV13" s="11">
        <f>+COUNTIFS('muddati otgan'!C:C,A13,'muddati otgan'!J:J,"Kadastr yig'majildini chop etish va arxiv ishiga tikish")</f>
        <v>0</v>
      </c>
      <c r="CW13" s="11">
        <f t="shared" si="21"/>
        <v>0</v>
      </c>
      <c r="CX13" s="11">
        <f>+COUNTIFS('muddati otgan'!C:C,A13,'muddati otgan'!J:J,"Kadastr yig‘majildini qabul qilish, arizani yakunlash")</f>
        <v>0</v>
      </c>
      <c r="CY13" s="11">
        <f>+COUNTIFS('muddati otgan'!C:C,A13,'muddati otgan'!J:J,"Next Cloudga yuklash")</f>
        <v>0</v>
      </c>
      <c r="CZ13" s="6">
        <f>+COUNTIFS('muddati otgan'!C:C,A13,'muddati otgan'!J:J,"Kelishish kutilmoqda")</f>
        <v>0</v>
      </c>
      <c r="DA13" s="6">
        <f>+COUNTIFS('muddati otgan'!C:C,A13,'muddati otgan'!J:J,"Yakunlandi")</f>
        <v>2</v>
      </c>
      <c r="DB13" s="10">
        <f>+COUNTIFS('muddati otgan'!C:C,A13,'muddati otgan'!J:J,"Rad etildi")</f>
        <v>0</v>
      </c>
      <c r="DC13" s="100">
        <f t="shared" si="5"/>
        <v>0</v>
      </c>
      <c r="DD13" s="44">
        <f>COUNTIFS('jami 1-20 kunlik arizalar'!C:C,A:A,'jami 1-20 kunlik arizalar'!S:S,"1")</f>
        <v>0</v>
      </c>
      <c r="DE13" s="11">
        <f>COUNTIFS('jami 1-20 kunlik arizalar'!C:C,A:A,'jami 1-20 kunlik arizalar'!S:S,"2")</f>
        <v>0</v>
      </c>
      <c r="DF13" s="11">
        <f>COUNTIFS('jami 1-20 kunlik arizalar'!C:C,A:A,'jami 1-20 kunlik arizalar'!S:S,"3")</f>
        <v>3</v>
      </c>
      <c r="DG13" s="11">
        <f>COUNTIFS('jami 1-20 kunlik arizalar'!C:C,A:A,'jami 1-20 kunlik arizalar'!S:S,"4")</f>
        <v>2</v>
      </c>
      <c r="DH13" s="11">
        <f>COUNTIFS('jami 1-20 kunlik arizalar'!C:C,A:A,'jami 1-20 kunlik arizalar'!S:S,"5")</f>
        <v>1</v>
      </c>
      <c r="DI13" s="11">
        <f>SUM(COUNTIFS('jami 1-20 kunlik arizalar'!C:C,A:A, 'jami 1-20 kunlik arizalar'!S:S, {6,7,8,9,10}))</f>
        <v>12</v>
      </c>
      <c r="DJ13" s="12">
        <f>SUM(COUNTIFS('jami 1-20 kunlik arizalar'!C:C,A:A, 'jami 1-20 kunlik arizalar'!S:S, "&gt;10"))</f>
        <v>9</v>
      </c>
    </row>
    <row r="14" spans="1:115" ht="39.950000000000003" hidden="1" customHeight="1" outlineLevel="1" x14ac:dyDescent="0.25">
      <c r="A14" s="92" t="s">
        <v>553</v>
      </c>
      <c r="B14" s="74"/>
      <c r="C14" s="70" t="s">
        <v>749</v>
      </c>
      <c r="D14" s="48">
        <f>+COUNTIFS('muddati otgan'!C:C,A14,'muddati otgan'!C:C,A14)</f>
        <v>3</v>
      </c>
      <c r="E14" s="10">
        <f>SUMIFS('muddati otgan'!$V:V,'muddati otgan'!$C:C,$A:A)</f>
        <v>0</v>
      </c>
      <c r="F14" s="10">
        <f>SUMIFS('muddati otgan'!$W:W,'muddati otgan'!$C:C,$A:A)</f>
        <v>0</v>
      </c>
      <c r="G14" s="24">
        <f>SUMIFS('muddati otgan'!$U:U,'muddati otgan'!$C:C,$A:A)</f>
        <v>3</v>
      </c>
      <c r="H14" s="11">
        <f>SUMIFS('muddati otgan'!$G:G,'muddati otgan'!$C:C,$A:A)</f>
        <v>1</v>
      </c>
      <c r="I14" s="12">
        <f>SUMIFS('muddati otgan'!$H:H,'muddati otgan'!$C:C,$A:A)</f>
        <v>2</v>
      </c>
      <c r="J14" s="44">
        <f t="shared" si="6"/>
        <v>0</v>
      </c>
      <c r="K14" s="11">
        <f>+COUNTIFS('muddati otgan'!C:C,A14,'muddati otgan'!AA:AA,"Arizani qabul qilish")</f>
        <v>0</v>
      </c>
      <c r="L14" s="11">
        <f>+COUNTIFS('muddati otgan'!C:C,A14,'muddati otgan'!J:J,"Arizani rad etish")</f>
        <v>0</v>
      </c>
      <c r="M14" s="11">
        <f>+COUNTIFS('muddati otgan'!C:C,A14,'muddati otgan'!J:J,"Arizani tasdiqlash")</f>
        <v>0</v>
      </c>
      <c r="N14" s="11">
        <f>+COUNTIFS('muddati otgan'!C:C,A14,'muddati otgan'!J:J,"Arizani yo'naltirish")</f>
        <v>0</v>
      </c>
      <c r="O14" s="11">
        <f>+COUNTIFS('muddati otgan'!C:C,A14,'muddati otgan'!J:J,"Rad qilish sababini o'rganish")</f>
        <v>0</v>
      </c>
      <c r="P14" s="11">
        <f>+COUNTIFS('muddati otgan'!C:C,A14,'muddati otgan'!J:J,"Ko'chmas mulkni UZKAD ga migratsiya qilish")</f>
        <v>0</v>
      </c>
      <c r="Q14" s="11">
        <f>+COUNTIFS('muddati otgan'!C:C,A14,'muddati otgan'!J:J,"Migratisya qilingan obyekt holatini tekshirish")</f>
        <v>0</v>
      </c>
      <c r="R14" s="11">
        <f>+COUNTIFS('muddati otgan'!C:C,A14,'muddati otgan'!J:J,"Ko‘chmas mulkni tanlash")</f>
        <v>0</v>
      </c>
      <c r="S14" s="11">
        <f>+COUNTIFS('muddati otgan'!C:C,A14,'muddati otgan'!J:J,"Arizani ko'rib chiqish")</f>
        <v>0</v>
      </c>
      <c r="T14" s="11">
        <f>+COUNTIFS('muddati otgan'!C:C,A14,'muddati otgan'!J:J,"Kadastr muhandisini tanlash")</f>
        <v>0</v>
      </c>
      <c r="U14" s="11">
        <f>+COUNTIFS('muddati otgan'!C:C,A14,'muddati otgan'!J:J,"Ko'chmas mulk turini tanlahsh")</f>
        <v>0</v>
      </c>
      <c r="V14" s="11">
        <f>+COUNTIFS('muddati otgan'!C:C,A14,'muddati otgan'!AA:AA,"Rad qilish")</f>
        <v>0</v>
      </c>
      <c r="W14" s="11">
        <f>+COUNTIFS('muddati otgan'!C:C,A14,'muddati otgan'!J:J,"ijrochi tanlash")</f>
        <v>0</v>
      </c>
      <c r="X14" s="11">
        <f>+COUNTIFS('muddati otgan'!C:C,A14,'muddati otgan'!J:J,"Ko'chmas mulk turini tanlash")</f>
        <v>0</v>
      </c>
      <c r="Y14" s="11">
        <f t="shared" si="7"/>
        <v>0</v>
      </c>
      <c r="Z14" s="11">
        <f>+COUNTIFS('muddati otgan'!C:C,A14,'muddati otgan'!J:J,"Ijroga qabul qilish")</f>
        <v>0</v>
      </c>
      <c r="AA14" s="11">
        <f>+COUNTIFS('muddati otgan'!C:C,A14,'muddati otgan'!J:J,"Joyida o'rganish va ma'lumotlarni kiritish")</f>
        <v>0</v>
      </c>
      <c r="AB14" s="11">
        <f>+COUNTIFS('muddati otgan'!C:C,A14,'muddati otgan'!J:J,"Asosiy qismdan ajratish jarayonida")</f>
        <v>0</v>
      </c>
      <c r="AC14" s="11">
        <f>+COUNTIFS('muddati otgan'!C:C,A14,'muddati otgan'!J:J,"Umumiy foydalanishdagi obyekt yaratilish")</f>
        <v>0</v>
      </c>
      <c r="AD14" s="11">
        <f>+COUNTIFS('muddati otgan'!C:C,A14,'muddati otgan'!J:J,"Migratsiya qilinadigan kadastr raqamini kiritish")</f>
        <v>0</v>
      </c>
      <c r="AE14" s="11">
        <f>+COUNTIFS('muddati otgan'!C:C,A14,'muddati otgan'!J:J,"O'zida qolgan obyektni yaratish")</f>
        <v>0</v>
      </c>
      <c r="AF14" s="11">
        <f>+COUNTIFS('muddati otgan'!C:C,A14,'muddati otgan'!J:J,"O'lchov natijalarini kiritish")</f>
        <v>0</v>
      </c>
      <c r="AG14" s="11">
        <f>+COUNTIFS('muddati otgan'!C:C,A14,'muddati otgan'!J:J,"Topoxaritani tayyorlash (dwg, pdf)")</f>
        <v>0</v>
      </c>
      <c r="AH14" s="11">
        <f t="shared" si="8"/>
        <v>0</v>
      </c>
      <c r="AI14" s="11">
        <f>+COUNTIFS('muddati otgan'!C:C,A14,'muddati otgan'!J:J,"Yer uchastkasini yaratish")</f>
        <v>0</v>
      </c>
      <c r="AJ14" s="11">
        <f t="shared" si="9"/>
        <v>0</v>
      </c>
      <c r="AK14" s="11">
        <f>+COUNTIFS('muddati otgan'!C:C,A14,'muddati otgan'!J:J,"Kelishish (Boshqarma)")</f>
        <v>0</v>
      </c>
      <c r="AL14" s="11">
        <f t="shared" si="10"/>
        <v>0</v>
      </c>
      <c r="AM14" s="11">
        <f>+COUNTIFS('muddati otgan'!C:C,A14,'muddati otgan'!J:J,"Kelishish (DKP)")</f>
        <v>0</v>
      </c>
      <c r="AN14" s="11">
        <f>+COUNTIFS('muddati otgan'!C:C,A14,'muddati otgan'!J:J,"Kelishish")</f>
        <v>0</v>
      </c>
      <c r="AO14" s="11">
        <f>+COUNTIFS('muddati otgan'!C:C,A14,'muddati otgan'!J:J,"Kelishish (Registratsiya DKP)")</f>
        <v>0</v>
      </c>
      <c r="AP14" s="11">
        <f t="shared" si="11"/>
        <v>0</v>
      </c>
      <c r="AQ14" s="11">
        <f>+COUNTIFS('muddati otgan'!C:C,A14,'muddati otgan'!J:J,"Manzil biriktirish")</f>
        <v>0</v>
      </c>
      <c r="AR14" s="11">
        <f>+COUNTIFS('muddati otgan'!C:C,A14,'muddati otgan'!J:J,"Bino va inshootlarni yaratish")</f>
        <v>0</v>
      </c>
      <c r="AS14" s="11">
        <f>+COUNTIFS('muddati otgan'!C:C,A14,'muddati otgan'!J:J,"Dov daraxtlarni yaratish")</f>
        <v>0</v>
      </c>
      <c r="AT14" s="11">
        <f>+COUNTIFS('muddati otgan'!C:C,A14,'muddati otgan'!J:J,"Yer uchastkasini tahrirlash")</f>
        <v>0</v>
      </c>
      <c r="AU14" s="11">
        <f t="shared" si="12"/>
        <v>0</v>
      </c>
      <c r="AV14" s="11">
        <f>+COUNTIFS('muddati otgan'!C:C,A14,'muddati otgan'!J:J,"Yer toifasi va maqsadini kiritish")</f>
        <v>0</v>
      </c>
      <c r="AW14" s="11">
        <f>+COUNTIFS('muddati otgan'!C:C,A14,'muddati otgan'!J:J,"Auksion yer tekshirish")</f>
        <v>0</v>
      </c>
      <c r="AX14" s="11">
        <f>+COUNTIFS('muddati otgan'!C:C,A14,'muddati otgan'!J:J,"Yer turlarini kiritish")</f>
        <v>0</v>
      </c>
      <c r="AY14" s="11">
        <f>+COUNTIFS('muddati otgan'!C:C,A14,'muddati otgan'!J:J,"Ma'lumotlarni kiritish")</f>
        <v>0</v>
      </c>
      <c r="AZ14" s="11">
        <f>+COUNTIFS('muddati otgan'!C:C,A14,'muddati otgan'!J:J,"Yer tekshirish")</f>
        <v>0</v>
      </c>
      <c r="BA14" s="11">
        <f t="shared" si="13"/>
        <v>0</v>
      </c>
      <c r="BB14" s="11">
        <f>+COUNTIFS('muddati otgan'!C:C,A14,'muddati otgan'!J:J,"Bino va inshoot ma'lumotlarini to‘ldirish")</f>
        <v>0</v>
      </c>
      <c r="BC14" s="11">
        <f>+COUNTIFS('muddati otgan'!C:C,A14,'muddati otgan'!J:J,"Inventarizatsiya ma'lumotlarini to‘ldirish")</f>
        <v>0</v>
      </c>
      <c r="BD14" s="11">
        <f>+COUNTIFS('muddati otgan'!C:C,A14,'muddati otgan'!J:J,"Yer uchastkasiga huquqiy hujjatlarni kiritsh")</f>
        <v>0</v>
      </c>
      <c r="BE14" s="11">
        <f>+COUNTIFS('muddati otgan'!C:C,A14,'muddati otgan'!J:J,"Bino-inshootlarga huquqiy hujjatlarni kiritsh")</f>
        <v>0</v>
      </c>
      <c r="BF14" s="11">
        <f>+COUNTIFS('muddati otgan'!C:C,A14,'muddati otgan'!J:J,"Kadastr qiymatini hisoblash va kiritish")</f>
        <v>0</v>
      </c>
      <c r="BG14" s="11">
        <f>+COUNTIFS('muddati otgan'!C:C,A14,'muddati otgan'!J:J,"Kadastr raqam biriktirish")</f>
        <v>0</v>
      </c>
      <c r="BH14" s="11">
        <f>+COUNTIFS('muddati otgan'!C:C,A14,'muddati otgan'!J:J,"Kadastr yig'ma jildni tayyorlash")</f>
        <v>0</v>
      </c>
      <c r="BI14" s="11">
        <f>+COUNTIFS('muddati otgan'!C:C,A14,'muddati otgan'!J:J,"Huquqni yaratish")</f>
        <v>0</v>
      </c>
      <c r="BJ14" s="11">
        <f>+COUNTIFS('muddati otgan'!C:C,A14,'muddati otgan'!J:J,"Hujjatlarni o'rganish")</f>
        <v>0</v>
      </c>
      <c r="BK14" s="11">
        <f>+COUNTIFS('muddati otgan'!C:C,A14,'muddati otgan'!J:J,"Ma'lumotlarni tekshirish")</f>
        <v>0</v>
      </c>
      <c r="BL14" s="11">
        <f t="shared" si="14"/>
        <v>0</v>
      </c>
      <c r="BM14" s="11">
        <f>+COUNTIFS('muddati otgan'!C:C,A14,'muddati otgan'!J:J,"Tekshirish")</f>
        <v>0</v>
      </c>
      <c r="BN14" s="11">
        <f>+COUNTIFS('muddati otgan'!C:C,A14,'muddati otgan'!J:J,"Hujjatlarni tekshirish")</f>
        <v>0</v>
      </c>
      <c r="BO14" s="11">
        <f>+COUNTIFS('muddati otgan'!C:C,A14,'muddati otgan'!J:J,"Tasdiqlash")</f>
        <v>0</v>
      </c>
      <c r="BP14" s="11">
        <f>+COUNTIFS('muddati otgan'!C:C,A14,'muddati otgan'!J:J,"tekshirish/tasdiqlash")</f>
        <v>0</v>
      </c>
      <c r="BQ14" s="11">
        <f>+COUNTIFS('muddati otgan'!C:C,A14,'muddati otgan'!J:J,"Ma'lumotlarni tasdiqlash")</f>
        <v>0</v>
      </c>
      <c r="BR14" s="11">
        <f t="shared" si="15"/>
        <v>3</v>
      </c>
      <c r="BS14" s="11">
        <f>+COUNTIFS('muddati otgan'!C:C,A14,'muddati otgan'!J:J,"Ro'yxatdan o'tkazish ma'lumotlarini tekshirish")</f>
        <v>3</v>
      </c>
      <c r="BT14" s="11">
        <f>+COUNTIFS('muddati otgan'!C:C,A14,'muddati otgan'!J:J,"Kamchiliklar bo'yicha habarnoma yuborish va 3 kunga to'xtatish")</f>
        <v>0</v>
      </c>
      <c r="BU14" s="11">
        <f>+COUNTIFS('muddati otgan'!C:C,A14,'muddati otgan'!J:J,"Hisobga olish")</f>
        <v>0</v>
      </c>
      <c r="BV14" s="11">
        <f>+COUNTIFS('muddati otgan'!C:C,A14,'muddati otgan'!J:J,"Yer uchastkasiga huquq yaratish")</f>
        <v>0</v>
      </c>
      <c r="BW14" s="11">
        <f>+COUNTIFS('muddati otgan'!C:C,A14,'muddati otgan'!J:J,"Bino-inshootga huquq yaratish")</f>
        <v>0</v>
      </c>
      <c r="BX14" s="11">
        <f>+COUNTIFS('muddati otgan'!C:C,A14,'muddati otgan'!J:J,"Cheklov yaratish")</f>
        <v>0</v>
      </c>
      <c r="BY14" s="11">
        <f>+COUNTIFS('muddati otgan'!C:C,A14,'muddati otgan'!J:J,"Taqiq yaratish")</f>
        <v>0</v>
      </c>
      <c r="BZ14" s="11">
        <f t="shared" si="16"/>
        <v>0</v>
      </c>
      <c r="CA14" s="11">
        <f>+COUNTIFS('muddati otgan'!C:C,A14,'muddati otgan'!J:J,"Soliq maydonini tekshirish")</f>
        <v>0</v>
      </c>
      <c r="CB14" s="11">
        <f t="shared" si="17"/>
        <v>0</v>
      </c>
      <c r="CC14" s="11">
        <f>+COUNTIFS('muddati otgan'!C:C,A14,'muddati otgan'!J:J,"Kadastr yig'majildini shakllantirish")</f>
        <v>0</v>
      </c>
      <c r="CD14" s="11">
        <f t="shared" si="18"/>
        <v>0</v>
      </c>
      <c r="CE14" s="11">
        <f>+COUNTIFS('muddati otgan'!C:C,A14,'muddati otgan'!J:J,"Kadastr passportini shakllantirish")</f>
        <v>0</v>
      </c>
      <c r="CF14" s="11">
        <f>+COUNTIFS('muddati otgan'!C:C,A14,'muddati otgan'!J:J,"Yig'ma jildni tasdiqlash")</f>
        <v>0</v>
      </c>
      <c r="CG14" s="11">
        <f>+COUNTIFS('muddati otgan'!C:C,A14,'muddati otgan'!J:J,"To'lov yoki bepul tasdiqlash")</f>
        <v>0</v>
      </c>
      <c r="CH14" s="11">
        <f>+COUNTIFS('muddati otgan'!C:C,A14,'muddati otgan'!J:J,"Bog'liq arizani kutish")</f>
        <v>0</v>
      </c>
      <c r="CI14" s="11">
        <f>+COUNTIFS('muddati otgan'!C:C,A14,'muddati otgan'!J:J,"To'lovga chiqarish")</f>
        <v>0</v>
      </c>
      <c r="CJ14" s="11">
        <f>+COUNTIFS('muddati otgan'!C:C,A14,'muddati otgan'!J:J,"Hisobga qo'yish")</f>
        <v>0</v>
      </c>
      <c r="CK14" s="6">
        <f>+COUNTIFS('muddati otgan'!C:C,A14,'muddati otgan'!J:J,"To'lov kutilmoqda")</f>
        <v>0</v>
      </c>
      <c r="CL14" s="11">
        <f t="shared" si="19"/>
        <v>0</v>
      </c>
      <c r="CM14" s="11">
        <f>+COUNTIFS('muddati otgan'!C:C,A14,'muddati otgan'!AA:AA,"Arizani qabul qilish2")</f>
        <v>0</v>
      </c>
      <c r="CN14" s="11">
        <f>+COUNTIFS('muddati otgan'!C:C,A14,'muddati otgan'!J:J,"Huquqlarni tekshirish")</f>
        <v>0</v>
      </c>
      <c r="CO14" s="11">
        <f>+COUNTIFS('muddati otgan'!C:C,A14,'muddati otgan'!J:J,"Ko'chmas mulkni ro'yhatdan o'tkazishga qabul qilish")</f>
        <v>0</v>
      </c>
      <c r="CP14" s="11">
        <f>+COUNTIFS('muddati otgan'!C:C,A14,'muddati otgan'!J:J,"Ro'yxatdan o'tkazish")</f>
        <v>0</v>
      </c>
      <c r="CQ14" s="11">
        <f>+COUNTIFS('muddati otgan'!C:C,A14,'muddati otgan'!J:J,"Kadastr pasporti va ko'chirmani yuborish")</f>
        <v>0</v>
      </c>
      <c r="CR14" s="11">
        <f>+COUNTIFS('muddati otgan'!C:C,A14,'muddati otgan'!AA:AA,"Rad qilish2")</f>
        <v>0</v>
      </c>
      <c r="CS14" s="11">
        <f>+COUNTIFS('muddati otgan'!C:C,A14,'muddati otgan'!J:J,"Ko'chirmani yuborish")</f>
        <v>0</v>
      </c>
      <c r="CT14" s="11">
        <f>+COUNTIFS('muddati otgan'!C:C,A14,'muddati otgan'!J:J,"Ma‘lumotlarni tekshirish")</f>
        <v>0</v>
      </c>
      <c r="CU14" s="11">
        <f t="shared" si="20"/>
        <v>0</v>
      </c>
      <c r="CV14" s="11">
        <f>+COUNTIFS('muddati otgan'!C:C,A14,'muddati otgan'!J:J,"Kadastr yig'majildini chop etish va arxiv ishiga tikish")</f>
        <v>0</v>
      </c>
      <c r="CW14" s="11">
        <f t="shared" si="21"/>
        <v>0</v>
      </c>
      <c r="CX14" s="11">
        <f>+COUNTIFS('muddati otgan'!C:C,A14,'muddati otgan'!J:J,"Kadastr yig‘majildini qabul qilish, arizani yakunlash")</f>
        <v>0</v>
      </c>
      <c r="CY14" s="11">
        <f>+COUNTIFS('muddati otgan'!C:C,A14,'muddati otgan'!J:J,"Next Cloudga yuklash")</f>
        <v>0</v>
      </c>
      <c r="CZ14" s="6">
        <f>+COUNTIFS('muddati otgan'!C:C,A14,'muddati otgan'!J:J,"Kelishish kutilmoqda")</f>
        <v>0</v>
      </c>
      <c r="DA14" s="6">
        <f>+COUNTIFS('muddati otgan'!C:C,A14,'muddati otgan'!J:J,"Yakunlandi")</f>
        <v>0</v>
      </c>
      <c r="DB14" s="10">
        <f>+COUNTIFS('muddati otgan'!C:C,A14,'muddati otgan'!J:J,"Rad etildi")</f>
        <v>0</v>
      </c>
      <c r="DC14" s="100">
        <f t="shared" si="5"/>
        <v>-3</v>
      </c>
      <c r="DD14" s="44">
        <f>COUNTIFS('jami 1-20 kunlik arizalar'!C:C,A:A,'jami 1-20 kunlik arizalar'!S:S,"1")</f>
        <v>0</v>
      </c>
      <c r="DE14" s="11">
        <f>COUNTIFS('jami 1-20 kunlik arizalar'!C:C,A:A,'jami 1-20 kunlik arizalar'!S:S,"2")</f>
        <v>0</v>
      </c>
      <c r="DF14" s="11">
        <f>COUNTIFS('jami 1-20 kunlik arizalar'!C:C,A:A,'jami 1-20 kunlik arizalar'!S:S,"3")</f>
        <v>2</v>
      </c>
      <c r="DG14" s="11">
        <f>COUNTIFS('jami 1-20 kunlik arizalar'!C:C,A:A,'jami 1-20 kunlik arizalar'!S:S,"4")</f>
        <v>0</v>
      </c>
      <c r="DH14" s="11">
        <f>COUNTIFS('jami 1-20 kunlik arizalar'!C:C,A:A,'jami 1-20 kunlik arizalar'!S:S,"5")</f>
        <v>3</v>
      </c>
      <c r="DI14" s="11">
        <f>SUM(COUNTIFS('jami 1-20 kunlik arizalar'!C:C,A:A, 'jami 1-20 kunlik arizalar'!S:S, {6,7,8,9,10}))</f>
        <v>10</v>
      </c>
      <c r="DJ14" s="12">
        <f>SUM(COUNTIFS('jami 1-20 kunlik arizalar'!C:C,A:A, 'jami 1-20 kunlik arizalar'!S:S, "&gt;10"))</f>
        <v>5</v>
      </c>
    </row>
    <row r="15" spans="1:115" ht="39.950000000000003" hidden="1" customHeight="1" outlineLevel="1" x14ac:dyDescent="0.25">
      <c r="A15" s="92" t="s">
        <v>543</v>
      </c>
      <c r="B15" s="74"/>
      <c r="C15" s="70" t="s">
        <v>750</v>
      </c>
      <c r="D15" s="48">
        <f>+COUNTIFS('muddati otgan'!C:C,A15,'muddati otgan'!C:C,A15)</f>
        <v>1</v>
      </c>
      <c r="E15" s="10">
        <f>SUMIFS('muddati otgan'!$V:V,'muddati otgan'!$C:C,$A:A)</f>
        <v>0</v>
      </c>
      <c r="F15" s="10">
        <f>SUMIFS('muddati otgan'!$W:W,'muddati otgan'!$C:C,$A:A)</f>
        <v>0</v>
      </c>
      <c r="G15" s="24">
        <f>SUMIFS('muddati otgan'!$U:U,'muddati otgan'!$C:C,$A:A)</f>
        <v>1</v>
      </c>
      <c r="H15" s="11">
        <f>SUMIFS('muddati otgan'!$G:G,'muddati otgan'!$C:C,$A:A)</f>
        <v>1</v>
      </c>
      <c r="I15" s="12">
        <f>SUMIFS('muddati otgan'!$H:H,'muddati otgan'!$C:C,$A:A)</f>
        <v>0</v>
      </c>
      <c r="J15" s="44">
        <f t="shared" si="6"/>
        <v>0</v>
      </c>
      <c r="K15" s="11">
        <f>+COUNTIFS('muddati otgan'!C:C,A15,'muddati otgan'!AA:AA,"Arizani qabul qilish")</f>
        <v>0</v>
      </c>
      <c r="L15" s="11">
        <f>+COUNTIFS('muddati otgan'!C:C,A15,'muddati otgan'!J:J,"Arizani rad etish")</f>
        <v>0</v>
      </c>
      <c r="M15" s="11">
        <f>+COUNTIFS('muddati otgan'!C:C,A15,'muddati otgan'!J:J,"Arizani tasdiqlash")</f>
        <v>0</v>
      </c>
      <c r="N15" s="11">
        <f>+COUNTIFS('muddati otgan'!C:C,A15,'muddati otgan'!J:J,"Arizani yo'naltirish")</f>
        <v>0</v>
      </c>
      <c r="O15" s="11">
        <f>+COUNTIFS('muddati otgan'!C:C,A15,'muddati otgan'!J:J,"Rad qilish sababini o'rganish")</f>
        <v>0</v>
      </c>
      <c r="P15" s="11">
        <f>+COUNTIFS('muddati otgan'!C:C,A15,'muddati otgan'!J:J,"Ko'chmas mulkni UZKAD ga migratsiya qilish")</f>
        <v>0</v>
      </c>
      <c r="Q15" s="11">
        <f>+COUNTIFS('muddati otgan'!C:C,A15,'muddati otgan'!J:J,"Migratisya qilingan obyekt holatini tekshirish")</f>
        <v>0</v>
      </c>
      <c r="R15" s="11">
        <f>+COUNTIFS('muddati otgan'!C:C,A15,'muddati otgan'!J:J,"Ko‘chmas mulkni tanlash")</f>
        <v>0</v>
      </c>
      <c r="S15" s="11">
        <f>+COUNTIFS('muddati otgan'!C:C,A15,'muddati otgan'!J:J,"Arizani ko'rib chiqish")</f>
        <v>0</v>
      </c>
      <c r="T15" s="11">
        <f>+COUNTIFS('muddati otgan'!C:C,A15,'muddati otgan'!J:J,"Kadastr muhandisini tanlash")</f>
        <v>0</v>
      </c>
      <c r="U15" s="11">
        <f>+COUNTIFS('muddati otgan'!C:C,A15,'muddati otgan'!J:J,"Ko'chmas mulk turini tanlahsh")</f>
        <v>0</v>
      </c>
      <c r="V15" s="11">
        <f>+COUNTIFS('muddati otgan'!C:C,A15,'muddati otgan'!AA:AA,"Rad qilish")</f>
        <v>0</v>
      </c>
      <c r="W15" s="11">
        <f>+COUNTIFS('muddati otgan'!C:C,A15,'muddati otgan'!J:J,"ijrochi tanlash")</f>
        <v>0</v>
      </c>
      <c r="X15" s="11">
        <f>+COUNTIFS('muddati otgan'!C:C,A15,'muddati otgan'!J:J,"Ko'chmas mulk turini tanlash")</f>
        <v>0</v>
      </c>
      <c r="Y15" s="11">
        <f t="shared" si="7"/>
        <v>0</v>
      </c>
      <c r="Z15" s="11">
        <f>+COUNTIFS('muddati otgan'!C:C,A15,'muddati otgan'!J:J,"Ijroga qabul qilish")</f>
        <v>0</v>
      </c>
      <c r="AA15" s="11">
        <f>+COUNTIFS('muddati otgan'!C:C,A15,'muddati otgan'!J:J,"Joyida o'rganish va ma'lumotlarni kiritish")</f>
        <v>0</v>
      </c>
      <c r="AB15" s="11">
        <f>+COUNTIFS('muddati otgan'!C:C,A15,'muddati otgan'!J:J,"Asosiy qismdan ajratish jarayonida")</f>
        <v>0</v>
      </c>
      <c r="AC15" s="11">
        <f>+COUNTIFS('muddati otgan'!C:C,A15,'muddati otgan'!J:J,"Umumiy foydalanishdagi obyekt yaratilish")</f>
        <v>0</v>
      </c>
      <c r="AD15" s="11">
        <f>+COUNTIFS('muddati otgan'!C:C,A15,'muddati otgan'!J:J,"Migratsiya qilinadigan kadastr raqamini kiritish")</f>
        <v>0</v>
      </c>
      <c r="AE15" s="11">
        <f>+COUNTIFS('muddati otgan'!C:C,A15,'muddati otgan'!J:J,"O'zida qolgan obyektni yaratish")</f>
        <v>0</v>
      </c>
      <c r="AF15" s="11">
        <f>+COUNTIFS('muddati otgan'!C:C,A15,'muddati otgan'!J:J,"O'lchov natijalarini kiritish")</f>
        <v>0</v>
      </c>
      <c r="AG15" s="11">
        <f>+COUNTIFS('muddati otgan'!C:C,A15,'muddati otgan'!J:J,"Topoxaritani tayyorlash (dwg, pdf)")</f>
        <v>0</v>
      </c>
      <c r="AH15" s="11">
        <f t="shared" si="8"/>
        <v>0</v>
      </c>
      <c r="AI15" s="11">
        <f>+COUNTIFS('muddati otgan'!C:C,A15,'muddati otgan'!J:J,"Yer uchastkasini yaratish")</f>
        <v>0</v>
      </c>
      <c r="AJ15" s="11">
        <f t="shared" si="9"/>
        <v>0</v>
      </c>
      <c r="AK15" s="11">
        <f>+COUNTIFS('muddati otgan'!C:C,A15,'muddati otgan'!J:J,"Kelishish (Boshqarma)")</f>
        <v>0</v>
      </c>
      <c r="AL15" s="11">
        <f t="shared" si="10"/>
        <v>0</v>
      </c>
      <c r="AM15" s="11">
        <f>+COUNTIFS('muddati otgan'!C:C,A15,'muddati otgan'!J:J,"Kelishish (DKP)")</f>
        <v>0</v>
      </c>
      <c r="AN15" s="11">
        <f>+COUNTIFS('muddati otgan'!C:C,A15,'muddati otgan'!J:J,"Kelishish")</f>
        <v>0</v>
      </c>
      <c r="AO15" s="11">
        <f>+COUNTIFS('muddati otgan'!C:C,A15,'muddati otgan'!J:J,"Kelishish (Registratsiya DKP)")</f>
        <v>0</v>
      </c>
      <c r="AP15" s="11">
        <f t="shared" si="11"/>
        <v>0</v>
      </c>
      <c r="AQ15" s="11">
        <f>+COUNTIFS('muddati otgan'!C:C,A15,'muddati otgan'!J:J,"Manzil biriktirish")</f>
        <v>0</v>
      </c>
      <c r="AR15" s="11">
        <f>+COUNTIFS('muddati otgan'!C:C,A15,'muddati otgan'!J:J,"Bino va inshootlarni yaratish")</f>
        <v>0</v>
      </c>
      <c r="AS15" s="11">
        <f>+COUNTIFS('muddati otgan'!C:C,A15,'muddati otgan'!J:J,"Dov daraxtlarni yaratish")</f>
        <v>0</v>
      </c>
      <c r="AT15" s="11">
        <f>+COUNTIFS('muddati otgan'!C:C,A15,'muddati otgan'!J:J,"Yer uchastkasini tahrirlash")</f>
        <v>0</v>
      </c>
      <c r="AU15" s="11">
        <f t="shared" si="12"/>
        <v>0</v>
      </c>
      <c r="AV15" s="11">
        <f>+COUNTIFS('muddati otgan'!C:C,A15,'muddati otgan'!J:J,"Yer toifasi va maqsadini kiritish")</f>
        <v>0</v>
      </c>
      <c r="AW15" s="11">
        <f>+COUNTIFS('muddati otgan'!C:C,A15,'muddati otgan'!J:J,"Auksion yer tekshirish")</f>
        <v>0</v>
      </c>
      <c r="AX15" s="11">
        <f>+COUNTIFS('muddati otgan'!C:C,A15,'muddati otgan'!J:J,"Yer turlarini kiritish")</f>
        <v>0</v>
      </c>
      <c r="AY15" s="11">
        <f>+COUNTIFS('muddati otgan'!C:C,A15,'muddati otgan'!J:J,"Ma'lumotlarni kiritish")</f>
        <v>0</v>
      </c>
      <c r="AZ15" s="11">
        <f>+COUNTIFS('muddati otgan'!C:C,A15,'muddati otgan'!J:J,"Yer tekshirish")</f>
        <v>0</v>
      </c>
      <c r="BA15" s="11">
        <f t="shared" si="13"/>
        <v>0</v>
      </c>
      <c r="BB15" s="11">
        <f>+COUNTIFS('muddati otgan'!C:C,A15,'muddati otgan'!J:J,"Bino va inshoot ma'lumotlarini to‘ldirish")</f>
        <v>0</v>
      </c>
      <c r="BC15" s="11">
        <f>+COUNTIFS('muddati otgan'!C:C,A15,'muddati otgan'!J:J,"Inventarizatsiya ma'lumotlarini to‘ldirish")</f>
        <v>0</v>
      </c>
      <c r="BD15" s="11">
        <f>+COUNTIFS('muddati otgan'!C:C,A15,'muddati otgan'!J:J,"Yer uchastkasiga huquqiy hujjatlarni kiritsh")</f>
        <v>0</v>
      </c>
      <c r="BE15" s="11">
        <f>+COUNTIFS('muddati otgan'!C:C,A15,'muddati otgan'!J:J,"Bino-inshootlarga huquqiy hujjatlarni kiritsh")</f>
        <v>0</v>
      </c>
      <c r="BF15" s="11">
        <f>+COUNTIFS('muddati otgan'!C:C,A15,'muddati otgan'!J:J,"Kadastr qiymatini hisoblash va kiritish")</f>
        <v>0</v>
      </c>
      <c r="BG15" s="11">
        <f>+COUNTIFS('muddati otgan'!C:C,A15,'muddati otgan'!J:J,"Kadastr raqam biriktirish")</f>
        <v>0</v>
      </c>
      <c r="BH15" s="11">
        <f>+COUNTIFS('muddati otgan'!C:C,A15,'muddati otgan'!J:J,"Kadastr yig'ma jildni tayyorlash")</f>
        <v>0</v>
      </c>
      <c r="BI15" s="11">
        <f>+COUNTIFS('muddati otgan'!C:C,A15,'muddati otgan'!J:J,"Huquqni yaratish")</f>
        <v>0</v>
      </c>
      <c r="BJ15" s="11">
        <f>+COUNTIFS('muddati otgan'!C:C,A15,'muddati otgan'!J:J,"Hujjatlarni o'rganish")</f>
        <v>0</v>
      </c>
      <c r="BK15" s="11">
        <f>+COUNTIFS('muddati otgan'!C:C,A15,'muddati otgan'!J:J,"Ma'lumotlarni tekshirish")</f>
        <v>0</v>
      </c>
      <c r="BL15" s="11">
        <f t="shared" si="14"/>
        <v>0</v>
      </c>
      <c r="BM15" s="11">
        <f>+COUNTIFS('muddati otgan'!C:C,A15,'muddati otgan'!J:J,"Tekshirish")</f>
        <v>0</v>
      </c>
      <c r="BN15" s="11">
        <f>+COUNTIFS('muddati otgan'!C:C,A15,'muddati otgan'!J:J,"Hujjatlarni tekshirish")</f>
        <v>0</v>
      </c>
      <c r="BO15" s="11">
        <f>+COUNTIFS('muddati otgan'!C:C,A15,'muddati otgan'!J:J,"Tasdiqlash")</f>
        <v>0</v>
      </c>
      <c r="BP15" s="11">
        <f>+COUNTIFS('muddati otgan'!C:C,A15,'muddati otgan'!J:J,"tekshirish/tasdiqlash")</f>
        <v>0</v>
      </c>
      <c r="BQ15" s="11">
        <f>+COUNTIFS('muddati otgan'!C:C,A15,'muddati otgan'!J:J,"Ma'lumotlarni tasdiqlash")</f>
        <v>0</v>
      </c>
      <c r="BR15" s="11">
        <f t="shared" si="15"/>
        <v>0</v>
      </c>
      <c r="BS15" s="11">
        <f>+COUNTIFS('muddati otgan'!C:C,A15,'muddati otgan'!J:J,"Ro'yxatdan o'tkazish ma'lumotlarini tekshirish")</f>
        <v>0</v>
      </c>
      <c r="BT15" s="11">
        <f>+COUNTIFS('muddati otgan'!C:C,A15,'muddati otgan'!J:J,"Kamchiliklar bo'yicha habarnoma yuborish va 3 kunga to'xtatish")</f>
        <v>0</v>
      </c>
      <c r="BU15" s="11">
        <f>+COUNTIFS('muddati otgan'!C:C,A15,'muddati otgan'!J:J,"Hisobga olish")</f>
        <v>0</v>
      </c>
      <c r="BV15" s="11">
        <f>+COUNTIFS('muddati otgan'!C:C,A15,'muddati otgan'!J:J,"Yer uchastkasiga huquq yaratish")</f>
        <v>0</v>
      </c>
      <c r="BW15" s="11">
        <f>+COUNTIFS('muddati otgan'!C:C,A15,'muddati otgan'!J:J,"Bino-inshootga huquq yaratish")</f>
        <v>0</v>
      </c>
      <c r="BX15" s="11">
        <f>+COUNTIFS('muddati otgan'!C:C,A15,'muddati otgan'!J:J,"Cheklov yaratish")</f>
        <v>0</v>
      </c>
      <c r="BY15" s="11">
        <f>+COUNTIFS('muddati otgan'!C:C,A15,'muddati otgan'!J:J,"Taqiq yaratish")</f>
        <v>0</v>
      </c>
      <c r="BZ15" s="11">
        <f t="shared" si="16"/>
        <v>0</v>
      </c>
      <c r="CA15" s="11">
        <f>+COUNTIFS('muddati otgan'!C:C,A15,'muddati otgan'!J:J,"Soliq maydonini tekshirish")</f>
        <v>0</v>
      </c>
      <c r="CB15" s="11">
        <f t="shared" si="17"/>
        <v>0</v>
      </c>
      <c r="CC15" s="11">
        <f>+COUNTIFS('muddati otgan'!C:C,A15,'muddati otgan'!J:J,"Kadastr yig'majildini shakllantirish")</f>
        <v>0</v>
      </c>
      <c r="CD15" s="11">
        <f t="shared" si="18"/>
        <v>0</v>
      </c>
      <c r="CE15" s="11">
        <f>+COUNTIFS('muddati otgan'!C:C,A15,'muddati otgan'!J:J,"Kadastr passportini shakllantirish")</f>
        <v>0</v>
      </c>
      <c r="CF15" s="11">
        <f>+COUNTIFS('muddati otgan'!C:C,A15,'muddati otgan'!J:J,"Yig'ma jildni tasdiqlash")</f>
        <v>0</v>
      </c>
      <c r="CG15" s="11">
        <f>+COUNTIFS('muddati otgan'!C:C,A15,'muddati otgan'!J:J,"To'lov yoki bepul tasdiqlash")</f>
        <v>0</v>
      </c>
      <c r="CH15" s="11">
        <f>+COUNTIFS('muddati otgan'!C:C,A15,'muddati otgan'!J:J,"Bog'liq arizani kutish")</f>
        <v>0</v>
      </c>
      <c r="CI15" s="11">
        <f>+COUNTIFS('muddati otgan'!C:C,A15,'muddati otgan'!J:J,"To'lovga chiqarish")</f>
        <v>0</v>
      </c>
      <c r="CJ15" s="11">
        <f>+COUNTIFS('muddati otgan'!C:C,A15,'muddati otgan'!J:J,"Hisobga qo'yish")</f>
        <v>0</v>
      </c>
      <c r="CK15" s="6">
        <f>+COUNTIFS('muddati otgan'!C:C,A15,'muddati otgan'!J:J,"To'lov kutilmoqda")</f>
        <v>1</v>
      </c>
      <c r="CL15" s="11">
        <f t="shared" si="19"/>
        <v>0</v>
      </c>
      <c r="CM15" s="11">
        <f>+COUNTIFS('muddati otgan'!C:C,A15,'muddati otgan'!AA:AA,"Arizani qabul qilish2")</f>
        <v>0</v>
      </c>
      <c r="CN15" s="11">
        <f>+COUNTIFS('muddati otgan'!C:C,A15,'muddati otgan'!J:J,"Huquqlarni tekshirish")</f>
        <v>0</v>
      </c>
      <c r="CO15" s="11">
        <f>+COUNTIFS('muddati otgan'!C:C,A15,'muddati otgan'!J:J,"Ko'chmas mulkni ro'yhatdan o'tkazishga qabul qilish")</f>
        <v>0</v>
      </c>
      <c r="CP15" s="11">
        <f>+COUNTIFS('muddati otgan'!C:C,A15,'muddati otgan'!J:J,"Ro'yxatdan o'tkazish")</f>
        <v>0</v>
      </c>
      <c r="CQ15" s="11">
        <f>+COUNTIFS('muddati otgan'!C:C,A15,'muddati otgan'!J:J,"Kadastr pasporti va ko'chirmani yuborish")</f>
        <v>0</v>
      </c>
      <c r="CR15" s="11">
        <f>+COUNTIFS('muddati otgan'!C:C,A15,'muddati otgan'!AA:AA,"Rad qilish2")</f>
        <v>0</v>
      </c>
      <c r="CS15" s="11">
        <f>+COUNTIFS('muddati otgan'!C:C,A15,'muddati otgan'!J:J,"Ko'chirmani yuborish")</f>
        <v>0</v>
      </c>
      <c r="CT15" s="11">
        <f>+COUNTIFS('muddati otgan'!C:C,A15,'muddati otgan'!J:J,"Ma‘lumotlarni tekshirish")</f>
        <v>0</v>
      </c>
      <c r="CU15" s="11">
        <f t="shared" si="20"/>
        <v>0</v>
      </c>
      <c r="CV15" s="11">
        <f>+COUNTIFS('muddati otgan'!C:C,A15,'muddati otgan'!J:J,"Kadastr yig'majildini chop etish va arxiv ishiga tikish")</f>
        <v>0</v>
      </c>
      <c r="CW15" s="11">
        <f t="shared" si="21"/>
        <v>0</v>
      </c>
      <c r="CX15" s="11">
        <f>+COUNTIFS('muddati otgan'!C:C,A15,'muddati otgan'!J:J,"Kadastr yig‘majildini qabul qilish, arizani yakunlash")</f>
        <v>0</v>
      </c>
      <c r="CY15" s="11">
        <f>+COUNTIFS('muddati otgan'!C:C,A15,'muddati otgan'!J:J,"Next Cloudga yuklash")</f>
        <v>0</v>
      </c>
      <c r="CZ15" s="6">
        <f>+COUNTIFS('muddati otgan'!C:C,A15,'muddati otgan'!J:J,"Kelishish kutilmoqda")</f>
        <v>0</v>
      </c>
      <c r="DA15" s="6">
        <f>+COUNTIFS('muddati otgan'!C:C,A15,'muddati otgan'!J:J,"Yakunlandi")</f>
        <v>0</v>
      </c>
      <c r="DB15" s="10">
        <f>+COUNTIFS('muddati otgan'!C:C,A15,'muddati otgan'!J:J,"Rad etildi")</f>
        <v>0</v>
      </c>
      <c r="DC15" s="100">
        <f t="shared" si="5"/>
        <v>0</v>
      </c>
      <c r="DD15" s="44">
        <f>COUNTIFS('jami 1-20 kunlik arizalar'!C:C,A:A,'jami 1-20 kunlik arizalar'!S:S,"1")</f>
        <v>0</v>
      </c>
      <c r="DE15" s="11">
        <f>COUNTIFS('jami 1-20 kunlik arizalar'!C:C,A:A,'jami 1-20 kunlik arizalar'!S:S,"2")</f>
        <v>0</v>
      </c>
      <c r="DF15" s="11">
        <f>COUNTIFS('jami 1-20 kunlik arizalar'!C:C,A:A,'jami 1-20 kunlik arizalar'!S:S,"3")</f>
        <v>1</v>
      </c>
      <c r="DG15" s="11">
        <f>COUNTIFS('jami 1-20 kunlik arizalar'!C:C,A:A,'jami 1-20 kunlik arizalar'!S:S,"4")</f>
        <v>1</v>
      </c>
      <c r="DH15" s="11">
        <f>COUNTIFS('jami 1-20 kunlik arizalar'!C:C,A:A,'jami 1-20 kunlik arizalar'!S:S,"5")</f>
        <v>0</v>
      </c>
      <c r="DI15" s="11">
        <f>SUM(COUNTIFS('jami 1-20 kunlik arizalar'!C:C,A:A, 'jami 1-20 kunlik arizalar'!S:S, {6,7,8,9,10}))</f>
        <v>7</v>
      </c>
      <c r="DJ15" s="12">
        <f>SUM(COUNTIFS('jami 1-20 kunlik arizalar'!C:C,A:A, 'jami 1-20 kunlik arizalar'!S:S, "&gt;10"))</f>
        <v>1</v>
      </c>
    </row>
    <row r="16" spans="1:115" ht="39.950000000000003" hidden="1" customHeight="1" outlineLevel="1" x14ac:dyDescent="0.25">
      <c r="A16" s="92" t="s">
        <v>549</v>
      </c>
      <c r="B16" s="74"/>
      <c r="C16" s="70" t="s">
        <v>751</v>
      </c>
      <c r="D16" s="48">
        <f>+COUNTIFS('muddati otgan'!C:C,A16,'muddati otgan'!C:C,A16)</f>
        <v>2</v>
      </c>
      <c r="E16" s="10">
        <f>SUMIFS('muddati otgan'!$V:V,'muddati otgan'!$C:C,$A:A)</f>
        <v>1</v>
      </c>
      <c r="F16" s="10">
        <f>SUMIFS('muddati otgan'!$W:W,'muddati otgan'!$C:C,$A:A)</f>
        <v>0</v>
      </c>
      <c r="G16" s="24">
        <f>SUMIFS('muddati otgan'!$U:U,'muddati otgan'!$C:C,$A:A)</f>
        <v>1</v>
      </c>
      <c r="H16" s="11">
        <f>SUMIFS('muddati otgan'!$G:G,'muddati otgan'!$C:C,$A:A)</f>
        <v>2</v>
      </c>
      <c r="I16" s="12">
        <f>SUMIFS('muddati otgan'!$H:H,'muddati otgan'!$C:C,$A:A)</f>
        <v>0</v>
      </c>
      <c r="J16" s="44">
        <f t="shared" si="6"/>
        <v>0</v>
      </c>
      <c r="K16" s="11">
        <f>+COUNTIFS('muddati otgan'!C:C,A16,'muddati otgan'!AA:AA,"Arizani qabul qilish")</f>
        <v>0</v>
      </c>
      <c r="L16" s="11">
        <f>+COUNTIFS('muddati otgan'!C:C,A16,'muddati otgan'!J:J,"Arizani rad etish")</f>
        <v>0</v>
      </c>
      <c r="M16" s="11">
        <f>+COUNTIFS('muddati otgan'!C:C,A16,'muddati otgan'!J:J,"Arizani tasdiqlash")</f>
        <v>0</v>
      </c>
      <c r="N16" s="11">
        <f>+COUNTIFS('muddati otgan'!C:C,A16,'muddati otgan'!J:J,"Arizani yo'naltirish")</f>
        <v>0</v>
      </c>
      <c r="O16" s="11">
        <f>+COUNTIFS('muddati otgan'!C:C,A16,'muddati otgan'!J:J,"Rad qilish sababini o'rganish")</f>
        <v>0</v>
      </c>
      <c r="P16" s="11">
        <f>+COUNTIFS('muddati otgan'!C:C,A16,'muddati otgan'!J:J,"Ko'chmas mulkni UZKAD ga migratsiya qilish")</f>
        <v>0</v>
      </c>
      <c r="Q16" s="11">
        <f>+COUNTIFS('muddati otgan'!C:C,A16,'muddati otgan'!J:J,"Migratisya qilingan obyekt holatini tekshirish")</f>
        <v>0</v>
      </c>
      <c r="R16" s="11">
        <f>+COUNTIFS('muddati otgan'!C:C,A16,'muddati otgan'!J:J,"Ko‘chmas mulkni tanlash")</f>
        <v>0</v>
      </c>
      <c r="S16" s="11">
        <f>+COUNTIFS('muddati otgan'!C:C,A16,'muddati otgan'!J:J,"Arizani ko'rib chiqish")</f>
        <v>0</v>
      </c>
      <c r="T16" s="11">
        <f>+COUNTIFS('muddati otgan'!C:C,A16,'muddati otgan'!J:J,"Kadastr muhandisini tanlash")</f>
        <v>0</v>
      </c>
      <c r="U16" s="11">
        <f>+COUNTIFS('muddati otgan'!C:C,A16,'muddati otgan'!J:J,"Ko'chmas mulk turini tanlahsh")</f>
        <v>0</v>
      </c>
      <c r="V16" s="11">
        <f>+COUNTIFS('muddati otgan'!C:C,A16,'muddati otgan'!AA:AA,"Rad qilish")</f>
        <v>0</v>
      </c>
      <c r="W16" s="11">
        <f>+COUNTIFS('muddati otgan'!C:C,A16,'muddati otgan'!J:J,"ijrochi tanlash")</f>
        <v>0</v>
      </c>
      <c r="X16" s="11">
        <f>+COUNTIFS('muddati otgan'!C:C,A16,'muddati otgan'!J:J,"Ko'chmas mulk turini tanlash")</f>
        <v>0</v>
      </c>
      <c r="Y16" s="11">
        <f t="shared" si="7"/>
        <v>0</v>
      </c>
      <c r="Z16" s="11">
        <f>+COUNTIFS('muddati otgan'!C:C,A16,'muddati otgan'!J:J,"Ijroga qabul qilish")</f>
        <v>0</v>
      </c>
      <c r="AA16" s="11">
        <f>+COUNTIFS('muddati otgan'!C:C,A16,'muddati otgan'!J:J,"Joyida o'rganish va ma'lumotlarni kiritish")</f>
        <v>0</v>
      </c>
      <c r="AB16" s="11">
        <f>+COUNTIFS('muddati otgan'!C:C,A16,'muddati otgan'!J:J,"Asosiy qismdan ajratish jarayonida")</f>
        <v>0</v>
      </c>
      <c r="AC16" s="11">
        <f>+COUNTIFS('muddati otgan'!C:C,A16,'muddati otgan'!J:J,"Umumiy foydalanishdagi obyekt yaratilish")</f>
        <v>0</v>
      </c>
      <c r="AD16" s="11">
        <f>+COUNTIFS('muddati otgan'!C:C,A16,'muddati otgan'!J:J,"Migratsiya qilinadigan kadastr raqamini kiritish")</f>
        <v>0</v>
      </c>
      <c r="AE16" s="11">
        <f>+COUNTIFS('muddati otgan'!C:C,A16,'muddati otgan'!J:J,"O'zida qolgan obyektni yaratish")</f>
        <v>0</v>
      </c>
      <c r="AF16" s="11">
        <f>+COUNTIFS('muddati otgan'!C:C,A16,'muddati otgan'!J:J,"O'lchov natijalarini kiritish")</f>
        <v>0</v>
      </c>
      <c r="AG16" s="11">
        <f>+COUNTIFS('muddati otgan'!C:C,A16,'muddati otgan'!J:J,"Topoxaritani tayyorlash (dwg, pdf)")</f>
        <v>0</v>
      </c>
      <c r="AH16" s="11">
        <f t="shared" si="8"/>
        <v>0</v>
      </c>
      <c r="AI16" s="11">
        <f>+COUNTIFS('muddati otgan'!C:C,A16,'muddati otgan'!J:J,"Yer uchastkasini yaratish")</f>
        <v>0</v>
      </c>
      <c r="AJ16" s="11">
        <f t="shared" si="9"/>
        <v>0</v>
      </c>
      <c r="AK16" s="11">
        <f>+COUNTIFS('muddati otgan'!C:C,A16,'muddati otgan'!J:J,"Kelishish (Boshqarma)")</f>
        <v>0</v>
      </c>
      <c r="AL16" s="11">
        <f t="shared" si="10"/>
        <v>0</v>
      </c>
      <c r="AM16" s="11">
        <f>+COUNTIFS('muddati otgan'!C:C,A16,'muddati otgan'!J:J,"Kelishish (DKP)")</f>
        <v>0</v>
      </c>
      <c r="AN16" s="11">
        <f>+COUNTIFS('muddati otgan'!C:C,A16,'muddati otgan'!J:J,"Kelishish")</f>
        <v>0</v>
      </c>
      <c r="AO16" s="11">
        <f>+COUNTIFS('muddati otgan'!C:C,A16,'muddati otgan'!J:J,"Kelishish (Registratsiya DKP)")</f>
        <v>0</v>
      </c>
      <c r="AP16" s="11">
        <f t="shared" si="11"/>
        <v>0</v>
      </c>
      <c r="AQ16" s="11">
        <f>+COUNTIFS('muddati otgan'!C:C,A16,'muddati otgan'!J:J,"Manzil biriktirish")</f>
        <v>0</v>
      </c>
      <c r="AR16" s="11">
        <f>+COUNTIFS('muddati otgan'!C:C,A16,'muddati otgan'!J:J,"Bino va inshootlarni yaratish")</f>
        <v>0</v>
      </c>
      <c r="AS16" s="11">
        <f>+COUNTIFS('muddati otgan'!C:C,A16,'muddati otgan'!J:J,"Dov daraxtlarni yaratish")</f>
        <v>0</v>
      </c>
      <c r="AT16" s="11">
        <f>+COUNTIFS('muddati otgan'!C:C,A16,'muddati otgan'!J:J,"Yer uchastkasini tahrirlash")</f>
        <v>0</v>
      </c>
      <c r="AU16" s="11">
        <f t="shared" si="12"/>
        <v>0</v>
      </c>
      <c r="AV16" s="11">
        <f>+COUNTIFS('muddati otgan'!C:C,A16,'muddati otgan'!J:J,"Yer toifasi va maqsadini kiritish")</f>
        <v>0</v>
      </c>
      <c r="AW16" s="11">
        <f>+COUNTIFS('muddati otgan'!C:C,A16,'muddati otgan'!J:J,"Auksion yer tekshirish")</f>
        <v>0</v>
      </c>
      <c r="AX16" s="11">
        <f>+COUNTIFS('muddati otgan'!C:C,A16,'muddati otgan'!J:J,"Yer turlarini kiritish")</f>
        <v>0</v>
      </c>
      <c r="AY16" s="11">
        <f>+COUNTIFS('muddati otgan'!C:C,A16,'muddati otgan'!J:J,"Ma'lumotlarni kiritish")</f>
        <v>0</v>
      </c>
      <c r="AZ16" s="11">
        <f>+COUNTIFS('muddati otgan'!C:C,A16,'muddati otgan'!J:J,"Yer tekshirish")</f>
        <v>0</v>
      </c>
      <c r="BA16" s="11">
        <f t="shared" si="13"/>
        <v>0</v>
      </c>
      <c r="BB16" s="11">
        <f>+COUNTIFS('muddati otgan'!C:C,A16,'muddati otgan'!J:J,"Bino va inshoot ma'lumotlarini to‘ldirish")</f>
        <v>0</v>
      </c>
      <c r="BC16" s="11">
        <f>+COUNTIFS('muddati otgan'!C:C,A16,'muddati otgan'!J:J,"Inventarizatsiya ma'lumotlarini to‘ldirish")</f>
        <v>0</v>
      </c>
      <c r="BD16" s="11">
        <f>+COUNTIFS('muddati otgan'!C:C,A16,'muddati otgan'!J:J,"Yer uchastkasiga huquqiy hujjatlarni kiritsh")</f>
        <v>0</v>
      </c>
      <c r="BE16" s="11">
        <f>+COUNTIFS('muddati otgan'!C:C,A16,'muddati otgan'!J:J,"Bino-inshootlarga huquqiy hujjatlarni kiritsh")</f>
        <v>0</v>
      </c>
      <c r="BF16" s="11">
        <f>+COUNTIFS('muddati otgan'!C:C,A16,'muddati otgan'!J:J,"Kadastr qiymatini hisoblash va kiritish")</f>
        <v>0</v>
      </c>
      <c r="BG16" s="11">
        <f>+COUNTIFS('muddati otgan'!C:C,A16,'muddati otgan'!J:J,"Kadastr raqam biriktirish")</f>
        <v>0</v>
      </c>
      <c r="BH16" s="11">
        <f>+COUNTIFS('muddati otgan'!C:C,A16,'muddati otgan'!J:J,"Kadastr yig'ma jildni tayyorlash")</f>
        <v>0</v>
      </c>
      <c r="BI16" s="11">
        <f>+COUNTIFS('muddati otgan'!C:C,A16,'muddati otgan'!J:J,"Huquqni yaratish")</f>
        <v>0</v>
      </c>
      <c r="BJ16" s="11">
        <f>+COUNTIFS('muddati otgan'!C:C,A16,'muddati otgan'!J:J,"Hujjatlarni o'rganish")</f>
        <v>0</v>
      </c>
      <c r="BK16" s="11">
        <f>+COUNTIFS('muddati otgan'!C:C,A16,'muddati otgan'!J:J,"Ma'lumotlarni tekshirish")</f>
        <v>0</v>
      </c>
      <c r="BL16" s="11">
        <f t="shared" si="14"/>
        <v>0</v>
      </c>
      <c r="BM16" s="11">
        <f>+COUNTIFS('muddati otgan'!C:C,A16,'muddati otgan'!J:J,"Tekshirish")</f>
        <v>0</v>
      </c>
      <c r="BN16" s="11">
        <f>+COUNTIFS('muddati otgan'!C:C,A16,'muddati otgan'!J:J,"Hujjatlarni tekshirish")</f>
        <v>0</v>
      </c>
      <c r="BO16" s="11">
        <f>+COUNTIFS('muddati otgan'!C:C,A16,'muddati otgan'!J:J,"Tasdiqlash")</f>
        <v>0</v>
      </c>
      <c r="BP16" s="11">
        <f>+COUNTIFS('muddati otgan'!C:C,A16,'muddati otgan'!J:J,"tekshirish/tasdiqlash")</f>
        <v>0</v>
      </c>
      <c r="BQ16" s="11">
        <f>+COUNTIFS('muddati otgan'!C:C,A16,'muddati otgan'!J:J,"Ma'lumotlarni tasdiqlash")</f>
        <v>0</v>
      </c>
      <c r="BR16" s="11">
        <f t="shared" si="15"/>
        <v>0</v>
      </c>
      <c r="BS16" s="11">
        <f>+COUNTIFS('muddati otgan'!C:C,A16,'muddati otgan'!J:J,"Ro'yxatdan o'tkazish ma'lumotlarini tekshirish")</f>
        <v>0</v>
      </c>
      <c r="BT16" s="11">
        <f>+COUNTIFS('muddati otgan'!C:C,A16,'muddati otgan'!J:J,"Kamchiliklar bo'yicha habarnoma yuborish va 3 kunga to'xtatish")</f>
        <v>0</v>
      </c>
      <c r="BU16" s="11">
        <f>+COUNTIFS('muddati otgan'!C:C,A16,'muddati otgan'!J:J,"Hisobga olish")</f>
        <v>0</v>
      </c>
      <c r="BV16" s="11">
        <f>+COUNTIFS('muddati otgan'!C:C,A16,'muddati otgan'!J:J,"Yer uchastkasiga huquq yaratish")</f>
        <v>0</v>
      </c>
      <c r="BW16" s="11">
        <f>+COUNTIFS('muddati otgan'!C:C,A16,'muddati otgan'!J:J,"Bino-inshootga huquq yaratish")</f>
        <v>0</v>
      </c>
      <c r="BX16" s="11">
        <f>+COUNTIFS('muddati otgan'!C:C,A16,'muddati otgan'!J:J,"Cheklov yaratish")</f>
        <v>0</v>
      </c>
      <c r="BY16" s="11">
        <f>+COUNTIFS('muddati otgan'!C:C,A16,'muddati otgan'!J:J,"Taqiq yaratish")</f>
        <v>0</v>
      </c>
      <c r="BZ16" s="11">
        <f t="shared" si="16"/>
        <v>0</v>
      </c>
      <c r="CA16" s="11">
        <f>+COUNTIFS('muddati otgan'!C:C,A16,'muddati otgan'!J:J,"Soliq maydonini tekshirish")</f>
        <v>0</v>
      </c>
      <c r="CB16" s="11">
        <f t="shared" si="17"/>
        <v>0</v>
      </c>
      <c r="CC16" s="11">
        <f>+COUNTIFS('muddati otgan'!C:C,A16,'muddati otgan'!J:J,"Kadastr yig'majildini shakllantirish")</f>
        <v>0</v>
      </c>
      <c r="CD16" s="11">
        <f t="shared" si="18"/>
        <v>0</v>
      </c>
      <c r="CE16" s="11">
        <f>+COUNTIFS('muddati otgan'!C:C,A16,'muddati otgan'!J:J,"Kadastr passportini shakllantirish")</f>
        <v>0</v>
      </c>
      <c r="CF16" s="11">
        <f>+COUNTIFS('muddati otgan'!C:C,A16,'muddati otgan'!J:J,"Yig'ma jildni tasdiqlash")</f>
        <v>0</v>
      </c>
      <c r="CG16" s="11">
        <f>+COUNTIFS('muddati otgan'!C:C,A16,'muddati otgan'!J:J,"To'lov yoki bepul tasdiqlash")</f>
        <v>0</v>
      </c>
      <c r="CH16" s="11">
        <f>+COUNTIFS('muddati otgan'!C:C,A16,'muddati otgan'!J:J,"Bog'liq arizani kutish")</f>
        <v>0</v>
      </c>
      <c r="CI16" s="11">
        <f>+COUNTIFS('muddati otgan'!C:C,A16,'muddati otgan'!J:J,"To'lovga chiqarish")</f>
        <v>0</v>
      </c>
      <c r="CJ16" s="11">
        <f>+COUNTIFS('muddati otgan'!C:C,A16,'muddati otgan'!J:J,"Hisobga qo'yish")</f>
        <v>0</v>
      </c>
      <c r="CK16" s="6">
        <f>+COUNTIFS('muddati otgan'!C:C,A16,'muddati otgan'!J:J,"To'lov kutilmoqda")</f>
        <v>0</v>
      </c>
      <c r="CL16" s="11">
        <f t="shared" si="19"/>
        <v>0</v>
      </c>
      <c r="CM16" s="11">
        <f>+COUNTIFS('muddati otgan'!C:C,A16,'muddati otgan'!AA:AA,"Arizani qabul qilish2")</f>
        <v>0</v>
      </c>
      <c r="CN16" s="11">
        <f>+COUNTIFS('muddati otgan'!C:C,A16,'muddati otgan'!J:J,"Huquqlarni tekshirish")</f>
        <v>0</v>
      </c>
      <c r="CO16" s="11">
        <f>+COUNTIFS('muddati otgan'!C:C,A16,'muddati otgan'!J:J,"Ko'chmas mulkni ro'yhatdan o'tkazishga qabul qilish")</f>
        <v>0</v>
      </c>
      <c r="CP16" s="11">
        <f>+COUNTIFS('muddati otgan'!C:C,A16,'muddati otgan'!J:J,"Ro'yxatdan o'tkazish")</f>
        <v>0</v>
      </c>
      <c r="CQ16" s="11">
        <f>+COUNTIFS('muddati otgan'!C:C,A16,'muddati otgan'!J:J,"Kadastr pasporti va ko'chirmani yuborish")</f>
        <v>0</v>
      </c>
      <c r="CR16" s="11">
        <f>+COUNTIFS('muddati otgan'!C:C,A16,'muddati otgan'!AA:AA,"Rad qilish2")</f>
        <v>0</v>
      </c>
      <c r="CS16" s="11">
        <f>+COUNTIFS('muddati otgan'!C:C,A16,'muddati otgan'!J:J,"Ko'chirmani yuborish")</f>
        <v>0</v>
      </c>
      <c r="CT16" s="11">
        <f>+COUNTIFS('muddati otgan'!C:C,A16,'muddati otgan'!J:J,"Ma‘lumotlarni tekshirish")</f>
        <v>0</v>
      </c>
      <c r="CU16" s="11">
        <f t="shared" si="20"/>
        <v>0</v>
      </c>
      <c r="CV16" s="11">
        <f>+COUNTIFS('muddati otgan'!C:C,A16,'muddati otgan'!J:J,"Kadastr yig'majildini chop etish va arxiv ishiga tikish")</f>
        <v>0</v>
      </c>
      <c r="CW16" s="11">
        <f t="shared" si="21"/>
        <v>0</v>
      </c>
      <c r="CX16" s="11">
        <f>+COUNTIFS('muddati otgan'!C:C,A16,'muddati otgan'!J:J,"Kadastr yig‘majildini qabul qilish, arizani yakunlash")</f>
        <v>0</v>
      </c>
      <c r="CY16" s="11">
        <f>+COUNTIFS('muddati otgan'!C:C,A16,'muddati otgan'!J:J,"Next Cloudga yuklash")</f>
        <v>0</v>
      </c>
      <c r="CZ16" s="6">
        <f>+COUNTIFS('muddati otgan'!C:C,A16,'muddati otgan'!J:J,"Kelishish kutilmoqda")</f>
        <v>0</v>
      </c>
      <c r="DA16" s="6">
        <f>+COUNTIFS('muddati otgan'!C:C,A16,'muddati otgan'!J:J,"Yakunlandi")</f>
        <v>2</v>
      </c>
      <c r="DB16" s="10">
        <f>+COUNTIFS('muddati otgan'!C:C,A16,'muddati otgan'!J:J,"Rad etildi")</f>
        <v>0</v>
      </c>
      <c r="DC16" s="100">
        <f t="shared" si="5"/>
        <v>0</v>
      </c>
      <c r="DD16" s="44">
        <f>COUNTIFS('jami 1-20 kunlik arizalar'!C:C,A:A,'jami 1-20 kunlik arizalar'!S:S,"1")</f>
        <v>0</v>
      </c>
      <c r="DE16" s="11">
        <f>COUNTIFS('jami 1-20 kunlik arizalar'!C:C,A:A,'jami 1-20 kunlik arizalar'!S:S,"2")</f>
        <v>0</v>
      </c>
      <c r="DF16" s="11">
        <f>COUNTIFS('jami 1-20 kunlik arizalar'!C:C,A:A,'jami 1-20 kunlik arizalar'!S:S,"3")</f>
        <v>2</v>
      </c>
      <c r="DG16" s="11">
        <f>COUNTIFS('jami 1-20 kunlik arizalar'!C:C,A:A,'jami 1-20 kunlik arizalar'!S:S,"4")</f>
        <v>0</v>
      </c>
      <c r="DH16" s="11">
        <f>COUNTIFS('jami 1-20 kunlik arizalar'!C:C,A:A,'jami 1-20 kunlik arizalar'!S:S,"5")</f>
        <v>0</v>
      </c>
      <c r="DI16" s="11">
        <f>SUM(COUNTIFS('jami 1-20 kunlik arizalar'!C:C,A:A, 'jami 1-20 kunlik arizalar'!S:S, {6,7,8,9,10}))</f>
        <v>2</v>
      </c>
      <c r="DJ16" s="12">
        <f>SUM(COUNTIFS('jami 1-20 kunlik arizalar'!C:C,A:A, 'jami 1-20 kunlik arizalar'!S:S, "&gt;10"))</f>
        <v>1</v>
      </c>
    </row>
    <row r="17" spans="1:115" ht="39.950000000000003" hidden="1" customHeight="1" outlineLevel="1" x14ac:dyDescent="0.25">
      <c r="A17" s="92" t="s">
        <v>563</v>
      </c>
      <c r="B17" s="74"/>
      <c r="C17" s="70" t="s">
        <v>752</v>
      </c>
      <c r="D17" s="48">
        <f>+COUNTIFS('muddati otgan'!C:C,A17,'muddati otgan'!C:C,A17)</f>
        <v>0</v>
      </c>
      <c r="E17" s="10">
        <f>SUMIFS('muddati otgan'!$V:V,'muddati otgan'!$C:C,$A:A)</f>
        <v>0</v>
      </c>
      <c r="F17" s="10">
        <f>SUMIFS('muddati otgan'!$W:W,'muddati otgan'!$C:C,$A:A)</f>
        <v>0</v>
      </c>
      <c r="G17" s="24">
        <f>SUMIFS('muddati otgan'!$U:U,'muddati otgan'!$C:C,$A:A)</f>
        <v>0</v>
      </c>
      <c r="H17" s="11">
        <f>SUMIFS('muddati otgan'!$G:G,'muddati otgan'!$C:C,$A:A)</f>
        <v>0</v>
      </c>
      <c r="I17" s="12">
        <f>SUMIFS('muddati otgan'!$H:H,'muddati otgan'!$C:C,$A:A)</f>
        <v>0</v>
      </c>
      <c r="J17" s="44">
        <f t="shared" si="6"/>
        <v>0</v>
      </c>
      <c r="K17" s="11">
        <f>+COUNTIFS('muddati otgan'!C:C,A17,'muddati otgan'!AA:AA,"Arizani qabul qilish")</f>
        <v>0</v>
      </c>
      <c r="L17" s="11">
        <f>+COUNTIFS('muddati otgan'!C:C,A17,'muddati otgan'!J:J,"Arizani rad etish")</f>
        <v>0</v>
      </c>
      <c r="M17" s="11">
        <f>+COUNTIFS('muddati otgan'!C:C,A17,'muddati otgan'!J:J,"Arizani tasdiqlash")</f>
        <v>0</v>
      </c>
      <c r="N17" s="11">
        <f>+COUNTIFS('muddati otgan'!C:C,A17,'muddati otgan'!J:J,"Arizani yo'naltirish")</f>
        <v>0</v>
      </c>
      <c r="O17" s="11">
        <f>+COUNTIFS('muddati otgan'!C:C,A17,'muddati otgan'!J:J,"Rad qilish sababini o'rganish")</f>
        <v>0</v>
      </c>
      <c r="P17" s="11">
        <f>+COUNTIFS('muddati otgan'!C:C,A17,'muddati otgan'!J:J,"Ko'chmas mulkni UZKAD ga migratsiya qilish")</f>
        <v>0</v>
      </c>
      <c r="Q17" s="11">
        <f>+COUNTIFS('muddati otgan'!C:C,A17,'muddati otgan'!J:J,"Migratisya qilingan obyekt holatini tekshirish")</f>
        <v>0</v>
      </c>
      <c r="R17" s="11">
        <f>+COUNTIFS('muddati otgan'!C:C,A17,'muddati otgan'!J:J,"Ko‘chmas mulkni tanlash")</f>
        <v>0</v>
      </c>
      <c r="S17" s="11">
        <f>+COUNTIFS('muddati otgan'!C:C,A17,'muddati otgan'!J:J,"Arizani ko'rib chiqish")</f>
        <v>0</v>
      </c>
      <c r="T17" s="11">
        <f>+COUNTIFS('muddati otgan'!C:C,A17,'muddati otgan'!J:J,"Kadastr muhandisini tanlash")</f>
        <v>0</v>
      </c>
      <c r="U17" s="11">
        <f>+COUNTIFS('muddati otgan'!C:C,A17,'muddati otgan'!J:J,"Ko'chmas mulk turini tanlahsh")</f>
        <v>0</v>
      </c>
      <c r="V17" s="11">
        <f>+COUNTIFS('muddati otgan'!C:C,A17,'muddati otgan'!AA:AA,"Rad qilish")</f>
        <v>0</v>
      </c>
      <c r="W17" s="11">
        <f>+COUNTIFS('muddati otgan'!C:C,A17,'muddati otgan'!J:J,"ijrochi tanlash")</f>
        <v>0</v>
      </c>
      <c r="X17" s="11">
        <f>+COUNTIFS('muddati otgan'!C:C,A17,'muddati otgan'!J:J,"Ko'chmas mulk turini tanlash")</f>
        <v>0</v>
      </c>
      <c r="Y17" s="11">
        <f t="shared" si="7"/>
        <v>0</v>
      </c>
      <c r="Z17" s="11">
        <f>+COUNTIFS('muddati otgan'!C:C,A17,'muddati otgan'!J:J,"Ijroga qabul qilish")</f>
        <v>0</v>
      </c>
      <c r="AA17" s="11">
        <f>+COUNTIFS('muddati otgan'!C:C,A17,'muddati otgan'!J:J,"Joyida o'rganish va ma'lumotlarni kiritish")</f>
        <v>0</v>
      </c>
      <c r="AB17" s="11">
        <f>+COUNTIFS('muddati otgan'!C:C,A17,'muddati otgan'!J:J,"Asosiy qismdan ajratish jarayonida")</f>
        <v>0</v>
      </c>
      <c r="AC17" s="11">
        <f>+COUNTIFS('muddati otgan'!C:C,A17,'muddati otgan'!J:J,"Umumiy foydalanishdagi obyekt yaratilish")</f>
        <v>0</v>
      </c>
      <c r="AD17" s="11">
        <f>+COUNTIFS('muddati otgan'!C:C,A17,'muddati otgan'!J:J,"Migratsiya qilinadigan kadastr raqamini kiritish")</f>
        <v>0</v>
      </c>
      <c r="AE17" s="11">
        <f>+COUNTIFS('muddati otgan'!C:C,A17,'muddati otgan'!J:J,"O'zida qolgan obyektni yaratish")</f>
        <v>0</v>
      </c>
      <c r="AF17" s="11">
        <f>+COUNTIFS('muddati otgan'!C:C,A17,'muddati otgan'!J:J,"O'lchov natijalarini kiritish")</f>
        <v>0</v>
      </c>
      <c r="AG17" s="11">
        <f>+COUNTIFS('muddati otgan'!C:C,A17,'muddati otgan'!J:J,"Topoxaritani tayyorlash (dwg, pdf)")</f>
        <v>0</v>
      </c>
      <c r="AH17" s="11">
        <f t="shared" si="8"/>
        <v>0</v>
      </c>
      <c r="AI17" s="11">
        <f>+COUNTIFS('muddati otgan'!C:C,A17,'muddati otgan'!J:J,"Yer uchastkasini yaratish")</f>
        <v>0</v>
      </c>
      <c r="AJ17" s="11">
        <f t="shared" si="9"/>
        <v>0</v>
      </c>
      <c r="AK17" s="11">
        <f>+COUNTIFS('muddati otgan'!C:C,A17,'muddati otgan'!J:J,"Kelishish (Boshqarma)")</f>
        <v>0</v>
      </c>
      <c r="AL17" s="11">
        <f t="shared" si="10"/>
        <v>0</v>
      </c>
      <c r="AM17" s="11">
        <f>+COUNTIFS('muddati otgan'!C:C,A17,'muddati otgan'!J:J,"Kelishish (DKP)")</f>
        <v>0</v>
      </c>
      <c r="AN17" s="11">
        <f>+COUNTIFS('muddati otgan'!C:C,A17,'muddati otgan'!J:J,"Kelishish")</f>
        <v>0</v>
      </c>
      <c r="AO17" s="11">
        <f>+COUNTIFS('muddati otgan'!C:C,A17,'muddati otgan'!J:J,"Kelishish (Registratsiya DKP)")</f>
        <v>0</v>
      </c>
      <c r="AP17" s="11">
        <f t="shared" si="11"/>
        <v>0</v>
      </c>
      <c r="AQ17" s="11">
        <f>+COUNTIFS('muddati otgan'!C:C,A17,'muddati otgan'!J:J,"Manzil biriktirish")</f>
        <v>0</v>
      </c>
      <c r="AR17" s="11">
        <f>+COUNTIFS('muddati otgan'!C:C,A17,'muddati otgan'!J:J,"Bino va inshootlarni yaratish")</f>
        <v>0</v>
      </c>
      <c r="AS17" s="11">
        <f>+COUNTIFS('muddati otgan'!C:C,A17,'muddati otgan'!J:J,"Dov daraxtlarni yaratish")</f>
        <v>0</v>
      </c>
      <c r="AT17" s="11">
        <f>+COUNTIFS('muddati otgan'!C:C,A17,'muddati otgan'!J:J,"Yer uchastkasini tahrirlash")</f>
        <v>0</v>
      </c>
      <c r="AU17" s="11">
        <f t="shared" si="12"/>
        <v>0</v>
      </c>
      <c r="AV17" s="11">
        <f>+COUNTIFS('muddati otgan'!C:C,A17,'muddati otgan'!J:J,"Yer toifasi va maqsadini kiritish")</f>
        <v>0</v>
      </c>
      <c r="AW17" s="11">
        <f>+COUNTIFS('muddati otgan'!C:C,A17,'muddati otgan'!J:J,"Auksion yer tekshirish")</f>
        <v>0</v>
      </c>
      <c r="AX17" s="11">
        <f>+COUNTIFS('muddati otgan'!C:C,A17,'muddati otgan'!J:J,"Yer turlarini kiritish")</f>
        <v>0</v>
      </c>
      <c r="AY17" s="11">
        <f>+COUNTIFS('muddati otgan'!C:C,A17,'muddati otgan'!J:J,"Ma'lumotlarni kiritish")</f>
        <v>0</v>
      </c>
      <c r="AZ17" s="11">
        <f>+COUNTIFS('muddati otgan'!C:C,A17,'muddati otgan'!J:J,"Yer tekshirish")</f>
        <v>0</v>
      </c>
      <c r="BA17" s="11">
        <f t="shared" si="13"/>
        <v>0</v>
      </c>
      <c r="BB17" s="11">
        <f>+COUNTIFS('muddati otgan'!C:C,A17,'muddati otgan'!J:J,"Bino va inshoot ma'lumotlarini to‘ldirish")</f>
        <v>0</v>
      </c>
      <c r="BC17" s="11">
        <f>+COUNTIFS('muddati otgan'!C:C,A17,'muddati otgan'!J:J,"Inventarizatsiya ma'lumotlarini to‘ldirish")</f>
        <v>0</v>
      </c>
      <c r="BD17" s="11">
        <f>+COUNTIFS('muddati otgan'!C:C,A17,'muddati otgan'!J:J,"Yer uchastkasiga huquqiy hujjatlarni kiritsh")</f>
        <v>0</v>
      </c>
      <c r="BE17" s="11">
        <f>+COUNTIFS('muddati otgan'!C:C,A17,'muddati otgan'!J:J,"Bino-inshootlarga huquqiy hujjatlarni kiritsh")</f>
        <v>0</v>
      </c>
      <c r="BF17" s="11">
        <f>+COUNTIFS('muddati otgan'!C:C,A17,'muddati otgan'!J:J,"Kadastr qiymatini hisoblash va kiritish")</f>
        <v>0</v>
      </c>
      <c r="BG17" s="11">
        <f>+COUNTIFS('muddati otgan'!C:C,A17,'muddati otgan'!J:J,"Kadastr raqam biriktirish")</f>
        <v>0</v>
      </c>
      <c r="BH17" s="11">
        <f>+COUNTIFS('muddati otgan'!C:C,A17,'muddati otgan'!J:J,"Kadastr yig'ma jildni tayyorlash")</f>
        <v>0</v>
      </c>
      <c r="BI17" s="11">
        <f>+COUNTIFS('muddati otgan'!C:C,A17,'muddati otgan'!J:J,"Huquqni yaratish")</f>
        <v>0</v>
      </c>
      <c r="BJ17" s="11">
        <f>+COUNTIFS('muddati otgan'!C:C,A17,'muddati otgan'!J:J,"Hujjatlarni o'rganish")</f>
        <v>0</v>
      </c>
      <c r="BK17" s="11">
        <f>+COUNTIFS('muddati otgan'!C:C,A17,'muddati otgan'!J:J,"Ma'lumotlarni tekshirish")</f>
        <v>0</v>
      </c>
      <c r="BL17" s="11">
        <f t="shared" si="14"/>
        <v>0</v>
      </c>
      <c r="BM17" s="11">
        <f>+COUNTIFS('muddati otgan'!C:C,A17,'muddati otgan'!J:J,"Tekshirish")</f>
        <v>0</v>
      </c>
      <c r="BN17" s="11">
        <f>+COUNTIFS('muddati otgan'!C:C,A17,'muddati otgan'!J:J,"Hujjatlarni tekshirish")</f>
        <v>0</v>
      </c>
      <c r="BO17" s="11">
        <f>+COUNTIFS('muddati otgan'!C:C,A17,'muddati otgan'!J:J,"Tasdiqlash")</f>
        <v>0</v>
      </c>
      <c r="BP17" s="11">
        <f>+COUNTIFS('muddati otgan'!C:C,A17,'muddati otgan'!J:J,"tekshirish/tasdiqlash")</f>
        <v>0</v>
      </c>
      <c r="BQ17" s="11">
        <f>+COUNTIFS('muddati otgan'!C:C,A17,'muddati otgan'!J:J,"Ma'lumotlarni tasdiqlash")</f>
        <v>0</v>
      </c>
      <c r="BR17" s="11">
        <f t="shared" si="15"/>
        <v>0</v>
      </c>
      <c r="BS17" s="11">
        <f>+COUNTIFS('muddati otgan'!C:C,A17,'muddati otgan'!J:J,"Ro'yxatdan o'tkazish ma'lumotlarini tekshirish")</f>
        <v>0</v>
      </c>
      <c r="BT17" s="11">
        <f>+COUNTIFS('muddati otgan'!C:C,A17,'muddati otgan'!J:J,"Kamchiliklar bo'yicha habarnoma yuborish va 3 kunga to'xtatish")</f>
        <v>0</v>
      </c>
      <c r="BU17" s="11">
        <f>+COUNTIFS('muddati otgan'!C:C,A17,'muddati otgan'!J:J,"Hisobga olish")</f>
        <v>0</v>
      </c>
      <c r="BV17" s="11">
        <f>+COUNTIFS('muddati otgan'!C:C,A17,'muddati otgan'!J:J,"Yer uchastkasiga huquq yaratish")</f>
        <v>0</v>
      </c>
      <c r="BW17" s="11">
        <f>+COUNTIFS('muddati otgan'!C:C,A17,'muddati otgan'!J:J,"Bino-inshootga huquq yaratish")</f>
        <v>0</v>
      </c>
      <c r="BX17" s="11">
        <f>+COUNTIFS('muddati otgan'!C:C,A17,'muddati otgan'!J:J,"Cheklov yaratish")</f>
        <v>0</v>
      </c>
      <c r="BY17" s="11">
        <f>+COUNTIFS('muddati otgan'!C:C,A17,'muddati otgan'!J:J,"Taqiq yaratish")</f>
        <v>0</v>
      </c>
      <c r="BZ17" s="11">
        <f t="shared" si="16"/>
        <v>0</v>
      </c>
      <c r="CA17" s="11">
        <f>+COUNTIFS('muddati otgan'!C:C,A17,'muddati otgan'!J:J,"Soliq maydonini tekshirish")</f>
        <v>0</v>
      </c>
      <c r="CB17" s="11">
        <f t="shared" si="17"/>
        <v>0</v>
      </c>
      <c r="CC17" s="11">
        <f>+COUNTIFS('muddati otgan'!C:C,A17,'muddati otgan'!J:J,"Kadastr yig'majildini shakllantirish")</f>
        <v>0</v>
      </c>
      <c r="CD17" s="11">
        <f t="shared" si="18"/>
        <v>0</v>
      </c>
      <c r="CE17" s="11">
        <f>+COUNTIFS('muddati otgan'!C:C,A17,'muddati otgan'!J:J,"Kadastr passportini shakllantirish")</f>
        <v>0</v>
      </c>
      <c r="CF17" s="11">
        <f>+COUNTIFS('muddati otgan'!C:C,A17,'muddati otgan'!J:J,"Yig'ma jildni tasdiqlash")</f>
        <v>0</v>
      </c>
      <c r="CG17" s="11">
        <f>+COUNTIFS('muddati otgan'!C:C,A17,'muddati otgan'!J:J,"To'lov yoki bepul tasdiqlash")</f>
        <v>0</v>
      </c>
      <c r="CH17" s="11">
        <f>+COUNTIFS('muddati otgan'!C:C,A17,'muddati otgan'!J:J,"Bog'liq arizani kutish")</f>
        <v>0</v>
      </c>
      <c r="CI17" s="11">
        <f>+COUNTIFS('muddati otgan'!C:C,A17,'muddati otgan'!J:J,"To'lovga chiqarish")</f>
        <v>0</v>
      </c>
      <c r="CJ17" s="11">
        <f>+COUNTIFS('muddati otgan'!C:C,A17,'muddati otgan'!J:J,"Hisobga qo'yish")</f>
        <v>0</v>
      </c>
      <c r="CK17" s="6">
        <f>+COUNTIFS('muddati otgan'!C:C,A17,'muddati otgan'!J:J,"To'lov kutilmoqda")</f>
        <v>0</v>
      </c>
      <c r="CL17" s="11">
        <f t="shared" si="19"/>
        <v>0</v>
      </c>
      <c r="CM17" s="11">
        <f>+COUNTIFS('muddati otgan'!C:C,A17,'muddati otgan'!AA:AA,"Arizani qabul qilish2")</f>
        <v>0</v>
      </c>
      <c r="CN17" s="11">
        <f>+COUNTIFS('muddati otgan'!C:C,A17,'muddati otgan'!J:J,"Huquqlarni tekshirish")</f>
        <v>0</v>
      </c>
      <c r="CO17" s="11">
        <f>+COUNTIFS('muddati otgan'!C:C,A17,'muddati otgan'!J:J,"Ko'chmas mulkni ro'yhatdan o'tkazishga qabul qilish")</f>
        <v>0</v>
      </c>
      <c r="CP17" s="11">
        <f>+COUNTIFS('muddati otgan'!C:C,A17,'muddati otgan'!J:J,"Ro'yxatdan o'tkazish")</f>
        <v>0</v>
      </c>
      <c r="CQ17" s="11">
        <f>+COUNTIFS('muddati otgan'!C:C,A17,'muddati otgan'!J:J,"Kadastr pasporti va ko'chirmani yuborish")</f>
        <v>0</v>
      </c>
      <c r="CR17" s="11">
        <f>+COUNTIFS('muddati otgan'!C:C,A17,'muddati otgan'!AA:AA,"Rad qilish2")</f>
        <v>0</v>
      </c>
      <c r="CS17" s="11">
        <f>+COUNTIFS('muddati otgan'!C:C,A17,'muddati otgan'!J:J,"Ko'chirmani yuborish")</f>
        <v>0</v>
      </c>
      <c r="CT17" s="11">
        <f>+COUNTIFS('muddati otgan'!C:C,A17,'muddati otgan'!J:J,"Ma‘lumotlarni tekshirish")</f>
        <v>0</v>
      </c>
      <c r="CU17" s="11">
        <f t="shared" si="20"/>
        <v>0</v>
      </c>
      <c r="CV17" s="11">
        <f>+COUNTIFS('muddati otgan'!C:C,A17,'muddati otgan'!J:J,"Kadastr yig'majildini chop etish va arxiv ishiga tikish")</f>
        <v>0</v>
      </c>
      <c r="CW17" s="11">
        <f t="shared" si="21"/>
        <v>0</v>
      </c>
      <c r="CX17" s="11">
        <f>+COUNTIFS('muddati otgan'!C:C,A17,'muddati otgan'!J:J,"Kadastr yig‘majildini qabul qilish, arizani yakunlash")</f>
        <v>0</v>
      </c>
      <c r="CY17" s="11">
        <f>+COUNTIFS('muddati otgan'!C:C,A17,'muddati otgan'!J:J,"Next Cloudga yuklash")</f>
        <v>0</v>
      </c>
      <c r="CZ17" s="6">
        <f>+COUNTIFS('muddati otgan'!C:C,A17,'muddati otgan'!J:J,"Kelishish kutilmoqda")</f>
        <v>0</v>
      </c>
      <c r="DA17" s="6">
        <f>+COUNTIFS('muddati otgan'!C:C,A17,'muddati otgan'!J:J,"Yakunlandi")</f>
        <v>0</v>
      </c>
      <c r="DB17" s="10">
        <f>+COUNTIFS('muddati otgan'!C:C,A17,'muddati otgan'!J:J,"Rad etildi")</f>
        <v>0</v>
      </c>
      <c r="DC17" s="100">
        <f t="shared" si="5"/>
        <v>0</v>
      </c>
      <c r="DD17" s="44">
        <f>COUNTIFS('jami 1-20 kunlik arizalar'!C:C,A:A,'jami 1-20 kunlik arizalar'!S:S,"1")</f>
        <v>0</v>
      </c>
      <c r="DE17" s="11">
        <f>COUNTIFS('jami 1-20 kunlik arizalar'!C:C,A:A,'jami 1-20 kunlik arizalar'!S:S,"2")</f>
        <v>0</v>
      </c>
      <c r="DF17" s="11">
        <f>COUNTIFS('jami 1-20 kunlik arizalar'!C:C,A:A,'jami 1-20 kunlik arizalar'!S:S,"3")</f>
        <v>3</v>
      </c>
      <c r="DG17" s="11">
        <f>COUNTIFS('jami 1-20 kunlik arizalar'!C:C,A:A,'jami 1-20 kunlik arizalar'!S:S,"4")</f>
        <v>2</v>
      </c>
      <c r="DH17" s="11">
        <f>COUNTIFS('jami 1-20 kunlik arizalar'!C:C,A:A,'jami 1-20 kunlik arizalar'!S:S,"5")</f>
        <v>2</v>
      </c>
      <c r="DI17" s="11">
        <f>SUM(COUNTIFS('jami 1-20 kunlik arizalar'!C:C,A:A, 'jami 1-20 kunlik arizalar'!S:S, {6,7,8,9,10}))</f>
        <v>5</v>
      </c>
      <c r="DJ17" s="12">
        <f>SUM(COUNTIFS('jami 1-20 kunlik arizalar'!C:C,A:A, 'jami 1-20 kunlik arizalar'!S:S, "&gt;10"))</f>
        <v>5</v>
      </c>
    </row>
    <row r="18" spans="1:115" ht="39.950000000000003" hidden="1" customHeight="1" outlineLevel="1" x14ac:dyDescent="0.25">
      <c r="A18" s="92" t="s">
        <v>540</v>
      </c>
      <c r="B18" s="74"/>
      <c r="C18" s="70" t="s">
        <v>753</v>
      </c>
      <c r="D18" s="48">
        <f>+COUNTIFS('muddati otgan'!C:C,A18,'muddati otgan'!C:C,A18)</f>
        <v>0</v>
      </c>
      <c r="E18" s="10">
        <f>SUMIFS('muddati otgan'!$V:V,'muddati otgan'!$C:C,$A:A)</f>
        <v>0</v>
      </c>
      <c r="F18" s="10">
        <f>SUMIFS('muddati otgan'!$W:W,'muddati otgan'!$C:C,$A:A)</f>
        <v>0</v>
      </c>
      <c r="G18" s="24">
        <f>SUMIFS('muddati otgan'!$U:U,'muddati otgan'!$C:C,$A:A)</f>
        <v>0</v>
      </c>
      <c r="H18" s="11">
        <f>SUMIFS('muddati otgan'!$G:G,'muddati otgan'!$C:C,$A:A)</f>
        <v>0</v>
      </c>
      <c r="I18" s="12">
        <f>SUMIFS('muddati otgan'!$H:H,'muddati otgan'!$C:C,$A:A)</f>
        <v>0</v>
      </c>
      <c r="J18" s="44">
        <f t="shared" si="6"/>
        <v>0</v>
      </c>
      <c r="K18" s="11">
        <f>+COUNTIFS('muddati otgan'!C:C,A18,'muddati otgan'!AA:AA,"Arizani qabul qilish")</f>
        <v>0</v>
      </c>
      <c r="L18" s="11">
        <f>+COUNTIFS('muddati otgan'!C:C,A18,'muddati otgan'!J:J,"Arizani rad etish")</f>
        <v>0</v>
      </c>
      <c r="M18" s="11">
        <f>+COUNTIFS('muddati otgan'!C:C,A18,'muddati otgan'!J:J,"Arizani tasdiqlash")</f>
        <v>0</v>
      </c>
      <c r="N18" s="11">
        <f>+COUNTIFS('muddati otgan'!C:C,A18,'muddati otgan'!J:J,"Arizani yo'naltirish")</f>
        <v>0</v>
      </c>
      <c r="O18" s="11">
        <f>+COUNTIFS('muddati otgan'!C:C,A18,'muddati otgan'!J:J,"Rad qilish sababini o'rganish")</f>
        <v>0</v>
      </c>
      <c r="P18" s="11">
        <f>+COUNTIFS('muddati otgan'!C:C,A18,'muddati otgan'!J:J,"Ko'chmas mulkni UZKAD ga migratsiya qilish")</f>
        <v>0</v>
      </c>
      <c r="Q18" s="11">
        <f>+COUNTIFS('muddati otgan'!C:C,A18,'muddati otgan'!J:J,"Migratisya qilingan obyekt holatini tekshirish")</f>
        <v>0</v>
      </c>
      <c r="R18" s="11">
        <f>+COUNTIFS('muddati otgan'!C:C,A18,'muddati otgan'!J:J,"Ko‘chmas mulkni tanlash")</f>
        <v>0</v>
      </c>
      <c r="S18" s="11">
        <f>+COUNTIFS('muddati otgan'!C:C,A18,'muddati otgan'!J:J,"Arizani ko'rib chiqish")</f>
        <v>0</v>
      </c>
      <c r="T18" s="11">
        <f>+COUNTIFS('muddati otgan'!C:C,A18,'muddati otgan'!J:J,"Kadastr muhandisini tanlash")</f>
        <v>0</v>
      </c>
      <c r="U18" s="11">
        <f>+COUNTIFS('muddati otgan'!C:C,A18,'muddati otgan'!J:J,"Ko'chmas mulk turini tanlahsh")</f>
        <v>0</v>
      </c>
      <c r="V18" s="11">
        <f>+COUNTIFS('muddati otgan'!C:C,A18,'muddati otgan'!AA:AA,"Rad qilish")</f>
        <v>0</v>
      </c>
      <c r="W18" s="11">
        <f>+COUNTIFS('muddati otgan'!C:C,A18,'muddati otgan'!J:J,"ijrochi tanlash")</f>
        <v>0</v>
      </c>
      <c r="X18" s="11">
        <f>+COUNTIFS('muddati otgan'!C:C,A18,'muddati otgan'!J:J,"Ko'chmas mulk turini tanlash")</f>
        <v>0</v>
      </c>
      <c r="Y18" s="11">
        <f t="shared" si="7"/>
        <v>0</v>
      </c>
      <c r="Z18" s="11">
        <f>+COUNTIFS('muddati otgan'!C:C,A18,'muddati otgan'!J:J,"Ijroga qabul qilish")</f>
        <v>0</v>
      </c>
      <c r="AA18" s="11">
        <f>+COUNTIFS('muddati otgan'!C:C,A18,'muddati otgan'!J:J,"Joyida o'rganish va ma'lumotlarni kiritish")</f>
        <v>0</v>
      </c>
      <c r="AB18" s="11">
        <f>+COUNTIFS('muddati otgan'!C:C,A18,'muddati otgan'!J:J,"Asosiy qismdan ajratish jarayonida")</f>
        <v>0</v>
      </c>
      <c r="AC18" s="11">
        <f>+COUNTIFS('muddati otgan'!C:C,A18,'muddati otgan'!J:J,"Umumiy foydalanishdagi obyekt yaratilish")</f>
        <v>0</v>
      </c>
      <c r="AD18" s="11">
        <f>+COUNTIFS('muddati otgan'!C:C,A18,'muddati otgan'!J:J,"Migratsiya qilinadigan kadastr raqamini kiritish")</f>
        <v>0</v>
      </c>
      <c r="AE18" s="11">
        <f>+COUNTIFS('muddati otgan'!C:C,A18,'muddati otgan'!J:J,"O'zida qolgan obyektni yaratish")</f>
        <v>0</v>
      </c>
      <c r="AF18" s="11">
        <f>+COUNTIFS('muddati otgan'!C:C,A18,'muddati otgan'!J:J,"O'lchov natijalarini kiritish")</f>
        <v>0</v>
      </c>
      <c r="AG18" s="11">
        <f>+COUNTIFS('muddati otgan'!C:C,A18,'muddati otgan'!J:J,"Topoxaritani tayyorlash (dwg, pdf)")</f>
        <v>0</v>
      </c>
      <c r="AH18" s="11">
        <f t="shared" si="8"/>
        <v>0</v>
      </c>
      <c r="AI18" s="11">
        <f>+COUNTIFS('muddati otgan'!C:C,A18,'muddati otgan'!J:J,"Yer uchastkasini yaratish")</f>
        <v>0</v>
      </c>
      <c r="AJ18" s="11">
        <f t="shared" si="9"/>
        <v>0</v>
      </c>
      <c r="AK18" s="11">
        <f>+COUNTIFS('muddati otgan'!C:C,A18,'muddati otgan'!J:J,"Kelishish (Boshqarma)")</f>
        <v>0</v>
      </c>
      <c r="AL18" s="11">
        <f t="shared" si="10"/>
        <v>0</v>
      </c>
      <c r="AM18" s="11">
        <f>+COUNTIFS('muddati otgan'!C:C,A18,'muddati otgan'!J:J,"Kelishish (DKP)")</f>
        <v>0</v>
      </c>
      <c r="AN18" s="11">
        <f>+COUNTIFS('muddati otgan'!C:C,A18,'muddati otgan'!J:J,"Kelishish")</f>
        <v>0</v>
      </c>
      <c r="AO18" s="11">
        <f>+COUNTIFS('muddati otgan'!C:C,A18,'muddati otgan'!J:J,"Kelishish (Registratsiya DKP)")</f>
        <v>0</v>
      </c>
      <c r="AP18" s="11">
        <f t="shared" si="11"/>
        <v>0</v>
      </c>
      <c r="AQ18" s="11">
        <f>+COUNTIFS('muddati otgan'!C:C,A18,'muddati otgan'!J:J,"Manzil biriktirish")</f>
        <v>0</v>
      </c>
      <c r="AR18" s="11">
        <f>+COUNTIFS('muddati otgan'!C:C,A18,'muddati otgan'!J:J,"Bino va inshootlarni yaratish")</f>
        <v>0</v>
      </c>
      <c r="AS18" s="11">
        <f>+COUNTIFS('muddati otgan'!C:C,A18,'muddati otgan'!J:J,"Dov daraxtlarni yaratish")</f>
        <v>0</v>
      </c>
      <c r="AT18" s="11">
        <f>+COUNTIFS('muddati otgan'!C:C,A18,'muddati otgan'!J:J,"Yer uchastkasini tahrirlash")</f>
        <v>0</v>
      </c>
      <c r="AU18" s="11">
        <f t="shared" si="12"/>
        <v>0</v>
      </c>
      <c r="AV18" s="11">
        <f>+COUNTIFS('muddati otgan'!C:C,A18,'muddati otgan'!J:J,"Yer toifasi va maqsadini kiritish")</f>
        <v>0</v>
      </c>
      <c r="AW18" s="11">
        <f>+COUNTIFS('muddati otgan'!C:C,A18,'muddati otgan'!J:J,"Auksion yer tekshirish")</f>
        <v>0</v>
      </c>
      <c r="AX18" s="11">
        <f>+COUNTIFS('muddati otgan'!C:C,A18,'muddati otgan'!J:J,"Yer turlarini kiritish")</f>
        <v>0</v>
      </c>
      <c r="AY18" s="11">
        <f>+COUNTIFS('muddati otgan'!C:C,A18,'muddati otgan'!J:J,"Ma'lumotlarni kiritish")</f>
        <v>0</v>
      </c>
      <c r="AZ18" s="11">
        <f>+COUNTIFS('muddati otgan'!C:C,A18,'muddati otgan'!J:J,"Yer tekshirish")</f>
        <v>0</v>
      </c>
      <c r="BA18" s="11">
        <f t="shared" si="13"/>
        <v>0</v>
      </c>
      <c r="BB18" s="11">
        <f>+COUNTIFS('muddati otgan'!C:C,A18,'muddati otgan'!J:J,"Bino va inshoot ma'lumotlarini to‘ldirish")</f>
        <v>0</v>
      </c>
      <c r="BC18" s="11">
        <f>+COUNTIFS('muddati otgan'!C:C,A18,'muddati otgan'!J:J,"Inventarizatsiya ma'lumotlarini to‘ldirish")</f>
        <v>0</v>
      </c>
      <c r="BD18" s="11">
        <f>+COUNTIFS('muddati otgan'!C:C,A18,'muddati otgan'!J:J,"Yer uchastkasiga huquqiy hujjatlarni kiritsh")</f>
        <v>0</v>
      </c>
      <c r="BE18" s="11">
        <f>+COUNTIFS('muddati otgan'!C:C,A18,'muddati otgan'!J:J,"Bino-inshootlarga huquqiy hujjatlarni kiritsh")</f>
        <v>0</v>
      </c>
      <c r="BF18" s="11">
        <f>+COUNTIFS('muddati otgan'!C:C,A18,'muddati otgan'!J:J,"Kadastr qiymatini hisoblash va kiritish")</f>
        <v>0</v>
      </c>
      <c r="BG18" s="11">
        <f>+COUNTIFS('muddati otgan'!C:C,A18,'muddati otgan'!J:J,"Kadastr raqam biriktirish")</f>
        <v>0</v>
      </c>
      <c r="BH18" s="11">
        <f>+COUNTIFS('muddati otgan'!C:C,A18,'muddati otgan'!J:J,"Kadastr yig'ma jildni tayyorlash")</f>
        <v>0</v>
      </c>
      <c r="BI18" s="11">
        <f>+COUNTIFS('muddati otgan'!C:C,A18,'muddati otgan'!J:J,"Huquqni yaratish")</f>
        <v>0</v>
      </c>
      <c r="BJ18" s="11">
        <f>+COUNTIFS('muddati otgan'!C:C,A18,'muddati otgan'!J:J,"Hujjatlarni o'rganish")</f>
        <v>0</v>
      </c>
      <c r="BK18" s="11">
        <f>+COUNTIFS('muddati otgan'!C:C,A18,'muddati otgan'!J:J,"Ma'lumotlarni tekshirish")</f>
        <v>0</v>
      </c>
      <c r="BL18" s="11">
        <f t="shared" si="14"/>
        <v>0</v>
      </c>
      <c r="BM18" s="11">
        <f>+COUNTIFS('muddati otgan'!C:C,A18,'muddati otgan'!J:J,"Tekshirish")</f>
        <v>0</v>
      </c>
      <c r="BN18" s="11">
        <f>+COUNTIFS('muddati otgan'!C:C,A18,'muddati otgan'!J:J,"Hujjatlarni tekshirish")</f>
        <v>0</v>
      </c>
      <c r="BO18" s="11">
        <f>+COUNTIFS('muddati otgan'!C:C,A18,'muddati otgan'!J:J,"Tasdiqlash")</f>
        <v>0</v>
      </c>
      <c r="BP18" s="11">
        <f>+COUNTIFS('muddati otgan'!C:C,A18,'muddati otgan'!J:J,"tekshirish/tasdiqlash")</f>
        <v>0</v>
      </c>
      <c r="BQ18" s="11">
        <f>+COUNTIFS('muddati otgan'!C:C,A18,'muddati otgan'!J:J,"Ma'lumotlarni tasdiqlash")</f>
        <v>0</v>
      </c>
      <c r="BR18" s="11">
        <f t="shared" si="15"/>
        <v>0</v>
      </c>
      <c r="BS18" s="11">
        <f>+COUNTIFS('muddati otgan'!C:C,A18,'muddati otgan'!J:J,"Ro'yxatdan o'tkazish ma'lumotlarini tekshirish")</f>
        <v>0</v>
      </c>
      <c r="BT18" s="11">
        <f>+COUNTIFS('muddati otgan'!C:C,A18,'muddati otgan'!J:J,"Kamchiliklar bo'yicha habarnoma yuborish va 3 kunga to'xtatish")</f>
        <v>0</v>
      </c>
      <c r="BU18" s="11">
        <f>+COUNTIFS('muddati otgan'!C:C,A18,'muddati otgan'!J:J,"Hisobga olish")</f>
        <v>0</v>
      </c>
      <c r="BV18" s="11">
        <f>+COUNTIFS('muddati otgan'!C:C,A18,'muddati otgan'!J:J,"Yer uchastkasiga huquq yaratish")</f>
        <v>0</v>
      </c>
      <c r="BW18" s="11">
        <f>+COUNTIFS('muddati otgan'!C:C,A18,'muddati otgan'!J:J,"Bino-inshootga huquq yaratish")</f>
        <v>0</v>
      </c>
      <c r="BX18" s="11">
        <f>+COUNTIFS('muddati otgan'!C:C,A18,'muddati otgan'!J:J,"Cheklov yaratish")</f>
        <v>0</v>
      </c>
      <c r="BY18" s="11">
        <f>+COUNTIFS('muddati otgan'!C:C,A18,'muddati otgan'!J:J,"Taqiq yaratish")</f>
        <v>0</v>
      </c>
      <c r="BZ18" s="11">
        <f t="shared" si="16"/>
        <v>0</v>
      </c>
      <c r="CA18" s="11">
        <f>+COUNTIFS('muddati otgan'!C:C,A18,'muddati otgan'!J:J,"Soliq maydonini tekshirish")</f>
        <v>0</v>
      </c>
      <c r="CB18" s="11">
        <f t="shared" si="17"/>
        <v>0</v>
      </c>
      <c r="CC18" s="11">
        <f>+COUNTIFS('muddati otgan'!C:C,A18,'muddati otgan'!J:J,"Kadastr yig'majildini shakllantirish")</f>
        <v>0</v>
      </c>
      <c r="CD18" s="11">
        <f t="shared" si="18"/>
        <v>0</v>
      </c>
      <c r="CE18" s="11">
        <f>+COUNTIFS('muddati otgan'!C:C,A18,'muddati otgan'!J:J,"Kadastr passportini shakllantirish")</f>
        <v>0</v>
      </c>
      <c r="CF18" s="11">
        <f>+COUNTIFS('muddati otgan'!C:C,A18,'muddati otgan'!J:J,"Yig'ma jildni tasdiqlash")</f>
        <v>0</v>
      </c>
      <c r="CG18" s="11">
        <f>+COUNTIFS('muddati otgan'!C:C,A18,'muddati otgan'!J:J,"To'lov yoki bepul tasdiqlash")</f>
        <v>0</v>
      </c>
      <c r="CH18" s="11">
        <f>+COUNTIFS('muddati otgan'!C:C,A18,'muddati otgan'!J:J,"Bog'liq arizani kutish")</f>
        <v>0</v>
      </c>
      <c r="CI18" s="11">
        <f>+COUNTIFS('muddati otgan'!C:C,A18,'muddati otgan'!J:J,"To'lovga chiqarish")</f>
        <v>0</v>
      </c>
      <c r="CJ18" s="11">
        <f>+COUNTIFS('muddati otgan'!C:C,A18,'muddati otgan'!J:J,"Hisobga qo'yish")</f>
        <v>0</v>
      </c>
      <c r="CK18" s="6">
        <f>+COUNTIFS('muddati otgan'!C:C,A18,'muddati otgan'!J:J,"To'lov kutilmoqda")</f>
        <v>0</v>
      </c>
      <c r="CL18" s="11">
        <f t="shared" si="19"/>
        <v>0</v>
      </c>
      <c r="CM18" s="11">
        <f>+COUNTIFS('muddati otgan'!C:C,A18,'muddati otgan'!AA:AA,"Arizani qabul qilish2")</f>
        <v>0</v>
      </c>
      <c r="CN18" s="11">
        <f>+COUNTIFS('muddati otgan'!C:C,A18,'muddati otgan'!J:J,"Huquqlarni tekshirish")</f>
        <v>0</v>
      </c>
      <c r="CO18" s="11">
        <f>+COUNTIFS('muddati otgan'!C:C,A18,'muddati otgan'!J:J,"Ko'chmas mulkni ro'yhatdan o'tkazishga qabul qilish")</f>
        <v>0</v>
      </c>
      <c r="CP18" s="11">
        <f>+COUNTIFS('muddati otgan'!C:C,A18,'muddati otgan'!J:J,"Ro'yxatdan o'tkazish")</f>
        <v>0</v>
      </c>
      <c r="CQ18" s="11">
        <f>+COUNTIFS('muddati otgan'!C:C,A18,'muddati otgan'!J:J,"Kadastr pasporti va ko'chirmani yuborish")</f>
        <v>0</v>
      </c>
      <c r="CR18" s="11">
        <f>+COUNTIFS('muddati otgan'!C:C,A18,'muddati otgan'!AA:AA,"Rad qilish2")</f>
        <v>0</v>
      </c>
      <c r="CS18" s="11">
        <f>+COUNTIFS('muddati otgan'!C:C,A18,'muddati otgan'!J:J,"Ko'chirmani yuborish")</f>
        <v>0</v>
      </c>
      <c r="CT18" s="11">
        <f>+COUNTIFS('muddati otgan'!C:C,A18,'muddati otgan'!J:J,"Ma‘lumotlarni tekshirish")</f>
        <v>0</v>
      </c>
      <c r="CU18" s="11">
        <f t="shared" si="20"/>
        <v>0</v>
      </c>
      <c r="CV18" s="11">
        <f>+COUNTIFS('muddati otgan'!C:C,A18,'muddati otgan'!J:J,"Kadastr yig'majildini chop etish va arxiv ishiga tikish")</f>
        <v>0</v>
      </c>
      <c r="CW18" s="11">
        <f t="shared" si="21"/>
        <v>0</v>
      </c>
      <c r="CX18" s="11">
        <f>+COUNTIFS('muddati otgan'!C:C,A18,'muddati otgan'!J:J,"Kadastr yig‘majildini qabul qilish, arizani yakunlash")</f>
        <v>0</v>
      </c>
      <c r="CY18" s="11">
        <f>+COUNTIFS('muddati otgan'!C:C,A18,'muddati otgan'!J:J,"Next Cloudga yuklash")</f>
        <v>0</v>
      </c>
      <c r="CZ18" s="6">
        <f>+COUNTIFS('muddati otgan'!C:C,A18,'muddati otgan'!J:J,"Kelishish kutilmoqda")</f>
        <v>0</v>
      </c>
      <c r="DA18" s="6">
        <f>+COUNTIFS('muddati otgan'!C:C,A18,'muddati otgan'!J:J,"Yakunlandi")</f>
        <v>0</v>
      </c>
      <c r="DB18" s="10">
        <f>+COUNTIFS('muddati otgan'!C:C,A18,'muddati otgan'!J:J,"Rad etildi")</f>
        <v>0</v>
      </c>
      <c r="DC18" s="100">
        <f t="shared" si="5"/>
        <v>0</v>
      </c>
      <c r="DD18" s="44">
        <f>COUNTIFS('jami 1-20 kunlik arizalar'!C:C,A:A,'jami 1-20 kunlik arizalar'!S:S,"1")</f>
        <v>0</v>
      </c>
      <c r="DE18" s="11">
        <f>COUNTIFS('jami 1-20 kunlik arizalar'!C:C,A:A,'jami 1-20 kunlik arizalar'!S:S,"2")</f>
        <v>0</v>
      </c>
      <c r="DF18" s="11">
        <f>COUNTIFS('jami 1-20 kunlik arizalar'!C:C,A:A,'jami 1-20 kunlik arizalar'!S:S,"3")</f>
        <v>1</v>
      </c>
      <c r="DG18" s="11">
        <f>COUNTIFS('jami 1-20 kunlik arizalar'!C:C,A:A,'jami 1-20 kunlik arizalar'!S:S,"4")</f>
        <v>2</v>
      </c>
      <c r="DH18" s="11">
        <f>COUNTIFS('jami 1-20 kunlik arizalar'!C:C,A:A,'jami 1-20 kunlik arizalar'!S:S,"5")</f>
        <v>0</v>
      </c>
      <c r="DI18" s="11">
        <f>SUM(COUNTIFS('jami 1-20 kunlik arizalar'!C:C,A:A, 'jami 1-20 kunlik arizalar'!S:S, {6,7,8,9,10}))</f>
        <v>5</v>
      </c>
      <c r="DJ18" s="12">
        <f>SUM(COUNTIFS('jami 1-20 kunlik arizalar'!C:C,A:A, 'jami 1-20 kunlik arizalar'!S:S, "&gt;10"))</f>
        <v>1</v>
      </c>
    </row>
    <row r="19" spans="1:115" ht="39.950000000000003" hidden="1" customHeight="1" outlineLevel="1" x14ac:dyDescent="0.25">
      <c r="A19" s="92" t="s">
        <v>531</v>
      </c>
      <c r="B19" s="74"/>
      <c r="C19" s="70" t="s">
        <v>754</v>
      </c>
      <c r="D19" s="48">
        <f>+COUNTIFS('muddati otgan'!C:C,A19,'muddati otgan'!C:C,A19)</f>
        <v>1</v>
      </c>
      <c r="E19" s="10">
        <f>SUMIFS('muddati otgan'!$V:V,'muddati otgan'!$C:C,$A:A)</f>
        <v>0</v>
      </c>
      <c r="F19" s="10">
        <f>SUMIFS('muddati otgan'!$W:W,'muddati otgan'!$C:C,$A:A)</f>
        <v>0</v>
      </c>
      <c r="G19" s="24">
        <f>SUMIFS('muddati otgan'!$U:U,'muddati otgan'!$C:C,$A:A)</f>
        <v>1</v>
      </c>
      <c r="H19" s="11">
        <f>SUMIFS('muddati otgan'!$G:G,'muddati otgan'!$C:C,$A:A)</f>
        <v>1</v>
      </c>
      <c r="I19" s="12">
        <f>SUMIFS('muddati otgan'!$H:H,'muddati otgan'!$C:C,$A:A)</f>
        <v>0</v>
      </c>
      <c r="J19" s="44">
        <f t="shared" si="6"/>
        <v>0</v>
      </c>
      <c r="K19" s="11">
        <f>+COUNTIFS('muddati otgan'!C:C,A19,'muddati otgan'!AA:AA,"Arizani qabul qilish")</f>
        <v>0</v>
      </c>
      <c r="L19" s="11">
        <f>+COUNTIFS('muddati otgan'!C:C,A19,'muddati otgan'!J:J,"Arizani rad etish")</f>
        <v>0</v>
      </c>
      <c r="M19" s="11">
        <f>+COUNTIFS('muddati otgan'!C:C,A19,'muddati otgan'!J:J,"Arizani tasdiqlash")</f>
        <v>0</v>
      </c>
      <c r="N19" s="11">
        <f>+COUNTIFS('muddati otgan'!C:C,A19,'muddati otgan'!J:J,"Arizani yo'naltirish")</f>
        <v>0</v>
      </c>
      <c r="O19" s="11">
        <f>+COUNTIFS('muddati otgan'!C:C,A19,'muddati otgan'!J:J,"Rad qilish sababini o'rganish")</f>
        <v>0</v>
      </c>
      <c r="P19" s="11">
        <f>+COUNTIFS('muddati otgan'!C:C,A19,'muddati otgan'!J:J,"Ko'chmas mulkni UZKAD ga migratsiya qilish")</f>
        <v>0</v>
      </c>
      <c r="Q19" s="11">
        <f>+COUNTIFS('muddati otgan'!C:C,A19,'muddati otgan'!J:J,"Migratisya qilingan obyekt holatini tekshirish")</f>
        <v>0</v>
      </c>
      <c r="R19" s="11">
        <f>+COUNTIFS('muddati otgan'!C:C,A19,'muddati otgan'!J:J,"Ko‘chmas mulkni tanlash")</f>
        <v>0</v>
      </c>
      <c r="S19" s="11">
        <f>+COUNTIFS('muddati otgan'!C:C,A19,'muddati otgan'!J:J,"Arizani ko'rib chiqish")</f>
        <v>0</v>
      </c>
      <c r="T19" s="11">
        <f>+COUNTIFS('muddati otgan'!C:C,A19,'muddati otgan'!J:J,"Kadastr muhandisini tanlash")</f>
        <v>0</v>
      </c>
      <c r="U19" s="11">
        <f>+COUNTIFS('muddati otgan'!C:C,A19,'muddati otgan'!J:J,"Ko'chmas mulk turini tanlahsh")</f>
        <v>0</v>
      </c>
      <c r="V19" s="11">
        <f>+COUNTIFS('muddati otgan'!C:C,A19,'muddati otgan'!AA:AA,"Rad qilish")</f>
        <v>0</v>
      </c>
      <c r="W19" s="11">
        <f>+COUNTIFS('muddati otgan'!C:C,A19,'muddati otgan'!J:J,"ijrochi tanlash")</f>
        <v>0</v>
      </c>
      <c r="X19" s="11">
        <f>+COUNTIFS('muddati otgan'!C:C,A19,'muddati otgan'!J:J,"Ko'chmas mulk turini tanlash")</f>
        <v>0</v>
      </c>
      <c r="Y19" s="11">
        <f t="shared" si="7"/>
        <v>0</v>
      </c>
      <c r="Z19" s="11">
        <f>+COUNTIFS('muddati otgan'!C:C,A19,'muddati otgan'!J:J,"Ijroga qabul qilish")</f>
        <v>0</v>
      </c>
      <c r="AA19" s="11">
        <f>+COUNTIFS('muddati otgan'!C:C,A19,'muddati otgan'!J:J,"Joyida o'rganish va ma'lumotlarni kiritish")</f>
        <v>0</v>
      </c>
      <c r="AB19" s="11">
        <f>+COUNTIFS('muddati otgan'!C:C,A19,'muddati otgan'!J:J,"Asosiy qismdan ajratish jarayonida")</f>
        <v>0</v>
      </c>
      <c r="AC19" s="11">
        <f>+COUNTIFS('muddati otgan'!C:C,A19,'muddati otgan'!J:J,"Umumiy foydalanishdagi obyekt yaratilish")</f>
        <v>0</v>
      </c>
      <c r="AD19" s="11">
        <f>+COUNTIFS('muddati otgan'!C:C,A19,'muddati otgan'!J:J,"Migratsiya qilinadigan kadastr raqamini kiritish")</f>
        <v>0</v>
      </c>
      <c r="AE19" s="11">
        <f>+COUNTIFS('muddati otgan'!C:C,A19,'muddati otgan'!J:J,"O'zida qolgan obyektni yaratish")</f>
        <v>0</v>
      </c>
      <c r="AF19" s="11">
        <f>+COUNTIFS('muddati otgan'!C:C,A19,'muddati otgan'!J:J,"O'lchov natijalarini kiritish")</f>
        <v>0</v>
      </c>
      <c r="AG19" s="11">
        <f>+COUNTIFS('muddati otgan'!C:C,A19,'muddati otgan'!J:J,"Topoxaritani tayyorlash (dwg, pdf)")</f>
        <v>0</v>
      </c>
      <c r="AH19" s="11">
        <f t="shared" si="8"/>
        <v>0</v>
      </c>
      <c r="AI19" s="11">
        <f>+COUNTIFS('muddati otgan'!C:C,A19,'muddati otgan'!J:J,"Yer uchastkasini yaratish")</f>
        <v>0</v>
      </c>
      <c r="AJ19" s="11">
        <f t="shared" si="9"/>
        <v>0</v>
      </c>
      <c r="AK19" s="11">
        <f>+COUNTIFS('muddati otgan'!C:C,A19,'muddati otgan'!J:J,"Kelishish (Boshqarma)")</f>
        <v>0</v>
      </c>
      <c r="AL19" s="11">
        <f t="shared" si="10"/>
        <v>0</v>
      </c>
      <c r="AM19" s="11">
        <f>+COUNTIFS('muddati otgan'!C:C,A19,'muddati otgan'!J:J,"Kelishish (DKP)")</f>
        <v>0</v>
      </c>
      <c r="AN19" s="11">
        <f>+COUNTIFS('muddati otgan'!C:C,A19,'muddati otgan'!J:J,"Kelishish")</f>
        <v>0</v>
      </c>
      <c r="AO19" s="11">
        <f>+COUNTIFS('muddati otgan'!C:C,A19,'muddati otgan'!J:J,"Kelishish (Registratsiya DKP)")</f>
        <v>0</v>
      </c>
      <c r="AP19" s="11">
        <f t="shared" si="11"/>
        <v>0</v>
      </c>
      <c r="AQ19" s="11">
        <f>+COUNTIFS('muddati otgan'!C:C,A19,'muddati otgan'!J:J,"Manzil biriktirish")</f>
        <v>0</v>
      </c>
      <c r="AR19" s="11">
        <f>+COUNTIFS('muddati otgan'!C:C,A19,'muddati otgan'!J:J,"Bino va inshootlarni yaratish")</f>
        <v>0</v>
      </c>
      <c r="AS19" s="11">
        <f>+COUNTIFS('muddati otgan'!C:C,A19,'muddati otgan'!J:J,"Dov daraxtlarni yaratish")</f>
        <v>0</v>
      </c>
      <c r="AT19" s="11">
        <f>+COUNTIFS('muddati otgan'!C:C,A19,'muddati otgan'!J:J,"Yer uchastkasini tahrirlash")</f>
        <v>0</v>
      </c>
      <c r="AU19" s="11">
        <f t="shared" si="12"/>
        <v>0</v>
      </c>
      <c r="AV19" s="11">
        <f>+COUNTIFS('muddati otgan'!C:C,A19,'muddati otgan'!J:J,"Yer toifasi va maqsadini kiritish")</f>
        <v>0</v>
      </c>
      <c r="AW19" s="11">
        <f>+COUNTIFS('muddati otgan'!C:C,A19,'muddati otgan'!J:J,"Auksion yer tekshirish")</f>
        <v>0</v>
      </c>
      <c r="AX19" s="11">
        <f>+COUNTIFS('muddati otgan'!C:C,A19,'muddati otgan'!J:J,"Yer turlarini kiritish")</f>
        <v>0</v>
      </c>
      <c r="AY19" s="11">
        <f>+COUNTIFS('muddati otgan'!C:C,A19,'muddati otgan'!J:J,"Ma'lumotlarni kiritish")</f>
        <v>0</v>
      </c>
      <c r="AZ19" s="11">
        <f>+COUNTIFS('muddati otgan'!C:C,A19,'muddati otgan'!J:J,"Yer tekshirish")</f>
        <v>0</v>
      </c>
      <c r="BA19" s="11">
        <f t="shared" si="13"/>
        <v>0</v>
      </c>
      <c r="BB19" s="11">
        <f>+COUNTIFS('muddati otgan'!C:C,A19,'muddati otgan'!J:J,"Bino va inshoot ma'lumotlarini to‘ldirish")</f>
        <v>0</v>
      </c>
      <c r="BC19" s="11">
        <f>+COUNTIFS('muddati otgan'!C:C,A19,'muddati otgan'!J:J,"Inventarizatsiya ma'lumotlarini to‘ldirish")</f>
        <v>0</v>
      </c>
      <c r="BD19" s="11">
        <f>+COUNTIFS('muddati otgan'!C:C,A19,'muddati otgan'!J:J,"Yer uchastkasiga huquqiy hujjatlarni kiritsh")</f>
        <v>0</v>
      </c>
      <c r="BE19" s="11">
        <f>+COUNTIFS('muddati otgan'!C:C,A19,'muddati otgan'!J:J,"Bino-inshootlarga huquqiy hujjatlarni kiritsh")</f>
        <v>0</v>
      </c>
      <c r="BF19" s="11">
        <f>+COUNTIFS('muddati otgan'!C:C,A19,'muddati otgan'!J:J,"Kadastr qiymatini hisoblash va kiritish")</f>
        <v>0</v>
      </c>
      <c r="BG19" s="11">
        <f>+COUNTIFS('muddati otgan'!C:C,A19,'muddati otgan'!J:J,"Kadastr raqam biriktirish")</f>
        <v>0</v>
      </c>
      <c r="BH19" s="11">
        <f>+COUNTIFS('muddati otgan'!C:C,A19,'muddati otgan'!J:J,"Kadastr yig'ma jildni tayyorlash")</f>
        <v>0</v>
      </c>
      <c r="BI19" s="11">
        <f>+COUNTIFS('muddati otgan'!C:C,A19,'muddati otgan'!J:J,"Huquqni yaratish")</f>
        <v>0</v>
      </c>
      <c r="BJ19" s="11">
        <f>+COUNTIFS('muddati otgan'!C:C,A19,'muddati otgan'!J:J,"Hujjatlarni o'rganish")</f>
        <v>0</v>
      </c>
      <c r="BK19" s="11">
        <f>+COUNTIFS('muddati otgan'!C:C,A19,'muddati otgan'!J:J,"Ma'lumotlarni tekshirish")</f>
        <v>0</v>
      </c>
      <c r="BL19" s="11">
        <f t="shared" si="14"/>
        <v>0</v>
      </c>
      <c r="BM19" s="11">
        <f>+COUNTIFS('muddati otgan'!C:C,A19,'muddati otgan'!J:J,"Tekshirish")</f>
        <v>0</v>
      </c>
      <c r="BN19" s="11">
        <f>+COUNTIFS('muddati otgan'!C:C,A19,'muddati otgan'!J:J,"Hujjatlarni tekshirish")</f>
        <v>0</v>
      </c>
      <c r="BO19" s="11">
        <f>+COUNTIFS('muddati otgan'!C:C,A19,'muddati otgan'!J:J,"Tasdiqlash")</f>
        <v>0</v>
      </c>
      <c r="BP19" s="11">
        <f>+COUNTIFS('muddati otgan'!C:C,A19,'muddati otgan'!J:J,"tekshirish/tasdiqlash")</f>
        <v>0</v>
      </c>
      <c r="BQ19" s="11">
        <f>+COUNTIFS('muddati otgan'!C:C,A19,'muddati otgan'!J:J,"Ma'lumotlarni tasdiqlash")</f>
        <v>0</v>
      </c>
      <c r="BR19" s="11">
        <f t="shared" si="15"/>
        <v>0</v>
      </c>
      <c r="BS19" s="11">
        <f>+COUNTIFS('muddati otgan'!C:C,A19,'muddati otgan'!J:J,"Ro'yxatdan o'tkazish ma'lumotlarini tekshirish")</f>
        <v>0</v>
      </c>
      <c r="BT19" s="11">
        <f>+COUNTIFS('muddati otgan'!C:C,A19,'muddati otgan'!J:J,"Kamchiliklar bo'yicha habarnoma yuborish va 3 kunga to'xtatish")</f>
        <v>0</v>
      </c>
      <c r="BU19" s="11">
        <f>+COUNTIFS('muddati otgan'!C:C,A19,'muddati otgan'!J:J,"Hisobga olish")</f>
        <v>0</v>
      </c>
      <c r="BV19" s="11">
        <f>+COUNTIFS('muddati otgan'!C:C,A19,'muddati otgan'!J:J,"Yer uchastkasiga huquq yaratish")</f>
        <v>0</v>
      </c>
      <c r="BW19" s="11">
        <f>+COUNTIFS('muddati otgan'!C:C,A19,'muddati otgan'!J:J,"Bino-inshootga huquq yaratish")</f>
        <v>0</v>
      </c>
      <c r="BX19" s="11">
        <f>+COUNTIFS('muddati otgan'!C:C,A19,'muddati otgan'!J:J,"Cheklov yaratish")</f>
        <v>0</v>
      </c>
      <c r="BY19" s="11">
        <f>+COUNTIFS('muddati otgan'!C:C,A19,'muddati otgan'!J:J,"Taqiq yaratish")</f>
        <v>0</v>
      </c>
      <c r="BZ19" s="11">
        <f t="shared" si="16"/>
        <v>0</v>
      </c>
      <c r="CA19" s="11">
        <f>+COUNTIFS('muddati otgan'!C:C,A19,'muddati otgan'!J:J,"Soliq maydonini tekshirish")</f>
        <v>0</v>
      </c>
      <c r="CB19" s="11">
        <f t="shared" si="17"/>
        <v>0</v>
      </c>
      <c r="CC19" s="11">
        <f>+COUNTIFS('muddati otgan'!C:C,A19,'muddati otgan'!J:J,"Kadastr yig'majildini shakllantirish")</f>
        <v>0</v>
      </c>
      <c r="CD19" s="11">
        <f t="shared" si="18"/>
        <v>0</v>
      </c>
      <c r="CE19" s="11">
        <f>+COUNTIFS('muddati otgan'!C:C,A19,'muddati otgan'!J:J,"Kadastr passportini shakllantirish")</f>
        <v>0</v>
      </c>
      <c r="CF19" s="11">
        <f>+COUNTIFS('muddati otgan'!C:C,A19,'muddati otgan'!J:J,"Yig'ma jildni tasdiqlash")</f>
        <v>0</v>
      </c>
      <c r="CG19" s="11">
        <f>+COUNTIFS('muddati otgan'!C:C,A19,'muddati otgan'!J:J,"To'lov yoki bepul tasdiqlash")</f>
        <v>0</v>
      </c>
      <c r="CH19" s="11">
        <f>+COUNTIFS('muddati otgan'!C:C,A19,'muddati otgan'!J:J,"Bog'liq arizani kutish")</f>
        <v>0</v>
      </c>
      <c r="CI19" s="11">
        <f>+COUNTIFS('muddati otgan'!C:C,A19,'muddati otgan'!J:J,"To'lovga chiqarish")</f>
        <v>0</v>
      </c>
      <c r="CJ19" s="11">
        <f>+COUNTIFS('muddati otgan'!C:C,A19,'muddati otgan'!J:J,"Hisobga qo'yish")</f>
        <v>0</v>
      </c>
      <c r="CK19" s="6">
        <f>+COUNTIFS('muddati otgan'!C:C,A19,'muddati otgan'!J:J,"To'lov kutilmoqda")</f>
        <v>1</v>
      </c>
      <c r="CL19" s="11">
        <f t="shared" si="19"/>
        <v>0</v>
      </c>
      <c r="CM19" s="11">
        <f>+COUNTIFS('muddati otgan'!C:C,A19,'muddati otgan'!AA:AA,"Arizani qabul qilish2")</f>
        <v>0</v>
      </c>
      <c r="CN19" s="11">
        <f>+COUNTIFS('muddati otgan'!C:C,A19,'muddati otgan'!J:J,"Huquqlarni tekshirish")</f>
        <v>0</v>
      </c>
      <c r="CO19" s="11">
        <f>+COUNTIFS('muddati otgan'!C:C,A19,'muddati otgan'!J:J,"Ko'chmas mulkni ro'yhatdan o'tkazishga qabul qilish")</f>
        <v>0</v>
      </c>
      <c r="CP19" s="11">
        <f>+COUNTIFS('muddati otgan'!C:C,A19,'muddati otgan'!J:J,"Ro'yxatdan o'tkazish")</f>
        <v>0</v>
      </c>
      <c r="CQ19" s="11">
        <f>+COUNTIFS('muddati otgan'!C:C,A19,'muddati otgan'!J:J,"Kadastr pasporti va ko'chirmani yuborish")</f>
        <v>0</v>
      </c>
      <c r="CR19" s="11">
        <f>+COUNTIFS('muddati otgan'!C:C,A19,'muddati otgan'!AA:AA,"Rad qilish2")</f>
        <v>0</v>
      </c>
      <c r="CS19" s="11">
        <f>+COUNTIFS('muddati otgan'!C:C,A19,'muddati otgan'!J:J,"Ko'chirmani yuborish")</f>
        <v>0</v>
      </c>
      <c r="CT19" s="11">
        <f>+COUNTIFS('muddati otgan'!C:C,A19,'muddati otgan'!J:J,"Ma‘lumotlarni tekshirish")</f>
        <v>0</v>
      </c>
      <c r="CU19" s="11">
        <f t="shared" si="20"/>
        <v>0</v>
      </c>
      <c r="CV19" s="11">
        <f>+COUNTIFS('muddati otgan'!C:C,A19,'muddati otgan'!J:J,"Kadastr yig'majildini chop etish va arxiv ishiga tikish")</f>
        <v>0</v>
      </c>
      <c r="CW19" s="11">
        <f t="shared" si="21"/>
        <v>0</v>
      </c>
      <c r="CX19" s="11">
        <f>+COUNTIFS('muddati otgan'!C:C,A19,'muddati otgan'!J:J,"Kadastr yig‘majildini qabul qilish, arizani yakunlash")</f>
        <v>0</v>
      </c>
      <c r="CY19" s="11">
        <f>+COUNTIFS('muddati otgan'!C:C,A19,'muddati otgan'!J:J,"Next Cloudga yuklash")</f>
        <v>0</v>
      </c>
      <c r="CZ19" s="6">
        <f>+COUNTIFS('muddati otgan'!C:C,A19,'muddati otgan'!J:J,"Kelishish kutilmoqda")</f>
        <v>0</v>
      </c>
      <c r="DA19" s="6">
        <f>+COUNTIFS('muddati otgan'!C:C,A19,'muddati otgan'!J:J,"Yakunlandi")</f>
        <v>0</v>
      </c>
      <c r="DB19" s="10">
        <f>+COUNTIFS('muddati otgan'!C:C,A19,'muddati otgan'!J:J,"Rad etildi")</f>
        <v>0</v>
      </c>
      <c r="DC19" s="100">
        <f t="shared" si="5"/>
        <v>0</v>
      </c>
      <c r="DD19" s="44">
        <f>COUNTIFS('jami 1-20 kunlik arizalar'!C:C,A:A,'jami 1-20 kunlik arizalar'!S:S,"1")</f>
        <v>0</v>
      </c>
      <c r="DE19" s="11">
        <f>COUNTIFS('jami 1-20 kunlik arizalar'!C:C,A:A,'jami 1-20 kunlik arizalar'!S:S,"2")</f>
        <v>0</v>
      </c>
      <c r="DF19" s="11">
        <f>COUNTIFS('jami 1-20 kunlik arizalar'!C:C,A:A,'jami 1-20 kunlik arizalar'!S:S,"3")</f>
        <v>1</v>
      </c>
      <c r="DG19" s="11">
        <f>COUNTIFS('jami 1-20 kunlik arizalar'!C:C,A:A,'jami 1-20 kunlik arizalar'!S:S,"4")</f>
        <v>0</v>
      </c>
      <c r="DH19" s="11">
        <f>COUNTIFS('jami 1-20 kunlik arizalar'!C:C,A:A,'jami 1-20 kunlik arizalar'!S:S,"5")</f>
        <v>0</v>
      </c>
      <c r="DI19" s="11">
        <f>SUM(COUNTIFS('jami 1-20 kunlik arizalar'!C:C,A:A, 'jami 1-20 kunlik arizalar'!S:S, {6,7,8,9,10}))</f>
        <v>5</v>
      </c>
      <c r="DJ19" s="12">
        <f>SUM(COUNTIFS('jami 1-20 kunlik arizalar'!C:C,A:A, 'jami 1-20 kunlik arizalar'!S:S, "&gt;10"))</f>
        <v>9</v>
      </c>
    </row>
    <row r="20" spans="1:115" s="32" customFormat="1" ht="78.75" hidden="1" customHeight="1" outlineLevel="1" thickBot="1" x14ac:dyDescent="0.3">
      <c r="A20" s="93"/>
      <c r="B20" s="75"/>
      <c r="C20" s="71" t="s">
        <v>930</v>
      </c>
      <c r="D20" s="49">
        <f>+D6-(SUM(D7:D19))</f>
        <v>0</v>
      </c>
      <c r="E20" s="21"/>
      <c r="F20" s="21"/>
      <c r="G20" s="21"/>
      <c r="H20" s="41"/>
      <c r="I20" s="42"/>
      <c r="J20" s="45"/>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68"/>
      <c r="CL20" s="41"/>
      <c r="CM20" s="41"/>
      <c r="CN20" s="41"/>
      <c r="CO20" s="41"/>
      <c r="CP20" s="41"/>
      <c r="CQ20" s="41"/>
      <c r="CR20" s="41"/>
      <c r="CS20" s="41"/>
      <c r="CT20" s="41"/>
      <c r="CU20" s="41"/>
      <c r="CV20" s="41"/>
      <c r="CW20" s="41"/>
      <c r="CX20" s="41"/>
      <c r="CY20" s="41"/>
      <c r="CZ20" s="68"/>
      <c r="DA20" s="68"/>
      <c r="DB20" s="21"/>
      <c r="DC20" s="101"/>
      <c r="DD20" s="45">
        <f t="shared" ref="DD20:DJ20" si="22">+DD6-(SUM(DD7:DD19))</f>
        <v>0</v>
      </c>
      <c r="DE20" s="41">
        <f t="shared" si="22"/>
        <v>0</v>
      </c>
      <c r="DF20" s="41">
        <f t="shared" si="22"/>
        <v>0</v>
      </c>
      <c r="DG20" s="41">
        <f t="shared" si="22"/>
        <v>0</v>
      </c>
      <c r="DH20" s="41">
        <f t="shared" si="22"/>
        <v>1</v>
      </c>
      <c r="DI20" s="41">
        <f t="shared" si="22"/>
        <v>6</v>
      </c>
      <c r="DJ20" s="42">
        <f t="shared" si="22"/>
        <v>17</v>
      </c>
    </row>
    <row r="21" spans="1:115" s="29" customFormat="1" ht="57.95" customHeight="1" collapsed="1" thickBot="1" x14ac:dyDescent="0.3">
      <c r="A21" s="91" t="s">
        <v>73</v>
      </c>
      <c r="B21" s="76">
        <v>2</v>
      </c>
      <c r="C21" s="69" t="s">
        <v>62</v>
      </c>
      <c r="D21" s="47">
        <f>+COUNTIFS('muddati otgan'!B:B,A21,'muddati otgan'!B:B,A21)</f>
        <v>18</v>
      </c>
      <c r="E21" s="37">
        <f>SUMIFS('muddati otgan'!$V:V,'muddati otgan'!$B:B,$A:A)</f>
        <v>0</v>
      </c>
      <c r="F21" s="37">
        <f>SUMIFS('muddati otgan'!$W:W,'muddati otgan'!$B:B,$A:A)</f>
        <v>0</v>
      </c>
      <c r="G21" s="38">
        <f>SUMIFS('muddati otgan'!$U:U,'muddati otgan'!$B:B,$A:A)</f>
        <v>18</v>
      </c>
      <c r="H21" s="39">
        <f>SUMIFS('muddati otgan'!$G:G,'muddati otgan'!$B:B,$A:A)</f>
        <v>16</v>
      </c>
      <c r="I21" s="40">
        <f>SUMIFS('muddati otgan'!$H:H,'muddati otgan'!$B:B,$A:A)</f>
        <v>2</v>
      </c>
      <c r="J21" s="43">
        <f t="shared" ref="J21:J227" si="23">K21+P21+Q21+R21+S21+T21+U21+V21+W21+L21+O21+M21+N21+X21</f>
        <v>4</v>
      </c>
      <c r="K21" s="39">
        <f>+COUNTIFS('muddati otgan'!B:B,A21,'muddati otgan'!AA:AA,"Arizani qabul qilish")</f>
        <v>0</v>
      </c>
      <c r="L21" s="39">
        <f>+COUNTIFS('muddati otgan'!B:B,A21,'muddati otgan'!J:J,"Arizani rad etish")</f>
        <v>0</v>
      </c>
      <c r="M21" s="39">
        <f>+COUNTIFS('muddati otgan'!B:B,A21,'muddati otgan'!J:J,"Arizani tasdiqlash")</f>
        <v>0</v>
      </c>
      <c r="N21" s="39">
        <f>+COUNTIFS('muddati otgan'!B:B,A21,'muddati otgan'!J:J,"Arizani yo'naltirish")</f>
        <v>0</v>
      </c>
      <c r="O21" s="39">
        <f>+COUNTIFS('muddati otgan'!B:B,A21,'muddati otgan'!J:J,"Rad qilish sababini o'rganish")</f>
        <v>4</v>
      </c>
      <c r="P21" s="39">
        <f>+COUNTIFS('muddati otgan'!B:B,A21,'muddati otgan'!J:J,"Ko'chmas mulkni UZKAD ga migratsiya qilish")</f>
        <v>0</v>
      </c>
      <c r="Q21" s="39">
        <f>+COUNTIFS('muddati otgan'!B:B,A21,'muddati otgan'!J:J,"Migratisya qilingan obyekt holatini tekshirish")</f>
        <v>0</v>
      </c>
      <c r="R21" s="39">
        <f>+COUNTIFS('muddati otgan'!B:B,A21,'muddati otgan'!J:J,"Ko‘chmas mulkni tanlash")</f>
        <v>0</v>
      </c>
      <c r="S21" s="39">
        <f>+COUNTIFS('muddati otgan'!B:B,A21,'muddati otgan'!J:J,"Arizani ko'rib chiqish")</f>
        <v>0</v>
      </c>
      <c r="T21" s="39">
        <f>+COUNTIFS('muddati otgan'!B:B,A21,'muddati otgan'!J:J,"Kadastr muhandisini tanlash")</f>
        <v>0</v>
      </c>
      <c r="U21" s="39">
        <f>+COUNTIFS('muddati otgan'!B:B,A21,'muddati otgan'!J:J,"Ko'chmas mulk turini tanlahsh")</f>
        <v>0</v>
      </c>
      <c r="V21" s="39">
        <f>+COUNTIFS('muddati otgan'!B:B,A21,'muddati otgan'!AA:AA,"Rad qilish")</f>
        <v>0</v>
      </c>
      <c r="W21" s="39">
        <f>+COUNTIFS('muddati otgan'!B:B,A21,'muddati otgan'!J:J,"ijrochi tanlash")</f>
        <v>0</v>
      </c>
      <c r="X21" s="39">
        <f>+COUNTIFS('muddati otgan'!B:B,A21,'muddati otgan'!J:J,"Ko'chmas mulk turini tanlash")</f>
        <v>0</v>
      </c>
      <c r="Y21" s="39">
        <f t="shared" ref="Y21:Y227" si="24">Z21+AD21+AF21+AE21+AC21+AB21+AA21</f>
        <v>0</v>
      </c>
      <c r="Z21" s="39">
        <f>+COUNTIFS('muddati otgan'!B:B,A21,'muddati otgan'!J:J,"Ijroga qabul qilish")</f>
        <v>0</v>
      </c>
      <c r="AA21" s="39">
        <f>+COUNTIFS('muddati otgan'!B:B,A21,'muddati otgan'!J:J,"Joyida o'rganish va ma'lumotlarni kiritish")</f>
        <v>0</v>
      </c>
      <c r="AB21" s="39">
        <f>+COUNTIFS('muddati otgan'!B:B,A21,'muddati otgan'!J:J,"Asosiy qismdan ajratish jarayonida")</f>
        <v>0</v>
      </c>
      <c r="AC21" s="39">
        <f>+COUNTIFS('muddati otgan'!B:B,A21,'muddati otgan'!J:J,"Umumiy foydalanishdagi obyekt yaratilish")</f>
        <v>0</v>
      </c>
      <c r="AD21" s="39">
        <f>+COUNTIFS('muddati otgan'!B:B,A21,'muddati otgan'!J:J,"Migratsiya qilinadigan kadastr raqamini kiritish")</f>
        <v>0</v>
      </c>
      <c r="AE21" s="39">
        <f>+COUNTIFS('muddati otgan'!B:B,A21,'muddati otgan'!J:J,"O'zida qolgan obyektni yaratish")</f>
        <v>0</v>
      </c>
      <c r="AF21" s="39">
        <f>+COUNTIFS('muddati otgan'!B:B,A21,'muddati otgan'!J:J,"O'lchov natijalarini kiritish")</f>
        <v>0</v>
      </c>
      <c r="AG21" s="39">
        <f>+COUNTIFS('muddati otgan'!B:B,A21,'muddati otgan'!J:J,"Topoxaritani tayyorlash (dwg, pdf)")</f>
        <v>0</v>
      </c>
      <c r="AH21" s="39">
        <f t="shared" ref="AH21:AH227" si="25">AI21</f>
        <v>1</v>
      </c>
      <c r="AI21" s="39">
        <f>+COUNTIFS('muddati otgan'!B:B,A21,'muddati otgan'!J:J,"Yer uchastkasini yaratish")</f>
        <v>1</v>
      </c>
      <c r="AJ21" s="39">
        <f t="shared" ref="AJ21:AJ227" si="26">AK21</f>
        <v>0</v>
      </c>
      <c r="AK21" s="39">
        <f>+COUNTIFS('muddati otgan'!B:B,A21,'muddati otgan'!J:J,"Kelishish (Boshqarma)")</f>
        <v>0</v>
      </c>
      <c r="AL21" s="39">
        <f t="shared" ref="AL21:AL227" si="27">AM21+AN21+AO21</f>
        <v>0</v>
      </c>
      <c r="AM21" s="39">
        <f>+COUNTIFS('muddati otgan'!B:B,A21,'muddati otgan'!J:J,"Kelishish (DKP)")</f>
        <v>0</v>
      </c>
      <c r="AN21" s="39">
        <f>+COUNTIFS('muddati otgan'!B:B,A21,'muddati otgan'!J:J,"Kelishish")</f>
        <v>0</v>
      </c>
      <c r="AO21" s="39">
        <f>+COUNTIFS('muddati otgan'!B:B,A21,'muddati otgan'!J:J,"Kelishish (Registratsiya DKP)")</f>
        <v>0</v>
      </c>
      <c r="AP21" s="39">
        <f t="shared" ref="AP21:AP227" si="28">AQ21+AR21+AS21+AT21</f>
        <v>0</v>
      </c>
      <c r="AQ21" s="39">
        <f>+COUNTIFS('muddati otgan'!B:B,A21,'muddati otgan'!J:J,"Manzil biriktirish")</f>
        <v>0</v>
      </c>
      <c r="AR21" s="39">
        <f>+COUNTIFS('muddati otgan'!B:B,A21,'muddati otgan'!J:J,"Bino va inshootlarni yaratish")</f>
        <v>0</v>
      </c>
      <c r="AS21" s="39">
        <f>+COUNTIFS('muddati otgan'!B:B,A21,'muddati otgan'!J:J,"Dov daraxtlarni yaratish")</f>
        <v>0</v>
      </c>
      <c r="AT21" s="39">
        <f>+COUNTIFS('muddati otgan'!B:B,A21,'muddati otgan'!J:J,"Yer uchastkasini tahrirlash")</f>
        <v>0</v>
      </c>
      <c r="AU21" s="39">
        <f t="shared" ref="AU21:AU227" si="29">AV21+AW21+AX21+AY21+AZ21</f>
        <v>0</v>
      </c>
      <c r="AV21" s="39">
        <f>+COUNTIFS('muddati otgan'!B:B,A21,'muddati otgan'!J:J,"Yer toifasi va maqsadini kiritish")</f>
        <v>0</v>
      </c>
      <c r="AW21" s="39">
        <f>+COUNTIFS('muddati otgan'!B:B,A21,'muddati otgan'!J:J,"Auksion yer tekshirish")</f>
        <v>0</v>
      </c>
      <c r="AX21" s="39">
        <f>+COUNTIFS('muddati otgan'!B:B,A21,'muddati otgan'!J:J,"Yer turlarini kiritish")</f>
        <v>0</v>
      </c>
      <c r="AY21" s="39">
        <f>+COUNTIFS('muddati otgan'!B:B,A21,'muddati otgan'!J:J,"Ma'lumotlarni kiritish")</f>
        <v>0</v>
      </c>
      <c r="AZ21" s="39">
        <f>+COUNTIFS('muddati otgan'!B:B,A21,'muddati otgan'!J:J,"Yer tekshirish")</f>
        <v>0</v>
      </c>
      <c r="BA21" s="39">
        <f t="shared" ref="BA21:BA227" si="30">BB21+BC21+BD21+BE21+BF21+BG21+BH21+BI21+BJ21+BK21</f>
        <v>0</v>
      </c>
      <c r="BB21" s="39">
        <f>+COUNTIFS('muddati otgan'!B:B,A21,'muddati otgan'!J:J,"Bino va inshoot ma'lumotlarini to‘ldirish")</f>
        <v>0</v>
      </c>
      <c r="BC21" s="39">
        <f>+COUNTIFS('muddati otgan'!B:B,A21,'muddati otgan'!J:J,"Inventarizatsiya ma'lumotlarini to‘ldirish")</f>
        <v>0</v>
      </c>
      <c r="BD21" s="39">
        <f>+COUNTIFS('muddati otgan'!B:B,A21,'muddati otgan'!J:J,"Yer uchastkasiga huquqiy hujjatlarni kiritsh")</f>
        <v>0</v>
      </c>
      <c r="BE21" s="39">
        <f>+COUNTIFS('muddati otgan'!B:B,A21,'muddati otgan'!J:J,"Bino-inshootlarga huquqiy hujjatlarni kiritsh")</f>
        <v>0</v>
      </c>
      <c r="BF21" s="39">
        <f>+COUNTIFS('muddati otgan'!B:B,A21,'muddati otgan'!J:J,"Kadastr qiymatini hisoblash va kiritish")</f>
        <v>0</v>
      </c>
      <c r="BG21" s="39">
        <f>+COUNTIFS('muddati otgan'!B:B,A21,'muddati otgan'!J:J,"Kadastr raqam biriktirish")</f>
        <v>0</v>
      </c>
      <c r="BH21" s="39">
        <f>+COUNTIFS('muddati otgan'!B:B,A21,'muddati otgan'!J:J,"Kadastr yig'ma jildni tayyorlash")</f>
        <v>0</v>
      </c>
      <c r="BI21" s="39">
        <f>+COUNTIFS('muddati otgan'!B:B,A21,'muddati otgan'!J:J,"Huquqni yaratish")</f>
        <v>0</v>
      </c>
      <c r="BJ21" s="39">
        <f>+COUNTIFS('muddati otgan'!B:B,A21,'muddati otgan'!J:J,"Hujjatlarni o'rganish")</f>
        <v>0</v>
      </c>
      <c r="BK21" s="39">
        <f>+COUNTIFS('muddati otgan'!B:B,A21,'muddati otgan'!J:J,"Ma'lumotlarni tekshirish")</f>
        <v>0</v>
      </c>
      <c r="BL21" s="39">
        <f t="shared" ref="BL21:BL227" si="31">BM21+BN21+BP21+BO21+BQ21</f>
        <v>1</v>
      </c>
      <c r="BM21" s="39">
        <f>+COUNTIFS('muddati otgan'!B:B,A21,'muddati otgan'!J:J,"Tekshirish")</f>
        <v>0</v>
      </c>
      <c r="BN21" s="39">
        <f>+COUNTIFS('muddati otgan'!B:B,A21,'muddati otgan'!J:J,"Hujjatlarni tekshirish")</f>
        <v>0</v>
      </c>
      <c r="BO21" s="39">
        <f>+COUNTIFS('muddati otgan'!B:B,A21,'muddati otgan'!J:J,"Tasdiqlash")</f>
        <v>0</v>
      </c>
      <c r="BP21" s="39">
        <f>+COUNTIFS('muddati otgan'!B:B,A21,'muddati otgan'!J:J,"tekshirish/tasdiqlash")</f>
        <v>0</v>
      </c>
      <c r="BQ21" s="39">
        <f>+COUNTIFS('muddati otgan'!B:B,A21,'muddati otgan'!J:J,"Ma'lumotlarni tasdiqlash")</f>
        <v>1</v>
      </c>
      <c r="BR21" s="39">
        <f t="shared" ref="BR21:BR227" si="32">BS21+BU21+BV21+BW21+BX21+BY21-BT21</f>
        <v>0</v>
      </c>
      <c r="BS21" s="39">
        <f>+COUNTIFS('muddati otgan'!B:B,A21,'muddati otgan'!J:J,"Ro'yxatdan o'tkazish ma'lumotlarini tekshirish")</f>
        <v>0</v>
      </c>
      <c r="BT21" s="39">
        <f>+COUNTIFS('muddati otgan'!B:B,A21,'muddati otgan'!J:J,"Kamchiliklar bo'yicha habarnoma yuborish va 3 kunga to'xtatish")</f>
        <v>0</v>
      </c>
      <c r="BU21" s="39">
        <f>+COUNTIFS('muddati otgan'!B:B,A21,'muddati otgan'!J:J,"Hisobga olish")</f>
        <v>0</v>
      </c>
      <c r="BV21" s="39">
        <f>+COUNTIFS('muddati otgan'!B:B,A21,'muddati otgan'!J:J,"Yer uchastkasiga huquq yaratish")</f>
        <v>0</v>
      </c>
      <c r="BW21" s="39">
        <f>+COUNTIFS('muddati otgan'!B:B,A21,'muddati otgan'!J:J,"Bino-inshootga huquq yaratish")</f>
        <v>0</v>
      </c>
      <c r="BX21" s="39">
        <f>+COUNTIFS('muddati otgan'!B:B,A21,'muddati otgan'!J:J,"Cheklov yaratish")</f>
        <v>0</v>
      </c>
      <c r="BY21" s="39">
        <f>+COUNTIFS('muddati otgan'!B:B,A21,'muddati otgan'!J:J,"Taqiq yaratish")</f>
        <v>0</v>
      </c>
      <c r="BZ21" s="39">
        <f t="shared" ref="BZ21:BZ227" si="33">CA21</f>
        <v>0</v>
      </c>
      <c r="CA21" s="39">
        <f>+COUNTIFS('muddati otgan'!B:B,A21,'muddati otgan'!J:J,"Soliq maydonini tekshirish")</f>
        <v>0</v>
      </c>
      <c r="CB21" s="39">
        <f t="shared" ref="CB21:CB227" si="34">CC21</f>
        <v>0</v>
      </c>
      <c r="CC21" s="39">
        <f>+COUNTIFS('muddati otgan'!B:B,A21,'muddati otgan'!J:J,"Kadastr yig'majildini shakllantirish")</f>
        <v>0</v>
      </c>
      <c r="CD21" s="39">
        <f t="shared" ref="CD21:CD227" si="35">CE21+CF21+CG21+CI21+CJ21+CH21</f>
        <v>1</v>
      </c>
      <c r="CE21" s="39">
        <f>+COUNTIFS('muddati otgan'!B:B,A21,'muddati otgan'!J:J,"Kadastr passportini shakllantirish")</f>
        <v>1</v>
      </c>
      <c r="CF21" s="39">
        <f>+COUNTIFS('muddati otgan'!B:B,A21,'muddati otgan'!J:J,"Yig'ma jildni tasdiqlash")</f>
        <v>0</v>
      </c>
      <c r="CG21" s="39">
        <f>+COUNTIFS('muddati otgan'!B:B,A21,'muddati otgan'!J:J,"To'lov yoki bepul tasdiqlash")</f>
        <v>0</v>
      </c>
      <c r="CH21" s="39">
        <f>+COUNTIFS('muddati otgan'!B:B,A21,'muddati otgan'!J:J,"Bog'liq arizani kutish")</f>
        <v>0</v>
      </c>
      <c r="CI21" s="39">
        <f>+COUNTIFS('muddati otgan'!B:B,A21,'muddati otgan'!J:J,"To'lovga chiqarish")</f>
        <v>0</v>
      </c>
      <c r="CJ21" s="39">
        <f>+COUNTIFS('muddati otgan'!B:B,A21,'muddati otgan'!J:J,"Hisobga qo'yish")</f>
        <v>0</v>
      </c>
      <c r="CK21" s="67">
        <f>+COUNTIFS('muddati otgan'!B:B,A21,'muddati otgan'!J:J,"To'lov kutilmoqda")</f>
        <v>9</v>
      </c>
      <c r="CL21" s="39">
        <f t="shared" ref="CL21:CL227" si="36">CM21+CN21+CO21+CP21+CQ21+CR21+CS21+CT21</f>
        <v>0</v>
      </c>
      <c r="CM21" s="39">
        <f>+COUNTIFS('muddati otgan'!B:B,A21,'muddati otgan'!AA:AA,"Arizani qabul qilish2")</f>
        <v>0</v>
      </c>
      <c r="CN21" s="39">
        <f>+COUNTIFS('muddati otgan'!B:B,A21,'muddati otgan'!J:J,"Huquqlarni tekshirish")</f>
        <v>0</v>
      </c>
      <c r="CO21" s="39">
        <f>+COUNTIFS('muddati otgan'!B:B,A21,'muddati otgan'!J:J,"Ko'chmas mulkni ro'yhatdan o'tkazishga qabul qilish")</f>
        <v>0</v>
      </c>
      <c r="CP21" s="39">
        <f>+COUNTIFS('muddati otgan'!B:B,A21,'muddati otgan'!J:J,"Ro'yxatdan o'tkazish")</f>
        <v>0</v>
      </c>
      <c r="CQ21" s="39">
        <f>+COUNTIFS('muddati otgan'!B:B,A21,'muddati otgan'!J:J,"Kadastr pasporti va ko'chirmani yuborish")</f>
        <v>0</v>
      </c>
      <c r="CR21" s="39">
        <f>+COUNTIFS('muddati otgan'!B:B,A21,'muddati otgan'!AA:AA,"Rad qilish2")</f>
        <v>0</v>
      </c>
      <c r="CS21" s="39">
        <f>+COUNTIFS('muddati otgan'!B:B,A21,'muddati otgan'!J:J,"Ko'chirmani yuborish")</f>
        <v>0</v>
      </c>
      <c r="CT21" s="39">
        <f>+COUNTIFS('muddati otgan'!B:B,A21,'muddati otgan'!J:J,"Ma‘lumotlarni tekshirish")</f>
        <v>0</v>
      </c>
      <c r="CU21" s="39">
        <f t="shared" ref="CU21:CU227" si="37">CV21</f>
        <v>0</v>
      </c>
      <c r="CV21" s="39">
        <f>+COUNTIFS('muddati otgan'!B:B,A21,'muddati otgan'!J:J,"Kadastr yig'majildini chop etish va arxiv ishiga tikish")</f>
        <v>0</v>
      </c>
      <c r="CW21" s="39">
        <f t="shared" ref="CW21:CW227" si="38">CX21+CY21</f>
        <v>0</v>
      </c>
      <c r="CX21" s="39">
        <f>+COUNTIFS('muddati otgan'!B:B,A21,'muddati otgan'!J:J,"Kadastr yig‘majildini qabul qilish, arizani yakunlash")</f>
        <v>0</v>
      </c>
      <c r="CY21" s="39">
        <f>+COUNTIFS('muddati otgan'!B:B,A21,'muddati otgan'!J:J,"Next Cloudga yuklash")</f>
        <v>0</v>
      </c>
      <c r="CZ21" s="67">
        <f>+COUNTIFS('muddati otgan'!B:B,A21,'muddati otgan'!J:J,"Kelishish kutilmoqda")</f>
        <v>0</v>
      </c>
      <c r="DA21" s="67">
        <f>+COUNTIFS('muddati otgan'!B:B,A21,'muddati otgan'!J:J,"Yakunlandi")</f>
        <v>2</v>
      </c>
      <c r="DB21" s="37">
        <f>+COUNTIFS('muddati otgan'!B:B,A21,'muddati otgan'!J:J,"Rad etildi")</f>
        <v>0</v>
      </c>
      <c r="DC21" s="99">
        <f t="shared" si="5"/>
        <v>-7</v>
      </c>
      <c r="DD21" s="43">
        <f>COUNTIFS('jami 1-20 kunlik arizalar'!B:B,A:A,'jami 1-20 kunlik arizalar'!S:S,"1")</f>
        <v>0</v>
      </c>
      <c r="DE21" s="39">
        <f>COUNTIFS('jami 1-20 kunlik arizalar'!B:B,A:A,'jami 1-20 kunlik arizalar'!S:S,"2")</f>
        <v>0</v>
      </c>
      <c r="DF21" s="39">
        <f>COUNTIFS('jami 1-20 kunlik arizalar'!B:B,A:A,'jami 1-20 kunlik arizalar'!S:S,"3")</f>
        <v>19</v>
      </c>
      <c r="DG21" s="39">
        <f>COUNTIFS('jami 1-20 kunlik arizalar'!B:B,A:A,'jami 1-20 kunlik arizalar'!S:S,"4")</f>
        <v>13</v>
      </c>
      <c r="DH21" s="39">
        <f>COUNTIFS('jami 1-20 kunlik arizalar'!B:B,A:A,'jami 1-20 kunlik arizalar'!S:S,"5")</f>
        <v>21</v>
      </c>
      <c r="DI21" s="39">
        <f>SUM(COUNTIFS('jami 1-20 kunlik arizalar'!B:B,A:A, 'jami 1-20 kunlik arizalar'!S:S, {6,7,8,9,10}))</f>
        <v>50</v>
      </c>
      <c r="DJ21" s="40">
        <f>SUMPRODUCT(('jami 1-20 kunlik arizalar'!B:B=A21)*('jami 1-20 kunlik arizalar'!S:S&gt;10))</f>
        <v>73</v>
      </c>
      <c r="DK21" s="34"/>
    </row>
    <row r="22" spans="1:115" ht="39.950000000000003" hidden="1" customHeight="1" outlineLevel="2" x14ac:dyDescent="0.25">
      <c r="A22" s="92" t="s">
        <v>568</v>
      </c>
      <c r="B22" s="74"/>
      <c r="C22" s="70" t="s">
        <v>755</v>
      </c>
      <c r="D22" s="48">
        <f>+COUNTIFS('muddati otgan'!C:C,A22,'muddati otgan'!C:C,A22)</f>
        <v>0</v>
      </c>
      <c r="E22" s="10">
        <f>SUMIFS('muddati otgan'!$V:V,'muddati otgan'!$C:C,$A:A)</f>
        <v>0</v>
      </c>
      <c r="F22" s="10">
        <f>SUMIFS('muddati otgan'!$W:W,'muddati otgan'!$C:C,$A:A)</f>
        <v>0</v>
      </c>
      <c r="G22" s="24">
        <f>SUMIFS('muddati otgan'!$U:U,'muddati otgan'!$C:C,$A:A)</f>
        <v>0</v>
      </c>
      <c r="H22" s="11">
        <f>SUMIFS('muddati otgan'!$G:G,'muddati otgan'!$C:C,$A:A)</f>
        <v>0</v>
      </c>
      <c r="I22" s="12">
        <f>SUMIFS('muddati otgan'!$H:H,'muddati otgan'!$C:C,$A:A)</f>
        <v>0</v>
      </c>
      <c r="J22" s="44">
        <f t="shared" si="23"/>
        <v>0</v>
      </c>
      <c r="K22" s="11">
        <f>+COUNTIFS('muddati otgan'!C:C,A22,'muddati otgan'!AA:AA,"Arizani qabul qilish")</f>
        <v>0</v>
      </c>
      <c r="L22" s="11">
        <f>+COUNTIFS('muddati otgan'!C:C,A22,'muddati otgan'!J:J,"Arizani rad etish")</f>
        <v>0</v>
      </c>
      <c r="M22" s="11">
        <f>+COUNTIFS('muddati otgan'!C:C,A22,'muddati otgan'!J:J,"Arizani tasdiqlash")</f>
        <v>0</v>
      </c>
      <c r="N22" s="11">
        <f>+COUNTIFS('muddati otgan'!C:C,A22,'muddati otgan'!J:J,"Arizani yo'naltirish")</f>
        <v>0</v>
      </c>
      <c r="O22" s="11">
        <f>+COUNTIFS('muddati otgan'!C:C,A22,'muddati otgan'!J:J,"Rad qilish sababini o'rganish")</f>
        <v>0</v>
      </c>
      <c r="P22" s="11">
        <f>+COUNTIFS('muddati otgan'!C:C,A22,'muddati otgan'!J:J,"Ko'chmas mulkni UZKAD ga migratsiya qilish")</f>
        <v>0</v>
      </c>
      <c r="Q22" s="11">
        <f>+COUNTIFS('muddati otgan'!C:C,A22,'muddati otgan'!J:J,"Migratisya qilingan obyekt holatini tekshirish")</f>
        <v>0</v>
      </c>
      <c r="R22" s="11">
        <f>+COUNTIFS('muddati otgan'!C:C,A22,'muddati otgan'!J:J,"Ko‘chmas mulkni tanlash")</f>
        <v>0</v>
      </c>
      <c r="S22" s="11">
        <f>+COUNTIFS('muddati otgan'!C:C,A22,'muddati otgan'!J:J,"Arizani ko'rib chiqish")</f>
        <v>0</v>
      </c>
      <c r="T22" s="11">
        <f>+COUNTIFS('muddati otgan'!C:C,A22,'muddati otgan'!J:J,"Kadastr muhandisini tanlash")</f>
        <v>0</v>
      </c>
      <c r="U22" s="11">
        <f>+COUNTIFS('muddati otgan'!C:C,A22,'muddati otgan'!J:J,"Ko'chmas mulk turini tanlahsh")</f>
        <v>0</v>
      </c>
      <c r="V22" s="11">
        <f>+COUNTIFS('muddati otgan'!C:C,A22,'muddati otgan'!AA:AA,"Rad qilish")</f>
        <v>0</v>
      </c>
      <c r="W22" s="11">
        <f>+COUNTIFS('muddati otgan'!C:C,A22,'muddati otgan'!J:J,"ijrochi tanlash")</f>
        <v>0</v>
      </c>
      <c r="X22" s="11">
        <f>+COUNTIFS('muddati otgan'!C:C,A22,'muddati otgan'!J:J,"Ko'chmas mulk turini tanlash")</f>
        <v>0</v>
      </c>
      <c r="Y22" s="11">
        <f t="shared" si="24"/>
        <v>0</v>
      </c>
      <c r="Z22" s="11">
        <f>+COUNTIFS('muddati otgan'!C:C,A22,'muddati otgan'!J:J,"Ijroga qabul qilish")</f>
        <v>0</v>
      </c>
      <c r="AA22" s="11">
        <f>+COUNTIFS('muddati otgan'!C:C,A22,'muddati otgan'!J:J,"Joyida o'rganish va ma'lumotlarni kiritish")</f>
        <v>0</v>
      </c>
      <c r="AB22" s="11">
        <f>+COUNTIFS('muddati otgan'!C:C,A22,'muddati otgan'!J:J,"Asosiy qismdan ajratish jarayonida")</f>
        <v>0</v>
      </c>
      <c r="AC22" s="11">
        <f>+COUNTIFS('muddati otgan'!C:C,A22,'muddati otgan'!J:J,"Umumiy foydalanishdagi obyekt yaratilish")</f>
        <v>0</v>
      </c>
      <c r="AD22" s="11">
        <f>+COUNTIFS('muddati otgan'!C:C,A22,'muddati otgan'!J:J,"Migratsiya qilinadigan kadastr raqamini kiritish")</f>
        <v>0</v>
      </c>
      <c r="AE22" s="11">
        <f>+COUNTIFS('muddati otgan'!C:C,A22,'muddati otgan'!J:J,"O'zida qolgan obyektni yaratish")</f>
        <v>0</v>
      </c>
      <c r="AF22" s="11">
        <f>+COUNTIFS('muddati otgan'!C:C,A22,'muddati otgan'!J:J,"O'lchov natijalarini kiritish")</f>
        <v>0</v>
      </c>
      <c r="AG22" s="11">
        <f>+COUNTIFS('muddati otgan'!C:C,A22,'muddati otgan'!J:J,"Topoxaritani tayyorlash (dwg, pdf)")</f>
        <v>0</v>
      </c>
      <c r="AH22" s="11">
        <f t="shared" si="25"/>
        <v>0</v>
      </c>
      <c r="AI22" s="11">
        <f>+COUNTIFS('muddati otgan'!C:C,A22,'muddati otgan'!J:J,"Yer uchastkasini yaratish")</f>
        <v>0</v>
      </c>
      <c r="AJ22" s="11">
        <f t="shared" si="26"/>
        <v>0</v>
      </c>
      <c r="AK22" s="11">
        <f>+COUNTIFS('muddati otgan'!C:C,A22,'muddati otgan'!J:J,"Kelishish (Boshqarma)")</f>
        <v>0</v>
      </c>
      <c r="AL22" s="11">
        <f t="shared" si="27"/>
        <v>0</v>
      </c>
      <c r="AM22" s="11">
        <f>+COUNTIFS('muddati otgan'!C:C,A22,'muddati otgan'!J:J,"Kelishish (DKP)")</f>
        <v>0</v>
      </c>
      <c r="AN22" s="11">
        <f>+COUNTIFS('muddati otgan'!C:C,A22,'muddati otgan'!J:J,"Kelishish")</f>
        <v>0</v>
      </c>
      <c r="AO22" s="11">
        <f>+COUNTIFS('muddati otgan'!C:C,A22,'muddati otgan'!J:J,"Kelishish (Registratsiya DKP)")</f>
        <v>0</v>
      </c>
      <c r="AP22" s="11">
        <f t="shared" si="28"/>
        <v>0</v>
      </c>
      <c r="AQ22" s="11">
        <f>+COUNTIFS('muddati otgan'!C:C,A22,'muddati otgan'!J:J,"Manzil biriktirish")</f>
        <v>0</v>
      </c>
      <c r="AR22" s="11">
        <f>+COUNTIFS('muddati otgan'!C:C,A22,'muddati otgan'!J:J,"Bino va inshootlarni yaratish")</f>
        <v>0</v>
      </c>
      <c r="AS22" s="11">
        <f>+COUNTIFS('muddati otgan'!C:C,A22,'muddati otgan'!J:J,"Dov daraxtlarni yaratish")</f>
        <v>0</v>
      </c>
      <c r="AT22" s="11">
        <f>+COUNTIFS('muddati otgan'!C:C,A22,'muddati otgan'!J:J,"Yer uchastkasini tahrirlash")</f>
        <v>0</v>
      </c>
      <c r="AU22" s="11">
        <f t="shared" si="29"/>
        <v>0</v>
      </c>
      <c r="AV22" s="11">
        <f>+COUNTIFS('muddati otgan'!C:C,A22,'muddati otgan'!J:J,"Yer toifasi va maqsadini kiritish")</f>
        <v>0</v>
      </c>
      <c r="AW22" s="11">
        <f>+COUNTIFS('muddati otgan'!C:C,A22,'muddati otgan'!J:J,"Auksion yer tekshirish")</f>
        <v>0</v>
      </c>
      <c r="AX22" s="11">
        <f>+COUNTIFS('muddati otgan'!C:C,A22,'muddati otgan'!J:J,"Yer turlarini kiritish")</f>
        <v>0</v>
      </c>
      <c r="AY22" s="11">
        <f>+COUNTIFS('muddati otgan'!C:C,A22,'muddati otgan'!J:J,"Ma'lumotlarni kiritish")</f>
        <v>0</v>
      </c>
      <c r="AZ22" s="11">
        <f>+COUNTIFS('muddati otgan'!C:C,A22,'muddati otgan'!J:J,"Yer tekshirish")</f>
        <v>0</v>
      </c>
      <c r="BA22" s="11">
        <f t="shared" si="30"/>
        <v>0</v>
      </c>
      <c r="BB22" s="11">
        <f>+COUNTIFS('muddati otgan'!C:C,A22,'muddati otgan'!J:J,"Bino va inshoot ma'lumotlarini to‘ldirish")</f>
        <v>0</v>
      </c>
      <c r="BC22" s="11">
        <f>+COUNTIFS('muddati otgan'!C:C,A22,'muddati otgan'!J:J,"Inventarizatsiya ma'lumotlarini to‘ldirish")</f>
        <v>0</v>
      </c>
      <c r="BD22" s="11">
        <f>+COUNTIFS('muddati otgan'!C:C,A22,'muddati otgan'!J:J,"Yer uchastkasiga huquqiy hujjatlarni kiritsh")</f>
        <v>0</v>
      </c>
      <c r="BE22" s="11">
        <f>+COUNTIFS('muddati otgan'!C:C,A22,'muddati otgan'!J:J,"Bino-inshootlarga huquqiy hujjatlarni kiritsh")</f>
        <v>0</v>
      </c>
      <c r="BF22" s="11">
        <f>+COUNTIFS('muddati otgan'!C:C,A22,'muddati otgan'!J:J,"Kadastr qiymatini hisoblash va kiritish")</f>
        <v>0</v>
      </c>
      <c r="BG22" s="11">
        <f>+COUNTIFS('muddati otgan'!C:C,A22,'muddati otgan'!J:J,"Kadastr raqam biriktirish")</f>
        <v>0</v>
      </c>
      <c r="BH22" s="11">
        <f>+COUNTIFS('muddati otgan'!C:C,A22,'muddati otgan'!J:J,"Kadastr yig'ma jildni tayyorlash")</f>
        <v>0</v>
      </c>
      <c r="BI22" s="11">
        <f>+COUNTIFS('muddati otgan'!C:C,A22,'muddati otgan'!J:J,"Huquqni yaratish")</f>
        <v>0</v>
      </c>
      <c r="BJ22" s="11">
        <f>+COUNTIFS('muddati otgan'!C:C,A22,'muddati otgan'!J:J,"Hujjatlarni o'rganish")</f>
        <v>0</v>
      </c>
      <c r="BK22" s="11">
        <f>+COUNTIFS('muddati otgan'!C:C,A22,'muddati otgan'!J:J,"Ma'lumotlarni tekshirish")</f>
        <v>0</v>
      </c>
      <c r="BL22" s="11">
        <f t="shared" si="31"/>
        <v>0</v>
      </c>
      <c r="BM22" s="11">
        <f>+COUNTIFS('muddati otgan'!C:C,A22,'muddati otgan'!J:J,"Tekshirish")</f>
        <v>0</v>
      </c>
      <c r="BN22" s="11">
        <f>+COUNTIFS('muddati otgan'!C:C,A22,'muddati otgan'!J:J,"Hujjatlarni tekshirish")</f>
        <v>0</v>
      </c>
      <c r="BO22" s="11">
        <f>+COUNTIFS('muddati otgan'!C:C,A22,'muddati otgan'!J:J,"Tasdiqlash")</f>
        <v>0</v>
      </c>
      <c r="BP22" s="11">
        <f>+COUNTIFS('muddati otgan'!C:C,A22,'muddati otgan'!J:J,"tekshirish/tasdiqlash")</f>
        <v>0</v>
      </c>
      <c r="BQ22" s="11">
        <f>+COUNTIFS('muddati otgan'!C:C,A22,'muddati otgan'!J:J,"Ma'lumotlarni tasdiqlash")</f>
        <v>0</v>
      </c>
      <c r="BR22" s="11">
        <f t="shared" si="32"/>
        <v>0</v>
      </c>
      <c r="BS22" s="11">
        <f>+COUNTIFS('muddati otgan'!C:C,A22,'muddati otgan'!J:J,"Ro'yxatdan o'tkazish ma'lumotlarini tekshirish")</f>
        <v>0</v>
      </c>
      <c r="BT22" s="11">
        <f>+COUNTIFS('muddati otgan'!C:C,A22,'muddati otgan'!J:J,"Kamchiliklar bo'yicha habarnoma yuborish va 3 kunga to'xtatish")</f>
        <v>0</v>
      </c>
      <c r="BU22" s="11">
        <f>+COUNTIFS('muddati otgan'!C:C,A22,'muddati otgan'!J:J,"Hisobga olish")</f>
        <v>0</v>
      </c>
      <c r="BV22" s="11">
        <f>+COUNTIFS('muddati otgan'!C:C,A22,'muddati otgan'!J:J,"Yer uchastkasiga huquq yaratish")</f>
        <v>0</v>
      </c>
      <c r="BW22" s="11">
        <f>+COUNTIFS('muddati otgan'!C:C,A22,'muddati otgan'!J:J,"Bino-inshootga huquq yaratish")</f>
        <v>0</v>
      </c>
      <c r="BX22" s="11">
        <f>+COUNTIFS('muddati otgan'!C:C,A22,'muddati otgan'!J:J,"Cheklov yaratish")</f>
        <v>0</v>
      </c>
      <c r="BY22" s="11">
        <f>+COUNTIFS('muddati otgan'!C:C,A22,'muddati otgan'!J:J,"Taqiq yaratish")</f>
        <v>0</v>
      </c>
      <c r="BZ22" s="11">
        <f t="shared" si="33"/>
        <v>0</v>
      </c>
      <c r="CA22" s="11">
        <f>+COUNTIFS('muddati otgan'!C:C,A22,'muddati otgan'!J:J,"Soliq maydonini tekshirish")</f>
        <v>0</v>
      </c>
      <c r="CB22" s="11">
        <f t="shared" si="34"/>
        <v>0</v>
      </c>
      <c r="CC22" s="11">
        <f>+COUNTIFS('muddati otgan'!C:C,A22,'muddati otgan'!J:J,"Kadastr yig'majildini shakllantirish")</f>
        <v>0</v>
      </c>
      <c r="CD22" s="11">
        <f t="shared" si="35"/>
        <v>0</v>
      </c>
      <c r="CE22" s="11">
        <f>+COUNTIFS('muddati otgan'!C:C,A22,'muddati otgan'!J:J,"Kadastr passportini shakllantirish")</f>
        <v>0</v>
      </c>
      <c r="CF22" s="11">
        <f>+COUNTIFS('muddati otgan'!C:C,A22,'muddati otgan'!J:J,"Yig'ma jildni tasdiqlash")</f>
        <v>0</v>
      </c>
      <c r="CG22" s="11">
        <f>+COUNTIFS('muddati otgan'!C:C,A22,'muddati otgan'!J:J,"To'lov yoki bepul tasdiqlash")</f>
        <v>0</v>
      </c>
      <c r="CH22" s="11">
        <f>+COUNTIFS('muddati otgan'!C:C,A22,'muddati otgan'!J:J,"Bog'liq arizani kutish")</f>
        <v>0</v>
      </c>
      <c r="CI22" s="11">
        <f>+COUNTIFS('muddati otgan'!C:C,A22,'muddati otgan'!J:J,"To'lovga chiqarish")</f>
        <v>0</v>
      </c>
      <c r="CJ22" s="11">
        <f>+COUNTIFS('muddati otgan'!C:C,A22,'muddati otgan'!J:J,"Hisobga qo'yish")</f>
        <v>0</v>
      </c>
      <c r="CK22" s="6">
        <f>+COUNTIFS('muddati otgan'!C:C,A22,'muddati otgan'!J:J,"To'lov kutilmoqda")</f>
        <v>0</v>
      </c>
      <c r="CL22" s="11">
        <f t="shared" si="36"/>
        <v>0</v>
      </c>
      <c r="CM22" s="11">
        <f>+COUNTIFS('muddati otgan'!C:C,A22,'muddati otgan'!AA:AA,"Arizani qabul qilish2")</f>
        <v>0</v>
      </c>
      <c r="CN22" s="11">
        <f>+COUNTIFS('muddati otgan'!C:C,A22,'muddati otgan'!J:J,"Huquqlarni tekshirish")</f>
        <v>0</v>
      </c>
      <c r="CO22" s="11">
        <f>+COUNTIFS('muddati otgan'!C:C,A22,'muddati otgan'!J:J,"Ko'chmas mulkni ro'yhatdan o'tkazishga qabul qilish")</f>
        <v>0</v>
      </c>
      <c r="CP22" s="11">
        <f>+COUNTIFS('muddati otgan'!C:C,A22,'muddati otgan'!J:J,"Ro'yxatdan o'tkazish")</f>
        <v>0</v>
      </c>
      <c r="CQ22" s="11">
        <f>+COUNTIFS('muddati otgan'!C:C,A22,'muddati otgan'!J:J,"Kadastr pasporti va ko'chirmani yuborish")</f>
        <v>0</v>
      </c>
      <c r="CR22" s="11">
        <f>+COUNTIFS('muddati otgan'!C:C,A22,'muddati otgan'!AA:AA,"Rad qilish2")</f>
        <v>0</v>
      </c>
      <c r="CS22" s="11">
        <f>+COUNTIFS('muddati otgan'!C:C,A22,'muddati otgan'!J:J,"Ko'chirmani yuborish")</f>
        <v>0</v>
      </c>
      <c r="CT22" s="11">
        <f>+COUNTIFS('muddati otgan'!C:C,A22,'muddati otgan'!J:J,"Ma‘lumotlarni tekshirish")</f>
        <v>0</v>
      </c>
      <c r="CU22" s="11">
        <f t="shared" si="37"/>
        <v>0</v>
      </c>
      <c r="CV22" s="11">
        <f>+COUNTIFS('muddati otgan'!C:C,A22,'muddati otgan'!J:J,"Kadastr yig'majildini chop etish va arxiv ishiga tikish")</f>
        <v>0</v>
      </c>
      <c r="CW22" s="11">
        <f t="shared" si="38"/>
        <v>0</v>
      </c>
      <c r="CX22" s="11">
        <f>+COUNTIFS('muddati otgan'!C:C,A22,'muddati otgan'!J:J,"Kadastr yig‘majildini qabul qilish, arizani yakunlash")</f>
        <v>0</v>
      </c>
      <c r="CY22" s="11">
        <f>+COUNTIFS('muddati otgan'!C:C,A22,'muddati otgan'!J:J,"Next Cloudga yuklash")</f>
        <v>0</v>
      </c>
      <c r="CZ22" s="6">
        <f>+COUNTIFS('muddati otgan'!C:C,A22,'muddati otgan'!J:J,"Kelishish kutilmoqda")</f>
        <v>0</v>
      </c>
      <c r="DA22" s="6">
        <f>+COUNTIFS('muddati otgan'!C:C,A22,'muddati otgan'!J:J,"Yakunlandi")</f>
        <v>0</v>
      </c>
      <c r="DB22" s="10">
        <f>+COUNTIFS('muddati otgan'!C:C,A22,'muddati otgan'!J:J,"Rad etildi")</f>
        <v>0</v>
      </c>
      <c r="DC22" s="100">
        <f t="shared" si="5"/>
        <v>0</v>
      </c>
      <c r="DD22" s="44">
        <f>COUNTIFS('jami 1-20 kunlik arizalar'!C:C,A:A,'jami 1-20 kunlik arizalar'!S:S,"1")</f>
        <v>0</v>
      </c>
      <c r="DE22" s="11">
        <f>COUNTIFS('jami 1-20 kunlik arizalar'!C:C,A:A,'jami 1-20 kunlik arizalar'!S:S,"2")</f>
        <v>0</v>
      </c>
      <c r="DF22" s="11">
        <f>COUNTIFS('jami 1-20 kunlik arizalar'!C:C,A:A,'jami 1-20 kunlik arizalar'!S:S,"3")</f>
        <v>2</v>
      </c>
      <c r="DG22" s="11">
        <f>COUNTIFS('jami 1-20 kunlik arizalar'!C:C,A:A,'jami 1-20 kunlik arizalar'!S:S,"4")</f>
        <v>1</v>
      </c>
      <c r="DH22" s="11">
        <f>COUNTIFS('jami 1-20 kunlik arizalar'!C:C,A:A,'jami 1-20 kunlik arizalar'!S:S,"5")</f>
        <v>0</v>
      </c>
      <c r="DI22" s="11">
        <f>SUM(COUNTIFS('jami 1-20 kunlik arizalar'!C:C,A:A, 'jami 1-20 kunlik arizalar'!S:S, {6,7,8,9,10}))</f>
        <v>6</v>
      </c>
      <c r="DJ22" s="12">
        <f>SUM(COUNTIFS('jami 1-20 kunlik arizalar'!C:C,A:A, 'jami 1-20 kunlik arizalar'!S:S, "&gt;10"))</f>
        <v>0</v>
      </c>
    </row>
    <row r="23" spans="1:115" ht="39.950000000000003" hidden="1" customHeight="1" outlineLevel="2" x14ac:dyDescent="0.25">
      <c r="A23" s="92" t="s">
        <v>509</v>
      </c>
      <c r="B23" s="74"/>
      <c r="C23" s="70" t="s">
        <v>756</v>
      </c>
      <c r="D23" s="48">
        <f>+COUNTIFS('muddati otgan'!C:C,A23,'muddati otgan'!C:C,A23)</f>
        <v>2</v>
      </c>
      <c r="E23" s="10">
        <f>SUMIFS('muddati otgan'!$V:V,'muddati otgan'!$C:C,$A:A)</f>
        <v>0</v>
      </c>
      <c r="F23" s="10">
        <f>SUMIFS('muddati otgan'!$W:W,'muddati otgan'!$C:C,$A:A)</f>
        <v>0</v>
      </c>
      <c r="G23" s="24">
        <f>SUMIFS('muddati otgan'!$U:U,'muddati otgan'!$C:C,$A:A)</f>
        <v>2</v>
      </c>
      <c r="H23" s="11">
        <f>SUMIFS('muddati otgan'!$G:G,'muddati otgan'!$C:C,$A:A)</f>
        <v>2</v>
      </c>
      <c r="I23" s="12">
        <f>SUMIFS('muddati otgan'!$H:H,'muddati otgan'!$C:C,$A:A)</f>
        <v>0</v>
      </c>
      <c r="J23" s="44">
        <f t="shared" si="23"/>
        <v>0</v>
      </c>
      <c r="K23" s="11">
        <f>+COUNTIFS('muddati otgan'!C:C,A23,'muddati otgan'!AA:AA,"Arizani qabul qilish")</f>
        <v>0</v>
      </c>
      <c r="L23" s="11">
        <f>+COUNTIFS('muddati otgan'!C:C,A23,'muddati otgan'!J:J,"Arizani rad etish")</f>
        <v>0</v>
      </c>
      <c r="M23" s="11">
        <f>+COUNTIFS('muddati otgan'!C:C,A23,'muddati otgan'!J:J,"Arizani tasdiqlash")</f>
        <v>0</v>
      </c>
      <c r="N23" s="11">
        <f>+COUNTIFS('muddati otgan'!C:C,A23,'muddati otgan'!J:J,"Arizani yo'naltirish")</f>
        <v>0</v>
      </c>
      <c r="O23" s="11">
        <f>+COUNTIFS('muddati otgan'!C:C,A23,'muddati otgan'!J:J,"Rad qilish sababini o'rganish")</f>
        <v>0</v>
      </c>
      <c r="P23" s="11">
        <f>+COUNTIFS('muddati otgan'!C:C,A23,'muddati otgan'!J:J,"Ko'chmas mulkni UZKAD ga migratsiya qilish")</f>
        <v>0</v>
      </c>
      <c r="Q23" s="11">
        <f>+COUNTIFS('muddati otgan'!C:C,A23,'muddati otgan'!J:J,"Migratisya qilingan obyekt holatini tekshirish")</f>
        <v>0</v>
      </c>
      <c r="R23" s="11">
        <f>+COUNTIFS('muddati otgan'!C:C,A23,'muddati otgan'!J:J,"Ko‘chmas mulkni tanlash")</f>
        <v>0</v>
      </c>
      <c r="S23" s="11">
        <f>+COUNTIFS('muddati otgan'!C:C,A23,'muddati otgan'!J:J,"Arizani ko'rib chiqish")</f>
        <v>0</v>
      </c>
      <c r="T23" s="11">
        <f>+COUNTIFS('muddati otgan'!C:C,A23,'muddati otgan'!J:J,"Kadastr muhandisini tanlash")</f>
        <v>0</v>
      </c>
      <c r="U23" s="11">
        <f>+COUNTIFS('muddati otgan'!C:C,A23,'muddati otgan'!J:J,"Ko'chmas mulk turini tanlahsh")</f>
        <v>0</v>
      </c>
      <c r="V23" s="11">
        <f>+COUNTIFS('muddati otgan'!C:C,A23,'muddati otgan'!AA:AA,"Rad qilish")</f>
        <v>0</v>
      </c>
      <c r="W23" s="11">
        <f>+COUNTIFS('muddati otgan'!C:C,A23,'muddati otgan'!J:J,"ijrochi tanlash")</f>
        <v>0</v>
      </c>
      <c r="X23" s="11">
        <f>+COUNTIFS('muddati otgan'!C:C,A23,'muddati otgan'!J:J,"Ko'chmas mulk turini tanlash")</f>
        <v>0</v>
      </c>
      <c r="Y23" s="11">
        <f t="shared" si="24"/>
        <v>0</v>
      </c>
      <c r="Z23" s="11">
        <f>+COUNTIFS('muddati otgan'!C:C,A23,'muddati otgan'!J:J,"Ijroga qabul qilish")</f>
        <v>0</v>
      </c>
      <c r="AA23" s="11">
        <f>+COUNTIFS('muddati otgan'!C:C,A23,'muddati otgan'!J:J,"Joyida o'rganish va ma'lumotlarni kiritish")</f>
        <v>0</v>
      </c>
      <c r="AB23" s="11">
        <f>+COUNTIFS('muddati otgan'!C:C,A23,'muddati otgan'!J:J,"Asosiy qismdan ajratish jarayonida")</f>
        <v>0</v>
      </c>
      <c r="AC23" s="11">
        <f>+COUNTIFS('muddati otgan'!C:C,A23,'muddati otgan'!J:J,"Umumiy foydalanishdagi obyekt yaratilish")</f>
        <v>0</v>
      </c>
      <c r="AD23" s="11">
        <f>+COUNTIFS('muddati otgan'!C:C,A23,'muddati otgan'!J:J,"Migratsiya qilinadigan kadastr raqamini kiritish")</f>
        <v>0</v>
      </c>
      <c r="AE23" s="11">
        <f>+COUNTIFS('muddati otgan'!C:C,A23,'muddati otgan'!J:J,"O'zida qolgan obyektni yaratish")</f>
        <v>0</v>
      </c>
      <c r="AF23" s="11">
        <f>+COUNTIFS('muddati otgan'!C:C,A23,'muddati otgan'!J:J,"O'lchov natijalarini kiritish")</f>
        <v>0</v>
      </c>
      <c r="AG23" s="11">
        <f>+COUNTIFS('muddati otgan'!C:C,A23,'muddati otgan'!J:J,"Topoxaritani tayyorlash (dwg, pdf)")</f>
        <v>0</v>
      </c>
      <c r="AH23" s="11">
        <f t="shared" si="25"/>
        <v>0</v>
      </c>
      <c r="AI23" s="11">
        <f>+COUNTIFS('muddati otgan'!C:C,A23,'muddati otgan'!J:J,"Yer uchastkasini yaratish")</f>
        <v>0</v>
      </c>
      <c r="AJ23" s="11">
        <f t="shared" si="26"/>
        <v>0</v>
      </c>
      <c r="AK23" s="11">
        <f>+COUNTIFS('muddati otgan'!C:C,A23,'muddati otgan'!J:J,"Kelishish (Boshqarma)")</f>
        <v>0</v>
      </c>
      <c r="AL23" s="11">
        <f t="shared" si="27"/>
        <v>0</v>
      </c>
      <c r="AM23" s="11">
        <f>+COUNTIFS('muddati otgan'!C:C,A23,'muddati otgan'!J:J,"Kelishish (DKP)")</f>
        <v>0</v>
      </c>
      <c r="AN23" s="11">
        <f>+COUNTIFS('muddati otgan'!C:C,A23,'muddati otgan'!J:J,"Kelishish")</f>
        <v>0</v>
      </c>
      <c r="AO23" s="11">
        <f>+COUNTIFS('muddati otgan'!C:C,A23,'muddati otgan'!J:J,"Kelishish (Registratsiya DKP)")</f>
        <v>0</v>
      </c>
      <c r="AP23" s="11">
        <f t="shared" si="28"/>
        <v>0</v>
      </c>
      <c r="AQ23" s="11">
        <f>+COUNTIFS('muddati otgan'!C:C,A23,'muddati otgan'!J:J,"Manzil biriktirish")</f>
        <v>0</v>
      </c>
      <c r="AR23" s="11">
        <f>+COUNTIFS('muddati otgan'!C:C,A23,'muddati otgan'!J:J,"Bino va inshootlarni yaratish")</f>
        <v>0</v>
      </c>
      <c r="AS23" s="11">
        <f>+COUNTIFS('muddati otgan'!C:C,A23,'muddati otgan'!J:J,"Dov daraxtlarni yaratish")</f>
        <v>0</v>
      </c>
      <c r="AT23" s="11">
        <f>+COUNTIFS('muddati otgan'!C:C,A23,'muddati otgan'!J:J,"Yer uchastkasini tahrirlash")</f>
        <v>0</v>
      </c>
      <c r="AU23" s="11">
        <f t="shared" si="29"/>
        <v>0</v>
      </c>
      <c r="AV23" s="11">
        <f>+COUNTIFS('muddati otgan'!C:C,A23,'muddati otgan'!J:J,"Yer toifasi va maqsadini kiritish")</f>
        <v>0</v>
      </c>
      <c r="AW23" s="11">
        <f>+COUNTIFS('muddati otgan'!C:C,A23,'muddati otgan'!J:J,"Auksion yer tekshirish")</f>
        <v>0</v>
      </c>
      <c r="AX23" s="11">
        <f>+COUNTIFS('muddati otgan'!C:C,A23,'muddati otgan'!J:J,"Yer turlarini kiritish")</f>
        <v>0</v>
      </c>
      <c r="AY23" s="11">
        <f>+COUNTIFS('muddati otgan'!C:C,A23,'muddati otgan'!J:J,"Ma'lumotlarni kiritish")</f>
        <v>0</v>
      </c>
      <c r="AZ23" s="11">
        <f>+COUNTIFS('muddati otgan'!C:C,A23,'muddati otgan'!J:J,"Yer tekshirish")</f>
        <v>0</v>
      </c>
      <c r="BA23" s="11">
        <f t="shared" si="30"/>
        <v>0</v>
      </c>
      <c r="BB23" s="11">
        <f>+COUNTIFS('muddati otgan'!C:C,A23,'muddati otgan'!J:J,"Bino va inshoot ma'lumotlarini to‘ldirish")</f>
        <v>0</v>
      </c>
      <c r="BC23" s="11">
        <f>+COUNTIFS('muddati otgan'!C:C,A23,'muddati otgan'!J:J,"Inventarizatsiya ma'lumotlarini to‘ldirish")</f>
        <v>0</v>
      </c>
      <c r="BD23" s="11">
        <f>+COUNTIFS('muddati otgan'!C:C,A23,'muddati otgan'!J:J,"Yer uchastkasiga huquqiy hujjatlarni kiritsh")</f>
        <v>0</v>
      </c>
      <c r="BE23" s="11">
        <f>+COUNTIFS('muddati otgan'!C:C,A23,'muddati otgan'!J:J,"Bino-inshootlarga huquqiy hujjatlarni kiritsh")</f>
        <v>0</v>
      </c>
      <c r="BF23" s="11">
        <f>+COUNTIFS('muddati otgan'!C:C,A23,'muddati otgan'!J:J,"Kadastr qiymatini hisoblash va kiritish")</f>
        <v>0</v>
      </c>
      <c r="BG23" s="11">
        <f>+COUNTIFS('muddati otgan'!C:C,A23,'muddati otgan'!J:J,"Kadastr raqam biriktirish")</f>
        <v>0</v>
      </c>
      <c r="BH23" s="11">
        <f>+COUNTIFS('muddati otgan'!C:C,A23,'muddati otgan'!J:J,"Kadastr yig'ma jildni tayyorlash")</f>
        <v>0</v>
      </c>
      <c r="BI23" s="11">
        <f>+COUNTIFS('muddati otgan'!C:C,A23,'muddati otgan'!J:J,"Huquqni yaratish")</f>
        <v>0</v>
      </c>
      <c r="BJ23" s="11">
        <f>+COUNTIFS('muddati otgan'!C:C,A23,'muddati otgan'!J:J,"Hujjatlarni o'rganish")</f>
        <v>0</v>
      </c>
      <c r="BK23" s="11">
        <f>+COUNTIFS('muddati otgan'!C:C,A23,'muddati otgan'!J:J,"Ma'lumotlarni tekshirish")</f>
        <v>0</v>
      </c>
      <c r="BL23" s="11">
        <f t="shared" si="31"/>
        <v>0</v>
      </c>
      <c r="BM23" s="11">
        <f>+COUNTIFS('muddati otgan'!C:C,A23,'muddati otgan'!J:J,"Tekshirish")</f>
        <v>0</v>
      </c>
      <c r="BN23" s="11">
        <f>+COUNTIFS('muddati otgan'!C:C,A23,'muddati otgan'!J:J,"Hujjatlarni tekshirish")</f>
        <v>0</v>
      </c>
      <c r="BO23" s="11">
        <f>+COUNTIFS('muddati otgan'!C:C,A23,'muddati otgan'!J:J,"Tasdiqlash")</f>
        <v>0</v>
      </c>
      <c r="BP23" s="11">
        <f>+COUNTIFS('muddati otgan'!C:C,A23,'muddati otgan'!J:J,"tekshirish/tasdiqlash")</f>
        <v>0</v>
      </c>
      <c r="BQ23" s="11">
        <f>+COUNTIFS('muddati otgan'!C:C,A23,'muddati otgan'!J:J,"Ma'lumotlarni tasdiqlash")</f>
        <v>0</v>
      </c>
      <c r="BR23" s="11">
        <f t="shared" si="32"/>
        <v>0</v>
      </c>
      <c r="BS23" s="11">
        <f>+COUNTIFS('muddati otgan'!C:C,A23,'muddati otgan'!J:J,"Ro'yxatdan o'tkazish ma'lumotlarini tekshirish")</f>
        <v>0</v>
      </c>
      <c r="BT23" s="11">
        <f>+COUNTIFS('muddati otgan'!C:C,A23,'muddati otgan'!J:J,"Kamchiliklar bo'yicha habarnoma yuborish va 3 kunga to'xtatish")</f>
        <v>0</v>
      </c>
      <c r="BU23" s="11">
        <f>+COUNTIFS('muddati otgan'!C:C,A23,'muddati otgan'!J:J,"Hisobga olish")</f>
        <v>0</v>
      </c>
      <c r="BV23" s="11">
        <f>+COUNTIFS('muddati otgan'!C:C,A23,'muddati otgan'!J:J,"Yer uchastkasiga huquq yaratish")</f>
        <v>0</v>
      </c>
      <c r="BW23" s="11">
        <f>+COUNTIFS('muddati otgan'!C:C,A23,'muddati otgan'!J:J,"Bino-inshootga huquq yaratish")</f>
        <v>0</v>
      </c>
      <c r="BX23" s="11">
        <f>+COUNTIFS('muddati otgan'!C:C,A23,'muddati otgan'!J:J,"Cheklov yaratish")</f>
        <v>0</v>
      </c>
      <c r="BY23" s="11">
        <f>+COUNTIFS('muddati otgan'!C:C,A23,'muddati otgan'!J:J,"Taqiq yaratish")</f>
        <v>0</v>
      </c>
      <c r="BZ23" s="11">
        <f t="shared" si="33"/>
        <v>0</v>
      </c>
      <c r="CA23" s="11">
        <f>+COUNTIFS('muddati otgan'!C:C,A23,'muddati otgan'!J:J,"Soliq maydonini tekshirish")</f>
        <v>0</v>
      </c>
      <c r="CB23" s="11">
        <f t="shared" si="34"/>
        <v>0</v>
      </c>
      <c r="CC23" s="11">
        <f>+COUNTIFS('muddati otgan'!C:C,A23,'muddati otgan'!J:J,"Kadastr yig'majildini shakllantirish")</f>
        <v>0</v>
      </c>
      <c r="CD23" s="11">
        <f t="shared" si="35"/>
        <v>0</v>
      </c>
      <c r="CE23" s="11">
        <f>+COUNTIFS('muddati otgan'!C:C,A23,'muddati otgan'!J:J,"Kadastr passportini shakllantirish")</f>
        <v>0</v>
      </c>
      <c r="CF23" s="11">
        <f>+COUNTIFS('muddati otgan'!C:C,A23,'muddati otgan'!J:J,"Yig'ma jildni tasdiqlash")</f>
        <v>0</v>
      </c>
      <c r="CG23" s="11">
        <f>+COUNTIFS('muddati otgan'!C:C,A23,'muddati otgan'!J:J,"To'lov yoki bepul tasdiqlash")</f>
        <v>0</v>
      </c>
      <c r="CH23" s="11">
        <f>+COUNTIFS('muddati otgan'!C:C,A23,'muddati otgan'!J:J,"Bog'liq arizani kutish")</f>
        <v>0</v>
      </c>
      <c r="CI23" s="11">
        <f>+COUNTIFS('muddati otgan'!C:C,A23,'muddati otgan'!J:J,"To'lovga chiqarish")</f>
        <v>0</v>
      </c>
      <c r="CJ23" s="11">
        <f>+COUNTIFS('muddati otgan'!C:C,A23,'muddati otgan'!J:J,"Hisobga qo'yish")</f>
        <v>0</v>
      </c>
      <c r="CK23" s="6">
        <f>+COUNTIFS('muddati otgan'!C:C,A23,'muddati otgan'!J:J,"To'lov kutilmoqda")</f>
        <v>2</v>
      </c>
      <c r="CL23" s="11">
        <f t="shared" si="36"/>
        <v>0</v>
      </c>
      <c r="CM23" s="11">
        <f>+COUNTIFS('muddati otgan'!C:C,A23,'muddati otgan'!AA:AA,"Arizani qabul qilish2")</f>
        <v>0</v>
      </c>
      <c r="CN23" s="11">
        <f>+COUNTIFS('muddati otgan'!C:C,A23,'muddati otgan'!J:J,"Huquqlarni tekshirish")</f>
        <v>0</v>
      </c>
      <c r="CO23" s="11">
        <f>+COUNTIFS('muddati otgan'!C:C,A23,'muddati otgan'!J:J,"Ko'chmas mulkni ro'yhatdan o'tkazishga qabul qilish")</f>
        <v>0</v>
      </c>
      <c r="CP23" s="11">
        <f>+COUNTIFS('muddati otgan'!C:C,A23,'muddati otgan'!J:J,"Ro'yxatdan o'tkazish")</f>
        <v>0</v>
      </c>
      <c r="CQ23" s="11">
        <f>+COUNTIFS('muddati otgan'!C:C,A23,'muddati otgan'!J:J,"Kadastr pasporti va ko'chirmani yuborish")</f>
        <v>0</v>
      </c>
      <c r="CR23" s="11">
        <f>+COUNTIFS('muddati otgan'!C:C,A23,'muddati otgan'!AA:AA,"Rad qilish2")</f>
        <v>0</v>
      </c>
      <c r="CS23" s="11">
        <f>+COUNTIFS('muddati otgan'!C:C,A23,'muddati otgan'!J:J,"Ko'chirmani yuborish")</f>
        <v>0</v>
      </c>
      <c r="CT23" s="11">
        <f>+COUNTIFS('muddati otgan'!C:C,A23,'muddati otgan'!J:J,"Ma‘lumotlarni tekshirish")</f>
        <v>0</v>
      </c>
      <c r="CU23" s="11">
        <f t="shared" si="37"/>
        <v>0</v>
      </c>
      <c r="CV23" s="11">
        <f>+COUNTIFS('muddati otgan'!C:C,A23,'muddati otgan'!J:J,"Kadastr yig'majildini chop etish va arxiv ishiga tikish")</f>
        <v>0</v>
      </c>
      <c r="CW23" s="11">
        <f t="shared" si="38"/>
        <v>0</v>
      </c>
      <c r="CX23" s="11">
        <f>+COUNTIFS('muddati otgan'!C:C,A23,'muddati otgan'!J:J,"Kadastr yig‘majildini qabul qilish, arizani yakunlash")</f>
        <v>0</v>
      </c>
      <c r="CY23" s="11">
        <f>+COUNTIFS('muddati otgan'!C:C,A23,'muddati otgan'!J:J,"Next Cloudga yuklash")</f>
        <v>0</v>
      </c>
      <c r="CZ23" s="6">
        <f>+COUNTIFS('muddati otgan'!C:C,A23,'muddati otgan'!J:J,"Kelishish kutilmoqda")</f>
        <v>0</v>
      </c>
      <c r="DA23" s="6">
        <f>+COUNTIFS('muddati otgan'!C:C,A23,'muddati otgan'!J:J,"Yakunlandi")</f>
        <v>0</v>
      </c>
      <c r="DB23" s="10">
        <f>+COUNTIFS('muddati otgan'!C:C,A23,'muddati otgan'!J:J,"Rad etildi")</f>
        <v>0</v>
      </c>
      <c r="DC23" s="100">
        <f t="shared" si="5"/>
        <v>0</v>
      </c>
      <c r="DD23" s="44">
        <f>COUNTIFS('jami 1-20 kunlik arizalar'!C:C,A:A,'jami 1-20 kunlik arizalar'!S:S,"1")</f>
        <v>0</v>
      </c>
      <c r="DE23" s="11">
        <f>COUNTIFS('jami 1-20 kunlik arizalar'!C:C,A:A,'jami 1-20 kunlik arizalar'!S:S,"2")</f>
        <v>0</v>
      </c>
      <c r="DF23" s="11">
        <f>COUNTIFS('jami 1-20 kunlik arizalar'!C:C,A:A,'jami 1-20 kunlik arizalar'!S:S,"3")</f>
        <v>3</v>
      </c>
      <c r="DG23" s="11">
        <f>COUNTIFS('jami 1-20 kunlik arizalar'!C:C,A:A,'jami 1-20 kunlik arizalar'!S:S,"4")</f>
        <v>2</v>
      </c>
      <c r="DH23" s="11">
        <f>COUNTIFS('jami 1-20 kunlik arizalar'!C:C,A:A,'jami 1-20 kunlik arizalar'!S:S,"5")</f>
        <v>2</v>
      </c>
      <c r="DI23" s="11">
        <f>SUM(COUNTIFS('jami 1-20 kunlik arizalar'!C:C,A:A, 'jami 1-20 kunlik arizalar'!S:S, {6,7,8,9,10}))</f>
        <v>9</v>
      </c>
      <c r="DJ23" s="12">
        <f>SUM(COUNTIFS('jami 1-20 kunlik arizalar'!C:C,A:A, 'jami 1-20 kunlik arizalar'!S:S, "&gt;10"))</f>
        <v>1</v>
      </c>
    </row>
    <row r="24" spans="1:115" ht="39.950000000000003" hidden="1" customHeight="1" outlineLevel="2" x14ac:dyDescent="0.25">
      <c r="A24" s="92" t="s">
        <v>583</v>
      </c>
      <c r="B24" s="74"/>
      <c r="C24" s="70" t="s">
        <v>757</v>
      </c>
      <c r="D24" s="48">
        <f>+COUNTIFS('muddati otgan'!C:C,A24,'muddati otgan'!C:C,A24)</f>
        <v>0</v>
      </c>
      <c r="E24" s="10">
        <f>SUMIFS('muddati otgan'!$V:V,'muddati otgan'!$C:C,$A:A)</f>
        <v>0</v>
      </c>
      <c r="F24" s="10">
        <f>SUMIFS('muddati otgan'!$W:W,'muddati otgan'!$C:C,$A:A)</f>
        <v>0</v>
      </c>
      <c r="G24" s="24">
        <f>SUMIFS('muddati otgan'!$U:U,'muddati otgan'!$C:C,$A:A)</f>
        <v>0</v>
      </c>
      <c r="H24" s="11">
        <f>SUMIFS('muddati otgan'!$G:G,'muddati otgan'!$C:C,$A:A)</f>
        <v>0</v>
      </c>
      <c r="I24" s="12">
        <f>SUMIFS('muddati otgan'!$H:H,'muddati otgan'!$C:C,$A:A)</f>
        <v>0</v>
      </c>
      <c r="J24" s="44">
        <f t="shared" si="23"/>
        <v>0</v>
      </c>
      <c r="K24" s="11">
        <f>+COUNTIFS('muddati otgan'!C:C,A24,'muddati otgan'!AA:AA,"Arizani qabul qilish")</f>
        <v>0</v>
      </c>
      <c r="L24" s="11">
        <f>+COUNTIFS('muddati otgan'!C:C,A24,'muddati otgan'!J:J,"Arizani rad etish")</f>
        <v>0</v>
      </c>
      <c r="M24" s="11">
        <f>+COUNTIFS('muddati otgan'!C:C,A24,'muddati otgan'!J:J,"Arizani tasdiqlash")</f>
        <v>0</v>
      </c>
      <c r="N24" s="11">
        <f>+COUNTIFS('muddati otgan'!C:C,A24,'muddati otgan'!J:J,"Arizani yo'naltirish")</f>
        <v>0</v>
      </c>
      <c r="O24" s="11">
        <f>+COUNTIFS('muddati otgan'!C:C,A24,'muddati otgan'!J:J,"Rad qilish sababini o'rganish")</f>
        <v>0</v>
      </c>
      <c r="P24" s="11">
        <f>+COUNTIFS('muddati otgan'!C:C,A24,'muddati otgan'!J:J,"Ko'chmas mulkni UZKAD ga migratsiya qilish")</f>
        <v>0</v>
      </c>
      <c r="Q24" s="11">
        <f>+COUNTIFS('muddati otgan'!C:C,A24,'muddati otgan'!J:J,"Migratisya qilingan obyekt holatini tekshirish")</f>
        <v>0</v>
      </c>
      <c r="R24" s="11">
        <f>+COUNTIFS('muddati otgan'!C:C,A24,'muddati otgan'!J:J,"Ko‘chmas mulkni tanlash")</f>
        <v>0</v>
      </c>
      <c r="S24" s="11">
        <f>+COUNTIFS('muddati otgan'!C:C,A24,'muddati otgan'!J:J,"Arizani ko'rib chiqish")</f>
        <v>0</v>
      </c>
      <c r="T24" s="11">
        <f>+COUNTIFS('muddati otgan'!C:C,A24,'muddati otgan'!J:J,"Kadastr muhandisini tanlash")</f>
        <v>0</v>
      </c>
      <c r="U24" s="11">
        <f>+COUNTIFS('muddati otgan'!C:C,A24,'muddati otgan'!J:J,"Ko'chmas mulk turini tanlahsh")</f>
        <v>0</v>
      </c>
      <c r="V24" s="11">
        <f>+COUNTIFS('muddati otgan'!C:C,A24,'muddati otgan'!AA:AA,"Rad qilish")</f>
        <v>0</v>
      </c>
      <c r="W24" s="11">
        <f>+COUNTIFS('muddati otgan'!C:C,A24,'muddati otgan'!J:J,"ijrochi tanlash")</f>
        <v>0</v>
      </c>
      <c r="X24" s="11">
        <f>+COUNTIFS('muddati otgan'!C:C,A24,'muddati otgan'!J:J,"Ko'chmas mulk turini tanlash")</f>
        <v>0</v>
      </c>
      <c r="Y24" s="11">
        <f t="shared" si="24"/>
        <v>0</v>
      </c>
      <c r="Z24" s="11">
        <f>+COUNTIFS('muddati otgan'!C:C,A24,'muddati otgan'!J:J,"Ijroga qabul qilish")</f>
        <v>0</v>
      </c>
      <c r="AA24" s="11">
        <f>+COUNTIFS('muddati otgan'!C:C,A24,'muddati otgan'!J:J,"Joyida o'rganish va ma'lumotlarni kiritish")</f>
        <v>0</v>
      </c>
      <c r="AB24" s="11">
        <f>+COUNTIFS('muddati otgan'!C:C,A24,'muddati otgan'!J:J,"Asosiy qismdan ajratish jarayonida")</f>
        <v>0</v>
      </c>
      <c r="AC24" s="11">
        <f>+COUNTIFS('muddati otgan'!C:C,A24,'muddati otgan'!J:J,"Umumiy foydalanishdagi obyekt yaratilish")</f>
        <v>0</v>
      </c>
      <c r="AD24" s="11">
        <f>+COUNTIFS('muddati otgan'!C:C,A24,'muddati otgan'!J:J,"Migratsiya qilinadigan kadastr raqamini kiritish")</f>
        <v>0</v>
      </c>
      <c r="AE24" s="11">
        <f>+COUNTIFS('muddati otgan'!C:C,A24,'muddati otgan'!J:J,"O'zida qolgan obyektni yaratish")</f>
        <v>0</v>
      </c>
      <c r="AF24" s="11">
        <f>+COUNTIFS('muddati otgan'!C:C,A24,'muddati otgan'!J:J,"O'lchov natijalarini kiritish")</f>
        <v>0</v>
      </c>
      <c r="AG24" s="11">
        <f>+COUNTIFS('muddati otgan'!C:C,A24,'muddati otgan'!J:J,"Topoxaritani tayyorlash (dwg, pdf)")</f>
        <v>0</v>
      </c>
      <c r="AH24" s="11">
        <f t="shared" si="25"/>
        <v>0</v>
      </c>
      <c r="AI24" s="11">
        <f>+COUNTIFS('muddati otgan'!C:C,A24,'muddati otgan'!J:J,"Yer uchastkasini yaratish")</f>
        <v>0</v>
      </c>
      <c r="AJ24" s="11">
        <f t="shared" si="26"/>
        <v>0</v>
      </c>
      <c r="AK24" s="11">
        <f>+COUNTIFS('muddati otgan'!C:C,A24,'muddati otgan'!J:J,"Kelishish (Boshqarma)")</f>
        <v>0</v>
      </c>
      <c r="AL24" s="11">
        <f t="shared" si="27"/>
        <v>0</v>
      </c>
      <c r="AM24" s="11">
        <f>+COUNTIFS('muddati otgan'!C:C,A24,'muddati otgan'!J:J,"Kelishish (DKP)")</f>
        <v>0</v>
      </c>
      <c r="AN24" s="11">
        <f>+COUNTIFS('muddati otgan'!C:C,A24,'muddati otgan'!J:J,"Kelishish")</f>
        <v>0</v>
      </c>
      <c r="AO24" s="11">
        <f>+COUNTIFS('muddati otgan'!C:C,A24,'muddati otgan'!J:J,"Kelishish (Registratsiya DKP)")</f>
        <v>0</v>
      </c>
      <c r="AP24" s="11">
        <f t="shared" si="28"/>
        <v>0</v>
      </c>
      <c r="AQ24" s="11">
        <f>+COUNTIFS('muddati otgan'!C:C,A24,'muddati otgan'!J:J,"Manzil biriktirish")</f>
        <v>0</v>
      </c>
      <c r="AR24" s="11">
        <f>+COUNTIFS('muddati otgan'!C:C,A24,'muddati otgan'!J:J,"Bino va inshootlarni yaratish")</f>
        <v>0</v>
      </c>
      <c r="AS24" s="11">
        <f>+COUNTIFS('muddati otgan'!C:C,A24,'muddati otgan'!J:J,"Dov daraxtlarni yaratish")</f>
        <v>0</v>
      </c>
      <c r="AT24" s="11">
        <f>+COUNTIFS('muddati otgan'!C:C,A24,'muddati otgan'!J:J,"Yer uchastkasini tahrirlash")</f>
        <v>0</v>
      </c>
      <c r="AU24" s="11">
        <f t="shared" si="29"/>
        <v>0</v>
      </c>
      <c r="AV24" s="11">
        <f>+COUNTIFS('muddati otgan'!C:C,A24,'muddati otgan'!J:J,"Yer toifasi va maqsadini kiritish")</f>
        <v>0</v>
      </c>
      <c r="AW24" s="11">
        <f>+COUNTIFS('muddati otgan'!C:C,A24,'muddati otgan'!J:J,"Auksion yer tekshirish")</f>
        <v>0</v>
      </c>
      <c r="AX24" s="11">
        <f>+COUNTIFS('muddati otgan'!C:C,A24,'muddati otgan'!J:J,"Yer turlarini kiritish")</f>
        <v>0</v>
      </c>
      <c r="AY24" s="11">
        <f>+COUNTIFS('muddati otgan'!C:C,A24,'muddati otgan'!J:J,"Ma'lumotlarni kiritish")</f>
        <v>0</v>
      </c>
      <c r="AZ24" s="11">
        <f>+COUNTIFS('muddati otgan'!C:C,A24,'muddati otgan'!J:J,"Yer tekshirish")</f>
        <v>0</v>
      </c>
      <c r="BA24" s="11">
        <f t="shared" si="30"/>
        <v>0</v>
      </c>
      <c r="BB24" s="11">
        <f>+COUNTIFS('muddati otgan'!C:C,A24,'muddati otgan'!J:J,"Bino va inshoot ma'lumotlarini to‘ldirish")</f>
        <v>0</v>
      </c>
      <c r="BC24" s="11">
        <f>+COUNTIFS('muddati otgan'!C:C,A24,'muddati otgan'!J:J,"Inventarizatsiya ma'lumotlarini to‘ldirish")</f>
        <v>0</v>
      </c>
      <c r="BD24" s="11">
        <f>+COUNTIFS('muddati otgan'!C:C,A24,'muddati otgan'!J:J,"Yer uchastkasiga huquqiy hujjatlarni kiritsh")</f>
        <v>0</v>
      </c>
      <c r="BE24" s="11">
        <f>+COUNTIFS('muddati otgan'!C:C,A24,'muddati otgan'!J:J,"Bino-inshootlarga huquqiy hujjatlarni kiritsh")</f>
        <v>0</v>
      </c>
      <c r="BF24" s="11">
        <f>+COUNTIFS('muddati otgan'!C:C,A24,'muddati otgan'!J:J,"Kadastr qiymatini hisoblash va kiritish")</f>
        <v>0</v>
      </c>
      <c r="BG24" s="11">
        <f>+COUNTIFS('muddati otgan'!C:C,A24,'muddati otgan'!J:J,"Kadastr raqam biriktirish")</f>
        <v>0</v>
      </c>
      <c r="BH24" s="11">
        <f>+COUNTIFS('muddati otgan'!C:C,A24,'muddati otgan'!J:J,"Kadastr yig'ma jildni tayyorlash")</f>
        <v>0</v>
      </c>
      <c r="BI24" s="11">
        <f>+COUNTIFS('muddati otgan'!C:C,A24,'muddati otgan'!J:J,"Huquqni yaratish")</f>
        <v>0</v>
      </c>
      <c r="BJ24" s="11">
        <f>+COUNTIFS('muddati otgan'!C:C,A24,'muddati otgan'!J:J,"Hujjatlarni o'rganish")</f>
        <v>0</v>
      </c>
      <c r="BK24" s="11">
        <f>+COUNTIFS('muddati otgan'!C:C,A24,'muddati otgan'!J:J,"Ma'lumotlarni tekshirish")</f>
        <v>0</v>
      </c>
      <c r="BL24" s="11">
        <f t="shared" si="31"/>
        <v>0</v>
      </c>
      <c r="BM24" s="11">
        <f>+COUNTIFS('muddati otgan'!C:C,A24,'muddati otgan'!J:J,"Tekshirish")</f>
        <v>0</v>
      </c>
      <c r="BN24" s="11">
        <f>+COUNTIFS('muddati otgan'!C:C,A24,'muddati otgan'!J:J,"Hujjatlarni tekshirish")</f>
        <v>0</v>
      </c>
      <c r="BO24" s="11">
        <f>+COUNTIFS('muddati otgan'!C:C,A24,'muddati otgan'!J:J,"Tasdiqlash")</f>
        <v>0</v>
      </c>
      <c r="BP24" s="11">
        <f>+COUNTIFS('muddati otgan'!C:C,A24,'muddati otgan'!J:J,"tekshirish/tasdiqlash")</f>
        <v>0</v>
      </c>
      <c r="BQ24" s="11">
        <f>+COUNTIFS('muddati otgan'!C:C,A24,'muddati otgan'!J:J,"Ma'lumotlarni tasdiqlash")</f>
        <v>0</v>
      </c>
      <c r="BR24" s="11">
        <f t="shared" si="32"/>
        <v>0</v>
      </c>
      <c r="BS24" s="11">
        <f>+COUNTIFS('muddati otgan'!C:C,A24,'muddati otgan'!J:J,"Ro'yxatdan o'tkazish ma'lumotlarini tekshirish")</f>
        <v>0</v>
      </c>
      <c r="BT24" s="11">
        <f>+COUNTIFS('muddati otgan'!C:C,A24,'muddati otgan'!J:J,"Kamchiliklar bo'yicha habarnoma yuborish va 3 kunga to'xtatish")</f>
        <v>0</v>
      </c>
      <c r="BU24" s="11">
        <f>+COUNTIFS('muddati otgan'!C:C,A24,'muddati otgan'!J:J,"Hisobga olish")</f>
        <v>0</v>
      </c>
      <c r="BV24" s="11">
        <f>+COUNTIFS('muddati otgan'!C:C,A24,'muddati otgan'!J:J,"Yer uchastkasiga huquq yaratish")</f>
        <v>0</v>
      </c>
      <c r="BW24" s="11">
        <f>+COUNTIFS('muddati otgan'!C:C,A24,'muddati otgan'!J:J,"Bino-inshootga huquq yaratish")</f>
        <v>0</v>
      </c>
      <c r="BX24" s="11">
        <f>+COUNTIFS('muddati otgan'!C:C,A24,'muddati otgan'!J:J,"Cheklov yaratish")</f>
        <v>0</v>
      </c>
      <c r="BY24" s="11">
        <f>+COUNTIFS('muddati otgan'!C:C,A24,'muddati otgan'!J:J,"Taqiq yaratish")</f>
        <v>0</v>
      </c>
      <c r="BZ24" s="11">
        <f t="shared" si="33"/>
        <v>0</v>
      </c>
      <c r="CA24" s="11">
        <f>+COUNTIFS('muddati otgan'!C:C,A24,'muddati otgan'!J:J,"Soliq maydonini tekshirish")</f>
        <v>0</v>
      </c>
      <c r="CB24" s="11">
        <f t="shared" si="34"/>
        <v>0</v>
      </c>
      <c r="CC24" s="11">
        <f>+COUNTIFS('muddati otgan'!C:C,A24,'muddati otgan'!J:J,"Kadastr yig'majildini shakllantirish")</f>
        <v>0</v>
      </c>
      <c r="CD24" s="11">
        <f t="shared" si="35"/>
        <v>0</v>
      </c>
      <c r="CE24" s="11">
        <f>+COUNTIFS('muddati otgan'!C:C,A24,'muddati otgan'!J:J,"Kadastr passportini shakllantirish")</f>
        <v>0</v>
      </c>
      <c r="CF24" s="11">
        <f>+COUNTIFS('muddati otgan'!C:C,A24,'muddati otgan'!J:J,"Yig'ma jildni tasdiqlash")</f>
        <v>0</v>
      </c>
      <c r="CG24" s="11">
        <f>+COUNTIFS('muddati otgan'!C:C,A24,'muddati otgan'!J:J,"To'lov yoki bepul tasdiqlash")</f>
        <v>0</v>
      </c>
      <c r="CH24" s="11">
        <f>+COUNTIFS('muddati otgan'!C:C,A24,'muddati otgan'!J:J,"Bog'liq arizani kutish")</f>
        <v>0</v>
      </c>
      <c r="CI24" s="11">
        <f>+COUNTIFS('muddati otgan'!C:C,A24,'muddati otgan'!J:J,"To'lovga chiqarish")</f>
        <v>0</v>
      </c>
      <c r="CJ24" s="11">
        <f>+COUNTIFS('muddati otgan'!C:C,A24,'muddati otgan'!J:J,"Hisobga qo'yish")</f>
        <v>0</v>
      </c>
      <c r="CK24" s="6">
        <f>+COUNTIFS('muddati otgan'!C:C,A24,'muddati otgan'!J:J,"To'lov kutilmoqda")</f>
        <v>0</v>
      </c>
      <c r="CL24" s="11">
        <f t="shared" si="36"/>
        <v>0</v>
      </c>
      <c r="CM24" s="11">
        <f>+COUNTIFS('muddati otgan'!C:C,A24,'muddati otgan'!AA:AA,"Arizani qabul qilish2")</f>
        <v>0</v>
      </c>
      <c r="CN24" s="11">
        <f>+COUNTIFS('muddati otgan'!C:C,A24,'muddati otgan'!J:J,"Huquqlarni tekshirish")</f>
        <v>0</v>
      </c>
      <c r="CO24" s="11">
        <f>+COUNTIFS('muddati otgan'!C:C,A24,'muddati otgan'!J:J,"Ko'chmas mulkni ro'yhatdan o'tkazishga qabul qilish")</f>
        <v>0</v>
      </c>
      <c r="CP24" s="11">
        <f>+COUNTIFS('muddati otgan'!C:C,A24,'muddati otgan'!J:J,"Ro'yxatdan o'tkazish")</f>
        <v>0</v>
      </c>
      <c r="CQ24" s="11">
        <f>+COUNTIFS('muddati otgan'!C:C,A24,'muddati otgan'!J:J,"Kadastr pasporti va ko'chirmani yuborish")</f>
        <v>0</v>
      </c>
      <c r="CR24" s="11">
        <f>+COUNTIFS('muddati otgan'!C:C,A24,'muddati otgan'!AA:AA,"Rad qilish2")</f>
        <v>0</v>
      </c>
      <c r="CS24" s="11">
        <f>+COUNTIFS('muddati otgan'!C:C,A24,'muddati otgan'!J:J,"Ko'chirmani yuborish")</f>
        <v>0</v>
      </c>
      <c r="CT24" s="11">
        <f>+COUNTIFS('muddati otgan'!C:C,A24,'muddati otgan'!J:J,"Ma‘lumotlarni tekshirish")</f>
        <v>0</v>
      </c>
      <c r="CU24" s="11">
        <f t="shared" si="37"/>
        <v>0</v>
      </c>
      <c r="CV24" s="11">
        <f>+COUNTIFS('muddati otgan'!C:C,A24,'muddati otgan'!J:J,"Kadastr yig'majildini chop etish va arxiv ishiga tikish")</f>
        <v>0</v>
      </c>
      <c r="CW24" s="11">
        <f t="shared" si="38"/>
        <v>0</v>
      </c>
      <c r="CX24" s="11">
        <f>+COUNTIFS('muddati otgan'!C:C,A24,'muddati otgan'!J:J,"Kadastr yig‘majildini qabul qilish, arizani yakunlash")</f>
        <v>0</v>
      </c>
      <c r="CY24" s="11">
        <f>+COUNTIFS('muddati otgan'!C:C,A24,'muddati otgan'!J:J,"Next Cloudga yuklash")</f>
        <v>0</v>
      </c>
      <c r="CZ24" s="6">
        <f>+COUNTIFS('muddati otgan'!C:C,A24,'muddati otgan'!J:J,"Kelishish kutilmoqda")</f>
        <v>0</v>
      </c>
      <c r="DA24" s="6">
        <f>+COUNTIFS('muddati otgan'!C:C,A24,'muddati otgan'!J:J,"Yakunlandi")</f>
        <v>0</v>
      </c>
      <c r="DB24" s="10">
        <f>+COUNTIFS('muddati otgan'!C:C,A24,'muddati otgan'!J:J,"Rad etildi")</f>
        <v>0</v>
      </c>
      <c r="DC24" s="100">
        <f t="shared" si="5"/>
        <v>0</v>
      </c>
      <c r="DD24" s="44">
        <f>COUNTIFS('jami 1-20 kunlik arizalar'!C:C,A:A,'jami 1-20 kunlik arizalar'!S:S,"1")</f>
        <v>0</v>
      </c>
      <c r="DE24" s="11">
        <f>COUNTIFS('jami 1-20 kunlik arizalar'!C:C,A:A,'jami 1-20 kunlik arizalar'!S:S,"2")</f>
        <v>0</v>
      </c>
      <c r="DF24" s="11">
        <f>COUNTIFS('jami 1-20 kunlik arizalar'!C:C,A:A,'jami 1-20 kunlik arizalar'!S:S,"3")</f>
        <v>0</v>
      </c>
      <c r="DG24" s="11">
        <f>COUNTIFS('jami 1-20 kunlik arizalar'!C:C,A:A,'jami 1-20 kunlik arizalar'!S:S,"4")</f>
        <v>0</v>
      </c>
      <c r="DH24" s="11">
        <f>COUNTIFS('jami 1-20 kunlik arizalar'!C:C,A:A,'jami 1-20 kunlik arizalar'!S:S,"5")</f>
        <v>0</v>
      </c>
      <c r="DI24" s="11">
        <f>SUM(COUNTIFS('jami 1-20 kunlik arizalar'!C:C,A:A, 'jami 1-20 kunlik arizalar'!S:S, {6,7,8,9,10}))</f>
        <v>0</v>
      </c>
      <c r="DJ24" s="12">
        <f>SUM(COUNTIFS('jami 1-20 kunlik arizalar'!C:C,A:A, 'jami 1-20 kunlik arizalar'!S:S, "&gt;10"))</f>
        <v>0</v>
      </c>
    </row>
    <row r="25" spans="1:115" ht="39.950000000000003" hidden="1" customHeight="1" outlineLevel="2" x14ac:dyDescent="0.25">
      <c r="A25" s="92" t="s">
        <v>533</v>
      </c>
      <c r="B25" s="74"/>
      <c r="C25" s="70" t="s">
        <v>758</v>
      </c>
      <c r="D25" s="48">
        <f>+COUNTIFS('muddati otgan'!C:C,A25,'muddati otgan'!C:C,A25)</f>
        <v>3</v>
      </c>
      <c r="E25" s="10">
        <f>SUMIFS('muddati otgan'!$V:V,'muddati otgan'!$C:C,$A:A)</f>
        <v>0</v>
      </c>
      <c r="F25" s="10">
        <f>SUMIFS('muddati otgan'!$W:W,'muddati otgan'!$C:C,$A:A)</f>
        <v>0</v>
      </c>
      <c r="G25" s="24">
        <f>SUMIFS('muddati otgan'!$U:U,'muddati otgan'!$C:C,$A:A)</f>
        <v>3</v>
      </c>
      <c r="H25" s="11">
        <f>SUMIFS('muddati otgan'!$G:G,'muddati otgan'!$C:C,$A:A)</f>
        <v>3</v>
      </c>
      <c r="I25" s="12">
        <f>SUMIFS('muddati otgan'!$H:H,'muddati otgan'!$C:C,$A:A)</f>
        <v>0</v>
      </c>
      <c r="J25" s="44">
        <f t="shared" si="23"/>
        <v>0</v>
      </c>
      <c r="K25" s="11">
        <f>+COUNTIFS('muddati otgan'!C:C,A25,'muddati otgan'!AA:AA,"Arizani qabul qilish")</f>
        <v>0</v>
      </c>
      <c r="L25" s="11">
        <f>+COUNTIFS('muddati otgan'!C:C,A25,'muddati otgan'!J:J,"Arizani rad etish")</f>
        <v>0</v>
      </c>
      <c r="M25" s="11">
        <f>+COUNTIFS('muddati otgan'!C:C,A25,'muddati otgan'!J:J,"Arizani tasdiqlash")</f>
        <v>0</v>
      </c>
      <c r="N25" s="11">
        <f>+COUNTIFS('muddati otgan'!C:C,A25,'muddati otgan'!J:J,"Arizani yo'naltirish")</f>
        <v>0</v>
      </c>
      <c r="O25" s="11">
        <f>+COUNTIFS('muddati otgan'!C:C,A25,'muddati otgan'!J:J,"Rad qilish sababini o'rganish")</f>
        <v>0</v>
      </c>
      <c r="P25" s="11">
        <f>+COUNTIFS('muddati otgan'!C:C,A25,'muddati otgan'!J:J,"Ko'chmas mulkni UZKAD ga migratsiya qilish")</f>
        <v>0</v>
      </c>
      <c r="Q25" s="11">
        <f>+COUNTIFS('muddati otgan'!C:C,A25,'muddati otgan'!J:J,"Migratisya qilingan obyekt holatini tekshirish")</f>
        <v>0</v>
      </c>
      <c r="R25" s="11">
        <f>+COUNTIFS('muddati otgan'!C:C,A25,'muddati otgan'!J:J,"Ko‘chmas mulkni tanlash")</f>
        <v>0</v>
      </c>
      <c r="S25" s="11">
        <f>+COUNTIFS('muddati otgan'!C:C,A25,'muddati otgan'!J:J,"Arizani ko'rib chiqish")</f>
        <v>0</v>
      </c>
      <c r="T25" s="11">
        <f>+COUNTIFS('muddati otgan'!C:C,A25,'muddati otgan'!J:J,"Kadastr muhandisini tanlash")</f>
        <v>0</v>
      </c>
      <c r="U25" s="11">
        <f>+COUNTIFS('muddati otgan'!C:C,A25,'muddati otgan'!J:J,"Ko'chmas mulk turini tanlahsh")</f>
        <v>0</v>
      </c>
      <c r="V25" s="11">
        <f>+COUNTIFS('muddati otgan'!C:C,A25,'muddati otgan'!AA:AA,"Rad qilish")</f>
        <v>0</v>
      </c>
      <c r="W25" s="11">
        <f>+COUNTIFS('muddati otgan'!C:C,A25,'muddati otgan'!J:J,"ijrochi tanlash")</f>
        <v>0</v>
      </c>
      <c r="X25" s="11">
        <f>+COUNTIFS('muddati otgan'!C:C,A25,'muddati otgan'!J:J,"Ko'chmas mulk turini tanlash")</f>
        <v>0</v>
      </c>
      <c r="Y25" s="11">
        <f t="shared" si="24"/>
        <v>0</v>
      </c>
      <c r="Z25" s="11">
        <f>+COUNTIFS('muddati otgan'!C:C,A25,'muddati otgan'!J:J,"Ijroga qabul qilish")</f>
        <v>0</v>
      </c>
      <c r="AA25" s="11">
        <f>+COUNTIFS('muddati otgan'!C:C,A25,'muddati otgan'!J:J,"Joyida o'rganish va ma'lumotlarni kiritish")</f>
        <v>0</v>
      </c>
      <c r="AB25" s="11">
        <f>+COUNTIFS('muddati otgan'!C:C,A25,'muddati otgan'!J:J,"Asosiy qismdan ajratish jarayonida")</f>
        <v>0</v>
      </c>
      <c r="AC25" s="11">
        <f>+COUNTIFS('muddati otgan'!C:C,A25,'muddati otgan'!J:J,"Umumiy foydalanishdagi obyekt yaratilish")</f>
        <v>0</v>
      </c>
      <c r="AD25" s="11">
        <f>+COUNTIFS('muddati otgan'!C:C,A25,'muddati otgan'!J:J,"Migratsiya qilinadigan kadastr raqamini kiritish")</f>
        <v>0</v>
      </c>
      <c r="AE25" s="11">
        <f>+COUNTIFS('muddati otgan'!C:C,A25,'muddati otgan'!J:J,"O'zida qolgan obyektni yaratish")</f>
        <v>0</v>
      </c>
      <c r="AF25" s="11">
        <f>+COUNTIFS('muddati otgan'!C:C,A25,'muddati otgan'!J:J,"O'lchov natijalarini kiritish")</f>
        <v>0</v>
      </c>
      <c r="AG25" s="11">
        <f>+COUNTIFS('muddati otgan'!C:C,A25,'muddati otgan'!J:J,"Topoxaritani tayyorlash (dwg, pdf)")</f>
        <v>0</v>
      </c>
      <c r="AH25" s="11">
        <f t="shared" si="25"/>
        <v>0</v>
      </c>
      <c r="AI25" s="11">
        <f>+COUNTIFS('muddati otgan'!C:C,A25,'muddati otgan'!J:J,"Yer uchastkasini yaratish")</f>
        <v>0</v>
      </c>
      <c r="AJ25" s="11">
        <f t="shared" si="26"/>
        <v>0</v>
      </c>
      <c r="AK25" s="11">
        <f>+COUNTIFS('muddati otgan'!C:C,A25,'muddati otgan'!J:J,"Kelishish (Boshqarma)")</f>
        <v>0</v>
      </c>
      <c r="AL25" s="11">
        <f t="shared" si="27"/>
        <v>0</v>
      </c>
      <c r="AM25" s="11">
        <f>+COUNTIFS('muddati otgan'!C:C,A25,'muddati otgan'!J:J,"Kelishish (DKP)")</f>
        <v>0</v>
      </c>
      <c r="AN25" s="11">
        <f>+COUNTIFS('muddati otgan'!C:C,A25,'muddati otgan'!J:J,"Kelishish")</f>
        <v>0</v>
      </c>
      <c r="AO25" s="11">
        <f>+COUNTIFS('muddati otgan'!C:C,A25,'muddati otgan'!J:J,"Kelishish (Registratsiya DKP)")</f>
        <v>0</v>
      </c>
      <c r="AP25" s="11">
        <f t="shared" si="28"/>
        <v>0</v>
      </c>
      <c r="AQ25" s="11">
        <f>+COUNTIFS('muddati otgan'!C:C,A25,'muddati otgan'!J:J,"Manzil biriktirish")</f>
        <v>0</v>
      </c>
      <c r="AR25" s="11">
        <f>+COUNTIFS('muddati otgan'!C:C,A25,'muddati otgan'!J:J,"Bino va inshootlarni yaratish")</f>
        <v>0</v>
      </c>
      <c r="AS25" s="11">
        <f>+COUNTIFS('muddati otgan'!C:C,A25,'muddati otgan'!J:J,"Dov daraxtlarni yaratish")</f>
        <v>0</v>
      </c>
      <c r="AT25" s="11">
        <f>+COUNTIFS('muddati otgan'!C:C,A25,'muddati otgan'!J:J,"Yer uchastkasini tahrirlash")</f>
        <v>0</v>
      </c>
      <c r="AU25" s="11">
        <f t="shared" si="29"/>
        <v>0</v>
      </c>
      <c r="AV25" s="11">
        <f>+COUNTIFS('muddati otgan'!C:C,A25,'muddati otgan'!J:J,"Yer toifasi va maqsadini kiritish")</f>
        <v>0</v>
      </c>
      <c r="AW25" s="11">
        <f>+COUNTIFS('muddati otgan'!C:C,A25,'muddati otgan'!J:J,"Auksion yer tekshirish")</f>
        <v>0</v>
      </c>
      <c r="AX25" s="11">
        <f>+COUNTIFS('muddati otgan'!C:C,A25,'muddati otgan'!J:J,"Yer turlarini kiritish")</f>
        <v>0</v>
      </c>
      <c r="AY25" s="11">
        <f>+COUNTIFS('muddati otgan'!C:C,A25,'muddati otgan'!J:J,"Ma'lumotlarni kiritish")</f>
        <v>0</v>
      </c>
      <c r="AZ25" s="11">
        <f>+COUNTIFS('muddati otgan'!C:C,A25,'muddati otgan'!J:J,"Yer tekshirish")</f>
        <v>0</v>
      </c>
      <c r="BA25" s="11">
        <f t="shared" si="30"/>
        <v>0</v>
      </c>
      <c r="BB25" s="11">
        <f>+COUNTIFS('muddati otgan'!C:C,A25,'muddati otgan'!J:J,"Bino va inshoot ma'lumotlarini to‘ldirish")</f>
        <v>0</v>
      </c>
      <c r="BC25" s="11">
        <f>+COUNTIFS('muddati otgan'!C:C,A25,'muddati otgan'!J:J,"Inventarizatsiya ma'lumotlarini to‘ldirish")</f>
        <v>0</v>
      </c>
      <c r="BD25" s="11">
        <f>+COUNTIFS('muddati otgan'!C:C,A25,'muddati otgan'!J:J,"Yer uchastkasiga huquqiy hujjatlarni kiritsh")</f>
        <v>0</v>
      </c>
      <c r="BE25" s="11">
        <f>+COUNTIFS('muddati otgan'!C:C,A25,'muddati otgan'!J:J,"Bino-inshootlarga huquqiy hujjatlarni kiritsh")</f>
        <v>0</v>
      </c>
      <c r="BF25" s="11">
        <f>+COUNTIFS('muddati otgan'!C:C,A25,'muddati otgan'!J:J,"Kadastr qiymatini hisoblash va kiritish")</f>
        <v>0</v>
      </c>
      <c r="BG25" s="11">
        <f>+COUNTIFS('muddati otgan'!C:C,A25,'muddati otgan'!J:J,"Kadastr raqam biriktirish")</f>
        <v>0</v>
      </c>
      <c r="BH25" s="11">
        <f>+COUNTIFS('muddati otgan'!C:C,A25,'muddati otgan'!J:J,"Kadastr yig'ma jildni tayyorlash")</f>
        <v>0</v>
      </c>
      <c r="BI25" s="11">
        <f>+COUNTIFS('muddati otgan'!C:C,A25,'muddati otgan'!J:J,"Huquqni yaratish")</f>
        <v>0</v>
      </c>
      <c r="BJ25" s="11">
        <f>+COUNTIFS('muddati otgan'!C:C,A25,'muddati otgan'!J:J,"Hujjatlarni o'rganish")</f>
        <v>0</v>
      </c>
      <c r="BK25" s="11">
        <f>+COUNTIFS('muddati otgan'!C:C,A25,'muddati otgan'!J:J,"Ma'lumotlarni tekshirish")</f>
        <v>0</v>
      </c>
      <c r="BL25" s="11">
        <f t="shared" si="31"/>
        <v>0</v>
      </c>
      <c r="BM25" s="11">
        <f>+COUNTIFS('muddati otgan'!C:C,A25,'muddati otgan'!J:J,"Tekshirish")</f>
        <v>0</v>
      </c>
      <c r="BN25" s="11">
        <f>+COUNTIFS('muddati otgan'!C:C,A25,'muddati otgan'!J:J,"Hujjatlarni tekshirish")</f>
        <v>0</v>
      </c>
      <c r="BO25" s="11">
        <f>+COUNTIFS('muddati otgan'!C:C,A25,'muddati otgan'!J:J,"Tasdiqlash")</f>
        <v>0</v>
      </c>
      <c r="BP25" s="11">
        <f>+COUNTIFS('muddati otgan'!C:C,A25,'muddati otgan'!J:J,"tekshirish/tasdiqlash")</f>
        <v>0</v>
      </c>
      <c r="BQ25" s="11">
        <f>+COUNTIFS('muddati otgan'!C:C,A25,'muddati otgan'!J:J,"Ma'lumotlarni tasdiqlash")</f>
        <v>0</v>
      </c>
      <c r="BR25" s="11">
        <f t="shared" si="32"/>
        <v>0</v>
      </c>
      <c r="BS25" s="11">
        <f>+COUNTIFS('muddati otgan'!C:C,A25,'muddati otgan'!J:J,"Ro'yxatdan o'tkazish ma'lumotlarini tekshirish")</f>
        <v>0</v>
      </c>
      <c r="BT25" s="11">
        <f>+COUNTIFS('muddati otgan'!C:C,A25,'muddati otgan'!J:J,"Kamchiliklar bo'yicha habarnoma yuborish va 3 kunga to'xtatish")</f>
        <v>0</v>
      </c>
      <c r="BU25" s="11">
        <f>+COUNTIFS('muddati otgan'!C:C,A25,'muddati otgan'!J:J,"Hisobga olish")</f>
        <v>0</v>
      </c>
      <c r="BV25" s="11">
        <f>+COUNTIFS('muddati otgan'!C:C,A25,'muddati otgan'!J:J,"Yer uchastkasiga huquq yaratish")</f>
        <v>0</v>
      </c>
      <c r="BW25" s="11">
        <f>+COUNTIFS('muddati otgan'!C:C,A25,'muddati otgan'!J:J,"Bino-inshootga huquq yaratish")</f>
        <v>0</v>
      </c>
      <c r="BX25" s="11">
        <f>+COUNTIFS('muddati otgan'!C:C,A25,'muddati otgan'!J:J,"Cheklov yaratish")</f>
        <v>0</v>
      </c>
      <c r="BY25" s="11">
        <f>+COUNTIFS('muddati otgan'!C:C,A25,'muddati otgan'!J:J,"Taqiq yaratish")</f>
        <v>0</v>
      </c>
      <c r="BZ25" s="11">
        <f t="shared" si="33"/>
        <v>0</v>
      </c>
      <c r="CA25" s="11">
        <f>+COUNTIFS('muddati otgan'!C:C,A25,'muddati otgan'!J:J,"Soliq maydonini tekshirish")</f>
        <v>0</v>
      </c>
      <c r="CB25" s="11">
        <f t="shared" si="34"/>
        <v>0</v>
      </c>
      <c r="CC25" s="11">
        <f>+COUNTIFS('muddati otgan'!C:C,A25,'muddati otgan'!J:J,"Kadastr yig'majildini shakllantirish")</f>
        <v>0</v>
      </c>
      <c r="CD25" s="11">
        <f t="shared" si="35"/>
        <v>0</v>
      </c>
      <c r="CE25" s="11">
        <f>+COUNTIFS('muddati otgan'!C:C,A25,'muddati otgan'!J:J,"Kadastr passportini shakllantirish")</f>
        <v>0</v>
      </c>
      <c r="CF25" s="11">
        <f>+COUNTIFS('muddati otgan'!C:C,A25,'muddati otgan'!J:J,"Yig'ma jildni tasdiqlash")</f>
        <v>0</v>
      </c>
      <c r="CG25" s="11">
        <f>+COUNTIFS('muddati otgan'!C:C,A25,'muddati otgan'!J:J,"To'lov yoki bepul tasdiqlash")</f>
        <v>0</v>
      </c>
      <c r="CH25" s="11">
        <f>+COUNTIFS('muddati otgan'!C:C,A25,'muddati otgan'!J:J,"Bog'liq arizani kutish")</f>
        <v>0</v>
      </c>
      <c r="CI25" s="11">
        <f>+COUNTIFS('muddati otgan'!C:C,A25,'muddati otgan'!J:J,"To'lovga chiqarish")</f>
        <v>0</v>
      </c>
      <c r="CJ25" s="11">
        <f>+COUNTIFS('muddati otgan'!C:C,A25,'muddati otgan'!J:J,"Hisobga qo'yish")</f>
        <v>0</v>
      </c>
      <c r="CK25" s="6">
        <f>+COUNTIFS('muddati otgan'!C:C,A25,'muddati otgan'!J:J,"To'lov kutilmoqda")</f>
        <v>2</v>
      </c>
      <c r="CL25" s="11">
        <f t="shared" si="36"/>
        <v>0</v>
      </c>
      <c r="CM25" s="11">
        <f>+COUNTIFS('muddati otgan'!C:C,A25,'muddati otgan'!AA:AA,"Arizani qabul qilish2")</f>
        <v>0</v>
      </c>
      <c r="CN25" s="11">
        <f>+COUNTIFS('muddati otgan'!C:C,A25,'muddati otgan'!J:J,"Huquqlarni tekshirish")</f>
        <v>0</v>
      </c>
      <c r="CO25" s="11">
        <f>+COUNTIFS('muddati otgan'!C:C,A25,'muddati otgan'!J:J,"Ko'chmas mulkni ro'yhatdan o'tkazishga qabul qilish")</f>
        <v>0</v>
      </c>
      <c r="CP25" s="11">
        <f>+COUNTIFS('muddati otgan'!C:C,A25,'muddati otgan'!J:J,"Ro'yxatdan o'tkazish")</f>
        <v>0</v>
      </c>
      <c r="CQ25" s="11">
        <f>+COUNTIFS('muddati otgan'!C:C,A25,'muddati otgan'!J:J,"Kadastr pasporti va ko'chirmani yuborish")</f>
        <v>0</v>
      </c>
      <c r="CR25" s="11">
        <f>+COUNTIFS('muddati otgan'!C:C,A25,'muddati otgan'!AA:AA,"Rad qilish2")</f>
        <v>0</v>
      </c>
      <c r="CS25" s="11">
        <f>+COUNTIFS('muddati otgan'!C:C,A25,'muddati otgan'!J:J,"Ko'chirmani yuborish")</f>
        <v>0</v>
      </c>
      <c r="CT25" s="11">
        <f>+COUNTIFS('muddati otgan'!C:C,A25,'muddati otgan'!J:J,"Ma‘lumotlarni tekshirish")</f>
        <v>0</v>
      </c>
      <c r="CU25" s="11">
        <f t="shared" si="37"/>
        <v>0</v>
      </c>
      <c r="CV25" s="11">
        <f>+COUNTIFS('muddati otgan'!C:C,A25,'muddati otgan'!J:J,"Kadastr yig'majildini chop etish va arxiv ishiga tikish")</f>
        <v>0</v>
      </c>
      <c r="CW25" s="11">
        <f t="shared" si="38"/>
        <v>0</v>
      </c>
      <c r="CX25" s="11">
        <f>+COUNTIFS('muddati otgan'!C:C,A25,'muddati otgan'!J:J,"Kadastr yig‘majildini qabul qilish, arizani yakunlash")</f>
        <v>0</v>
      </c>
      <c r="CY25" s="11">
        <f>+COUNTIFS('muddati otgan'!C:C,A25,'muddati otgan'!J:J,"Next Cloudga yuklash")</f>
        <v>0</v>
      </c>
      <c r="CZ25" s="6">
        <f>+COUNTIFS('muddati otgan'!C:C,A25,'muddati otgan'!J:J,"Kelishish kutilmoqda")</f>
        <v>0</v>
      </c>
      <c r="DA25" s="6">
        <f>+COUNTIFS('muddati otgan'!C:C,A25,'muddati otgan'!J:J,"Yakunlandi")</f>
        <v>1</v>
      </c>
      <c r="DB25" s="10">
        <f>+COUNTIFS('muddati otgan'!C:C,A25,'muddati otgan'!J:J,"Rad etildi")</f>
        <v>0</v>
      </c>
      <c r="DC25" s="100">
        <f t="shared" si="5"/>
        <v>0</v>
      </c>
      <c r="DD25" s="44">
        <f>COUNTIFS('jami 1-20 kunlik arizalar'!C:C,A:A,'jami 1-20 kunlik arizalar'!S:S,"1")</f>
        <v>0</v>
      </c>
      <c r="DE25" s="11">
        <f>COUNTIFS('jami 1-20 kunlik arizalar'!C:C,A:A,'jami 1-20 kunlik arizalar'!S:S,"2")</f>
        <v>0</v>
      </c>
      <c r="DF25" s="11">
        <f>COUNTIFS('jami 1-20 kunlik arizalar'!C:C,A:A,'jami 1-20 kunlik arizalar'!S:S,"3")</f>
        <v>2</v>
      </c>
      <c r="DG25" s="11">
        <f>COUNTIFS('jami 1-20 kunlik arizalar'!C:C,A:A,'jami 1-20 kunlik arizalar'!S:S,"4")</f>
        <v>0</v>
      </c>
      <c r="DH25" s="11">
        <f>COUNTIFS('jami 1-20 kunlik arizalar'!C:C,A:A,'jami 1-20 kunlik arizalar'!S:S,"5")</f>
        <v>2</v>
      </c>
      <c r="DI25" s="11">
        <f>SUM(COUNTIFS('jami 1-20 kunlik arizalar'!C:C,A:A, 'jami 1-20 kunlik arizalar'!S:S, {6,7,8,9,10}))</f>
        <v>5</v>
      </c>
      <c r="DJ25" s="12">
        <f>SUM(COUNTIFS('jami 1-20 kunlik arizalar'!C:C,A:A, 'jami 1-20 kunlik arizalar'!S:S, "&gt;10"))</f>
        <v>0</v>
      </c>
    </row>
    <row r="26" spans="1:115" ht="39.950000000000003" hidden="1" customHeight="1" outlineLevel="2" x14ac:dyDescent="0.25">
      <c r="A26" s="92" t="s">
        <v>586</v>
      </c>
      <c r="B26" s="74"/>
      <c r="C26" s="70" t="s">
        <v>759</v>
      </c>
      <c r="D26" s="48">
        <f>+COUNTIFS('muddati otgan'!C:C,A26,'muddati otgan'!C:C,A26)</f>
        <v>2</v>
      </c>
      <c r="E26" s="10">
        <f>SUMIFS('muddati otgan'!$V:V,'muddati otgan'!$C:C,$A:A)</f>
        <v>0</v>
      </c>
      <c r="F26" s="10">
        <f>SUMIFS('muddati otgan'!$W:W,'muddati otgan'!$C:C,$A:A)</f>
        <v>0</v>
      </c>
      <c r="G26" s="24">
        <f>SUMIFS('muddati otgan'!$U:U,'muddati otgan'!$C:C,$A:A)</f>
        <v>2</v>
      </c>
      <c r="H26" s="11">
        <f>SUMIFS('muddati otgan'!$G:G,'muddati otgan'!$C:C,$A:A)</f>
        <v>2</v>
      </c>
      <c r="I26" s="12">
        <f>SUMIFS('muddati otgan'!$H:H,'muddati otgan'!$C:C,$A:A)</f>
        <v>0</v>
      </c>
      <c r="J26" s="44">
        <f t="shared" si="23"/>
        <v>0</v>
      </c>
      <c r="K26" s="11">
        <f>+COUNTIFS('muddati otgan'!C:C,A26,'muddati otgan'!AA:AA,"Arizani qabul qilish")</f>
        <v>0</v>
      </c>
      <c r="L26" s="11">
        <f>+COUNTIFS('muddati otgan'!C:C,A26,'muddati otgan'!J:J,"Arizani rad etish")</f>
        <v>0</v>
      </c>
      <c r="M26" s="11">
        <f>+COUNTIFS('muddati otgan'!C:C,A26,'muddati otgan'!J:J,"Arizani tasdiqlash")</f>
        <v>0</v>
      </c>
      <c r="N26" s="11">
        <f>+COUNTIFS('muddati otgan'!C:C,A26,'muddati otgan'!J:J,"Arizani yo'naltirish")</f>
        <v>0</v>
      </c>
      <c r="O26" s="11">
        <f>+COUNTIFS('muddati otgan'!C:C,A26,'muddati otgan'!J:J,"Rad qilish sababini o'rganish")</f>
        <v>0</v>
      </c>
      <c r="P26" s="11">
        <f>+COUNTIFS('muddati otgan'!C:C,A26,'muddati otgan'!J:J,"Ko'chmas mulkni UZKAD ga migratsiya qilish")</f>
        <v>0</v>
      </c>
      <c r="Q26" s="11">
        <f>+COUNTIFS('muddati otgan'!C:C,A26,'muddati otgan'!J:J,"Migratisya qilingan obyekt holatini tekshirish")</f>
        <v>0</v>
      </c>
      <c r="R26" s="11">
        <f>+COUNTIFS('muddati otgan'!C:C,A26,'muddati otgan'!J:J,"Ko‘chmas mulkni tanlash")</f>
        <v>0</v>
      </c>
      <c r="S26" s="11">
        <f>+COUNTIFS('muddati otgan'!C:C,A26,'muddati otgan'!J:J,"Arizani ko'rib chiqish")</f>
        <v>0</v>
      </c>
      <c r="T26" s="11">
        <f>+COUNTIFS('muddati otgan'!C:C,A26,'muddati otgan'!J:J,"Kadastr muhandisini tanlash")</f>
        <v>0</v>
      </c>
      <c r="U26" s="11">
        <f>+COUNTIFS('muddati otgan'!C:C,A26,'muddati otgan'!J:J,"Ko'chmas mulk turini tanlahsh")</f>
        <v>0</v>
      </c>
      <c r="V26" s="11">
        <f>+COUNTIFS('muddati otgan'!C:C,A26,'muddati otgan'!AA:AA,"Rad qilish")</f>
        <v>0</v>
      </c>
      <c r="W26" s="11">
        <f>+COUNTIFS('muddati otgan'!C:C,A26,'muddati otgan'!J:J,"ijrochi tanlash")</f>
        <v>0</v>
      </c>
      <c r="X26" s="11">
        <f>+COUNTIFS('muddati otgan'!C:C,A26,'muddati otgan'!J:J,"Ko'chmas mulk turini tanlash")</f>
        <v>0</v>
      </c>
      <c r="Y26" s="11">
        <f t="shared" si="24"/>
        <v>0</v>
      </c>
      <c r="Z26" s="11">
        <f>+COUNTIFS('muddati otgan'!C:C,A26,'muddati otgan'!J:J,"Ijroga qabul qilish")</f>
        <v>0</v>
      </c>
      <c r="AA26" s="11">
        <f>+COUNTIFS('muddati otgan'!C:C,A26,'muddati otgan'!J:J,"Joyida o'rganish va ma'lumotlarni kiritish")</f>
        <v>0</v>
      </c>
      <c r="AB26" s="11">
        <f>+COUNTIFS('muddati otgan'!C:C,A26,'muddati otgan'!J:J,"Asosiy qismdan ajratish jarayonida")</f>
        <v>0</v>
      </c>
      <c r="AC26" s="11">
        <f>+COUNTIFS('muddati otgan'!C:C,A26,'muddati otgan'!J:J,"Umumiy foydalanishdagi obyekt yaratilish")</f>
        <v>0</v>
      </c>
      <c r="AD26" s="11">
        <f>+COUNTIFS('muddati otgan'!C:C,A26,'muddati otgan'!J:J,"Migratsiya qilinadigan kadastr raqamini kiritish")</f>
        <v>0</v>
      </c>
      <c r="AE26" s="11">
        <f>+COUNTIFS('muddati otgan'!C:C,A26,'muddati otgan'!J:J,"O'zida qolgan obyektni yaratish")</f>
        <v>0</v>
      </c>
      <c r="AF26" s="11">
        <f>+COUNTIFS('muddati otgan'!C:C,A26,'muddati otgan'!J:J,"O'lchov natijalarini kiritish")</f>
        <v>0</v>
      </c>
      <c r="AG26" s="11">
        <f>+COUNTIFS('muddati otgan'!C:C,A26,'muddati otgan'!J:J,"Topoxaritani tayyorlash (dwg, pdf)")</f>
        <v>0</v>
      </c>
      <c r="AH26" s="11">
        <f t="shared" si="25"/>
        <v>0</v>
      </c>
      <c r="AI26" s="11">
        <f>+COUNTIFS('muddati otgan'!C:C,A26,'muddati otgan'!J:J,"Yer uchastkasini yaratish")</f>
        <v>0</v>
      </c>
      <c r="AJ26" s="11">
        <f t="shared" si="26"/>
        <v>0</v>
      </c>
      <c r="AK26" s="11">
        <f>+COUNTIFS('muddati otgan'!C:C,A26,'muddati otgan'!J:J,"Kelishish (Boshqarma)")</f>
        <v>0</v>
      </c>
      <c r="AL26" s="11">
        <f t="shared" si="27"/>
        <v>0</v>
      </c>
      <c r="AM26" s="11">
        <f>+COUNTIFS('muddati otgan'!C:C,A26,'muddati otgan'!J:J,"Kelishish (DKP)")</f>
        <v>0</v>
      </c>
      <c r="AN26" s="11">
        <f>+COUNTIFS('muddati otgan'!C:C,A26,'muddati otgan'!J:J,"Kelishish")</f>
        <v>0</v>
      </c>
      <c r="AO26" s="11">
        <f>+COUNTIFS('muddati otgan'!C:C,A26,'muddati otgan'!J:J,"Kelishish (Registratsiya DKP)")</f>
        <v>0</v>
      </c>
      <c r="AP26" s="11">
        <f t="shared" si="28"/>
        <v>0</v>
      </c>
      <c r="AQ26" s="11">
        <f>+COUNTIFS('muddati otgan'!C:C,A26,'muddati otgan'!J:J,"Manzil biriktirish")</f>
        <v>0</v>
      </c>
      <c r="AR26" s="11">
        <f>+COUNTIFS('muddati otgan'!C:C,A26,'muddati otgan'!J:J,"Bino va inshootlarni yaratish")</f>
        <v>0</v>
      </c>
      <c r="AS26" s="11">
        <f>+COUNTIFS('muddati otgan'!C:C,A26,'muddati otgan'!J:J,"Dov daraxtlarni yaratish")</f>
        <v>0</v>
      </c>
      <c r="AT26" s="11">
        <f>+COUNTIFS('muddati otgan'!C:C,A26,'muddati otgan'!J:J,"Yer uchastkasini tahrirlash")</f>
        <v>0</v>
      </c>
      <c r="AU26" s="11">
        <f t="shared" si="29"/>
        <v>0</v>
      </c>
      <c r="AV26" s="11">
        <f>+COUNTIFS('muddati otgan'!C:C,A26,'muddati otgan'!J:J,"Yer toifasi va maqsadini kiritish")</f>
        <v>0</v>
      </c>
      <c r="AW26" s="11">
        <f>+COUNTIFS('muddati otgan'!C:C,A26,'muddati otgan'!J:J,"Auksion yer tekshirish")</f>
        <v>0</v>
      </c>
      <c r="AX26" s="11">
        <f>+COUNTIFS('muddati otgan'!C:C,A26,'muddati otgan'!J:J,"Yer turlarini kiritish")</f>
        <v>0</v>
      </c>
      <c r="AY26" s="11">
        <f>+COUNTIFS('muddati otgan'!C:C,A26,'muddati otgan'!J:J,"Ma'lumotlarni kiritish")</f>
        <v>0</v>
      </c>
      <c r="AZ26" s="11">
        <f>+COUNTIFS('muddati otgan'!C:C,A26,'muddati otgan'!J:J,"Yer tekshirish")</f>
        <v>0</v>
      </c>
      <c r="BA26" s="11">
        <f t="shared" si="30"/>
        <v>0</v>
      </c>
      <c r="BB26" s="11">
        <f>+COUNTIFS('muddati otgan'!C:C,A26,'muddati otgan'!J:J,"Bino va inshoot ma'lumotlarini to‘ldirish")</f>
        <v>0</v>
      </c>
      <c r="BC26" s="11">
        <f>+COUNTIFS('muddati otgan'!C:C,A26,'muddati otgan'!J:J,"Inventarizatsiya ma'lumotlarini to‘ldirish")</f>
        <v>0</v>
      </c>
      <c r="BD26" s="11">
        <f>+COUNTIFS('muddati otgan'!C:C,A26,'muddati otgan'!J:J,"Yer uchastkasiga huquqiy hujjatlarni kiritsh")</f>
        <v>0</v>
      </c>
      <c r="BE26" s="11">
        <f>+COUNTIFS('muddati otgan'!C:C,A26,'muddati otgan'!J:J,"Bino-inshootlarga huquqiy hujjatlarni kiritsh")</f>
        <v>0</v>
      </c>
      <c r="BF26" s="11">
        <f>+COUNTIFS('muddati otgan'!C:C,A26,'muddati otgan'!J:J,"Kadastr qiymatini hisoblash va kiritish")</f>
        <v>0</v>
      </c>
      <c r="BG26" s="11">
        <f>+COUNTIFS('muddati otgan'!C:C,A26,'muddati otgan'!J:J,"Kadastr raqam biriktirish")</f>
        <v>0</v>
      </c>
      <c r="BH26" s="11">
        <f>+COUNTIFS('muddati otgan'!C:C,A26,'muddati otgan'!J:J,"Kadastr yig'ma jildni tayyorlash")</f>
        <v>0</v>
      </c>
      <c r="BI26" s="11">
        <f>+COUNTIFS('muddati otgan'!C:C,A26,'muddati otgan'!J:J,"Huquqni yaratish")</f>
        <v>0</v>
      </c>
      <c r="BJ26" s="11">
        <f>+COUNTIFS('muddati otgan'!C:C,A26,'muddati otgan'!J:J,"Hujjatlarni o'rganish")</f>
        <v>0</v>
      </c>
      <c r="BK26" s="11">
        <f>+COUNTIFS('muddati otgan'!C:C,A26,'muddati otgan'!J:J,"Ma'lumotlarni tekshirish")</f>
        <v>0</v>
      </c>
      <c r="BL26" s="11">
        <f t="shared" si="31"/>
        <v>0</v>
      </c>
      <c r="BM26" s="11">
        <f>+COUNTIFS('muddati otgan'!C:C,A26,'muddati otgan'!J:J,"Tekshirish")</f>
        <v>0</v>
      </c>
      <c r="BN26" s="11">
        <f>+COUNTIFS('muddati otgan'!C:C,A26,'muddati otgan'!J:J,"Hujjatlarni tekshirish")</f>
        <v>0</v>
      </c>
      <c r="BO26" s="11">
        <f>+COUNTIFS('muddati otgan'!C:C,A26,'muddati otgan'!J:J,"Tasdiqlash")</f>
        <v>0</v>
      </c>
      <c r="BP26" s="11">
        <f>+COUNTIFS('muddati otgan'!C:C,A26,'muddati otgan'!J:J,"tekshirish/tasdiqlash")</f>
        <v>0</v>
      </c>
      <c r="BQ26" s="11">
        <f>+COUNTIFS('muddati otgan'!C:C,A26,'muddati otgan'!J:J,"Ma'lumotlarni tasdiqlash")</f>
        <v>0</v>
      </c>
      <c r="BR26" s="11">
        <f t="shared" si="32"/>
        <v>0</v>
      </c>
      <c r="BS26" s="11">
        <f>+COUNTIFS('muddati otgan'!C:C,A26,'muddati otgan'!J:J,"Ro'yxatdan o'tkazish ma'lumotlarini tekshirish")</f>
        <v>0</v>
      </c>
      <c r="BT26" s="11">
        <f>+COUNTIFS('muddati otgan'!C:C,A26,'muddati otgan'!J:J,"Kamchiliklar bo'yicha habarnoma yuborish va 3 kunga to'xtatish")</f>
        <v>0</v>
      </c>
      <c r="BU26" s="11">
        <f>+COUNTIFS('muddati otgan'!C:C,A26,'muddati otgan'!J:J,"Hisobga olish")</f>
        <v>0</v>
      </c>
      <c r="BV26" s="11">
        <f>+COUNTIFS('muddati otgan'!C:C,A26,'muddati otgan'!J:J,"Yer uchastkasiga huquq yaratish")</f>
        <v>0</v>
      </c>
      <c r="BW26" s="11">
        <f>+COUNTIFS('muddati otgan'!C:C,A26,'muddati otgan'!J:J,"Bino-inshootga huquq yaratish")</f>
        <v>0</v>
      </c>
      <c r="BX26" s="11">
        <f>+COUNTIFS('muddati otgan'!C:C,A26,'muddati otgan'!J:J,"Cheklov yaratish")</f>
        <v>0</v>
      </c>
      <c r="BY26" s="11">
        <f>+COUNTIFS('muddati otgan'!C:C,A26,'muddati otgan'!J:J,"Taqiq yaratish")</f>
        <v>0</v>
      </c>
      <c r="BZ26" s="11">
        <f t="shared" si="33"/>
        <v>0</v>
      </c>
      <c r="CA26" s="11">
        <f>+COUNTIFS('muddati otgan'!C:C,A26,'muddati otgan'!J:J,"Soliq maydonini tekshirish")</f>
        <v>0</v>
      </c>
      <c r="CB26" s="11">
        <f t="shared" si="34"/>
        <v>0</v>
      </c>
      <c r="CC26" s="11">
        <f>+COUNTIFS('muddati otgan'!C:C,A26,'muddati otgan'!J:J,"Kadastr yig'majildini shakllantirish")</f>
        <v>0</v>
      </c>
      <c r="CD26" s="11">
        <f t="shared" si="35"/>
        <v>0</v>
      </c>
      <c r="CE26" s="11">
        <f>+COUNTIFS('muddati otgan'!C:C,A26,'muddati otgan'!J:J,"Kadastr passportini shakllantirish")</f>
        <v>0</v>
      </c>
      <c r="CF26" s="11">
        <f>+COUNTIFS('muddati otgan'!C:C,A26,'muddati otgan'!J:J,"Yig'ma jildni tasdiqlash")</f>
        <v>0</v>
      </c>
      <c r="CG26" s="11">
        <f>+COUNTIFS('muddati otgan'!C:C,A26,'muddati otgan'!J:J,"To'lov yoki bepul tasdiqlash")</f>
        <v>0</v>
      </c>
      <c r="CH26" s="11">
        <f>+COUNTIFS('muddati otgan'!C:C,A26,'muddati otgan'!J:J,"Bog'liq arizani kutish")</f>
        <v>0</v>
      </c>
      <c r="CI26" s="11">
        <f>+COUNTIFS('muddati otgan'!C:C,A26,'muddati otgan'!J:J,"To'lovga chiqarish")</f>
        <v>0</v>
      </c>
      <c r="CJ26" s="11">
        <f>+COUNTIFS('muddati otgan'!C:C,A26,'muddati otgan'!J:J,"Hisobga qo'yish")</f>
        <v>0</v>
      </c>
      <c r="CK26" s="6">
        <f>+COUNTIFS('muddati otgan'!C:C,A26,'muddati otgan'!J:J,"To'lov kutilmoqda")</f>
        <v>2</v>
      </c>
      <c r="CL26" s="11">
        <f t="shared" si="36"/>
        <v>0</v>
      </c>
      <c r="CM26" s="11">
        <f>+COUNTIFS('muddati otgan'!C:C,A26,'muddati otgan'!AA:AA,"Arizani qabul qilish2")</f>
        <v>0</v>
      </c>
      <c r="CN26" s="11">
        <f>+COUNTIFS('muddati otgan'!C:C,A26,'muddati otgan'!J:J,"Huquqlarni tekshirish")</f>
        <v>0</v>
      </c>
      <c r="CO26" s="11">
        <f>+COUNTIFS('muddati otgan'!C:C,A26,'muddati otgan'!J:J,"Ko'chmas mulkni ro'yhatdan o'tkazishga qabul qilish")</f>
        <v>0</v>
      </c>
      <c r="CP26" s="11">
        <f>+COUNTIFS('muddati otgan'!C:C,A26,'muddati otgan'!J:J,"Ro'yxatdan o'tkazish")</f>
        <v>0</v>
      </c>
      <c r="CQ26" s="11">
        <f>+COUNTIFS('muddati otgan'!C:C,A26,'muddati otgan'!J:J,"Kadastr pasporti va ko'chirmani yuborish")</f>
        <v>0</v>
      </c>
      <c r="CR26" s="11">
        <f>+COUNTIFS('muddati otgan'!C:C,A26,'muddati otgan'!AA:AA,"Rad qilish2")</f>
        <v>0</v>
      </c>
      <c r="CS26" s="11">
        <f>+COUNTIFS('muddati otgan'!C:C,A26,'muddati otgan'!J:J,"Ko'chirmani yuborish")</f>
        <v>0</v>
      </c>
      <c r="CT26" s="11">
        <f>+COUNTIFS('muddati otgan'!C:C,A26,'muddati otgan'!J:J,"Ma‘lumotlarni tekshirish")</f>
        <v>0</v>
      </c>
      <c r="CU26" s="11">
        <f t="shared" si="37"/>
        <v>0</v>
      </c>
      <c r="CV26" s="11">
        <f>+COUNTIFS('muddati otgan'!C:C,A26,'muddati otgan'!J:J,"Kadastr yig'majildini chop etish va arxiv ishiga tikish")</f>
        <v>0</v>
      </c>
      <c r="CW26" s="11">
        <f t="shared" si="38"/>
        <v>0</v>
      </c>
      <c r="CX26" s="11">
        <f>+COUNTIFS('muddati otgan'!C:C,A26,'muddati otgan'!J:J,"Kadastr yig‘majildini qabul qilish, arizani yakunlash")</f>
        <v>0</v>
      </c>
      <c r="CY26" s="11">
        <f>+COUNTIFS('muddati otgan'!C:C,A26,'muddati otgan'!J:J,"Next Cloudga yuklash")</f>
        <v>0</v>
      </c>
      <c r="CZ26" s="6">
        <f>+COUNTIFS('muddati otgan'!C:C,A26,'muddati otgan'!J:J,"Kelishish kutilmoqda")</f>
        <v>0</v>
      </c>
      <c r="DA26" s="6">
        <f>+COUNTIFS('muddati otgan'!C:C,A26,'muddati otgan'!J:J,"Yakunlandi")</f>
        <v>0</v>
      </c>
      <c r="DB26" s="10">
        <f>+COUNTIFS('muddati otgan'!C:C,A26,'muddati otgan'!J:J,"Rad etildi")</f>
        <v>0</v>
      </c>
      <c r="DC26" s="100">
        <f t="shared" si="5"/>
        <v>0</v>
      </c>
      <c r="DD26" s="44">
        <f>COUNTIFS('jami 1-20 kunlik arizalar'!C:C,A:A,'jami 1-20 kunlik arizalar'!S:S,"1")</f>
        <v>0</v>
      </c>
      <c r="DE26" s="11">
        <f>COUNTIFS('jami 1-20 kunlik arizalar'!C:C,A:A,'jami 1-20 kunlik arizalar'!S:S,"2")</f>
        <v>0</v>
      </c>
      <c r="DF26" s="11">
        <f>COUNTIFS('jami 1-20 kunlik arizalar'!C:C,A:A,'jami 1-20 kunlik arizalar'!S:S,"3")</f>
        <v>2</v>
      </c>
      <c r="DG26" s="11">
        <f>COUNTIFS('jami 1-20 kunlik arizalar'!C:C,A:A,'jami 1-20 kunlik arizalar'!S:S,"4")</f>
        <v>1</v>
      </c>
      <c r="DH26" s="11">
        <f>COUNTIFS('jami 1-20 kunlik arizalar'!C:C,A:A,'jami 1-20 kunlik arizalar'!S:S,"5")</f>
        <v>2</v>
      </c>
      <c r="DI26" s="11">
        <f>SUM(COUNTIFS('jami 1-20 kunlik arizalar'!C:C,A:A, 'jami 1-20 kunlik arizalar'!S:S, {6,7,8,9,10}))</f>
        <v>2</v>
      </c>
      <c r="DJ26" s="12">
        <f>SUM(COUNTIFS('jami 1-20 kunlik arizalar'!C:C,A:A, 'jami 1-20 kunlik arizalar'!S:S, "&gt;10"))</f>
        <v>0</v>
      </c>
    </row>
    <row r="27" spans="1:115" ht="39.950000000000003" hidden="1" customHeight="1" outlineLevel="2" x14ac:dyDescent="0.25">
      <c r="A27" s="92" t="s">
        <v>545</v>
      </c>
      <c r="B27" s="74"/>
      <c r="C27" s="70" t="s">
        <v>760</v>
      </c>
      <c r="D27" s="48">
        <f>+COUNTIFS('muddati otgan'!C:C,A27,'muddati otgan'!C:C,A27)</f>
        <v>1</v>
      </c>
      <c r="E27" s="10">
        <f>SUMIFS('muddati otgan'!$V:V,'muddati otgan'!$C:C,$A:A)</f>
        <v>0</v>
      </c>
      <c r="F27" s="10">
        <f>SUMIFS('muddati otgan'!$W:W,'muddati otgan'!$C:C,$A:A)</f>
        <v>0</v>
      </c>
      <c r="G27" s="24">
        <f>SUMIFS('muddati otgan'!$U:U,'muddati otgan'!$C:C,$A:A)</f>
        <v>1</v>
      </c>
      <c r="H27" s="11">
        <f>SUMIFS('muddati otgan'!$G:G,'muddati otgan'!$C:C,$A:A)</f>
        <v>1</v>
      </c>
      <c r="I27" s="12">
        <f>SUMIFS('muddati otgan'!$H:H,'muddati otgan'!$C:C,$A:A)</f>
        <v>0</v>
      </c>
      <c r="J27" s="44">
        <f t="shared" si="23"/>
        <v>0</v>
      </c>
      <c r="K27" s="11">
        <f>+COUNTIFS('muddati otgan'!C:C,A27,'muddati otgan'!AA:AA,"Arizani qabul qilish")</f>
        <v>0</v>
      </c>
      <c r="L27" s="11">
        <f>+COUNTIFS('muddati otgan'!C:C,A27,'muddati otgan'!J:J,"Arizani rad etish")</f>
        <v>0</v>
      </c>
      <c r="M27" s="11">
        <f>+COUNTIFS('muddati otgan'!C:C,A27,'muddati otgan'!J:J,"Arizani tasdiqlash")</f>
        <v>0</v>
      </c>
      <c r="N27" s="11">
        <f>+COUNTIFS('muddati otgan'!C:C,A27,'muddati otgan'!J:J,"Arizani yo'naltirish")</f>
        <v>0</v>
      </c>
      <c r="O27" s="11">
        <f>+COUNTIFS('muddati otgan'!C:C,A27,'muddati otgan'!J:J,"Rad qilish sababini o'rganish")</f>
        <v>0</v>
      </c>
      <c r="P27" s="11">
        <f>+COUNTIFS('muddati otgan'!C:C,A27,'muddati otgan'!J:J,"Ko'chmas mulkni UZKAD ga migratsiya qilish")</f>
        <v>0</v>
      </c>
      <c r="Q27" s="11">
        <f>+COUNTIFS('muddati otgan'!C:C,A27,'muddati otgan'!J:J,"Migratisya qilingan obyekt holatini tekshirish")</f>
        <v>0</v>
      </c>
      <c r="R27" s="11">
        <f>+COUNTIFS('muddati otgan'!C:C,A27,'muddati otgan'!J:J,"Ko‘chmas mulkni tanlash")</f>
        <v>0</v>
      </c>
      <c r="S27" s="11">
        <f>+COUNTIFS('muddati otgan'!C:C,A27,'muddati otgan'!J:J,"Arizani ko'rib chiqish")</f>
        <v>0</v>
      </c>
      <c r="T27" s="11">
        <f>+COUNTIFS('muddati otgan'!C:C,A27,'muddati otgan'!J:J,"Kadastr muhandisini tanlash")</f>
        <v>0</v>
      </c>
      <c r="U27" s="11">
        <f>+COUNTIFS('muddati otgan'!C:C,A27,'muddati otgan'!J:J,"Ko'chmas mulk turini tanlahsh")</f>
        <v>0</v>
      </c>
      <c r="V27" s="11">
        <f>+COUNTIFS('muddati otgan'!C:C,A27,'muddati otgan'!AA:AA,"Rad qilish")</f>
        <v>0</v>
      </c>
      <c r="W27" s="11">
        <f>+COUNTIFS('muddati otgan'!C:C,A27,'muddati otgan'!J:J,"ijrochi tanlash")</f>
        <v>0</v>
      </c>
      <c r="X27" s="11">
        <f>+COUNTIFS('muddati otgan'!C:C,A27,'muddati otgan'!J:J,"Ko'chmas mulk turini tanlash")</f>
        <v>0</v>
      </c>
      <c r="Y27" s="11">
        <f t="shared" si="24"/>
        <v>0</v>
      </c>
      <c r="Z27" s="11">
        <f>+COUNTIFS('muddati otgan'!C:C,A27,'muddati otgan'!J:J,"Ijroga qabul qilish")</f>
        <v>0</v>
      </c>
      <c r="AA27" s="11">
        <f>+COUNTIFS('muddati otgan'!C:C,A27,'muddati otgan'!J:J,"Joyida o'rganish va ma'lumotlarni kiritish")</f>
        <v>0</v>
      </c>
      <c r="AB27" s="11">
        <f>+COUNTIFS('muddati otgan'!C:C,A27,'muddati otgan'!J:J,"Asosiy qismdan ajratish jarayonida")</f>
        <v>0</v>
      </c>
      <c r="AC27" s="11">
        <f>+COUNTIFS('muddati otgan'!C:C,A27,'muddati otgan'!J:J,"Umumiy foydalanishdagi obyekt yaratilish")</f>
        <v>0</v>
      </c>
      <c r="AD27" s="11">
        <f>+COUNTIFS('muddati otgan'!C:C,A27,'muddati otgan'!J:J,"Migratsiya qilinadigan kadastr raqamini kiritish")</f>
        <v>0</v>
      </c>
      <c r="AE27" s="11">
        <f>+COUNTIFS('muddati otgan'!C:C,A27,'muddati otgan'!J:J,"O'zida qolgan obyektni yaratish")</f>
        <v>0</v>
      </c>
      <c r="AF27" s="11">
        <f>+COUNTIFS('muddati otgan'!C:C,A27,'muddati otgan'!J:J,"O'lchov natijalarini kiritish")</f>
        <v>0</v>
      </c>
      <c r="AG27" s="11">
        <f>+COUNTIFS('muddati otgan'!C:C,A27,'muddati otgan'!J:J,"Topoxaritani tayyorlash (dwg, pdf)")</f>
        <v>0</v>
      </c>
      <c r="AH27" s="11">
        <f t="shared" si="25"/>
        <v>0</v>
      </c>
      <c r="AI27" s="11">
        <f>+COUNTIFS('muddati otgan'!C:C,A27,'muddati otgan'!J:J,"Yer uchastkasini yaratish")</f>
        <v>0</v>
      </c>
      <c r="AJ27" s="11">
        <f t="shared" si="26"/>
        <v>0</v>
      </c>
      <c r="AK27" s="11">
        <f>+COUNTIFS('muddati otgan'!C:C,A27,'muddati otgan'!J:J,"Kelishish (Boshqarma)")</f>
        <v>0</v>
      </c>
      <c r="AL27" s="11">
        <f t="shared" si="27"/>
        <v>0</v>
      </c>
      <c r="AM27" s="11">
        <f>+COUNTIFS('muddati otgan'!C:C,A27,'muddati otgan'!J:J,"Kelishish (DKP)")</f>
        <v>0</v>
      </c>
      <c r="AN27" s="11">
        <f>+COUNTIFS('muddati otgan'!C:C,A27,'muddati otgan'!J:J,"Kelishish")</f>
        <v>0</v>
      </c>
      <c r="AO27" s="11">
        <f>+COUNTIFS('muddati otgan'!C:C,A27,'muddati otgan'!J:J,"Kelishish (Registratsiya DKP)")</f>
        <v>0</v>
      </c>
      <c r="AP27" s="11">
        <f t="shared" si="28"/>
        <v>0</v>
      </c>
      <c r="AQ27" s="11">
        <f>+COUNTIFS('muddati otgan'!C:C,A27,'muddati otgan'!J:J,"Manzil biriktirish")</f>
        <v>0</v>
      </c>
      <c r="AR27" s="11">
        <f>+COUNTIFS('muddati otgan'!C:C,A27,'muddati otgan'!J:J,"Bino va inshootlarni yaratish")</f>
        <v>0</v>
      </c>
      <c r="AS27" s="11">
        <f>+COUNTIFS('muddati otgan'!C:C,A27,'muddati otgan'!J:J,"Dov daraxtlarni yaratish")</f>
        <v>0</v>
      </c>
      <c r="AT27" s="11">
        <f>+COUNTIFS('muddati otgan'!C:C,A27,'muddati otgan'!J:J,"Yer uchastkasini tahrirlash")</f>
        <v>0</v>
      </c>
      <c r="AU27" s="11">
        <f t="shared" si="29"/>
        <v>0</v>
      </c>
      <c r="AV27" s="11">
        <f>+COUNTIFS('muddati otgan'!C:C,A27,'muddati otgan'!J:J,"Yer toifasi va maqsadini kiritish")</f>
        <v>0</v>
      </c>
      <c r="AW27" s="11">
        <f>+COUNTIFS('muddati otgan'!C:C,A27,'muddati otgan'!J:J,"Auksion yer tekshirish")</f>
        <v>0</v>
      </c>
      <c r="AX27" s="11">
        <f>+COUNTIFS('muddati otgan'!C:C,A27,'muddati otgan'!J:J,"Yer turlarini kiritish")</f>
        <v>0</v>
      </c>
      <c r="AY27" s="11">
        <f>+COUNTIFS('muddati otgan'!C:C,A27,'muddati otgan'!J:J,"Ma'lumotlarni kiritish")</f>
        <v>0</v>
      </c>
      <c r="AZ27" s="11">
        <f>+COUNTIFS('muddati otgan'!C:C,A27,'muddati otgan'!J:J,"Yer tekshirish")</f>
        <v>0</v>
      </c>
      <c r="BA27" s="11">
        <f t="shared" si="30"/>
        <v>0</v>
      </c>
      <c r="BB27" s="11">
        <f>+COUNTIFS('muddati otgan'!C:C,A27,'muddati otgan'!J:J,"Bino va inshoot ma'lumotlarini to‘ldirish")</f>
        <v>0</v>
      </c>
      <c r="BC27" s="11">
        <f>+COUNTIFS('muddati otgan'!C:C,A27,'muddati otgan'!J:J,"Inventarizatsiya ma'lumotlarini to‘ldirish")</f>
        <v>0</v>
      </c>
      <c r="BD27" s="11">
        <f>+COUNTIFS('muddati otgan'!C:C,A27,'muddati otgan'!J:J,"Yer uchastkasiga huquqiy hujjatlarni kiritsh")</f>
        <v>0</v>
      </c>
      <c r="BE27" s="11">
        <f>+COUNTIFS('muddati otgan'!C:C,A27,'muddati otgan'!J:J,"Bino-inshootlarga huquqiy hujjatlarni kiritsh")</f>
        <v>0</v>
      </c>
      <c r="BF27" s="11">
        <f>+COUNTIFS('muddati otgan'!C:C,A27,'muddati otgan'!J:J,"Kadastr qiymatini hisoblash va kiritish")</f>
        <v>0</v>
      </c>
      <c r="BG27" s="11">
        <f>+COUNTIFS('muddati otgan'!C:C,A27,'muddati otgan'!J:J,"Kadastr raqam biriktirish")</f>
        <v>0</v>
      </c>
      <c r="BH27" s="11">
        <f>+COUNTIFS('muddati otgan'!C:C,A27,'muddati otgan'!J:J,"Kadastr yig'ma jildni tayyorlash")</f>
        <v>0</v>
      </c>
      <c r="BI27" s="11">
        <f>+COUNTIFS('muddati otgan'!C:C,A27,'muddati otgan'!J:J,"Huquqni yaratish")</f>
        <v>0</v>
      </c>
      <c r="BJ27" s="11">
        <f>+COUNTIFS('muddati otgan'!C:C,A27,'muddati otgan'!J:J,"Hujjatlarni o'rganish")</f>
        <v>0</v>
      </c>
      <c r="BK27" s="11">
        <f>+COUNTIFS('muddati otgan'!C:C,A27,'muddati otgan'!J:J,"Ma'lumotlarni tekshirish")</f>
        <v>0</v>
      </c>
      <c r="BL27" s="11">
        <f t="shared" si="31"/>
        <v>0</v>
      </c>
      <c r="BM27" s="11">
        <f>+COUNTIFS('muddati otgan'!C:C,A27,'muddati otgan'!J:J,"Tekshirish")</f>
        <v>0</v>
      </c>
      <c r="BN27" s="11">
        <f>+COUNTIFS('muddati otgan'!C:C,A27,'muddati otgan'!J:J,"Hujjatlarni tekshirish")</f>
        <v>0</v>
      </c>
      <c r="BO27" s="11">
        <f>+COUNTIFS('muddati otgan'!C:C,A27,'muddati otgan'!J:J,"Tasdiqlash")</f>
        <v>0</v>
      </c>
      <c r="BP27" s="11">
        <f>+COUNTIFS('muddati otgan'!C:C,A27,'muddati otgan'!J:J,"tekshirish/tasdiqlash")</f>
        <v>0</v>
      </c>
      <c r="BQ27" s="11">
        <f>+COUNTIFS('muddati otgan'!C:C,A27,'muddati otgan'!J:J,"Ma'lumotlarni tasdiqlash")</f>
        <v>0</v>
      </c>
      <c r="BR27" s="11">
        <f t="shared" si="32"/>
        <v>0</v>
      </c>
      <c r="BS27" s="11">
        <f>+COUNTIFS('muddati otgan'!C:C,A27,'muddati otgan'!J:J,"Ro'yxatdan o'tkazish ma'lumotlarini tekshirish")</f>
        <v>0</v>
      </c>
      <c r="BT27" s="11">
        <f>+COUNTIFS('muddati otgan'!C:C,A27,'muddati otgan'!J:J,"Kamchiliklar bo'yicha habarnoma yuborish va 3 kunga to'xtatish")</f>
        <v>0</v>
      </c>
      <c r="BU27" s="11">
        <f>+COUNTIFS('muddati otgan'!C:C,A27,'muddati otgan'!J:J,"Hisobga olish")</f>
        <v>0</v>
      </c>
      <c r="BV27" s="11">
        <f>+COUNTIFS('muddati otgan'!C:C,A27,'muddati otgan'!J:J,"Yer uchastkasiga huquq yaratish")</f>
        <v>0</v>
      </c>
      <c r="BW27" s="11">
        <f>+COUNTIFS('muddati otgan'!C:C,A27,'muddati otgan'!J:J,"Bino-inshootga huquq yaratish")</f>
        <v>0</v>
      </c>
      <c r="BX27" s="11">
        <f>+COUNTIFS('muddati otgan'!C:C,A27,'muddati otgan'!J:J,"Cheklov yaratish")</f>
        <v>0</v>
      </c>
      <c r="BY27" s="11">
        <f>+COUNTIFS('muddati otgan'!C:C,A27,'muddati otgan'!J:J,"Taqiq yaratish")</f>
        <v>0</v>
      </c>
      <c r="BZ27" s="11">
        <f t="shared" si="33"/>
        <v>0</v>
      </c>
      <c r="CA27" s="11">
        <f>+COUNTIFS('muddati otgan'!C:C,A27,'muddati otgan'!J:J,"Soliq maydonini tekshirish")</f>
        <v>0</v>
      </c>
      <c r="CB27" s="11">
        <f t="shared" si="34"/>
        <v>0</v>
      </c>
      <c r="CC27" s="11">
        <f>+COUNTIFS('muddati otgan'!C:C,A27,'muddati otgan'!J:J,"Kadastr yig'majildini shakllantirish")</f>
        <v>0</v>
      </c>
      <c r="CD27" s="11">
        <f t="shared" si="35"/>
        <v>0</v>
      </c>
      <c r="CE27" s="11">
        <f>+COUNTIFS('muddati otgan'!C:C,A27,'muddati otgan'!J:J,"Kadastr passportini shakllantirish")</f>
        <v>0</v>
      </c>
      <c r="CF27" s="11">
        <f>+COUNTIFS('muddati otgan'!C:C,A27,'muddati otgan'!J:J,"Yig'ma jildni tasdiqlash")</f>
        <v>0</v>
      </c>
      <c r="CG27" s="11">
        <f>+COUNTIFS('muddati otgan'!C:C,A27,'muddati otgan'!J:J,"To'lov yoki bepul tasdiqlash")</f>
        <v>0</v>
      </c>
      <c r="CH27" s="11">
        <f>+COUNTIFS('muddati otgan'!C:C,A27,'muddati otgan'!J:J,"Bog'liq arizani kutish")</f>
        <v>0</v>
      </c>
      <c r="CI27" s="11">
        <f>+COUNTIFS('muddati otgan'!C:C,A27,'muddati otgan'!J:J,"To'lovga chiqarish")</f>
        <v>0</v>
      </c>
      <c r="CJ27" s="11">
        <f>+COUNTIFS('muddati otgan'!C:C,A27,'muddati otgan'!J:J,"Hisobga qo'yish")</f>
        <v>0</v>
      </c>
      <c r="CK27" s="6">
        <f>+COUNTIFS('muddati otgan'!C:C,A27,'muddati otgan'!J:J,"To'lov kutilmoqda")</f>
        <v>1</v>
      </c>
      <c r="CL27" s="11">
        <f t="shared" si="36"/>
        <v>0</v>
      </c>
      <c r="CM27" s="11">
        <f>+COUNTIFS('muddati otgan'!C:C,A27,'muddati otgan'!AA:AA,"Arizani qabul qilish2")</f>
        <v>0</v>
      </c>
      <c r="CN27" s="11">
        <f>+COUNTIFS('muddati otgan'!C:C,A27,'muddati otgan'!J:J,"Huquqlarni tekshirish")</f>
        <v>0</v>
      </c>
      <c r="CO27" s="11">
        <f>+COUNTIFS('muddati otgan'!C:C,A27,'muddati otgan'!J:J,"Ko'chmas mulkni ro'yhatdan o'tkazishga qabul qilish")</f>
        <v>0</v>
      </c>
      <c r="CP27" s="11">
        <f>+COUNTIFS('muddati otgan'!C:C,A27,'muddati otgan'!J:J,"Ro'yxatdan o'tkazish")</f>
        <v>0</v>
      </c>
      <c r="CQ27" s="11">
        <f>+COUNTIFS('muddati otgan'!C:C,A27,'muddati otgan'!J:J,"Kadastr pasporti va ko'chirmani yuborish")</f>
        <v>0</v>
      </c>
      <c r="CR27" s="11">
        <f>+COUNTIFS('muddati otgan'!C:C,A27,'muddati otgan'!AA:AA,"Rad qilish2")</f>
        <v>0</v>
      </c>
      <c r="CS27" s="11">
        <f>+COUNTIFS('muddati otgan'!C:C,A27,'muddati otgan'!J:J,"Ko'chirmani yuborish")</f>
        <v>0</v>
      </c>
      <c r="CT27" s="11">
        <f>+COUNTIFS('muddati otgan'!C:C,A27,'muddati otgan'!J:J,"Ma‘lumotlarni tekshirish")</f>
        <v>0</v>
      </c>
      <c r="CU27" s="11">
        <f t="shared" si="37"/>
        <v>0</v>
      </c>
      <c r="CV27" s="11">
        <f>+COUNTIFS('muddati otgan'!C:C,A27,'muddati otgan'!J:J,"Kadastr yig'majildini chop etish va arxiv ishiga tikish")</f>
        <v>0</v>
      </c>
      <c r="CW27" s="11">
        <f t="shared" si="38"/>
        <v>0</v>
      </c>
      <c r="CX27" s="11">
        <f>+COUNTIFS('muddati otgan'!C:C,A27,'muddati otgan'!J:J,"Kadastr yig‘majildini qabul qilish, arizani yakunlash")</f>
        <v>0</v>
      </c>
      <c r="CY27" s="11">
        <f>+COUNTIFS('muddati otgan'!C:C,A27,'muddati otgan'!J:J,"Next Cloudga yuklash")</f>
        <v>0</v>
      </c>
      <c r="CZ27" s="6">
        <f>+COUNTIFS('muddati otgan'!C:C,A27,'muddati otgan'!J:J,"Kelishish kutilmoqda")</f>
        <v>0</v>
      </c>
      <c r="DA27" s="6">
        <f>+COUNTIFS('muddati otgan'!C:C,A27,'muddati otgan'!J:J,"Yakunlandi")</f>
        <v>0</v>
      </c>
      <c r="DB27" s="10">
        <f>+COUNTIFS('muddati otgan'!C:C,A27,'muddati otgan'!J:J,"Rad etildi")</f>
        <v>0</v>
      </c>
      <c r="DC27" s="100">
        <f t="shared" si="5"/>
        <v>0</v>
      </c>
      <c r="DD27" s="44">
        <f>COUNTIFS('jami 1-20 kunlik arizalar'!C:C,A:A,'jami 1-20 kunlik arizalar'!S:S,"1")</f>
        <v>0</v>
      </c>
      <c r="DE27" s="11">
        <f>COUNTIFS('jami 1-20 kunlik arizalar'!C:C,A:A,'jami 1-20 kunlik arizalar'!S:S,"2")</f>
        <v>0</v>
      </c>
      <c r="DF27" s="11">
        <f>COUNTIFS('jami 1-20 kunlik arizalar'!C:C,A:A,'jami 1-20 kunlik arizalar'!S:S,"3")</f>
        <v>3</v>
      </c>
      <c r="DG27" s="11">
        <f>COUNTIFS('jami 1-20 kunlik arizalar'!C:C,A:A,'jami 1-20 kunlik arizalar'!S:S,"4")</f>
        <v>3</v>
      </c>
      <c r="DH27" s="11">
        <f>COUNTIFS('jami 1-20 kunlik arizalar'!C:C,A:A,'jami 1-20 kunlik arizalar'!S:S,"5")</f>
        <v>0</v>
      </c>
      <c r="DI27" s="11">
        <f>SUM(COUNTIFS('jami 1-20 kunlik arizalar'!C:C,A:A, 'jami 1-20 kunlik arizalar'!S:S, {6,7,8,9,10}))</f>
        <v>4</v>
      </c>
      <c r="DJ27" s="12">
        <f>SUM(COUNTIFS('jami 1-20 kunlik arizalar'!C:C,A:A, 'jami 1-20 kunlik arizalar'!S:S, "&gt;10"))</f>
        <v>3</v>
      </c>
    </row>
    <row r="28" spans="1:115" ht="39.950000000000003" hidden="1" customHeight="1" outlineLevel="2" x14ac:dyDescent="0.25">
      <c r="A28" s="92" t="s">
        <v>551</v>
      </c>
      <c r="B28" s="74"/>
      <c r="C28" s="70" t="s">
        <v>761</v>
      </c>
      <c r="D28" s="48">
        <f>+COUNTIFS('muddati otgan'!C:C,A28,'muddati otgan'!C:C,A28)</f>
        <v>2</v>
      </c>
      <c r="E28" s="10">
        <f>SUMIFS('muddati otgan'!$V:V,'muddati otgan'!$C:C,$A:A)</f>
        <v>0</v>
      </c>
      <c r="F28" s="10">
        <f>SUMIFS('muddati otgan'!$W:W,'muddati otgan'!$C:C,$A:A)</f>
        <v>0</v>
      </c>
      <c r="G28" s="24">
        <f>SUMIFS('muddati otgan'!$U:U,'muddati otgan'!$C:C,$A:A)</f>
        <v>2</v>
      </c>
      <c r="H28" s="11">
        <f>SUMIFS('muddati otgan'!$G:G,'muddati otgan'!$C:C,$A:A)</f>
        <v>1</v>
      </c>
      <c r="I28" s="12">
        <f>SUMIFS('muddati otgan'!$H:H,'muddati otgan'!$C:C,$A:A)</f>
        <v>1</v>
      </c>
      <c r="J28" s="44">
        <f t="shared" si="23"/>
        <v>0</v>
      </c>
      <c r="K28" s="11">
        <f>+COUNTIFS('muddati otgan'!C:C,A28,'muddati otgan'!AA:AA,"Arizani qabul qilish")</f>
        <v>0</v>
      </c>
      <c r="L28" s="11">
        <f>+COUNTIFS('muddati otgan'!C:C,A28,'muddati otgan'!J:J,"Arizani rad etish")</f>
        <v>0</v>
      </c>
      <c r="M28" s="11">
        <f>+COUNTIFS('muddati otgan'!C:C,A28,'muddati otgan'!J:J,"Arizani tasdiqlash")</f>
        <v>0</v>
      </c>
      <c r="N28" s="11">
        <f>+COUNTIFS('muddati otgan'!C:C,A28,'muddati otgan'!J:J,"Arizani yo'naltirish")</f>
        <v>0</v>
      </c>
      <c r="O28" s="11">
        <f>+COUNTIFS('muddati otgan'!C:C,A28,'muddati otgan'!J:J,"Rad qilish sababini o'rganish")</f>
        <v>0</v>
      </c>
      <c r="P28" s="11">
        <f>+COUNTIFS('muddati otgan'!C:C,A28,'muddati otgan'!J:J,"Ko'chmas mulkni UZKAD ga migratsiya qilish")</f>
        <v>0</v>
      </c>
      <c r="Q28" s="11">
        <f>+COUNTIFS('muddati otgan'!C:C,A28,'muddati otgan'!J:J,"Migratisya qilingan obyekt holatini tekshirish")</f>
        <v>0</v>
      </c>
      <c r="R28" s="11">
        <f>+COUNTIFS('muddati otgan'!C:C,A28,'muddati otgan'!J:J,"Ko‘chmas mulkni tanlash")</f>
        <v>0</v>
      </c>
      <c r="S28" s="11">
        <f>+COUNTIFS('muddati otgan'!C:C,A28,'muddati otgan'!J:J,"Arizani ko'rib chiqish")</f>
        <v>0</v>
      </c>
      <c r="T28" s="11">
        <f>+COUNTIFS('muddati otgan'!C:C,A28,'muddati otgan'!J:J,"Kadastr muhandisini tanlash")</f>
        <v>0</v>
      </c>
      <c r="U28" s="11">
        <f>+COUNTIFS('muddati otgan'!C:C,A28,'muddati otgan'!J:J,"Ko'chmas mulk turini tanlahsh")</f>
        <v>0</v>
      </c>
      <c r="V28" s="11">
        <f>+COUNTIFS('muddati otgan'!C:C,A28,'muddati otgan'!AA:AA,"Rad qilish")</f>
        <v>0</v>
      </c>
      <c r="W28" s="11">
        <f>+COUNTIFS('muddati otgan'!C:C,A28,'muddati otgan'!J:J,"ijrochi tanlash")</f>
        <v>0</v>
      </c>
      <c r="X28" s="11">
        <f>+COUNTIFS('muddati otgan'!C:C,A28,'muddati otgan'!J:J,"Ko'chmas mulk turini tanlash")</f>
        <v>0</v>
      </c>
      <c r="Y28" s="11">
        <f t="shared" si="24"/>
        <v>0</v>
      </c>
      <c r="Z28" s="11">
        <f>+COUNTIFS('muddati otgan'!C:C,A28,'muddati otgan'!J:J,"Ijroga qabul qilish")</f>
        <v>0</v>
      </c>
      <c r="AA28" s="11">
        <f>+COUNTIFS('muddati otgan'!C:C,A28,'muddati otgan'!J:J,"Joyida o'rganish va ma'lumotlarni kiritish")</f>
        <v>0</v>
      </c>
      <c r="AB28" s="11">
        <f>+COUNTIFS('muddati otgan'!C:C,A28,'muddati otgan'!J:J,"Asosiy qismdan ajratish jarayonida")</f>
        <v>0</v>
      </c>
      <c r="AC28" s="11">
        <f>+COUNTIFS('muddati otgan'!C:C,A28,'muddati otgan'!J:J,"Umumiy foydalanishdagi obyekt yaratilish")</f>
        <v>0</v>
      </c>
      <c r="AD28" s="11">
        <f>+COUNTIFS('muddati otgan'!C:C,A28,'muddati otgan'!J:J,"Migratsiya qilinadigan kadastr raqamini kiritish")</f>
        <v>0</v>
      </c>
      <c r="AE28" s="11">
        <f>+COUNTIFS('muddati otgan'!C:C,A28,'muddati otgan'!J:J,"O'zida qolgan obyektni yaratish")</f>
        <v>0</v>
      </c>
      <c r="AF28" s="11">
        <f>+COUNTIFS('muddati otgan'!C:C,A28,'muddati otgan'!J:J,"O'lchov natijalarini kiritish")</f>
        <v>0</v>
      </c>
      <c r="AG28" s="11">
        <f>+COUNTIFS('muddati otgan'!C:C,A28,'muddati otgan'!J:J,"Topoxaritani tayyorlash (dwg, pdf)")</f>
        <v>0</v>
      </c>
      <c r="AH28" s="11">
        <f t="shared" si="25"/>
        <v>0</v>
      </c>
      <c r="AI28" s="11">
        <f>+COUNTIFS('muddati otgan'!C:C,A28,'muddati otgan'!J:J,"Yer uchastkasini yaratish")</f>
        <v>0</v>
      </c>
      <c r="AJ28" s="11">
        <f t="shared" si="26"/>
        <v>0</v>
      </c>
      <c r="AK28" s="11">
        <f>+COUNTIFS('muddati otgan'!C:C,A28,'muddati otgan'!J:J,"Kelishish (Boshqarma)")</f>
        <v>0</v>
      </c>
      <c r="AL28" s="11">
        <f t="shared" si="27"/>
        <v>0</v>
      </c>
      <c r="AM28" s="11">
        <f>+COUNTIFS('muddati otgan'!C:C,A28,'muddati otgan'!J:J,"Kelishish (DKP)")</f>
        <v>0</v>
      </c>
      <c r="AN28" s="11">
        <f>+COUNTIFS('muddati otgan'!C:C,A28,'muddati otgan'!J:J,"Kelishish")</f>
        <v>0</v>
      </c>
      <c r="AO28" s="11">
        <f>+COUNTIFS('muddati otgan'!C:C,A28,'muddati otgan'!J:J,"Kelishish (Registratsiya DKP)")</f>
        <v>0</v>
      </c>
      <c r="AP28" s="11">
        <f t="shared" si="28"/>
        <v>0</v>
      </c>
      <c r="AQ28" s="11">
        <f>+COUNTIFS('muddati otgan'!C:C,A28,'muddati otgan'!J:J,"Manzil biriktirish")</f>
        <v>0</v>
      </c>
      <c r="AR28" s="11">
        <f>+COUNTIFS('muddati otgan'!C:C,A28,'muddati otgan'!J:J,"Bino va inshootlarni yaratish")</f>
        <v>0</v>
      </c>
      <c r="AS28" s="11">
        <f>+COUNTIFS('muddati otgan'!C:C,A28,'muddati otgan'!J:J,"Dov daraxtlarni yaratish")</f>
        <v>0</v>
      </c>
      <c r="AT28" s="11">
        <f>+COUNTIFS('muddati otgan'!C:C,A28,'muddati otgan'!J:J,"Yer uchastkasini tahrirlash")</f>
        <v>0</v>
      </c>
      <c r="AU28" s="11">
        <f t="shared" si="29"/>
        <v>0</v>
      </c>
      <c r="AV28" s="11">
        <f>+COUNTIFS('muddati otgan'!C:C,A28,'muddati otgan'!J:J,"Yer toifasi va maqsadini kiritish")</f>
        <v>0</v>
      </c>
      <c r="AW28" s="11">
        <f>+COUNTIFS('muddati otgan'!C:C,A28,'muddati otgan'!J:J,"Auksion yer tekshirish")</f>
        <v>0</v>
      </c>
      <c r="AX28" s="11">
        <f>+COUNTIFS('muddati otgan'!C:C,A28,'muddati otgan'!J:J,"Yer turlarini kiritish")</f>
        <v>0</v>
      </c>
      <c r="AY28" s="11">
        <f>+COUNTIFS('muddati otgan'!C:C,A28,'muddati otgan'!J:J,"Ma'lumotlarni kiritish")</f>
        <v>0</v>
      </c>
      <c r="AZ28" s="11">
        <f>+COUNTIFS('muddati otgan'!C:C,A28,'muddati otgan'!J:J,"Yer tekshirish")</f>
        <v>0</v>
      </c>
      <c r="BA28" s="11">
        <f t="shared" si="30"/>
        <v>0</v>
      </c>
      <c r="BB28" s="11">
        <f>+COUNTIFS('muddati otgan'!C:C,A28,'muddati otgan'!J:J,"Bino va inshoot ma'lumotlarini to‘ldirish")</f>
        <v>0</v>
      </c>
      <c r="BC28" s="11">
        <f>+COUNTIFS('muddati otgan'!C:C,A28,'muddati otgan'!J:J,"Inventarizatsiya ma'lumotlarini to‘ldirish")</f>
        <v>0</v>
      </c>
      <c r="BD28" s="11">
        <f>+COUNTIFS('muddati otgan'!C:C,A28,'muddati otgan'!J:J,"Yer uchastkasiga huquqiy hujjatlarni kiritsh")</f>
        <v>0</v>
      </c>
      <c r="BE28" s="11">
        <f>+COUNTIFS('muddati otgan'!C:C,A28,'muddati otgan'!J:J,"Bino-inshootlarga huquqiy hujjatlarni kiritsh")</f>
        <v>0</v>
      </c>
      <c r="BF28" s="11">
        <f>+COUNTIFS('muddati otgan'!C:C,A28,'muddati otgan'!J:J,"Kadastr qiymatini hisoblash va kiritish")</f>
        <v>0</v>
      </c>
      <c r="BG28" s="11">
        <f>+COUNTIFS('muddati otgan'!C:C,A28,'muddati otgan'!J:J,"Kadastr raqam biriktirish")</f>
        <v>0</v>
      </c>
      <c r="BH28" s="11">
        <f>+COUNTIFS('muddati otgan'!C:C,A28,'muddati otgan'!J:J,"Kadastr yig'ma jildni tayyorlash")</f>
        <v>0</v>
      </c>
      <c r="BI28" s="11">
        <f>+COUNTIFS('muddati otgan'!C:C,A28,'muddati otgan'!J:J,"Huquqni yaratish")</f>
        <v>0</v>
      </c>
      <c r="BJ28" s="11">
        <f>+COUNTIFS('muddati otgan'!C:C,A28,'muddati otgan'!J:J,"Hujjatlarni o'rganish")</f>
        <v>0</v>
      </c>
      <c r="BK28" s="11">
        <f>+COUNTIFS('muddati otgan'!C:C,A28,'muddati otgan'!J:J,"Ma'lumotlarni tekshirish")</f>
        <v>0</v>
      </c>
      <c r="BL28" s="11">
        <f t="shared" si="31"/>
        <v>0</v>
      </c>
      <c r="BM28" s="11">
        <f>+COUNTIFS('muddati otgan'!C:C,A28,'muddati otgan'!J:J,"Tekshirish")</f>
        <v>0</v>
      </c>
      <c r="BN28" s="11">
        <f>+COUNTIFS('muddati otgan'!C:C,A28,'muddati otgan'!J:J,"Hujjatlarni tekshirish")</f>
        <v>0</v>
      </c>
      <c r="BO28" s="11">
        <f>+COUNTIFS('muddati otgan'!C:C,A28,'muddati otgan'!J:J,"Tasdiqlash")</f>
        <v>0</v>
      </c>
      <c r="BP28" s="11">
        <f>+COUNTIFS('muddati otgan'!C:C,A28,'muddati otgan'!J:J,"tekshirish/tasdiqlash")</f>
        <v>0</v>
      </c>
      <c r="BQ28" s="11">
        <f>+COUNTIFS('muddati otgan'!C:C,A28,'muddati otgan'!J:J,"Ma'lumotlarni tasdiqlash")</f>
        <v>0</v>
      </c>
      <c r="BR28" s="11">
        <f t="shared" si="32"/>
        <v>0</v>
      </c>
      <c r="BS28" s="11">
        <f>+COUNTIFS('muddati otgan'!C:C,A28,'muddati otgan'!J:J,"Ro'yxatdan o'tkazish ma'lumotlarini tekshirish")</f>
        <v>0</v>
      </c>
      <c r="BT28" s="11">
        <f>+COUNTIFS('muddati otgan'!C:C,A28,'muddati otgan'!J:J,"Kamchiliklar bo'yicha habarnoma yuborish va 3 kunga to'xtatish")</f>
        <v>0</v>
      </c>
      <c r="BU28" s="11">
        <f>+COUNTIFS('muddati otgan'!C:C,A28,'muddati otgan'!J:J,"Hisobga olish")</f>
        <v>0</v>
      </c>
      <c r="BV28" s="11">
        <f>+COUNTIFS('muddati otgan'!C:C,A28,'muddati otgan'!J:J,"Yer uchastkasiga huquq yaratish")</f>
        <v>0</v>
      </c>
      <c r="BW28" s="11">
        <f>+COUNTIFS('muddati otgan'!C:C,A28,'muddati otgan'!J:J,"Bino-inshootga huquq yaratish")</f>
        <v>0</v>
      </c>
      <c r="BX28" s="11">
        <f>+COUNTIFS('muddati otgan'!C:C,A28,'muddati otgan'!J:J,"Cheklov yaratish")</f>
        <v>0</v>
      </c>
      <c r="BY28" s="11">
        <f>+COUNTIFS('muddati otgan'!C:C,A28,'muddati otgan'!J:J,"Taqiq yaratish")</f>
        <v>0</v>
      </c>
      <c r="BZ28" s="11">
        <f t="shared" si="33"/>
        <v>0</v>
      </c>
      <c r="CA28" s="11">
        <f>+COUNTIFS('muddati otgan'!C:C,A28,'muddati otgan'!J:J,"Soliq maydonini tekshirish")</f>
        <v>0</v>
      </c>
      <c r="CB28" s="11">
        <f t="shared" si="34"/>
        <v>0</v>
      </c>
      <c r="CC28" s="11">
        <f>+COUNTIFS('muddati otgan'!C:C,A28,'muddati otgan'!J:J,"Kadastr yig'majildini shakllantirish")</f>
        <v>0</v>
      </c>
      <c r="CD28" s="11">
        <f t="shared" si="35"/>
        <v>0</v>
      </c>
      <c r="CE28" s="11">
        <f>+COUNTIFS('muddati otgan'!C:C,A28,'muddati otgan'!J:J,"Kadastr passportini shakllantirish")</f>
        <v>0</v>
      </c>
      <c r="CF28" s="11">
        <f>+COUNTIFS('muddati otgan'!C:C,A28,'muddati otgan'!J:J,"Yig'ma jildni tasdiqlash")</f>
        <v>0</v>
      </c>
      <c r="CG28" s="11">
        <f>+COUNTIFS('muddati otgan'!C:C,A28,'muddati otgan'!J:J,"To'lov yoki bepul tasdiqlash")</f>
        <v>0</v>
      </c>
      <c r="CH28" s="11">
        <f>+COUNTIFS('muddati otgan'!C:C,A28,'muddati otgan'!J:J,"Bog'liq arizani kutish")</f>
        <v>0</v>
      </c>
      <c r="CI28" s="11">
        <f>+COUNTIFS('muddati otgan'!C:C,A28,'muddati otgan'!J:J,"To'lovga chiqarish")</f>
        <v>0</v>
      </c>
      <c r="CJ28" s="11">
        <f>+COUNTIFS('muddati otgan'!C:C,A28,'muddati otgan'!J:J,"Hisobga qo'yish")</f>
        <v>0</v>
      </c>
      <c r="CK28" s="6">
        <f>+COUNTIFS('muddati otgan'!C:C,A28,'muddati otgan'!J:J,"To'lov kutilmoqda")</f>
        <v>1</v>
      </c>
      <c r="CL28" s="11">
        <f t="shared" si="36"/>
        <v>0</v>
      </c>
      <c r="CM28" s="11">
        <f>+COUNTIFS('muddati otgan'!C:C,A28,'muddati otgan'!AA:AA,"Arizani qabul qilish2")</f>
        <v>0</v>
      </c>
      <c r="CN28" s="11">
        <f>+COUNTIFS('muddati otgan'!C:C,A28,'muddati otgan'!J:J,"Huquqlarni tekshirish")</f>
        <v>0</v>
      </c>
      <c r="CO28" s="11">
        <f>+COUNTIFS('muddati otgan'!C:C,A28,'muddati otgan'!J:J,"Ko'chmas mulkni ro'yhatdan o'tkazishga qabul qilish")</f>
        <v>0</v>
      </c>
      <c r="CP28" s="11">
        <f>+COUNTIFS('muddati otgan'!C:C,A28,'muddati otgan'!J:J,"Ro'yxatdan o'tkazish")</f>
        <v>0</v>
      </c>
      <c r="CQ28" s="11">
        <f>+COUNTIFS('muddati otgan'!C:C,A28,'muddati otgan'!J:J,"Kadastr pasporti va ko'chirmani yuborish")</f>
        <v>0</v>
      </c>
      <c r="CR28" s="11">
        <f>+COUNTIFS('muddati otgan'!C:C,A28,'muddati otgan'!AA:AA,"Rad qilish2")</f>
        <v>0</v>
      </c>
      <c r="CS28" s="11">
        <f>+COUNTIFS('muddati otgan'!C:C,A28,'muddati otgan'!J:J,"Ko'chirmani yuborish")</f>
        <v>0</v>
      </c>
      <c r="CT28" s="11">
        <f>+COUNTIFS('muddati otgan'!C:C,A28,'muddati otgan'!J:J,"Ma‘lumotlarni tekshirish")</f>
        <v>0</v>
      </c>
      <c r="CU28" s="11">
        <f t="shared" si="37"/>
        <v>0</v>
      </c>
      <c r="CV28" s="11">
        <f>+COUNTIFS('muddati otgan'!C:C,A28,'muddati otgan'!J:J,"Kadastr yig'majildini chop etish va arxiv ishiga tikish")</f>
        <v>0</v>
      </c>
      <c r="CW28" s="11">
        <f t="shared" si="38"/>
        <v>0</v>
      </c>
      <c r="CX28" s="11">
        <f>+COUNTIFS('muddati otgan'!C:C,A28,'muddati otgan'!J:J,"Kadastr yig‘majildini qabul qilish, arizani yakunlash")</f>
        <v>0</v>
      </c>
      <c r="CY28" s="11">
        <f>+COUNTIFS('muddati otgan'!C:C,A28,'muddati otgan'!J:J,"Next Cloudga yuklash")</f>
        <v>0</v>
      </c>
      <c r="CZ28" s="6">
        <f>+COUNTIFS('muddati otgan'!C:C,A28,'muddati otgan'!J:J,"Kelishish kutilmoqda")</f>
        <v>0</v>
      </c>
      <c r="DA28" s="6">
        <f>+COUNTIFS('muddati otgan'!C:C,A28,'muddati otgan'!J:J,"Yakunlandi")</f>
        <v>1</v>
      </c>
      <c r="DB28" s="10">
        <f>+COUNTIFS('muddati otgan'!C:C,A28,'muddati otgan'!J:J,"Rad etildi")</f>
        <v>0</v>
      </c>
      <c r="DC28" s="100">
        <f t="shared" si="5"/>
        <v>0</v>
      </c>
      <c r="DD28" s="44">
        <f>COUNTIFS('jami 1-20 kunlik arizalar'!C:C,A:A,'jami 1-20 kunlik arizalar'!S:S,"1")</f>
        <v>0</v>
      </c>
      <c r="DE28" s="11">
        <f>COUNTIFS('jami 1-20 kunlik arizalar'!C:C,A:A,'jami 1-20 kunlik arizalar'!S:S,"2")</f>
        <v>0</v>
      </c>
      <c r="DF28" s="11">
        <f>COUNTIFS('jami 1-20 kunlik arizalar'!C:C,A:A,'jami 1-20 kunlik arizalar'!S:S,"3")</f>
        <v>3</v>
      </c>
      <c r="DG28" s="11">
        <f>COUNTIFS('jami 1-20 kunlik arizalar'!C:C,A:A,'jami 1-20 kunlik arizalar'!S:S,"4")</f>
        <v>0</v>
      </c>
      <c r="DH28" s="11">
        <f>COUNTIFS('jami 1-20 kunlik arizalar'!C:C,A:A,'jami 1-20 kunlik arizalar'!S:S,"5")</f>
        <v>1</v>
      </c>
      <c r="DI28" s="11">
        <f>SUM(COUNTIFS('jami 1-20 kunlik arizalar'!C:C,A:A, 'jami 1-20 kunlik arizalar'!S:S, {6,7,8,9,10}))</f>
        <v>4</v>
      </c>
      <c r="DJ28" s="12">
        <f>SUM(COUNTIFS('jami 1-20 kunlik arizalar'!C:C,A:A, 'jami 1-20 kunlik arizalar'!S:S, "&gt;10"))</f>
        <v>1</v>
      </c>
    </row>
    <row r="29" spans="1:115" ht="39.950000000000003" hidden="1" customHeight="1" outlineLevel="2" x14ac:dyDescent="0.25">
      <c r="A29" s="92" t="s">
        <v>593</v>
      </c>
      <c r="B29" s="74"/>
      <c r="C29" s="70" t="s">
        <v>762</v>
      </c>
      <c r="D29" s="48">
        <f>+COUNTIFS('muddati otgan'!C:C,A29,'muddati otgan'!C:C,A29)</f>
        <v>0</v>
      </c>
      <c r="E29" s="10">
        <f>SUMIFS('muddati otgan'!$V:V,'muddati otgan'!$C:C,$A:A)</f>
        <v>0</v>
      </c>
      <c r="F29" s="10">
        <f>SUMIFS('muddati otgan'!$W:W,'muddati otgan'!$C:C,$A:A)</f>
        <v>0</v>
      </c>
      <c r="G29" s="24">
        <f>SUMIFS('muddati otgan'!$U:U,'muddati otgan'!$C:C,$A:A)</f>
        <v>0</v>
      </c>
      <c r="H29" s="11">
        <f>SUMIFS('muddati otgan'!$G:G,'muddati otgan'!$C:C,$A:A)</f>
        <v>0</v>
      </c>
      <c r="I29" s="12">
        <f>SUMIFS('muddati otgan'!$H:H,'muddati otgan'!$C:C,$A:A)</f>
        <v>0</v>
      </c>
      <c r="J29" s="44">
        <f t="shared" si="23"/>
        <v>0</v>
      </c>
      <c r="K29" s="11">
        <f>+COUNTIFS('muddati otgan'!C:C,A29,'muddati otgan'!AA:AA,"Arizani qabul qilish")</f>
        <v>0</v>
      </c>
      <c r="L29" s="11">
        <f>+COUNTIFS('muddati otgan'!C:C,A29,'muddati otgan'!J:J,"Arizani rad etish")</f>
        <v>0</v>
      </c>
      <c r="M29" s="11">
        <f>+COUNTIFS('muddati otgan'!C:C,A29,'muddati otgan'!J:J,"Arizani tasdiqlash")</f>
        <v>0</v>
      </c>
      <c r="N29" s="11">
        <f>+COUNTIFS('muddati otgan'!C:C,A29,'muddati otgan'!J:J,"Arizani yo'naltirish")</f>
        <v>0</v>
      </c>
      <c r="O29" s="11">
        <f>+COUNTIFS('muddati otgan'!C:C,A29,'muddati otgan'!J:J,"Rad qilish sababini o'rganish")</f>
        <v>0</v>
      </c>
      <c r="P29" s="11">
        <f>+COUNTIFS('muddati otgan'!C:C,A29,'muddati otgan'!J:J,"Ko'chmas mulkni UZKAD ga migratsiya qilish")</f>
        <v>0</v>
      </c>
      <c r="Q29" s="11">
        <f>+COUNTIFS('muddati otgan'!C:C,A29,'muddati otgan'!J:J,"Migratisya qilingan obyekt holatini tekshirish")</f>
        <v>0</v>
      </c>
      <c r="R29" s="11">
        <f>+COUNTIFS('muddati otgan'!C:C,A29,'muddati otgan'!J:J,"Ko‘chmas mulkni tanlash")</f>
        <v>0</v>
      </c>
      <c r="S29" s="11">
        <f>+COUNTIFS('muddati otgan'!C:C,A29,'muddati otgan'!J:J,"Arizani ko'rib chiqish")</f>
        <v>0</v>
      </c>
      <c r="T29" s="11">
        <f>+COUNTIFS('muddati otgan'!C:C,A29,'muddati otgan'!J:J,"Kadastr muhandisini tanlash")</f>
        <v>0</v>
      </c>
      <c r="U29" s="11">
        <f>+COUNTIFS('muddati otgan'!C:C,A29,'muddati otgan'!J:J,"Ko'chmas mulk turini tanlahsh")</f>
        <v>0</v>
      </c>
      <c r="V29" s="11">
        <f>+COUNTIFS('muddati otgan'!C:C,A29,'muddati otgan'!AA:AA,"Rad qilish")</f>
        <v>0</v>
      </c>
      <c r="W29" s="11">
        <f>+COUNTIFS('muddati otgan'!C:C,A29,'muddati otgan'!J:J,"ijrochi tanlash")</f>
        <v>0</v>
      </c>
      <c r="X29" s="11">
        <f>+COUNTIFS('muddati otgan'!C:C,A29,'muddati otgan'!J:J,"Ko'chmas mulk turini tanlash")</f>
        <v>0</v>
      </c>
      <c r="Y29" s="11">
        <f t="shared" si="24"/>
        <v>0</v>
      </c>
      <c r="Z29" s="11">
        <f>+COUNTIFS('muddati otgan'!C:C,A29,'muddati otgan'!J:J,"Ijroga qabul qilish")</f>
        <v>0</v>
      </c>
      <c r="AA29" s="11">
        <f>+COUNTIFS('muddati otgan'!C:C,A29,'muddati otgan'!J:J,"Joyida o'rganish va ma'lumotlarni kiritish")</f>
        <v>0</v>
      </c>
      <c r="AB29" s="11">
        <f>+COUNTIFS('muddati otgan'!C:C,A29,'muddati otgan'!J:J,"Asosiy qismdan ajratish jarayonida")</f>
        <v>0</v>
      </c>
      <c r="AC29" s="11">
        <f>+COUNTIFS('muddati otgan'!C:C,A29,'muddati otgan'!J:J,"Umumiy foydalanishdagi obyekt yaratilish")</f>
        <v>0</v>
      </c>
      <c r="AD29" s="11">
        <f>+COUNTIFS('muddati otgan'!C:C,A29,'muddati otgan'!J:J,"Migratsiya qilinadigan kadastr raqamini kiritish")</f>
        <v>0</v>
      </c>
      <c r="AE29" s="11">
        <f>+COUNTIFS('muddati otgan'!C:C,A29,'muddati otgan'!J:J,"O'zida qolgan obyektni yaratish")</f>
        <v>0</v>
      </c>
      <c r="AF29" s="11">
        <f>+COUNTIFS('muddati otgan'!C:C,A29,'muddati otgan'!J:J,"O'lchov natijalarini kiritish")</f>
        <v>0</v>
      </c>
      <c r="AG29" s="11">
        <f>+COUNTIFS('muddati otgan'!C:C,A29,'muddati otgan'!J:J,"Topoxaritani tayyorlash (dwg, pdf)")</f>
        <v>0</v>
      </c>
      <c r="AH29" s="11">
        <f t="shared" si="25"/>
        <v>0</v>
      </c>
      <c r="AI29" s="11">
        <f>+COUNTIFS('muddati otgan'!C:C,A29,'muddati otgan'!J:J,"Yer uchastkasini yaratish")</f>
        <v>0</v>
      </c>
      <c r="AJ29" s="11">
        <f t="shared" si="26"/>
        <v>0</v>
      </c>
      <c r="AK29" s="11">
        <f>+COUNTIFS('muddati otgan'!C:C,A29,'muddati otgan'!J:J,"Kelishish (Boshqarma)")</f>
        <v>0</v>
      </c>
      <c r="AL29" s="11">
        <f t="shared" si="27"/>
        <v>0</v>
      </c>
      <c r="AM29" s="11">
        <f>+COUNTIFS('muddati otgan'!C:C,A29,'muddati otgan'!J:J,"Kelishish (DKP)")</f>
        <v>0</v>
      </c>
      <c r="AN29" s="11">
        <f>+COUNTIFS('muddati otgan'!C:C,A29,'muddati otgan'!J:J,"Kelishish")</f>
        <v>0</v>
      </c>
      <c r="AO29" s="11">
        <f>+COUNTIFS('muddati otgan'!C:C,A29,'muddati otgan'!J:J,"Kelishish (Registratsiya DKP)")</f>
        <v>0</v>
      </c>
      <c r="AP29" s="11">
        <f t="shared" si="28"/>
        <v>0</v>
      </c>
      <c r="AQ29" s="11">
        <f>+COUNTIFS('muddati otgan'!C:C,A29,'muddati otgan'!J:J,"Manzil biriktirish")</f>
        <v>0</v>
      </c>
      <c r="AR29" s="11">
        <f>+COUNTIFS('muddati otgan'!C:C,A29,'muddati otgan'!J:J,"Bino va inshootlarni yaratish")</f>
        <v>0</v>
      </c>
      <c r="AS29" s="11">
        <f>+COUNTIFS('muddati otgan'!C:C,A29,'muddati otgan'!J:J,"Dov daraxtlarni yaratish")</f>
        <v>0</v>
      </c>
      <c r="AT29" s="11">
        <f>+COUNTIFS('muddati otgan'!C:C,A29,'muddati otgan'!J:J,"Yer uchastkasini tahrirlash")</f>
        <v>0</v>
      </c>
      <c r="AU29" s="11">
        <f t="shared" si="29"/>
        <v>0</v>
      </c>
      <c r="AV29" s="11">
        <f>+COUNTIFS('muddati otgan'!C:C,A29,'muddati otgan'!J:J,"Yer toifasi va maqsadini kiritish")</f>
        <v>0</v>
      </c>
      <c r="AW29" s="11">
        <f>+COUNTIFS('muddati otgan'!C:C,A29,'muddati otgan'!J:J,"Auksion yer tekshirish")</f>
        <v>0</v>
      </c>
      <c r="AX29" s="11">
        <f>+COUNTIFS('muddati otgan'!C:C,A29,'muddati otgan'!J:J,"Yer turlarini kiritish")</f>
        <v>0</v>
      </c>
      <c r="AY29" s="11">
        <f>+COUNTIFS('muddati otgan'!C:C,A29,'muddati otgan'!J:J,"Ma'lumotlarni kiritish")</f>
        <v>0</v>
      </c>
      <c r="AZ29" s="11">
        <f>+COUNTIFS('muddati otgan'!C:C,A29,'muddati otgan'!J:J,"Yer tekshirish")</f>
        <v>0</v>
      </c>
      <c r="BA29" s="11">
        <f t="shared" si="30"/>
        <v>0</v>
      </c>
      <c r="BB29" s="11">
        <f>+COUNTIFS('muddati otgan'!C:C,A29,'muddati otgan'!J:J,"Bino va inshoot ma'lumotlarini to‘ldirish")</f>
        <v>0</v>
      </c>
      <c r="BC29" s="11">
        <f>+COUNTIFS('muddati otgan'!C:C,A29,'muddati otgan'!J:J,"Inventarizatsiya ma'lumotlarini to‘ldirish")</f>
        <v>0</v>
      </c>
      <c r="BD29" s="11">
        <f>+COUNTIFS('muddati otgan'!C:C,A29,'muddati otgan'!J:J,"Yer uchastkasiga huquqiy hujjatlarni kiritsh")</f>
        <v>0</v>
      </c>
      <c r="BE29" s="11">
        <f>+COUNTIFS('muddati otgan'!C:C,A29,'muddati otgan'!J:J,"Bino-inshootlarga huquqiy hujjatlarni kiritsh")</f>
        <v>0</v>
      </c>
      <c r="BF29" s="11">
        <f>+COUNTIFS('muddati otgan'!C:C,A29,'muddati otgan'!J:J,"Kadastr qiymatini hisoblash va kiritish")</f>
        <v>0</v>
      </c>
      <c r="BG29" s="11">
        <f>+COUNTIFS('muddati otgan'!C:C,A29,'muddati otgan'!J:J,"Kadastr raqam biriktirish")</f>
        <v>0</v>
      </c>
      <c r="BH29" s="11">
        <f>+COUNTIFS('muddati otgan'!C:C,A29,'muddati otgan'!J:J,"Kadastr yig'ma jildni tayyorlash")</f>
        <v>0</v>
      </c>
      <c r="BI29" s="11">
        <f>+COUNTIFS('muddati otgan'!C:C,A29,'muddati otgan'!J:J,"Huquqni yaratish")</f>
        <v>0</v>
      </c>
      <c r="BJ29" s="11">
        <f>+COUNTIFS('muddati otgan'!C:C,A29,'muddati otgan'!J:J,"Hujjatlarni o'rganish")</f>
        <v>0</v>
      </c>
      <c r="BK29" s="11">
        <f>+COUNTIFS('muddati otgan'!C:C,A29,'muddati otgan'!J:J,"Ma'lumotlarni tekshirish")</f>
        <v>0</v>
      </c>
      <c r="BL29" s="11">
        <f t="shared" si="31"/>
        <v>0</v>
      </c>
      <c r="BM29" s="11">
        <f>+COUNTIFS('muddati otgan'!C:C,A29,'muddati otgan'!J:J,"Tekshirish")</f>
        <v>0</v>
      </c>
      <c r="BN29" s="11">
        <f>+COUNTIFS('muddati otgan'!C:C,A29,'muddati otgan'!J:J,"Hujjatlarni tekshirish")</f>
        <v>0</v>
      </c>
      <c r="BO29" s="11">
        <f>+COUNTIFS('muddati otgan'!C:C,A29,'muddati otgan'!J:J,"Tasdiqlash")</f>
        <v>0</v>
      </c>
      <c r="BP29" s="11">
        <f>+COUNTIFS('muddati otgan'!C:C,A29,'muddati otgan'!J:J,"tekshirish/tasdiqlash")</f>
        <v>0</v>
      </c>
      <c r="BQ29" s="11">
        <f>+COUNTIFS('muddati otgan'!C:C,A29,'muddati otgan'!J:J,"Ma'lumotlarni tasdiqlash")</f>
        <v>0</v>
      </c>
      <c r="BR29" s="11">
        <f t="shared" si="32"/>
        <v>0</v>
      </c>
      <c r="BS29" s="11">
        <f>+COUNTIFS('muddati otgan'!C:C,A29,'muddati otgan'!J:J,"Ro'yxatdan o'tkazish ma'lumotlarini tekshirish")</f>
        <v>0</v>
      </c>
      <c r="BT29" s="11">
        <f>+COUNTIFS('muddati otgan'!C:C,A29,'muddati otgan'!J:J,"Kamchiliklar bo'yicha habarnoma yuborish va 3 kunga to'xtatish")</f>
        <v>0</v>
      </c>
      <c r="BU29" s="11">
        <f>+COUNTIFS('muddati otgan'!C:C,A29,'muddati otgan'!J:J,"Hisobga olish")</f>
        <v>0</v>
      </c>
      <c r="BV29" s="11">
        <f>+COUNTIFS('muddati otgan'!C:C,A29,'muddati otgan'!J:J,"Yer uchastkasiga huquq yaratish")</f>
        <v>0</v>
      </c>
      <c r="BW29" s="11">
        <f>+COUNTIFS('muddati otgan'!C:C,A29,'muddati otgan'!J:J,"Bino-inshootga huquq yaratish")</f>
        <v>0</v>
      </c>
      <c r="BX29" s="11">
        <f>+COUNTIFS('muddati otgan'!C:C,A29,'muddati otgan'!J:J,"Cheklov yaratish")</f>
        <v>0</v>
      </c>
      <c r="BY29" s="11">
        <f>+COUNTIFS('muddati otgan'!C:C,A29,'muddati otgan'!J:J,"Taqiq yaratish")</f>
        <v>0</v>
      </c>
      <c r="BZ29" s="11">
        <f t="shared" si="33"/>
        <v>0</v>
      </c>
      <c r="CA29" s="11">
        <f>+COUNTIFS('muddati otgan'!C:C,A29,'muddati otgan'!J:J,"Soliq maydonini tekshirish")</f>
        <v>0</v>
      </c>
      <c r="CB29" s="11">
        <f t="shared" si="34"/>
        <v>0</v>
      </c>
      <c r="CC29" s="11">
        <f>+COUNTIFS('muddati otgan'!C:C,A29,'muddati otgan'!J:J,"Kadastr yig'majildini shakllantirish")</f>
        <v>0</v>
      </c>
      <c r="CD29" s="11">
        <f t="shared" si="35"/>
        <v>0</v>
      </c>
      <c r="CE29" s="11">
        <f>+COUNTIFS('muddati otgan'!C:C,A29,'muddati otgan'!J:J,"Kadastr passportini shakllantirish")</f>
        <v>0</v>
      </c>
      <c r="CF29" s="11">
        <f>+COUNTIFS('muddati otgan'!C:C,A29,'muddati otgan'!J:J,"Yig'ma jildni tasdiqlash")</f>
        <v>0</v>
      </c>
      <c r="CG29" s="11">
        <f>+COUNTIFS('muddati otgan'!C:C,A29,'muddati otgan'!J:J,"To'lov yoki bepul tasdiqlash")</f>
        <v>0</v>
      </c>
      <c r="CH29" s="11">
        <f>+COUNTIFS('muddati otgan'!C:C,A29,'muddati otgan'!J:J,"Bog'liq arizani kutish")</f>
        <v>0</v>
      </c>
      <c r="CI29" s="11">
        <f>+COUNTIFS('muddati otgan'!C:C,A29,'muddati otgan'!J:J,"To'lovga chiqarish")</f>
        <v>0</v>
      </c>
      <c r="CJ29" s="11">
        <f>+COUNTIFS('muddati otgan'!C:C,A29,'muddati otgan'!J:J,"Hisobga qo'yish")</f>
        <v>0</v>
      </c>
      <c r="CK29" s="6">
        <f>+COUNTIFS('muddati otgan'!C:C,A29,'muddati otgan'!J:J,"To'lov kutilmoqda")</f>
        <v>0</v>
      </c>
      <c r="CL29" s="11">
        <f t="shared" si="36"/>
        <v>0</v>
      </c>
      <c r="CM29" s="11">
        <f>+COUNTIFS('muddati otgan'!C:C,A29,'muddati otgan'!AA:AA,"Arizani qabul qilish2")</f>
        <v>0</v>
      </c>
      <c r="CN29" s="11">
        <f>+COUNTIFS('muddati otgan'!C:C,A29,'muddati otgan'!J:J,"Huquqlarni tekshirish")</f>
        <v>0</v>
      </c>
      <c r="CO29" s="11">
        <f>+COUNTIFS('muddati otgan'!C:C,A29,'muddati otgan'!J:J,"Ko'chmas mulkni ro'yhatdan o'tkazishga qabul qilish")</f>
        <v>0</v>
      </c>
      <c r="CP29" s="11">
        <f>+COUNTIFS('muddati otgan'!C:C,A29,'muddati otgan'!J:J,"Ro'yxatdan o'tkazish")</f>
        <v>0</v>
      </c>
      <c r="CQ29" s="11">
        <f>+COUNTIFS('muddati otgan'!C:C,A29,'muddati otgan'!J:J,"Kadastr pasporti va ko'chirmani yuborish")</f>
        <v>0</v>
      </c>
      <c r="CR29" s="11">
        <f>+COUNTIFS('muddati otgan'!C:C,A29,'muddati otgan'!AA:AA,"Rad qilish2")</f>
        <v>0</v>
      </c>
      <c r="CS29" s="11">
        <f>+COUNTIFS('muddati otgan'!C:C,A29,'muddati otgan'!J:J,"Ko'chirmani yuborish")</f>
        <v>0</v>
      </c>
      <c r="CT29" s="11">
        <f>+COUNTIFS('muddati otgan'!C:C,A29,'muddati otgan'!J:J,"Ma‘lumotlarni tekshirish")</f>
        <v>0</v>
      </c>
      <c r="CU29" s="11">
        <f t="shared" si="37"/>
        <v>0</v>
      </c>
      <c r="CV29" s="11">
        <f>+COUNTIFS('muddati otgan'!C:C,A29,'muddati otgan'!J:J,"Kadastr yig'majildini chop etish va arxiv ishiga tikish")</f>
        <v>0</v>
      </c>
      <c r="CW29" s="11">
        <f t="shared" si="38"/>
        <v>0</v>
      </c>
      <c r="CX29" s="11">
        <f>+COUNTIFS('muddati otgan'!C:C,A29,'muddati otgan'!J:J,"Kadastr yig‘majildini qabul qilish, arizani yakunlash")</f>
        <v>0</v>
      </c>
      <c r="CY29" s="11">
        <f>+COUNTIFS('muddati otgan'!C:C,A29,'muddati otgan'!J:J,"Next Cloudga yuklash")</f>
        <v>0</v>
      </c>
      <c r="CZ29" s="6">
        <f>+COUNTIFS('muddati otgan'!C:C,A29,'muddati otgan'!J:J,"Kelishish kutilmoqda")</f>
        <v>0</v>
      </c>
      <c r="DA29" s="6">
        <f>+COUNTIFS('muddati otgan'!C:C,A29,'muddati otgan'!J:J,"Yakunlandi")</f>
        <v>0</v>
      </c>
      <c r="DB29" s="10">
        <f>+COUNTIFS('muddati otgan'!C:C,A29,'muddati otgan'!J:J,"Rad etildi")</f>
        <v>0</v>
      </c>
      <c r="DC29" s="100">
        <f t="shared" si="5"/>
        <v>0</v>
      </c>
      <c r="DD29" s="44">
        <f>COUNTIFS('jami 1-20 kunlik arizalar'!C:C,A:A,'jami 1-20 kunlik arizalar'!S:S,"1")</f>
        <v>0</v>
      </c>
      <c r="DE29" s="11">
        <f>COUNTIFS('jami 1-20 kunlik arizalar'!C:C,A:A,'jami 1-20 kunlik arizalar'!S:S,"2")</f>
        <v>0</v>
      </c>
      <c r="DF29" s="11">
        <f>COUNTIFS('jami 1-20 kunlik arizalar'!C:C,A:A,'jami 1-20 kunlik arizalar'!S:S,"3")</f>
        <v>1</v>
      </c>
      <c r="DG29" s="11">
        <f>COUNTIFS('jami 1-20 kunlik arizalar'!C:C,A:A,'jami 1-20 kunlik arizalar'!S:S,"4")</f>
        <v>0</v>
      </c>
      <c r="DH29" s="11">
        <f>COUNTIFS('jami 1-20 kunlik arizalar'!C:C,A:A,'jami 1-20 kunlik arizalar'!S:S,"5")</f>
        <v>1</v>
      </c>
      <c r="DI29" s="11">
        <f>SUM(COUNTIFS('jami 1-20 kunlik arizalar'!C:C,A:A, 'jami 1-20 kunlik arizalar'!S:S, {6,7,8,9,10}))</f>
        <v>0</v>
      </c>
      <c r="DJ29" s="12">
        <f>SUM(COUNTIFS('jami 1-20 kunlik arizalar'!C:C,A:A, 'jami 1-20 kunlik arizalar'!S:S, "&gt;10"))</f>
        <v>0</v>
      </c>
    </row>
    <row r="30" spans="1:115" ht="39.950000000000003" hidden="1" customHeight="1" outlineLevel="2" x14ac:dyDescent="0.25">
      <c r="A30" s="92" t="s">
        <v>577</v>
      </c>
      <c r="B30" s="74"/>
      <c r="C30" s="70" t="s">
        <v>763</v>
      </c>
      <c r="D30" s="48">
        <f>+COUNTIFS('muddati otgan'!C:C,A30,'muddati otgan'!C:C,A30)</f>
        <v>0</v>
      </c>
      <c r="E30" s="10">
        <f>SUMIFS('muddati otgan'!$V:V,'muddati otgan'!$C:C,$A:A)</f>
        <v>0</v>
      </c>
      <c r="F30" s="10">
        <f>SUMIFS('muddati otgan'!$W:W,'muddati otgan'!$C:C,$A:A)</f>
        <v>0</v>
      </c>
      <c r="G30" s="24">
        <f>SUMIFS('muddati otgan'!$U:U,'muddati otgan'!$C:C,$A:A)</f>
        <v>0</v>
      </c>
      <c r="H30" s="11">
        <f>SUMIFS('muddati otgan'!$G:G,'muddati otgan'!$C:C,$A:A)</f>
        <v>0</v>
      </c>
      <c r="I30" s="12">
        <f>SUMIFS('muddati otgan'!$H:H,'muddati otgan'!$C:C,$A:A)</f>
        <v>0</v>
      </c>
      <c r="J30" s="44">
        <f t="shared" si="23"/>
        <v>0</v>
      </c>
      <c r="K30" s="11">
        <f>+COUNTIFS('muddati otgan'!C:C,A30,'muddati otgan'!AA:AA,"Arizani qabul qilish")</f>
        <v>0</v>
      </c>
      <c r="L30" s="11">
        <f>+COUNTIFS('muddati otgan'!C:C,A30,'muddati otgan'!J:J,"Arizani rad etish")</f>
        <v>0</v>
      </c>
      <c r="M30" s="11">
        <f>+COUNTIFS('muddati otgan'!C:C,A30,'muddati otgan'!J:J,"Arizani tasdiqlash")</f>
        <v>0</v>
      </c>
      <c r="N30" s="11">
        <f>+COUNTIFS('muddati otgan'!C:C,A30,'muddati otgan'!J:J,"Arizani yo'naltirish")</f>
        <v>0</v>
      </c>
      <c r="O30" s="11">
        <f>+COUNTIFS('muddati otgan'!C:C,A30,'muddati otgan'!J:J,"Rad qilish sababini o'rganish")</f>
        <v>0</v>
      </c>
      <c r="P30" s="11">
        <f>+COUNTIFS('muddati otgan'!C:C,A30,'muddati otgan'!J:J,"Ko'chmas mulkni UZKAD ga migratsiya qilish")</f>
        <v>0</v>
      </c>
      <c r="Q30" s="11">
        <f>+COUNTIFS('muddati otgan'!C:C,A30,'muddati otgan'!J:J,"Migratisya qilingan obyekt holatini tekshirish")</f>
        <v>0</v>
      </c>
      <c r="R30" s="11">
        <f>+COUNTIFS('muddati otgan'!C:C,A30,'muddati otgan'!J:J,"Ko‘chmas mulkni tanlash")</f>
        <v>0</v>
      </c>
      <c r="S30" s="11">
        <f>+COUNTIFS('muddati otgan'!C:C,A30,'muddati otgan'!J:J,"Arizani ko'rib chiqish")</f>
        <v>0</v>
      </c>
      <c r="T30" s="11">
        <f>+COUNTIFS('muddati otgan'!C:C,A30,'muddati otgan'!J:J,"Kadastr muhandisini tanlash")</f>
        <v>0</v>
      </c>
      <c r="U30" s="11">
        <f>+COUNTIFS('muddati otgan'!C:C,A30,'muddati otgan'!J:J,"Ko'chmas mulk turini tanlahsh")</f>
        <v>0</v>
      </c>
      <c r="V30" s="11">
        <f>+COUNTIFS('muddati otgan'!C:C,A30,'muddati otgan'!AA:AA,"Rad qilish")</f>
        <v>0</v>
      </c>
      <c r="W30" s="11">
        <f>+COUNTIFS('muddati otgan'!C:C,A30,'muddati otgan'!J:J,"ijrochi tanlash")</f>
        <v>0</v>
      </c>
      <c r="X30" s="11">
        <f>+COUNTIFS('muddati otgan'!C:C,A30,'muddati otgan'!J:J,"Ko'chmas mulk turini tanlash")</f>
        <v>0</v>
      </c>
      <c r="Y30" s="11">
        <f t="shared" si="24"/>
        <v>0</v>
      </c>
      <c r="Z30" s="11">
        <f>+COUNTIFS('muddati otgan'!C:C,A30,'muddati otgan'!J:J,"Ijroga qabul qilish")</f>
        <v>0</v>
      </c>
      <c r="AA30" s="11">
        <f>+COUNTIFS('muddati otgan'!C:C,A30,'muddati otgan'!J:J,"Joyida o'rganish va ma'lumotlarni kiritish")</f>
        <v>0</v>
      </c>
      <c r="AB30" s="11">
        <f>+COUNTIFS('muddati otgan'!C:C,A30,'muddati otgan'!J:J,"Asosiy qismdan ajratish jarayonida")</f>
        <v>0</v>
      </c>
      <c r="AC30" s="11">
        <f>+COUNTIFS('muddati otgan'!C:C,A30,'muddati otgan'!J:J,"Umumiy foydalanishdagi obyekt yaratilish")</f>
        <v>0</v>
      </c>
      <c r="AD30" s="11">
        <f>+COUNTIFS('muddati otgan'!C:C,A30,'muddati otgan'!J:J,"Migratsiya qilinadigan kadastr raqamini kiritish")</f>
        <v>0</v>
      </c>
      <c r="AE30" s="11">
        <f>+COUNTIFS('muddati otgan'!C:C,A30,'muddati otgan'!J:J,"O'zida qolgan obyektni yaratish")</f>
        <v>0</v>
      </c>
      <c r="AF30" s="11">
        <f>+COUNTIFS('muddati otgan'!C:C,A30,'muddati otgan'!J:J,"O'lchov natijalarini kiritish")</f>
        <v>0</v>
      </c>
      <c r="AG30" s="11">
        <f>+COUNTIFS('muddati otgan'!C:C,A30,'muddati otgan'!J:J,"Topoxaritani tayyorlash (dwg, pdf)")</f>
        <v>0</v>
      </c>
      <c r="AH30" s="11">
        <f t="shared" si="25"/>
        <v>0</v>
      </c>
      <c r="AI30" s="11">
        <f>+COUNTIFS('muddati otgan'!C:C,A30,'muddati otgan'!J:J,"Yer uchastkasini yaratish")</f>
        <v>0</v>
      </c>
      <c r="AJ30" s="11">
        <f t="shared" si="26"/>
        <v>0</v>
      </c>
      <c r="AK30" s="11">
        <f>+COUNTIFS('muddati otgan'!C:C,A30,'muddati otgan'!J:J,"Kelishish (Boshqarma)")</f>
        <v>0</v>
      </c>
      <c r="AL30" s="11">
        <f t="shared" si="27"/>
        <v>0</v>
      </c>
      <c r="AM30" s="11">
        <f>+COUNTIFS('muddati otgan'!C:C,A30,'muddati otgan'!J:J,"Kelishish (DKP)")</f>
        <v>0</v>
      </c>
      <c r="AN30" s="11">
        <f>+COUNTIFS('muddati otgan'!C:C,A30,'muddati otgan'!J:J,"Kelishish")</f>
        <v>0</v>
      </c>
      <c r="AO30" s="11">
        <f>+COUNTIFS('muddati otgan'!C:C,A30,'muddati otgan'!J:J,"Kelishish (Registratsiya DKP)")</f>
        <v>0</v>
      </c>
      <c r="AP30" s="11">
        <f t="shared" si="28"/>
        <v>0</v>
      </c>
      <c r="AQ30" s="11">
        <f>+COUNTIFS('muddati otgan'!C:C,A30,'muddati otgan'!J:J,"Manzil biriktirish")</f>
        <v>0</v>
      </c>
      <c r="AR30" s="11">
        <f>+COUNTIFS('muddati otgan'!C:C,A30,'muddati otgan'!J:J,"Bino va inshootlarni yaratish")</f>
        <v>0</v>
      </c>
      <c r="AS30" s="11">
        <f>+COUNTIFS('muddati otgan'!C:C,A30,'muddati otgan'!J:J,"Dov daraxtlarni yaratish")</f>
        <v>0</v>
      </c>
      <c r="AT30" s="11">
        <f>+COUNTIFS('muddati otgan'!C:C,A30,'muddati otgan'!J:J,"Yer uchastkasini tahrirlash")</f>
        <v>0</v>
      </c>
      <c r="AU30" s="11">
        <f t="shared" si="29"/>
        <v>0</v>
      </c>
      <c r="AV30" s="11">
        <f>+COUNTIFS('muddati otgan'!C:C,A30,'muddati otgan'!J:J,"Yer toifasi va maqsadini kiritish")</f>
        <v>0</v>
      </c>
      <c r="AW30" s="11">
        <f>+COUNTIFS('muddati otgan'!C:C,A30,'muddati otgan'!J:J,"Auksion yer tekshirish")</f>
        <v>0</v>
      </c>
      <c r="AX30" s="11">
        <f>+COUNTIFS('muddati otgan'!C:C,A30,'muddati otgan'!J:J,"Yer turlarini kiritish")</f>
        <v>0</v>
      </c>
      <c r="AY30" s="11">
        <f>+COUNTIFS('muddati otgan'!C:C,A30,'muddati otgan'!J:J,"Ma'lumotlarni kiritish")</f>
        <v>0</v>
      </c>
      <c r="AZ30" s="11">
        <f>+COUNTIFS('muddati otgan'!C:C,A30,'muddati otgan'!J:J,"Yer tekshirish")</f>
        <v>0</v>
      </c>
      <c r="BA30" s="11">
        <f t="shared" si="30"/>
        <v>0</v>
      </c>
      <c r="BB30" s="11">
        <f>+COUNTIFS('muddati otgan'!C:C,A30,'muddati otgan'!J:J,"Bino va inshoot ma'lumotlarini to‘ldirish")</f>
        <v>0</v>
      </c>
      <c r="BC30" s="11">
        <f>+COUNTIFS('muddati otgan'!C:C,A30,'muddati otgan'!J:J,"Inventarizatsiya ma'lumotlarini to‘ldirish")</f>
        <v>0</v>
      </c>
      <c r="BD30" s="11">
        <f>+COUNTIFS('muddati otgan'!C:C,A30,'muddati otgan'!J:J,"Yer uchastkasiga huquqiy hujjatlarni kiritsh")</f>
        <v>0</v>
      </c>
      <c r="BE30" s="11">
        <f>+COUNTIFS('muddati otgan'!C:C,A30,'muddati otgan'!J:J,"Bino-inshootlarga huquqiy hujjatlarni kiritsh")</f>
        <v>0</v>
      </c>
      <c r="BF30" s="11">
        <f>+COUNTIFS('muddati otgan'!C:C,A30,'muddati otgan'!J:J,"Kadastr qiymatini hisoblash va kiritish")</f>
        <v>0</v>
      </c>
      <c r="BG30" s="11">
        <f>+COUNTIFS('muddati otgan'!C:C,A30,'muddati otgan'!J:J,"Kadastr raqam biriktirish")</f>
        <v>0</v>
      </c>
      <c r="BH30" s="11">
        <f>+COUNTIFS('muddati otgan'!C:C,A30,'muddati otgan'!J:J,"Kadastr yig'ma jildni tayyorlash")</f>
        <v>0</v>
      </c>
      <c r="BI30" s="11">
        <f>+COUNTIFS('muddati otgan'!C:C,A30,'muddati otgan'!J:J,"Huquqni yaratish")</f>
        <v>0</v>
      </c>
      <c r="BJ30" s="11">
        <f>+COUNTIFS('muddati otgan'!C:C,A30,'muddati otgan'!J:J,"Hujjatlarni o'rganish")</f>
        <v>0</v>
      </c>
      <c r="BK30" s="11">
        <f>+COUNTIFS('muddati otgan'!C:C,A30,'muddati otgan'!J:J,"Ma'lumotlarni tekshirish")</f>
        <v>0</v>
      </c>
      <c r="BL30" s="11">
        <f t="shared" si="31"/>
        <v>0</v>
      </c>
      <c r="BM30" s="11">
        <f>+COUNTIFS('muddati otgan'!C:C,A30,'muddati otgan'!J:J,"Tekshirish")</f>
        <v>0</v>
      </c>
      <c r="BN30" s="11">
        <f>+COUNTIFS('muddati otgan'!C:C,A30,'muddati otgan'!J:J,"Hujjatlarni tekshirish")</f>
        <v>0</v>
      </c>
      <c r="BO30" s="11">
        <f>+COUNTIFS('muddati otgan'!C:C,A30,'muddati otgan'!J:J,"Tasdiqlash")</f>
        <v>0</v>
      </c>
      <c r="BP30" s="11">
        <f>+COUNTIFS('muddati otgan'!C:C,A30,'muddati otgan'!J:J,"tekshirish/tasdiqlash")</f>
        <v>0</v>
      </c>
      <c r="BQ30" s="11">
        <f>+COUNTIFS('muddati otgan'!C:C,A30,'muddati otgan'!J:J,"Ma'lumotlarni tasdiqlash")</f>
        <v>0</v>
      </c>
      <c r="BR30" s="11">
        <f t="shared" si="32"/>
        <v>0</v>
      </c>
      <c r="BS30" s="11">
        <f>+COUNTIFS('muddati otgan'!C:C,A30,'muddati otgan'!J:J,"Ro'yxatdan o'tkazish ma'lumotlarini tekshirish")</f>
        <v>0</v>
      </c>
      <c r="BT30" s="11">
        <f>+COUNTIFS('muddati otgan'!C:C,A30,'muddati otgan'!J:J,"Kamchiliklar bo'yicha habarnoma yuborish va 3 kunga to'xtatish")</f>
        <v>0</v>
      </c>
      <c r="BU30" s="11">
        <f>+COUNTIFS('muddati otgan'!C:C,A30,'muddati otgan'!J:J,"Hisobga olish")</f>
        <v>0</v>
      </c>
      <c r="BV30" s="11">
        <f>+COUNTIFS('muddati otgan'!C:C,A30,'muddati otgan'!J:J,"Yer uchastkasiga huquq yaratish")</f>
        <v>0</v>
      </c>
      <c r="BW30" s="11">
        <f>+COUNTIFS('muddati otgan'!C:C,A30,'muddati otgan'!J:J,"Bino-inshootga huquq yaratish")</f>
        <v>0</v>
      </c>
      <c r="BX30" s="11">
        <f>+COUNTIFS('muddati otgan'!C:C,A30,'muddati otgan'!J:J,"Cheklov yaratish")</f>
        <v>0</v>
      </c>
      <c r="BY30" s="11">
        <f>+COUNTIFS('muddati otgan'!C:C,A30,'muddati otgan'!J:J,"Taqiq yaratish")</f>
        <v>0</v>
      </c>
      <c r="BZ30" s="11">
        <f t="shared" si="33"/>
        <v>0</v>
      </c>
      <c r="CA30" s="11">
        <f>+COUNTIFS('muddati otgan'!C:C,A30,'muddati otgan'!J:J,"Soliq maydonini tekshirish")</f>
        <v>0</v>
      </c>
      <c r="CB30" s="11">
        <f t="shared" si="34"/>
        <v>0</v>
      </c>
      <c r="CC30" s="11">
        <f>+COUNTIFS('muddati otgan'!C:C,A30,'muddati otgan'!J:J,"Kadastr yig'majildini shakllantirish")</f>
        <v>0</v>
      </c>
      <c r="CD30" s="11">
        <f t="shared" si="35"/>
        <v>0</v>
      </c>
      <c r="CE30" s="11">
        <f>+COUNTIFS('muddati otgan'!C:C,A30,'muddati otgan'!J:J,"Kadastr passportini shakllantirish")</f>
        <v>0</v>
      </c>
      <c r="CF30" s="11">
        <f>+COUNTIFS('muddati otgan'!C:C,A30,'muddati otgan'!J:J,"Yig'ma jildni tasdiqlash")</f>
        <v>0</v>
      </c>
      <c r="CG30" s="11">
        <f>+COUNTIFS('muddati otgan'!C:C,A30,'muddati otgan'!J:J,"To'lov yoki bepul tasdiqlash")</f>
        <v>0</v>
      </c>
      <c r="CH30" s="11">
        <f>+COUNTIFS('muddati otgan'!C:C,A30,'muddati otgan'!J:J,"Bog'liq arizani kutish")</f>
        <v>0</v>
      </c>
      <c r="CI30" s="11">
        <f>+COUNTIFS('muddati otgan'!C:C,A30,'muddati otgan'!J:J,"To'lovga chiqarish")</f>
        <v>0</v>
      </c>
      <c r="CJ30" s="11">
        <f>+COUNTIFS('muddati otgan'!C:C,A30,'muddati otgan'!J:J,"Hisobga qo'yish")</f>
        <v>0</v>
      </c>
      <c r="CK30" s="6">
        <f>+COUNTIFS('muddati otgan'!C:C,A30,'muddati otgan'!J:J,"To'lov kutilmoqda")</f>
        <v>0</v>
      </c>
      <c r="CL30" s="11">
        <f t="shared" si="36"/>
        <v>0</v>
      </c>
      <c r="CM30" s="11">
        <f>+COUNTIFS('muddati otgan'!C:C,A30,'muddati otgan'!AA:AA,"Arizani qabul qilish2")</f>
        <v>0</v>
      </c>
      <c r="CN30" s="11">
        <f>+COUNTIFS('muddati otgan'!C:C,A30,'muddati otgan'!J:J,"Huquqlarni tekshirish")</f>
        <v>0</v>
      </c>
      <c r="CO30" s="11">
        <f>+COUNTIFS('muddati otgan'!C:C,A30,'muddati otgan'!J:J,"Ko'chmas mulkni ro'yhatdan o'tkazishga qabul qilish")</f>
        <v>0</v>
      </c>
      <c r="CP30" s="11">
        <f>+COUNTIFS('muddati otgan'!C:C,A30,'muddati otgan'!J:J,"Ro'yxatdan o'tkazish")</f>
        <v>0</v>
      </c>
      <c r="CQ30" s="11">
        <f>+COUNTIFS('muddati otgan'!C:C,A30,'muddati otgan'!J:J,"Kadastr pasporti va ko'chirmani yuborish")</f>
        <v>0</v>
      </c>
      <c r="CR30" s="11">
        <f>+COUNTIFS('muddati otgan'!C:C,A30,'muddati otgan'!AA:AA,"Rad qilish2")</f>
        <v>0</v>
      </c>
      <c r="CS30" s="11">
        <f>+COUNTIFS('muddati otgan'!C:C,A30,'muddati otgan'!J:J,"Ko'chirmani yuborish")</f>
        <v>0</v>
      </c>
      <c r="CT30" s="11">
        <f>+COUNTIFS('muddati otgan'!C:C,A30,'muddati otgan'!J:J,"Ma‘lumotlarni tekshirish")</f>
        <v>0</v>
      </c>
      <c r="CU30" s="11">
        <f t="shared" si="37"/>
        <v>0</v>
      </c>
      <c r="CV30" s="11">
        <f>+COUNTIFS('muddati otgan'!C:C,A30,'muddati otgan'!J:J,"Kadastr yig'majildini chop etish va arxiv ishiga tikish")</f>
        <v>0</v>
      </c>
      <c r="CW30" s="11">
        <f t="shared" si="38"/>
        <v>0</v>
      </c>
      <c r="CX30" s="11">
        <f>+COUNTIFS('muddati otgan'!C:C,A30,'muddati otgan'!J:J,"Kadastr yig‘majildini qabul qilish, arizani yakunlash")</f>
        <v>0</v>
      </c>
      <c r="CY30" s="11">
        <f>+COUNTIFS('muddati otgan'!C:C,A30,'muddati otgan'!J:J,"Next Cloudga yuklash")</f>
        <v>0</v>
      </c>
      <c r="CZ30" s="6">
        <f>+COUNTIFS('muddati otgan'!C:C,A30,'muddati otgan'!J:J,"Kelishish kutilmoqda")</f>
        <v>0</v>
      </c>
      <c r="DA30" s="6">
        <f>+COUNTIFS('muddati otgan'!C:C,A30,'muddati otgan'!J:J,"Yakunlandi")</f>
        <v>0</v>
      </c>
      <c r="DB30" s="10">
        <f>+COUNTIFS('muddati otgan'!C:C,A30,'muddati otgan'!J:J,"Rad etildi")</f>
        <v>0</v>
      </c>
      <c r="DC30" s="100">
        <f t="shared" si="5"/>
        <v>0</v>
      </c>
      <c r="DD30" s="44">
        <f>COUNTIFS('jami 1-20 kunlik arizalar'!C:C,A:A,'jami 1-20 kunlik arizalar'!S:S,"1")</f>
        <v>0</v>
      </c>
      <c r="DE30" s="11">
        <f>COUNTIFS('jami 1-20 kunlik arizalar'!C:C,A:A,'jami 1-20 kunlik arizalar'!S:S,"2")</f>
        <v>0</v>
      </c>
      <c r="DF30" s="11">
        <f>COUNTIFS('jami 1-20 kunlik arizalar'!C:C,A:A,'jami 1-20 kunlik arizalar'!S:S,"3")</f>
        <v>0</v>
      </c>
      <c r="DG30" s="11">
        <f>COUNTIFS('jami 1-20 kunlik arizalar'!C:C,A:A,'jami 1-20 kunlik arizalar'!S:S,"4")</f>
        <v>3</v>
      </c>
      <c r="DH30" s="11">
        <f>COUNTIFS('jami 1-20 kunlik arizalar'!C:C,A:A,'jami 1-20 kunlik arizalar'!S:S,"5")</f>
        <v>0</v>
      </c>
      <c r="DI30" s="11">
        <f>SUM(COUNTIFS('jami 1-20 kunlik arizalar'!C:C,A:A, 'jami 1-20 kunlik arizalar'!S:S, {6,7,8,9,10}))</f>
        <v>4</v>
      </c>
      <c r="DJ30" s="12">
        <f>SUM(COUNTIFS('jami 1-20 kunlik arizalar'!C:C,A:A, 'jami 1-20 kunlik arizalar'!S:S, "&gt;10"))</f>
        <v>0</v>
      </c>
    </row>
    <row r="31" spans="1:115" ht="39.950000000000003" hidden="1" customHeight="1" outlineLevel="2" x14ac:dyDescent="0.25">
      <c r="A31" s="92" t="s">
        <v>575</v>
      </c>
      <c r="B31" s="74"/>
      <c r="C31" s="70" t="s">
        <v>764</v>
      </c>
      <c r="D31" s="48">
        <f>+COUNTIFS('muddati otgan'!C:C,A31,'muddati otgan'!C:C,A31)</f>
        <v>6</v>
      </c>
      <c r="E31" s="10">
        <f>SUMIFS('muddati otgan'!$V:V,'muddati otgan'!$C:C,$A:A)</f>
        <v>0</v>
      </c>
      <c r="F31" s="10">
        <f>SUMIFS('muddati otgan'!$W:W,'muddati otgan'!$C:C,$A:A)</f>
        <v>0</v>
      </c>
      <c r="G31" s="24">
        <f>SUMIFS('muddati otgan'!$U:U,'muddati otgan'!$C:C,$A:A)</f>
        <v>6</v>
      </c>
      <c r="H31" s="11">
        <f>SUMIFS('muddati otgan'!$G:G,'muddati otgan'!$C:C,$A:A)</f>
        <v>5</v>
      </c>
      <c r="I31" s="12">
        <f>SUMIFS('muddati otgan'!$H:H,'muddati otgan'!$C:C,$A:A)</f>
        <v>1</v>
      </c>
      <c r="J31" s="44">
        <f t="shared" si="23"/>
        <v>4</v>
      </c>
      <c r="K31" s="11">
        <f>+COUNTIFS('muddati otgan'!C:C,A31,'muddati otgan'!AA:AA,"Arizani qabul qilish")</f>
        <v>0</v>
      </c>
      <c r="L31" s="11">
        <f>+COUNTIFS('muddati otgan'!C:C,A31,'muddati otgan'!J:J,"Arizani rad etish")</f>
        <v>0</v>
      </c>
      <c r="M31" s="11">
        <f>+COUNTIFS('muddati otgan'!C:C,A31,'muddati otgan'!J:J,"Arizani tasdiqlash")</f>
        <v>0</v>
      </c>
      <c r="N31" s="11">
        <f>+COUNTIFS('muddati otgan'!C:C,A31,'muddati otgan'!J:J,"Arizani yo'naltirish")</f>
        <v>0</v>
      </c>
      <c r="O31" s="11">
        <f>+COUNTIFS('muddati otgan'!C:C,A31,'muddati otgan'!J:J,"Rad qilish sababini o'rganish")</f>
        <v>4</v>
      </c>
      <c r="P31" s="11">
        <f>+COUNTIFS('muddati otgan'!C:C,A31,'muddati otgan'!J:J,"Ko'chmas mulkni UZKAD ga migratsiya qilish")</f>
        <v>0</v>
      </c>
      <c r="Q31" s="11">
        <f>+COUNTIFS('muddati otgan'!C:C,A31,'muddati otgan'!J:J,"Migratisya qilingan obyekt holatini tekshirish")</f>
        <v>0</v>
      </c>
      <c r="R31" s="11">
        <f>+COUNTIFS('muddati otgan'!C:C,A31,'muddati otgan'!J:J,"Ko‘chmas mulkni tanlash")</f>
        <v>0</v>
      </c>
      <c r="S31" s="11">
        <f>+COUNTIFS('muddati otgan'!C:C,A31,'muddati otgan'!J:J,"Arizani ko'rib chiqish")</f>
        <v>0</v>
      </c>
      <c r="T31" s="11">
        <f>+COUNTIFS('muddati otgan'!C:C,A31,'muddati otgan'!J:J,"Kadastr muhandisini tanlash")</f>
        <v>0</v>
      </c>
      <c r="U31" s="11">
        <f>+COUNTIFS('muddati otgan'!C:C,A31,'muddati otgan'!J:J,"Ko'chmas mulk turini tanlahsh")</f>
        <v>0</v>
      </c>
      <c r="V31" s="11">
        <f>+COUNTIFS('muddati otgan'!C:C,A31,'muddati otgan'!AA:AA,"Rad qilish")</f>
        <v>0</v>
      </c>
      <c r="W31" s="11">
        <f>+COUNTIFS('muddati otgan'!C:C,A31,'muddati otgan'!J:J,"ijrochi tanlash")</f>
        <v>0</v>
      </c>
      <c r="X31" s="11">
        <f>+COUNTIFS('muddati otgan'!C:C,A31,'muddati otgan'!J:J,"Ko'chmas mulk turini tanlash")</f>
        <v>0</v>
      </c>
      <c r="Y31" s="11">
        <f t="shared" si="24"/>
        <v>0</v>
      </c>
      <c r="Z31" s="11">
        <f>+COUNTIFS('muddati otgan'!C:C,A31,'muddati otgan'!J:J,"Ijroga qabul qilish")</f>
        <v>0</v>
      </c>
      <c r="AA31" s="11">
        <f>+COUNTIFS('muddati otgan'!C:C,A31,'muddati otgan'!J:J,"Joyida o'rganish va ma'lumotlarni kiritish")</f>
        <v>0</v>
      </c>
      <c r="AB31" s="11">
        <f>+COUNTIFS('muddati otgan'!C:C,A31,'muddati otgan'!J:J,"Asosiy qismdan ajratish jarayonida")</f>
        <v>0</v>
      </c>
      <c r="AC31" s="11">
        <f>+COUNTIFS('muddati otgan'!C:C,A31,'muddati otgan'!J:J,"Umumiy foydalanishdagi obyekt yaratilish")</f>
        <v>0</v>
      </c>
      <c r="AD31" s="11">
        <f>+COUNTIFS('muddati otgan'!C:C,A31,'muddati otgan'!J:J,"Migratsiya qilinadigan kadastr raqamini kiritish")</f>
        <v>0</v>
      </c>
      <c r="AE31" s="11">
        <f>+COUNTIFS('muddati otgan'!C:C,A31,'muddati otgan'!J:J,"O'zida qolgan obyektni yaratish")</f>
        <v>0</v>
      </c>
      <c r="AF31" s="11">
        <f>+COUNTIFS('muddati otgan'!C:C,A31,'muddati otgan'!J:J,"O'lchov natijalarini kiritish")</f>
        <v>0</v>
      </c>
      <c r="AG31" s="11">
        <f>+COUNTIFS('muddati otgan'!C:C,A31,'muddati otgan'!J:J,"Topoxaritani tayyorlash (dwg, pdf)")</f>
        <v>0</v>
      </c>
      <c r="AH31" s="11">
        <f t="shared" si="25"/>
        <v>1</v>
      </c>
      <c r="AI31" s="11">
        <f>+COUNTIFS('muddati otgan'!C:C,A31,'muddati otgan'!J:J,"Yer uchastkasini yaratish")</f>
        <v>1</v>
      </c>
      <c r="AJ31" s="11">
        <f t="shared" si="26"/>
        <v>0</v>
      </c>
      <c r="AK31" s="11">
        <f>+COUNTIFS('muddati otgan'!C:C,A31,'muddati otgan'!J:J,"Kelishish (Boshqarma)")</f>
        <v>0</v>
      </c>
      <c r="AL31" s="11">
        <f t="shared" si="27"/>
        <v>0</v>
      </c>
      <c r="AM31" s="11">
        <f>+COUNTIFS('muddati otgan'!C:C,A31,'muddati otgan'!J:J,"Kelishish (DKP)")</f>
        <v>0</v>
      </c>
      <c r="AN31" s="11">
        <f>+COUNTIFS('muddati otgan'!C:C,A31,'muddati otgan'!J:J,"Kelishish")</f>
        <v>0</v>
      </c>
      <c r="AO31" s="11">
        <f>+COUNTIFS('muddati otgan'!C:C,A31,'muddati otgan'!J:J,"Kelishish (Registratsiya DKP)")</f>
        <v>0</v>
      </c>
      <c r="AP31" s="11">
        <f t="shared" si="28"/>
        <v>0</v>
      </c>
      <c r="AQ31" s="11">
        <f>+COUNTIFS('muddati otgan'!C:C,A31,'muddati otgan'!J:J,"Manzil biriktirish")</f>
        <v>0</v>
      </c>
      <c r="AR31" s="11">
        <f>+COUNTIFS('muddati otgan'!C:C,A31,'muddati otgan'!J:J,"Bino va inshootlarni yaratish")</f>
        <v>0</v>
      </c>
      <c r="AS31" s="11">
        <f>+COUNTIFS('muddati otgan'!C:C,A31,'muddati otgan'!J:J,"Dov daraxtlarni yaratish")</f>
        <v>0</v>
      </c>
      <c r="AT31" s="11">
        <f>+COUNTIFS('muddati otgan'!C:C,A31,'muddati otgan'!J:J,"Yer uchastkasini tahrirlash")</f>
        <v>0</v>
      </c>
      <c r="AU31" s="11">
        <f t="shared" si="29"/>
        <v>0</v>
      </c>
      <c r="AV31" s="11">
        <f>+COUNTIFS('muddati otgan'!C:C,A31,'muddati otgan'!J:J,"Yer toifasi va maqsadini kiritish")</f>
        <v>0</v>
      </c>
      <c r="AW31" s="11">
        <f>+COUNTIFS('muddati otgan'!C:C,A31,'muddati otgan'!J:J,"Auksion yer tekshirish")</f>
        <v>0</v>
      </c>
      <c r="AX31" s="11">
        <f>+COUNTIFS('muddati otgan'!C:C,A31,'muddati otgan'!J:J,"Yer turlarini kiritish")</f>
        <v>0</v>
      </c>
      <c r="AY31" s="11">
        <f>+COUNTIFS('muddati otgan'!C:C,A31,'muddati otgan'!J:J,"Ma'lumotlarni kiritish")</f>
        <v>0</v>
      </c>
      <c r="AZ31" s="11">
        <f>+COUNTIFS('muddati otgan'!C:C,A31,'muddati otgan'!J:J,"Yer tekshirish")</f>
        <v>0</v>
      </c>
      <c r="BA31" s="11">
        <f t="shared" si="30"/>
        <v>0</v>
      </c>
      <c r="BB31" s="11">
        <f>+COUNTIFS('muddati otgan'!C:C,A31,'muddati otgan'!J:J,"Bino va inshoot ma'lumotlarini to‘ldirish")</f>
        <v>0</v>
      </c>
      <c r="BC31" s="11">
        <f>+COUNTIFS('muddati otgan'!C:C,A31,'muddati otgan'!J:J,"Inventarizatsiya ma'lumotlarini to‘ldirish")</f>
        <v>0</v>
      </c>
      <c r="BD31" s="11">
        <f>+COUNTIFS('muddati otgan'!C:C,A31,'muddati otgan'!J:J,"Yer uchastkasiga huquqiy hujjatlarni kiritsh")</f>
        <v>0</v>
      </c>
      <c r="BE31" s="11">
        <f>+COUNTIFS('muddati otgan'!C:C,A31,'muddati otgan'!J:J,"Bino-inshootlarga huquqiy hujjatlarni kiritsh")</f>
        <v>0</v>
      </c>
      <c r="BF31" s="11">
        <f>+COUNTIFS('muddati otgan'!C:C,A31,'muddati otgan'!J:J,"Kadastr qiymatini hisoblash va kiritish")</f>
        <v>0</v>
      </c>
      <c r="BG31" s="11">
        <f>+COUNTIFS('muddati otgan'!C:C,A31,'muddati otgan'!J:J,"Kadastr raqam biriktirish")</f>
        <v>0</v>
      </c>
      <c r="BH31" s="11">
        <f>+COUNTIFS('muddati otgan'!C:C,A31,'muddati otgan'!J:J,"Kadastr yig'ma jildni tayyorlash")</f>
        <v>0</v>
      </c>
      <c r="BI31" s="11">
        <f>+COUNTIFS('muddati otgan'!C:C,A31,'muddati otgan'!J:J,"Huquqni yaratish")</f>
        <v>0</v>
      </c>
      <c r="BJ31" s="11">
        <f>+COUNTIFS('muddati otgan'!C:C,A31,'muddati otgan'!J:J,"Hujjatlarni o'rganish")</f>
        <v>0</v>
      </c>
      <c r="BK31" s="11">
        <f>+COUNTIFS('muddati otgan'!C:C,A31,'muddati otgan'!J:J,"Ma'lumotlarni tekshirish")</f>
        <v>0</v>
      </c>
      <c r="BL31" s="11">
        <f t="shared" si="31"/>
        <v>0</v>
      </c>
      <c r="BM31" s="11">
        <f>+COUNTIFS('muddati otgan'!C:C,A31,'muddati otgan'!J:J,"Tekshirish")</f>
        <v>0</v>
      </c>
      <c r="BN31" s="11">
        <f>+COUNTIFS('muddati otgan'!C:C,A31,'muddati otgan'!J:J,"Hujjatlarni tekshirish")</f>
        <v>0</v>
      </c>
      <c r="BO31" s="11">
        <f>+COUNTIFS('muddati otgan'!C:C,A31,'muddati otgan'!J:J,"Tasdiqlash")</f>
        <v>0</v>
      </c>
      <c r="BP31" s="11">
        <f>+COUNTIFS('muddati otgan'!C:C,A31,'muddati otgan'!J:J,"tekshirish/tasdiqlash")</f>
        <v>0</v>
      </c>
      <c r="BQ31" s="11">
        <f>+COUNTIFS('muddati otgan'!C:C,A31,'muddati otgan'!J:J,"Ma'lumotlarni tasdiqlash")</f>
        <v>0</v>
      </c>
      <c r="BR31" s="11">
        <f t="shared" si="32"/>
        <v>0</v>
      </c>
      <c r="BS31" s="11">
        <f>+COUNTIFS('muddati otgan'!C:C,A31,'muddati otgan'!J:J,"Ro'yxatdan o'tkazish ma'lumotlarini tekshirish")</f>
        <v>0</v>
      </c>
      <c r="BT31" s="11">
        <f>+COUNTIFS('muddati otgan'!C:C,A31,'muddati otgan'!J:J,"Kamchiliklar bo'yicha habarnoma yuborish va 3 kunga to'xtatish")</f>
        <v>0</v>
      </c>
      <c r="BU31" s="11">
        <f>+COUNTIFS('muddati otgan'!C:C,A31,'muddati otgan'!J:J,"Hisobga olish")</f>
        <v>0</v>
      </c>
      <c r="BV31" s="11">
        <f>+COUNTIFS('muddati otgan'!C:C,A31,'muddati otgan'!J:J,"Yer uchastkasiga huquq yaratish")</f>
        <v>0</v>
      </c>
      <c r="BW31" s="11">
        <f>+COUNTIFS('muddati otgan'!C:C,A31,'muddati otgan'!J:J,"Bino-inshootga huquq yaratish")</f>
        <v>0</v>
      </c>
      <c r="BX31" s="11">
        <f>+COUNTIFS('muddati otgan'!C:C,A31,'muddati otgan'!J:J,"Cheklov yaratish")</f>
        <v>0</v>
      </c>
      <c r="BY31" s="11">
        <f>+COUNTIFS('muddati otgan'!C:C,A31,'muddati otgan'!J:J,"Taqiq yaratish")</f>
        <v>0</v>
      </c>
      <c r="BZ31" s="11">
        <f t="shared" si="33"/>
        <v>0</v>
      </c>
      <c r="CA31" s="11">
        <f>+COUNTIFS('muddati otgan'!C:C,A31,'muddati otgan'!J:J,"Soliq maydonini tekshirish")</f>
        <v>0</v>
      </c>
      <c r="CB31" s="11">
        <f t="shared" si="34"/>
        <v>0</v>
      </c>
      <c r="CC31" s="11">
        <f>+COUNTIFS('muddati otgan'!C:C,A31,'muddati otgan'!J:J,"Kadastr yig'majildini shakllantirish")</f>
        <v>0</v>
      </c>
      <c r="CD31" s="11">
        <f t="shared" si="35"/>
        <v>0</v>
      </c>
      <c r="CE31" s="11">
        <f>+COUNTIFS('muddati otgan'!C:C,A31,'muddati otgan'!J:J,"Kadastr passportini shakllantirish")</f>
        <v>0</v>
      </c>
      <c r="CF31" s="11">
        <f>+COUNTIFS('muddati otgan'!C:C,A31,'muddati otgan'!J:J,"Yig'ma jildni tasdiqlash")</f>
        <v>0</v>
      </c>
      <c r="CG31" s="11">
        <f>+COUNTIFS('muddati otgan'!C:C,A31,'muddati otgan'!J:J,"To'lov yoki bepul tasdiqlash")</f>
        <v>0</v>
      </c>
      <c r="CH31" s="11">
        <f>+COUNTIFS('muddati otgan'!C:C,A31,'muddati otgan'!J:J,"Bog'liq arizani kutish")</f>
        <v>0</v>
      </c>
      <c r="CI31" s="11">
        <f>+COUNTIFS('muddati otgan'!C:C,A31,'muddati otgan'!J:J,"To'lovga chiqarish")</f>
        <v>0</v>
      </c>
      <c r="CJ31" s="11">
        <f>+COUNTIFS('muddati otgan'!C:C,A31,'muddati otgan'!J:J,"Hisobga qo'yish")</f>
        <v>0</v>
      </c>
      <c r="CK31" s="6">
        <f>+COUNTIFS('muddati otgan'!C:C,A31,'muddati otgan'!J:J,"To'lov kutilmoqda")</f>
        <v>1</v>
      </c>
      <c r="CL31" s="11">
        <f t="shared" si="36"/>
        <v>0</v>
      </c>
      <c r="CM31" s="11">
        <f>+COUNTIFS('muddati otgan'!C:C,A31,'muddati otgan'!AA:AA,"Arizani qabul qilish2")</f>
        <v>0</v>
      </c>
      <c r="CN31" s="11">
        <f>+COUNTIFS('muddati otgan'!C:C,A31,'muddati otgan'!J:J,"Huquqlarni tekshirish")</f>
        <v>0</v>
      </c>
      <c r="CO31" s="11">
        <f>+COUNTIFS('muddati otgan'!C:C,A31,'muddati otgan'!J:J,"Ko'chmas mulkni ro'yhatdan o'tkazishga qabul qilish")</f>
        <v>0</v>
      </c>
      <c r="CP31" s="11">
        <f>+COUNTIFS('muddati otgan'!C:C,A31,'muddati otgan'!J:J,"Ro'yxatdan o'tkazish")</f>
        <v>0</v>
      </c>
      <c r="CQ31" s="11">
        <f>+COUNTIFS('muddati otgan'!C:C,A31,'muddati otgan'!J:J,"Kadastr pasporti va ko'chirmani yuborish")</f>
        <v>0</v>
      </c>
      <c r="CR31" s="11">
        <f>+COUNTIFS('muddati otgan'!C:C,A31,'muddati otgan'!AA:AA,"Rad qilish2")</f>
        <v>0</v>
      </c>
      <c r="CS31" s="11">
        <f>+COUNTIFS('muddati otgan'!C:C,A31,'muddati otgan'!J:J,"Ko'chirmani yuborish")</f>
        <v>0</v>
      </c>
      <c r="CT31" s="11">
        <f>+COUNTIFS('muddati otgan'!C:C,A31,'muddati otgan'!J:J,"Ma‘lumotlarni tekshirish")</f>
        <v>0</v>
      </c>
      <c r="CU31" s="11">
        <f t="shared" si="37"/>
        <v>0</v>
      </c>
      <c r="CV31" s="11">
        <f>+COUNTIFS('muddati otgan'!C:C,A31,'muddati otgan'!J:J,"Kadastr yig'majildini chop etish va arxiv ishiga tikish")</f>
        <v>0</v>
      </c>
      <c r="CW31" s="11">
        <f t="shared" si="38"/>
        <v>0</v>
      </c>
      <c r="CX31" s="11">
        <f>+COUNTIFS('muddati otgan'!C:C,A31,'muddati otgan'!J:J,"Kadastr yig‘majildini qabul qilish, arizani yakunlash")</f>
        <v>0</v>
      </c>
      <c r="CY31" s="11">
        <f>+COUNTIFS('muddati otgan'!C:C,A31,'muddati otgan'!J:J,"Next Cloudga yuklash")</f>
        <v>0</v>
      </c>
      <c r="CZ31" s="6">
        <f>+COUNTIFS('muddati otgan'!C:C,A31,'muddati otgan'!J:J,"Kelishish kutilmoqda")</f>
        <v>0</v>
      </c>
      <c r="DA31" s="6">
        <f>+COUNTIFS('muddati otgan'!C:C,A31,'muddati otgan'!J:J,"Yakunlandi")</f>
        <v>0</v>
      </c>
      <c r="DB31" s="10">
        <f>+COUNTIFS('muddati otgan'!C:C,A31,'muddati otgan'!J:J,"Rad etildi")</f>
        <v>0</v>
      </c>
      <c r="DC31" s="100">
        <f t="shared" si="5"/>
        <v>-5</v>
      </c>
      <c r="DD31" s="44">
        <f>COUNTIFS('jami 1-20 kunlik arizalar'!C:C,A:A,'jami 1-20 kunlik arizalar'!S:S,"1")</f>
        <v>0</v>
      </c>
      <c r="DE31" s="11">
        <f>COUNTIFS('jami 1-20 kunlik arizalar'!C:C,A:A,'jami 1-20 kunlik arizalar'!S:S,"2")</f>
        <v>0</v>
      </c>
      <c r="DF31" s="11">
        <f>COUNTIFS('jami 1-20 kunlik arizalar'!C:C,A:A,'jami 1-20 kunlik arizalar'!S:S,"3")</f>
        <v>1</v>
      </c>
      <c r="DG31" s="11">
        <f>COUNTIFS('jami 1-20 kunlik arizalar'!C:C,A:A,'jami 1-20 kunlik arizalar'!S:S,"4")</f>
        <v>3</v>
      </c>
      <c r="DH31" s="11">
        <f>COUNTIFS('jami 1-20 kunlik arizalar'!C:C,A:A,'jami 1-20 kunlik arizalar'!S:S,"5")</f>
        <v>1</v>
      </c>
      <c r="DI31" s="11">
        <f>SUM(COUNTIFS('jami 1-20 kunlik arizalar'!C:C,A:A, 'jami 1-20 kunlik arizalar'!S:S, {6,7,8,9,10}))</f>
        <v>1</v>
      </c>
      <c r="DJ31" s="12">
        <f>SUM(COUNTIFS('jami 1-20 kunlik arizalar'!C:C,A:A, 'jami 1-20 kunlik arizalar'!S:S, "&gt;10"))</f>
        <v>0</v>
      </c>
    </row>
    <row r="32" spans="1:115" ht="39.950000000000003" hidden="1" customHeight="1" outlineLevel="2" x14ac:dyDescent="0.25">
      <c r="A32" s="92" t="s">
        <v>589</v>
      </c>
      <c r="B32" s="74"/>
      <c r="C32" s="70" t="s">
        <v>765</v>
      </c>
      <c r="D32" s="48">
        <f>+COUNTIFS('muddati otgan'!C:C,A32,'muddati otgan'!C:C,A32)</f>
        <v>1</v>
      </c>
      <c r="E32" s="10">
        <f>SUMIFS('muddati otgan'!$V:V,'muddati otgan'!$C:C,$A:A)</f>
        <v>0</v>
      </c>
      <c r="F32" s="10">
        <f>SUMIFS('muddati otgan'!$W:W,'muddati otgan'!$C:C,$A:A)</f>
        <v>0</v>
      </c>
      <c r="G32" s="24">
        <f>SUMIFS('muddati otgan'!$U:U,'muddati otgan'!$C:C,$A:A)</f>
        <v>1</v>
      </c>
      <c r="H32" s="11">
        <f>SUMIFS('muddati otgan'!$G:G,'muddati otgan'!$C:C,$A:A)</f>
        <v>1</v>
      </c>
      <c r="I32" s="12">
        <f>SUMIFS('muddati otgan'!$H:H,'muddati otgan'!$C:C,$A:A)</f>
        <v>0</v>
      </c>
      <c r="J32" s="44">
        <f t="shared" si="23"/>
        <v>0</v>
      </c>
      <c r="K32" s="11">
        <f>+COUNTIFS('muddati otgan'!C:C,A32,'muddati otgan'!AA:AA,"Arizani qabul qilish")</f>
        <v>0</v>
      </c>
      <c r="L32" s="11">
        <f>+COUNTIFS('muddati otgan'!C:C,A32,'muddati otgan'!J:J,"Arizani rad etish")</f>
        <v>0</v>
      </c>
      <c r="M32" s="11">
        <f>+COUNTIFS('muddati otgan'!C:C,A32,'muddati otgan'!J:J,"Arizani tasdiqlash")</f>
        <v>0</v>
      </c>
      <c r="N32" s="11">
        <f>+COUNTIFS('muddati otgan'!C:C,A32,'muddati otgan'!J:J,"Arizani yo'naltirish")</f>
        <v>0</v>
      </c>
      <c r="O32" s="11">
        <f>+COUNTIFS('muddati otgan'!C:C,A32,'muddati otgan'!J:J,"Rad qilish sababini o'rganish")</f>
        <v>0</v>
      </c>
      <c r="P32" s="11">
        <f>+COUNTIFS('muddati otgan'!C:C,A32,'muddati otgan'!J:J,"Ko'chmas mulkni UZKAD ga migratsiya qilish")</f>
        <v>0</v>
      </c>
      <c r="Q32" s="11">
        <f>+COUNTIFS('muddati otgan'!C:C,A32,'muddati otgan'!J:J,"Migratisya qilingan obyekt holatini tekshirish")</f>
        <v>0</v>
      </c>
      <c r="R32" s="11">
        <f>+COUNTIFS('muddati otgan'!C:C,A32,'muddati otgan'!J:J,"Ko‘chmas mulkni tanlash")</f>
        <v>0</v>
      </c>
      <c r="S32" s="11">
        <f>+COUNTIFS('muddati otgan'!C:C,A32,'muddati otgan'!J:J,"Arizani ko'rib chiqish")</f>
        <v>0</v>
      </c>
      <c r="T32" s="11">
        <f>+COUNTIFS('muddati otgan'!C:C,A32,'muddati otgan'!J:J,"Kadastr muhandisini tanlash")</f>
        <v>0</v>
      </c>
      <c r="U32" s="11">
        <f>+COUNTIFS('muddati otgan'!C:C,A32,'muddati otgan'!J:J,"Ko'chmas mulk turini tanlahsh")</f>
        <v>0</v>
      </c>
      <c r="V32" s="11">
        <f>+COUNTIFS('muddati otgan'!C:C,A32,'muddati otgan'!AA:AA,"Rad qilish")</f>
        <v>0</v>
      </c>
      <c r="W32" s="11">
        <f>+COUNTIFS('muddati otgan'!C:C,A32,'muddati otgan'!J:J,"ijrochi tanlash")</f>
        <v>0</v>
      </c>
      <c r="X32" s="11">
        <f>+COUNTIFS('muddati otgan'!C:C,A32,'muddati otgan'!J:J,"Ko'chmas mulk turini tanlash")</f>
        <v>0</v>
      </c>
      <c r="Y32" s="11">
        <f t="shared" si="24"/>
        <v>0</v>
      </c>
      <c r="Z32" s="11">
        <f>+COUNTIFS('muddati otgan'!C:C,A32,'muddati otgan'!J:J,"Ijroga qabul qilish")</f>
        <v>0</v>
      </c>
      <c r="AA32" s="11">
        <f>+COUNTIFS('muddati otgan'!C:C,A32,'muddati otgan'!J:J,"Joyida o'rganish va ma'lumotlarni kiritish")</f>
        <v>0</v>
      </c>
      <c r="AB32" s="11">
        <f>+COUNTIFS('muddati otgan'!C:C,A32,'muddati otgan'!J:J,"Asosiy qismdan ajratish jarayonida")</f>
        <v>0</v>
      </c>
      <c r="AC32" s="11">
        <f>+COUNTIFS('muddati otgan'!C:C,A32,'muddati otgan'!J:J,"Umumiy foydalanishdagi obyekt yaratilish")</f>
        <v>0</v>
      </c>
      <c r="AD32" s="11">
        <f>+COUNTIFS('muddati otgan'!C:C,A32,'muddati otgan'!J:J,"Migratsiya qilinadigan kadastr raqamini kiritish")</f>
        <v>0</v>
      </c>
      <c r="AE32" s="11">
        <f>+COUNTIFS('muddati otgan'!C:C,A32,'muddati otgan'!J:J,"O'zida qolgan obyektni yaratish")</f>
        <v>0</v>
      </c>
      <c r="AF32" s="11">
        <f>+COUNTIFS('muddati otgan'!C:C,A32,'muddati otgan'!J:J,"O'lchov natijalarini kiritish")</f>
        <v>0</v>
      </c>
      <c r="AG32" s="11">
        <f>+COUNTIFS('muddati otgan'!C:C,A32,'muddati otgan'!J:J,"Topoxaritani tayyorlash (dwg, pdf)")</f>
        <v>0</v>
      </c>
      <c r="AH32" s="11">
        <f t="shared" si="25"/>
        <v>0</v>
      </c>
      <c r="AI32" s="11">
        <f>+COUNTIFS('muddati otgan'!C:C,A32,'muddati otgan'!J:J,"Yer uchastkasini yaratish")</f>
        <v>0</v>
      </c>
      <c r="AJ32" s="11">
        <f t="shared" si="26"/>
        <v>0</v>
      </c>
      <c r="AK32" s="11">
        <f>+COUNTIFS('muddati otgan'!C:C,A32,'muddati otgan'!J:J,"Kelishish (Boshqarma)")</f>
        <v>0</v>
      </c>
      <c r="AL32" s="11">
        <f t="shared" si="27"/>
        <v>0</v>
      </c>
      <c r="AM32" s="11">
        <f>+COUNTIFS('muddati otgan'!C:C,A32,'muddati otgan'!J:J,"Kelishish (DKP)")</f>
        <v>0</v>
      </c>
      <c r="AN32" s="11">
        <f>+COUNTIFS('muddati otgan'!C:C,A32,'muddati otgan'!J:J,"Kelishish")</f>
        <v>0</v>
      </c>
      <c r="AO32" s="11">
        <f>+COUNTIFS('muddati otgan'!C:C,A32,'muddati otgan'!J:J,"Kelishish (Registratsiya DKP)")</f>
        <v>0</v>
      </c>
      <c r="AP32" s="11">
        <f t="shared" si="28"/>
        <v>0</v>
      </c>
      <c r="AQ32" s="11">
        <f>+COUNTIFS('muddati otgan'!C:C,A32,'muddati otgan'!J:J,"Manzil biriktirish")</f>
        <v>0</v>
      </c>
      <c r="AR32" s="11">
        <f>+COUNTIFS('muddati otgan'!C:C,A32,'muddati otgan'!J:J,"Bino va inshootlarni yaratish")</f>
        <v>0</v>
      </c>
      <c r="AS32" s="11">
        <f>+COUNTIFS('muddati otgan'!C:C,A32,'muddati otgan'!J:J,"Dov daraxtlarni yaratish")</f>
        <v>0</v>
      </c>
      <c r="AT32" s="11">
        <f>+COUNTIFS('muddati otgan'!C:C,A32,'muddati otgan'!J:J,"Yer uchastkasini tahrirlash")</f>
        <v>0</v>
      </c>
      <c r="AU32" s="11">
        <f t="shared" si="29"/>
        <v>0</v>
      </c>
      <c r="AV32" s="11">
        <f>+COUNTIFS('muddati otgan'!C:C,A32,'muddati otgan'!J:J,"Yer toifasi va maqsadini kiritish")</f>
        <v>0</v>
      </c>
      <c r="AW32" s="11">
        <f>+COUNTIFS('muddati otgan'!C:C,A32,'muddati otgan'!J:J,"Auksion yer tekshirish")</f>
        <v>0</v>
      </c>
      <c r="AX32" s="11">
        <f>+COUNTIFS('muddati otgan'!C:C,A32,'muddati otgan'!J:J,"Yer turlarini kiritish")</f>
        <v>0</v>
      </c>
      <c r="AY32" s="11">
        <f>+COUNTIFS('muddati otgan'!C:C,A32,'muddati otgan'!J:J,"Ma'lumotlarni kiritish")</f>
        <v>0</v>
      </c>
      <c r="AZ32" s="11">
        <f>+COUNTIFS('muddati otgan'!C:C,A32,'muddati otgan'!J:J,"Yer tekshirish")</f>
        <v>0</v>
      </c>
      <c r="BA32" s="11">
        <f t="shared" si="30"/>
        <v>0</v>
      </c>
      <c r="BB32" s="11">
        <f>+COUNTIFS('muddati otgan'!C:C,A32,'muddati otgan'!J:J,"Bino va inshoot ma'lumotlarini to‘ldirish")</f>
        <v>0</v>
      </c>
      <c r="BC32" s="11">
        <f>+COUNTIFS('muddati otgan'!C:C,A32,'muddati otgan'!J:J,"Inventarizatsiya ma'lumotlarini to‘ldirish")</f>
        <v>0</v>
      </c>
      <c r="BD32" s="11">
        <f>+COUNTIFS('muddati otgan'!C:C,A32,'muddati otgan'!J:J,"Yer uchastkasiga huquqiy hujjatlarni kiritsh")</f>
        <v>0</v>
      </c>
      <c r="BE32" s="11">
        <f>+COUNTIFS('muddati otgan'!C:C,A32,'muddati otgan'!J:J,"Bino-inshootlarga huquqiy hujjatlarni kiritsh")</f>
        <v>0</v>
      </c>
      <c r="BF32" s="11">
        <f>+COUNTIFS('muddati otgan'!C:C,A32,'muddati otgan'!J:J,"Kadastr qiymatini hisoblash va kiritish")</f>
        <v>0</v>
      </c>
      <c r="BG32" s="11">
        <f>+COUNTIFS('muddati otgan'!C:C,A32,'muddati otgan'!J:J,"Kadastr raqam biriktirish")</f>
        <v>0</v>
      </c>
      <c r="BH32" s="11">
        <f>+COUNTIFS('muddati otgan'!C:C,A32,'muddati otgan'!J:J,"Kadastr yig'ma jildni tayyorlash")</f>
        <v>0</v>
      </c>
      <c r="BI32" s="11">
        <f>+COUNTIFS('muddati otgan'!C:C,A32,'muddati otgan'!J:J,"Huquqni yaratish")</f>
        <v>0</v>
      </c>
      <c r="BJ32" s="11">
        <f>+COUNTIFS('muddati otgan'!C:C,A32,'muddati otgan'!J:J,"Hujjatlarni o'rganish")</f>
        <v>0</v>
      </c>
      <c r="BK32" s="11">
        <f>+COUNTIFS('muddati otgan'!C:C,A32,'muddati otgan'!J:J,"Ma'lumotlarni tekshirish")</f>
        <v>0</v>
      </c>
      <c r="BL32" s="11">
        <f t="shared" si="31"/>
        <v>0</v>
      </c>
      <c r="BM32" s="11">
        <f>+COUNTIFS('muddati otgan'!C:C,A32,'muddati otgan'!J:J,"Tekshirish")</f>
        <v>0</v>
      </c>
      <c r="BN32" s="11">
        <f>+COUNTIFS('muddati otgan'!C:C,A32,'muddati otgan'!J:J,"Hujjatlarni tekshirish")</f>
        <v>0</v>
      </c>
      <c r="BO32" s="11">
        <f>+COUNTIFS('muddati otgan'!C:C,A32,'muddati otgan'!J:J,"Tasdiqlash")</f>
        <v>0</v>
      </c>
      <c r="BP32" s="11">
        <f>+COUNTIFS('muddati otgan'!C:C,A32,'muddati otgan'!J:J,"tekshirish/tasdiqlash")</f>
        <v>0</v>
      </c>
      <c r="BQ32" s="11">
        <f>+COUNTIFS('muddati otgan'!C:C,A32,'muddati otgan'!J:J,"Ma'lumotlarni tasdiqlash")</f>
        <v>0</v>
      </c>
      <c r="BR32" s="11">
        <f t="shared" si="32"/>
        <v>0</v>
      </c>
      <c r="BS32" s="11">
        <f>+COUNTIFS('muddati otgan'!C:C,A32,'muddati otgan'!J:J,"Ro'yxatdan o'tkazish ma'lumotlarini tekshirish")</f>
        <v>0</v>
      </c>
      <c r="BT32" s="11">
        <f>+COUNTIFS('muddati otgan'!C:C,A32,'muddati otgan'!J:J,"Kamchiliklar bo'yicha habarnoma yuborish va 3 kunga to'xtatish")</f>
        <v>0</v>
      </c>
      <c r="BU32" s="11">
        <f>+COUNTIFS('muddati otgan'!C:C,A32,'muddati otgan'!J:J,"Hisobga olish")</f>
        <v>0</v>
      </c>
      <c r="BV32" s="11">
        <f>+COUNTIFS('muddati otgan'!C:C,A32,'muddati otgan'!J:J,"Yer uchastkasiga huquq yaratish")</f>
        <v>0</v>
      </c>
      <c r="BW32" s="11">
        <f>+COUNTIFS('muddati otgan'!C:C,A32,'muddati otgan'!J:J,"Bino-inshootga huquq yaratish")</f>
        <v>0</v>
      </c>
      <c r="BX32" s="11">
        <f>+COUNTIFS('muddati otgan'!C:C,A32,'muddati otgan'!J:J,"Cheklov yaratish")</f>
        <v>0</v>
      </c>
      <c r="BY32" s="11">
        <f>+COUNTIFS('muddati otgan'!C:C,A32,'muddati otgan'!J:J,"Taqiq yaratish")</f>
        <v>0</v>
      </c>
      <c r="BZ32" s="11">
        <f t="shared" si="33"/>
        <v>0</v>
      </c>
      <c r="CA32" s="11">
        <f>+COUNTIFS('muddati otgan'!C:C,A32,'muddati otgan'!J:J,"Soliq maydonini tekshirish")</f>
        <v>0</v>
      </c>
      <c r="CB32" s="11">
        <f t="shared" si="34"/>
        <v>0</v>
      </c>
      <c r="CC32" s="11">
        <f>+COUNTIFS('muddati otgan'!C:C,A32,'muddati otgan'!J:J,"Kadastr yig'majildini shakllantirish")</f>
        <v>0</v>
      </c>
      <c r="CD32" s="11">
        <f t="shared" si="35"/>
        <v>1</v>
      </c>
      <c r="CE32" s="11">
        <f>+COUNTIFS('muddati otgan'!C:C,A32,'muddati otgan'!J:J,"Kadastr passportini shakllantirish")</f>
        <v>1</v>
      </c>
      <c r="CF32" s="11">
        <f>+COUNTIFS('muddati otgan'!C:C,A32,'muddati otgan'!J:J,"Yig'ma jildni tasdiqlash")</f>
        <v>0</v>
      </c>
      <c r="CG32" s="11">
        <f>+COUNTIFS('muddati otgan'!C:C,A32,'muddati otgan'!J:J,"To'lov yoki bepul tasdiqlash")</f>
        <v>0</v>
      </c>
      <c r="CH32" s="11">
        <f>+COUNTIFS('muddati otgan'!C:C,A32,'muddati otgan'!J:J,"Bog'liq arizani kutish")</f>
        <v>0</v>
      </c>
      <c r="CI32" s="11">
        <f>+COUNTIFS('muddati otgan'!C:C,A32,'muddati otgan'!J:J,"To'lovga chiqarish")</f>
        <v>0</v>
      </c>
      <c r="CJ32" s="11">
        <f>+COUNTIFS('muddati otgan'!C:C,A32,'muddati otgan'!J:J,"Hisobga qo'yish")</f>
        <v>0</v>
      </c>
      <c r="CK32" s="6">
        <f>+COUNTIFS('muddati otgan'!C:C,A32,'muddati otgan'!J:J,"To'lov kutilmoqda")</f>
        <v>0</v>
      </c>
      <c r="CL32" s="11">
        <f t="shared" si="36"/>
        <v>0</v>
      </c>
      <c r="CM32" s="11">
        <f>+COUNTIFS('muddati otgan'!C:C,A32,'muddati otgan'!AA:AA,"Arizani qabul qilish2")</f>
        <v>0</v>
      </c>
      <c r="CN32" s="11">
        <f>+COUNTIFS('muddati otgan'!C:C,A32,'muddati otgan'!J:J,"Huquqlarni tekshirish")</f>
        <v>0</v>
      </c>
      <c r="CO32" s="11">
        <f>+COUNTIFS('muddati otgan'!C:C,A32,'muddati otgan'!J:J,"Ko'chmas mulkni ro'yhatdan o'tkazishga qabul qilish")</f>
        <v>0</v>
      </c>
      <c r="CP32" s="11">
        <f>+COUNTIFS('muddati otgan'!C:C,A32,'muddati otgan'!J:J,"Ro'yxatdan o'tkazish")</f>
        <v>0</v>
      </c>
      <c r="CQ32" s="11">
        <f>+COUNTIFS('muddati otgan'!C:C,A32,'muddati otgan'!J:J,"Kadastr pasporti va ko'chirmani yuborish")</f>
        <v>0</v>
      </c>
      <c r="CR32" s="11">
        <f>+COUNTIFS('muddati otgan'!C:C,A32,'muddati otgan'!AA:AA,"Rad qilish2")</f>
        <v>0</v>
      </c>
      <c r="CS32" s="11">
        <f>+COUNTIFS('muddati otgan'!C:C,A32,'muddati otgan'!J:J,"Ko'chirmani yuborish")</f>
        <v>0</v>
      </c>
      <c r="CT32" s="11">
        <f>+COUNTIFS('muddati otgan'!C:C,A32,'muddati otgan'!J:J,"Ma‘lumotlarni tekshirish")</f>
        <v>0</v>
      </c>
      <c r="CU32" s="11">
        <f t="shared" si="37"/>
        <v>0</v>
      </c>
      <c r="CV32" s="11">
        <f>+COUNTIFS('muddati otgan'!C:C,A32,'muddati otgan'!J:J,"Kadastr yig'majildini chop etish va arxiv ishiga tikish")</f>
        <v>0</v>
      </c>
      <c r="CW32" s="11">
        <f t="shared" si="38"/>
        <v>0</v>
      </c>
      <c r="CX32" s="11">
        <f>+COUNTIFS('muddati otgan'!C:C,A32,'muddati otgan'!J:J,"Kadastr yig‘majildini qabul qilish, arizani yakunlash")</f>
        <v>0</v>
      </c>
      <c r="CY32" s="11">
        <f>+COUNTIFS('muddati otgan'!C:C,A32,'muddati otgan'!J:J,"Next Cloudga yuklash")</f>
        <v>0</v>
      </c>
      <c r="CZ32" s="6">
        <f>+COUNTIFS('muddati otgan'!C:C,A32,'muddati otgan'!J:J,"Kelishish kutilmoqda")</f>
        <v>0</v>
      </c>
      <c r="DA32" s="6">
        <f>+COUNTIFS('muddati otgan'!C:C,A32,'muddati otgan'!J:J,"Yakunlandi")</f>
        <v>0</v>
      </c>
      <c r="DB32" s="10">
        <f>+COUNTIFS('muddati otgan'!C:C,A32,'muddati otgan'!J:J,"Rad etildi")</f>
        <v>0</v>
      </c>
      <c r="DC32" s="100">
        <f t="shared" si="5"/>
        <v>-1</v>
      </c>
      <c r="DD32" s="44">
        <f>COUNTIFS('jami 1-20 kunlik arizalar'!C:C,A:A,'jami 1-20 kunlik arizalar'!S:S,"1")</f>
        <v>0</v>
      </c>
      <c r="DE32" s="11">
        <f>COUNTIFS('jami 1-20 kunlik arizalar'!C:C,A:A,'jami 1-20 kunlik arizalar'!S:S,"2")</f>
        <v>0</v>
      </c>
      <c r="DF32" s="11">
        <f>COUNTIFS('jami 1-20 kunlik arizalar'!C:C,A:A,'jami 1-20 kunlik arizalar'!S:S,"3")</f>
        <v>1</v>
      </c>
      <c r="DG32" s="11">
        <f>COUNTIFS('jami 1-20 kunlik arizalar'!C:C,A:A,'jami 1-20 kunlik arizalar'!S:S,"4")</f>
        <v>0</v>
      </c>
      <c r="DH32" s="11">
        <f>COUNTIFS('jami 1-20 kunlik arizalar'!C:C,A:A,'jami 1-20 kunlik arizalar'!S:S,"5")</f>
        <v>1</v>
      </c>
      <c r="DI32" s="11">
        <f>SUM(COUNTIFS('jami 1-20 kunlik arizalar'!C:C,A:A, 'jami 1-20 kunlik arizalar'!S:S, {6,7,8,9,10}))</f>
        <v>2</v>
      </c>
      <c r="DJ32" s="12">
        <f>SUM(COUNTIFS('jami 1-20 kunlik arizalar'!C:C,A:A, 'jami 1-20 kunlik arizalar'!S:S, "&gt;10"))</f>
        <v>3</v>
      </c>
    </row>
    <row r="33" spans="1:115" ht="39.950000000000003" hidden="1" customHeight="1" outlineLevel="2" x14ac:dyDescent="0.25">
      <c r="A33" s="92" t="s">
        <v>573</v>
      </c>
      <c r="B33" s="74"/>
      <c r="C33" s="70" t="s">
        <v>766</v>
      </c>
      <c r="D33" s="48">
        <f>+COUNTIFS('muddati otgan'!C:C,A33,'muddati otgan'!C:C,A33)</f>
        <v>0</v>
      </c>
      <c r="E33" s="10">
        <f>SUMIFS('muddati otgan'!$V:V,'muddati otgan'!$C:C,$A:A)</f>
        <v>0</v>
      </c>
      <c r="F33" s="10">
        <f>SUMIFS('muddati otgan'!$W:W,'muddati otgan'!$C:C,$A:A)</f>
        <v>0</v>
      </c>
      <c r="G33" s="24">
        <f>SUMIFS('muddati otgan'!$U:U,'muddati otgan'!$C:C,$A:A)</f>
        <v>0</v>
      </c>
      <c r="H33" s="11">
        <f>SUMIFS('muddati otgan'!$G:G,'muddati otgan'!$C:C,$A:A)</f>
        <v>0</v>
      </c>
      <c r="I33" s="12">
        <f>SUMIFS('muddati otgan'!$H:H,'muddati otgan'!$C:C,$A:A)</f>
        <v>0</v>
      </c>
      <c r="J33" s="44">
        <f t="shared" si="23"/>
        <v>0</v>
      </c>
      <c r="K33" s="11">
        <f>+COUNTIFS('muddati otgan'!C:C,A33,'muddati otgan'!AA:AA,"Arizani qabul qilish")</f>
        <v>0</v>
      </c>
      <c r="L33" s="11">
        <f>+COUNTIFS('muddati otgan'!C:C,A33,'muddati otgan'!J:J,"Arizani rad etish")</f>
        <v>0</v>
      </c>
      <c r="M33" s="11">
        <f>+COUNTIFS('muddati otgan'!C:C,A33,'muddati otgan'!J:J,"Arizani tasdiqlash")</f>
        <v>0</v>
      </c>
      <c r="N33" s="11">
        <f>+COUNTIFS('muddati otgan'!C:C,A33,'muddati otgan'!J:J,"Arizani yo'naltirish")</f>
        <v>0</v>
      </c>
      <c r="O33" s="11">
        <f>+COUNTIFS('muddati otgan'!C:C,A33,'muddati otgan'!J:J,"Rad qilish sababini o'rganish")</f>
        <v>0</v>
      </c>
      <c r="P33" s="11">
        <f>+COUNTIFS('muddati otgan'!C:C,A33,'muddati otgan'!J:J,"Ko'chmas mulkni UZKAD ga migratsiya qilish")</f>
        <v>0</v>
      </c>
      <c r="Q33" s="11">
        <f>+COUNTIFS('muddati otgan'!C:C,A33,'muddati otgan'!J:J,"Migratisya qilingan obyekt holatini tekshirish")</f>
        <v>0</v>
      </c>
      <c r="R33" s="11">
        <f>+COUNTIFS('muddati otgan'!C:C,A33,'muddati otgan'!J:J,"Ko‘chmas mulkni tanlash")</f>
        <v>0</v>
      </c>
      <c r="S33" s="11">
        <f>+COUNTIFS('muddati otgan'!C:C,A33,'muddati otgan'!J:J,"Arizani ko'rib chiqish")</f>
        <v>0</v>
      </c>
      <c r="T33" s="11">
        <f>+COUNTIFS('muddati otgan'!C:C,A33,'muddati otgan'!J:J,"Kadastr muhandisini tanlash")</f>
        <v>0</v>
      </c>
      <c r="U33" s="11">
        <f>+COUNTIFS('muddati otgan'!C:C,A33,'muddati otgan'!J:J,"Ko'chmas mulk turini tanlahsh")</f>
        <v>0</v>
      </c>
      <c r="V33" s="11">
        <f>+COUNTIFS('muddati otgan'!C:C,A33,'muddati otgan'!AA:AA,"Rad qilish")</f>
        <v>0</v>
      </c>
      <c r="W33" s="11">
        <f>+COUNTIFS('muddati otgan'!C:C,A33,'muddati otgan'!J:J,"ijrochi tanlash")</f>
        <v>0</v>
      </c>
      <c r="X33" s="11">
        <f>+COUNTIFS('muddati otgan'!C:C,A33,'muddati otgan'!J:J,"Ko'chmas mulk turini tanlash")</f>
        <v>0</v>
      </c>
      <c r="Y33" s="11">
        <f t="shared" si="24"/>
        <v>0</v>
      </c>
      <c r="Z33" s="11">
        <f>+COUNTIFS('muddati otgan'!C:C,A33,'muddati otgan'!J:J,"Ijroga qabul qilish")</f>
        <v>0</v>
      </c>
      <c r="AA33" s="11">
        <f>+COUNTIFS('muddati otgan'!C:C,A33,'muddati otgan'!J:J,"Joyida o'rganish va ma'lumotlarni kiritish")</f>
        <v>0</v>
      </c>
      <c r="AB33" s="11">
        <f>+COUNTIFS('muddati otgan'!C:C,A33,'muddati otgan'!J:J,"Asosiy qismdan ajratish jarayonida")</f>
        <v>0</v>
      </c>
      <c r="AC33" s="11">
        <f>+COUNTIFS('muddati otgan'!C:C,A33,'muddati otgan'!J:J,"Umumiy foydalanishdagi obyekt yaratilish")</f>
        <v>0</v>
      </c>
      <c r="AD33" s="11">
        <f>+COUNTIFS('muddati otgan'!C:C,A33,'muddati otgan'!J:J,"Migratsiya qilinadigan kadastr raqamini kiritish")</f>
        <v>0</v>
      </c>
      <c r="AE33" s="11">
        <f>+COUNTIFS('muddati otgan'!C:C,A33,'muddati otgan'!J:J,"O'zida qolgan obyektni yaratish")</f>
        <v>0</v>
      </c>
      <c r="AF33" s="11">
        <f>+COUNTIFS('muddati otgan'!C:C,A33,'muddati otgan'!J:J,"O'lchov natijalarini kiritish")</f>
        <v>0</v>
      </c>
      <c r="AG33" s="11">
        <f>+COUNTIFS('muddati otgan'!C:C,A33,'muddati otgan'!J:J,"Topoxaritani tayyorlash (dwg, pdf)")</f>
        <v>0</v>
      </c>
      <c r="AH33" s="11">
        <f t="shared" si="25"/>
        <v>0</v>
      </c>
      <c r="AI33" s="11">
        <f>+COUNTIFS('muddati otgan'!C:C,A33,'muddati otgan'!J:J,"Yer uchastkasini yaratish")</f>
        <v>0</v>
      </c>
      <c r="AJ33" s="11">
        <f t="shared" si="26"/>
        <v>0</v>
      </c>
      <c r="AK33" s="11">
        <f>+COUNTIFS('muddati otgan'!C:C,A33,'muddati otgan'!J:J,"Kelishish (Boshqarma)")</f>
        <v>0</v>
      </c>
      <c r="AL33" s="11">
        <f t="shared" si="27"/>
        <v>0</v>
      </c>
      <c r="AM33" s="11">
        <f>+COUNTIFS('muddati otgan'!C:C,A33,'muddati otgan'!J:J,"Kelishish (DKP)")</f>
        <v>0</v>
      </c>
      <c r="AN33" s="11">
        <f>+COUNTIFS('muddati otgan'!C:C,A33,'muddati otgan'!J:J,"Kelishish")</f>
        <v>0</v>
      </c>
      <c r="AO33" s="11">
        <f>+COUNTIFS('muddati otgan'!C:C,A33,'muddati otgan'!J:J,"Kelishish (Registratsiya DKP)")</f>
        <v>0</v>
      </c>
      <c r="AP33" s="11">
        <f t="shared" si="28"/>
        <v>0</v>
      </c>
      <c r="AQ33" s="11">
        <f>+COUNTIFS('muddati otgan'!C:C,A33,'muddati otgan'!J:J,"Manzil biriktirish")</f>
        <v>0</v>
      </c>
      <c r="AR33" s="11">
        <f>+COUNTIFS('muddati otgan'!C:C,A33,'muddati otgan'!J:J,"Bino va inshootlarni yaratish")</f>
        <v>0</v>
      </c>
      <c r="AS33" s="11">
        <f>+COUNTIFS('muddati otgan'!C:C,A33,'muddati otgan'!J:J,"Dov daraxtlarni yaratish")</f>
        <v>0</v>
      </c>
      <c r="AT33" s="11">
        <f>+COUNTIFS('muddati otgan'!C:C,A33,'muddati otgan'!J:J,"Yer uchastkasini tahrirlash")</f>
        <v>0</v>
      </c>
      <c r="AU33" s="11">
        <f t="shared" si="29"/>
        <v>0</v>
      </c>
      <c r="AV33" s="11">
        <f>+COUNTIFS('muddati otgan'!C:C,A33,'muddati otgan'!J:J,"Yer toifasi va maqsadini kiritish")</f>
        <v>0</v>
      </c>
      <c r="AW33" s="11">
        <f>+COUNTIFS('muddati otgan'!C:C,A33,'muddati otgan'!J:J,"Auksion yer tekshirish")</f>
        <v>0</v>
      </c>
      <c r="AX33" s="11">
        <f>+COUNTIFS('muddati otgan'!C:C,A33,'muddati otgan'!J:J,"Yer turlarini kiritish")</f>
        <v>0</v>
      </c>
      <c r="AY33" s="11">
        <f>+COUNTIFS('muddati otgan'!C:C,A33,'muddati otgan'!J:J,"Ma'lumotlarni kiritish")</f>
        <v>0</v>
      </c>
      <c r="AZ33" s="11">
        <f>+COUNTIFS('muddati otgan'!C:C,A33,'muddati otgan'!J:J,"Yer tekshirish")</f>
        <v>0</v>
      </c>
      <c r="BA33" s="11">
        <f t="shared" si="30"/>
        <v>0</v>
      </c>
      <c r="BB33" s="11">
        <f>+COUNTIFS('muddati otgan'!C:C,A33,'muddati otgan'!J:J,"Bino va inshoot ma'lumotlarini to‘ldirish")</f>
        <v>0</v>
      </c>
      <c r="BC33" s="11">
        <f>+COUNTIFS('muddati otgan'!C:C,A33,'muddati otgan'!J:J,"Inventarizatsiya ma'lumotlarini to‘ldirish")</f>
        <v>0</v>
      </c>
      <c r="BD33" s="11">
        <f>+COUNTIFS('muddati otgan'!C:C,A33,'muddati otgan'!J:J,"Yer uchastkasiga huquqiy hujjatlarni kiritsh")</f>
        <v>0</v>
      </c>
      <c r="BE33" s="11">
        <f>+COUNTIFS('muddati otgan'!C:C,A33,'muddati otgan'!J:J,"Bino-inshootlarga huquqiy hujjatlarni kiritsh")</f>
        <v>0</v>
      </c>
      <c r="BF33" s="11">
        <f>+COUNTIFS('muddati otgan'!C:C,A33,'muddati otgan'!J:J,"Kadastr qiymatini hisoblash va kiritish")</f>
        <v>0</v>
      </c>
      <c r="BG33" s="11">
        <f>+COUNTIFS('muddati otgan'!C:C,A33,'muddati otgan'!J:J,"Kadastr raqam biriktirish")</f>
        <v>0</v>
      </c>
      <c r="BH33" s="11">
        <f>+COUNTIFS('muddati otgan'!C:C,A33,'muddati otgan'!J:J,"Kadastr yig'ma jildni tayyorlash")</f>
        <v>0</v>
      </c>
      <c r="BI33" s="11">
        <f>+COUNTIFS('muddati otgan'!C:C,A33,'muddati otgan'!J:J,"Huquqni yaratish")</f>
        <v>0</v>
      </c>
      <c r="BJ33" s="11">
        <f>+COUNTIFS('muddati otgan'!C:C,A33,'muddati otgan'!J:J,"Hujjatlarni o'rganish")</f>
        <v>0</v>
      </c>
      <c r="BK33" s="11">
        <f>+COUNTIFS('muddati otgan'!C:C,A33,'muddati otgan'!J:J,"Ma'lumotlarni tekshirish")</f>
        <v>0</v>
      </c>
      <c r="BL33" s="11">
        <f t="shared" si="31"/>
        <v>0</v>
      </c>
      <c r="BM33" s="11">
        <f>+COUNTIFS('muddati otgan'!C:C,A33,'muddati otgan'!J:J,"Tekshirish")</f>
        <v>0</v>
      </c>
      <c r="BN33" s="11">
        <f>+COUNTIFS('muddati otgan'!C:C,A33,'muddati otgan'!J:J,"Hujjatlarni tekshirish")</f>
        <v>0</v>
      </c>
      <c r="BO33" s="11">
        <f>+COUNTIFS('muddati otgan'!C:C,A33,'muddati otgan'!J:J,"Tasdiqlash")</f>
        <v>0</v>
      </c>
      <c r="BP33" s="11">
        <f>+COUNTIFS('muddati otgan'!C:C,A33,'muddati otgan'!J:J,"tekshirish/tasdiqlash")</f>
        <v>0</v>
      </c>
      <c r="BQ33" s="11">
        <f>+COUNTIFS('muddati otgan'!C:C,A33,'muddati otgan'!J:J,"Ma'lumotlarni tasdiqlash")</f>
        <v>0</v>
      </c>
      <c r="BR33" s="11">
        <f t="shared" si="32"/>
        <v>0</v>
      </c>
      <c r="BS33" s="11">
        <f>+COUNTIFS('muddati otgan'!C:C,A33,'muddati otgan'!J:J,"Ro'yxatdan o'tkazish ma'lumotlarini tekshirish")</f>
        <v>0</v>
      </c>
      <c r="BT33" s="11">
        <f>+COUNTIFS('muddati otgan'!C:C,A33,'muddati otgan'!J:J,"Kamchiliklar bo'yicha habarnoma yuborish va 3 kunga to'xtatish")</f>
        <v>0</v>
      </c>
      <c r="BU33" s="11">
        <f>+COUNTIFS('muddati otgan'!C:C,A33,'muddati otgan'!J:J,"Hisobga olish")</f>
        <v>0</v>
      </c>
      <c r="BV33" s="11">
        <f>+COUNTIFS('muddati otgan'!C:C,A33,'muddati otgan'!J:J,"Yer uchastkasiga huquq yaratish")</f>
        <v>0</v>
      </c>
      <c r="BW33" s="11">
        <f>+COUNTIFS('muddati otgan'!C:C,A33,'muddati otgan'!J:J,"Bino-inshootga huquq yaratish")</f>
        <v>0</v>
      </c>
      <c r="BX33" s="11">
        <f>+COUNTIFS('muddati otgan'!C:C,A33,'muddati otgan'!J:J,"Cheklov yaratish")</f>
        <v>0</v>
      </c>
      <c r="BY33" s="11">
        <f>+COUNTIFS('muddati otgan'!C:C,A33,'muddati otgan'!J:J,"Taqiq yaratish")</f>
        <v>0</v>
      </c>
      <c r="BZ33" s="11">
        <f t="shared" si="33"/>
        <v>0</v>
      </c>
      <c r="CA33" s="11">
        <f>+COUNTIFS('muddati otgan'!C:C,A33,'muddati otgan'!J:J,"Soliq maydonini tekshirish")</f>
        <v>0</v>
      </c>
      <c r="CB33" s="11">
        <f t="shared" si="34"/>
        <v>0</v>
      </c>
      <c r="CC33" s="11">
        <f>+COUNTIFS('muddati otgan'!C:C,A33,'muddati otgan'!J:J,"Kadastr yig'majildini shakllantirish")</f>
        <v>0</v>
      </c>
      <c r="CD33" s="11">
        <f t="shared" si="35"/>
        <v>0</v>
      </c>
      <c r="CE33" s="11">
        <f>+COUNTIFS('muddati otgan'!C:C,A33,'muddati otgan'!J:J,"Kadastr passportini shakllantirish")</f>
        <v>0</v>
      </c>
      <c r="CF33" s="11">
        <f>+COUNTIFS('muddati otgan'!C:C,A33,'muddati otgan'!J:J,"Yig'ma jildni tasdiqlash")</f>
        <v>0</v>
      </c>
      <c r="CG33" s="11">
        <f>+COUNTIFS('muddati otgan'!C:C,A33,'muddati otgan'!J:J,"To'lov yoki bepul tasdiqlash")</f>
        <v>0</v>
      </c>
      <c r="CH33" s="11">
        <f>+COUNTIFS('muddati otgan'!C:C,A33,'muddati otgan'!J:J,"Bog'liq arizani kutish")</f>
        <v>0</v>
      </c>
      <c r="CI33" s="11">
        <f>+COUNTIFS('muddati otgan'!C:C,A33,'muddati otgan'!J:J,"To'lovga chiqarish")</f>
        <v>0</v>
      </c>
      <c r="CJ33" s="11">
        <f>+COUNTIFS('muddati otgan'!C:C,A33,'muddati otgan'!J:J,"Hisobga qo'yish")</f>
        <v>0</v>
      </c>
      <c r="CK33" s="6">
        <f>+COUNTIFS('muddati otgan'!C:C,A33,'muddati otgan'!J:J,"To'lov kutilmoqda")</f>
        <v>0</v>
      </c>
      <c r="CL33" s="11">
        <f t="shared" si="36"/>
        <v>0</v>
      </c>
      <c r="CM33" s="11">
        <f>+COUNTIFS('muddati otgan'!C:C,A33,'muddati otgan'!AA:AA,"Arizani qabul qilish2")</f>
        <v>0</v>
      </c>
      <c r="CN33" s="11">
        <f>+COUNTIFS('muddati otgan'!C:C,A33,'muddati otgan'!J:J,"Huquqlarni tekshirish")</f>
        <v>0</v>
      </c>
      <c r="CO33" s="11">
        <f>+COUNTIFS('muddati otgan'!C:C,A33,'muddati otgan'!J:J,"Ko'chmas mulkni ro'yhatdan o'tkazishga qabul qilish")</f>
        <v>0</v>
      </c>
      <c r="CP33" s="11">
        <f>+COUNTIFS('muddati otgan'!C:C,A33,'muddati otgan'!J:J,"Ro'yxatdan o'tkazish")</f>
        <v>0</v>
      </c>
      <c r="CQ33" s="11">
        <f>+COUNTIFS('muddati otgan'!C:C,A33,'muddati otgan'!J:J,"Kadastr pasporti va ko'chirmani yuborish")</f>
        <v>0</v>
      </c>
      <c r="CR33" s="11">
        <f>+COUNTIFS('muddati otgan'!C:C,A33,'muddati otgan'!AA:AA,"Rad qilish2")</f>
        <v>0</v>
      </c>
      <c r="CS33" s="11">
        <f>+COUNTIFS('muddati otgan'!C:C,A33,'muddati otgan'!J:J,"Ko'chirmani yuborish")</f>
        <v>0</v>
      </c>
      <c r="CT33" s="11">
        <f>+COUNTIFS('muddati otgan'!C:C,A33,'muddati otgan'!J:J,"Ma‘lumotlarni tekshirish")</f>
        <v>0</v>
      </c>
      <c r="CU33" s="11">
        <f t="shared" si="37"/>
        <v>0</v>
      </c>
      <c r="CV33" s="11">
        <f>+COUNTIFS('muddati otgan'!C:C,A33,'muddati otgan'!J:J,"Kadastr yig'majildini chop etish va arxiv ishiga tikish")</f>
        <v>0</v>
      </c>
      <c r="CW33" s="11">
        <f t="shared" si="38"/>
        <v>0</v>
      </c>
      <c r="CX33" s="11">
        <f>+COUNTIFS('muddati otgan'!C:C,A33,'muddati otgan'!J:J,"Kadastr yig‘majildini qabul qilish, arizani yakunlash")</f>
        <v>0</v>
      </c>
      <c r="CY33" s="11">
        <f>+COUNTIFS('muddati otgan'!C:C,A33,'muddati otgan'!J:J,"Next Cloudga yuklash")</f>
        <v>0</v>
      </c>
      <c r="CZ33" s="6">
        <f>+COUNTIFS('muddati otgan'!C:C,A33,'muddati otgan'!J:J,"Kelishish kutilmoqda")</f>
        <v>0</v>
      </c>
      <c r="DA33" s="6">
        <f>+COUNTIFS('muddati otgan'!C:C,A33,'muddati otgan'!J:J,"Yakunlandi")</f>
        <v>0</v>
      </c>
      <c r="DB33" s="10">
        <f>+COUNTIFS('muddati otgan'!C:C,A33,'muddati otgan'!J:J,"Rad etildi")</f>
        <v>0</v>
      </c>
      <c r="DC33" s="100">
        <f t="shared" si="5"/>
        <v>0</v>
      </c>
      <c r="DD33" s="44">
        <f>COUNTIFS('jami 1-20 kunlik arizalar'!C:C,A:A,'jami 1-20 kunlik arizalar'!S:S,"1")</f>
        <v>0</v>
      </c>
      <c r="DE33" s="11">
        <f>COUNTIFS('jami 1-20 kunlik arizalar'!C:C,A:A,'jami 1-20 kunlik arizalar'!S:S,"2")</f>
        <v>0</v>
      </c>
      <c r="DF33" s="11">
        <f>COUNTIFS('jami 1-20 kunlik arizalar'!C:C,A:A,'jami 1-20 kunlik arizalar'!S:S,"3")</f>
        <v>1</v>
      </c>
      <c r="DG33" s="11">
        <f>COUNTIFS('jami 1-20 kunlik arizalar'!C:C,A:A,'jami 1-20 kunlik arizalar'!S:S,"4")</f>
        <v>0</v>
      </c>
      <c r="DH33" s="11">
        <f>COUNTIFS('jami 1-20 kunlik arizalar'!C:C,A:A,'jami 1-20 kunlik arizalar'!S:S,"5")</f>
        <v>3</v>
      </c>
      <c r="DI33" s="11">
        <f>SUM(COUNTIFS('jami 1-20 kunlik arizalar'!C:C,A:A, 'jami 1-20 kunlik arizalar'!S:S, {6,7,8,9,10}))</f>
        <v>1</v>
      </c>
      <c r="DJ33" s="12">
        <f>SUM(COUNTIFS('jami 1-20 kunlik arizalar'!C:C,A:A, 'jami 1-20 kunlik arizalar'!S:S, "&gt;10"))</f>
        <v>0</v>
      </c>
    </row>
    <row r="34" spans="1:115" ht="71.25" hidden="1" customHeight="1" outlineLevel="2" thickBot="1" x14ac:dyDescent="0.3">
      <c r="A34" s="92"/>
      <c r="B34" s="83"/>
      <c r="C34" s="84" t="s">
        <v>930</v>
      </c>
      <c r="D34" s="49">
        <f>+D21-(SUM(D22:D33))</f>
        <v>1</v>
      </c>
      <c r="E34" s="21"/>
      <c r="F34" s="21"/>
      <c r="G34" s="21"/>
      <c r="H34" s="41"/>
      <c r="I34" s="42"/>
      <c r="J34" s="45"/>
      <c r="K34" s="22"/>
      <c r="L34" s="22"/>
      <c r="M34" s="22"/>
      <c r="N34" s="22"/>
      <c r="O34" s="22"/>
      <c r="P34" s="22"/>
      <c r="Q34" s="22"/>
      <c r="R34" s="22"/>
      <c r="S34" s="22"/>
      <c r="T34" s="22"/>
      <c r="U34" s="22"/>
      <c r="V34" s="22"/>
      <c r="W34" s="22"/>
      <c r="X34" s="22"/>
      <c r="Y34" s="41"/>
      <c r="Z34" s="22"/>
      <c r="AA34" s="22"/>
      <c r="AB34" s="22"/>
      <c r="AC34" s="22"/>
      <c r="AD34" s="22"/>
      <c r="AE34" s="22"/>
      <c r="AF34" s="22"/>
      <c r="AG34" s="41"/>
      <c r="AH34" s="41"/>
      <c r="AI34" s="22"/>
      <c r="AJ34" s="41"/>
      <c r="AK34" s="22"/>
      <c r="AL34" s="41"/>
      <c r="AM34" s="22"/>
      <c r="AN34" s="22"/>
      <c r="AO34" s="22"/>
      <c r="AP34" s="41"/>
      <c r="AQ34" s="22"/>
      <c r="AR34" s="22"/>
      <c r="AS34" s="22"/>
      <c r="AT34" s="22"/>
      <c r="AU34" s="41"/>
      <c r="AV34" s="22"/>
      <c r="AW34" s="22"/>
      <c r="AX34" s="22"/>
      <c r="AY34" s="22"/>
      <c r="AZ34" s="22"/>
      <c r="BA34" s="41"/>
      <c r="BB34" s="22"/>
      <c r="BC34" s="22"/>
      <c r="BD34" s="22"/>
      <c r="BE34" s="22"/>
      <c r="BF34" s="22"/>
      <c r="BG34" s="22"/>
      <c r="BH34" s="22"/>
      <c r="BI34" s="22"/>
      <c r="BJ34" s="22"/>
      <c r="BK34" s="22"/>
      <c r="BL34" s="41"/>
      <c r="BM34" s="22"/>
      <c r="BN34" s="22"/>
      <c r="BO34" s="22"/>
      <c r="BP34" s="22"/>
      <c r="BQ34" s="22"/>
      <c r="BR34" s="41"/>
      <c r="BS34" s="22"/>
      <c r="BT34" s="22"/>
      <c r="BU34" s="22"/>
      <c r="BV34" s="22"/>
      <c r="BW34" s="22"/>
      <c r="BX34" s="22"/>
      <c r="BY34" s="22"/>
      <c r="BZ34" s="41"/>
      <c r="CA34" s="22"/>
      <c r="CB34" s="41"/>
      <c r="CC34" s="22"/>
      <c r="CD34" s="41"/>
      <c r="CE34" s="22"/>
      <c r="CF34" s="22"/>
      <c r="CG34" s="22"/>
      <c r="CH34" s="22"/>
      <c r="CI34" s="22"/>
      <c r="CJ34" s="22"/>
      <c r="CK34" s="68"/>
      <c r="CL34" s="41"/>
      <c r="CM34" s="22"/>
      <c r="CN34" s="22"/>
      <c r="CO34" s="22"/>
      <c r="CP34" s="22"/>
      <c r="CQ34" s="22"/>
      <c r="CR34" s="22"/>
      <c r="CS34" s="22"/>
      <c r="CT34" s="22"/>
      <c r="CU34" s="41"/>
      <c r="CV34" s="22"/>
      <c r="CW34" s="41"/>
      <c r="CX34" s="22"/>
      <c r="CY34" s="22"/>
      <c r="CZ34" s="68"/>
      <c r="DA34" s="68"/>
      <c r="DB34" s="21"/>
      <c r="DC34" s="101"/>
      <c r="DD34" s="45">
        <f t="shared" ref="DD34:DJ34" si="39">+DD21-(SUM(DD22:DD33))</f>
        <v>0</v>
      </c>
      <c r="DE34" s="41">
        <f t="shared" si="39"/>
        <v>0</v>
      </c>
      <c r="DF34" s="41">
        <f t="shared" si="39"/>
        <v>0</v>
      </c>
      <c r="DG34" s="41">
        <f t="shared" si="39"/>
        <v>0</v>
      </c>
      <c r="DH34" s="41">
        <f t="shared" si="39"/>
        <v>8</v>
      </c>
      <c r="DI34" s="41">
        <f t="shared" si="39"/>
        <v>12</v>
      </c>
      <c r="DJ34" s="42">
        <f t="shared" si="39"/>
        <v>65</v>
      </c>
    </row>
    <row r="35" spans="1:115" s="29" customFormat="1" ht="57.75" customHeight="1" collapsed="1" thickTop="1" thickBot="1" x14ac:dyDescent="0.3">
      <c r="A35" s="91" t="s">
        <v>74</v>
      </c>
      <c r="B35" s="108">
        <v>3</v>
      </c>
      <c r="C35" s="69" t="s">
        <v>63</v>
      </c>
      <c r="D35" s="79">
        <f>+COUNTIFS('muddati otgan'!B:B,A35,'muddati otgan'!B:B,A35)</f>
        <v>13</v>
      </c>
      <c r="E35" s="37">
        <f>SUMIFS('muddati otgan'!$V:V,'muddati otgan'!$B:B,$A:A)</f>
        <v>0</v>
      </c>
      <c r="F35" s="37">
        <f>SUMIFS('muddati otgan'!$W:W,'muddati otgan'!$B:B,$A:A)</f>
        <v>0</v>
      </c>
      <c r="G35" s="38">
        <f>SUMIFS('muddati otgan'!$U:U,'muddati otgan'!$B:B,$A:A)</f>
        <v>13</v>
      </c>
      <c r="H35" s="39">
        <f>SUMIFS('muddati otgan'!$G:G,'muddati otgan'!$B:B,$A:A)</f>
        <v>13</v>
      </c>
      <c r="I35" s="40">
        <f>SUMIFS('muddati otgan'!$H:H,'muddati otgan'!$B:B,$A:A)</f>
        <v>0</v>
      </c>
      <c r="J35" s="39">
        <f t="shared" si="23"/>
        <v>1</v>
      </c>
      <c r="K35" s="39">
        <f>+COUNTIFS('muddati otgan'!B:B,A35,'muddati otgan'!AA:AA,"Arizani qabul qilish")</f>
        <v>0</v>
      </c>
      <c r="L35" s="39">
        <f>+COUNTIFS('muddati otgan'!B:B,A35,'muddati otgan'!J:J,"Arizani rad etish")</f>
        <v>0</v>
      </c>
      <c r="M35" s="39">
        <f>+COUNTIFS('muddati otgan'!B:B,A35,'muddati otgan'!J:J,"Arizani tasdiqlash")</f>
        <v>0</v>
      </c>
      <c r="N35" s="39">
        <f>+COUNTIFS('muddati otgan'!B:B,A35,'muddati otgan'!J:J,"Arizani yo'naltirish")</f>
        <v>0</v>
      </c>
      <c r="O35" s="39">
        <f>+COUNTIFS('muddati otgan'!B:B,A35,'muddati otgan'!J:J,"Rad qilish sababini o'rganish")</f>
        <v>1</v>
      </c>
      <c r="P35" s="39">
        <f>+COUNTIFS('muddati otgan'!B:B,A35,'muddati otgan'!J:J,"Ko'chmas mulkni UZKAD ga migratsiya qilish")</f>
        <v>0</v>
      </c>
      <c r="Q35" s="39">
        <f>+COUNTIFS('muddati otgan'!B:B,A35,'muddati otgan'!J:J,"Migratisya qilingan obyekt holatini tekshirish")</f>
        <v>0</v>
      </c>
      <c r="R35" s="39">
        <f>+COUNTIFS('muddati otgan'!B:B,A35,'muddati otgan'!J:J,"Ko‘chmas mulkni tanlash")</f>
        <v>0</v>
      </c>
      <c r="S35" s="39">
        <f>+COUNTIFS('muddati otgan'!B:B,A35,'muddati otgan'!J:J,"Arizani ko'rib chiqish")</f>
        <v>0</v>
      </c>
      <c r="T35" s="39">
        <f>+COUNTIFS('muddati otgan'!B:B,A35,'muddati otgan'!J:J,"Kadastr muhandisini tanlash")</f>
        <v>0</v>
      </c>
      <c r="U35" s="39">
        <f>+COUNTIFS('muddati otgan'!B:B,A35,'muddati otgan'!J:J,"Ko'chmas mulk turini tanlahsh")</f>
        <v>0</v>
      </c>
      <c r="V35" s="39">
        <f>+COUNTIFS('muddati otgan'!B:B,A35,'muddati otgan'!AA:AA,"Rad qilish")</f>
        <v>0</v>
      </c>
      <c r="W35" s="39">
        <f>+COUNTIFS('muddati otgan'!B:B,A35,'muddati otgan'!J:J,"ijrochi tanlash")</f>
        <v>0</v>
      </c>
      <c r="X35" s="39">
        <f>+COUNTIFS('muddati otgan'!B:B,A35,'muddati otgan'!J:J,"Ko'chmas mulk turini tanlash")</f>
        <v>0</v>
      </c>
      <c r="Y35" s="39">
        <f t="shared" si="24"/>
        <v>0</v>
      </c>
      <c r="Z35" s="39">
        <f>+COUNTIFS('muddati otgan'!B:B,A35,'muddati otgan'!J:J,"Ijroga qabul qilish")</f>
        <v>0</v>
      </c>
      <c r="AA35" s="39">
        <f>+COUNTIFS('muddati otgan'!B:B,A35,'muddati otgan'!J:J,"Joyida o'rganish va ma'lumotlarni kiritish")</f>
        <v>0</v>
      </c>
      <c r="AB35" s="39">
        <f>+COUNTIFS('muddati otgan'!B:B,A35,'muddati otgan'!J:J,"Asosiy qismdan ajratish jarayonida")</f>
        <v>0</v>
      </c>
      <c r="AC35" s="39">
        <f>+COUNTIFS('muddati otgan'!B:B,A35,'muddati otgan'!J:J,"Umumiy foydalanishdagi obyekt yaratilish")</f>
        <v>0</v>
      </c>
      <c r="AD35" s="39">
        <f>+COUNTIFS('muddati otgan'!B:B,A35,'muddati otgan'!J:J,"Migratsiya qilinadigan kadastr raqamini kiritish")</f>
        <v>0</v>
      </c>
      <c r="AE35" s="39">
        <f>+COUNTIFS('muddati otgan'!B:B,A35,'muddati otgan'!J:J,"O'zida qolgan obyektni yaratish")</f>
        <v>0</v>
      </c>
      <c r="AF35" s="39">
        <f>+COUNTIFS('muddati otgan'!B:B,A35,'muddati otgan'!J:J,"O'lchov natijalarini kiritish")</f>
        <v>0</v>
      </c>
      <c r="AG35" s="39">
        <f>+COUNTIFS('muddati otgan'!B:B,A35,'muddati otgan'!J:J,"Topoxaritani tayyorlash (dwg, pdf)")</f>
        <v>0</v>
      </c>
      <c r="AH35" s="39">
        <f t="shared" si="25"/>
        <v>1</v>
      </c>
      <c r="AI35" s="39">
        <f>+COUNTIFS('muddati otgan'!B:B,A35,'muddati otgan'!J:J,"Yer uchastkasini yaratish")</f>
        <v>1</v>
      </c>
      <c r="AJ35" s="39">
        <f t="shared" si="26"/>
        <v>0</v>
      </c>
      <c r="AK35" s="39">
        <f>+COUNTIFS('muddati otgan'!B:B,A35,'muddati otgan'!J:J,"Kelishish (Boshqarma)")</f>
        <v>0</v>
      </c>
      <c r="AL35" s="39">
        <f t="shared" si="27"/>
        <v>0</v>
      </c>
      <c r="AM35" s="39">
        <f>+COUNTIFS('muddati otgan'!B:B,A35,'muddati otgan'!J:J,"Kelishish (DKP)")</f>
        <v>0</v>
      </c>
      <c r="AN35" s="39">
        <f>+COUNTIFS('muddati otgan'!B:B,A35,'muddati otgan'!J:J,"Kelishish")</f>
        <v>0</v>
      </c>
      <c r="AO35" s="39">
        <f>+COUNTIFS('muddati otgan'!B:B,A35,'muddati otgan'!J:J,"Kelishish (Registratsiya DKP)")</f>
        <v>0</v>
      </c>
      <c r="AP35" s="39">
        <f t="shared" si="28"/>
        <v>0</v>
      </c>
      <c r="AQ35" s="39">
        <f>+COUNTIFS('muddati otgan'!B:B,A35,'muddati otgan'!J:J,"Manzil biriktirish")</f>
        <v>0</v>
      </c>
      <c r="AR35" s="39">
        <f>+COUNTIFS('muddati otgan'!B:B,A35,'muddati otgan'!J:J,"Bino va inshootlarni yaratish")</f>
        <v>0</v>
      </c>
      <c r="AS35" s="39">
        <f>+COUNTIFS('muddati otgan'!B:B,A35,'muddati otgan'!J:J,"Dov daraxtlarni yaratish")</f>
        <v>0</v>
      </c>
      <c r="AT35" s="39">
        <f>+COUNTIFS('muddati otgan'!B:B,A35,'muddati otgan'!J:J,"Yer uchastkasini tahrirlash")</f>
        <v>0</v>
      </c>
      <c r="AU35" s="39">
        <f t="shared" si="29"/>
        <v>0</v>
      </c>
      <c r="AV35" s="39">
        <f>+COUNTIFS('muddati otgan'!B:B,A35,'muddati otgan'!J:J,"Yer toifasi va maqsadini kiritish")</f>
        <v>0</v>
      </c>
      <c r="AW35" s="39">
        <f>+COUNTIFS('muddati otgan'!B:B,A35,'muddati otgan'!J:J,"Auksion yer tekshirish")</f>
        <v>0</v>
      </c>
      <c r="AX35" s="39">
        <f>+COUNTIFS('muddati otgan'!B:B,A35,'muddati otgan'!J:J,"Yer turlarini kiritish")</f>
        <v>0</v>
      </c>
      <c r="AY35" s="39">
        <f>+COUNTIFS('muddati otgan'!B:B,A35,'muddati otgan'!J:J,"Ma'lumotlarni kiritish")</f>
        <v>0</v>
      </c>
      <c r="AZ35" s="39">
        <f>+COUNTIFS('muddati otgan'!B:B,A35,'muddati otgan'!J:J,"Yer tekshirish")</f>
        <v>0</v>
      </c>
      <c r="BA35" s="39">
        <f t="shared" si="30"/>
        <v>0</v>
      </c>
      <c r="BB35" s="39">
        <f>+COUNTIFS('muddati otgan'!B:B,A35,'muddati otgan'!J:J,"Bino va inshoot ma'lumotlarini to‘ldirish")</f>
        <v>0</v>
      </c>
      <c r="BC35" s="39">
        <f>+COUNTIFS('muddati otgan'!B:B,A35,'muddati otgan'!J:J,"Inventarizatsiya ma'lumotlarini to‘ldirish")</f>
        <v>0</v>
      </c>
      <c r="BD35" s="39">
        <f>+COUNTIFS('muddati otgan'!B:B,A35,'muddati otgan'!J:J,"Yer uchastkasiga huquqiy hujjatlarni kiritsh")</f>
        <v>0</v>
      </c>
      <c r="BE35" s="39">
        <f>+COUNTIFS('muddati otgan'!B:B,A35,'muddati otgan'!J:J,"Bino-inshootlarga huquqiy hujjatlarni kiritsh")</f>
        <v>0</v>
      </c>
      <c r="BF35" s="39">
        <f>+COUNTIFS('muddati otgan'!B:B,A35,'muddati otgan'!J:J,"Kadastr qiymatini hisoblash va kiritish")</f>
        <v>0</v>
      </c>
      <c r="BG35" s="39">
        <f>+COUNTIFS('muddati otgan'!B:B,A35,'muddati otgan'!J:J,"Kadastr raqam biriktirish")</f>
        <v>0</v>
      </c>
      <c r="BH35" s="39">
        <f>+COUNTIFS('muddati otgan'!B:B,A35,'muddati otgan'!J:J,"Kadastr yig'ma jildni tayyorlash")</f>
        <v>0</v>
      </c>
      <c r="BI35" s="39">
        <f>+COUNTIFS('muddati otgan'!B:B,A35,'muddati otgan'!J:J,"Huquqni yaratish")</f>
        <v>0</v>
      </c>
      <c r="BJ35" s="39">
        <f>+COUNTIFS('muddati otgan'!B:B,A35,'muddati otgan'!J:J,"Hujjatlarni o'rganish")</f>
        <v>0</v>
      </c>
      <c r="BK35" s="39">
        <f>+COUNTIFS('muddati otgan'!B:B,A35,'muddati otgan'!J:J,"Ma'lumotlarni tekshirish")</f>
        <v>0</v>
      </c>
      <c r="BL35" s="39">
        <f t="shared" si="31"/>
        <v>0</v>
      </c>
      <c r="BM35" s="39">
        <f>+COUNTIFS('muddati otgan'!B:B,A35,'muddati otgan'!J:J,"Tekshirish")</f>
        <v>0</v>
      </c>
      <c r="BN35" s="39">
        <f>+COUNTIFS('muddati otgan'!B:B,A35,'muddati otgan'!J:J,"Hujjatlarni tekshirish")</f>
        <v>0</v>
      </c>
      <c r="BO35" s="39">
        <f>+COUNTIFS('muddati otgan'!B:B,A35,'muddati otgan'!J:J,"Tasdiqlash")</f>
        <v>0</v>
      </c>
      <c r="BP35" s="39">
        <f>+COUNTIFS('muddati otgan'!B:B,A35,'muddati otgan'!J:J,"tekshirish/tasdiqlash")</f>
        <v>0</v>
      </c>
      <c r="BQ35" s="39">
        <f>+COUNTIFS('muddati otgan'!B:B,A35,'muddati otgan'!J:J,"Ma'lumotlarni tasdiqlash")</f>
        <v>0</v>
      </c>
      <c r="BR35" s="39">
        <f t="shared" si="32"/>
        <v>1</v>
      </c>
      <c r="BS35" s="39">
        <f>+COUNTIFS('muddati otgan'!B:B,A35,'muddati otgan'!J:J,"Ro'yxatdan o'tkazish ma'lumotlarini tekshirish")</f>
        <v>1</v>
      </c>
      <c r="BT35" s="39">
        <f>+COUNTIFS('muddati otgan'!B:B,A35,'muddati otgan'!J:J,"Kamchiliklar bo'yicha habarnoma yuborish va 3 kunga to'xtatish")</f>
        <v>0</v>
      </c>
      <c r="BU35" s="39">
        <f>+COUNTIFS('muddati otgan'!B:B,A35,'muddati otgan'!J:J,"Hisobga olish")</f>
        <v>0</v>
      </c>
      <c r="BV35" s="39">
        <f>+COUNTIFS('muddati otgan'!B:B,A35,'muddati otgan'!J:J,"Yer uchastkasiga huquq yaratish")</f>
        <v>0</v>
      </c>
      <c r="BW35" s="39">
        <f>+COUNTIFS('muddati otgan'!B:B,A35,'muddati otgan'!J:J,"Bino-inshootga huquq yaratish")</f>
        <v>0</v>
      </c>
      <c r="BX35" s="39">
        <f>+COUNTIFS('muddati otgan'!B:B,A35,'muddati otgan'!J:J,"Cheklov yaratish")</f>
        <v>0</v>
      </c>
      <c r="BY35" s="39">
        <f>+COUNTIFS('muddati otgan'!B:B,A35,'muddati otgan'!J:J,"Taqiq yaratish")</f>
        <v>0</v>
      </c>
      <c r="BZ35" s="39">
        <f t="shared" si="33"/>
        <v>0</v>
      </c>
      <c r="CA35" s="39">
        <f>+COUNTIFS('muddati otgan'!B:B,A35,'muddati otgan'!J:J,"Soliq maydonini tekshirish")</f>
        <v>0</v>
      </c>
      <c r="CB35" s="39">
        <f t="shared" si="34"/>
        <v>0</v>
      </c>
      <c r="CC35" s="39">
        <f>+COUNTIFS('muddati otgan'!B:B,A35,'muddati otgan'!J:J,"Kadastr yig'majildini shakllantirish")</f>
        <v>0</v>
      </c>
      <c r="CD35" s="39">
        <f t="shared" si="35"/>
        <v>6</v>
      </c>
      <c r="CE35" s="67">
        <f>+COUNTIFS('muddati otgan'!B:B,A35,'muddati otgan'!J:J,"Kadastr passportini shakllantirish")</f>
        <v>6</v>
      </c>
      <c r="CF35" s="67">
        <f>+COUNTIFS('muddati otgan'!B:B,A35,'muddati otgan'!J:J,"Yig'ma jildni tasdiqlash")</f>
        <v>0</v>
      </c>
      <c r="CG35" s="67">
        <f>+COUNTIFS('muddati otgan'!B:B,A35,'muddati otgan'!J:J,"To'lov yoki bepul tasdiqlash")</f>
        <v>0</v>
      </c>
      <c r="CH35" s="67">
        <f>+COUNTIFS('muddati otgan'!B:B,A35,'muddati otgan'!J:J,"Bog'liq arizani kutish")</f>
        <v>0</v>
      </c>
      <c r="CI35" s="67">
        <f>+COUNTIFS('muddati otgan'!B:B,A35,'muddati otgan'!J:J,"To'lovga chiqarish")</f>
        <v>0</v>
      </c>
      <c r="CJ35" s="67">
        <f>+COUNTIFS('muddati otgan'!B:B,A35,'muddati otgan'!J:J,"Hisobga qo'yish")</f>
        <v>0</v>
      </c>
      <c r="CK35" s="67">
        <f>+COUNTIFS('muddati otgan'!B:B,A35,'muddati otgan'!J:J,"To'lov kutilmoqda")</f>
        <v>4</v>
      </c>
      <c r="CL35" s="39">
        <f t="shared" si="36"/>
        <v>0</v>
      </c>
      <c r="CM35" s="39">
        <f>+COUNTIFS('muddati otgan'!B:B,A35,'muddati otgan'!AA:AA,"Arizani qabul qilish2")</f>
        <v>0</v>
      </c>
      <c r="CN35" s="39">
        <f>+COUNTIFS('muddati otgan'!B:B,A35,'muddati otgan'!J:J,"Huquqlarni tekshirish")</f>
        <v>0</v>
      </c>
      <c r="CO35" s="39">
        <f>+COUNTIFS('muddati otgan'!B:B,A35,'muddati otgan'!J:J,"Ko'chmas mulkni ro'yhatdan o'tkazishga qabul qilish")</f>
        <v>0</v>
      </c>
      <c r="CP35" s="39">
        <f>+COUNTIFS('muddati otgan'!B:B,A35,'muddati otgan'!J:J,"Ro'yxatdan o'tkazish")</f>
        <v>0</v>
      </c>
      <c r="CQ35" s="39">
        <f>+COUNTIFS('muddati otgan'!B:B,A35,'muddati otgan'!J:J,"Kadastr pasporti va ko'chirmani yuborish")</f>
        <v>0</v>
      </c>
      <c r="CR35" s="39">
        <f>+COUNTIFS('muddati otgan'!B:B,A35,'muddati otgan'!AA:AA,"Rad qilish2")</f>
        <v>0</v>
      </c>
      <c r="CS35" s="39">
        <f>+COUNTIFS('muddati otgan'!B:B,A35,'muddati otgan'!J:J,"Ko'chirmani yuborish")</f>
        <v>0</v>
      </c>
      <c r="CT35" s="39">
        <f>+COUNTIFS('muddati otgan'!B:B,A35,'muddati otgan'!J:J,"Ma‘lumotlarni tekshirish")</f>
        <v>0</v>
      </c>
      <c r="CU35" s="39">
        <f t="shared" si="37"/>
        <v>0</v>
      </c>
      <c r="CV35" s="39">
        <f>+COUNTIFS('muddati otgan'!B:B,A35,'muddati otgan'!J:J,"Kadastr yig'majildini chop etish va arxiv ishiga tikish")</f>
        <v>0</v>
      </c>
      <c r="CW35" s="39">
        <f t="shared" si="38"/>
        <v>0</v>
      </c>
      <c r="CX35" s="67">
        <f>+COUNTIFS('muddati otgan'!B:B,A35,'muddati otgan'!J:J,"Kadastr yig‘majildini qabul qilish, arizani yakunlash")</f>
        <v>0</v>
      </c>
      <c r="CY35" s="67">
        <f>+COUNTIFS('muddati otgan'!B:B,A35,'muddati otgan'!J:J,"Next Cloudga yuklash")</f>
        <v>0</v>
      </c>
      <c r="CZ35" s="67">
        <f>+COUNTIFS('muddati otgan'!B:B,A35,'muddati otgan'!J:J,"Kelishish kutilmoqda")</f>
        <v>0</v>
      </c>
      <c r="DA35" s="67">
        <f>+COUNTIFS('muddati otgan'!B:B,A35,'muddati otgan'!J:J,"Yakunlandi")</f>
        <v>0</v>
      </c>
      <c r="DB35" s="104">
        <f>+COUNTIFS('muddati otgan'!B:B,A35,'muddati otgan'!J:J,"Rad etildi")</f>
        <v>0</v>
      </c>
      <c r="DC35" s="99">
        <f t="shared" si="5"/>
        <v>-9</v>
      </c>
      <c r="DD35" s="43">
        <f>COUNTIFS('jami 1-20 kunlik arizalar'!B:B,A:A,'jami 1-20 kunlik arizalar'!S:S,"1")</f>
        <v>0</v>
      </c>
      <c r="DE35" s="39">
        <f>COUNTIFS('jami 1-20 kunlik arizalar'!B:B,A:A,'jami 1-20 kunlik arizalar'!S:S,"2")</f>
        <v>0</v>
      </c>
      <c r="DF35" s="39">
        <f>COUNTIFS('jami 1-20 kunlik arizalar'!B:B,A:A,'jami 1-20 kunlik arizalar'!S:S,"3")</f>
        <v>18</v>
      </c>
      <c r="DG35" s="39">
        <f>COUNTIFS('jami 1-20 kunlik arizalar'!B:B,A:A,'jami 1-20 kunlik arizalar'!S:S,"4")</f>
        <v>11</v>
      </c>
      <c r="DH35" s="39">
        <f>COUNTIFS('jami 1-20 kunlik arizalar'!B:B,A:A,'jami 1-20 kunlik arizalar'!S:S,"5")</f>
        <v>21</v>
      </c>
      <c r="DI35" s="39">
        <f>SUM(COUNTIFS('jami 1-20 kunlik arizalar'!B:B,A:A, 'jami 1-20 kunlik arizalar'!S:S, {6,7,8,9,10}))</f>
        <v>65</v>
      </c>
      <c r="DJ35" s="40">
        <f>SUMPRODUCT(('jami 1-20 kunlik arizalar'!B:B=A35)*('jami 1-20 kunlik arizalar'!S:S&gt;10))</f>
        <v>72</v>
      </c>
      <c r="DK35" s="34"/>
    </row>
    <row r="36" spans="1:115" ht="35.1" hidden="1" customHeight="1" outlineLevel="1" x14ac:dyDescent="0.25">
      <c r="A36" s="92" t="s">
        <v>647</v>
      </c>
      <c r="B36" s="74"/>
      <c r="C36" s="85" t="s">
        <v>767</v>
      </c>
      <c r="D36" s="80">
        <f>+COUNTIFS('muddati otgan'!C:C,A36,'muddati otgan'!C:C,A36)</f>
        <v>0</v>
      </c>
      <c r="E36" s="10">
        <f>SUMIFS('muddati otgan'!$V:V,'muddati otgan'!$C:C,$A:A)</f>
        <v>0</v>
      </c>
      <c r="F36" s="10">
        <f>SUMIFS('muddati otgan'!$W:W,'muddati otgan'!$C:C,$A:A)</f>
        <v>0</v>
      </c>
      <c r="G36" s="24">
        <f>SUMIFS('muddati otgan'!$U:U,'muddati otgan'!$C:C,$A:A)</f>
        <v>0</v>
      </c>
      <c r="H36" s="11">
        <f>SUMIFS('muddati otgan'!$G:G,'muddati otgan'!$C:C,$A:A)</f>
        <v>0</v>
      </c>
      <c r="I36" s="12">
        <f>SUMIFS('muddati otgan'!$H:H,'muddati otgan'!$C:C,$A:A)</f>
        <v>0</v>
      </c>
      <c r="J36" s="44">
        <f t="shared" si="23"/>
        <v>0</v>
      </c>
      <c r="K36" s="11">
        <f>+COUNTIFS('muddati otgan'!C:C,A36,'muddati otgan'!AA:AA,"Arizani qabul qilish")</f>
        <v>0</v>
      </c>
      <c r="L36" s="11">
        <f>+COUNTIFS('muddati otgan'!C:C,A36,'muddati otgan'!J:J,"Arizani rad etish")</f>
        <v>0</v>
      </c>
      <c r="M36" s="11">
        <f>+COUNTIFS('muddati otgan'!C:C,A36,'muddati otgan'!J:J,"Arizani tasdiqlash")</f>
        <v>0</v>
      </c>
      <c r="N36" s="11">
        <f>+COUNTIFS('muddati otgan'!C:C,A36,'muddati otgan'!J:J,"Arizani yo'naltirish")</f>
        <v>0</v>
      </c>
      <c r="O36" s="11">
        <f>+COUNTIFS('muddati otgan'!C:C,A36,'muddati otgan'!J:J,"Rad qilish sababini o'rganish")</f>
        <v>0</v>
      </c>
      <c r="P36" s="11">
        <f>+COUNTIFS('muddati otgan'!C:C,A36,'muddati otgan'!J:J,"Ko'chmas mulkni UZKAD ga migratsiya qilish")</f>
        <v>0</v>
      </c>
      <c r="Q36" s="11">
        <f>+COUNTIFS('muddati otgan'!C:C,A36,'muddati otgan'!J:J,"Migratisya qilingan obyekt holatini tekshirish")</f>
        <v>0</v>
      </c>
      <c r="R36" s="11">
        <f>+COUNTIFS('muddati otgan'!C:C,A36,'muddati otgan'!J:J,"Ko‘chmas mulkni tanlash")</f>
        <v>0</v>
      </c>
      <c r="S36" s="11">
        <f>+COUNTIFS('muddati otgan'!C:C,A36,'muddati otgan'!J:J,"Arizani ko'rib chiqish")</f>
        <v>0</v>
      </c>
      <c r="T36" s="11">
        <f>+COUNTIFS('muddati otgan'!C:C,A36,'muddati otgan'!J:J,"Kadastr muhandisini tanlash")</f>
        <v>0</v>
      </c>
      <c r="U36" s="11">
        <f>+COUNTIFS('muddati otgan'!C:C,A36,'muddati otgan'!J:J,"Ko'chmas mulk turini tanlahsh")</f>
        <v>0</v>
      </c>
      <c r="V36" s="11">
        <f>+COUNTIFS('muddati otgan'!C:C,A36,'muddati otgan'!AA:AA,"Rad qilish")</f>
        <v>0</v>
      </c>
      <c r="W36" s="11">
        <f>+COUNTIFS('muddati otgan'!C:C,A36,'muddati otgan'!J:J,"ijrochi tanlash")</f>
        <v>0</v>
      </c>
      <c r="X36" s="11">
        <f>+COUNTIFS('muddati otgan'!C:C,A36,'muddati otgan'!J:J,"Ko'chmas mulk turini tanlash")</f>
        <v>0</v>
      </c>
      <c r="Y36" s="11">
        <f t="shared" si="24"/>
        <v>0</v>
      </c>
      <c r="Z36" s="11">
        <f>+COUNTIFS('muddati otgan'!C:C,A36,'muddati otgan'!J:J,"Ijroga qabul qilish")</f>
        <v>0</v>
      </c>
      <c r="AA36" s="11">
        <f>+COUNTIFS('muddati otgan'!C:C,A36,'muddati otgan'!J:J,"Joyida o'rganish va ma'lumotlarni kiritish")</f>
        <v>0</v>
      </c>
      <c r="AB36" s="11">
        <f>+COUNTIFS('muddati otgan'!C:C,A36,'muddati otgan'!J:J,"Asosiy qismdan ajratish jarayonida")</f>
        <v>0</v>
      </c>
      <c r="AC36" s="11">
        <f>+COUNTIFS('muddati otgan'!C:C,A36,'muddati otgan'!J:J,"Umumiy foydalanishdagi obyekt yaratilish")</f>
        <v>0</v>
      </c>
      <c r="AD36" s="11">
        <f>+COUNTIFS('muddati otgan'!C:C,A36,'muddati otgan'!J:J,"Migratsiya qilinadigan kadastr raqamini kiritish")</f>
        <v>0</v>
      </c>
      <c r="AE36" s="11">
        <f>+COUNTIFS('muddati otgan'!C:C,A36,'muddati otgan'!J:J,"O'zida qolgan obyektni yaratish")</f>
        <v>0</v>
      </c>
      <c r="AF36" s="11">
        <f>+COUNTIFS('muddati otgan'!C:C,A36,'muddati otgan'!J:J,"O'lchov natijalarini kiritish")</f>
        <v>0</v>
      </c>
      <c r="AG36" s="11">
        <f>+COUNTIFS('muddati otgan'!C:C,A36,'muddati otgan'!J:J,"Topoxaritani tayyorlash (dwg, pdf)")</f>
        <v>0</v>
      </c>
      <c r="AH36" s="11">
        <f t="shared" si="25"/>
        <v>0</v>
      </c>
      <c r="AI36" s="11">
        <f>+COUNTIFS('muddati otgan'!C:C,A36,'muddati otgan'!J:J,"Yer uchastkasini yaratish")</f>
        <v>0</v>
      </c>
      <c r="AJ36" s="11">
        <f t="shared" si="26"/>
        <v>0</v>
      </c>
      <c r="AK36" s="11">
        <f>+COUNTIFS('muddati otgan'!C:C,A36,'muddati otgan'!J:J,"Kelishish (Boshqarma)")</f>
        <v>0</v>
      </c>
      <c r="AL36" s="11">
        <f t="shared" si="27"/>
        <v>0</v>
      </c>
      <c r="AM36" s="11">
        <f>+COUNTIFS('muddati otgan'!C:C,A36,'muddati otgan'!J:J,"Kelishish (DKP)")</f>
        <v>0</v>
      </c>
      <c r="AN36" s="11">
        <f>+COUNTIFS('muddati otgan'!C:C,A36,'muddati otgan'!J:J,"Kelishish")</f>
        <v>0</v>
      </c>
      <c r="AO36" s="11">
        <f>+COUNTIFS('muddati otgan'!C:C,A36,'muddati otgan'!J:J,"Kelishish (Registratsiya DKP)")</f>
        <v>0</v>
      </c>
      <c r="AP36" s="11">
        <f t="shared" si="28"/>
        <v>0</v>
      </c>
      <c r="AQ36" s="11">
        <f>+COUNTIFS('muddati otgan'!C:C,A36,'muddati otgan'!J:J,"Manzil biriktirish")</f>
        <v>0</v>
      </c>
      <c r="AR36" s="11">
        <f>+COUNTIFS('muddati otgan'!C:C,A36,'muddati otgan'!J:J,"Bino va inshootlarni yaratish")</f>
        <v>0</v>
      </c>
      <c r="AS36" s="11">
        <f>+COUNTIFS('muddati otgan'!C:C,A36,'muddati otgan'!J:J,"Dov daraxtlarni yaratish")</f>
        <v>0</v>
      </c>
      <c r="AT36" s="11">
        <f>+COUNTIFS('muddati otgan'!C:C,A36,'muddati otgan'!J:J,"Yer uchastkasini tahrirlash")</f>
        <v>0</v>
      </c>
      <c r="AU36" s="11">
        <f t="shared" si="29"/>
        <v>0</v>
      </c>
      <c r="AV36" s="11">
        <f>+COUNTIFS('muddati otgan'!C:C,A36,'muddati otgan'!J:J,"Yer toifasi va maqsadini kiritish")</f>
        <v>0</v>
      </c>
      <c r="AW36" s="11">
        <f>+COUNTIFS('muddati otgan'!C:C,A36,'muddati otgan'!J:J,"Auksion yer tekshirish")</f>
        <v>0</v>
      </c>
      <c r="AX36" s="11">
        <f>+COUNTIFS('muddati otgan'!C:C,A36,'muddati otgan'!J:J,"Yer turlarini kiritish")</f>
        <v>0</v>
      </c>
      <c r="AY36" s="11">
        <f>+COUNTIFS('muddati otgan'!C:C,A36,'muddati otgan'!J:J,"Ma'lumotlarni kiritish")</f>
        <v>0</v>
      </c>
      <c r="AZ36" s="11">
        <f>+COUNTIFS('muddati otgan'!C:C,A36,'muddati otgan'!J:J,"Yer tekshirish")</f>
        <v>0</v>
      </c>
      <c r="BA36" s="11">
        <f t="shared" si="30"/>
        <v>0</v>
      </c>
      <c r="BB36" s="11">
        <f>+COUNTIFS('muddati otgan'!C:C,A36,'muddati otgan'!J:J,"Bino va inshoot ma'lumotlarini to‘ldirish")</f>
        <v>0</v>
      </c>
      <c r="BC36" s="11">
        <f>+COUNTIFS('muddati otgan'!C:C,A36,'muddati otgan'!J:J,"Inventarizatsiya ma'lumotlarini to‘ldirish")</f>
        <v>0</v>
      </c>
      <c r="BD36" s="11">
        <f>+COUNTIFS('muddati otgan'!C:C,A36,'muddati otgan'!J:J,"Yer uchastkasiga huquqiy hujjatlarni kiritsh")</f>
        <v>0</v>
      </c>
      <c r="BE36" s="11">
        <f>+COUNTIFS('muddati otgan'!C:C,A36,'muddati otgan'!J:J,"Bino-inshootlarga huquqiy hujjatlarni kiritsh")</f>
        <v>0</v>
      </c>
      <c r="BF36" s="11">
        <f>+COUNTIFS('muddati otgan'!C:C,A36,'muddati otgan'!J:J,"Kadastr qiymatini hisoblash va kiritish")</f>
        <v>0</v>
      </c>
      <c r="BG36" s="11">
        <f>+COUNTIFS('muddati otgan'!C:C,A36,'muddati otgan'!J:J,"Kadastr raqam biriktirish")</f>
        <v>0</v>
      </c>
      <c r="BH36" s="11">
        <f>+COUNTIFS('muddati otgan'!C:C,A36,'muddati otgan'!J:J,"Kadastr yig'ma jildni tayyorlash")</f>
        <v>0</v>
      </c>
      <c r="BI36" s="11">
        <f>+COUNTIFS('muddati otgan'!C:C,A36,'muddati otgan'!J:J,"Huquqni yaratish")</f>
        <v>0</v>
      </c>
      <c r="BJ36" s="11">
        <f>+COUNTIFS('muddati otgan'!C:C,A36,'muddati otgan'!J:J,"Hujjatlarni o'rganish")</f>
        <v>0</v>
      </c>
      <c r="BK36" s="11">
        <f>+COUNTIFS('muddati otgan'!C:C,A36,'muddati otgan'!J:J,"Ma'lumotlarni tekshirish")</f>
        <v>0</v>
      </c>
      <c r="BL36" s="11">
        <f t="shared" si="31"/>
        <v>0</v>
      </c>
      <c r="BM36" s="11">
        <f>+COUNTIFS('muddati otgan'!C:C,A36,'muddati otgan'!J:J,"Tekshirish")</f>
        <v>0</v>
      </c>
      <c r="BN36" s="11">
        <f>+COUNTIFS('muddati otgan'!C:C,A36,'muddati otgan'!J:J,"Hujjatlarni tekshirish")</f>
        <v>0</v>
      </c>
      <c r="BO36" s="11">
        <f>+COUNTIFS('muddati otgan'!C:C,A36,'muddati otgan'!J:J,"Tasdiqlash")</f>
        <v>0</v>
      </c>
      <c r="BP36" s="11">
        <f>+COUNTIFS('muddati otgan'!C:C,A36,'muddati otgan'!J:J,"tekshirish/tasdiqlash")</f>
        <v>0</v>
      </c>
      <c r="BQ36" s="11">
        <f>+COUNTIFS('muddati otgan'!C:C,A36,'muddati otgan'!J:J,"Ma'lumotlarni tasdiqlash")</f>
        <v>0</v>
      </c>
      <c r="BR36" s="11">
        <f t="shared" si="32"/>
        <v>0</v>
      </c>
      <c r="BS36" s="11">
        <f>+COUNTIFS('muddati otgan'!C:C,A36,'muddati otgan'!J:J,"Ro'yxatdan o'tkazish ma'lumotlarini tekshirish")</f>
        <v>0</v>
      </c>
      <c r="BT36" s="11">
        <f>+COUNTIFS('muddati otgan'!C:C,A36,'muddati otgan'!J:J,"Kamchiliklar bo'yicha habarnoma yuborish va 3 kunga to'xtatish")</f>
        <v>0</v>
      </c>
      <c r="BU36" s="11">
        <f>+COUNTIFS('muddati otgan'!C:C,A36,'muddati otgan'!J:J,"Hisobga olish")</f>
        <v>0</v>
      </c>
      <c r="BV36" s="11">
        <f>+COUNTIFS('muddati otgan'!C:C,A36,'muddati otgan'!J:J,"Yer uchastkasiga huquq yaratish")</f>
        <v>0</v>
      </c>
      <c r="BW36" s="11">
        <f>+COUNTIFS('muddati otgan'!C:C,A36,'muddati otgan'!J:J,"Bino-inshootga huquq yaratish")</f>
        <v>0</v>
      </c>
      <c r="BX36" s="11">
        <f>+COUNTIFS('muddati otgan'!C:C,A36,'muddati otgan'!J:J,"Cheklov yaratish")</f>
        <v>0</v>
      </c>
      <c r="BY36" s="11">
        <f>+COUNTIFS('muddati otgan'!C:C,A36,'muddati otgan'!J:J,"Taqiq yaratish")</f>
        <v>0</v>
      </c>
      <c r="BZ36" s="11">
        <f t="shared" si="33"/>
        <v>0</v>
      </c>
      <c r="CA36" s="11">
        <f>+COUNTIFS('muddati otgan'!C:C,A36,'muddati otgan'!J:J,"Soliq maydonini tekshirish")</f>
        <v>0</v>
      </c>
      <c r="CB36" s="11">
        <f t="shared" si="34"/>
        <v>0</v>
      </c>
      <c r="CC36" s="11">
        <f>+COUNTIFS('muddati otgan'!C:C,A36,'muddati otgan'!J:J,"Kadastr yig'majildini shakllantirish")</f>
        <v>0</v>
      </c>
      <c r="CD36" s="11">
        <f t="shared" si="35"/>
        <v>0</v>
      </c>
      <c r="CE36" s="11">
        <f>+COUNTIFS('muddati otgan'!C:C,A36,'muddati otgan'!J:J,"Kadastr passportini shakllantirish")</f>
        <v>0</v>
      </c>
      <c r="CF36" s="11">
        <f>+COUNTIFS('muddati otgan'!C:C,A36,'muddati otgan'!J:J,"Yig'ma jildni tasdiqlash")</f>
        <v>0</v>
      </c>
      <c r="CG36" s="11">
        <f>+COUNTIFS('muddati otgan'!C:C,A36,'muddati otgan'!J:J,"To'lov yoki bepul tasdiqlash")</f>
        <v>0</v>
      </c>
      <c r="CH36" s="11">
        <f>+COUNTIFS('muddati otgan'!C:C,A36,'muddati otgan'!J:J,"Bog'liq arizani kutish")</f>
        <v>0</v>
      </c>
      <c r="CI36" s="11">
        <f>+COUNTIFS('muddati otgan'!C:C,A36,'muddati otgan'!J:J,"To'lovga chiqarish")</f>
        <v>0</v>
      </c>
      <c r="CJ36" s="11">
        <f>+COUNTIFS('muddati otgan'!C:C,A36,'muddati otgan'!J:J,"Hisobga qo'yish")</f>
        <v>0</v>
      </c>
      <c r="CK36" s="6">
        <f>+COUNTIFS('muddati otgan'!C:C,A36,'muddati otgan'!J:J,"To'lov kutilmoqda")</f>
        <v>0</v>
      </c>
      <c r="CL36" s="11">
        <f t="shared" si="36"/>
        <v>0</v>
      </c>
      <c r="CM36" s="11">
        <f>+COUNTIFS('muddati otgan'!C:C,A36,'muddati otgan'!AA:AA,"Arizani qabul qilish2")</f>
        <v>0</v>
      </c>
      <c r="CN36" s="11">
        <f>+COUNTIFS('muddati otgan'!C:C,A36,'muddati otgan'!J:J,"Huquqlarni tekshirish")</f>
        <v>0</v>
      </c>
      <c r="CO36" s="11">
        <f>+COUNTIFS('muddati otgan'!C:C,A36,'muddati otgan'!J:J,"Ko'chmas mulkni ro'yhatdan o'tkazishga qabul qilish")</f>
        <v>0</v>
      </c>
      <c r="CP36" s="11">
        <f>+COUNTIFS('muddati otgan'!C:C,A36,'muddati otgan'!J:J,"Ro'yxatdan o'tkazish")</f>
        <v>0</v>
      </c>
      <c r="CQ36" s="11">
        <f>+COUNTIFS('muddati otgan'!C:C,A36,'muddati otgan'!J:J,"Kadastr pasporti va ko'chirmani yuborish")</f>
        <v>0</v>
      </c>
      <c r="CR36" s="11">
        <f>+COUNTIFS('muddati otgan'!C:C,A36,'muddati otgan'!AA:AA,"Rad qilish2")</f>
        <v>0</v>
      </c>
      <c r="CS36" s="11">
        <f>+COUNTIFS('muddati otgan'!C:C,A36,'muddati otgan'!J:J,"Ko'chirmani yuborish")</f>
        <v>0</v>
      </c>
      <c r="CT36" s="11">
        <f>+COUNTIFS('muddati otgan'!C:C,A36,'muddati otgan'!J:J,"Ma‘lumotlarni tekshirish")</f>
        <v>0</v>
      </c>
      <c r="CU36" s="11">
        <f t="shared" si="37"/>
        <v>0</v>
      </c>
      <c r="CV36" s="11">
        <f>+COUNTIFS('muddati otgan'!C:C,A36,'muddati otgan'!J:J,"Kadastr yig'majildini chop etish va arxiv ishiga tikish")</f>
        <v>0</v>
      </c>
      <c r="CW36" s="11">
        <f t="shared" si="38"/>
        <v>0</v>
      </c>
      <c r="CX36" s="11">
        <f>+COUNTIFS('muddati otgan'!C:C,A36,'muddati otgan'!J:J,"Kadastr yig‘majildini qabul qilish, arizani yakunlash")</f>
        <v>0</v>
      </c>
      <c r="CY36" s="11">
        <f>+COUNTIFS('muddati otgan'!C:C,A36,'muddati otgan'!J:J,"Next Cloudga yuklash")</f>
        <v>0</v>
      </c>
      <c r="CZ36" s="6">
        <f>+COUNTIFS('muddati otgan'!C:C,A36,'muddati otgan'!J:J,"Kelishish kutilmoqda")</f>
        <v>0</v>
      </c>
      <c r="DA36" s="6">
        <f>+COUNTIFS('muddati otgan'!C:C,A36,'muddati otgan'!J:J,"Yakunlandi")</f>
        <v>0</v>
      </c>
      <c r="DB36" s="10">
        <f>+COUNTIFS('muddati otgan'!C:C,A36,'muddati otgan'!J:J,"Rad etildi")</f>
        <v>0</v>
      </c>
      <c r="DC36" s="100">
        <f t="shared" si="5"/>
        <v>0</v>
      </c>
      <c r="DD36" s="44">
        <f>COUNTIFS('jami 1-20 kunlik arizalar'!C:C,A:A,'jami 1-20 kunlik arizalar'!S:S,"1")</f>
        <v>0</v>
      </c>
      <c r="DE36" s="11">
        <f>COUNTIFS('jami 1-20 kunlik arizalar'!C:C,A:A,'jami 1-20 kunlik arizalar'!S:S,"2")</f>
        <v>0</v>
      </c>
      <c r="DF36" s="11">
        <f>COUNTIFS('jami 1-20 kunlik arizalar'!C:C,A:A,'jami 1-20 kunlik arizalar'!S:S,"3")</f>
        <v>0</v>
      </c>
      <c r="DG36" s="11">
        <f>COUNTIFS('jami 1-20 kunlik arizalar'!C:C,A:A,'jami 1-20 kunlik arizalar'!S:S,"4")</f>
        <v>1</v>
      </c>
      <c r="DH36" s="11">
        <f>COUNTIFS('jami 1-20 kunlik arizalar'!C:C,A:A,'jami 1-20 kunlik arizalar'!S:S,"5")</f>
        <v>3</v>
      </c>
      <c r="DI36" s="11">
        <f>SUM(COUNTIFS('jami 1-20 kunlik arizalar'!C:C,A:A, 'jami 1-20 kunlik arizalar'!S:S, {6,7,8,9,10}))</f>
        <v>1</v>
      </c>
      <c r="DJ36" s="12">
        <f>SUM(COUNTIFS('jami 1-20 kunlik arizalar'!C:C,A:A, 'jami 1-20 kunlik arizalar'!S:S, "&gt;10"))</f>
        <v>0</v>
      </c>
    </row>
    <row r="37" spans="1:115" ht="35.1" hidden="1" customHeight="1" outlineLevel="1" x14ac:dyDescent="0.25">
      <c r="A37" s="92" t="s">
        <v>653</v>
      </c>
      <c r="B37" s="74"/>
      <c r="C37" s="85" t="s">
        <v>768</v>
      </c>
      <c r="D37" s="80">
        <f>+COUNTIFS('muddati otgan'!C:C,A37,'muddati otgan'!C:C,A37)</f>
        <v>1</v>
      </c>
      <c r="E37" s="10">
        <f>SUMIFS('muddati otgan'!$V:V,'muddati otgan'!$C:C,$A:A)</f>
        <v>0</v>
      </c>
      <c r="F37" s="10">
        <f>SUMIFS('muddati otgan'!$W:W,'muddati otgan'!$C:C,$A:A)</f>
        <v>0</v>
      </c>
      <c r="G37" s="24">
        <f>SUMIFS('muddati otgan'!$U:U,'muddati otgan'!$C:C,$A:A)</f>
        <v>1</v>
      </c>
      <c r="H37" s="11">
        <f>SUMIFS('muddati otgan'!$G:G,'muddati otgan'!$C:C,$A:A)</f>
        <v>1</v>
      </c>
      <c r="I37" s="12">
        <f>SUMIFS('muddati otgan'!$H:H,'muddati otgan'!$C:C,$A:A)</f>
        <v>0</v>
      </c>
      <c r="J37" s="44">
        <f t="shared" si="23"/>
        <v>1</v>
      </c>
      <c r="K37" s="11">
        <f>+COUNTIFS('muddati otgan'!C:C,A37,'muddati otgan'!AA:AA,"Arizani qabul qilish")</f>
        <v>0</v>
      </c>
      <c r="L37" s="11">
        <f>+COUNTIFS('muddati otgan'!C:C,A37,'muddati otgan'!J:J,"Arizani rad etish")</f>
        <v>0</v>
      </c>
      <c r="M37" s="11">
        <f>+COUNTIFS('muddati otgan'!C:C,A37,'muddati otgan'!J:J,"Arizani tasdiqlash")</f>
        <v>0</v>
      </c>
      <c r="N37" s="11">
        <f>+COUNTIFS('muddati otgan'!C:C,A37,'muddati otgan'!J:J,"Arizani yo'naltirish")</f>
        <v>0</v>
      </c>
      <c r="O37" s="11">
        <f>+COUNTIFS('muddati otgan'!C:C,A37,'muddati otgan'!J:J,"Rad qilish sababini o'rganish")</f>
        <v>1</v>
      </c>
      <c r="P37" s="11">
        <f>+COUNTIFS('muddati otgan'!C:C,A37,'muddati otgan'!J:J,"Ko'chmas mulkni UZKAD ga migratsiya qilish")</f>
        <v>0</v>
      </c>
      <c r="Q37" s="11">
        <f>+COUNTIFS('muddati otgan'!C:C,A37,'muddati otgan'!J:J,"Migratisya qilingan obyekt holatini tekshirish")</f>
        <v>0</v>
      </c>
      <c r="R37" s="11">
        <f>+COUNTIFS('muddati otgan'!C:C,A37,'muddati otgan'!J:J,"Ko‘chmas mulkni tanlash")</f>
        <v>0</v>
      </c>
      <c r="S37" s="11">
        <f>+COUNTIFS('muddati otgan'!C:C,A37,'muddati otgan'!J:J,"Arizani ko'rib chiqish")</f>
        <v>0</v>
      </c>
      <c r="T37" s="11">
        <f>+COUNTIFS('muddati otgan'!C:C,A37,'muddati otgan'!J:J,"Kadastr muhandisini tanlash")</f>
        <v>0</v>
      </c>
      <c r="U37" s="11">
        <f>+COUNTIFS('muddati otgan'!C:C,A37,'muddati otgan'!J:J,"Ko'chmas mulk turini tanlahsh")</f>
        <v>0</v>
      </c>
      <c r="V37" s="11">
        <f>+COUNTIFS('muddati otgan'!C:C,A37,'muddati otgan'!AA:AA,"Rad qilish")</f>
        <v>0</v>
      </c>
      <c r="W37" s="11">
        <f>+COUNTIFS('muddati otgan'!C:C,A37,'muddati otgan'!J:J,"ijrochi tanlash")</f>
        <v>0</v>
      </c>
      <c r="X37" s="11">
        <f>+COUNTIFS('muddati otgan'!C:C,A37,'muddati otgan'!J:J,"Ko'chmas mulk turini tanlash")</f>
        <v>0</v>
      </c>
      <c r="Y37" s="11">
        <f t="shared" si="24"/>
        <v>0</v>
      </c>
      <c r="Z37" s="11">
        <f>+COUNTIFS('muddati otgan'!C:C,A37,'muddati otgan'!J:J,"Ijroga qabul qilish")</f>
        <v>0</v>
      </c>
      <c r="AA37" s="11">
        <f>+COUNTIFS('muddati otgan'!C:C,A37,'muddati otgan'!J:J,"Joyida o'rganish va ma'lumotlarni kiritish")</f>
        <v>0</v>
      </c>
      <c r="AB37" s="11">
        <f>+COUNTIFS('muddati otgan'!C:C,A37,'muddati otgan'!J:J,"Asosiy qismdan ajratish jarayonida")</f>
        <v>0</v>
      </c>
      <c r="AC37" s="11">
        <f>+COUNTIFS('muddati otgan'!C:C,A37,'muddati otgan'!J:J,"Umumiy foydalanishdagi obyekt yaratilish")</f>
        <v>0</v>
      </c>
      <c r="AD37" s="11">
        <f>+COUNTIFS('muddati otgan'!C:C,A37,'muddati otgan'!J:J,"Migratsiya qilinadigan kadastr raqamini kiritish")</f>
        <v>0</v>
      </c>
      <c r="AE37" s="11">
        <f>+COUNTIFS('muddati otgan'!C:C,A37,'muddati otgan'!J:J,"O'zida qolgan obyektni yaratish")</f>
        <v>0</v>
      </c>
      <c r="AF37" s="11">
        <f>+COUNTIFS('muddati otgan'!C:C,A37,'muddati otgan'!J:J,"O'lchov natijalarini kiritish")</f>
        <v>0</v>
      </c>
      <c r="AG37" s="11">
        <f>+COUNTIFS('muddati otgan'!C:C,A37,'muddati otgan'!J:J,"Topoxaritani tayyorlash (dwg, pdf)")</f>
        <v>0</v>
      </c>
      <c r="AH37" s="11">
        <f t="shared" si="25"/>
        <v>0</v>
      </c>
      <c r="AI37" s="11">
        <f>+COUNTIFS('muddati otgan'!C:C,A37,'muddati otgan'!J:J,"Yer uchastkasini yaratish")</f>
        <v>0</v>
      </c>
      <c r="AJ37" s="11">
        <f t="shared" si="26"/>
        <v>0</v>
      </c>
      <c r="AK37" s="11">
        <f>+COUNTIFS('muddati otgan'!C:C,A37,'muddati otgan'!J:J,"Kelishish (Boshqarma)")</f>
        <v>0</v>
      </c>
      <c r="AL37" s="11">
        <f t="shared" si="27"/>
        <v>0</v>
      </c>
      <c r="AM37" s="11">
        <f>+COUNTIFS('muddati otgan'!C:C,A37,'muddati otgan'!J:J,"Kelishish (DKP)")</f>
        <v>0</v>
      </c>
      <c r="AN37" s="11">
        <f>+COUNTIFS('muddati otgan'!C:C,A37,'muddati otgan'!J:J,"Kelishish")</f>
        <v>0</v>
      </c>
      <c r="AO37" s="11">
        <f>+COUNTIFS('muddati otgan'!C:C,A37,'muddati otgan'!J:J,"Kelishish (Registratsiya DKP)")</f>
        <v>0</v>
      </c>
      <c r="AP37" s="11">
        <f t="shared" si="28"/>
        <v>0</v>
      </c>
      <c r="AQ37" s="11">
        <f>+COUNTIFS('muddati otgan'!C:C,A37,'muddati otgan'!J:J,"Manzil biriktirish")</f>
        <v>0</v>
      </c>
      <c r="AR37" s="11">
        <f>+COUNTIFS('muddati otgan'!C:C,A37,'muddati otgan'!J:J,"Bino va inshootlarni yaratish")</f>
        <v>0</v>
      </c>
      <c r="AS37" s="11">
        <f>+COUNTIFS('muddati otgan'!C:C,A37,'muddati otgan'!J:J,"Dov daraxtlarni yaratish")</f>
        <v>0</v>
      </c>
      <c r="AT37" s="11">
        <f>+COUNTIFS('muddati otgan'!C:C,A37,'muddati otgan'!J:J,"Yer uchastkasini tahrirlash")</f>
        <v>0</v>
      </c>
      <c r="AU37" s="11">
        <f t="shared" si="29"/>
        <v>0</v>
      </c>
      <c r="AV37" s="11">
        <f>+COUNTIFS('muddati otgan'!C:C,A37,'muddati otgan'!J:J,"Yer toifasi va maqsadini kiritish")</f>
        <v>0</v>
      </c>
      <c r="AW37" s="11">
        <f>+COUNTIFS('muddati otgan'!C:C,A37,'muddati otgan'!J:J,"Auksion yer tekshirish")</f>
        <v>0</v>
      </c>
      <c r="AX37" s="11">
        <f>+COUNTIFS('muddati otgan'!C:C,A37,'muddati otgan'!J:J,"Yer turlarini kiritish")</f>
        <v>0</v>
      </c>
      <c r="AY37" s="11">
        <f>+COUNTIFS('muddati otgan'!C:C,A37,'muddati otgan'!J:J,"Ma'lumotlarni kiritish")</f>
        <v>0</v>
      </c>
      <c r="AZ37" s="11">
        <f>+COUNTIFS('muddati otgan'!C:C,A37,'muddati otgan'!J:J,"Yer tekshirish")</f>
        <v>0</v>
      </c>
      <c r="BA37" s="11">
        <f t="shared" si="30"/>
        <v>0</v>
      </c>
      <c r="BB37" s="11">
        <f>+COUNTIFS('muddati otgan'!C:C,A37,'muddati otgan'!J:J,"Bino va inshoot ma'lumotlarini to‘ldirish")</f>
        <v>0</v>
      </c>
      <c r="BC37" s="11">
        <f>+COUNTIFS('muddati otgan'!C:C,A37,'muddati otgan'!J:J,"Inventarizatsiya ma'lumotlarini to‘ldirish")</f>
        <v>0</v>
      </c>
      <c r="BD37" s="11">
        <f>+COUNTIFS('muddati otgan'!C:C,A37,'muddati otgan'!J:J,"Yer uchastkasiga huquqiy hujjatlarni kiritsh")</f>
        <v>0</v>
      </c>
      <c r="BE37" s="11">
        <f>+COUNTIFS('muddati otgan'!C:C,A37,'muddati otgan'!J:J,"Bino-inshootlarga huquqiy hujjatlarni kiritsh")</f>
        <v>0</v>
      </c>
      <c r="BF37" s="11">
        <f>+COUNTIFS('muddati otgan'!C:C,A37,'muddati otgan'!J:J,"Kadastr qiymatini hisoblash va kiritish")</f>
        <v>0</v>
      </c>
      <c r="BG37" s="11">
        <f>+COUNTIFS('muddati otgan'!C:C,A37,'muddati otgan'!J:J,"Kadastr raqam biriktirish")</f>
        <v>0</v>
      </c>
      <c r="BH37" s="11">
        <f>+COUNTIFS('muddati otgan'!C:C,A37,'muddati otgan'!J:J,"Kadastr yig'ma jildni tayyorlash")</f>
        <v>0</v>
      </c>
      <c r="BI37" s="11">
        <f>+COUNTIFS('muddati otgan'!C:C,A37,'muddati otgan'!J:J,"Huquqni yaratish")</f>
        <v>0</v>
      </c>
      <c r="BJ37" s="11">
        <f>+COUNTIFS('muddati otgan'!C:C,A37,'muddati otgan'!J:J,"Hujjatlarni o'rganish")</f>
        <v>0</v>
      </c>
      <c r="BK37" s="11">
        <f>+COUNTIFS('muddati otgan'!C:C,A37,'muddati otgan'!J:J,"Ma'lumotlarni tekshirish")</f>
        <v>0</v>
      </c>
      <c r="BL37" s="11">
        <f t="shared" si="31"/>
        <v>0</v>
      </c>
      <c r="BM37" s="11">
        <f>+COUNTIFS('muddati otgan'!C:C,A37,'muddati otgan'!J:J,"Tekshirish")</f>
        <v>0</v>
      </c>
      <c r="BN37" s="11">
        <f>+COUNTIFS('muddati otgan'!C:C,A37,'muddati otgan'!J:J,"Hujjatlarni tekshirish")</f>
        <v>0</v>
      </c>
      <c r="BO37" s="11">
        <f>+COUNTIFS('muddati otgan'!C:C,A37,'muddati otgan'!J:J,"Tasdiqlash")</f>
        <v>0</v>
      </c>
      <c r="BP37" s="11">
        <f>+COUNTIFS('muddati otgan'!C:C,A37,'muddati otgan'!J:J,"tekshirish/tasdiqlash")</f>
        <v>0</v>
      </c>
      <c r="BQ37" s="11">
        <f>+COUNTIFS('muddati otgan'!C:C,A37,'muddati otgan'!J:J,"Ma'lumotlarni tasdiqlash")</f>
        <v>0</v>
      </c>
      <c r="BR37" s="11">
        <f t="shared" si="32"/>
        <v>0</v>
      </c>
      <c r="BS37" s="11">
        <f>+COUNTIFS('muddati otgan'!C:C,A37,'muddati otgan'!J:J,"Ro'yxatdan o'tkazish ma'lumotlarini tekshirish")</f>
        <v>0</v>
      </c>
      <c r="BT37" s="11">
        <f>+COUNTIFS('muddati otgan'!C:C,A37,'muddati otgan'!J:J,"Kamchiliklar bo'yicha habarnoma yuborish va 3 kunga to'xtatish")</f>
        <v>0</v>
      </c>
      <c r="BU37" s="11">
        <f>+COUNTIFS('muddati otgan'!C:C,A37,'muddati otgan'!J:J,"Hisobga olish")</f>
        <v>0</v>
      </c>
      <c r="BV37" s="11">
        <f>+COUNTIFS('muddati otgan'!C:C,A37,'muddati otgan'!J:J,"Yer uchastkasiga huquq yaratish")</f>
        <v>0</v>
      </c>
      <c r="BW37" s="11">
        <f>+COUNTIFS('muddati otgan'!C:C,A37,'muddati otgan'!J:J,"Bino-inshootga huquq yaratish")</f>
        <v>0</v>
      </c>
      <c r="BX37" s="11">
        <f>+COUNTIFS('muddati otgan'!C:C,A37,'muddati otgan'!J:J,"Cheklov yaratish")</f>
        <v>0</v>
      </c>
      <c r="BY37" s="11">
        <f>+COUNTIFS('muddati otgan'!C:C,A37,'muddati otgan'!J:J,"Taqiq yaratish")</f>
        <v>0</v>
      </c>
      <c r="BZ37" s="11">
        <f t="shared" si="33"/>
        <v>0</v>
      </c>
      <c r="CA37" s="11">
        <f>+COUNTIFS('muddati otgan'!C:C,A37,'muddati otgan'!J:J,"Soliq maydonini tekshirish")</f>
        <v>0</v>
      </c>
      <c r="CB37" s="11">
        <f t="shared" si="34"/>
        <v>0</v>
      </c>
      <c r="CC37" s="11">
        <f>+COUNTIFS('muddati otgan'!C:C,A37,'muddati otgan'!J:J,"Kadastr yig'majildini shakllantirish")</f>
        <v>0</v>
      </c>
      <c r="CD37" s="11">
        <f t="shared" si="35"/>
        <v>0</v>
      </c>
      <c r="CE37" s="11">
        <f>+COUNTIFS('muddati otgan'!C:C,A37,'muddati otgan'!J:J,"Kadastr passportini shakllantirish")</f>
        <v>0</v>
      </c>
      <c r="CF37" s="11">
        <f>+COUNTIFS('muddati otgan'!C:C,A37,'muddati otgan'!J:J,"Yig'ma jildni tasdiqlash")</f>
        <v>0</v>
      </c>
      <c r="CG37" s="11">
        <f>+COUNTIFS('muddati otgan'!C:C,A37,'muddati otgan'!J:J,"To'lov yoki bepul tasdiqlash")</f>
        <v>0</v>
      </c>
      <c r="CH37" s="11">
        <f>+COUNTIFS('muddati otgan'!C:C,A37,'muddati otgan'!J:J,"Bog'liq arizani kutish")</f>
        <v>0</v>
      </c>
      <c r="CI37" s="11">
        <f>+COUNTIFS('muddati otgan'!C:C,A37,'muddati otgan'!J:J,"To'lovga chiqarish")</f>
        <v>0</v>
      </c>
      <c r="CJ37" s="11">
        <f>+COUNTIFS('muddati otgan'!C:C,A37,'muddati otgan'!J:J,"Hisobga qo'yish")</f>
        <v>0</v>
      </c>
      <c r="CK37" s="6">
        <f>+COUNTIFS('muddati otgan'!C:C,A37,'muddati otgan'!J:J,"To'lov kutilmoqda")</f>
        <v>0</v>
      </c>
      <c r="CL37" s="11">
        <f t="shared" si="36"/>
        <v>0</v>
      </c>
      <c r="CM37" s="11">
        <f>+COUNTIFS('muddati otgan'!C:C,A37,'muddati otgan'!AA:AA,"Arizani qabul qilish2")</f>
        <v>0</v>
      </c>
      <c r="CN37" s="11">
        <f>+COUNTIFS('muddati otgan'!C:C,A37,'muddati otgan'!J:J,"Huquqlarni tekshirish")</f>
        <v>0</v>
      </c>
      <c r="CO37" s="11">
        <f>+COUNTIFS('muddati otgan'!C:C,A37,'muddati otgan'!J:J,"Ko'chmas mulkni ro'yhatdan o'tkazishga qabul qilish")</f>
        <v>0</v>
      </c>
      <c r="CP37" s="11">
        <f>+COUNTIFS('muddati otgan'!C:C,A37,'muddati otgan'!J:J,"Ro'yxatdan o'tkazish")</f>
        <v>0</v>
      </c>
      <c r="CQ37" s="11">
        <f>+COUNTIFS('muddati otgan'!C:C,A37,'muddati otgan'!J:J,"Kadastr pasporti va ko'chirmani yuborish")</f>
        <v>0</v>
      </c>
      <c r="CR37" s="11">
        <f>+COUNTIFS('muddati otgan'!C:C,A37,'muddati otgan'!AA:AA,"Rad qilish2")</f>
        <v>0</v>
      </c>
      <c r="CS37" s="11">
        <f>+COUNTIFS('muddati otgan'!C:C,A37,'muddati otgan'!J:J,"Ko'chirmani yuborish")</f>
        <v>0</v>
      </c>
      <c r="CT37" s="11">
        <f>+COUNTIFS('muddati otgan'!C:C,A37,'muddati otgan'!J:J,"Ma‘lumotlarni tekshirish")</f>
        <v>0</v>
      </c>
      <c r="CU37" s="11">
        <f t="shared" si="37"/>
        <v>0</v>
      </c>
      <c r="CV37" s="11">
        <f>+COUNTIFS('muddati otgan'!C:C,A37,'muddati otgan'!J:J,"Kadastr yig'majildini chop etish va arxiv ishiga tikish")</f>
        <v>0</v>
      </c>
      <c r="CW37" s="11">
        <f t="shared" si="38"/>
        <v>0</v>
      </c>
      <c r="CX37" s="11">
        <f>+COUNTIFS('muddati otgan'!C:C,A37,'muddati otgan'!J:J,"Kadastr yig‘majildini qabul qilish, arizani yakunlash")</f>
        <v>0</v>
      </c>
      <c r="CY37" s="11">
        <f>+COUNTIFS('muddati otgan'!C:C,A37,'muddati otgan'!J:J,"Next Cloudga yuklash")</f>
        <v>0</v>
      </c>
      <c r="CZ37" s="6">
        <f>+COUNTIFS('muddati otgan'!C:C,A37,'muddati otgan'!J:J,"Kelishish kutilmoqda")</f>
        <v>0</v>
      </c>
      <c r="DA37" s="6">
        <f>+COUNTIFS('muddati otgan'!C:C,A37,'muddati otgan'!J:J,"Yakunlandi")</f>
        <v>0</v>
      </c>
      <c r="DB37" s="10">
        <f>+COUNTIFS('muddati otgan'!C:C,A37,'muddati otgan'!J:J,"Rad etildi")</f>
        <v>0</v>
      </c>
      <c r="DC37" s="100">
        <f t="shared" si="5"/>
        <v>-1</v>
      </c>
      <c r="DD37" s="44">
        <f>COUNTIFS('jami 1-20 kunlik arizalar'!C:C,A:A,'jami 1-20 kunlik arizalar'!S:S,"1")</f>
        <v>0</v>
      </c>
      <c r="DE37" s="11">
        <f>COUNTIFS('jami 1-20 kunlik arizalar'!C:C,A:A,'jami 1-20 kunlik arizalar'!S:S,"2")</f>
        <v>0</v>
      </c>
      <c r="DF37" s="11">
        <f>COUNTIFS('jami 1-20 kunlik arizalar'!C:C,A:A,'jami 1-20 kunlik arizalar'!S:S,"3")</f>
        <v>0</v>
      </c>
      <c r="DG37" s="11">
        <f>COUNTIFS('jami 1-20 kunlik arizalar'!C:C,A:A,'jami 1-20 kunlik arizalar'!S:S,"4")</f>
        <v>1</v>
      </c>
      <c r="DH37" s="11">
        <f>COUNTIFS('jami 1-20 kunlik arizalar'!C:C,A:A,'jami 1-20 kunlik arizalar'!S:S,"5")</f>
        <v>0</v>
      </c>
      <c r="DI37" s="11">
        <f>SUM(COUNTIFS('jami 1-20 kunlik arizalar'!C:C,A:A, 'jami 1-20 kunlik arizalar'!S:S, {6,7,8,9,10}))</f>
        <v>4</v>
      </c>
      <c r="DJ37" s="12">
        <f>SUM(COUNTIFS('jami 1-20 kunlik arizalar'!C:C,A:A, 'jami 1-20 kunlik arizalar'!S:S, "&gt;10"))</f>
        <v>2</v>
      </c>
    </row>
    <row r="38" spans="1:115" ht="35.1" hidden="1" customHeight="1" outlineLevel="1" x14ac:dyDescent="0.25">
      <c r="A38" s="92" t="s">
        <v>648</v>
      </c>
      <c r="B38" s="74"/>
      <c r="C38" s="85" t="s">
        <v>769</v>
      </c>
      <c r="D38" s="80">
        <f>+COUNTIFS('muddati otgan'!C:C,A38,'muddati otgan'!C:C,A38)</f>
        <v>1</v>
      </c>
      <c r="E38" s="10">
        <f>SUMIFS('muddati otgan'!$V:V,'muddati otgan'!$C:C,$A:A)</f>
        <v>0</v>
      </c>
      <c r="F38" s="10">
        <f>SUMIFS('muddati otgan'!$W:W,'muddati otgan'!$C:C,$A:A)</f>
        <v>0</v>
      </c>
      <c r="G38" s="24">
        <f>SUMIFS('muddati otgan'!$U:U,'muddati otgan'!$C:C,$A:A)</f>
        <v>1</v>
      </c>
      <c r="H38" s="11">
        <f>SUMIFS('muddati otgan'!$G:G,'muddati otgan'!$C:C,$A:A)</f>
        <v>1</v>
      </c>
      <c r="I38" s="12">
        <f>SUMIFS('muddati otgan'!$H:H,'muddati otgan'!$C:C,$A:A)</f>
        <v>0</v>
      </c>
      <c r="J38" s="44">
        <f t="shared" si="23"/>
        <v>0</v>
      </c>
      <c r="K38" s="11">
        <f>+COUNTIFS('muddati otgan'!C:C,A38,'muddati otgan'!AA:AA,"Arizani qabul qilish")</f>
        <v>0</v>
      </c>
      <c r="L38" s="11">
        <f>+COUNTIFS('muddati otgan'!C:C,A38,'muddati otgan'!J:J,"Arizani rad etish")</f>
        <v>0</v>
      </c>
      <c r="M38" s="11">
        <f>+COUNTIFS('muddati otgan'!C:C,A38,'muddati otgan'!J:J,"Arizani tasdiqlash")</f>
        <v>0</v>
      </c>
      <c r="N38" s="11">
        <f>+COUNTIFS('muddati otgan'!C:C,A38,'muddati otgan'!J:J,"Arizani yo'naltirish")</f>
        <v>0</v>
      </c>
      <c r="O38" s="11">
        <f>+COUNTIFS('muddati otgan'!C:C,A38,'muddati otgan'!J:J,"Rad qilish sababini o'rganish")</f>
        <v>0</v>
      </c>
      <c r="P38" s="11">
        <f>+COUNTIFS('muddati otgan'!C:C,A38,'muddati otgan'!J:J,"Ko'chmas mulkni UZKAD ga migratsiya qilish")</f>
        <v>0</v>
      </c>
      <c r="Q38" s="11">
        <f>+COUNTIFS('muddati otgan'!C:C,A38,'muddati otgan'!J:J,"Migratisya qilingan obyekt holatini tekshirish")</f>
        <v>0</v>
      </c>
      <c r="R38" s="11">
        <f>+COUNTIFS('muddati otgan'!C:C,A38,'muddati otgan'!J:J,"Ko‘chmas mulkni tanlash")</f>
        <v>0</v>
      </c>
      <c r="S38" s="11">
        <f>+COUNTIFS('muddati otgan'!C:C,A38,'muddati otgan'!J:J,"Arizani ko'rib chiqish")</f>
        <v>0</v>
      </c>
      <c r="T38" s="11">
        <f>+COUNTIFS('muddati otgan'!C:C,A38,'muddati otgan'!J:J,"Kadastr muhandisini tanlash")</f>
        <v>0</v>
      </c>
      <c r="U38" s="11">
        <f>+COUNTIFS('muddati otgan'!C:C,A38,'muddati otgan'!J:J,"Ko'chmas mulk turini tanlahsh")</f>
        <v>0</v>
      </c>
      <c r="V38" s="11">
        <f>+COUNTIFS('muddati otgan'!C:C,A38,'muddati otgan'!AA:AA,"Rad qilish")</f>
        <v>0</v>
      </c>
      <c r="W38" s="11">
        <f>+COUNTIFS('muddati otgan'!C:C,A38,'muddati otgan'!J:J,"ijrochi tanlash")</f>
        <v>0</v>
      </c>
      <c r="X38" s="11">
        <f>+COUNTIFS('muddati otgan'!C:C,A38,'muddati otgan'!J:J,"Ko'chmas mulk turini tanlash")</f>
        <v>0</v>
      </c>
      <c r="Y38" s="11">
        <f t="shared" si="24"/>
        <v>0</v>
      </c>
      <c r="Z38" s="11">
        <f>+COUNTIFS('muddati otgan'!C:C,A38,'muddati otgan'!J:J,"Ijroga qabul qilish")</f>
        <v>0</v>
      </c>
      <c r="AA38" s="11">
        <f>+COUNTIFS('muddati otgan'!C:C,A38,'muddati otgan'!J:J,"Joyida o'rganish va ma'lumotlarni kiritish")</f>
        <v>0</v>
      </c>
      <c r="AB38" s="11">
        <f>+COUNTIFS('muddati otgan'!C:C,A38,'muddati otgan'!J:J,"Asosiy qismdan ajratish jarayonida")</f>
        <v>0</v>
      </c>
      <c r="AC38" s="11">
        <f>+COUNTIFS('muddati otgan'!C:C,A38,'muddati otgan'!J:J,"Umumiy foydalanishdagi obyekt yaratilish")</f>
        <v>0</v>
      </c>
      <c r="AD38" s="11">
        <f>+COUNTIFS('muddati otgan'!C:C,A38,'muddati otgan'!J:J,"Migratsiya qilinadigan kadastr raqamini kiritish")</f>
        <v>0</v>
      </c>
      <c r="AE38" s="11">
        <f>+COUNTIFS('muddati otgan'!C:C,A38,'muddati otgan'!J:J,"O'zida qolgan obyektni yaratish")</f>
        <v>0</v>
      </c>
      <c r="AF38" s="11">
        <f>+COUNTIFS('muddati otgan'!C:C,A38,'muddati otgan'!J:J,"O'lchov natijalarini kiritish")</f>
        <v>0</v>
      </c>
      <c r="AG38" s="11">
        <f>+COUNTIFS('muddati otgan'!C:C,A38,'muddati otgan'!J:J,"Topoxaritani tayyorlash (dwg, pdf)")</f>
        <v>0</v>
      </c>
      <c r="AH38" s="11">
        <f t="shared" si="25"/>
        <v>0</v>
      </c>
      <c r="AI38" s="11">
        <f>+COUNTIFS('muddati otgan'!C:C,A38,'muddati otgan'!J:J,"Yer uchastkasini yaratish")</f>
        <v>0</v>
      </c>
      <c r="AJ38" s="11">
        <f t="shared" si="26"/>
        <v>0</v>
      </c>
      <c r="AK38" s="11">
        <f>+COUNTIFS('muddati otgan'!C:C,A38,'muddati otgan'!J:J,"Kelishish (Boshqarma)")</f>
        <v>0</v>
      </c>
      <c r="AL38" s="11">
        <f t="shared" si="27"/>
        <v>0</v>
      </c>
      <c r="AM38" s="11">
        <f>+COUNTIFS('muddati otgan'!C:C,A38,'muddati otgan'!J:J,"Kelishish (DKP)")</f>
        <v>0</v>
      </c>
      <c r="AN38" s="11">
        <f>+COUNTIFS('muddati otgan'!C:C,A38,'muddati otgan'!J:J,"Kelishish")</f>
        <v>0</v>
      </c>
      <c r="AO38" s="11">
        <f>+COUNTIFS('muddati otgan'!C:C,A38,'muddati otgan'!J:J,"Kelishish (Registratsiya DKP)")</f>
        <v>0</v>
      </c>
      <c r="AP38" s="11">
        <f t="shared" si="28"/>
        <v>0</v>
      </c>
      <c r="AQ38" s="11">
        <f>+COUNTIFS('muddati otgan'!C:C,A38,'muddati otgan'!J:J,"Manzil biriktirish")</f>
        <v>0</v>
      </c>
      <c r="AR38" s="11">
        <f>+COUNTIFS('muddati otgan'!C:C,A38,'muddati otgan'!J:J,"Bino va inshootlarni yaratish")</f>
        <v>0</v>
      </c>
      <c r="AS38" s="11">
        <f>+COUNTIFS('muddati otgan'!C:C,A38,'muddati otgan'!J:J,"Dov daraxtlarni yaratish")</f>
        <v>0</v>
      </c>
      <c r="AT38" s="11">
        <f>+COUNTIFS('muddati otgan'!C:C,A38,'muddati otgan'!J:J,"Yer uchastkasini tahrirlash")</f>
        <v>0</v>
      </c>
      <c r="AU38" s="11">
        <f t="shared" si="29"/>
        <v>0</v>
      </c>
      <c r="AV38" s="11">
        <f>+COUNTIFS('muddati otgan'!C:C,A38,'muddati otgan'!J:J,"Yer toifasi va maqsadini kiritish")</f>
        <v>0</v>
      </c>
      <c r="AW38" s="11">
        <f>+COUNTIFS('muddati otgan'!C:C,A38,'muddati otgan'!J:J,"Auksion yer tekshirish")</f>
        <v>0</v>
      </c>
      <c r="AX38" s="11">
        <f>+COUNTIFS('muddati otgan'!C:C,A38,'muddati otgan'!J:J,"Yer turlarini kiritish")</f>
        <v>0</v>
      </c>
      <c r="AY38" s="11">
        <f>+COUNTIFS('muddati otgan'!C:C,A38,'muddati otgan'!J:J,"Ma'lumotlarni kiritish")</f>
        <v>0</v>
      </c>
      <c r="AZ38" s="11">
        <f>+COUNTIFS('muddati otgan'!C:C,A38,'muddati otgan'!J:J,"Yer tekshirish")</f>
        <v>0</v>
      </c>
      <c r="BA38" s="11">
        <f t="shared" si="30"/>
        <v>0</v>
      </c>
      <c r="BB38" s="11">
        <f>+COUNTIFS('muddati otgan'!C:C,A38,'muddati otgan'!J:J,"Bino va inshoot ma'lumotlarini to‘ldirish")</f>
        <v>0</v>
      </c>
      <c r="BC38" s="11">
        <f>+COUNTIFS('muddati otgan'!C:C,A38,'muddati otgan'!J:J,"Inventarizatsiya ma'lumotlarini to‘ldirish")</f>
        <v>0</v>
      </c>
      <c r="BD38" s="11">
        <f>+COUNTIFS('muddati otgan'!C:C,A38,'muddati otgan'!J:J,"Yer uchastkasiga huquqiy hujjatlarni kiritsh")</f>
        <v>0</v>
      </c>
      <c r="BE38" s="11">
        <f>+COUNTIFS('muddati otgan'!C:C,A38,'muddati otgan'!J:J,"Bino-inshootlarga huquqiy hujjatlarni kiritsh")</f>
        <v>0</v>
      </c>
      <c r="BF38" s="11">
        <f>+COUNTIFS('muddati otgan'!C:C,A38,'muddati otgan'!J:J,"Kadastr qiymatini hisoblash va kiritish")</f>
        <v>0</v>
      </c>
      <c r="BG38" s="11">
        <f>+COUNTIFS('muddati otgan'!C:C,A38,'muddati otgan'!J:J,"Kadastr raqam biriktirish")</f>
        <v>0</v>
      </c>
      <c r="BH38" s="11">
        <f>+COUNTIFS('muddati otgan'!C:C,A38,'muddati otgan'!J:J,"Kadastr yig'ma jildni tayyorlash")</f>
        <v>0</v>
      </c>
      <c r="BI38" s="11">
        <f>+COUNTIFS('muddati otgan'!C:C,A38,'muddati otgan'!J:J,"Huquqni yaratish")</f>
        <v>0</v>
      </c>
      <c r="BJ38" s="11">
        <f>+COUNTIFS('muddati otgan'!C:C,A38,'muddati otgan'!J:J,"Hujjatlarni o'rganish")</f>
        <v>0</v>
      </c>
      <c r="BK38" s="11">
        <f>+COUNTIFS('muddati otgan'!C:C,A38,'muddati otgan'!J:J,"Ma'lumotlarni tekshirish")</f>
        <v>0</v>
      </c>
      <c r="BL38" s="11">
        <f t="shared" si="31"/>
        <v>0</v>
      </c>
      <c r="BM38" s="11">
        <f>+COUNTIFS('muddati otgan'!C:C,A38,'muddati otgan'!J:J,"Tekshirish")</f>
        <v>0</v>
      </c>
      <c r="BN38" s="11">
        <f>+COUNTIFS('muddati otgan'!C:C,A38,'muddati otgan'!J:J,"Hujjatlarni tekshirish")</f>
        <v>0</v>
      </c>
      <c r="BO38" s="11">
        <f>+COUNTIFS('muddati otgan'!C:C,A38,'muddati otgan'!J:J,"Tasdiqlash")</f>
        <v>0</v>
      </c>
      <c r="BP38" s="11">
        <f>+COUNTIFS('muddati otgan'!C:C,A38,'muddati otgan'!J:J,"tekshirish/tasdiqlash")</f>
        <v>0</v>
      </c>
      <c r="BQ38" s="11">
        <f>+COUNTIFS('muddati otgan'!C:C,A38,'muddati otgan'!J:J,"Ma'lumotlarni tasdiqlash")</f>
        <v>0</v>
      </c>
      <c r="BR38" s="11">
        <f t="shared" si="32"/>
        <v>0</v>
      </c>
      <c r="BS38" s="11">
        <f>+COUNTIFS('muddati otgan'!C:C,A38,'muddati otgan'!J:J,"Ro'yxatdan o'tkazish ma'lumotlarini tekshirish")</f>
        <v>0</v>
      </c>
      <c r="BT38" s="11">
        <f>+COUNTIFS('muddati otgan'!C:C,A38,'muddati otgan'!J:J,"Kamchiliklar bo'yicha habarnoma yuborish va 3 kunga to'xtatish")</f>
        <v>0</v>
      </c>
      <c r="BU38" s="11">
        <f>+COUNTIFS('muddati otgan'!C:C,A38,'muddati otgan'!J:J,"Hisobga olish")</f>
        <v>0</v>
      </c>
      <c r="BV38" s="11">
        <f>+COUNTIFS('muddati otgan'!C:C,A38,'muddati otgan'!J:J,"Yer uchastkasiga huquq yaratish")</f>
        <v>0</v>
      </c>
      <c r="BW38" s="11">
        <f>+COUNTIFS('muddati otgan'!C:C,A38,'muddati otgan'!J:J,"Bino-inshootga huquq yaratish")</f>
        <v>0</v>
      </c>
      <c r="BX38" s="11">
        <f>+COUNTIFS('muddati otgan'!C:C,A38,'muddati otgan'!J:J,"Cheklov yaratish")</f>
        <v>0</v>
      </c>
      <c r="BY38" s="11">
        <f>+COUNTIFS('muddati otgan'!C:C,A38,'muddati otgan'!J:J,"Taqiq yaratish")</f>
        <v>0</v>
      </c>
      <c r="BZ38" s="11">
        <f t="shared" si="33"/>
        <v>0</v>
      </c>
      <c r="CA38" s="11">
        <f>+COUNTIFS('muddati otgan'!C:C,A38,'muddati otgan'!J:J,"Soliq maydonini tekshirish")</f>
        <v>0</v>
      </c>
      <c r="CB38" s="11">
        <f t="shared" si="34"/>
        <v>0</v>
      </c>
      <c r="CC38" s="11">
        <f>+COUNTIFS('muddati otgan'!C:C,A38,'muddati otgan'!J:J,"Kadastr yig'majildini shakllantirish")</f>
        <v>0</v>
      </c>
      <c r="CD38" s="11">
        <f t="shared" si="35"/>
        <v>1</v>
      </c>
      <c r="CE38" s="11">
        <f>+COUNTIFS('muddati otgan'!C:C,A38,'muddati otgan'!J:J,"Kadastr passportini shakllantirish")</f>
        <v>1</v>
      </c>
      <c r="CF38" s="11">
        <f>+COUNTIFS('muddati otgan'!C:C,A38,'muddati otgan'!J:J,"Yig'ma jildni tasdiqlash")</f>
        <v>0</v>
      </c>
      <c r="CG38" s="11">
        <f>+COUNTIFS('muddati otgan'!C:C,A38,'muddati otgan'!J:J,"To'lov yoki bepul tasdiqlash")</f>
        <v>0</v>
      </c>
      <c r="CH38" s="11">
        <f>+COUNTIFS('muddati otgan'!C:C,A38,'muddati otgan'!J:J,"Bog'liq arizani kutish")</f>
        <v>0</v>
      </c>
      <c r="CI38" s="11">
        <f>+COUNTIFS('muddati otgan'!C:C,A38,'muddati otgan'!J:J,"To'lovga chiqarish")</f>
        <v>0</v>
      </c>
      <c r="CJ38" s="11">
        <f>+COUNTIFS('muddati otgan'!C:C,A38,'muddati otgan'!J:J,"Hisobga qo'yish")</f>
        <v>0</v>
      </c>
      <c r="CK38" s="6">
        <f>+COUNTIFS('muddati otgan'!C:C,A38,'muddati otgan'!J:J,"To'lov kutilmoqda")</f>
        <v>0</v>
      </c>
      <c r="CL38" s="11">
        <f t="shared" si="36"/>
        <v>0</v>
      </c>
      <c r="CM38" s="11">
        <f>+COUNTIFS('muddati otgan'!C:C,A38,'muddati otgan'!AA:AA,"Arizani qabul qilish2")</f>
        <v>0</v>
      </c>
      <c r="CN38" s="11">
        <f>+COUNTIFS('muddati otgan'!C:C,A38,'muddati otgan'!J:J,"Huquqlarni tekshirish")</f>
        <v>0</v>
      </c>
      <c r="CO38" s="11">
        <f>+COUNTIFS('muddati otgan'!C:C,A38,'muddati otgan'!J:J,"Ko'chmas mulkni ro'yhatdan o'tkazishga qabul qilish")</f>
        <v>0</v>
      </c>
      <c r="CP38" s="11">
        <f>+COUNTIFS('muddati otgan'!C:C,A38,'muddati otgan'!J:J,"Ro'yxatdan o'tkazish")</f>
        <v>0</v>
      </c>
      <c r="CQ38" s="11">
        <f>+COUNTIFS('muddati otgan'!C:C,A38,'muddati otgan'!J:J,"Kadastr pasporti va ko'chirmani yuborish")</f>
        <v>0</v>
      </c>
      <c r="CR38" s="11">
        <f>+COUNTIFS('muddati otgan'!C:C,A38,'muddati otgan'!AA:AA,"Rad qilish2")</f>
        <v>0</v>
      </c>
      <c r="CS38" s="11">
        <f>+COUNTIFS('muddati otgan'!C:C,A38,'muddati otgan'!J:J,"Ko'chirmani yuborish")</f>
        <v>0</v>
      </c>
      <c r="CT38" s="11">
        <f>+COUNTIFS('muddati otgan'!C:C,A38,'muddati otgan'!J:J,"Ma‘lumotlarni tekshirish")</f>
        <v>0</v>
      </c>
      <c r="CU38" s="11">
        <f t="shared" si="37"/>
        <v>0</v>
      </c>
      <c r="CV38" s="11">
        <f>+COUNTIFS('muddati otgan'!C:C,A38,'muddati otgan'!J:J,"Kadastr yig'majildini chop etish va arxiv ishiga tikish")</f>
        <v>0</v>
      </c>
      <c r="CW38" s="11">
        <f t="shared" si="38"/>
        <v>0</v>
      </c>
      <c r="CX38" s="11">
        <f>+COUNTIFS('muddati otgan'!C:C,A38,'muddati otgan'!J:J,"Kadastr yig‘majildini qabul qilish, arizani yakunlash")</f>
        <v>0</v>
      </c>
      <c r="CY38" s="11">
        <f>+COUNTIFS('muddati otgan'!C:C,A38,'muddati otgan'!J:J,"Next Cloudga yuklash")</f>
        <v>0</v>
      </c>
      <c r="CZ38" s="6">
        <f>+COUNTIFS('muddati otgan'!C:C,A38,'muddati otgan'!J:J,"Kelishish kutilmoqda")</f>
        <v>0</v>
      </c>
      <c r="DA38" s="6">
        <f>+COUNTIFS('muddati otgan'!C:C,A38,'muddati otgan'!J:J,"Yakunlandi")</f>
        <v>0</v>
      </c>
      <c r="DB38" s="10">
        <f>+COUNTIFS('muddati otgan'!C:C,A38,'muddati otgan'!J:J,"Rad etildi")</f>
        <v>0</v>
      </c>
      <c r="DC38" s="100">
        <f t="shared" si="5"/>
        <v>-1</v>
      </c>
      <c r="DD38" s="44">
        <f>COUNTIFS('jami 1-20 kunlik arizalar'!C:C,A:A,'jami 1-20 kunlik arizalar'!S:S,"1")</f>
        <v>0</v>
      </c>
      <c r="DE38" s="11">
        <f>COUNTIFS('jami 1-20 kunlik arizalar'!C:C,A:A,'jami 1-20 kunlik arizalar'!S:S,"2")</f>
        <v>0</v>
      </c>
      <c r="DF38" s="11">
        <f>COUNTIFS('jami 1-20 kunlik arizalar'!C:C,A:A,'jami 1-20 kunlik arizalar'!S:S,"3")</f>
        <v>1</v>
      </c>
      <c r="DG38" s="11">
        <f>COUNTIFS('jami 1-20 kunlik arizalar'!C:C,A:A,'jami 1-20 kunlik arizalar'!S:S,"4")</f>
        <v>0</v>
      </c>
      <c r="DH38" s="11">
        <f>COUNTIFS('jami 1-20 kunlik arizalar'!C:C,A:A,'jami 1-20 kunlik arizalar'!S:S,"5")</f>
        <v>4</v>
      </c>
      <c r="DI38" s="11">
        <f>SUM(COUNTIFS('jami 1-20 kunlik arizalar'!C:C,A:A, 'jami 1-20 kunlik arizalar'!S:S, {6,7,8,9,10}))</f>
        <v>10</v>
      </c>
      <c r="DJ38" s="12">
        <f>SUM(COUNTIFS('jami 1-20 kunlik arizalar'!C:C,A:A, 'jami 1-20 kunlik arizalar'!S:S, "&gt;10"))</f>
        <v>2</v>
      </c>
    </row>
    <row r="39" spans="1:115" ht="35.1" hidden="1" customHeight="1" outlineLevel="1" x14ac:dyDescent="0.25">
      <c r="A39" s="92">
        <v>52908045880018</v>
      </c>
      <c r="B39" s="74"/>
      <c r="C39" s="85" t="s">
        <v>984</v>
      </c>
      <c r="D39" s="80">
        <f>+COUNTIFS('muddati otgan'!C:C,A39,'muddati otgan'!C:C,A39)</f>
        <v>0</v>
      </c>
      <c r="E39" s="10">
        <f>SUMIFS('muddati otgan'!$V:V,'muddati otgan'!$C:C,$A:A)</f>
        <v>0</v>
      </c>
      <c r="F39" s="10">
        <f>SUMIFS('muddati otgan'!$W:W,'muddati otgan'!$C:C,$A:A)</f>
        <v>0</v>
      </c>
      <c r="G39" s="24">
        <f>SUMIFS('muddati otgan'!$U:U,'muddati otgan'!$C:C,$A:A)</f>
        <v>0</v>
      </c>
      <c r="H39" s="11">
        <f>SUMIFS('muddati otgan'!$G:G,'muddati otgan'!$C:C,$A:A)</f>
        <v>0</v>
      </c>
      <c r="I39" s="12">
        <f>SUMIFS('muddati otgan'!$H:H,'muddati otgan'!$C:C,$A:A)</f>
        <v>0</v>
      </c>
      <c r="J39" s="44">
        <f t="shared" si="23"/>
        <v>0</v>
      </c>
      <c r="K39" s="11">
        <f>+COUNTIFS('muddati otgan'!C:C,A39,'muddati otgan'!AA:AA,"Arizani qabul qilish")</f>
        <v>0</v>
      </c>
      <c r="L39" s="11">
        <f>+COUNTIFS('muddati otgan'!C:C,A39,'muddati otgan'!J:J,"Arizani rad etish")</f>
        <v>0</v>
      </c>
      <c r="M39" s="11">
        <f>+COUNTIFS('muddati otgan'!C:C,A39,'muddati otgan'!J:J,"Arizani tasdiqlash")</f>
        <v>0</v>
      </c>
      <c r="N39" s="11">
        <f>+COUNTIFS('muddati otgan'!C:C,A39,'muddati otgan'!J:J,"Arizani yo'naltirish")</f>
        <v>0</v>
      </c>
      <c r="O39" s="11">
        <f>+COUNTIFS('muddati otgan'!C:C,A39,'muddati otgan'!J:J,"Rad qilish sababini o'rganish")</f>
        <v>0</v>
      </c>
      <c r="P39" s="11">
        <f>+COUNTIFS('muddati otgan'!C:C,A39,'muddati otgan'!J:J,"Ko'chmas mulkni UZKAD ga migratsiya qilish")</f>
        <v>0</v>
      </c>
      <c r="Q39" s="11">
        <f>+COUNTIFS('muddati otgan'!C:C,A39,'muddati otgan'!J:J,"Migratisya qilingan obyekt holatini tekshirish")</f>
        <v>0</v>
      </c>
      <c r="R39" s="11">
        <f>+COUNTIFS('muddati otgan'!C:C,A39,'muddati otgan'!J:J,"Ko‘chmas mulkni tanlash")</f>
        <v>0</v>
      </c>
      <c r="S39" s="11">
        <f>+COUNTIFS('muddati otgan'!C:C,A39,'muddati otgan'!J:J,"Arizani ko'rib chiqish")</f>
        <v>0</v>
      </c>
      <c r="T39" s="11">
        <f>+COUNTIFS('muddati otgan'!C:C,A39,'muddati otgan'!J:J,"Kadastr muhandisini tanlash")</f>
        <v>0</v>
      </c>
      <c r="U39" s="11">
        <f>+COUNTIFS('muddati otgan'!C:C,A39,'muddati otgan'!J:J,"Ko'chmas mulk turini tanlahsh")</f>
        <v>0</v>
      </c>
      <c r="V39" s="11">
        <f>+COUNTIFS('muddati otgan'!C:C,A39,'muddati otgan'!AA:AA,"Rad qilish")</f>
        <v>0</v>
      </c>
      <c r="W39" s="11">
        <f>+COUNTIFS('muddati otgan'!C:C,A39,'muddati otgan'!J:J,"ijrochi tanlash")</f>
        <v>0</v>
      </c>
      <c r="X39" s="11">
        <f>+COUNTIFS('muddati otgan'!C:C,A39,'muddati otgan'!J:J,"Ko'chmas mulk turini tanlash")</f>
        <v>0</v>
      </c>
      <c r="Y39" s="11">
        <f t="shared" si="24"/>
        <v>0</v>
      </c>
      <c r="Z39" s="11">
        <f>+COUNTIFS('muddati otgan'!C:C,A39,'muddati otgan'!J:J,"Ijroga qabul qilish")</f>
        <v>0</v>
      </c>
      <c r="AA39" s="11">
        <f>+COUNTIFS('muddati otgan'!C:C,A39,'muddati otgan'!J:J,"Joyida o'rganish va ma'lumotlarni kiritish")</f>
        <v>0</v>
      </c>
      <c r="AB39" s="11">
        <f>+COUNTIFS('muddati otgan'!C:C,A39,'muddati otgan'!J:J,"Asosiy qismdan ajratish jarayonida")</f>
        <v>0</v>
      </c>
      <c r="AC39" s="11">
        <f>+COUNTIFS('muddati otgan'!C:C,A39,'muddati otgan'!J:J,"Umumiy foydalanishdagi obyekt yaratilish")</f>
        <v>0</v>
      </c>
      <c r="AD39" s="11">
        <f>+COUNTIFS('muddati otgan'!C:C,A39,'muddati otgan'!J:J,"Migratsiya qilinadigan kadastr raqamini kiritish")</f>
        <v>0</v>
      </c>
      <c r="AE39" s="11">
        <f>+COUNTIFS('muddati otgan'!C:C,A39,'muddati otgan'!J:J,"O'zida qolgan obyektni yaratish")</f>
        <v>0</v>
      </c>
      <c r="AF39" s="11">
        <f>+COUNTIFS('muddati otgan'!C:C,A39,'muddati otgan'!J:J,"O'lchov natijalarini kiritish")</f>
        <v>0</v>
      </c>
      <c r="AG39" s="11">
        <f>+COUNTIFS('muddati otgan'!C:C,A39,'muddati otgan'!J:J,"Topoxaritani tayyorlash (dwg, pdf)")</f>
        <v>0</v>
      </c>
      <c r="AH39" s="11">
        <f t="shared" si="25"/>
        <v>0</v>
      </c>
      <c r="AI39" s="11">
        <f>+COUNTIFS('muddati otgan'!C:C,A39,'muddati otgan'!J:J,"Yer uchastkasini yaratish")</f>
        <v>0</v>
      </c>
      <c r="AJ39" s="11">
        <f t="shared" si="26"/>
        <v>0</v>
      </c>
      <c r="AK39" s="11">
        <f>+COUNTIFS('muddati otgan'!C:C,A39,'muddati otgan'!J:J,"Kelishish (Boshqarma)")</f>
        <v>0</v>
      </c>
      <c r="AL39" s="11">
        <f t="shared" si="27"/>
        <v>0</v>
      </c>
      <c r="AM39" s="11">
        <f>+COUNTIFS('muddati otgan'!C:C,A39,'muddati otgan'!J:J,"Kelishish (DKP)")</f>
        <v>0</v>
      </c>
      <c r="AN39" s="11">
        <f>+COUNTIFS('muddati otgan'!C:C,A39,'muddati otgan'!J:J,"Kelishish")</f>
        <v>0</v>
      </c>
      <c r="AO39" s="11">
        <f>+COUNTIFS('muddati otgan'!C:C,A39,'muddati otgan'!J:J,"Kelishish (Registratsiya DKP)")</f>
        <v>0</v>
      </c>
      <c r="AP39" s="11">
        <f t="shared" si="28"/>
        <v>0</v>
      </c>
      <c r="AQ39" s="11">
        <f>+COUNTIFS('muddati otgan'!C:C,A39,'muddati otgan'!J:J,"Manzil biriktirish")</f>
        <v>0</v>
      </c>
      <c r="AR39" s="11">
        <f>+COUNTIFS('muddati otgan'!C:C,A39,'muddati otgan'!J:J,"Bino va inshootlarni yaratish")</f>
        <v>0</v>
      </c>
      <c r="AS39" s="11">
        <f>+COUNTIFS('muddati otgan'!C:C,A39,'muddati otgan'!J:J,"Dov daraxtlarni yaratish")</f>
        <v>0</v>
      </c>
      <c r="AT39" s="11">
        <f>+COUNTIFS('muddati otgan'!C:C,A39,'muddati otgan'!J:J,"Yer uchastkasini tahrirlash")</f>
        <v>0</v>
      </c>
      <c r="AU39" s="11">
        <f t="shared" si="29"/>
        <v>0</v>
      </c>
      <c r="AV39" s="11">
        <f>+COUNTIFS('muddati otgan'!C:C,A39,'muddati otgan'!J:J,"Yer toifasi va maqsadini kiritish")</f>
        <v>0</v>
      </c>
      <c r="AW39" s="11">
        <f>+COUNTIFS('muddati otgan'!C:C,A39,'muddati otgan'!J:J,"Auksion yer tekshirish")</f>
        <v>0</v>
      </c>
      <c r="AX39" s="11">
        <f>+COUNTIFS('muddati otgan'!C:C,A39,'muddati otgan'!J:J,"Yer turlarini kiritish")</f>
        <v>0</v>
      </c>
      <c r="AY39" s="11">
        <f>+COUNTIFS('muddati otgan'!C:C,A39,'muddati otgan'!J:J,"Ma'lumotlarni kiritish")</f>
        <v>0</v>
      </c>
      <c r="AZ39" s="11">
        <f>+COUNTIFS('muddati otgan'!C:C,A39,'muddati otgan'!J:J,"Yer tekshirish")</f>
        <v>0</v>
      </c>
      <c r="BA39" s="11">
        <f t="shared" si="30"/>
        <v>0</v>
      </c>
      <c r="BB39" s="11">
        <f>+COUNTIFS('muddati otgan'!C:C,A39,'muddati otgan'!J:J,"Bino va inshoot ma'lumotlarini to‘ldirish")</f>
        <v>0</v>
      </c>
      <c r="BC39" s="11">
        <f>+COUNTIFS('muddati otgan'!C:C,A39,'muddati otgan'!J:J,"Inventarizatsiya ma'lumotlarini to‘ldirish")</f>
        <v>0</v>
      </c>
      <c r="BD39" s="11">
        <f>+COUNTIFS('muddati otgan'!C:C,A39,'muddati otgan'!J:J,"Yer uchastkasiga huquqiy hujjatlarni kiritsh")</f>
        <v>0</v>
      </c>
      <c r="BE39" s="11">
        <f>+COUNTIFS('muddati otgan'!C:C,A39,'muddati otgan'!J:J,"Bino-inshootlarga huquqiy hujjatlarni kiritsh")</f>
        <v>0</v>
      </c>
      <c r="BF39" s="11">
        <f>+COUNTIFS('muddati otgan'!C:C,A39,'muddati otgan'!J:J,"Kadastr qiymatini hisoblash va kiritish")</f>
        <v>0</v>
      </c>
      <c r="BG39" s="11">
        <f>+COUNTIFS('muddati otgan'!C:C,A39,'muddati otgan'!J:J,"Kadastr raqam biriktirish")</f>
        <v>0</v>
      </c>
      <c r="BH39" s="11">
        <f>+COUNTIFS('muddati otgan'!C:C,A39,'muddati otgan'!J:J,"Kadastr yig'ma jildni tayyorlash")</f>
        <v>0</v>
      </c>
      <c r="BI39" s="11">
        <f>+COUNTIFS('muddati otgan'!C:C,A39,'muddati otgan'!J:J,"Huquqni yaratish")</f>
        <v>0</v>
      </c>
      <c r="BJ39" s="11">
        <f>+COUNTIFS('muddati otgan'!C:C,A39,'muddati otgan'!J:J,"Hujjatlarni o'rganish")</f>
        <v>0</v>
      </c>
      <c r="BK39" s="11">
        <f>+COUNTIFS('muddati otgan'!C:C,A39,'muddati otgan'!J:J,"Ma'lumotlarni tekshirish")</f>
        <v>0</v>
      </c>
      <c r="BL39" s="11">
        <f t="shared" si="31"/>
        <v>0</v>
      </c>
      <c r="BM39" s="11">
        <f>+COUNTIFS('muddati otgan'!C:C,A39,'muddati otgan'!J:J,"Tekshirish")</f>
        <v>0</v>
      </c>
      <c r="BN39" s="11">
        <f>+COUNTIFS('muddati otgan'!C:C,A39,'muddati otgan'!J:J,"Hujjatlarni tekshirish")</f>
        <v>0</v>
      </c>
      <c r="BO39" s="11">
        <f>+COUNTIFS('muddati otgan'!C:C,A39,'muddati otgan'!J:J,"Tasdiqlash")</f>
        <v>0</v>
      </c>
      <c r="BP39" s="11">
        <f>+COUNTIFS('muddati otgan'!C:C,A39,'muddati otgan'!J:J,"tekshirish/tasdiqlash")</f>
        <v>0</v>
      </c>
      <c r="BQ39" s="11">
        <f>+COUNTIFS('muddati otgan'!C:C,A39,'muddati otgan'!J:J,"Ma'lumotlarni tasdiqlash")</f>
        <v>0</v>
      </c>
      <c r="BR39" s="11">
        <f t="shared" si="32"/>
        <v>0</v>
      </c>
      <c r="BS39" s="11">
        <f>+COUNTIFS('muddati otgan'!C:C,A39,'muddati otgan'!J:J,"Ro'yxatdan o'tkazish ma'lumotlarini tekshirish")</f>
        <v>0</v>
      </c>
      <c r="BT39" s="11">
        <f>+COUNTIFS('muddati otgan'!C:C,A39,'muddati otgan'!J:J,"Kamchiliklar bo'yicha habarnoma yuborish va 3 kunga to'xtatish")</f>
        <v>0</v>
      </c>
      <c r="BU39" s="11">
        <f>+COUNTIFS('muddati otgan'!C:C,A39,'muddati otgan'!J:J,"Hisobga olish")</f>
        <v>0</v>
      </c>
      <c r="BV39" s="11">
        <f>+COUNTIFS('muddati otgan'!C:C,A39,'muddati otgan'!J:J,"Yer uchastkasiga huquq yaratish")</f>
        <v>0</v>
      </c>
      <c r="BW39" s="11">
        <f>+COUNTIFS('muddati otgan'!C:C,A39,'muddati otgan'!J:J,"Bino-inshootga huquq yaratish")</f>
        <v>0</v>
      </c>
      <c r="BX39" s="11">
        <f>+COUNTIFS('muddati otgan'!C:C,A39,'muddati otgan'!J:J,"Cheklov yaratish")</f>
        <v>0</v>
      </c>
      <c r="BY39" s="11">
        <f>+COUNTIFS('muddati otgan'!C:C,A39,'muddati otgan'!J:J,"Taqiq yaratish")</f>
        <v>0</v>
      </c>
      <c r="BZ39" s="11">
        <f t="shared" si="33"/>
        <v>0</v>
      </c>
      <c r="CA39" s="11">
        <f>+COUNTIFS('muddati otgan'!C:C,A39,'muddati otgan'!J:J,"Soliq maydonini tekshirish")</f>
        <v>0</v>
      </c>
      <c r="CB39" s="11">
        <f t="shared" si="34"/>
        <v>0</v>
      </c>
      <c r="CC39" s="11">
        <f>+COUNTIFS('muddati otgan'!C:C,A39,'muddati otgan'!J:J,"Kadastr yig'majildini shakllantirish")</f>
        <v>0</v>
      </c>
      <c r="CD39" s="11">
        <f t="shared" si="35"/>
        <v>0</v>
      </c>
      <c r="CE39" s="11">
        <f>+COUNTIFS('muddati otgan'!C:C,A39,'muddati otgan'!J:J,"Kadastr passportini shakllantirish")</f>
        <v>0</v>
      </c>
      <c r="CF39" s="11">
        <f>+COUNTIFS('muddati otgan'!C:C,A39,'muddati otgan'!J:J,"Yig'ma jildni tasdiqlash")</f>
        <v>0</v>
      </c>
      <c r="CG39" s="11">
        <f>+COUNTIFS('muddati otgan'!C:C,A39,'muddati otgan'!J:J,"To'lov yoki bepul tasdiqlash")</f>
        <v>0</v>
      </c>
      <c r="CH39" s="11">
        <f>+COUNTIFS('muddati otgan'!C:C,A39,'muddati otgan'!J:J,"Bog'liq arizani kutish")</f>
        <v>0</v>
      </c>
      <c r="CI39" s="11">
        <f>+COUNTIFS('muddati otgan'!C:C,A39,'muddati otgan'!J:J,"To'lovga chiqarish")</f>
        <v>0</v>
      </c>
      <c r="CJ39" s="11">
        <f>+COUNTIFS('muddati otgan'!C:C,A39,'muddati otgan'!J:J,"Hisobga qo'yish")</f>
        <v>0</v>
      </c>
      <c r="CK39" s="6">
        <f>+COUNTIFS('muddati otgan'!C:C,A39,'muddati otgan'!J:J,"To'lov kutilmoqda")</f>
        <v>0</v>
      </c>
      <c r="CL39" s="11">
        <f t="shared" si="36"/>
        <v>0</v>
      </c>
      <c r="CM39" s="11">
        <f>+COUNTIFS('muddati otgan'!C:C,A39,'muddati otgan'!AA:AA,"Arizani qabul qilish2")</f>
        <v>0</v>
      </c>
      <c r="CN39" s="11">
        <f>+COUNTIFS('muddati otgan'!C:C,A39,'muddati otgan'!J:J,"Huquqlarni tekshirish")</f>
        <v>0</v>
      </c>
      <c r="CO39" s="11">
        <f>+COUNTIFS('muddati otgan'!C:C,A39,'muddati otgan'!J:J,"Ko'chmas mulkni ro'yhatdan o'tkazishga qabul qilish")</f>
        <v>0</v>
      </c>
      <c r="CP39" s="11">
        <f>+COUNTIFS('muddati otgan'!C:C,A39,'muddati otgan'!J:J,"Ro'yxatdan o'tkazish")</f>
        <v>0</v>
      </c>
      <c r="CQ39" s="11">
        <f>+COUNTIFS('muddati otgan'!C:C,A39,'muddati otgan'!J:J,"Kadastr pasporti va ko'chirmani yuborish")</f>
        <v>0</v>
      </c>
      <c r="CR39" s="11">
        <f>+COUNTIFS('muddati otgan'!C:C,A39,'muddati otgan'!AA:AA,"Rad qilish2")</f>
        <v>0</v>
      </c>
      <c r="CS39" s="11">
        <f>+COUNTIFS('muddati otgan'!C:C,A39,'muddati otgan'!J:J,"Ko'chirmani yuborish")</f>
        <v>0</v>
      </c>
      <c r="CT39" s="11">
        <f>+COUNTIFS('muddati otgan'!C:C,A39,'muddati otgan'!J:J,"Ma‘lumotlarni tekshirish")</f>
        <v>0</v>
      </c>
      <c r="CU39" s="11">
        <f t="shared" si="37"/>
        <v>0</v>
      </c>
      <c r="CV39" s="11">
        <f>+COUNTIFS('muddati otgan'!C:C,A39,'muddati otgan'!J:J,"Kadastr yig'majildini chop etish va arxiv ishiga tikish")</f>
        <v>0</v>
      </c>
      <c r="CW39" s="11">
        <f t="shared" si="38"/>
        <v>0</v>
      </c>
      <c r="CX39" s="11">
        <f>+COUNTIFS('muddati otgan'!C:C,A39,'muddati otgan'!J:J,"Kadastr yig‘majildini qabul qilish, arizani yakunlash")</f>
        <v>0</v>
      </c>
      <c r="CY39" s="11">
        <f>+COUNTIFS('muddati otgan'!C:C,A39,'muddati otgan'!J:J,"Next Cloudga yuklash")</f>
        <v>0</v>
      </c>
      <c r="CZ39" s="6">
        <f>+COUNTIFS('muddati otgan'!C:C,A39,'muddati otgan'!J:J,"Kelishish kutilmoqda")</f>
        <v>0</v>
      </c>
      <c r="DA39" s="6">
        <f>+COUNTIFS('muddati otgan'!C:C,A39,'muddati otgan'!J:J,"Yakunlandi")</f>
        <v>0</v>
      </c>
      <c r="DB39" s="10">
        <f>+COUNTIFS('muddati otgan'!C:C,A39,'muddati otgan'!J:J,"Rad etildi")</f>
        <v>0</v>
      </c>
      <c r="DC39" s="100">
        <f t="shared" si="5"/>
        <v>0</v>
      </c>
      <c r="DD39" s="44">
        <f>COUNTIFS('jami 1-20 kunlik arizalar'!C:C,A:A,'jami 1-20 kunlik arizalar'!S:S,"1")</f>
        <v>0</v>
      </c>
      <c r="DE39" s="11">
        <f>COUNTIFS('jami 1-20 kunlik arizalar'!C:C,A:A,'jami 1-20 kunlik arizalar'!S:S,"2")</f>
        <v>0</v>
      </c>
      <c r="DF39" s="11">
        <f>COUNTIFS('jami 1-20 kunlik arizalar'!C:C,A:A,'jami 1-20 kunlik arizalar'!S:S,"3")</f>
        <v>0</v>
      </c>
      <c r="DG39" s="11">
        <f>COUNTIFS('jami 1-20 kunlik arizalar'!C:C,A:A,'jami 1-20 kunlik arizalar'!S:S,"4")</f>
        <v>2</v>
      </c>
      <c r="DH39" s="11">
        <f>COUNTIFS('jami 1-20 kunlik arizalar'!C:C,A:A,'jami 1-20 kunlik arizalar'!S:S,"5")</f>
        <v>0</v>
      </c>
      <c r="DI39" s="11">
        <f>SUM(COUNTIFS('jami 1-20 kunlik arizalar'!C:C,A:A, 'jami 1-20 kunlik arizalar'!S:S, {6,7,8,9,10}))</f>
        <v>16</v>
      </c>
      <c r="DJ39" s="12">
        <f>SUM(COUNTIFS('jami 1-20 kunlik arizalar'!C:C,A:A, 'jami 1-20 kunlik arizalar'!S:S, "&gt;10"))</f>
        <v>9</v>
      </c>
    </row>
    <row r="40" spans="1:115" ht="35.1" hidden="1" customHeight="1" outlineLevel="1" x14ac:dyDescent="0.25">
      <c r="A40" s="92" t="s">
        <v>652</v>
      </c>
      <c r="B40" s="74"/>
      <c r="C40" s="85" t="s">
        <v>770</v>
      </c>
      <c r="D40" s="80">
        <f>+COUNTIFS('muddati otgan'!C:C,A40,'muddati otgan'!C:C,A40)</f>
        <v>0</v>
      </c>
      <c r="E40" s="10">
        <f>SUMIFS('muddati otgan'!$V:V,'muddati otgan'!$C:C,$A:A)</f>
        <v>0</v>
      </c>
      <c r="F40" s="10">
        <f>SUMIFS('muddati otgan'!$W:W,'muddati otgan'!$C:C,$A:A)</f>
        <v>0</v>
      </c>
      <c r="G40" s="24">
        <f>SUMIFS('muddati otgan'!$U:U,'muddati otgan'!$C:C,$A:A)</f>
        <v>0</v>
      </c>
      <c r="H40" s="11">
        <f>SUMIFS('muddati otgan'!$G:G,'muddati otgan'!$C:C,$A:A)</f>
        <v>0</v>
      </c>
      <c r="I40" s="12">
        <f>SUMIFS('muddati otgan'!$H:H,'muddati otgan'!$C:C,$A:A)</f>
        <v>0</v>
      </c>
      <c r="J40" s="44">
        <f t="shared" si="23"/>
        <v>0</v>
      </c>
      <c r="K40" s="11">
        <f>+COUNTIFS('muddati otgan'!C:C,A40,'muddati otgan'!AA:AA,"Arizani qabul qilish")</f>
        <v>0</v>
      </c>
      <c r="L40" s="11">
        <f>+COUNTIFS('muddati otgan'!C:C,A40,'muddati otgan'!J:J,"Arizani rad etish")</f>
        <v>0</v>
      </c>
      <c r="M40" s="11">
        <f>+COUNTIFS('muddati otgan'!C:C,A40,'muddati otgan'!J:J,"Arizani tasdiqlash")</f>
        <v>0</v>
      </c>
      <c r="N40" s="11">
        <f>+COUNTIFS('muddati otgan'!C:C,A40,'muddati otgan'!J:J,"Arizani yo'naltirish")</f>
        <v>0</v>
      </c>
      <c r="O40" s="11">
        <f>+COUNTIFS('muddati otgan'!C:C,A40,'muddati otgan'!J:J,"Rad qilish sababini o'rganish")</f>
        <v>0</v>
      </c>
      <c r="P40" s="11">
        <f>+COUNTIFS('muddati otgan'!C:C,A40,'muddati otgan'!J:J,"Ko'chmas mulkni UZKAD ga migratsiya qilish")</f>
        <v>0</v>
      </c>
      <c r="Q40" s="11">
        <f>+COUNTIFS('muddati otgan'!C:C,A40,'muddati otgan'!J:J,"Migratisya qilingan obyekt holatini tekshirish")</f>
        <v>0</v>
      </c>
      <c r="R40" s="11">
        <f>+COUNTIFS('muddati otgan'!C:C,A40,'muddati otgan'!J:J,"Ko‘chmas mulkni tanlash")</f>
        <v>0</v>
      </c>
      <c r="S40" s="11">
        <f>+COUNTIFS('muddati otgan'!C:C,A40,'muddati otgan'!J:J,"Arizani ko'rib chiqish")</f>
        <v>0</v>
      </c>
      <c r="T40" s="11">
        <f>+COUNTIFS('muddati otgan'!C:C,A40,'muddati otgan'!J:J,"Kadastr muhandisini tanlash")</f>
        <v>0</v>
      </c>
      <c r="U40" s="11">
        <f>+COUNTIFS('muddati otgan'!C:C,A40,'muddati otgan'!J:J,"Ko'chmas mulk turini tanlahsh")</f>
        <v>0</v>
      </c>
      <c r="V40" s="11">
        <f>+COUNTIFS('muddati otgan'!C:C,A40,'muddati otgan'!AA:AA,"Rad qilish")</f>
        <v>0</v>
      </c>
      <c r="W40" s="11">
        <f>+COUNTIFS('muddati otgan'!C:C,A40,'muddati otgan'!J:J,"ijrochi tanlash")</f>
        <v>0</v>
      </c>
      <c r="X40" s="11">
        <f>+COUNTIFS('muddati otgan'!C:C,A40,'muddati otgan'!J:J,"Ko'chmas mulk turini tanlash")</f>
        <v>0</v>
      </c>
      <c r="Y40" s="11">
        <f t="shared" si="24"/>
        <v>0</v>
      </c>
      <c r="Z40" s="11">
        <f>+COUNTIFS('muddati otgan'!C:C,A40,'muddati otgan'!J:J,"Ijroga qabul qilish")</f>
        <v>0</v>
      </c>
      <c r="AA40" s="11">
        <f>+COUNTIFS('muddati otgan'!C:C,A40,'muddati otgan'!J:J,"Joyida o'rganish va ma'lumotlarni kiritish")</f>
        <v>0</v>
      </c>
      <c r="AB40" s="11">
        <f>+COUNTIFS('muddati otgan'!C:C,A40,'muddati otgan'!J:J,"Asosiy qismdan ajratish jarayonida")</f>
        <v>0</v>
      </c>
      <c r="AC40" s="11">
        <f>+COUNTIFS('muddati otgan'!C:C,A40,'muddati otgan'!J:J,"Umumiy foydalanishdagi obyekt yaratilish")</f>
        <v>0</v>
      </c>
      <c r="AD40" s="11">
        <f>+COUNTIFS('muddati otgan'!C:C,A40,'muddati otgan'!J:J,"Migratsiya qilinadigan kadastr raqamini kiritish")</f>
        <v>0</v>
      </c>
      <c r="AE40" s="11">
        <f>+COUNTIFS('muddati otgan'!C:C,A40,'muddati otgan'!J:J,"O'zida qolgan obyektni yaratish")</f>
        <v>0</v>
      </c>
      <c r="AF40" s="11">
        <f>+COUNTIFS('muddati otgan'!C:C,A40,'muddati otgan'!J:J,"O'lchov natijalarini kiritish")</f>
        <v>0</v>
      </c>
      <c r="AG40" s="11">
        <f>+COUNTIFS('muddati otgan'!C:C,A40,'muddati otgan'!J:J,"Topoxaritani tayyorlash (dwg, pdf)")</f>
        <v>0</v>
      </c>
      <c r="AH40" s="11">
        <f t="shared" si="25"/>
        <v>0</v>
      </c>
      <c r="AI40" s="11">
        <f>+COUNTIFS('muddati otgan'!C:C,A40,'muddati otgan'!J:J,"Yer uchastkasini yaratish")</f>
        <v>0</v>
      </c>
      <c r="AJ40" s="11">
        <f t="shared" si="26"/>
        <v>0</v>
      </c>
      <c r="AK40" s="11">
        <f>+COUNTIFS('muddati otgan'!C:C,A40,'muddati otgan'!J:J,"Kelishish (Boshqarma)")</f>
        <v>0</v>
      </c>
      <c r="AL40" s="11">
        <f t="shared" si="27"/>
        <v>0</v>
      </c>
      <c r="AM40" s="11">
        <f>+COUNTIFS('muddati otgan'!C:C,A40,'muddati otgan'!J:J,"Kelishish (DKP)")</f>
        <v>0</v>
      </c>
      <c r="AN40" s="11">
        <f>+COUNTIFS('muddati otgan'!C:C,A40,'muddati otgan'!J:J,"Kelishish")</f>
        <v>0</v>
      </c>
      <c r="AO40" s="11">
        <f>+COUNTIFS('muddati otgan'!C:C,A40,'muddati otgan'!J:J,"Kelishish (Registratsiya DKP)")</f>
        <v>0</v>
      </c>
      <c r="AP40" s="11">
        <f t="shared" si="28"/>
        <v>0</v>
      </c>
      <c r="AQ40" s="11">
        <f>+COUNTIFS('muddati otgan'!C:C,A40,'muddati otgan'!J:J,"Manzil biriktirish")</f>
        <v>0</v>
      </c>
      <c r="AR40" s="11">
        <f>+COUNTIFS('muddati otgan'!C:C,A40,'muddati otgan'!J:J,"Bino va inshootlarni yaratish")</f>
        <v>0</v>
      </c>
      <c r="AS40" s="11">
        <f>+COUNTIFS('muddati otgan'!C:C,A40,'muddati otgan'!J:J,"Dov daraxtlarni yaratish")</f>
        <v>0</v>
      </c>
      <c r="AT40" s="11">
        <f>+COUNTIFS('muddati otgan'!C:C,A40,'muddati otgan'!J:J,"Yer uchastkasini tahrirlash")</f>
        <v>0</v>
      </c>
      <c r="AU40" s="11">
        <f t="shared" si="29"/>
        <v>0</v>
      </c>
      <c r="AV40" s="11">
        <f>+COUNTIFS('muddati otgan'!C:C,A40,'muddati otgan'!J:J,"Yer toifasi va maqsadini kiritish")</f>
        <v>0</v>
      </c>
      <c r="AW40" s="11">
        <f>+COUNTIFS('muddati otgan'!C:C,A40,'muddati otgan'!J:J,"Auksion yer tekshirish")</f>
        <v>0</v>
      </c>
      <c r="AX40" s="11">
        <f>+COUNTIFS('muddati otgan'!C:C,A40,'muddati otgan'!J:J,"Yer turlarini kiritish")</f>
        <v>0</v>
      </c>
      <c r="AY40" s="11">
        <f>+COUNTIFS('muddati otgan'!C:C,A40,'muddati otgan'!J:J,"Ma'lumotlarni kiritish")</f>
        <v>0</v>
      </c>
      <c r="AZ40" s="11">
        <f>+COUNTIFS('muddati otgan'!C:C,A40,'muddati otgan'!J:J,"Yer tekshirish")</f>
        <v>0</v>
      </c>
      <c r="BA40" s="11">
        <f t="shared" si="30"/>
        <v>0</v>
      </c>
      <c r="BB40" s="11">
        <f>+COUNTIFS('muddati otgan'!C:C,A40,'muddati otgan'!J:J,"Bino va inshoot ma'lumotlarini to‘ldirish")</f>
        <v>0</v>
      </c>
      <c r="BC40" s="11">
        <f>+COUNTIFS('muddati otgan'!C:C,A40,'muddati otgan'!J:J,"Inventarizatsiya ma'lumotlarini to‘ldirish")</f>
        <v>0</v>
      </c>
      <c r="BD40" s="11">
        <f>+COUNTIFS('muddati otgan'!C:C,A40,'muddati otgan'!J:J,"Yer uchastkasiga huquqiy hujjatlarni kiritsh")</f>
        <v>0</v>
      </c>
      <c r="BE40" s="11">
        <f>+COUNTIFS('muddati otgan'!C:C,A40,'muddati otgan'!J:J,"Bino-inshootlarga huquqiy hujjatlarni kiritsh")</f>
        <v>0</v>
      </c>
      <c r="BF40" s="11">
        <f>+COUNTIFS('muddati otgan'!C:C,A40,'muddati otgan'!J:J,"Kadastr qiymatini hisoblash va kiritish")</f>
        <v>0</v>
      </c>
      <c r="BG40" s="11">
        <f>+COUNTIFS('muddati otgan'!C:C,A40,'muddati otgan'!J:J,"Kadastr raqam biriktirish")</f>
        <v>0</v>
      </c>
      <c r="BH40" s="11">
        <f>+COUNTIFS('muddati otgan'!C:C,A40,'muddati otgan'!J:J,"Kadastr yig'ma jildni tayyorlash")</f>
        <v>0</v>
      </c>
      <c r="BI40" s="11">
        <f>+COUNTIFS('muddati otgan'!C:C,A40,'muddati otgan'!J:J,"Huquqni yaratish")</f>
        <v>0</v>
      </c>
      <c r="BJ40" s="11">
        <f>+COUNTIFS('muddati otgan'!C:C,A40,'muddati otgan'!J:J,"Hujjatlarni o'rganish")</f>
        <v>0</v>
      </c>
      <c r="BK40" s="11">
        <f>+COUNTIFS('muddati otgan'!C:C,A40,'muddati otgan'!J:J,"Ma'lumotlarni tekshirish")</f>
        <v>0</v>
      </c>
      <c r="BL40" s="11">
        <f t="shared" si="31"/>
        <v>0</v>
      </c>
      <c r="BM40" s="11">
        <f>+COUNTIFS('muddati otgan'!C:C,A40,'muddati otgan'!J:J,"Tekshirish")</f>
        <v>0</v>
      </c>
      <c r="BN40" s="11">
        <f>+COUNTIFS('muddati otgan'!C:C,A40,'muddati otgan'!J:J,"Hujjatlarni tekshirish")</f>
        <v>0</v>
      </c>
      <c r="BO40" s="11">
        <f>+COUNTIFS('muddati otgan'!C:C,A40,'muddati otgan'!J:J,"Tasdiqlash")</f>
        <v>0</v>
      </c>
      <c r="BP40" s="11">
        <f>+COUNTIFS('muddati otgan'!C:C,A40,'muddati otgan'!J:J,"tekshirish/tasdiqlash")</f>
        <v>0</v>
      </c>
      <c r="BQ40" s="11">
        <f>+COUNTIFS('muddati otgan'!C:C,A40,'muddati otgan'!J:J,"Ma'lumotlarni tasdiqlash")</f>
        <v>0</v>
      </c>
      <c r="BR40" s="11">
        <f t="shared" si="32"/>
        <v>0</v>
      </c>
      <c r="BS40" s="11">
        <f>+COUNTIFS('muddati otgan'!C:C,A40,'muddati otgan'!J:J,"Ro'yxatdan o'tkazish ma'lumotlarini tekshirish")</f>
        <v>0</v>
      </c>
      <c r="BT40" s="11">
        <f>+COUNTIFS('muddati otgan'!C:C,A40,'muddati otgan'!J:J,"Kamchiliklar bo'yicha habarnoma yuborish va 3 kunga to'xtatish")</f>
        <v>0</v>
      </c>
      <c r="BU40" s="11">
        <f>+COUNTIFS('muddati otgan'!C:C,A40,'muddati otgan'!J:J,"Hisobga olish")</f>
        <v>0</v>
      </c>
      <c r="BV40" s="11">
        <f>+COUNTIFS('muddati otgan'!C:C,A40,'muddati otgan'!J:J,"Yer uchastkasiga huquq yaratish")</f>
        <v>0</v>
      </c>
      <c r="BW40" s="11">
        <f>+COUNTIFS('muddati otgan'!C:C,A40,'muddati otgan'!J:J,"Bino-inshootga huquq yaratish")</f>
        <v>0</v>
      </c>
      <c r="BX40" s="11">
        <f>+COUNTIFS('muddati otgan'!C:C,A40,'muddati otgan'!J:J,"Cheklov yaratish")</f>
        <v>0</v>
      </c>
      <c r="BY40" s="11">
        <f>+COUNTIFS('muddati otgan'!C:C,A40,'muddati otgan'!J:J,"Taqiq yaratish")</f>
        <v>0</v>
      </c>
      <c r="BZ40" s="11">
        <f t="shared" si="33"/>
        <v>0</v>
      </c>
      <c r="CA40" s="11">
        <f>+COUNTIFS('muddati otgan'!C:C,A40,'muddati otgan'!J:J,"Soliq maydonini tekshirish")</f>
        <v>0</v>
      </c>
      <c r="CB40" s="11">
        <f t="shared" si="34"/>
        <v>0</v>
      </c>
      <c r="CC40" s="11">
        <f>+COUNTIFS('muddati otgan'!C:C,A40,'muddati otgan'!J:J,"Kadastr yig'majildini shakllantirish")</f>
        <v>0</v>
      </c>
      <c r="CD40" s="11">
        <f t="shared" si="35"/>
        <v>0</v>
      </c>
      <c r="CE40" s="11">
        <f>+COUNTIFS('muddati otgan'!C:C,A40,'muddati otgan'!J:J,"Kadastr passportini shakllantirish")</f>
        <v>0</v>
      </c>
      <c r="CF40" s="11">
        <f>+COUNTIFS('muddati otgan'!C:C,A40,'muddati otgan'!J:J,"Yig'ma jildni tasdiqlash")</f>
        <v>0</v>
      </c>
      <c r="CG40" s="11">
        <f>+COUNTIFS('muddati otgan'!C:C,A40,'muddati otgan'!J:J,"To'lov yoki bepul tasdiqlash")</f>
        <v>0</v>
      </c>
      <c r="CH40" s="11">
        <f>+COUNTIFS('muddati otgan'!C:C,A40,'muddati otgan'!J:J,"Bog'liq arizani kutish")</f>
        <v>0</v>
      </c>
      <c r="CI40" s="11">
        <f>+COUNTIFS('muddati otgan'!C:C,A40,'muddati otgan'!J:J,"To'lovga chiqarish")</f>
        <v>0</v>
      </c>
      <c r="CJ40" s="11">
        <f>+COUNTIFS('muddati otgan'!C:C,A40,'muddati otgan'!J:J,"Hisobga qo'yish")</f>
        <v>0</v>
      </c>
      <c r="CK40" s="6">
        <f>+COUNTIFS('muddati otgan'!C:C,A40,'muddati otgan'!J:J,"To'lov kutilmoqda")</f>
        <v>0</v>
      </c>
      <c r="CL40" s="11">
        <f t="shared" si="36"/>
        <v>0</v>
      </c>
      <c r="CM40" s="11">
        <f>+COUNTIFS('muddati otgan'!C:C,A40,'muddati otgan'!AA:AA,"Arizani qabul qilish2")</f>
        <v>0</v>
      </c>
      <c r="CN40" s="11">
        <f>+COUNTIFS('muddati otgan'!C:C,A40,'muddati otgan'!J:J,"Huquqlarni tekshirish")</f>
        <v>0</v>
      </c>
      <c r="CO40" s="11">
        <f>+COUNTIFS('muddati otgan'!C:C,A40,'muddati otgan'!J:J,"Ko'chmas mulkni ro'yhatdan o'tkazishga qabul qilish")</f>
        <v>0</v>
      </c>
      <c r="CP40" s="11">
        <f>+COUNTIFS('muddati otgan'!C:C,A40,'muddati otgan'!J:J,"Ro'yxatdan o'tkazish")</f>
        <v>0</v>
      </c>
      <c r="CQ40" s="11">
        <f>+COUNTIFS('muddati otgan'!C:C,A40,'muddati otgan'!J:J,"Kadastr pasporti va ko'chirmani yuborish")</f>
        <v>0</v>
      </c>
      <c r="CR40" s="11">
        <f>+COUNTIFS('muddati otgan'!C:C,A40,'muddati otgan'!AA:AA,"Rad qilish2")</f>
        <v>0</v>
      </c>
      <c r="CS40" s="11">
        <f>+COUNTIFS('muddati otgan'!C:C,A40,'muddati otgan'!J:J,"Ko'chirmani yuborish")</f>
        <v>0</v>
      </c>
      <c r="CT40" s="11">
        <f>+COUNTIFS('muddati otgan'!C:C,A40,'muddati otgan'!J:J,"Ma‘lumotlarni tekshirish")</f>
        <v>0</v>
      </c>
      <c r="CU40" s="11">
        <f t="shared" si="37"/>
        <v>0</v>
      </c>
      <c r="CV40" s="11">
        <f>+COUNTIFS('muddati otgan'!C:C,A40,'muddati otgan'!J:J,"Kadastr yig'majildini chop etish va arxiv ishiga tikish")</f>
        <v>0</v>
      </c>
      <c r="CW40" s="11">
        <f t="shared" si="38"/>
        <v>0</v>
      </c>
      <c r="CX40" s="11">
        <f>+COUNTIFS('muddati otgan'!C:C,A40,'muddati otgan'!J:J,"Kadastr yig‘majildini qabul qilish, arizani yakunlash")</f>
        <v>0</v>
      </c>
      <c r="CY40" s="11">
        <f>+COUNTIFS('muddati otgan'!C:C,A40,'muddati otgan'!J:J,"Next Cloudga yuklash")</f>
        <v>0</v>
      </c>
      <c r="CZ40" s="6">
        <f>+COUNTIFS('muddati otgan'!C:C,A40,'muddati otgan'!J:J,"Kelishish kutilmoqda")</f>
        <v>0</v>
      </c>
      <c r="DA40" s="6">
        <f>+COUNTIFS('muddati otgan'!C:C,A40,'muddati otgan'!J:J,"Yakunlandi")</f>
        <v>0</v>
      </c>
      <c r="DB40" s="10">
        <f>+COUNTIFS('muddati otgan'!C:C,A40,'muddati otgan'!J:J,"Rad etildi")</f>
        <v>0</v>
      </c>
      <c r="DC40" s="100">
        <f t="shared" si="5"/>
        <v>0</v>
      </c>
      <c r="DD40" s="44">
        <f>COUNTIFS('jami 1-20 kunlik arizalar'!C:C,A:A,'jami 1-20 kunlik arizalar'!S:S,"1")</f>
        <v>0</v>
      </c>
      <c r="DE40" s="11">
        <f>COUNTIFS('jami 1-20 kunlik arizalar'!C:C,A:A,'jami 1-20 kunlik arizalar'!S:S,"2")</f>
        <v>0</v>
      </c>
      <c r="DF40" s="11">
        <f>COUNTIFS('jami 1-20 kunlik arizalar'!C:C,A:A,'jami 1-20 kunlik arizalar'!S:S,"3")</f>
        <v>0</v>
      </c>
      <c r="DG40" s="11">
        <f>COUNTIFS('jami 1-20 kunlik arizalar'!C:C,A:A,'jami 1-20 kunlik arizalar'!S:S,"4")</f>
        <v>0</v>
      </c>
      <c r="DH40" s="11">
        <f>COUNTIFS('jami 1-20 kunlik arizalar'!C:C,A:A,'jami 1-20 kunlik arizalar'!S:S,"5")</f>
        <v>0</v>
      </c>
      <c r="DI40" s="11">
        <f>SUM(COUNTIFS('jami 1-20 kunlik arizalar'!C:C,A:A, 'jami 1-20 kunlik arizalar'!S:S, {6,7,8,9,10}))</f>
        <v>0</v>
      </c>
      <c r="DJ40" s="12">
        <f>SUM(COUNTIFS('jami 1-20 kunlik arizalar'!C:C,A:A, 'jami 1-20 kunlik arizalar'!S:S, "&gt;10"))</f>
        <v>0</v>
      </c>
    </row>
    <row r="41" spans="1:115" ht="35.1" hidden="1" customHeight="1" outlineLevel="1" x14ac:dyDescent="0.25">
      <c r="A41" s="92" t="s">
        <v>650</v>
      </c>
      <c r="B41" s="74"/>
      <c r="C41" s="85" t="s">
        <v>771</v>
      </c>
      <c r="D41" s="80">
        <f>+COUNTIFS('muddati otgan'!C:C,A41,'muddati otgan'!C:C,A41)</f>
        <v>0</v>
      </c>
      <c r="E41" s="10">
        <f>SUMIFS('muddati otgan'!$V:V,'muddati otgan'!$C:C,$A:A)</f>
        <v>0</v>
      </c>
      <c r="F41" s="10">
        <f>SUMIFS('muddati otgan'!$W:W,'muddati otgan'!$C:C,$A:A)</f>
        <v>0</v>
      </c>
      <c r="G41" s="24">
        <f>SUMIFS('muddati otgan'!$U:U,'muddati otgan'!$C:C,$A:A)</f>
        <v>0</v>
      </c>
      <c r="H41" s="11">
        <f>SUMIFS('muddati otgan'!$G:G,'muddati otgan'!$C:C,$A:A)</f>
        <v>0</v>
      </c>
      <c r="I41" s="12">
        <f>SUMIFS('muddati otgan'!$H:H,'muddati otgan'!$C:C,$A:A)</f>
        <v>0</v>
      </c>
      <c r="J41" s="44">
        <f t="shared" si="23"/>
        <v>0</v>
      </c>
      <c r="K41" s="11">
        <f>+COUNTIFS('muddati otgan'!C:C,A41,'muddati otgan'!AA:AA,"Arizani qabul qilish")</f>
        <v>0</v>
      </c>
      <c r="L41" s="11">
        <f>+COUNTIFS('muddati otgan'!C:C,A41,'muddati otgan'!J:J,"Arizani rad etish")</f>
        <v>0</v>
      </c>
      <c r="M41" s="11">
        <f>+COUNTIFS('muddati otgan'!C:C,A41,'muddati otgan'!J:J,"Arizani tasdiqlash")</f>
        <v>0</v>
      </c>
      <c r="N41" s="11">
        <f>+COUNTIFS('muddati otgan'!C:C,A41,'muddati otgan'!J:J,"Arizani yo'naltirish")</f>
        <v>0</v>
      </c>
      <c r="O41" s="11">
        <f>+COUNTIFS('muddati otgan'!C:C,A41,'muddati otgan'!J:J,"Rad qilish sababini o'rganish")</f>
        <v>0</v>
      </c>
      <c r="P41" s="11">
        <f>+COUNTIFS('muddati otgan'!C:C,A41,'muddati otgan'!J:J,"Ko'chmas mulkni UZKAD ga migratsiya qilish")</f>
        <v>0</v>
      </c>
      <c r="Q41" s="11">
        <f>+COUNTIFS('muddati otgan'!C:C,A41,'muddati otgan'!J:J,"Migratisya qilingan obyekt holatini tekshirish")</f>
        <v>0</v>
      </c>
      <c r="R41" s="11">
        <f>+COUNTIFS('muddati otgan'!C:C,A41,'muddati otgan'!J:J,"Ko‘chmas mulkni tanlash")</f>
        <v>0</v>
      </c>
      <c r="S41" s="11">
        <f>+COUNTIFS('muddati otgan'!C:C,A41,'muddati otgan'!J:J,"Arizani ko'rib chiqish")</f>
        <v>0</v>
      </c>
      <c r="T41" s="11">
        <f>+COUNTIFS('muddati otgan'!C:C,A41,'muddati otgan'!J:J,"Kadastr muhandisini tanlash")</f>
        <v>0</v>
      </c>
      <c r="U41" s="11">
        <f>+COUNTIFS('muddati otgan'!C:C,A41,'muddati otgan'!J:J,"Ko'chmas mulk turini tanlahsh")</f>
        <v>0</v>
      </c>
      <c r="V41" s="11">
        <f>+COUNTIFS('muddati otgan'!C:C,A41,'muddati otgan'!AA:AA,"Rad qilish")</f>
        <v>0</v>
      </c>
      <c r="W41" s="11">
        <f>+COUNTIFS('muddati otgan'!C:C,A41,'muddati otgan'!J:J,"ijrochi tanlash")</f>
        <v>0</v>
      </c>
      <c r="X41" s="11">
        <f>+COUNTIFS('muddati otgan'!C:C,A41,'muddati otgan'!J:J,"Ko'chmas mulk turini tanlash")</f>
        <v>0</v>
      </c>
      <c r="Y41" s="11">
        <f t="shared" si="24"/>
        <v>0</v>
      </c>
      <c r="Z41" s="11">
        <f>+COUNTIFS('muddati otgan'!C:C,A41,'muddati otgan'!J:J,"Ijroga qabul qilish")</f>
        <v>0</v>
      </c>
      <c r="AA41" s="11">
        <f>+COUNTIFS('muddati otgan'!C:C,A41,'muddati otgan'!J:J,"Joyida o'rganish va ma'lumotlarni kiritish")</f>
        <v>0</v>
      </c>
      <c r="AB41" s="11">
        <f>+COUNTIFS('muddati otgan'!C:C,A41,'muddati otgan'!J:J,"Asosiy qismdan ajratish jarayonida")</f>
        <v>0</v>
      </c>
      <c r="AC41" s="11">
        <f>+COUNTIFS('muddati otgan'!C:C,A41,'muddati otgan'!J:J,"Umumiy foydalanishdagi obyekt yaratilish")</f>
        <v>0</v>
      </c>
      <c r="AD41" s="11">
        <f>+COUNTIFS('muddati otgan'!C:C,A41,'muddati otgan'!J:J,"Migratsiya qilinadigan kadastr raqamini kiritish")</f>
        <v>0</v>
      </c>
      <c r="AE41" s="11">
        <f>+COUNTIFS('muddati otgan'!C:C,A41,'muddati otgan'!J:J,"O'zida qolgan obyektni yaratish")</f>
        <v>0</v>
      </c>
      <c r="AF41" s="11">
        <f>+COUNTIFS('muddati otgan'!C:C,A41,'muddati otgan'!J:J,"O'lchov natijalarini kiritish")</f>
        <v>0</v>
      </c>
      <c r="AG41" s="11">
        <f>+COUNTIFS('muddati otgan'!C:C,A41,'muddati otgan'!J:J,"Topoxaritani tayyorlash (dwg, pdf)")</f>
        <v>0</v>
      </c>
      <c r="AH41" s="11">
        <f t="shared" si="25"/>
        <v>0</v>
      </c>
      <c r="AI41" s="11">
        <f>+COUNTIFS('muddati otgan'!C:C,A41,'muddati otgan'!J:J,"Yer uchastkasini yaratish")</f>
        <v>0</v>
      </c>
      <c r="AJ41" s="11">
        <f t="shared" si="26"/>
        <v>0</v>
      </c>
      <c r="AK41" s="11">
        <f>+COUNTIFS('muddati otgan'!C:C,A41,'muddati otgan'!J:J,"Kelishish (Boshqarma)")</f>
        <v>0</v>
      </c>
      <c r="AL41" s="11">
        <f t="shared" si="27"/>
        <v>0</v>
      </c>
      <c r="AM41" s="11">
        <f>+COUNTIFS('muddati otgan'!C:C,A41,'muddati otgan'!J:J,"Kelishish (DKP)")</f>
        <v>0</v>
      </c>
      <c r="AN41" s="11">
        <f>+COUNTIFS('muddati otgan'!C:C,A41,'muddati otgan'!J:J,"Kelishish")</f>
        <v>0</v>
      </c>
      <c r="AO41" s="11">
        <f>+COUNTIFS('muddati otgan'!C:C,A41,'muddati otgan'!J:J,"Kelishish (Registratsiya DKP)")</f>
        <v>0</v>
      </c>
      <c r="AP41" s="11">
        <f t="shared" si="28"/>
        <v>0</v>
      </c>
      <c r="AQ41" s="11">
        <f>+COUNTIFS('muddati otgan'!C:C,A41,'muddati otgan'!J:J,"Manzil biriktirish")</f>
        <v>0</v>
      </c>
      <c r="AR41" s="11">
        <f>+COUNTIFS('muddati otgan'!C:C,A41,'muddati otgan'!J:J,"Bino va inshootlarni yaratish")</f>
        <v>0</v>
      </c>
      <c r="AS41" s="11">
        <f>+COUNTIFS('muddati otgan'!C:C,A41,'muddati otgan'!J:J,"Dov daraxtlarni yaratish")</f>
        <v>0</v>
      </c>
      <c r="AT41" s="11">
        <f>+COUNTIFS('muddati otgan'!C:C,A41,'muddati otgan'!J:J,"Yer uchastkasini tahrirlash")</f>
        <v>0</v>
      </c>
      <c r="AU41" s="11">
        <f t="shared" si="29"/>
        <v>0</v>
      </c>
      <c r="AV41" s="11">
        <f>+COUNTIFS('muddati otgan'!C:C,A41,'muddati otgan'!J:J,"Yer toifasi va maqsadini kiritish")</f>
        <v>0</v>
      </c>
      <c r="AW41" s="11">
        <f>+COUNTIFS('muddati otgan'!C:C,A41,'muddati otgan'!J:J,"Auksion yer tekshirish")</f>
        <v>0</v>
      </c>
      <c r="AX41" s="11">
        <f>+COUNTIFS('muddati otgan'!C:C,A41,'muddati otgan'!J:J,"Yer turlarini kiritish")</f>
        <v>0</v>
      </c>
      <c r="AY41" s="11">
        <f>+COUNTIFS('muddati otgan'!C:C,A41,'muddati otgan'!J:J,"Ma'lumotlarni kiritish")</f>
        <v>0</v>
      </c>
      <c r="AZ41" s="11">
        <f>+COUNTIFS('muddati otgan'!C:C,A41,'muddati otgan'!J:J,"Yer tekshirish")</f>
        <v>0</v>
      </c>
      <c r="BA41" s="11">
        <f t="shared" si="30"/>
        <v>0</v>
      </c>
      <c r="BB41" s="11">
        <f>+COUNTIFS('muddati otgan'!C:C,A41,'muddati otgan'!J:J,"Bino va inshoot ma'lumotlarini to‘ldirish")</f>
        <v>0</v>
      </c>
      <c r="BC41" s="11">
        <f>+COUNTIFS('muddati otgan'!C:C,A41,'muddati otgan'!J:J,"Inventarizatsiya ma'lumotlarini to‘ldirish")</f>
        <v>0</v>
      </c>
      <c r="BD41" s="11">
        <f>+COUNTIFS('muddati otgan'!C:C,A41,'muddati otgan'!J:J,"Yer uchastkasiga huquqiy hujjatlarni kiritsh")</f>
        <v>0</v>
      </c>
      <c r="BE41" s="11">
        <f>+COUNTIFS('muddati otgan'!C:C,A41,'muddati otgan'!J:J,"Bino-inshootlarga huquqiy hujjatlarni kiritsh")</f>
        <v>0</v>
      </c>
      <c r="BF41" s="11">
        <f>+COUNTIFS('muddati otgan'!C:C,A41,'muddati otgan'!J:J,"Kadastr qiymatini hisoblash va kiritish")</f>
        <v>0</v>
      </c>
      <c r="BG41" s="11">
        <f>+COUNTIFS('muddati otgan'!C:C,A41,'muddati otgan'!J:J,"Kadastr raqam biriktirish")</f>
        <v>0</v>
      </c>
      <c r="BH41" s="11">
        <f>+COUNTIFS('muddati otgan'!C:C,A41,'muddati otgan'!J:J,"Kadastr yig'ma jildni tayyorlash")</f>
        <v>0</v>
      </c>
      <c r="BI41" s="11">
        <f>+COUNTIFS('muddati otgan'!C:C,A41,'muddati otgan'!J:J,"Huquqni yaratish")</f>
        <v>0</v>
      </c>
      <c r="BJ41" s="11">
        <f>+COUNTIFS('muddati otgan'!C:C,A41,'muddati otgan'!J:J,"Hujjatlarni o'rganish")</f>
        <v>0</v>
      </c>
      <c r="BK41" s="11">
        <f>+COUNTIFS('muddati otgan'!C:C,A41,'muddati otgan'!J:J,"Ma'lumotlarni tekshirish")</f>
        <v>0</v>
      </c>
      <c r="BL41" s="11">
        <f t="shared" si="31"/>
        <v>0</v>
      </c>
      <c r="BM41" s="11">
        <f>+COUNTIFS('muddati otgan'!C:C,A41,'muddati otgan'!J:J,"Tekshirish")</f>
        <v>0</v>
      </c>
      <c r="BN41" s="11">
        <f>+COUNTIFS('muddati otgan'!C:C,A41,'muddati otgan'!J:J,"Hujjatlarni tekshirish")</f>
        <v>0</v>
      </c>
      <c r="BO41" s="11">
        <f>+COUNTIFS('muddati otgan'!C:C,A41,'muddati otgan'!J:J,"Tasdiqlash")</f>
        <v>0</v>
      </c>
      <c r="BP41" s="11">
        <f>+COUNTIFS('muddati otgan'!C:C,A41,'muddati otgan'!J:J,"tekshirish/tasdiqlash")</f>
        <v>0</v>
      </c>
      <c r="BQ41" s="11">
        <f>+COUNTIFS('muddati otgan'!C:C,A41,'muddati otgan'!J:J,"Ma'lumotlarni tasdiqlash")</f>
        <v>0</v>
      </c>
      <c r="BR41" s="11">
        <f t="shared" si="32"/>
        <v>0</v>
      </c>
      <c r="BS41" s="11">
        <f>+COUNTIFS('muddati otgan'!C:C,A41,'muddati otgan'!J:J,"Ro'yxatdan o'tkazish ma'lumotlarini tekshirish")</f>
        <v>0</v>
      </c>
      <c r="BT41" s="11">
        <f>+COUNTIFS('muddati otgan'!C:C,A41,'muddati otgan'!J:J,"Kamchiliklar bo'yicha habarnoma yuborish va 3 kunga to'xtatish")</f>
        <v>0</v>
      </c>
      <c r="BU41" s="11">
        <f>+COUNTIFS('muddati otgan'!C:C,A41,'muddati otgan'!J:J,"Hisobga olish")</f>
        <v>0</v>
      </c>
      <c r="BV41" s="11">
        <f>+COUNTIFS('muddati otgan'!C:C,A41,'muddati otgan'!J:J,"Yer uchastkasiga huquq yaratish")</f>
        <v>0</v>
      </c>
      <c r="BW41" s="11">
        <f>+COUNTIFS('muddati otgan'!C:C,A41,'muddati otgan'!J:J,"Bino-inshootga huquq yaratish")</f>
        <v>0</v>
      </c>
      <c r="BX41" s="11">
        <f>+COUNTIFS('muddati otgan'!C:C,A41,'muddati otgan'!J:J,"Cheklov yaratish")</f>
        <v>0</v>
      </c>
      <c r="BY41" s="11">
        <f>+COUNTIFS('muddati otgan'!C:C,A41,'muddati otgan'!J:J,"Taqiq yaratish")</f>
        <v>0</v>
      </c>
      <c r="BZ41" s="11">
        <f t="shared" si="33"/>
        <v>0</v>
      </c>
      <c r="CA41" s="11">
        <f>+COUNTIFS('muddati otgan'!C:C,A41,'muddati otgan'!J:J,"Soliq maydonini tekshirish")</f>
        <v>0</v>
      </c>
      <c r="CB41" s="11">
        <f t="shared" si="34"/>
        <v>0</v>
      </c>
      <c r="CC41" s="11">
        <f>+COUNTIFS('muddati otgan'!C:C,A41,'muddati otgan'!J:J,"Kadastr yig'majildini shakllantirish")</f>
        <v>0</v>
      </c>
      <c r="CD41" s="11">
        <f t="shared" si="35"/>
        <v>0</v>
      </c>
      <c r="CE41" s="11">
        <f>+COUNTIFS('muddati otgan'!C:C,A41,'muddati otgan'!J:J,"Kadastr passportini shakllantirish")</f>
        <v>0</v>
      </c>
      <c r="CF41" s="11">
        <f>+COUNTIFS('muddati otgan'!C:C,A41,'muddati otgan'!J:J,"Yig'ma jildni tasdiqlash")</f>
        <v>0</v>
      </c>
      <c r="CG41" s="11">
        <f>+COUNTIFS('muddati otgan'!C:C,A41,'muddati otgan'!J:J,"To'lov yoki bepul tasdiqlash")</f>
        <v>0</v>
      </c>
      <c r="CH41" s="11">
        <f>+COUNTIFS('muddati otgan'!C:C,A41,'muddati otgan'!J:J,"Bog'liq arizani kutish")</f>
        <v>0</v>
      </c>
      <c r="CI41" s="11">
        <f>+COUNTIFS('muddati otgan'!C:C,A41,'muddati otgan'!J:J,"To'lovga chiqarish")</f>
        <v>0</v>
      </c>
      <c r="CJ41" s="11">
        <f>+COUNTIFS('muddati otgan'!C:C,A41,'muddati otgan'!J:J,"Hisobga qo'yish")</f>
        <v>0</v>
      </c>
      <c r="CK41" s="6">
        <f>+COUNTIFS('muddati otgan'!C:C,A41,'muddati otgan'!J:J,"To'lov kutilmoqda")</f>
        <v>0</v>
      </c>
      <c r="CL41" s="11">
        <f t="shared" si="36"/>
        <v>0</v>
      </c>
      <c r="CM41" s="11">
        <f>+COUNTIFS('muddati otgan'!C:C,A41,'muddati otgan'!AA:AA,"Arizani qabul qilish2")</f>
        <v>0</v>
      </c>
      <c r="CN41" s="11">
        <f>+COUNTIFS('muddati otgan'!C:C,A41,'muddati otgan'!J:J,"Huquqlarni tekshirish")</f>
        <v>0</v>
      </c>
      <c r="CO41" s="11">
        <f>+COUNTIFS('muddati otgan'!C:C,A41,'muddati otgan'!J:J,"Ko'chmas mulkni ro'yhatdan o'tkazishga qabul qilish")</f>
        <v>0</v>
      </c>
      <c r="CP41" s="11">
        <f>+COUNTIFS('muddati otgan'!C:C,A41,'muddati otgan'!J:J,"Ro'yxatdan o'tkazish")</f>
        <v>0</v>
      </c>
      <c r="CQ41" s="11">
        <f>+COUNTIFS('muddati otgan'!C:C,A41,'muddati otgan'!J:J,"Kadastr pasporti va ko'chirmani yuborish")</f>
        <v>0</v>
      </c>
      <c r="CR41" s="11">
        <f>+COUNTIFS('muddati otgan'!C:C,A41,'muddati otgan'!AA:AA,"Rad qilish2")</f>
        <v>0</v>
      </c>
      <c r="CS41" s="11">
        <f>+COUNTIFS('muddati otgan'!C:C,A41,'muddati otgan'!J:J,"Ko'chirmani yuborish")</f>
        <v>0</v>
      </c>
      <c r="CT41" s="11">
        <f>+COUNTIFS('muddati otgan'!C:C,A41,'muddati otgan'!J:J,"Ma‘lumotlarni tekshirish")</f>
        <v>0</v>
      </c>
      <c r="CU41" s="11">
        <f t="shared" si="37"/>
        <v>0</v>
      </c>
      <c r="CV41" s="11">
        <f>+COUNTIFS('muddati otgan'!C:C,A41,'muddati otgan'!J:J,"Kadastr yig'majildini chop etish va arxiv ishiga tikish")</f>
        <v>0</v>
      </c>
      <c r="CW41" s="11">
        <f t="shared" si="38"/>
        <v>0</v>
      </c>
      <c r="CX41" s="11">
        <f>+COUNTIFS('muddati otgan'!C:C,A41,'muddati otgan'!J:J,"Kadastr yig‘majildini qabul qilish, arizani yakunlash")</f>
        <v>0</v>
      </c>
      <c r="CY41" s="11">
        <f>+COUNTIFS('muddati otgan'!C:C,A41,'muddati otgan'!J:J,"Next Cloudga yuklash")</f>
        <v>0</v>
      </c>
      <c r="CZ41" s="6">
        <f>+COUNTIFS('muddati otgan'!C:C,A41,'muddati otgan'!J:J,"Kelishish kutilmoqda")</f>
        <v>0</v>
      </c>
      <c r="DA41" s="6">
        <f>+COUNTIFS('muddati otgan'!C:C,A41,'muddati otgan'!J:J,"Yakunlandi")</f>
        <v>0</v>
      </c>
      <c r="DB41" s="10">
        <f>+COUNTIFS('muddati otgan'!C:C,A41,'muddati otgan'!J:J,"Rad etildi")</f>
        <v>0</v>
      </c>
      <c r="DC41" s="100">
        <f t="shared" si="5"/>
        <v>0</v>
      </c>
      <c r="DD41" s="44">
        <f>COUNTIFS('jami 1-20 kunlik arizalar'!C:C,A:A,'jami 1-20 kunlik arizalar'!S:S,"1")</f>
        <v>0</v>
      </c>
      <c r="DE41" s="11">
        <f>COUNTIFS('jami 1-20 kunlik arizalar'!C:C,A:A,'jami 1-20 kunlik arizalar'!S:S,"2")</f>
        <v>0</v>
      </c>
      <c r="DF41" s="11">
        <f>COUNTIFS('jami 1-20 kunlik arizalar'!C:C,A:A,'jami 1-20 kunlik arizalar'!S:S,"3")</f>
        <v>7</v>
      </c>
      <c r="DG41" s="11">
        <f>COUNTIFS('jami 1-20 kunlik arizalar'!C:C,A:A,'jami 1-20 kunlik arizalar'!S:S,"4")</f>
        <v>3</v>
      </c>
      <c r="DH41" s="11">
        <f>COUNTIFS('jami 1-20 kunlik arizalar'!C:C,A:A,'jami 1-20 kunlik arizalar'!S:S,"5")</f>
        <v>5</v>
      </c>
      <c r="DI41" s="11">
        <f>SUM(COUNTIFS('jami 1-20 kunlik arizalar'!C:C,A:A, 'jami 1-20 kunlik arizalar'!S:S, {6,7,8,9,10}))</f>
        <v>9</v>
      </c>
      <c r="DJ41" s="12">
        <f>SUM(COUNTIFS('jami 1-20 kunlik arizalar'!C:C,A:A, 'jami 1-20 kunlik arizalar'!S:S, "&gt;10"))</f>
        <v>6</v>
      </c>
    </row>
    <row r="42" spans="1:115" ht="35.1" hidden="1" customHeight="1" outlineLevel="1" x14ac:dyDescent="0.25">
      <c r="A42" s="92" t="s">
        <v>538</v>
      </c>
      <c r="B42" s="74"/>
      <c r="C42" s="85" t="s">
        <v>772</v>
      </c>
      <c r="D42" s="80">
        <f>+COUNTIFS('muddati otgan'!C:C,A42,'muddati otgan'!C:C,A42)</f>
        <v>1</v>
      </c>
      <c r="E42" s="10">
        <f>SUMIFS('muddati otgan'!$V:V,'muddati otgan'!$C:C,$A:A)</f>
        <v>0</v>
      </c>
      <c r="F42" s="10">
        <f>SUMIFS('muddati otgan'!$W:W,'muddati otgan'!$C:C,$A:A)</f>
        <v>0</v>
      </c>
      <c r="G42" s="24">
        <f>SUMIFS('muddati otgan'!$U:U,'muddati otgan'!$C:C,$A:A)</f>
        <v>1</v>
      </c>
      <c r="H42" s="11">
        <f>SUMIFS('muddati otgan'!$G:G,'muddati otgan'!$C:C,$A:A)</f>
        <v>1</v>
      </c>
      <c r="I42" s="12">
        <f>SUMIFS('muddati otgan'!$H:H,'muddati otgan'!$C:C,$A:A)</f>
        <v>0</v>
      </c>
      <c r="J42" s="44">
        <f t="shared" si="23"/>
        <v>0</v>
      </c>
      <c r="K42" s="11">
        <f>+COUNTIFS('muddati otgan'!C:C,A42,'muddati otgan'!AA:AA,"Arizani qabul qilish")</f>
        <v>0</v>
      </c>
      <c r="L42" s="11">
        <f>+COUNTIFS('muddati otgan'!C:C,A42,'muddati otgan'!J:J,"Arizani rad etish")</f>
        <v>0</v>
      </c>
      <c r="M42" s="11">
        <f>+COUNTIFS('muddati otgan'!C:C,A42,'muddati otgan'!J:J,"Arizani tasdiqlash")</f>
        <v>0</v>
      </c>
      <c r="N42" s="11">
        <f>+COUNTIFS('muddati otgan'!C:C,A42,'muddati otgan'!J:J,"Arizani yo'naltirish")</f>
        <v>0</v>
      </c>
      <c r="O42" s="11">
        <f>+COUNTIFS('muddati otgan'!C:C,A42,'muddati otgan'!J:J,"Rad qilish sababini o'rganish")</f>
        <v>0</v>
      </c>
      <c r="P42" s="11">
        <f>+COUNTIFS('muddati otgan'!C:C,A42,'muddati otgan'!J:J,"Ko'chmas mulkni UZKAD ga migratsiya qilish")</f>
        <v>0</v>
      </c>
      <c r="Q42" s="11">
        <f>+COUNTIFS('muddati otgan'!C:C,A42,'muddati otgan'!J:J,"Migratisya qilingan obyekt holatini tekshirish")</f>
        <v>0</v>
      </c>
      <c r="R42" s="11">
        <f>+COUNTIFS('muddati otgan'!C:C,A42,'muddati otgan'!J:J,"Ko‘chmas mulkni tanlash")</f>
        <v>0</v>
      </c>
      <c r="S42" s="11">
        <f>+COUNTIFS('muddati otgan'!C:C,A42,'muddati otgan'!J:J,"Arizani ko'rib chiqish")</f>
        <v>0</v>
      </c>
      <c r="T42" s="11">
        <f>+COUNTIFS('muddati otgan'!C:C,A42,'muddati otgan'!J:J,"Kadastr muhandisini tanlash")</f>
        <v>0</v>
      </c>
      <c r="U42" s="11">
        <f>+COUNTIFS('muddati otgan'!C:C,A42,'muddati otgan'!J:J,"Ko'chmas mulk turini tanlahsh")</f>
        <v>0</v>
      </c>
      <c r="V42" s="11">
        <f>+COUNTIFS('muddati otgan'!C:C,A42,'muddati otgan'!AA:AA,"Rad qilish")</f>
        <v>0</v>
      </c>
      <c r="W42" s="11">
        <f>+COUNTIFS('muddati otgan'!C:C,A42,'muddati otgan'!J:J,"ijrochi tanlash")</f>
        <v>0</v>
      </c>
      <c r="X42" s="11">
        <f>+COUNTIFS('muddati otgan'!C:C,A42,'muddati otgan'!J:J,"Ko'chmas mulk turini tanlash")</f>
        <v>0</v>
      </c>
      <c r="Y42" s="11">
        <f t="shared" si="24"/>
        <v>0</v>
      </c>
      <c r="Z42" s="11">
        <f>+COUNTIFS('muddati otgan'!C:C,A42,'muddati otgan'!J:J,"Ijroga qabul qilish")</f>
        <v>0</v>
      </c>
      <c r="AA42" s="11">
        <f>+COUNTIFS('muddati otgan'!C:C,A42,'muddati otgan'!J:J,"Joyida o'rganish va ma'lumotlarni kiritish")</f>
        <v>0</v>
      </c>
      <c r="AB42" s="11">
        <f>+COUNTIFS('muddati otgan'!C:C,A42,'muddati otgan'!J:J,"Asosiy qismdan ajratish jarayonida")</f>
        <v>0</v>
      </c>
      <c r="AC42" s="11">
        <f>+COUNTIFS('muddati otgan'!C:C,A42,'muddati otgan'!J:J,"Umumiy foydalanishdagi obyekt yaratilish")</f>
        <v>0</v>
      </c>
      <c r="AD42" s="11">
        <f>+COUNTIFS('muddati otgan'!C:C,A42,'muddati otgan'!J:J,"Migratsiya qilinadigan kadastr raqamini kiritish")</f>
        <v>0</v>
      </c>
      <c r="AE42" s="11">
        <f>+COUNTIFS('muddati otgan'!C:C,A42,'muddati otgan'!J:J,"O'zida qolgan obyektni yaratish")</f>
        <v>0</v>
      </c>
      <c r="AF42" s="11">
        <f>+COUNTIFS('muddati otgan'!C:C,A42,'muddati otgan'!J:J,"O'lchov natijalarini kiritish")</f>
        <v>0</v>
      </c>
      <c r="AG42" s="11">
        <f>+COUNTIFS('muddati otgan'!C:C,A42,'muddati otgan'!J:J,"Topoxaritani tayyorlash (dwg, pdf)")</f>
        <v>0</v>
      </c>
      <c r="AH42" s="11">
        <f t="shared" si="25"/>
        <v>0</v>
      </c>
      <c r="AI42" s="11">
        <f>+COUNTIFS('muddati otgan'!C:C,A42,'muddati otgan'!J:J,"Yer uchastkasini yaratish")</f>
        <v>0</v>
      </c>
      <c r="AJ42" s="11">
        <f t="shared" si="26"/>
        <v>0</v>
      </c>
      <c r="AK42" s="11">
        <f>+COUNTIFS('muddati otgan'!C:C,A42,'muddati otgan'!J:J,"Kelishish (Boshqarma)")</f>
        <v>0</v>
      </c>
      <c r="AL42" s="11">
        <f t="shared" si="27"/>
        <v>0</v>
      </c>
      <c r="AM42" s="11">
        <f>+COUNTIFS('muddati otgan'!C:C,A42,'muddati otgan'!J:J,"Kelishish (DKP)")</f>
        <v>0</v>
      </c>
      <c r="AN42" s="11">
        <f>+COUNTIFS('muddati otgan'!C:C,A42,'muddati otgan'!J:J,"Kelishish")</f>
        <v>0</v>
      </c>
      <c r="AO42" s="11">
        <f>+COUNTIFS('muddati otgan'!C:C,A42,'muddati otgan'!J:J,"Kelishish (Registratsiya DKP)")</f>
        <v>0</v>
      </c>
      <c r="AP42" s="11">
        <f t="shared" si="28"/>
        <v>0</v>
      </c>
      <c r="AQ42" s="11">
        <f>+COUNTIFS('muddati otgan'!C:C,A42,'muddati otgan'!J:J,"Manzil biriktirish")</f>
        <v>0</v>
      </c>
      <c r="AR42" s="11">
        <f>+COUNTIFS('muddati otgan'!C:C,A42,'muddati otgan'!J:J,"Bino va inshootlarni yaratish")</f>
        <v>0</v>
      </c>
      <c r="AS42" s="11">
        <f>+COUNTIFS('muddati otgan'!C:C,A42,'muddati otgan'!J:J,"Dov daraxtlarni yaratish")</f>
        <v>0</v>
      </c>
      <c r="AT42" s="11">
        <f>+COUNTIFS('muddati otgan'!C:C,A42,'muddati otgan'!J:J,"Yer uchastkasini tahrirlash")</f>
        <v>0</v>
      </c>
      <c r="AU42" s="11">
        <f t="shared" si="29"/>
        <v>0</v>
      </c>
      <c r="AV42" s="11">
        <f>+COUNTIFS('muddati otgan'!C:C,A42,'muddati otgan'!J:J,"Yer toifasi va maqsadini kiritish")</f>
        <v>0</v>
      </c>
      <c r="AW42" s="11">
        <f>+COUNTIFS('muddati otgan'!C:C,A42,'muddati otgan'!J:J,"Auksion yer tekshirish")</f>
        <v>0</v>
      </c>
      <c r="AX42" s="11">
        <f>+COUNTIFS('muddati otgan'!C:C,A42,'muddati otgan'!J:J,"Yer turlarini kiritish")</f>
        <v>0</v>
      </c>
      <c r="AY42" s="11">
        <f>+COUNTIFS('muddati otgan'!C:C,A42,'muddati otgan'!J:J,"Ma'lumotlarni kiritish")</f>
        <v>0</v>
      </c>
      <c r="AZ42" s="11">
        <f>+COUNTIFS('muddati otgan'!C:C,A42,'muddati otgan'!J:J,"Yer tekshirish")</f>
        <v>0</v>
      </c>
      <c r="BA42" s="11">
        <f t="shared" si="30"/>
        <v>0</v>
      </c>
      <c r="BB42" s="11">
        <f>+COUNTIFS('muddati otgan'!C:C,A42,'muddati otgan'!J:J,"Bino va inshoot ma'lumotlarini to‘ldirish")</f>
        <v>0</v>
      </c>
      <c r="BC42" s="11">
        <f>+COUNTIFS('muddati otgan'!C:C,A42,'muddati otgan'!J:J,"Inventarizatsiya ma'lumotlarini to‘ldirish")</f>
        <v>0</v>
      </c>
      <c r="BD42" s="11">
        <f>+COUNTIFS('muddati otgan'!C:C,A42,'muddati otgan'!J:J,"Yer uchastkasiga huquqiy hujjatlarni kiritsh")</f>
        <v>0</v>
      </c>
      <c r="BE42" s="11">
        <f>+COUNTIFS('muddati otgan'!C:C,A42,'muddati otgan'!J:J,"Bino-inshootlarga huquqiy hujjatlarni kiritsh")</f>
        <v>0</v>
      </c>
      <c r="BF42" s="11">
        <f>+COUNTIFS('muddati otgan'!C:C,A42,'muddati otgan'!J:J,"Kadastr qiymatini hisoblash va kiritish")</f>
        <v>0</v>
      </c>
      <c r="BG42" s="11">
        <f>+COUNTIFS('muddati otgan'!C:C,A42,'muddati otgan'!J:J,"Kadastr raqam biriktirish")</f>
        <v>0</v>
      </c>
      <c r="BH42" s="11">
        <f>+COUNTIFS('muddati otgan'!C:C,A42,'muddati otgan'!J:J,"Kadastr yig'ma jildni tayyorlash")</f>
        <v>0</v>
      </c>
      <c r="BI42" s="11">
        <f>+COUNTIFS('muddati otgan'!C:C,A42,'muddati otgan'!J:J,"Huquqni yaratish")</f>
        <v>0</v>
      </c>
      <c r="BJ42" s="11">
        <f>+COUNTIFS('muddati otgan'!C:C,A42,'muddati otgan'!J:J,"Hujjatlarni o'rganish")</f>
        <v>0</v>
      </c>
      <c r="BK42" s="11">
        <f>+COUNTIFS('muddati otgan'!C:C,A42,'muddati otgan'!J:J,"Ma'lumotlarni tekshirish")</f>
        <v>0</v>
      </c>
      <c r="BL42" s="11">
        <f t="shared" si="31"/>
        <v>0</v>
      </c>
      <c r="BM42" s="11">
        <f>+COUNTIFS('muddati otgan'!C:C,A42,'muddati otgan'!J:J,"Tekshirish")</f>
        <v>0</v>
      </c>
      <c r="BN42" s="11">
        <f>+COUNTIFS('muddati otgan'!C:C,A42,'muddati otgan'!J:J,"Hujjatlarni tekshirish")</f>
        <v>0</v>
      </c>
      <c r="BO42" s="11">
        <f>+COUNTIFS('muddati otgan'!C:C,A42,'muddati otgan'!J:J,"Tasdiqlash")</f>
        <v>0</v>
      </c>
      <c r="BP42" s="11">
        <f>+COUNTIFS('muddati otgan'!C:C,A42,'muddati otgan'!J:J,"tekshirish/tasdiqlash")</f>
        <v>0</v>
      </c>
      <c r="BQ42" s="11">
        <f>+COUNTIFS('muddati otgan'!C:C,A42,'muddati otgan'!J:J,"Ma'lumotlarni tasdiqlash")</f>
        <v>0</v>
      </c>
      <c r="BR42" s="11">
        <f t="shared" si="32"/>
        <v>1</v>
      </c>
      <c r="BS42" s="11">
        <f>+COUNTIFS('muddati otgan'!C:C,A42,'muddati otgan'!J:J,"Ro'yxatdan o'tkazish ma'lumotlarini tekshirish")</f>
        <v>1</v>
      </c>
      <c r="BT42" s="11">
        <f>+COUNTIFS('muddati otgan'!C:C,A42,'muddati otgan'!J:J,"Kamchiliklar bo'yicha habarnoma yuborish va 3 kunga to'xtatish")</f>
        <v>0</v>
      </c>
      <c r="BU42" s="11">
        <f>+COUNTIFS('muddati otgan'!C:C,A42,'muddati otgan'!J:J,"Hisobga olish")</f>
        <v>0</v>
      </c>
      <c r="BV42" s="11">
        <f>+COUNTIFS('muddati otgan'!C:C,A42,'muddati otgan'!J:J,"Yer uchastkasiga huquq yaratish")</f>
        <v>0</v>
      </c>
      <c r="BW42" s="11">
        <f>+COUNTIFS('muddati otgan'!C:C,A42,'muddati otgan'!J:J,"Bino-inshootga huquq yaratish")</f>
        <v>0</v>
      </c>
      <c r="BX42" s="11">
        <f>+COUNTIFS('muddati otgan'!C:C,A42,'muddati otgan'!J:J,"Cheklov yaratish")</f>
        <v>0</v>
      </c>
      <c r="BY42" s="11">
        <f>+COUNTIFS('muddati otgan'!C:C,A42,'muddati otgan'!J:J,"Taqiq yaratish")</f>
        <v>0</v>
      </c>
      <c r="BZ42" s="11">
        <f t="shared" si="33"/>
        <v>0</v>
      </c>
      <c r="CA42" s="11">
        <f>+COUNTIFS('muddati otgan'!C:C,A42,'muddati otgan'!J:J,"Soliq maydonini tekshirish")</f>
        <v>0</v>
      </c>
      <c r="CB42" s="11">
        <f t="shared" si="34"/>
        <v>0</v>
      </c>
      <c r="CC42" s="11">
        <f>+COUNTIFS('muddati otgan'!C:C,A42,'muddati otgan'!J:J,"Kadastr yig'majildini shakllantirish")</f>
        <v>0</v>
      </c>
      <c r="CD42" s="11">
        <f t="shared" si="35"/>
        <v>0</v>
      </c>
      <c r="CE42" s="11">
        <f>+COUNTIFS('muddati otgan'!C:C,A42,'muddati otgan'!J:J,"Kadastr passportini shakllantirish")</f>
        <v>0</v>
      </c>
      <c r="CF42" s="11">
        <f>+COUNTIFS('muddati otgan'!C:C,A42,'muddati otgan'!J:J,"Yig'ma jildni tasdiqlash")</f>
        <v>0</v>
      </c>
      <c r="CG42" s="11">
        <f>+COUNTIFS('muddati otgan'!C:C,A42,'muddati otgan'!J:J,"To'lov yoki bepul tasdiqlash")</f>
        <v>0</v>
      </c>
      <c r="CH42" s="11">
        <f>+COUNTIFS('muddati otgan'!C:C,A42,'muddati otgan'!J:J,"Bog'liq arizani kutish")</f>
        <v>0</v>
      </c>
      <c r="CI42" s="11">
        <f>+COUNTIFS('muddati otgan'!C:C,A42,'muddati otgan'!J:J,"To'lovga chiqarish")</f>
        <v>0</v>
      </c>
      <c r="CJ42" s="11">
        <f>+COUNTIFS('muddati otgan'!C:C,A42,'muddati otgan'!J:J,"Hisobga qo'yish")</f>
        <v>0</v>
      </c>
      <c r="CK42" s="6">
        <f>+COUNTIFS('muddati otgan'!C:C,A42,'muddati otgan'!J:J,"To'lov kutilmoqda")</f>
        <v>0</v>
      </c>
      <c r="CL42" s="11">
        <f t="shared" si="36"/>
        <v>0</v>
      </c>
      <c r="CM42" s="11">
        <f>+COUNTIFS('muddati otgan'!C:C,A42,'muddati otgan'!AA:AA,"Arizani qabul qilish2")</f>
        <v>0</v>
      </c>
      <c r="CN42" s="11">
        <f>+COUNTIFS('muddati otgan'!C:C,A42,'muddati otgan'!J:J,"Huquqlarni tekshirish")</f>
        <v>0</v>
      </c>
      <c r="CO42" s="11">
        <f>+COUNTIFS('muddati otgan'!C:C,A42,'muddati otgan'!J:J,"Ko'chmas mulkni ro'yhatdan o'tkazishga qabul qilish")</f>
        <v>0</v>
      </c>
      <c r="CP42" s="11">
        <f>+COUNTIFS('muddati otgan'!C:C,A42,'muddati otgan'!J:J,"Ro'yxatdan o'tkazish")</f>
        <v>0</v>
      </c>
      <c r="CQ42" s="11">
        <f>+COUNTIFS('muddati otgan'!C:C,A42,'muddati otgan'!J:J,"Kadastr pasporti va ko'chirmani yuborish")</f>
        <v>0</v>
      </c>
      <c r="CR42" s="11">
        <f>+COUNTIFS('muddati otgan'!C:C,A42,'muddati otgan'!AA:AA,"Rad qilish2")</f>
        <v>0</v>
      </c>
      <c r="CS42" s="11">
        <f>+COUNTIFS('muddati otgan'!C:C,A42,'muddati otgan'!J:J,"Ko'chirmani yuborish")</f>
        <v>0</v>
      </c>
      <c r="CT42" s="11">
        <f>+COUNTIFS('muddati otgan'!C:C,A42,'muddati otgan'!J:J,"Ma‘lumotlarni tekshirish")</f>
        <v>0</v>
      </c>
      <c r="CU42" s="11">
        <f t="shared" si="37"/>
        <v>0</v>
      </c>
      <c r="CV42" s="11">
        <f>+COUNTIFS('muddati otgan'!C:C,A42,'muddati otgan'!J:J,"Kadastr yig'majildini chop etish va arxiv ishiga tikish")</f>
        <v>0</v>
      </c>
      <c r="CW42" s="11">
        <f t="shared" si="38"/>
        <v>0</v>
      </c>
      <c r="CX42" s="11">
        <f>+COUNTIFS('muddati otgan'!C:C,A42,'muddati otgan'!J:J,"Kadastr yig‘majildini qabul qilish, arizani yakunlash")</f>
        <v>0</v>
      </c>
      <c r="CY42" s="11">
        <f>+COUNTIFS('muddati otgan'!C:C,A42,'muddati otgan'!J:J,"Next Cloudga yuklash")</f>
        <v>0</v>
      </c>
      <c r="CZ42" s="6">
        <f>+COUNTIFS('muddati otgan'!C:C,A42,'muddati otgan'!J:J,"Kelishish kutilmoqda")</f>
        <v>0</v>
      </c>
      <c r="DA42" s="6">
        <f>+COUNTIFS('muddati otgan'!C:C,A42,'muddati otgan'!J:J,"Yakunlandi")</f>
        <v>0</v>
      </c>
      <c r="DB42" s="10">
        <f>+COUNTIFS('muddati otgan'!C:C,A42,'muddati otgan'!J:J,"Rad etildi")</f>
        <v>0</v>
      </c>
      <c r="DC42" s="100">
        <f t="shared" si="5"/>
        <v>-1</v>
      </c>
      <c r="DD42" s="44">
        <f>COUNTIFS('jami 1-20 kunlik arizalar'!C:C,A:A,'jami 1-20 kunlik arizalar'!S:S,"1")</f>
        <v>0</v>
      </c>
      <c r="DE42" s="11">
        <f>COUNTIFS('jami 1-20 kunlik arizalar'!C:C,A:A,'jami 1-20 kunlik arizalar'!S:S,"2")</f>
        <v>0</v>
      </c>
      <c r="DF42" s="11">
        <f>COUNTIFS('jami 1-20 kunlik arizalar'!C:C,A:A,'jami 1-20 kunlik arizalar'!S:S,"3")</f>
        <v>0</v>
      </c>
      <c r="DG42" s="11">
        <f>COUNTIFS('jami 1-20 kunlik arizalar'!C:C,A:A,'jami 1-20 kunlik arizalar'!S:S,"4")</f>
        <v>0</v>
      </c>
      <c r="DH42" s="11">
        <f>COUNTIFS('jami 1-20 kunlik arizalar'!C:C,A:A,'jami 1-20 kunlik arizalar'!S:S,"5")</f>
        <v>0</v>
      </c>
      <c r="DI42" s="11">
        <f>SUM(COUNTIFS('jami 1-20 kunlik arizalar'!C:C,A:A, 'jami 1-20 kunlik arizalar'!S:S, {6,7,8,9,10}))</f>
        <v>3</v>
      </c>
      <c r="DJ42" s="12">
        <f>SUM(COUNTIFS('jami 1-20 kunlik arizalar'!C:C,A:A, 'jami 1-20 kunlik arizalar'!S:S, "&gt;10"))</f>
        <v>7</v>
      </c>
    </row>
    <row r="43" spans="1:115" ht="35.1" hidden="1" customHeight="1" outlineLevel="1" x14ac:dyDescent="0.25">
      <c r="A43" s="92">
        <v>32712932090068</v>
      </c>
      <c r="B43" s="74"/>
      <c r="C43" s="85" t="s">
        <v>1018</v>
      </c>
      <c r="D43" s="80">
        <f>+COUNTIFS('muddati otgan'!C:C,A43,'muddati otgan'!C:C,A43)</f>
        <v>2</v>
      </c>
      <c r="E43" s="10">
        <f>SUMIFS('muddati otgan'!$V:V,'muddati otgan'!$C:C,$A:A)</f>
        <v>0</v>
      </c>
      <c r="F43" s="10">
        <f>SUMIFS('muddati otgan'!$W:W,'muddati otgan'!$C:C,$A:A)</f>
        <v>0</v>
      </c>
      <c r="G43" s="24">
        <f>SUMIFS('muddati otgan'!$U:U,'muddati otgan'!$C:C,$A:A)</f>
        <v>2</v>
      </c>
      <c r="H43" s="11">
        <f>SUMIFS('muddati otgan'!$G:G,'muddati otgan'!$C:C,$A:A)</f>
        <v>2</v>
      </c>
      <c r="I43" s="12">
        <f>SUMIFS('muddati otgan'!$H:H,'muddati otgan'!$C:C,$A:A)</f>
        <v>0</v>
      </c>
      <c r="J43" s="44">
        <f t="shared" si="23"/>
        <v>0</v>
      </c>
      <c r="K43" s="11">
        <f>+COUNTIFS('muddati otgan'!C:C,A43,'muddati otgan'!AA:AA,"Arizani qabul qilish")</f>
        <v>0</v>
      </c>
      <c r="L43" s="11">
        <f>+COUNTIFS('muddati otgan'!C:C,A43,'muddati otgan'!J:J,"Arizani rad etish")</f>
        <v>0</v>
      </c>
      <c r="M43" s="11">
        <f>+COUNTIFS('muddati otgan'!C:C,A43,'muddati otgan'!J:J,"Arizani tasdiqlash")</f>
        <v>0</v>
      </c>
      <c r="N43" s="11">
        <f>+COUNTIFS('muddati otgan'!C:C,A43,'muddati otgan'!J:J,"Arizani yo'naltirish")</f>
        <v>0</v>
      </c>
      <c r="O43" s="11">
        <f>+COUNTIFS('muddati otgan'!C:C,A43,'muddati otgan'!J:J,"Rad qilish sababini o'rganish")</f>
        <v>0</v>
      </c>
      <c r="P43" s="11">
        <f>+COUNTIFS('muddati otgan'!C:C,A43,'muddati otgan'!J:J,"Ko'chmas mulkni UZKAD ga migratsiya qilish")</f>
        <v>0</v>
      </c>
      <c r="Q43" s="11">
        <f>+COUNTIFS('muddati otgan'!C:C,A43,'muddati otgan'!J:J,"Migratisya qilingan obyekt holatini tekshirish")</f>
        <v>0</v>
      </c>
      <c r="R43" s="11">
        <f>+COUNTIFS('muddati otgan'!C:C,A43,'muddati otgan'!J:J,"Ko‘chmas mulkni tanlash")</f>
        <v>0</v>
      </c>
      <c r="S43" s="11">
        <f>+COUNTIFS('muddati otgan'!C:C,A43,'muddati otgan'!J:J,"Arizani ko'rib chiqish")</f>
        <v>0</v>
      </c>
      <c r="T43" s="11">
        <f>+COUNTIFS('muddati otgan'!C:C,A43,'muddati otgan'!J:J,"Kadastr muhandisini tanlash")</f>
        <v>0</v>
      </c>
      <c r="U43" s="11">
        <f>+COUNTIFS('muddati otgan'!C:C,A43,'muddati otgan'!J:J,"Ko'chmas mulk turini tanlahsh")</f>
        <v>0</v>
      </c>
      <c r="V43" s="11">
        <f>+COUNTIFS('muddati otgan'!C:C,A43,'muddati otgan'!AA:AA,"Rad qilish")</f>
        <v>0</v>
      </c>
      <c r="W43" s="11">
        <f>+COUNTIFS('muddati otgan'!C:C,A43,'muddati otgan'!J:J,"ijrochi tanlash")</f>
        <v>0</v>
      </c>
      <c r="X43" s="11">
        <f>+COUNTIFS('muddati otgan'!C:C,A43,'muddati otgan'!J:J,"Ko'chmas mulk turini tanlash")</f>
        <v>0</v>
      </c>
      <c r="Y43" s="11">
        <f t="shared" si="24"/>
        <v>0</v>
      </c>
      <c r="Z43" s="11">
        <f>+COUNTIFS('muddati otgan'!C:C,A43,'muddati otgan'!J:J,"Ijroga qabul qilish")</f>
        <v>0</v>
      </c>
      <c r="AA43" s="11">
        <f>+COUNTIFS('muddati otgan'!C:C,A43,'muddati otgan'!J:J,"Joyida o'rganish va ma'lumotlarni kiritish")</f>
        <v>0</v>
      </c>
      <c r="AB43" s="11">
        <f>+COUNTIFS('muddati otgan'!C:C,A43,'muddati otgan'!J:J,"Asosiy qismdan ajratish jarayonida")</f>
        <v>0</v>
      </c>
      <c r="AC43" s="11">
        <f>+COUNTIFS('muddati otgan'!C:C,A43,'muddati otgan'!J:J,"Umumiy foydalanishdagi obyekt yaratilish")</f>
        <v>0</v>
      </c>
      <c r="AD43" s="11">
        <f>+COUNTIFS('muddati otgan'!C:C,A43,'muddati otgan'!J:J,"Migratsiya qilinadigan kadastr raqamini kiritish")</f>
        <v>0</v>
      </c>
      <c r="AE43" s="11">
        <f>+COUNTIFS('muddati otgan'!C:C,A43,'muddati otgan'!J:J,"O'zida qolgan obyektni yaratish")</f>
        <v>0</v>
      </c>
      <c r="AF43" s="11">
        <f>+COUNTIFS('muddati otgan'!C:C,A43,'muddati otgan'!J:J,"O'lchov natijalarini kiritish")</f>
        <v>0</v>
      </c>
      <c r="AG43" s="11">
        <f>+COUNTIFS('muddati otgan'!C:C,A43,'muddati otgan'!J:J,"Topoxaritani tayyorlash (dwg, pdf)")</f>
        <v>0</v>
      </c>
      <c r="AH43" s="11">
        <f t="shared" si="25"/>
        <v>0</v>
      </c>
      <c r="AI43" s="11">
        <f>+COUNTIFS('muddati otgan'!C:C,A43,'muddati otgan'!J:J,"Yer uchastkasini yaratish")</f>
        <v>0</v>
      </c>
      <c r="AJ43" s="11">
        <f t="shared" si="26"/>
        <v>0</v>
      </c>
      <c r="AK43" s="11">
        <f>+COUNTIFS('muddati otgan'!C:C,A43,'muddati otgan'!J:J,"Kelishish (Boshqarma)")</f>
        <v>0</v>
      </c>
      <c r="AL43" s="11">
        <f t="shared" si="27"/>
        <v>0</v>
      </c>
      <c r="AM43" s="11">
        <f>+COUNTIFS('muddati otgan'!C:C,A43,'muddati otgan'!J:J,"Kelishish (DKP)")</f>
        <v>0</v>
      </c>
      <c r="AN43" s="11">
        <f>+COUNTIFS('muddati otgan'!C:C,A43,'muddati otgan'!J:J,"Kelishish")</f>
        <v>0</v>
      </c>
      <c r="AO43" s="11">
        <f>+COUNTIFS('muddati otgan'!C:C,A43,'muddati otgan'!J:J,"Kelishish (Registratsiya DKP)")</f>
        <v>0</v>
      </c>
      <c r="AP43" s="11">
        <f t="shared" si="28"/>
        <v>0</v>
      </c>
      <c r="AQ43" s="11">
        <f>+COUNTIFS('muddati otgan'!C:C,A43,'muddati otgan'!J:J,"Manzil biriktirish")</f>
        <v>0</v>
      </c>
      <c r="AR43" s="11">
        <f>+COUNTIFS('muddati otgan'!C:C,A43,'muddati otgan'!J:J,"Bino va inshootlarni yaratish")</f>
        <v>0</v>
      </c>
      <c r="AS43" s="11">
        <f>+COUNTIFS('muddati otgan'!C:C,A43,'muddati otgan'!J:J,"Dov daraxtlarni yaratish")</f>
        <v>0</v>
      </c>
      <c r="AT43" s="11">
        <f>+COUNTIFS('muddati otgan'!C:C,A43,'muddati otgan'!J:J,"Yer uchastkasini tahrirlash")</f>
        <v>0</v>
      </c>
      <c r="AU43" s="11">
        <f t="shared" si="29"/>
        <v>0</v>
      </c>
      <c r="AV43" s="11">
        <f>+COUNTIFS('muddati otgan'!C:C,A43,'muddati otgan'!J:J,"Yer toifasi va maqsadini kiritish")</f>
        <v>0</v>
      </c>
      <c r="AW43" s="11">
        <f>+COUNTIFS('muddati otgan'!C:C,A43,'muddati otgan'!J:J,"Auksion yer tekshirish")</f>
        <v>0</v>
      </c>
      <c r="AX43" s="11">
        <f>+COUNTIFS('muddati otgan'!C:C,A43,'muddati otgan'!J:J,"Yer turlarini kiritish")</f>
        <v>0</v>
      </c>
      <c r="AY43" s="11">
        <f>+COUNTIFS('muddati otgan'!C:C,A43,'muddati otgan'!J:J,"Ma'lumotlarni kiritish")</f>
        <v>0</v>
      </c>
      <c r="AZ43" s="11">
        <f>+COUNTIFS('muddati otgan'!C:C,A43,'muddati otgan'!J:J,"Yer tekshirish")</f>
        <v>0</v>
      </c>
      <c r="BA43" s="11">
        <f t="shared" si="30"/>
        <v>0</v>
      </c>
      <c r="BB43" s="11">
        <f>+COUNTIFS('muddati otgan'!C:C,A43,'muddati otgan'!J:J,"Bino va inshoot ma'lumotlarini to‘ldirish")</f>
        <v>0</v>
      </c>
      <c r="BC43" s="11">
        <f>+COUNTIFS('muddati otgan'!C:C,A43,'muddati otgan'!J:J,"Inventarizatsiya ma'lumotlarini to‘ldirish")</f>
        <v>0</v>
      </c>
      <c r="BD43" s="11">
        <f>+COUNTIFS('muddati otgan'!C:C,A43,'muddati otgan'!J:J,"Yer uchastkasiga huquqiy hujjatlarni kiritsh")</f>
        <v>0</v>
      </c>
      <c r="BE43" s="11">
        <f>+COUNTIFS('muddati otgan'!C:C,A43,'muddati otgan'!J:J,"Bino-inshootlarga huquqiy hujjatlarni kiritsh")</f>
        <v>0</v>
      </c>
      <c r="BF43" s="11">
        <f>+COUNTIFS('muddati otgan'!C:C,A43,'muddati otgan'!J:J,"Kadastr qiymatini hisoblash va kiritish")</f>
        <v>0</v>
      </c>
      <c r="BG43" s="11">
        <f>+COUNTIFS('muddati otgan'!C:C,A43,'muddati otgan'!J:J,"Kadastr raqam biriktirish")</f>
        <v>0</v>
      </c>
      <c r="BH43" s="11">
        <f>+COUNTIFS('muddati otgan'!C:C,A43,'muddati otgan'!J:J,"Kadastr yig'ma jildni tayyorlash")</f>
        <v>0</v>
      </c>
      <c r="BI43" s="11">
        <f>+COUNTIFS('muddati otgan'!C:C,A43,'muddati otgan'!J:J,"Huquqni yaratish")</f>
        <v>0</v>
      </c>
      <c r="BJ43" s="11">
        <f>+COUNTIFS('muddati otgan'!C:C,A43,'muddati otgan'!J:J,"Hujjatlarni o'rganish")</f>
        <v>0</v>
      </c>
      <c r="BK43" s="11">
        <f>+COUNTIFS('muddati otgan'!C:C,A43,'muddati otgan'!J:J,"Ma'lumotlarni tekshirish")</f>
        <v>0</v>
      </c>
      <c r="BL43" s="11">
        <f t="shared" si="31"/>
        <v>0</v>
      </c>
      <c r="BM43" s="11">
        <f>+COUNTIFS('muddati otgan'!C:C,A43,'muddati otgan'!J:J,"Tekshirish")</f>
        <v>0</v>
      </c>
      <c r="BN43" s="11">
        <f>+COUNTIFS('muddati otgan'!C:C,A43,'muddati otgan'!J:J,"Hujjatlarni tekshirish")</f>
        <v>0</v>
      </c>
      <c r="BO43" s="11">
        <f>+COUNTIFS('muddati otgan'!C:C,A43,'muddati otgan'!J:J,"Tasdiqlash")</f>
        <v>0</v>
      </c>
      <c r="BP43" s="11">
        <f>+COUNTIFS('muddati otgan'!C:C,A43,'muddati otgan'!J:J,"tekshirish/tasdiqlash")</f>
        <v>0</v>
      </c>
      <c r="BQ43" s="11">
        <f>+COUNTIFS('muddati otgan'!C:C,A43,'muddati otgan'!J:J,"Ma'lumotlarni tasdiqlash")</f>
        <v>0</v>
      </c>
      <c r="BR43" s="11">
        <f t="shared" si="32"/>
        <v>0</v>
      </c>
      <c r="BS43" s="11">
        <f>+COUNTIFS('muddati otgan'!C:C,A43,'muddati otgan'!J:J,"Ro'yxatdan o'tkazish ma'lumotlarini tekshirish")</f>
        <v>0</v>
      </c>
      <c r="BT43" s="11">
        <f>+COUNTIFS('muddati otgan'!C:C,A43,'muddati otgan'!J:J,"Kamchiliklar bo'yicha habarnoma yuborish va 3 kunga to'xtatish")</f>
        <v>0</v>
      </c>
      <c r="BU43" s="11">
        <f>+COUNTIFS('muddati otgan'!C:C,A43,'muddati otgan'!J:J,"Hisobga olish")</f>
        <v>0</v>
      </c>
      <c r="BV43" s="11">
        <f>+COUNTIFS('muddati otgan'!C:C,A43,'muddati otgan'!J:J,"Yer uchastkasiga huquq yaratish")</f>
        <v>0</v>
      </c>
      <c r="BW43" s="11">
        <f>+COUNTIFS('muddati otgan'!C:C,A43,'muddati otgan'!J:J,"Bino-inshootga huquq yaratish")</f>
        <v>0</v>
      </c>
      <c r="BX43" s="11">
        <f>+COUNTIFS('muddati otgan'!C:C,A43,'muddati otgan'!J:J,"Cheklov yaratish")</f>
        <v>0</v>
      </c>
      <c r="BY43" s="11">
        <f>+COUNTIFS('muddati otgan'!C:C,A43,'muddati otgan'!J:J,"Taqiq yaratish")</f>
        <v>0</v>
      </c>
      <c r="BZ43" s="11">
        <f t="shared" si="33"/>
        <v>0</v>
      </c>
      <c r="CA43" s="11">
        <f>+COUNTIFS('muddati otgan'!C:C,A43,'muddati otgan'!J:J,"Soliq maydonini tekshirish")</f>
        <v>0</v>
      </c>
      <c r="CB43" s="11">
        <f t="shared" si="34"/>
        <v>0</v>
      </c>
      <c r="CC43" s="11">
        <f>+COUNTIFS('muddati otgan'!C:C,A43,'muddati otgan'!J:J,"Kadastr yig'majildini shakllantirish")</f>
        <v>0</v>
      </c>
      <c r="CD43" s="11">
        <f t="shared" si="35"/>
        <v>2</v>
      </c>
      <c r="CE43" s="11">
        <f>+COUNTIFS('muddati otgan'!C:C,A43,'muddati otgan'!J:J,"Kadastr passportini shakllantirish")</f>
        <v>2</v>
      </c>
      <c r="CF43" s="11">
        <f>+COUNTIFS('muddati otgan'!C:C,A43,'muddati otgan'!J:J,"Yig'ma jildni tasdiqlash")</f>
        <v>0</v>
      </c>
      <c r="CG43" s="11">
        <f>+COUNTIFS('muddati otgan'!C:C,A43,'muddati otgan'!J:J,"To'lov yoki bepul tasdiqlash")</f>
        <v>0</v>
      </c>
      <c r="CH43" s="11">
        <f>+COUNTIFS('muddati otgan'!C:C,A43,'muddati otgan'!J:J,"Bog'liq arizani kutish")</f>
        <v>0</v>
      </c>
      <c r="CI43" s="11">
        <f>+COUNTIFS('muddati otgan'!C:C,A43,'muddati otgan'!J:J,"To'lovga chiqarish")</f>
        <v>0</v>
      </c>
      <c r="CJ43" s="11">
        <f>+COUNTIFS('muddati otgan'!C:C,A43,'muddati otgan'!J:J,"Hisobga qo'yish")</f>
        <v>0</v>
      </c>
      <c r="CK43" s="6">
        <f>+COUNTIFS('muddati otgan'!C:C,A43,'muddati otgan'!J:J,"To'lov kutilmoqda")</f>
        <v>0</v>
      </c>
      <c r="CL43" s="11">
        <f t="shared" si="36"/>
        <v>0</v>
      </c>
      <c r="CM43" s="11">
        <f>+COUNTIFS('muddati otgan'!C:C,A43,'muddati otgan'!AA:AA,"Arizani qabul qilish2")</f>
        <v>0</v>
      </c>
      <c r="CN43" s="11">
        <f>+COUNTIFS('muddati otgan'!C:C,A43,'muddati otgan'!J:J,"Huquqlarni tekshirish")</f>
        <v>0</v>
      </c>
      <c r="CO43" s="11">
        <f>+COUNTIFS('muddati otgan'!C:C,A43,'muddati otgan'!J:J,"Ko'chmas mulkni ro'yhatdan o'tkazishga qabul qilish")</f>
        <v>0</v>
      </c>
      <c r="CP43" s="11">
        <f>+COUNTIFS('muddati otgan'!C:C,A43,'muddati otgan'!J:J,"Ro'yxatdan o'tkazish")</f>
        <v>0</v>
      </c>
      <c r="CQ43" s="11">
        <f>+COUNTIFS('muddati otgan'!C:C,A43,'muddati otgan'!J:J,"Kadastr pasporti va ko'chirmani yuborish")</f>
        <v>0</v>
      </c>
      <c r="CR43" s="11">
        <f>+COUNTIFS('muddati otgan'!C:C,A43,'muddati otgan'!AA:AA,"Rad qilish2")</f>
        <v>0</v>
      </c>
      <c r="CS43" s="11">
        <f>+COUNTIFS('muddati otgan'!C:C,A43,'muddati otgan'!J:J,"Ko'chirmani yuborish")</f>
        <v>0</v>
      </c>
      <c r="CT43" s="11">
        <f>+COUNTIFS('muddati otgan'!C:C,A43,'muddati otgan'!J:J,"Ma‘lumotlarni tekshirish")</f>
        <v>0</v>
      </c>
      <c r="CU43" s="11">
        <f t="shared" si="37"/>
        <v>0</v>
      </c>
      <c r="CV43" s="11">
        <f>+COUNTIFS('muddati otgan'!C:C,A43,'muddati otgan'!J:J,"Kadastr yig'majildini chop etish va arxiv ishiga tikish")</f>
        <v>0</v>
      </c>
      <c r="CW43" s="11">
        <f t="shared" si="38"/>
        <v>0</v>
      </c>
      <c r="CX43" s="11">
        <f>+COUNTIFS('muddati otgan'!C:C,A43,'muddati otgan'!J:J,"Kadastr yig‘majildini qabul qilish, arizani yakunlash")</f>
        <v>0</v>
      </c>
      <c r="CY43" s="11">
        <f>+COUNTIFS('muddati otgan'!C:C,A43,'muddati otgan'!J:J,"Next Cloudga yuklash")</f>
        <v>0</v>
      </c>
      <c r="CZ43" s="6">
        <f>+COUNTIFS('muddati otgan'!C:C,A43,'muddati otgan'!J:J,"Kelishish kutilmoqda")</f>
        <v>0</v>
      </c>
      <c r="DA43" s="6">
        <f>+COUNTIFS('muddati otgan'!C:C,A43,'muddati otgan'!J:J,"Yakunlandi")</f>
        <v>0</v>
      </c>
      <c r="DB43" s="10">
        <f>+COUNTIFS('muddati otgan'!C:C,A43,'muddati otgan'!J:J,"Rad etildi")</f>
        <v>0</v>
      </c>
      <c r="DC43" s="100">
        <f t="shared" si="5"/>
        <v>-2</v>
      </c>
      <c r="DD43" s="44">
        <f>COUNTIFS('jami 1-20 kunlik arizalar'!C:C,A:A,'jami 1-20 kunlik arizalar'!S:S,"1")</f>
        <v>0</v>
      </c>
      <c r="DE43" s="11">
        <f>COUNTIFS('jami 1-20 kunlik arizalar'!C:C,A:A,'jami 1-20 kunlik arizalar'!S:S,"2")</f>
        <v>0</v>
      </c>
      <c r="DF43" s="11">
        <f>COUNTIFS('jami 1-20 kunlik arizalar'!C:C,A:A,'jami 1-20 kunlik arizalar'!S:S,"3")</f>
        <v>3</v>
      </c>
      <c r="DG43" s="11">
        <f>COUNTIFS('jami 1-20 kunlik arizalar'!C:C,A:A,'jami 1-20 kunlik arizalar'!S:S,"4")</f>
        <v>2</v>
      </c>
      <c r="DH43" s="11">
        <f>COUNTIFS('jami 1-20 kunlik arizalar'!C:C,A:A,'jami 1-20 kunlik arizalar'!S:S,"5")</f>
        <v>2</v>
      </c>
      <c r="DI43" s="11">
        <f>SUM(COUNTIFS('jami 1-20 kunlik arizalar'!C:C,A:A, 'jami 1-20 kunlik arizalar'!S:S, {6,7,8,9,10}))</f>
        <v>3</v>
      </c>
      <c r="DJ43" s="12">
        <f>SUM(COUNTIFS('jami 1-20 kunlik arizalar'!C:C,A:A, 'jami 1-20 kunlik arizalar'!S:S, "&gt;10"))</f>
        <v>0</v>
      </c>
    </row>
    <row r="44" spans="1:115" ht="35.1" hidden="1" customHeight="1" outlineLevel="1" x14ac:dyDescent="0.25">
      <c r="A44" s="92" t="s">
        <v>645</v>
      </c>
      <c r="B44" s="74"/>
      <c r="C44" s="85" t="s">
        <v>773</v>
      </c>
      <c r="D44" s="80">
        <f>+COUNTIFS('muddati otgan'!C:C,A44,'muddati otgan'!C:C,A44)</f>
        <v>0</v>
      </c>
      <c r="E44" s="10">
        <f>SUMIFS('muddati otgan'!$V:V,'muddati otgan'!$C:C,$A:A)</f>
        <v>0</v>
      </c>
      <c r="F44" s="10">
        <f>SUMIFS('muddati otgan'!$W:W,'muddati otgan'!$C:C,$A:A)</f>
        <v>0</v>
      </c>
      <c r="G44" s="24">
        <f>SUMIFS('muddati otgan'!$U:U,'muddati otgan'!$C:C,$A:A)</f>
        <v>0</v>
      </c>
      <c r="H44" s="11">
        <f>SUMIFS('muddati otgan'!$G:G,'muddati otgan'!$C:C,$A:A)</f>
        <v>0</v>
      </c>
      <c r="I44" s="12">
        <f>SUMIFS('muddati otgan'!$H:H,'muddati otgan'!$C:C,$A:A)</f>
        <v>0</v>
      </c>
      <c r="J44" s="44">
        <f t="shared" si="23"/>
        <v>0</v>
      </c>
      <c r="K44" s="11">
        <f>+COUNTIFS('muddati otgan'!C:C,A44,'muddati otgan'!AA:AA,"Arizani qabul qilish")</f>
        <v>0</v>
      </c>
      <c r="L44" s="11">
        <f>+COUNTIFS('muddati otgan'!C:C,A44,'muddati otgan'!J:J,"Arizani rad etish")</f>
        <v>0</v>
      </c>
      <c r="M44" s="11">
        <f>+COUNTIFS('muddati otgan'!C:C,A44,'muddati otgan'!J:J,"Arizani tasdiqlash")</f>
        <v>0</v>
      </c>
      <c r="N44" s="11">
        <f>+COUNTIFS('muddati otgan'!C:C,A44,'muddati otgan'!J:J,"Arizani yo'naltirish")</f>
        <v>0</v>
      </c>
      <c r="O44" s="11">
        <f>+COUNTIFS('muddati otgan'!C:C,A44,'muddati otgan'!J:J,"Rad qilish sababini o'rganish")</f>
        <v>0</v>
      </c>
      <c r="P44" s="11">
        <f>+COUNTIFS('muddati otgan'!C:C,A44,'muddati otgan'!J:J,"Ko'chmas mulkni UZKAD ga migratsiya qilish")</f>
        <v>0</v>
      </c>
      <c r="Q44" s="11">
        <f>+COUNTIFS('muddati otgan'!C:C,A44,'muddati otgan'!J:J,"Migratisya qilingan obyekt holatini tekshirish")</f>
        <v>0</v>
      </c>
      <c r="R44" s="11">
        <f>+COUNTIFS('muddati otgan'!C:C,A44,'muddati otgan'!J:J,"Ko‘chmas mulkni tanlash")</f>
        <v>0</v>
      </c>
      <c r="S44" s="11">
        <f>+COUNTIFS('muddati otgan'!C:C,A44,'muddati otgan'!J:J,"Arizani ko'rib chiqish")</f>
        <v>0</v>
      </c>
      <c r="T44" s="11">
        <f>+COUNTIFS('muddati otgan'!C:C,A44,'muddati otgan'!J:J,"Kadastr muhandisini tanlash")</f>
        <v>0</v>
      </c>
      <c r="U44" s="11">
        <f>+COUNTIFS('muddati otgan'!C:C,A44,'muddati otgan'!J:J,"Ko'chmas mulk turini tanlahsh")</f>
        <v>0</v>
      </c>
      <c r="V44" s="11">
        <f>+COUNTIFS('muddati otgan'!C:C,A44,'muddati otgan'!AA:AA,"Rad qilish")</f>
        <v>0</v>
      </c>
      <c r="W44" s="11">
        <f>+COUNTIFS('muddati otgan'!C:C,A44,'muddati otgan'!J:J,"ijrochi tanlash")</f>
        <v>0</v>
      </c>
      <c r="X44" s="11">
        <f>+COUNTIFS('muddati otgan'!C:C,A44,'muddati otgan'!J:J,"Ko'chmas mulk turini tanlash")</f>
        <v>0</v>
      </c>
      <c r="Y44" s="11">
        <f t="shared" si="24"/>
        <v>0</v>
      </c>
      <c r="Z44" s="11">
        <f>+COUNTIFS('muddati otgan'!C:C,A44,'muddati otgan'!J:J,"Ijroga qabul qilish")</f>
        <v>0</v>
      </c>
      <c r="AA44" s="11">
        <f>+COUNTIFS('muddati otgan'!C:C,A44,'muddati otgan'!J:J,"Joyida o'rganish va ma'lumotlarni kiritish")</f>
        <v>0</v>
      </c>
      <c r="AB44" s="11">
        <f>+COUNTIFS('muddati otgan'!C:C,A44,'muddati otgan'!J:J,"Asosiy qismdan ajratish jarayonida")</f>
        <v>0</v>
      </c>
      <c r="AC44" s="11">
        <f>+COUNTIFS('muddati otgan'!C:C,A44,'muddati otgan'!J:J,"Umumiy foydalanishdagi obyekt yaratilish")</f>
        <v>0</v>
      </c>
      <c r="AD44" s="11">
        <f>+COUNTIFS('muddati otgan'!C:C,A44,'muddati otgan'!J:J,"Migratsiya qilinadigan kadastr raqamini kiritish")</f>
        <v>0</v>
      </c>
      <c r="AE44" s="11">
        <f>+COUNTIFS('muddati otgan'!C:C,A44,'muddati otgan'!J:J,"O'zida qolgan obyektni yaratish")</f>
        <v>0</v>
      </c>
      <c r="AF44" s="11">
        <f>+COUNTIFS('muddati otgan'!C:C,A44,'muddati otgan'!J:J,"O'lchov natijalarini kiritish")</f>
        <v>0</v>
      </c>
      <c r="AG44" s="11">
        <f>+COUNTIFS('muddati otgan'!C:C,A44,'muddati otgan'!J:J,"Topoxaritani tayyorlash (dwg, pdf)")</f>
        <v>0</v>
      </c>
      <c r="AH44" s="11">
        <f t="shared" si="25"/>
        <v>0</v>
      </c>
      <c r="AI44" s="11">
        <f>+COUNTIFS('muddati otgan'!C:C,A44,'muddati otgan'!J:J,"Yer uchastkasini yaratish")</f>
        <v>0</v>
      </c>
      <c r="AJ44" s="11">
        <f t="shared" si="26"/>
        <v>0</v>
      </c>
      <c r="AK44" s="11">
        <f>+COUNTIFS('muddati otgan'!C:C,A44,'muddati otgan'!J:J,"Kelishish (Boshqarma)")</f>
        <v>0</v>
      </c>
      <c r="AL44" s="11">
        <f t="shared" si="27"/>
        <v>0</v>
      </c>
      <c r="AM44" s="11">
        <f>+COUNTIFS('muddati otgan'!C:C,A44,'muddati otgan'!J:J,"Kelishish (DKP)")</f>
        <v>0</v>
      </c>
      <c r="AN44" s="11">
        <f>+COUNTIFS('muddati otgan'!C:C,A44,'muddati otgan'!J:J,"Kelishish")</f>
        <v>0</v>
      </c>
      <c r="AO44" s="11">
        <f>+COUNTIFS('muddati otgan'!C:C,A44,'muddati otgan'!J:J,"Kelishish (Registratsiya DKP)")</f>
        <v>0</v>
      </c>
      <c r="AP44" s="11">
        <f t="shared" si="28"/>
        <v>0</v>
      </c>
      <c r="AQ44" s="11">
        <f>+COUNTIFS('muddati otgan'!C:C,A44,'muddati otgan'!J:J,"Manzil biriktirish")</f>
        <v>0</v>
      </c>
      <c r="AR44" s="11">
        <f>+COUNTIFS('muddati otgan'!C:C,A44,'muddati otgan'!J:J,"Bino va inshootlarni yaratish")</f>
        <v>0</v>
      </c>
      <c r="AS44" s="11">
        <f>+COUNTIFS('muddati otgan'!C:C,A44,'muddati otgan'!J:J,"Dov daraxtlarni yaratish")</f>
        <v>0</v>
      </c>
      <c r="AT44" s="11">
        <f>+COUNTIFS('muddati otgan'!C:C,A44,'muddati otgan'!J:J,"Yer uchastkasini tahrirlash")</f>
        <v>0</v>
      </c>
      <c r="AU44" s="11">
        <f t="shared" si="29"/>
        <v>0</v>
      </c>
      <c r="AV44" s="11">
        <f>+COUNTIFS('muddati otgan'!C:C,A44,'muddati otgan'!J:J,"Yer toifasi va maqsadini kiritish")</f>
        <v>0</v>
      </c>
      <c r="AW44" s="11">
        <f>+COUNTIFS('muddati otgan'!C:C,A44,'muddati otgan'!J:J,"Auksion yer tekshirish")</f>
        <v>0</v>
      </c>
      <c r="AX44" s="11">
        <f>+COUNTIFS('muddati otgan'!C:C,A44,'muddati otgan'!J:J,"Yer turlarini kiritish")</f>
        <v>0</v>
      </c>
      <c r="AY44" s="11">
        <f>+COUNTIFS('muddati otgan'!C:C,A44,'muddati otgan'!J:J,"Ma'lumotlarni kiritish")</f>
        <v>0</v>
      </c>
      <c r="AZ44" s="11">
        <f>+COUNTIFS('muddati otgan'!C:C,A44,'muddati otgan'!J:J,"Yer tekshirish")</f>
        <v>0</v>
      </c>
      <c r="BA44" s="11">
        <f t="shared" si="30"/>
        <v>0</v>
      </c>
      <c r="BB44" s="11">
        <f>+COUNTIFS('muddati otgan'!C:C,A44,'muddati otgan'!J:J,"Bino va inshoot ma'lumotlarini to‘ldirish")</f>
        <v>0</v>
      </c>
      <c r="BC44" s="11">
        <f>+COUNTIFS('muddati otgan'!C:C,A44,'muddati otgan'!J:J,"Inventarizatsiya ma'lumotlarini to‘ldirish")</f>
        <v>0</v>
      </c>
      <c r="BD44" s="11">
        <f>+COUNTIFS('muddati otgan'!C:C,A44,'muddati otgan'!J:J,"Yer uchastkasiga huquqiy hujjatlarni kiritsh")</f>
        <v>0</v>
      </c>
      <c r="BE44" s="11">
        <f>+COUNTIFS('muddati otgan'!C:C,A44,'muddati otgan'!J:J,"Bino-inshootlarga huquqiy hujjatlarni kiritsh")</f>
        <v>0</v>
      </c>
      <c r="BF44" s="11">
        <f>+COUNTIFS('muddati otgan'!C:C,A44,'muddati otgan'!J:J,"Kadastr qiymatini hisoblash va kiritish")</f>
        <v>0</v>
      </c>
      <c r="BG44" s="11">
        <f>+COUNTIFS('muddati otgan'!C:C,A44,'muddati otgan'!J:J,"Kadastr raqam biriktirish")</f>
        <v>0</v>
      </c>
      <c r="BH44" s="11">
        <f>+COUNTIFS('muddati otgan'!C:C,A44,'muddati otgan'!J:J,"Kadastr yig'ma jildni tayyorlash")</f>
        <v>0</v>
      </c>
      <c r="BI44" s="11">
        <f>+COUNTIFS('muddati otgan'!C:C,A44,'muddati otgan'!J:J,"Huquqni yaratish")</f>
        <v>0</v>
      </c>
      <c r="BJ44" s="11">
        <f>+COUNTIFS('muddati otgan'!C:C,A44,'muddati otgan'!J:J,"Hujjatlarni o'rganish")</f>
        <v>0</v>
      </c>
      <c r="BK44" s="11">
        <f>+COUNTIFS('muddati otgan'!C:C,A44,'muddati otgan'!J:J,"Ma'lumotlarni tekshirish")</f>
        <v>0</v>
      </c>
      <c r="BL44" s="11">
        <f t="shared" si="31"/>
        <v>0</v>
      </c>
      <c r="BM44" s="11">
        <f>+COUNTIFS('muddati otgan'!C:C,A44,'muddati otgan'!J:J,"Tekshirish")</f>
        <v>0</v>
      </c>
      <c r="BN44" s="11">
        <f>+COUNTIFS('muddati otgan'!C:C,A44,'muddati otgan'!J:J,"Hujjatlarni tekshirish")</f>
        <v>0</v>
      </c>
      <c r="BO44" s="11">
        <f>+COUNTIFS('muddati otgan'!C:C,A44,'muddati otgan'!J:J,"Tasdiqlash")</f>
        <v>0</v>
      </c>
      <c r="BP44" s="11">
        <f>+COUNTIFS('muddati otgan'!C:C,A44,'muddati otgan'!J:J,"tekshirish/tasdiqlash")</f>
        <v>0</v>
      </c>
      <c r="BQ44" s="11">
        <f>+COUNTIFS('muddati otgan'!C:C,A44,'muddati otgan'!J:J,"Ma'lumotlarni tasdiqlash")</f>
        <v>0</v>
      </c>
      <c r="BR44" s="11">
        <f t="shared" si="32"/>
        <v>0</v>
      </c>
      <c r="BS44" s="11">
        <f>+COUNTIFS('muddati otgan'!C:C,A44,'muddati otgan'!J:J,"Ro'yxatdan o'tkazish ma'lumotlarini tekshirish")</f>
        <v>0</v>
      </c>
      <c r="BT44" s="11">
        <f>+COUNTIFS('muddati otgan'!C:C,A44,'muddati otgan'!J:J,"Kamchiliklar bo'yicha habarnoma yuborish va 3 kunga to'xtatish")</f>
        <v>0</v>
      </c>
      <c r="BU44" s="11">
        <f>+COUNTIFS('muddati otgan'!C:C,A44,'muddati otgan'!J:J,"Hisobga olish")</f>
        <v>0</v>
      </c>
      <c r="BV44" s="11">
        <f>+COUNTIFS('muddati otgan'!C:C,A44,'muddati otgan'!J:J,"Yer uchastkasiga huquq yaratish")</f>
        <v>0</v>
      </c>
      <c r="BW44" s="11">
        <f>+COUNTIFS('muddati otgan'!C:C,A44,'muddati otgan'!J:J,"Bino-inshootga huquq yaratish")</f>
        <v>0</v>
      </c>
      <c r="BX44" s="11">
        <f>+COUNTIFS('muddati otgan'!C:C,A44,'muddati otgan'!J:J,"Cheklov yaratish")</f>
        <v>0</v>
      </c>
      <c r="BY44" s="11">
        <f>+COUNTIFS('muddati otgan'!C:C,A44,'muddati otgan'!J:J,"Taqiq yaratish")</f>
        <v>0</v>
      </c>
      <c r="BZ44" s="11">
        <f t="shared" si="33"/>
        <v>0</v>
      </c>
      <c r="CA44" s="11">
        <f>+COUNTIFS('muddati otgan'!C:C,A44,'muddati otgan'!J:J,"Soliq maydonini tekshirish")</f>
        <v>0</v>
      </c>
      <c r="CB44" s="11">
        <f t="shared" si="34"/>
        <v>0</v>
      </c>
      <c r="CC44" s="11">
        <f>+COUNTIFS('muddati otgan'!C:C,A44,'muddati otgan'!J:J,"Kadastr yig'majildini shakllantirish")</f>
        <v>0</v>
      </c>
      <c r="CD44" s="11">
        <f t="shared" si="35"/>
        <v>0</v>
      </c>
      <c r="CE44" s="11">
        <f>+COUNTIFS('muddati otgan'!C:C,A44,'muddati otgan'!J:J,"Kadastr passportini shakllantirish")</f>
        <v>0</v>
      </c>
      <c r="CF44" s="11">
        <f>+COUNTIFS('muddati otgan'!C:C,A44,'muddati otgan'!J:J,"Yig'ma jildni tasdiqlash")</f>
        <v>0</v>
      </c>
      <c r="CG44" s="11">
        <f>+COUNTIFS('muddati otgan'!C:C,A44,'muddati otgan'!J:J,"To'lov yoki bepul tasdiqlash")</f>
        <v>0</v>
      </c>
      <c r="CH44" s="11">
        <f>+COUNTIFS('muddati otgan'!C:C,A44,'muddati otgan'!J:J,"Bog'liq arizani kutish")</f>
        <v>0</v>
      </c>
      <c r="CI44" s="11">
        <f>+COUNTIFS('muddati otgan'!C:C,A44,'muddati otgan'!J:J,"To'lovga chiqarish")</f>
        <v>0</v>
      </c>
      <c r="CJ44" s="11">
        <f>+COUNTIFS('muddati otgan'!C:C,A44,'muddati otgan'!J:J,"Hisobga qo'yish")</f>
        <v>0</v>
      </c>
      <c r="CK44" s="6">
        <f>+COUNTIFS('muddati otgan'!C:C,A44,'muddati otgan'!J:J,"To'lov kutilmoqda")</f>
        <v>0</v>
      </c>
      <c r="CL44" s="11">
        <f t="shared" si="36"/>
        <v>0</v>
      </c>
      <c r="CM44" s="11">
        <f>+COUNTIFS('muddati otgan'!C:C,A44,'muddati otgan'!AA:AA,"Arizani qabul qilish2")</f>
        <v>0</v>
      </c>
      <c r="CN44" s="11">
        <f>+COUNTIFS('muddati otgan'!C:C,A44,'muddati otgan'!J:J,"Huquqlarni tekshirish")</f>
        <v>0</v>
      </c>
      <c r="CO44" s="11">
        <f>+COUNTIFS('muddati otgan'!C:C,A44,'muddati otgan'!J:J,"Ko'chmas mulkni ro'yhatdan o'tkazishga qabul qilish")</f>
        <v>0</v>
      </c>
      <c r="CP44" s="11">
        <f>+COUNTIFS('muddati otgan'!C:C,A44,'muddati otgan'!J:J,"Ro'yxatdan o'tkazish")</f>
        <v>0</v>
      </c>
      <c r="CQ44" s="11">
        <f>+COUNTIFS('muddati otgan'!C:C,A44,'muddati otgan'!J:J,"Kadastr pasporti va ko'chirmani yuborish")</f>
        <v>0</v>
      </c>
      <c r="CR44" s="11">
        <f>+COUNTIFS('muddati otgan'!C:C,A44,'muddati otgan'!AA:AA,"Rad qilish2")</f>
        <v>0</v>
      </c>
      <c r="CS44" s="11">
        <f>+COUNTIFS('muddati otgan'!C:C,A44,'muddati otgan'!J:J,"Ko'chirmani yuborish")</f>
        <v>0</v>
      </c>
      <c r="CT44" s="11">
        <f>+COUNTIFS('muddati otgan'!C:C,A44,'muddati otgan'!J:J,"Ma‘lumotlarni tekshirish")</f>
        <v>0</v>
      </c>
      <c r="CU44" s="11">
        <f t="shared" si="37"/>
        <v>0</v>
      </c>
      <c r="CV44" s="11">
        <f>+COUNTIFS('muddati otgan'!C:C,A44,'muddati otgan'!J:J,"Kadastr yig'majildini chop etish va arxiv ishiga tikish")</f>
        <v>0</v>
      </c>
      <c r="CW44" s="11">
        <f t="shared" si="38"/>
        <v>0</v>
      </c>
      <c r="CX44" s="11">
        <f>+COUNTIFS('muddati otgan'!C:C,A44,'muddati otgan'!J:J,"Kadastr yig‘majildini qabul qilish, arizani yakunlash")</f>
        <v>0</v>
      </c>
      <c r="CY44" s="11">
        <f>+COUNTIFS('muddati otgan'!C:C,A44,'muddati otgan'!J:J,"Next Cloudga yuklash")</f>
        <v>0</v>
      </c>
      <c r="CZ44" s="6">
        <f>+COUNTIFS('muddati otgan'!C:C,A44,'muddati otgan'!J:J,"Kelishish kutilmoqda")</f>
        <v>0</v>
      </c>
      <c r="DA44" s="6">
        <f>+COUNTIFS('muddati otgan'!C:C,A44,'muddati otgan'!J:J,"Yakunlandi")</f>
        <v>0</v>
      </c>
      <c r="DB44" s="10">
        <f>+COUNTIFS('muddati otgan'!C:C,A44,'muddati otgan'!J:J,"Rad etildi")</f>
        <v>0</v>
      </c>
      <c r="DC44" s="100">
        <f t="shared" si="5"/>
        <v>0</v>
      </c>
      <c r="DD44" s="44">
        <f>COUNTIFS('jami 1-20 kunlik arizalar'!C:C,A:A,'jami 1-20 kunlik arizalar'!S:S,"1")</f>
        <v>0</v>
      </c>
      <c r="DE44" s="11">
        <f>COUNTIFS('jami 1-20 kunlik arizalar'!C:C,A:A,'jami 1-20 kunlik arizalar'!S:S,"2")</f>
        <v>0</v>
      </c>
      <c r="DF44" s="11">
        <f>COUNTIFS('jami 1-20 kunlik arizalar'!C:C,A:A,'jami 1-20 kunlik arizalar'!S:S,"3")</f>
        <v>2</v>
      </c>
      <c r="DG44" s="11">
        <f>COUNTIFS('jami 1-20 kunlik arizalar'!C:C,A:A,'jami 1-20 kunlik arizalar'!S:S,"4")</f>
        <v>0</v>
      </c>
      <c r="DH44" s="11">
        <f>COUNTIFS('jami 1-20 kunlik arizalar'!C:C,A:A,'jami 1-20 kunlik arizalar'!S:S,"5")</f>
        <v>2</v>
      </c>
      <c r="DI44" s="11">
        <f>SUM(COUNTIFS('jami 1-20 kunlik arizalar'!C:C,A:A, 'jami 1-20 kunlik arizalar'!S:S, {6,7,8,9,10}))</f>
        <v>1</v>
      </c>
      <c r="DJ44" s="12">
        <f>SUM(COUNTIFS('jami 1-20 kunlik arizalar'!C:C,A:A, 'jami 1-20 kunlik arizalar'!S:S, "&gt;10"))</f>
        <v>11</v>
      </c>
    </row>
    <row r="45" spans="1:115" ht="35.1" hidden="1" customHeight="1" outlineLevel="1" x14ac:dyDescent="0.25">
      <c r="A45" s="92" t="s">
        <v>572</v>
      </c>
      <c r="B45" s="74"/>
      <c r="C45" s="85" t="s">
        <v>774</v>
      </c>
      <c r="D45" s="80">
        <f>+COUNTIFS('muddati otgan'!C:C,A45,'muddati otgan'!C:C,A45)</f>
        <v>3</v>
      </c>
      <c r="E45" s="10">
        <f>SUMIFS('muddati otgan'!$V:V,'muddati otgan'!$C:C,$A:A)</f>
        <v>0</v>
      </c>
      <c r="F45" s="10">
        <f>SUMIFS('muddati otgan'!$W:W,'muddati otgan'!$C:C,$A:A)</f>
        <v>0</v>
      </c>
      <c r="G45" s="24">
        <f>SUMIFS('muddati otgan'!$U:U,'muddati otgan'!$C:C,$A:A)</f>
        <v>3</v>
      </c>
      <c r="H45" s="11">
        <f>SUMIFS('muddati otgan'!$G:G,'muddati otgan'!$C:C,$A:A)</f>
        <v>3</v>
      </c>
      <c r="I45" s="12">
        <f>SUMIFS('muddati otgan'!$H:H,'muddati otgan'!$C:C,$A:A)</f>
        <v>0</v>
      </c>
      <c r="J45" s="44">
        <f t="shared" si="23"/>
        <v>0</v>
      </c>
      <c r="K45" s="11">
        <f>+COUNTIFS('muddati otgan'!C:C,A45,'muddati otgan'!AA:AA,"Arizani qabul qilish")</f>
        <v>0</v>
      </c>
      <c r="L45" s="11">
        <f>+COUNTIFS('muddati otgan'!C:C,A45,'muddati otgan'!J:J,"Arizani rad etish")</f>
        <v>0</v>
      </c>
      <c r="M45" s="11">
        <f>+COUNTIFS('muddati otgan'!C:C,A45,'muddati otgan'!J:J,"Arizani tasdiqlash")</f>
        <v>0</v>
      </c>
      <c r="N45" s="11">
        <f>+COUNTIFS('muddati otgan'!C:C,A45,'muddati otgan'!J:J,"Arizani yo'naltirish")</f>
        <v>0</v>
      </c>
      <c r="O45" s="11">
        <f>+COUNTIFS('muddati otgan'!C:C,A45,'muddati otgan'!J:J,"Rad qilish sababini o'rganish")</f>
        <v>0</v>
      </c>
      <c r="P45" s="11">
        <f>+COUNTIFS('muddati otgan'!C:C,A45,'muddati otgan'!J:J,"Ko'chmas mulkni UZKAD ga migratsiya qilish")</f>
        <v>0</v>
      </c>
      <c r="Q45" s="11">
        <f>+COUNTIFS('muddati otgan'!C:C,A45,'muddati otgan'!J:J,"Migratisya qilingan obyekt holatini tekshirish")</f>
        <v>0</v>
      </c>
      <c r="R45" s="11">
        <f>+COUNTIFS('muddati otgan'!C:C,A45,'muddati otgan'!J:J,"Ko‘chmas mulkni tanlash")</f>
        <v>0</v>
      </c>
      <c r="S45" s="11">
        <f>+COUNTIFS('muddati otgan'!C:C,A45,'muddati otgan'!J:J,"Arizani ko'rib chiqish")</f>
        <v>0</v>
      </c>
      <c r="T45" s="11">
        <f>+COUNTIFS('muddati otgan'!C:C,A45,'muddati otgan'!J:J,"Kadastr muhandisini tanlash")</f>
        <v>0</v>
      </c>
      <c r="U45" s="11">
        <f>+COUNTIFS('muddati otgan'!C:C,A45,'muddati otgan'!J:J,"Ko'chmas mulk turini tanlahsh")</f>
        <v>0</v>
      </c>
      <c r="V45" s="11">
        <f>+COUNTIFS('muddati otgan'!C:C,A45,'muddati otgan'!AA:AA,"Rad qilish")</f>
        <v>0</v>
      </c>
      <c r="W45" s="11">
        <f>+COUNTIFS('muddati otgan'!C:C,A45,'muddati otgan'!J:J,"ijrochi tanlash")</f>
        <v>0</v>
      </c>
      <c r="X45" s="11">
        <f>+COUNTIFS('muddati otgan'!C:C,A45,'muddati otgan'!J:J,"Ko'chmas mulk turini tanlash")</f>
        <v>0</v>
      </c>
      <c r="Y45" s="11">
        <f t="shared" si="24"/>
        <v>0</v>
      </c>
      <c r="Z45" s="11">
        <f>+COUNTIFS('muddati otgan'!C:C,A45,'muddati otgan'!J:J,"Ijroga qabul qilish")</f>
        <v>0</v>
      </c>
      <c r="AA45" s="11">
        <f>+COUNTIFS('muddati otgan'!C:C,A45,'muddati otgan'!J:J,"Joyida o'rganish va ma'lumotlarni kiritish")</f>
        <v>0</v>
      </c>
      <c r="AB45" s="11">
        <f>+COUNTIFS('muddati otgan'!C:C,A45,'muddati otgan'!J:J,"Asosiy qismdan ajratish jarayonida")</f>
        <v>0</v>
      </c>
      <c r="AC45" s="11">
        <f>+COUNTIFS('muddati otgan'!C:C,A45,'muddati otgan'!J:J,"Umumiy foydalanishdagi obyekt yaratilish")</f>
        <v>0</v>
      </c>
      <c r="AD45" s="11">
        <f>+COUNTIFS('muddati otgan'!C:C,A45,'muddati otgan'!J:J,"Migratsiya qilinadigan kadastr raqamini kiritish")</f>
        <v>0</v>
      </c>
      <c r="AE45" s="11">
        <f>+COUNTIFS('muddati otgan'!C:C,A45,'muddati otgan'!J:J,"O'zida qolgan obyektni yaratish")</f>
        <v>0</v>
      </c>
      <c r="AF45" s="11">
        <f>+COUNTIFS('muddati otgan'!C:C,A45,'muddati otgan'!J:J,"O'lchov natijalarini kiritish")</f>
        <v>0</v>
      </c>
      <c r="AG45" s="11">
        <f>+COUNTIFS('muddati otgan'!C:C,A45,'muddati otgan'!J:J,"Topoxaritani tayyorlash (dwg, pdf)")</f>
        <v>0</v>
      </c>
      <c r="AH45" s="11">
        <f t="shared" si="25"/>
        <v>0</v>
      </c>
      <c r="AI45" s="11">
        <f>+COUNTIFS('muddati otgan'!C:C,A45,'muddati otgan'!J:J,"Yer uchastkasini yaratish")</f>
        <v>0</v>
      </c>
      <c r="AJ45" s="11">
        <f t="shared" si="26"/>
        <v>0</v>
      </c>
      <c r="AK45" s="11">
        <f>+COUNTIFS('muddati otgan'!C:C,A45,'muddati otgan'!J:J,"Kelishish (Boshqarma)")</f>
        <v>0</v>
      </c>
      <c r="AL45" s="11">
        <f t="shared" si="27"/>
        <v>0</v>
      </c>
      <c r="AM45" s="11">
        <f>+COUNTIFS('muddati otgan'!C:C,A45,'muddati otgan'!J:J,"Kelishish (DKP)")</f>
        <v>0</v>
      </c>
      <c r="AN45" s="11">
        <f>+COUNTIFS('muddati otgan'!C:C,A45,'muddati otgan'!J:J,"Kelishish")</f>
        <v>0</v>
      </c>
      <c r="AO45" s="11">
        <f>+COUNTIFS('muddati otgan'!C:C,A45,'muddati otgan'!J:J,"Kelishish (Registratsiya DKP)")</f>
        <v>0</v>
      </c>
      <c r="AP45" s="11">
        <f t="shared" si="28"/>
        <v>0</v>
      </c>
      <c r="AQ45" s="11">
        <f>+COUNTIFS('muddati otgan'!C:C,A45,'muddati otgan'!J:J,"Manzil biriktirish")</f>
        <v>0</v>
      </c>
      <c r="AR45" s="11">
        <f>+COUNTIFS('muddati otgan'!C:C,A45,'muddati otgan'!J:J,"Bino va inshootlarni yaratish")</f>
        <v>0</v>
      </c>
      <c r="AS45" s="11">
        <f>+COUNTIFS('muddati otgan'!C:C,A45,'muddati otgan'!J:J,"Dov daraxtlarni yaratish")</f>
        <v>0</v>
      </c>
      <c r="AT45" s="11">
        <f>+COUNTIFS('muddati otgan'!C:C,A45,'muddati otgan'!J:J,"Yer uchastkasini tahrirlash")</f>
        <v>0</v>
      </c>
      <c r="AU45" s="11">
        <f t="shared" si="29"/>
        <v>0</v>
      </c>
      <c r="AV45" s="11">
        <f>+COUNTIFS('muddati otgan'!C:C,A45,'muddati otgan'!J:J,"Yer toifasi va maqsadini kiritish")</f>
        <v>0</v>
      </c>
      <c r="AW45" s="11">
        <f>+COUNTIFS('muddati otgan'!C:C,A45,'muddati otgan'!J:J,"Auksion yer tekshirish")</f>
        <v>0</v>
      </c>
      <c r="AX45" s="11">
        <f>+COUNTIFS('muddati otgan'!C:C,A45,'muddati otgan'!J:J,"Yer turlarini kiritish")</f>
        <v>0</v>
      </c>
      <c r="AY45" s="11">
        <f>+COUNTIFS('muddati otgan'!C:C,A45,'muddati otgan'!J:J,"Ma'lumotlarni kiritish")</f>
        <v>0</v>
      </c>
      <c r="AZ45" s="11">
        <f>+COUNTIFS('muddati otgan'!C:C,A45,'muddati otgan'!J:J,"Yer tekshirish")</f>
        <v>0</v>
      </c>
      <c r="BA45" s="11">
        <f t="shared" si="30"/>
        <v>0</v>
      </c>
      <c r="BB45" s="11">
        <f>+COUNTIFS('muddati otgan'!C:C,A45,'muddati otgan'!J:J,"Bino va inshoot ma'lumotlarini to‘ldirish")</f>
        <v>0</v>
      </c>
      <c r="BC45" s="11">
        <f>+COUNTIFS('muddati otgan'!C:C,A45,'muddati otgan'!J:J,"Inventarizatsiya ma'lumotlarini to‘ldirish")</f>
        <v>0</v>
      </c>
      <c r="BD45" s="11">
        <f>+COUNTIFS('muddati otgan'!C:C,A45,'muddati otgan'!J:J,"Yer uchastkasiga huquqiy hujjatlarni kiritsh")</f>
        <v>0</v>
      </c>
      <c r="BE45" s="11">
        <f>+COUNTIFS('muddati otgan'!C:C,A45,'muddati otgan'!J:J,"Bino-inshootlarga huquqiy hujjatlarni kiritsh")</f>
        <v>0</v>
      </c>
      <c r="BF45" s="11">
        <f>+COUNTIFS('muddati otgan'!C:C,A45,'muddati otgan'!J:J,"Kadastr qiymatini hisoblash va kiritish")</f>
        <v>0</v>
      </c>
      <c r="BG45" s="11">
        <f>+COUNTIFS('muddati otgan'!C:C,A45,'muddati otgan'!J:J,"Kadastr raqam biriktirish")</f>
        <v>0</v>
      </c>
      <c r="BH45" s="11">
        <f>+COUNTIFS('muddati otgan'!C:C,A45,'muddati otgan'!J:J,"Kadastr yig'ma jildni tayyorlash")</f>
        <v>0</v>
      </c>
      <c r="BI45" s="11">
        <f>+COUNTIFS('muddati otgan'!C:C,A45,'muddati otgan'!J:J,"Huquqni yaratish")</f>
        <v>0</v>
      </c>
      <c r="BJ45" s="11">
        <f>+COUNTIFS('muddati otgan'!C:C,A45,'muddati otgan'!J:J,"Hujjatlarni o'rganish")</f>
        <v>0</v>
      </c>
      <c r="BK45" s="11">
        <f>+COUNTIFS('muddati otgan'!C:C,A45,'muddati otgan'!J:J,"Ma'lumotlarni tekshirish")</f>
        <v>0</v>
      </c>
      <c r="BL45" s="11">
        <f t="shared" si="31"/>
        <v>0</v>
      </c>
      <c r="BM45" s="11">
        <f>+COUNTIFS('muddati otgan'!C:C,A45,'muddati otgan'!J:J,"Tekshirish")</f>
        <v>0</v>
      </c>
      <c r="BN45" s="11">
        <f>+COUNTIFS('muddati otgan'!C:C,A45,'muddati otgan'!J:J,"Hujjatlarni tekshirish")</f>
        <v>0</v>
      </c>
      <c r="BO45" s="11">
        <f>+COUNTIFS('muddati otgan'!C:C,A45,'muddati otgan'!J:J,"Tasdiqlash")</f>
        <v>0</v>
      </c>
      <c r="BP45" s="11">
        <f>+COUNTIFS('muddati otgan'!C:C,A45,'muddati otgan'!J:J,"tekshirish/tasdiqlash")</f>
        <v>0</v>
      </c>
      <c r="BQ45" s="11">
        <f>+COUNTIFS('muddati otgan'!C:C,A45,'muddati otgan'!J:J,"Ma'lumotlarni tasdiqlash")</f>
        <v>0</v>
      </c>
      <c r="BR45" s="11">
        <f t="shared" si="32"/>
        <v>0</v>
      </c>
      <c r="BS45" s="11">
        <f>+COUNTIFS('muddati otgan'!C:C,A45,'muddati otgan'!J:J,"Ro'yxatdan o'tkazish ma'lumotlarini tekshirish")</f>
        <v>0</v>
      </c>
      <c r="BT45" s="11">
        <f>+COUNTIFS('muddati otgan'!C:C,A45,'muddati otgan'!J:J,"Kamchiliklar bo'yicha habarnoma yuborish va 3 kunga to'xtatish")</f>
        <v>0</v>
      </c>
      <c r="BU45" s="11">
        <f>+COUNTIFS('muddati otgan'!C:C,A45,'muddati otgan'!J:J,"Hisobga olish")</f>
        <v>0</v>
      </c>
      <c r="BV45" s="11">
        <f>+COUNTIFS('muddati otgan'!C:C,A45,'muddati otgan'!J:J,"Yer uchastkasiga huquq yaratish")</f>
        <v>0</v>
      </c>
      <c r="BW45" s="11">
        <f>+COUNTIFS('muddati otgan'!C:C,A45,'muddati otgan'!J:J,"Bino-inshootga huquq yaratish")</f>
        <v>0</v>
      </c>
      <c r="BX45" s="11">
        <f>+COUNTIFS('muddati otgan'!C:C,A45,'muddati otgan'!J:J,"Cheklov yaratish")</f>
        <v>0</v>
      </c>
      <c r="BY45" s="11">
        <f>+COUNTIFS('muddati otgan'!C:C,A45,'muddati otgan'!J:J,"Taqiq yaratish")</f>
        <v>0</v>
      </c>
      <c r="BZ45" s="11">
        <f t="shared" si="33"/>
        <v>0</v>
      </c>
      <c r="CA45" s="11">
        <f>+COUNTIFS('muddati otgan'!C:C,A45,'muddati otgan'!J:J,"Soliq maydonini tekshirish")</f>
        <v>0</v>
      </c>
      <c r="CB45" s="11">
        <f t="shared" si="34"/>
        <v>0</v>
      </c>
      <c r="CC45" s="11">
        <f>+COUNTIFS('muddati otgan'!C:C,A45,'muddati otgan'!J:J,"Kadastr yig'majildini shakllantirish")</f>
        <v>0</v>
      </c>
      <c r="CD45" s="11">
        <f t="shared" si="35"/>
        <v>3</v>
      </c>
      <c r="CE45" s="11">
        <f>+COUNTIFS('muddati otgan'!C:C,A45,'muddati otgan'!J:J,"Kadastr passportini shakllantirish")</f>
        <v>3</v>
      </c>
      <c r="CF45" s="11">
        <f>+COUNTIFS('muddati otgan'!C:C,A45,'muddati otgan'!J:J,"Yig'ma jildni tasdiqlash")</f>
        <v>0</v>
      </c>
      <c r="CG45" s="11">
        <f>+COUNTIFS('muddati otgan'!C:C,A45,'muddati otgan'!J:J,"To'lov yoki bepul tasdiqlash")</f>
        <v>0</v>
      </c>
      <c r="CH45" s="11">
        <f>+COUNTIFS('muddati otgan'!C:C,A45,'muddati otgan'!J:J,"Bog'liq arizani kutish")</f>
        <v>0</v>
      </c>
      <c r="CI45" s="11">
        <f>+COUNTIFS('muddati otgan'!C:C,A45,'muddati otgan'!J:J,"To'lovga chiqarish")</f>
        <v>0</v>
      </c>
      <c r="CJ45" s="11">
        <f>+COUNTIFS('muddati otgan'!C:C,A45,'muddati otgan'!J:J,"Hisobga qo'yish")</f>
        <v>0</v>
      </c>
      <c r="CK45" s="6">
        <f>+COUNTIFS('muddati otgan'!C:C,A45,'muddati otgan'!J:J,"To'lov kutilmoqda")</f>
        <v>0</v>
      </c>
      <c r="CL45" s="11">
        <f t="shared" si="36"/>
        <v>0</v>
      </c>
      <c r="CM45" s="11">
        <f>+COUNTIFS('muddati otgan'!C:C,A45,'muddati otgan'!AA:AA,"Arizani qabul qilish2")</f>
        <v>0</v>
      </c>
      <c r="CN45" s="11">
        <f>+COUNTIFS('muddati otgan'!C:C,A45,'muddati otgan'!J:J,"Huquqlarni tekshirish")</f>
        <v>0</v>
      </c>
      <c r="CO45" s="11">
        <f>+COUNTIFS('muddati otgan'!C:C,A45,'muddati otgan'!J:J,"Ko'chmas mulkni ro'yhatdan o'tkazishga qabul qilish")</f>
        <v>0</v>
      </c>
      <c r="CP45" s="11">
        <f>+COUNTIFS('muddati otgan'!C:C,A45,'muddati otgan'!J:J,"Ro'yxatdan o'tkazish")</f>
        <v>0</v>
      </c>
      <c r="CQ45" s="11">
        <f>+COUNTIFS('muddati otgan'!C:C,A45,'muddati otgan'!J:J,"Kadastr pasporti va ko'chirmani yuborish")</f>
        <v>0</v>
      </c>
      <c r="CR45" s="11">
        <f>+COUNTIFS('muddati otgan'!C:C,A45,'muddati otgan'!AA:AA,"Rad qilish2")</f>
        <v>0</v>
      </c>
      <c r="CS45" s="11">
        <f>+COUNTIFS('muddati otgan'!C:C,A45,'muddati otgan'!J:J,"Ko'chirmani yuborish")</f>
        <v>0</v>
      </c>
      <c r="CT45" s="11">
        <f>+COUNTIFS('muddati otgan'!C:C,A45,'muddati otgan'!J:J,"Ma‘lumotlarni tekshirish")</f>
        <v>0</v>
      </c>
      <c r="CU45" s="11">
        <f t="shared" si="37"/>
        <v>0</v>
      </c>
      <c r="CV45" s="11">
        <f>+COUNTIFS('muddati otgan'!C:C,A45,'muddati otgan'!J:J,"Kadastr yig'majildini chop etish va arxiv ishiga tikish")</f>
        <v>0</v>
      </c>
      <c r="CW45" s="11">
        <f t="shared" si="38"/>
        <v>0</v>
      </c>
      <c r="CX45" s="11">
        <f>+COUNTIFS('muddati otgan'!C:C,A45,'muddati otgan'!J:J,"Kadastr yig‘majildini qabul qilish, arizani yakunlash")</f>
        <v>0</v>
      </c>
      <c r="CY45" s="11">
        <f>+COUNTIFS('muddati otgan'!C:C,A45,'muddati otgan'!J:J,"Next Cloudga yuklash")</f>
        <v>0</v>
      </c>
      <c r="CZ45" s="6">
        <f>+COUNTIFS('muddati otgan'!C:C,A45,'muddati otgan'!J:J,"Kelishish kutilmoqda")</f>
        <v>0</v>
      </c>
      <c r="DA45" s="6">
        <f>+COUNTIFS('muddati otgan'!C:C,A45,'muddati otgan'!J:J,"Yakunlandi")</f>
        <v>0</v>
      </c>
      <c r="DB45" s="10">
        <f>+COUNTIFS('muddati otgan'!C:C,A45,'muddati otgan'!J:J,"Rad etildi")</f>
        <v>0</v>
      </c>
      <c r="DC45" s="100">
        <f t="shared" si="5"/>
        <v>-3</v>
      </c>
      <c r="DD45" s="44">
        <f>COUNTIFS('jami 1-20 kunlik arizalar'!C:C,A:A,'jami 1-20 kunlik arizalar'!S:S,"1")</f>
        <v>0</v>
      </c>
      <c r="DE45" s="11">
        <f>COUNTIFS('jami 1-20 kunlik arizalar'!C:C,A:A,'jami 1-20 kunlik arizalar'!S:S,"2")</f>
        <v>0</v>
      </c>
      <c r="DF45" s="11">
        <f>COUNTIFS('jami 1-20 kunlik arizalar'!C:C,A:A,'jami 1-20 kunlik arizalar'!S:S,"3")</f>
        <v>2</v>
      </c>
      <c r="DG45" s="11">
        <f>COUNTIFS('jami 1-20 kunlik arizalar'!C:C,A:A,'jami 1-20 kunlik arizalar'!S:S,"4")</f>
        <v>0</v>
      </c>
      <c r="DH45" s="11">
        <f>COUNTIFS('jami 1-20 kunlik arizalar'!C:C,A:A,'jami 1-20 kunlik arizalar'!S:S,"5")</f>
        <v>3</v>
      </c>
      <c r="DI45" s="11">
        <f>SUM(COUNTIFS('jami 1-20 kunlik arizalar'!C:C,A:A, 'jami 1-20 kunlik arizalar'!S:S, {6,7,8,9,10}))</f>
        <v>8</v>
      </c>
      <c r="DJ45" s="12">
        <f>SUM(COUNTIFS('jami 1-20 kunlik arizalar'!C:C,A:A, 'jami 1-20 kunlik arizalar'!S:S, "&gt;10"))</f>
        <v>7</v>
      </c>
    </row>
    <row r="46" spans="1:115" ht="35.1" hidden="1" customHeight="1" outlineLevel="1" x14ac:dyDescent="0.25">
      <c r="A46" s="92" t="s">
        <v>651</v>
      </c>
      <c r="B46" s="74"/>
      <c r="C46" s="85" t="s">
        <v>775</v>
      </c>
      <c r="D46" s="80">
        <f>+COUNTIFS('muddati otgan'!C:C,A46,'muddati otgan'!C:C,A46)</f>
        <v>0</v>
      </c>
      <c r="E46" s="10">
        <f>SUMIFS('muddati otgan'!$V:V,'muddati otgan'!$C:C,$A:A)</f>
        <v>0</v>
      </c>
      <c r="F46" s="10">
        <f>SUMIFS('muddati otgan'!$W:W,'muddati otgan'!$C:C,$A:A)</f>
        <v>0</v>
      </c>
      <c r="G46" s="24">
        <f>SUMIFS('muddati otgan'!$U:U,'muddati otgan'!$C:C,$A:A)</f>
        <v>0</v>
      </c>
      <c r="H46" s="11">
        <f>SUMIFS('muddati otgan'!$G:G,'muddati otgan'!$C:C,$A:A)</f>
        <v>0</v>
      </c>
      <c r="I46" s="12">
        <f>SUMIFS('muddati otgan'!$H:H,'muddati otgan'!$C:C,$A:A)</f>
        <v>0</v>
      </c>
      <c r="J46" s="44">
        <f t="shared" si="23"/>
        <v>0</v>
      </c>
      <c r="K46" s="11">
        <f>+COUNTIFS('muddati otgan'!C:C,A46,'muddati otgan'!AA:AA,"Arizani qabul qilish")</f>
        <v>0</v>
      </c>
      <c r="L46" s="11">
        <f>+COUNTIFS('muddati otgan'!C:C,A46,'muddati otgan'!J:J,"Arizani rad etish")</f>
        <v>0</v>
      </c>
      <c r="M46" s="11">
        <f>+COUNTIFS('muddati otgan'!C:C,A46,'muddati otgan'!J:J,"Arizani tasdiqlash")</f>
        <v>0</v>
      </c>
      <c r="N46" s="11">
        <f>+COUNTIFS('muddati otgan'!C:C,A46,'muddati otgan'!J:J,"Arizani yo'naltirish")</f>
        <v>0</v>
      </c>
      <c r="O46" s="11">
        <f>+COUNTIFS('muddati otgan'!C:C,A46,'muddati otgan'!J:J,"Rad qilish sababini o'rganish")</f>
        <v>0</v>
      </c>
      <c r="P46" s="11">
        <f>+COUNTIFS('muddati otgan'!C:C,A46,'muddati otgan'!J:J,"Ko'chmas mulkni UZKAD ga migratsiya qilish")</f>
        <v>0</v>
      </c>
      <c r="Q46" s="11">
        <f>+COUNTIFS('muddati otgan'!C:C,A46,'muddati otgan'!J:J,"Migratisya qilingan obyekt holatini tekshirish")</f>
        <v>0</v>
      </c>
      <c r="R46" s="11">
        <f>+COUNTIFS('muddati otgan'!C:C,A46,'muddati otgan'!J:J,"Ko‘chmas mulkni tanlash")</f>
        <v>0</v>
      </c>
      <c r="S46" s="11">
        <f>+COUNTIFS('muddati otgan'!C:C,A46,'muddati otgan'!J:J,"Arizani ko'rib chiqish")</f>
        <v>0</v>
      </c>
      <c r="T46" s="11">
        <f>+COUNTIFS('muddati otgan'!C:C,A46,'muddati otgan'!J:J,"Kadastr muhandisini tanlash")</f>
        <v>0</v>
      </c>
      <c r="U46" s="11">
        <f>+COUNTIFS('muddati otgan'!C:C,A46,'muddati otgan'!J:J,"Ko'chmas mulk turini tanlahsh")</f>
        <v>0</v>
      </c>
      <c r="V46" s="11">
        <f>+COUNTIFS('muddati otgan'!C:C,A46,'muddati otgan'!AA:AA,"Rad qilish")</f>
        <v>0</v>
      </c>
      <c r="W46" s="11">
        <f>+COUNTIFS('muddati otgan'!C:C,A46,'muddati otgan'!J:J,"ijrochi tanlash")</f>
        <v>0</v>
      </c>
      <c r="X46" s="11">
        <f>+COUNTIFS('muddati otgan'!C:C,A46,'muddati otgan'!J:J,"Ko'chmas mulk turini tanlash")</f>
        <v>0</v>
      </c>
      <c r="Y46" s="11">
        <f t="shared" si="24"/>
        <v>0</v>
      </c>
      <c r="Z46" s="11">
        <f>+COUNTIFS('muddati otgan'!C:C,A46,'muddati otgan'!J:J,"Ijroga qabul qilish")</f>
        <v>0</v>
      </c>
      <c r="AA46" s="11">
        <f>+COUNTIFS('muddati otgan'!C:C,A46,'muddati otgan'!J:J,"Joyida o'rganish va ma'lumotlarni kiritish")</f>
        <v>0</v>
      </c>
      <c r="AB46" s="11">
        <f>+COUNTIFS('muddati otgan'!C:C,A46,'muddati otgan'!J:J,"Asosiy qismdan ajratish jarayonida")</f>
        <v>0</v>
      </c>
      <c r="AC46" s="11">
        <f>+COUNTIFS('muddati otgan'!C:C,A46,'muddati otgan'!J:J,"Umumiy foydalanishdagi obyekt yaratilish")</f>
        <v>0</v>
      </c>
      <c r="AD46" s="11">
        <f>+COUNTIFS('muddati otgan'!C:C,A46,'muddati otgan'!J:J,"Migratsiya qilinadigan kadastr raqamini kiritish")</f>
        <v>0</v>
      </c>
      <c r="AE46" s="11">
        <f>+COUNTIFS('muddati otgan'!C:C,A46,'muddati otgan'!J:J,"O'zida qolgan obyektni yaratish")</f>
        <v>0</v>
      </c>
      <c r="AF46" s="11">
        <f>+COUNTIFS('muddati otgan'!C:C,A46,'muddati otgan'!J:J,"O'lchov natijalarini kiritish")</f>
        <v>0</v>
      </c>
      <c r="AG46" s="11">
        <f>+COUNTIFS('muddati otgan'!C:C,A46,'muddati otgan'!J:J,"Topoxaritani tayyorlash (dwg, pdf)")</f>
        <v>0</v>
      </c>
      <c r="AH46" s="11">
        <f t="shared" si="25"/>
        <v>0</v>
      </c>
      <c r="AI46" s="11">
        <f>+COUNTIFS('muddati otgan'!C:C,A46,'muddati otgan'!J:J,"Yer uchastkasini yaratish")</f>
        <v>0</v>
      </c>
      <c r="AJ46" s="11">
        <f t="shared" si="26"/>
        <v>0</v>
      </c>
      <c r="AK46" s="11">
        <f>+COUNTIFS('muddati otgan'!C:C,A46,'muddati otgan'!J:J,"Kelishish (Boshqarma)")</f>
        <v>0</v>
      </c>
      <c r="AL46" s="11">
        <f t="shared" si="27"/>
        <v>0</v>
      </c>
      <c r="AM46" s="11">
        <f>+COUNTIFS('muddati otgan'!C:C,A46,'muddati otgan'!J:J,"Kelishish (DKP)")</f>
        <v>0</v>
      </c>
      <c r="AN46" s="11">
        <f>+COUNTIFS('muddati otgan'!C:C,A46,'muddati otgan'!J:J,"Kelishish")</f>
        <v>0</v>
      </c>
      <c r="AO46" s="11">
        <f>+COUNTIFS('muddati otgan'!C:C,A46,'muddati otgan'!J:J,"Kelishish (Registratsiya DKP)")</f>
        <v>0</v>
      </c>
      <c r="AP46" s="11">
        <f t="shared" si="28"/>
        <v>0</v>
      </c>
      <c r="AQ46" s="11">
        <f>+COUNTIFS('muddati otgan'!C:C,A46,'muddati otgan'!J:J,"Manzil biriktirish")</f>
        <v>0</v>
      </c>
      <c r="AR46" s="11">
        <f>+COUNTIFS('muddati otgan'!C:C,A46,'muddati otgan'!J:J,"Bino va inshootlarni yaratish")</f>
        <v>0</v>
      </c>
      <c r="AS46" s="11">
        <f>+COUNTIFS('muddati otgan'!C:C,A46,'muddati otgan'!J:J,"Dov daraxtlarni yaratish")</f>
        <v>0</v>
      </c>
      <c r="AT46" s="11">
        <f>+COUNTIFS('muddati otgan'!C:C,A46,'muddati otgan'!J:J,"Yer uchastkasini tahrirlash")</f>
        <v>0</v>
      </c>
      <c r="AU46" s="11">
        <f t="shared" si="29"/>
        <v>0</v>
      </c>
      <c r="AV46" s="11">
        <f>+COUNTIFS('muddati otgan'!C:C,A46,'muddati otgan'!J:J,"Yer toifasi va maqsadini kiritish")</f>
        <v>0</v>
      </c>
      <c r="AW46" s="11">
        <f>+COUNTIFS('muddati otgan'!C:C,A46,'muddati otgan'!J:J,"Auksion yer tekshirish")</f>
        <v>0</v>
      </c>
      <c r="AX46" s="11">
        <f>+COUNTIFS('muddati otgan'!C:C,A46,'muddati otgan'!J:J,"Yer turlarini kiritish")</f>
        <v>0</v>
      </c>
      <c r="AY46" s="11">
        <f>+COUNTIFS('muddati otgan'!C:C,A46,'muddati otgan'!J:J,"Ma'lumotlarni kiritish")</f>
        <v>0</v>
      </c>
      <c r="AZ46" s="11">
        <f>+COUNTIFS('muddati otgan'!C:C,A46,'muddati otgan'!J:J,"Yer tekshirish")</f>
        <v>0</v>
      </c>
      <c r="BA46" s="11">
        <f t="shared" si="30"/>
        <v>0</v>
      </c>
      <c r="BB46" s="11">
        <f>+COUNTIFS('muddati otgan'!C:C,A46,'muddati otgan'!J:J,"Bino va inshoot ma'lumotlarini to‘ldirish")</f>
        <v>0</v>
      </c>
      <c r="BC46" s="11">
        <f>+COUNTIFS('muddati otgan'!C:C,A46,'muddati otgan'!J:J,"Inventarizatsiya ma'lumotlarini to‘ldirish")</f>
        <v>0</v>
      </c>
      <c r="BD46" s="11">
        <f>+COUNTIFS('muddati otgan'!C:C,A46,'muddati otgan'!J:J,"Yer uchastkasiga huquqiy hujjatlarni kiritsh")</f>
        <v>0</v>
      </c>
      <c r="BE46" s="11">
        <f>+COUNTIFS('muddati otgan'!C:C,A46,'muddati otgan'!J:J,"Bino-inshootlarga huquqiy hujjatlarni kiritsh")</f>
        <v>0</v>
      </c>
      <c r="BF46" s="11">
        <f>+COUNTIFS('muddati otgan'!C:C,A46,'muddati otgan'!J:J,"Kadastr qiymatini hisoblash va kiritish")</f>
        <v>0</v>
      </c>
      <c r="BG46" s="11">
        <f>+COUNTIFS('muddati otgan'!C:C,A46,'muddati otgan'!J:J,"Kadastr raqam biriktirish")</f>
        <v>0</v>
      </c>
      <c r="BH46" s="11">
        <f>+COUNTIFS('muddati otgan'!C:C,A46,'muddati otgan'!J:J,"Kadastr yig'ma jildni tayyorlash")</f>
        <v>0</v>
      </c>
      <c r="BI46" s="11">
        <f>+COUNTIFS('muddati otgan'!C:C,A46,'muddati otgan'!J:J,"Huquqni yaratish")</f>
        <v>0</v>
      </c>
      <c r="BJ46" s="11">
        <f>+COUNTIFS('muddati otgan'!C:C,A46,'muddati otgan'!J:J,"Hujjatlarni o'rganish")</f>
        <v>0</v>
      </c>
      <c r="BK46" s="11">
        <f>+COUNTIFS('muddati otgan'!C:C,A46,'muddati otgan'!J:J,"Ma'lumotlarni tekshirish")</f>
        <v>0</v>
      </c>
      <c r="BL46" s="11">
        <f t="shared" si="31"/>
        <v>0</v>
      </c>
      <c r="BM46" s="11">
        <f>+COUNTIFS('muddati otgan'!C:C,A46,'muddati otgan'!J:J,"Tekshirish")</f>
        <v>0</v>
      </c>
      <c r="BN46" s="11">
        <f>+COUNTIFS('muddati otgan'!C:C,A46,'muddati otgan'!J:J,"Hujjatlarni tekshirish")</f>
        <v>0</v>
      </c>
      <c r="BO46" s="11">
        <f>+COUNTIFS('muddati otgan'!C:C,A46,'muddati otgan'!J:J,"Tasdiqlash")</f>
        <v>0</v>
      </c>
      <c r="BP46" s="11">
        <f>+COUNTIFS('muddati otgan'!C:C,A46,'muddati otgan'!J:J,"tekshirish/tasdiqlash")</f>
        <v>0</v>
      </c>
      <c r="BQ46" s="11">
        <f>+COUNTIFS('muddati otgan'!C:C,A46,'muddati otgan'!J:J,"Ma'lumotlarni tasdiqlash")</f>
        <v>0</v>
      </c>
      <c r="BR46" s="11">
        <f t="shared" si="32"/>
        <v>0</v>
      </c>
      <c r="BS46" s="11">
        <f>+COUNTIFS('muddati otgan'!C:C,A46,'muddati otgan'!J:J,"Ro'yxatdan o'tkazish ma'lumotlarini tekshirish")</f>
        <v>0</v>
      </c>
      <c r="BT46" s="11">
        <f>+COUNTIFS('muddati otgan'!C:C,A46,'muddati otgan'!J:J,"Kamchiliklar bo'yicha habarnoma yuborish va 3 kunga to'xtatish")</f>
        <v>0</v>
      </c>
      <c r="BU46" s="11">
        <f>+COUNTIFS('muddati otgan'!C:C,A46,'muddati otgan'!J:J,"Hisobga olish")</f>
        <v>0</v>
      </c>
      <c r="BV46" s="11">
        <f>+COUNTIFS('muddati otgan'!C:C,A46,'muddati otgan'!J:J,"Yer uchastkasiga huquq yaratish")</f>
        <v>0</v>
      </c>
      <c r="BW46" s="11">
        <f>+COUNTIFS('muddati otgan'!C:C,A46,'muddati otgan'!J:J,"Bino-inshootga huquq yaratish")</f>
        <v>0</v>
      </c>
      <c r="BX46" s="11">
        <f>+COUNTIFS('muddati otgan'!C:C,A46,'muddati otgan'!J:J,"Cheklov yaratish")</f>
        <v>0</v>
      </c>
      <c r="BY46" s="11">
        <f>+COUNTIFS('muddati otgan'!C:C,A46,'muddati otgan'!J:J,"Taqiq yaratish")</f>
        <v>0</v>
      </c>
      <c r="BZ46" s="11">
        <f t="shared" si="33"/>
        <v>0</v>
      </c>
      <c r="CA46" s="11">
        <f>+COUNTIFS('muddati otgan'!C:C,A46,'muddati otgan'!J:J,"Soliq maydonini tekshirish")</f>
        <v>0</v>
      </c>
      <c r="CB46" s="11">
        <f t="shared" si="34"/>
        <v>0</v>
      </c>
      <c r="CC46" s="11">
        <f>+COUNTIFS('muddati otgan'!C:C,A46,'muddati otgan'!J:J,"Kadastr yig'majildini shakllantirish")</f>
        <v>0</v>
      </c>
      <c r="CD46" s="11">
        <f t="shared" si="35"/>
        <v>0</v>
      </c>
      <c r="CE46" s="11">
        <f>+COUNTIFS('muddati otgan'!C:C,A46,'muddati otgan'!J:J,"Kadastr passportini shakllantirish")</f>
        <v>0</v>
      </c>
      <c r="CF46" s="11">
        <f>+COUNTIFS('muddati otgan'!C:C,A46,'muddati otgan'!J:J,"Yig'ma jildni tasdiqlash")</f>
        <v>0</v>
      </c>
      <c r="CG46" s="11">
        <f>+COUNTIFS('muddati otgan'!C:C,A46,'muddati otgan'!J:J,"To'lov yoki bepul tasdiqlash")</f>
        <v>0</v>
      </c>
      <c r="CH46" s="11">
        <f>+COUNTIFS('muddati otgan'!C:C,A46,'muddati otgan'!J:J,"Bog'liq arizani kutish")</f>
        <v>0</v>
      </c>
      <c r="CI46" s="11">
        <f>+COUNTIFS('muddati otgan'!C:C,A46,'muddati otgan'!J:J,"To'lovga chiqarish")</f>
        <v>0</v>
      </c>
      <c r="CJ46" s="11">
        <f>+COUNTIFS('muddati otgan'!C:C,A46,'muddati otgan'!J:J,"Hisobga qo'yish")</f>
        <v>0</v>
      </c>
      <c r="CK46" s="6">
        <f>+COUNTIFS('muddati otgan'!C:C,A46,'muddati otgan'!J:J,"To'lov kutilmoqda")</f>
        <v>0</v>
      </c>
      <c r="CL46" s="11">
        <f t="shared" si="36"/>
        <v>0</v>
      </c>
      <c r="CM46" s="11">
        <f>+COUNTIFS('muddati otgan'!C:C,A46,'muddati otgan'!AA:AA,"Arizani qabul qilish2")</f>
        <v>0</v>
      </c>
      <c r="CN46" s="11">
        <f>+COUNTIFS('muddati otgan'!C:C,A46,'muddati otgan'!J:J,"Huquqlarni tekshirish")</f>
        <v>0</v>
      </c>
      <c r="CO46" s="11">
        <f>+COUNTIFS('muddati otgan'!C:C,A46,'muddati otgan'!J:J,"Ko'chmas mulkni ro'yhatdan o'tkazishga qabul qilish")</f>
        <v>0</v>
      </c>
      <c r="CP46" s="11">
        <f>+COUNTIFS('muddati otgan'!C:C,A46,'muddati otgan'!J:J,"Ro'yxatdan o'tkazish")</f>
        <v>0</v>
      </c>
      <c r="CQ46" s="11">
        <f>+COUNTIFS('muddati otgan'!C:C,A46,'muddati otgan'!J:J,"Kadastr pasporti va ko'chirmani yuborish")</f>
        <v>0</v>
      </c>
      <c r="CR46" s="11">
        <f>+COUNTIFS('muddati otgan'!C:C,A46,'muddati otgan'!AA:AA,"Rad qilish2")</f>
        <v>0</v>
      </c>
      <c r="CS46" s="11">
        <f>+COUNTIFS('muddati otgan'!C:C,A46,'muddati otgan'!J:J,"Ko'chirmani yuborish")</f>
        <v>0</v>
      </c>
      <c r="CT46" s="11">
        <f>+COUNTIFS('muddati otgan'!C:C,A46,'muddati otgan'!J:J,"Ma‘lumotlarni tekshirish")</f>
        <v>0</v>
      </c>
      <c r="CU46" s="11">
        <f t="shared" si="37"/>
        <v>0</v>
      </c>
      <c r="CV46" s="11">
        <f>+COUNTIFS('muddati otgan'!C:C,A46,'muddati otgan'!J:J,"Kadastr yig'majildini chop etish va arxiv ishiga tikish")</f>
        <v>0</v>
      </c>
      <c r="CW46" s="11">
        <f t="shared" si="38"/>
        <v>0</v>
      </c>
      <c r="CX46" s="11">
        <f>+COUNTIFS('muddati otgan'!C:C,A46,'muddati otgan'!J:J,"Kadastr yig‘majildini qabul qilish, arizani yakunlash")</f>
        <v>0</v>
      </c>
      <c r="CY46" s="11">
        <f>+COUNTIFS('muddati otgan'!C:C,A46,'muddati otgan'!J:J,"Next Cloudga yuklash")</f>
        <v>0</v>
      </c>
      <c r="CZ46" s="6">
        <f>+COUNTIFS('muddati otgan'!C:C,A46,'muddati otgan'!J:J,"Kelishish kutilmoqda")</f>
        <v>0</v>
      </c>
      <c r="DA46" s="6">
        <f>+COUNTIFS('muddati otgan'!C:C,A46,'muddati otgan'!J:J,"Yakunlandi")</f>
        <v>0</v>
      </c>
      <c r="DB46" s="10">
        <f>+COUNTIFS('muddati otgan'!C:C,A46,'muddati otgan'!J:J,"Rad etildi")</f>
        <v>0</v>
      </c>
      <c r="DC46" s="100">
        <f t="shared" si="5"/>
        <v>0</v>
      </c>
      <c r="DD46" s="44">
        <f>COUNTIFS('jami 1-20 kunlik arizalar'!C:C,A:A,'jami 1-20 kunlik arizalar'!S:S,"1")</f>
        <v>0</v>
      </c>
      <c r="DE46" s="11">
        <f>COUNTIFS('jami 1-20 kunlik arizalar'!C:C,A:A,'jami 1-20 kunlik arizalar'!S:S,"2")</f>
        <v>0</v>
      </c>
      <c r="DF46" s="11">
        <f>COUNTIFS('jami 1-20 kunlik arizalar'!C:C,A:A,'jami 1-20 kunlik arizalar'!S:S,"3")</f>
        <v>1</v>
      </c>
      <c r="DG46" s="11">
        <f>COUNTIFS('jami 1-20 kunlik arizalar'!C:C,A:A,'jami 1-20 kunlik arizalar'!S:S,"4")</f>
        <v>0</v>
      </c>
      <c r="DH46" s="11">
        <f>COUNTIFS('jami 1-20 kunlik arizalar'!C:C,A:A,'jami 1-20 kunlik arizalar'!S:S,"5")</f>
        <v>0</v>
      </c>
      <c r="DI46" s="11">
        <f>SUM(COUNTIFS('jami 1-20 kunlik arizalar'!C:C,A:A, 'jami 1-20 kunlik arizalar'!S:S, {6,7,8,9,10}))</f>
        <v>6</v>
      </c>
      <c r="DJ46" s="12">
        <f>SUM(COUNTIFS('jami 1-20 kunlik arizalar'!C:C,A:A, 'jami 1-20 kunlik arizalar'!S:S, "&gt;10"))</f>
        <v>5</v>
      </c>
    </row>
    <row r="47" spans="1:115" ht="35.1" hidden="1" customHeight="1" outlineLevel="1" x14ac:dyDescent="0.25">
      <c r="A47" s="92" t="s">
        <v>646</v>
      </c>
      <c r="B47" s="74"/>
      <c r="C47" s="85" t="s">
        <v>776</v>
      </c>
      <c r="D47" s="80">
        <f>+COUNTIFS('muddati otgan'!C:C,A47,'muddati otgan'!C:C,A47)</f>
        <v>5</v>
      </c>
      <c r="E47" s="10">
        <f>SUMIFS('muddati otgan'!$V:V,'muddati otgan'!$C:C,$A:A)</f>
        <v>0</v>
      </c>
      <c r="F47" s="10">
        <f>SUMIFS('muddati otgan'!$W:W,'muddati otgan'!$C:C,$A:A)</f>
        <v>0</v>
      </c>
      <c r="G47" s="24">
        <f>SUMIFS('muddati otgan'!$U:U,'muddati otgan'!$C:C,$A:A)</f>
        <v>5</v>
      </c>
      <c r="H47" s="11">
        <f>SUMIFS('muddati otgan'!$G:G,'muddati otgan'!$C:C,$A:A)</f>
        <v>5</v>
      </c>
      <c r="I47" s="12">
        <f>SUMIFS('muddati otgan'!$H:H,'muddati otgan'!$C:C,$A:A)</f>
        <v>0</v>
      </c>
      <c r="J47" s="44">
        <f t="shared" si="23"/>
        <v>0</v>
      </c>
      <c r="K47" s="11">
        <f>+COUNTIFS('muddati otgan'!C:C,A47,'muddati otgan'!AA:AA,"Arizani qabul qilish")</f>
        <v>0</v>
      </c>
      <c r="L47" s="11">
        <f>+COUNTIFS('muddati otgan'!C:C,A47,'muddati otgan'!J:J,"Arizani rad etish")</f>
        <v>0</v>
      </c>
      <c r="M47" s="11">
        <f>+COUNTIFS('muddati otgan'!C:C,A47,'muddati otgan'!J:J,"Arizani tasdiqlash")</f>
        <v>0</v>
      </c>
      <c r="N47" s="11">
        <f>+COUNTIFS('muddati otgan'!C:C,A47,'muddati otgan'!J:J,"Arizani yo'naltirish")</f>
        <v>0</v>
      </c>
      <c r="O47" s="11">
        <f>+COUNTIFS('muddati otgan'!C:C,A47,'muddati otgan'!J:J,"Rad qilish sababini o'rganish")</f>
        <v>0</v>
      </c>
      <c r="P47" s="11">
        <f>+COUNTIFS('muddati otgan'!C:C,A47,'muddati otgan'!J:J,"Ko'chmas mulkni UZKAD ga migratsiya qilish")</f>
        <v>0</v>
      </c>
      <c r="Q47" s="11">
        <f>+COUNTIFS('muddati otgan'!C:C,A47,'muddati otgan'!J:J,"Migratisya qilingan obyekt holatini tekshirish")</f>
        <v>0</v>
      </c>
      <c r="R47" s="11">
        <f>+COUNTIFS('muddati otgan'!C:C,A47,'muddati otgan'!J:J,"Ko‘chmas mulkni tanlash")</f>
        <v>0</v>
      </c>
      <c r="S47" s="11">
        <f>+COUNTIFS('muddati otgan'!C:C,A47,'muddati otgan'!J:J,"Arizani ko'rib chiqish")</f>
        <v>0</v>
      </c>
      <c r="T47" s="11">
        <f>+COUNTIFS('muddati otgan'!C:C,A47,'muddati otgan'!J:J,"Kadastr muhandisini tanlash")</f>
        <v>0</v>
      </c>
      <c r="U47" s="11">
        <f>+COUNTIFS('muddati otgan'!C:C,A47,'muddati otgan'!J:J,"Ko'chmas mulk turini tanlahsh")</f>
        <v>0</v>
      </c>
      <c r="V47" s="11">
        <f>+COUNTIFS('muddati otgan'!C:C,A47,'muddati otgan'!AA:AA,"Rad qilish")</f>
        <v>0</v>
      </c>
      <c r="W47" s="11">
        <f>+COUNTIFS('muddati otgan'!C:C,A47,'muddati otgan'!J:J,"ijrochi tanlash")</f>
        <v>0</v>
      </c>
      <c r="X47" s="11">
        <f>+COUNTIFS('muddati otgan'!C:C,A47,'muddati otgan'!J:J,"Ko'chmas mulk turini tanlash")</f>
        <v>0</v>
      </c>
      <c r="Y47" s="11">
        <f t="shared" si="24"/>
        <v>0</v>
      </c>
      <c r="Z47" s="11">
        <f>+COUNTIFS('muddati otgan'!C:C,A47,'muddati otgan'!J:J,"Ijroga qabul qilish")</f>
        <v>0</v>
      </c>
      <c r="AA47" s="11">
        <f>+COUNTIFS('muddati otgan'!C:C,A47,'muddati otgan'!J:J,"Joyida o'rganish va ma'lumotlarni kiritish")</f>
        <v>0</v>
      </c>
      <c r="AB47" s="11">
        <f>+COUNTIFS('muddati otgan'!C:C,A47,'muddati otgan'!J:J,"Asosiy qismdan ajratish jarayonida")</f>
        <v>0</v>
      </c>
      <c r="AC47" s="11">
        <f>+COUNTIFS('muddati otgan'!C:C,A47,'muddati otgan'!J:J,"Umumiy foydalanishdagi obyekt yaratilish")</f>
        <v>0</v>
      </c>
      <c r="AD47" s="11">
        <f>+COUNTIFS('muddati otgan'!C:C,A47,'muddati otgan'!J:J,"Migratsiya qilinadigan kadastr raqamini kiritish")</f>
        <v>0</v>
      </c>
      <c r="AE47" s="11">
        <f>+COUNTIFS('muddati otgan'!C:C,A47,'muddati otgan'!J:J,"O'zida qolgan obyektni yaratish")</f>
        <v>0</v>
      </c>
      <c r="AF47" s="11">
        <f>+COUNTIFS('muddati otgan'!C:C,A47,'muddati otgan'!J:J,"O'lchov natijalarini kiritish")</f>
        <v>0</v>
      </c>
      <c r="AG47" s="11">
        <f>+COUNTIFS('muddati otgan'!C:C,A47,'muddati otgan'!J:J,"Topoxaritani tayyorlash (dwg, pdf)")</f>
        <v>0</v>
      </c>
      <c r="AH47" s="11">
        <f t="shared" si="25"/>
        <v>1</v>
      </c>
      <c r="AI47" s="11">
        <f>+COUNTIFS('muddati otgan'!C:C,A47,'muddati otgan'!J:J,"Yer uchastkasini yaratish")</f>
        <v>1</v>
      </c>
      <c r="AJ47" s="11">
        <f t="shared" si="26"/>
        <v>0</v>
      </c>
      <c r="AK47" s="11">
        <f>+COUNTIFS('muddati otgan'!C:C,A47,'muddati otgan'!J:J,"Kelishish (Boshqarma)")</f>
        <v>0</v>
      </c>
      <c r="AL47" s="11">
        <f t="shared" si="27"/>
        <v>0</v>
      </c>
      <c r="AM47" s="11">
        <f>+COUNTIFS('muddati otgan'!C:C,A47,'muddati otgan'!J:J,"Kelishish (DKP)")</f>
        <v>0</v>
      </c>
      <c r="AN47" s="11">
        <f>+COUNTIFS('muddati otgan'!C:C,A47,'muddati otgan'!J:J,"Kelishish")</f>
        <v>0</v>
      </c>
      <c r="AO47" s="11">
        <f>+COUNTIFS('muddati otgan'!C:C,A47,'muddati otgan'!J:J,"Kelishish (Registratsiya DKP)")</f>
        <v>0</v>
      </c>
      <c r="AP47" s="11">
        <f t="shared" si="28"/>
        <v>0</v>
      </c>
      <c r="AQ47" s="11">
        <f>+COUNTIFS('muddati otgan'!C:C,A47,'muddati otgan'!J:J,"Manzil biriktirish")</f>
        <v>0</v>
      </c>
      <c r="AR47" s="11">
        <f>+COUNTIFS('muddati otgan'!C:C,A47,'muddati otgan'!J:J,"Bino va inshootlarni yaratish")</f>
        <v>0</v>
      </c>
      <c r="AS47" s="11">
        <f>+COUNTIFS('muddati otgan'!C:C,A47,'muddati otgan'!J:J,"Dov daraxtlarni yaratish")</f>
        <v>0</v>
      </c>
      <c r="AT47" s="11">
        <f>+COUNTIFS('muddati otgan'!C:C,A47,'muddati otgan'!J:J,"Yer uchastkasini tahrirlash")</f>
        <v>0</v>
      </c>
      <c r="AU47" s="11">
        <f t="shared" si="29"/>
        <v>0</v>
      </c>
      <c r="AV47" s="11">
        <f>+COUNTIFS('muddati otgan'!C:C,A47,'muddati otgan'!J:J,"Yer toifasi va maqsadini kiritish")</f>
        <v>0</v>
      </c>
      <c r="AW47" s="11">
        <f>+COUNTIFS('muddati otgan'!C:C,A47,'muddati otgan'!J:J,"Auksion yer tekshirish")</f>
        <v>0</v>
      </c>
      <c r="AX47" s="11">
        <f>+COUNTIFS('muddati otgan'!C:C,A47,'muddati otgan'!J:J,"Yer turlarini kiritish")</f>
        <v>0</v>
      </c>
      <c r="AY47" s="11">
        <f>+COUNTIFS('muddati otgan'!C:C,A47,'muddati otgan'!J:J,"Ma'lumotlarni kiritish")</f>
        <v>0</v>
      </c>
      <c r="AZ47" s="11">
        <f>+COUNTIFS('muddati otgan'!C:C,A47,'muddati otgan'!J:J,"Yer tekshirish")</f>
        <v>0</v>
      </c>
      <c r="BA47" s="11">
        <f t="shared" si="30"/>
        <v>0</v>
      </c>
      <c r="BB47" s="11">
        <f>+COUNTIFS('muddati otgan'!C:C,A47,'muddati otgan'!J:J,"Bino va inshoot ma'lumotlarini to‘ldirish")</f>
        <v>0</v>
      </c>
      <c r="BC47" s="11">
        <f>+COUNTIFS('muddati otgan'!C:C,A47,'muddati otgan'!J:J,"Inventarizatsiya ma'lumotlarini to‘ldirish")</f>
        <v>0</v>
      </c>
      <c r="BD47" s="11">
        <f>+COUNTIFS('muddati otgan'!C:C,A47,'muddati otgan'!J:J,"Yer uchastkasiga huquqiy hujjatlarni kiritsh")</f>
        <v>0</v>
      </c>
      <c r="BE47" s="11">
        <f>+COUNTIFS('muddati otgan'!C:C,A47,'muddati otgan'!J:J,"Bino-inshootlarga huquqiy hujjatlarni kiritsh")</f>
        <v>0</v>
      </c>
      <c r="BF47" s="11">
        <f>+COUNTIFS('muddati otgan'!C:C,A47,'muddati otgan'!J:J,"Kadastr qiymatini hisoblash va kiritish")</f>
        <v>0</v>
      </c>
      <c r="BG47" s="11">
        <f>+COUNTIFS('muddati otgan'!C:C,A47,'muddati otgan'!J:J,"Kadastr raqam biriktirish")</f>
        <v>0</v>
      </c>
      <c r="BH47" s="11">
        <f>+COUNTIFS('muddati otgan'!C:C,A47,'muddati otgan'!J:J,"Kadastr yig'ma jildni tayyorlash")</f>
        <v>0</v>
      </c>
      <c r="BI47" s="11">
        <f>+COUNTIFS('muddati otgan'!C:C,A47,'muddati otgan'!J:J,"Huquqni yaratish")</f>
        <v>0</v>
      </c>
      <c r="BJ47" s="11">
        <f>+COUNTIFS('muddati otgan'!C:C,A47,'muddati otgan'!J:J,"Hujjatlarni o'rganish")</f>
        <v>0</v>
      </c>
      <c r="BK47" s="11">
        <f>+COUNTIFS('muddati otgan'!C:C,A47,'muddati otgan'!J:J,"Ma'lumotlarni tekshirish")</f>
        <v>0</v>
      </c>
      <c r="BL47" s="11">
        <f t="shared" si="31"/>
        <v>0</v>
      </c>
      <c r="BM47" s="11">
        <f>+COUNTIFS('muddati otgan'!C:C,A47,'muddati otgan'!J:J,"Tekshirish")</f>
        <v>0</v>
      </c>
      <c r="BN47" s="11">
        <f>+COUNTIFS('muddati otgan'!C:C,A47,'muddati otgan'!J:J,"Hujjatlarni tekshirish")</f>
        <v>0</v>
      </c>
      <c r="BO47" s="11">
        <f>+COUNTIFS('muddati otgan'!C:C,A47,'muddati otgan'!J:J,"Tasdiqlash")</f>
        <v>0</v>
      </c>
      <c r="BP47" s="11">
        <f>+COUNTIFS('muddati otgan'!C:C,A47,'muddati otgan'!J:J,"tekshirish/tasdiqlash")</f>
        <v>0</v>
      </c>
      <c r="BQ47" s="11">
        <f>+COUNTIFS('muddati otgan'!C:C,A47,'muddati otgan'!J:J,"Ma'lumotlarni tasdiqlash")</f>
        <v>0</v>
      </c>
      <c r="BR47" s="11">
        <f t="shared" si="32"/>
        <v>0</v>
      </c>
      <c r="BS47" s="11">
        <f>+COUNTIFS('muddati otgan'!C:C,A47,'muddati otgan'!J:J,"Ro'yxatdan o'tkazish ma'lumotlarini tekshirish")</f>
        <v>0</v>
      </c>
      <c r="BT47" s="11">
        <f>+COUNTIFS('muddati otgan'!C:C,A47,'muddati otgan'!J:J,"Kamchiliklar bo'yicha habarnoma yuborish va 3 kunga to'xtatish")</f>
        <v>0</v>
      </c>
      <c r="BU47" s="11">
        <f>+COUNTIFS('muddati otgan'!C:C,A47,'muddati otgan'!J:J,"Hisobga olish")</f>
        <v>0</v>
      </c>
      <c r="BV47" s="11">
        <f>+COUNTIFS('muddati otgan'!C:C,A47,'muddati otgan'!J:J,"Yer uchastkasiga huquq yaratish")</f>
        <v>0</v>
      </c>
      <c r="BW47" s="11">
        <f>+COUNTIFS('muddati otgan'!C:C,A47,'muddati otgan'!J:J,"Bino-inshootga huquq yaratish")</f>
        <v>0</v>
      </c>
      <c r="BX47" s="11">
        <f>+COUNTIFS('muddati otgan'!C:C,A47,'muddati otgan'!J:J,"Cheklov yaratish")</f>
        <v>0</v>
      </c>
      <c r="BY47" s="11">
        <f>+COUNTIFS('muddati otgan'!C:C,A47,'muddati otgan'!J:J,"Taqiq yaratish")</f>
        <v>0</v>
      </c>
      <c r="BZ47" s="11">
        <f t="shared" si="33"/>
        <v>0</v>
      </c>
      <c r="CA47" s="11">
        <f>+COUNTIFS('muddati otgan'!C:C,A47,'muddati otgan'!J:J,"Soliq maydonini tekshirish")</f>
        <v>0</v>
      </c>
      <c r="CB47" s="11">
        <f t="shared" si="34"/>
        <v>0</v>
      </c>
      <c r="CC47" s="11">
        <f>+COUNTIFS('muddati otgan'!C:C,A47,'muddati otgan'!J:J,"Kadastr yig'majildini shakllantirish")</f>
        <v>0</v>
      </c>
      <c r="CD47" s="11">
        <f t="shared" si="35"/>
        <v>0</v>
      </c>
      <c r="CE47" s="11">
        <f>+COUNTIFS('muddati otgan'!C:C,A47,'muddati otgan'!J:J,"Kadastr passportini shakllantirish")</f>
        <v>0</v>
      </c>
      <c r="CF47" s="11">
        <f>+COUNTIFS('muddati otgan'!C:C,A47,'muddati otgan'!J:J,"Yig'ma jildni tasdiqlash")</f>
        <v>0</v>
      </c>
      <c r="CG47" s="11">
        <f>+COUNTIFS('muddati otgan'!C:C,A47,'muddati otgan'!J:J,"To'lov yoki bepul tasdiqlash")</f>
        <v>0</v>
      </c>
      <c r="CH47" s="11">
        <f>+COUNTIFS('muddati otgan'!C:C,A47,'muddati otgan'!J:J,"Bog'liq arizani kutish")</f>
        <v>0</v>
      </c>
      <c r="CI47" s="11">
        <f>+COUNTIFS('muddati otgan'!C:C,A47,'muddati otgan'!J:J,"To'lovga chiqarish")</f>
        <v>0</v>
      </c>
      <c r="CJ47" s="11">
        <f>+COUNTIFS('muddati otgan'!C:C,A47,'muddati otgan'!J:J,"Hisobga qo'yish")</f>
        <v>0</v>
      </c>
      <c r="CK47" s="6">
        <f>+COUNTIFS('muddati otgan'!C:C,A47,'muddati otgan'!J:J,"To'lov kutilmoqda")</f>
        <v>4</v>
      </c>
      <c r="CL47" s="11">
        <f t="shared" si="36"/>
        <v>0</v>
      </c>
      <c r="CM47" s="11">
        <f>+COUNTIFS('muddati otgan'!C:C,A47,'muddati otgan'!AA:AA,"Arizani qabul qilish2")</f>
        <v>0</v>
      </c>
      <c r="CN47" s="11">
        <f>+COUNTIFS('muddati otgan'!C:C,A47,'muddati otgan'!J:J,"Huquqlarni tekshirish")</f>
        <v>0</v>
      </c>
      <c r="CO47" s="11">
        <f>+COUNTIFS('muddati otgan'!C:C,A47,'muddati otgan'!J:J,"Ko'chmas mulkni ro'yhatdan o'tkazishga qabul qilish")</f>
        <v>0</v>
      </c>
      <c r="CP47" s="11">
        <f>+COUNTIFS('muddati otgan'!C:C,A47,'muddati otgan'!J:J,"Ro'yxatdan o'tkazish")</f>
        <v>0</v>
      </c>
      <c r="CQ47" s="11">
        <f>+COUNTIFS('muddati otgan'!C:C,A47,'muddati otgan'!J:J,"Kadastr pasporti va ko'chirmani yuborish")</f>
        <v>0</v>
      </c>
      <c r="CR47" s="11">
        <f>+COUNTIFS('muddati otgan'!C:C,A47,'muddati otgan'!AA:AA,"Rad qilish2")</f>
        <v>0</v>
      </c>
      <c r="CS47" s="11">
        <f>+COUNTIFS('muddati otgan'!C:C,A47,'muddati otgan'!J:J,"Ko'chirmani yuborish")</f>
        <v>0</v>
      </c>
      <c r="CT47" s="11">
        <f>+COUNTIFS('muddati otgan'!C:C,A47,'muddati otgan'!J:J,"Ma‘lumotlarni tekshirish")</f>
        <v>0</v>
      </c>
      <c r="CU47" s="11">
        <f t="shared" si="37"/>
        <v>0</v>
      </c>
      <c r="CV47" s="11">
        <f>+COUNTIFS('muddati otgan'!C:C,A47,'muddati otgan'!J:J,"Kadastr yig'majildini chop etish va arxiv ishiga tikish")</f>
        <v>0</v>
      </c>
      <c r="CW47" s="11">
        <f t="shared" si="38"/>
        <v>0</v>
      </c>
      <c r="CX47" s="11">
        <f>+COUNTIFS('muddati otgan'!C:C,A47,'muddati otgan'!J:J,"Kadastr yig‘majildini qabul qilish, arizani yakunlash")</f>
        <v>0</v>
      </c>
      <c r="CY47" s="11">
        <f>+COUNTIFS('muddati otgan'!C:C,A47,'muddati otgan'!J:J,"Next Cloudga yuklash")</f>
        <v>0</v>
      </c>
      <c r="CZ47" s="6">
        <f>+COUNTIFS('muddati otgan'!C:C,A47,'muddati otgan'!J:J,"Kelishish kutilmoqda")</f>
        <v>0</v>
      </c>
      <c r="DA47" s="6">
        <f>+COUNTIFS('muddati otgan'!C:C,A47,'muddati otgan'!J:J,"Yakunlandi")</f>
        <v>0</v>
      </c>
      <c r="DB47" s="10">
        <f>+COUNTIFS('muddati otgan'!C:C,A47,'muddati otgan'!J:J,"Rad etildi")</f>
        <v>0</v>
      </c>
      <c r="DC47" s="100">
        <f t="shared" si="5"/>
        <v>-1</v>
      </c>
      <c r="DD47" s="44">
        <f>COUNTIFS('jami 1-20 kunlik arizalar'!C:C,A:A,'jami 1-20 kunlik arizalar'!S:S,"1")</f>
        <v>0</v>
      </c>
      <c r="DE47" s="11">
        <f>COUNTIFS('jami 1-20 kunlik arizalar'!C:C,A:A,'jami 1-20 kunlik arizalar'!S:S,"2")</f>
        <v>0</v>
      </c>
      <c r="DF47" s="11">
        <f>COUNTIFS('jami 1-20 kunlik arizalar'!C:C,A:A,'jami 1-20 kunlik arizalar'!S:S,"3")</f>
        <v>2</v>
      </c>
      <c r="DG47" s="11">
        <f>COUNTIFS('jami 1-20 kunlik arizalar'!C:C,A:A,'jami 1-20 kunlik arizalar'!S:S,"4")</f>
        <v>2</v>
      </c>
      <c r="DH47" s="11">
        <f>COUNTIFS('jami 1-20 kunlik arizalar'!C:C,A:A,'jami 1-20 kunlik arizalar'!S:S,"5")</f>
        <v>2</v>
      </c>
      <c r="DI47" s="11">
        <f>SUM(COUNTIFS('jami 1-20 kunlik arizalar'!C:C,A:A, 'jami 1-20 kunlik arizalar'!S:S, {6,7,8,9,10}))</f>
        <v>4</v>
      </c>
      <c r="DJ47" s="12">
        <f>SUM(COUNTIFS('jami 1-20 kunlik arizalar'!C:C,A:A, 'jami 1-20 kunlik arizalar'!S:S, "&gt;10"))</f>
        <v>6</v>
      </c>
    </row>
    <row r="48" spans="1:115" ht="57.95" hidden="1" customHeight="1" outlineLevel="1" thickBot="1" x14ac:dyDescent="0.3">
      <c r="A48" s="92"/>
      <c r="B48" s="77"/>
      <c r="C48" s="86" t="s">
        <v>930</v>
      </c>
      <c r="D48" s="81">
        <f>+D35-(SUM(D36:D47))</f>
        <v>0</v>
      </c>
      <c r="E48" s="21"/>
      <c r="F48" s="21"/>
      <c r="G48" s="21"/>
      <c r="H48" s="41"/>
      <c r="I48" s="42"/>
      <c r="J48" s="45"/>
      <c r="K48" s="22"/>
      <c r="L48" s="22"/>
      <c r="M48" s="22"/>
      <c r="N48" s="22"/>
      <c r="O48" s="22"/>
      <c r="P48" s="22"/>
      <c r="Q48" s="22"/>
      <c r="R48" s="22"/>
      <c r="S48" s="22"/>
      <c r="T48" s="22"/>
      <c r="U48" s="22"/>
      <c r="V48" s="22"/>
      <c r="W48" s="22"/>
      <c r="X48" s="22"/>
      <c r="Y48" s="41"/>
      <c r="Z48" s="22"/>
      <c r="AA48" s="22"/>
      <c r="AB48" s="22"/>
      <c r="AC48" s="22"/>
      <c r="AD48" s="22"/>
      <c r="AE48" s="22"/>
      <c r="AF48" s="22"/>
      <c r="AG48" s="41"/>
      <c r="AH48" s="41"/>
      <c r="AI48" s="22"/>
      <c r="AJ48" s="41"/>
      <c r="AK48" s="22"/>
      <c r="AL48" s="41"/>
      <c r="AM48" s="22"/>
      <c r="AN48" s="22"/>
      <c r="AO48" s="22"/>
      <c r="AP48" s="41"/>
      <c r="AQ48" s="22"/>
      <c r="AR48" s="22"/>
      <c r="AS48" s="22"/>
      <c r="AT48" s="22"/>
      <c r="AU48" s="41"/>
      <c r="AV48" s="22"/>
      <c r="AW48" s="22"/>
      <c r="AX48" s="22"/>
      <c r="AY48" s="22"/>
      <c r="AZ48" s="22"/>
      <c r="BA48" s="41"/>
      <c r="BB48" s="22"/>
      <c r="BC48" s="22"/>
      <c r="BD48" s="22"/>
      <c r="BE48" s="22"/>
      <c r="BF48" s="22"/>
      <c r="BG48" s="22"/>
      <c r="BH48" s="22"/>
      <c r="BI48" s="22"/>
      <c r="BJ48" s="22"/>
      <c r="BK48" s="22"/>
      <c r="BL48" s="41"/>
      <c r="BM48" s="22"/>
      <c r="BN48" s="22"/>
      <c r="BO48" s="22"/>
      <c r="BP48" s="22"/>
      <c r="BQ48" s="22"/>
      <c r="BR48" s="41"/>
      <c r="BS48" s="22"/>
      <c r="BT48" s="22"/>
      <c r="BU48" s="22"/>
      <c r="BV48" s="22"/>
      <c r="BW48" s="22"/>
      <c r="BX48" s="22"/>
      <c r="BY48" s="22"/>
      <c r="BZ48" s="41"/>
      <c r="CA48" s="22"/>
      <c r="CB48" s="41"/>
      <c r="CC48" s="22"/>
      <c r="CD48" s="41"/>
      <c r="CE48" s="22"/>
      <c r="CF48" s="22"/>
      <c r="CG48" s="22"/>
      <c r="CH48" s="22"/>
      <c r="CI48" s="22"/>
      <c r="CJ48" s="22"/>
      <c r="CK48" s="68"/>
      <c r="CL48" s="41"/>
      <c r="CM48" s="22"/>
      <c r="CN48" s="22"/>
      <c r="CO48" s="22"/>
      <c r="CP48" s="22"/>
      <c r="CQ48" s="22"/>
      <c r="CR48" s="22"/>
      <c r="CS48" s="22"/>
      <c r="CT48" s="22"/>
      <c r="CU48" s="41"/>
      <c r="CV48" s="22"/>
      <c r="CW48" s="41"/>
      <c r="CX48" s="22"/>
      <c r="CY48" s="22"/>
      <c r="CZ48" s="68"/>
      <c r="DA48" s="68"/>
      <c r="DB48" s="21"/>
      <c r="DC48" s="101"/>
      <c r="DD48" s="45">
        <f t="shared" ref="DD48:DJ48" si="40">+DD35-(SUM(DD36:DD47))</f>
        <v>0</v>
      </c>
      <c r="DE48" s="41">
        <f t="shared" si="40"/>
        <v>0</v>
      </c>
      <c r="DF48" s="41">
        <f t="shared" si="40"/>
        <v>0</v>
      </c>
      <c r="DG48" s="41">
        <f t="shared" si="40"/>
        <v>0</v>
      </c>
      <c r="DH48" s="41">
        <f t="shared" si="40"/>
        <v>0</v>
      </c>
      <c r="DI48" s="41">
        <f t="shared" si="40"/>
        <v>0</v>
      </c>
      <c r="DJ48" s="42">
        <f t="shared" si="40"/>
        <v>17</v>
      </c>
    </row>
    <row r="49" spans="1:115" s="29" customFormat="1" ht="57.95" customHeight="1" collapsed="1" thickBot="1" x14ac:dyDescent="0.3">
      <c r="A49" s="91" t="s">
        <v>75</v>
      </c>
      <c r="B49" s="76">
        <v>4</v>
      </c>
      <c r="C49" s="87" t="s">
        <v>64</v>
      </c>
      <c r="D49" s="47">
        <f>+COUNTIFS('muddati otgan'!B:B,A49,'muddati otgan'!B:B,A49)</f>
        <v>55</v>
      </c>
      <c r="E49" s="37">
        <f>SUMIFS('muddati otgan'!$V:V,'muddati otgan'!$B:B,$A:A)</f>
        <v>21</v>
      </c>
      <c r="F49" s="37">
        <f>SUMIFS('muddati otgan'!$W:W,'muddati otgan'!$B:B,$A:A)</f>
        <v>7</v>
      </c>
      <c r="G49" s="38">
        <f>SUMIFS('muddati otgan'!$U:U,'muddati otgan'!$B:B,$A:A)</f>
        <v>27</v>
      </c>
      <c r="H49" s="39">
        <f>SUMIFS('muddati otgan'!$G:G,'muddati otgan'!$B:B,$A:A)</f>
        <v>43</v>
      </c>
      <c r="I49" s="40">
        <f>SUMIFS('muddati otgan'!$H:H,'muddati otgan'!$B:B,$A:A)</f>
        <v>12</v>
      </c>
      <c r="J49" s="43">
        <f t="shared" ref="J49" si="41">K49+P49+Q49+R49+S49+T49+U49+V49+W49+L49+O49+M49+N49+X49</f>
        <v>0</v>
      </c>
      <c r="K49" s="39">
        <f>+COUNTIFS('muddati otgan'!B:B,A49,'muddati otgan'!AA:AA,"Arizani qabul qilish")</f>
        <v>0</v>
      </c>
      <c r="L49" s="39">
        <f>+COUNTIFS('muddati otgan'!B:B,A49,'muddati otgan'!J:J,"Arizani rad etish")</f>
        <v>0</v>
      </c>
      <c r="M49" s="39">
        <f>+COUNTIFS('muddati otgan'!B:B,A49,'muddati otgan'!J:J,"Arizani tasdiqlash")</f>
        <v>0</v>
      </c>
      <c r="N49" s="39">
        <f>+COUNTIFS('muddati otgan'!B:B,A49,'muddati otgan'!J:J,"Arizani yo'naltirish")</f>
        <v>0</v>
      </c>
      <c r="O49" s="39">
        <f>+COUNTIFS('muddati otgan'!B:B,A49,'muddati otgan'!J:J,"Rad qilish sababini o'rganish")</f>
        <v>0</v>
      </c>
      <c r="P49" s="39">
        <f>+COUNTIFS('muddati otgan'!B:B,A49,'muddati otgan'!J:J,"Ko'chmas mulkni UZKAD ga migratsiya qilish")</f>
        <v>0</v>
      </c>
      <c r="Q49" s="39">
        <f>+COUNTIFS('muddati otgan'!B:B,A49,'muddati otgan'!J:J,"Migratisya qilingan obyekt holatini tekshirish")</f>
        <v>0</v>
      </c>
      <c r="R49" s="39">
        <f>+COUNTIFS('muddati otgan'!B:B,A49,'muddati otgan'!J:J,"Ko‘chmas mulkni tanlash")</f>
        <v>0</v>
      </c>
      <c r="S49" s="39">
        <f>+COUNTIFS('muddati otgan'!B:B,A49,'muddati otgan'!J:J,"Arizani ko'rib chiqish")</f>
        <v>0</v>
      </c>
      <c r="T49" s="39">
        <f>+COUNTIFS('muddati otgan'!B:B,A49,'muddati otgan'!J:J,"Kadastr muhandisini tanlash")</f>
        <v>0</v>
      </c>
      <c r="U49" s="39">
        <f>+COUNTIFS('muddati otgan'!B:B,A49,'muddati otgan'!J:J,"Ko'chmas mulk turini tanlahsh")</f>
        <v>0</v>
      </c>
      <c r="V49" s="39">
        <f>+COUNTIFS('muddati otgan'!B:B,A49,'muddati otgan'!AA:AA,"Rad qilish")</f>
        <v>0</v>
      </c>
      <c r="W49" s="39">
        <f>+COUNTIFS('muddati otgan'!B:B,A49,'muddati otgan'!J:J,"ijrochi tanlash")</f>
        <v>0</v>
      </c>
      <c r="X49" s="39">
        <f>+COUNTIFS('muddati otgan'!B:B,A49,'muddati otgan'!J:J,"Ko'chmas mulk turini tanlash")</f>
        <v>0</v>
      </c>
      <c r="Y49" s="39">
        <f t="shared" ref="Y49" si="42">Z49+AD49+AF49+AE49+AC49+AB49+AA49</f>
        <v>5</v>
      </c>
      <c r="Z49" s="39">
        <f>+COUNTIFS('muddati otgan'!B:B,A49,'muddati otgan'!J:J,"Ijroga qabul qilish")</f>
        <v>0</v>
      </c>
      <c r="AA49" s="39">
        <f>+COUNTIFS('muddati otgan'!B:B,A49,'muddati otgan'!J:J,"Joyida o'rganish va ma'lumotlarni kiritish")</f>
        <v>0</v>
      </c>
      <c r="AB49" s="39">
        <f>+COUNTIFS('muddati otgan'!B:B,A49,'muddati otgan'!J:J,"Asosiy qismdan ajratish jarayonida")</f>
        <v>1</v>
      </c>
      <c r="AC49" s="39">
        <f>+COUNTIFS('muddati otgan'!B:B,A49,'muddati otgan'!J:J,"Umumiy foydalanishdagi obyekt yaratilish")</f>
        <v>0</v>
      </c>
      <c r="AD49" s="39">
        <f>+COUNTIFS('muddati otgan'!B:B,A49,'muddati otgan'!J:J,"Migratsiya qilinadigan kadastr raqamini kiritish")</f>
        <v>0</v>
      </c>
      <c r="AE49" s="39">
        <f>+COUNTIFS('muddati otgan'!B:B,A49,'muddati otgan'!J:J,"O'zida qolgan obyektni yaratish")</f>
        <v>0</v>
      </c>
      <c r="AF49" s="39">
        <f>+COUNTIFS('muddati otgan'!B:B,A49,'muddati otgan'!J:J,"O'lchov natijalarini kiritish")</f>
        <v>4</v>
      </c>
      <c r="AG49" s="39">
        <f>+COUNTIFS('muddati otgan'!B:B,A49,'muddati otgan'!J:J,"Topoxaritani tayyorlash (dwg, pdf)")</f>
        <v>0</v>
      </c>
      <c r="AH49" s="39">
        <f t="shared" ref="AH49" si="43">AI49</f>
        <v>5</v>
      </c>
      <c r="AI49" s="39">
        <f>+COUNTIFS('muddati otgan'!B:B,A49,'muddati otgan'!J:J,"Yer uchastkasini yaratish")</f>
        <v>5</v>
      </c>
      <c r="AJ49" s="39">
        <f t="shared" ref="AJ49" si="44">AK49</f>
        <v>0</v>
      </c>
      <c r="AK49" s="39">
        <f>+COUNTIFS('muddati otgan'!B:B,A49,'muddati otgan'!J:J,"Kelishish (Boshqarma)")</f>
        <v>0</v>
      </c>
      <c r="AL49" s="39">
        <f t="shared" ref="AL49" si="45">AM49+AN49+AO49</f>
        <v>1</v>
      </c>
      <c r="AM49" s="39">
        <f>+COUNTIFS('muddati otgan'!B:B,A49,'muddati otgan'!J:J,"Kelishish (DKP)")</f>
        <v>0</v>
      </c>
      <c r="AN49" s="39">
        <f>+COUNTIFS('muddati otgan'!B:B,A49,'muddati otgan'!J:J,"Kelishish")</f>
        <v>1</v>
      </c>
      <c r="AO49" s="39">
        <f>+COUNTIFS('muddati otgan'!B:B,A49,'muddati otgan'!J:J,"Kelishish (Registratsiya DKP)")</f>
        <v>0</v>
      </c>
      <c r="AP49" s="39">
        <f t="shared" ref="AP49" si="46">AQ49+AR49+AS49+AT49</f>
        <v>0</v>
      </c>
      <c r="AQ49" s="39">
        <f>+COUNTIFS('muddati otgan'!B:B,A49,'muddati otgan'!J:J,"Manzil biriktirish")</f>
        <v>0</v>
      </c>
      <c r="AR49" s="39">
        <f>+COUNTIFS('muddati otgan'!B:B,A49,'muddati otgan'!J:J,"Bino va inshootlarni yaratish")</f>
        <v>0</v>
      </c>
      <c r="AS49" s="39">
        <f>+COUNTIFS('muddati otgan'!B:B,A49,'muddati otgan'!J:J,"Dov daraxtlarni yaratish")</f>
        <v>0</v>
      </c>
      <c r="AT49" s="39">
        <f>+COUNTIFS('muddati otgan'!B:B,A49,'muddati otgan'!J:J,"Yer uchastkasini tahrirlash")</f>
        <v>0</v>
      </c>
      <c r="AU49" s="39">
        <f t="shared" ref="AU49" si="47">AV49+AW49+AX49+AY49+AZ49</f>
        <v>0</v>
      </c>
      <c r="AV49" s="39">
        <f>+COUNTIFS('muddati otgan'!B:B,A49,'muddati otgan'!J:J,"Yer toifasi va maqsadini kiritish")</f>
        <v>0</v>
      </c>
      <c r="AW49" s="39">
        <f>+COUNTIFS('muddati otgan'!B:B,A49,'muddati otgan'!J:J,"Auksion yer tekshirish")</f>
        <v>0</v>
      </c>
      <c r="AX49" s="39">
        <f>+COUNTIFS('muddati otgan'!B:B,A49,'muddati otgan'!J:J,"Yer turlarini kiritish")</f>
        <v>0</v>
      </c>
      <c r="AY49" s="39">
        <f>+COUNTIFS('muddati otgan'!B:B,A49,'muddati otgan'!J:J,"Ma'lumotlarni kiritish")</f>
        <v>0</v>
      </c>
      <c r="AZ49" s="39">
        <f>+COUNTIFS('muddati otgan'!B:B,A49,'muddati otgan'!J:J,"Yer tekshirish")</f>
        <v>0</v>
      </c>
      <c r="BA49" s="39">
        <f t="shared" ref="BA49" si="48">BB49+BC49+BD49+BE49+BF49+BG49+BH49+BI49+BJ49+BK49</f>
        <v>0</v>
      </c>
      <c r="BB49" s="39">
        <f>+COUNTIFS('muddati otgan'!B:B,A49,'muddati otgan'!J:J,"Bino va inshoot ma'lumotlarini to‘ldirish")</f>
        <v>0</v>
      </c>
      <c r="BC49" s="39">
        <f>+COUNTIFS('muddati otgan'!B:B,A49,'muddati otgan'!J:J,"Inventarizatsiya ma'lumotlarini to‘ldirish")</f>
        <v>0</v>
      </c>
      <c r="BD49" s="39">
        <f>+COUNTIFS('muddati otgan'!B:B,A49,'muddati otgan'!J:J,"Yer uchastkasiga huquqiy hujjatlarni kiritsh")</f>
        <v>0</v>
      </c>
      <c r="BE49" s="39">
        <f>+COUNTIFS('muddati otgan'!B:B,A49,'muddati otgan'!J:J,"Bino-inshootlarga huquqiy hujjatlarni kiritsh")</f>
        <v>0</v>
      </c>
      <c r="BF49" s="39">
        <f>+COUNTIFS('muddati otgan'!B:B,A49,'muddati otgan'!J:J,"Kadastr qiymatini hisoblash va kiritish")</f>
        <v>0</v>
      </c>
      <c r="BG49" s="39">
        <f>+COUNTIFS('muddati otgan'!B:B,A49,'muddati otgan'!J:J,"Kadastr raqam biriktirish")</f>
        <v>0</v>
      </c>
      <c r="BH49" s="39">
        <f>+COUNTIFS('muddati otgan'!B:B,A49,'muddati otgan'!J:J,"Kadastr yig'ma jildni tayyorlash")</f>
        <v>0</v>
      </c>
      <c r="BI49" s="39">
        <f>+COUNTIFS('muddati otgan'!B:B,A49,'muddati otgan'!J:J,"Huquqni yaratish")</f>
        <v>0</v>
      </c>
      <c r="BJ49" s="39">
        <f>+COUNTIFS('muddati otgan'!B:B,A49,'muddati otgan'!J:J,"Hujjatlarni o'rganish")</f>
        <v>0</v>
      </c>
      <c r="BK49" s="39">
        <f>+COUNTIFS('muddati otgan'!B:B,A49,'muddati otgan'!J:J,"Ma'lumotlarni tekshirish")</f>
        <v>0</v>
      </c>
      <c r="BL49" s="39">
        <f t="shared" ref="BL49" si="49">BM49+BN49+BP49+BO49+BQ49</f>
        <v>2</v>
      </c>
      <c r="BM49" s="39">
        <f>+COUNTIFS('muddati otgan'!B:B,A49,'muddati otgan'!J:J,"Tekshirish")</f>
        <v>2</v>
      </c>
      <c r="BN49" s="39">
        <f>+COUNTIFS('muddati otgan'!B:B,A49,'muddati otgan'!J:J,"Hujjatlarni tekshirish")</f>
        <v>0</v>
      </c>
      <c r="BO49" s="39">
        <f>+COUNTIFS('muddati otgan'!B:B,A49,'muddati otgan'!J:J,"Tasdiqlash")</f>
        <v>0</v>
      </c>
      <c r="BP49" s="39">
        <f>+COUNTIFS('muddati otgan'!B:B,A49,'muddati otgan'!J:J,"tekshirish/tasdiqlash")</f>
        <v>0</v>
      </c>
      <c r="BQ49" s="39">
        <f>+COUNTIFS('muddati otgan'!B:B,A49,'muddati otgan'!J:J,"Ma'lumotlarni tasdiqlash")</f>
        <v>0</v>
      </c>
      <c r="BR49" s="39">
        <f t="shared" ref="BR49" si="50">BS49+BU49+BV49+BW49+BX49+BY49-BT49</f>
        <v>6</v>
      </c>
      <c r="BS49" s="39">
        <f>+COUNTIFS('muddati otgan'!B:B,A49,'muddati otgan'!J:J,"Ro'yxatdan o'tkazish ma'lumotlarini tekshirish")</f>
        <v>6</v>
      </c>
      <c r="BT49" s="39">
        <f>+COUNTIFS('muddati otgan'!B:B,A49,'muddati otgan'!J:J,"Kamchiliklar bo'yicha habarnoma yuborish va 3 kunga to'xtatish")</f>
        <v>0</v>
      </c>
      <c r="BU49" s="39">
        <f>+COUNTIFS('muddati otgan'!B:B,A49,'muddati otgan'!J:J,"Hisobga olish")</f>
        <v>0</v>
      </c>
      <c r="BV49" s="39">
        <f>+COUNTIFS('muddati otgan'!B:B,A49,'muddati otgan'!J:J,"Yer uchastkasiga huquq yaratish")</f>
        <v>0</v>
      </c>
      <c r="BW49" s="39">
        <f>+COUNTIFS('muddati otgan'!B:B,A49,'muddati otgan'!J:J,"Bino-inshootga huquq yaratish")</f>
        <v>0</v>
      </c>
      <c r="BX49" s="39">
        <f>+COUNTIFS('muddati otgan'!B:B,A49,'muddati otgan'!J:J,"Cheklov yaratish")</f>
        <v>0</v>
      </c>
      <c r="BY49" s="39">
        <f>+COUNTIFS('muddati otgan'!B:B,A49,'muddati otgan'!J:J,"Taqiq yaratish")</f>
        <v>0</v>
      </c>
      <c r="BZ49" s="39">
        <f t="shared" ref="BZ49" si="51">CA49</f>
        <v>0</v>
      </c>
      <c r="CA49" s="39">
        <f>+COUNTIFS('muddati otgan'!B:B,A49,'muddati otgan'!J:J,"Soliq maydonini tekshirish")</f>
        <v>0</v>
      </c>
      <c r="CB49" s="39">
        <f t="shared" ref="CB49" si="52">CC49</f>
        <v>1</v>
      </c>
      <c r="CC49" s="39">
        <f>+COUNTIFS('muddati otgan'!B:B,A49,'muddati otgan'!J:J,"Kadastr yig'majildini shakllantirish")</f>
        <v>1</v>
      </c>
      <c r="CD49" s="39">
        <f t="shared" ref="CD49" si="53">CE49+CF49+CG49+CI49+CJ49+CH49</f>
        <v>6</v>
      </c>
      <c r="CE49" s="39">
        <f>+COUNTIFS('muddati otgan'!B:B,A49,'muddati otgan'!J:J,"Kadastr passportini shakllantirish")</f>
        <v>4</v>
      </c>
      <c r="CF49" s="39">
        <f>+COUNTIFS('muddati otgan'!B:B,A49,'muddati otgan'!J:J,"Yig'ma jildni tasdiqlash")</f>
        <v>0</v>
      </c>
      <c r="CG49" s="39">
        <f>+COUNTIFS('muddati otgan'!B:B,A49,'muddati otgan'!J:J,"To'lov yoki bepul tasdiqlash")</f>
        <v>0</v>
      </c>
      <c r="CH49" s="39">
        <f>+COUNTIFS('muddati otgan'!B:B,A49,'muddati otgan'!J:J,"Bog'liq arizani kutish")</f>
        <v>2</v>
      </c>
      <c r="CI49" s="39">
        <f>+COUNTIFS('muddati otgan'!B:B,A49,'muddati otgan'!J:J,"To'lovga chiqarish")</f>
        <v>0</v>
      </c>
      <c r="CJ49" s="39">
        <f>+COUNTIFS('muddati otgan'!B:B,A49,'muddati otgan'!J:J,"Hisobga qo'yish")</f>
        <v>0</v>
      </c>
      <c r="CK49" s="67">
        <f>+COUNTIFS('muddati otgan'!B:B,A49,'muddati otgan'!J:J,"To'lov kutilmoqda")</f>
        <v>3</v>
      </c>
      <c r="CL49" s="39">
        <f t="shared" ref="CL49" si="54">CM49+CN49+CO49+CP49+CQ49+CR49+CS49+CT49</f>
        <v>4</v>
      </c>
      <c r="CM49" s="39">
        <f>+COUNTIFS('muddati otgan'!B:B,A49,'muddati otgan'!AA:AA,"Arizani qabul qilish2")</f>
        <v>0</v>
      </c>
      <c r="CN49" s="39">
        <f>+COUNTIFS('muddati otgan'!B:B,A49,'muddati otgan'!J:J,"Huquqlarni tekshirish")</f>
        <v>2</v>
      </c>
      <c r="CO49" s="39">
        <f>+COUNTIFS('muddati otgan'!B:B,A49,'muddati otgan'!J:J,"Ko'chmas mulkni ro'yhatdan o'tkazishga qabul qilish")</f>
        <v>0</v>
      </c>
      <c r="CP49" s="39">
        <f>+COUNTIFS('muddati otgan'!B:B,A49,'muddati otgan'!J:J,"Ro'yxatdan o'tkazish")</f>
        <v>2</v>
      </c>
      <c r="CQ49" s="39">
        <f>+COUNTIFS('muddati otgan'!B:B,A49,'muddati otgan'!J:J,"Kadastr pasporti va ko'chirmani yuborish")</f>
        <v>0</v>
      </c>
      <c r="CR49" s="39">
        <f>+COUNTIFS('muddati otgan'!B:B,A49,'muddati otgan'!AA:AA,"Rad qilish2")</f>
        <v>0</v>
      </c>
      <c r="CS49" s="39">
        <f>+COUNTIFS('muddati otgan'!B:B,A49,'muddati otgan'!J:J,"Ko'chirmani yuborish")</f>
        <v>0</v>
      </c>
      <c r="CT49" s="39">
        <f>+COUNTIFS('muddati otgan'!B:B,A49,'muddati otgan'!J:J,"Ma‘lumotlarni tekshirish")</f>
        <v>0</v>
      </c>
      <c r="CU49" s="39">
        <f t="shared" ref="CU49" si="55">CV49</f>
        <v>2</v>
      </c>
      <c r="CV49" s="39">
        <f>+COUNTIFS('muddati otgan'!B:B,A49,'muddati otgan'!J:J,"Kadastr yig'majildini chop etish va arxiv ishiga tikish")</f>
        <v>2</v>
      </c>
      <c r="CW49" s="39">
        <f t="shared" ref="CW49" si="56">CX49+CY49</f>
        <v>0</v>
      </c>
      <c r="CX49" s="39">
        <f>+COUNTIFS('muddati otgan'!B:B,A49,'muddati otgan'!J:J,"Kadastr yig‘majildini qabul qilish, arizani yakunlash")</f>
        <v>0</v>
      </c>
      <c r="CY49" s="39">
        <f>+COUNTIFS('muddati otgan'!B:B,A49,'muddati otgan'!J:J,"Next Cloudga yuklash")</f>
        <v>0</v>
      </c>
      <c r="CZ49" s="67">
        <f>+COUNTIFS('muddati otgan'!B:B,A49,'muddati otgan'!J:J,"Kelishish kutilmoqda")</f>
        <v>0</v>
      </c>
      <c r="DA49" s="67">
        <f>+COUNTIFS('muddati otgan'!B:B,A49,'muddati otgan'!J:J,"Yakunlandi")</f>
        <v>20</v>
      </c>
      <c r="DB49" s="37">
        <f>+COUNTIFS('muddati otgan'!B:B,A49,'muddati otgan'!J:J,"Rad etildi")</f>
        <v>0</v>
      </c>
      <c r="DC49" s="99">
        <f t="shared" ref="DC49" si="57">CK49+CZ49+DA49+DB49-D49</f>
        <v>-32</v>
      </c>
      <c r="DD49" s="43">
        <f>COUNTIFS('jami 1-20 kunlik arizalar'!B:B,A:A,'jami 1-20 kunlik arizalar'!S:S,"1")</f>
        <v>0</v>
      </c>
      <c r="DE49" s="39">
        <f>COUNTIFS('jami 1-20 kunlik arizalar'!B:B,A:A,'jami 1-20 kunlik arizalar'!S:S,"2")</f>
        <v>0</v>
      </c>
      <c r="DF49" s="39">
        <f>COUNTIFS('jami 1-20 kunlik arizalar'!B:B,A:A,'jami 1-20 kunlik arizalar'!S:S,"3")</f>
        <v>39</v>
      </c>
      <c r="DG49" s="39">
        <f>COUNTIFS('jami 1-20 kunlik arizalar'!B:B,A:A,'jami 1-20 kunlik arizalar'!S:S,"4")</f>
        <v>57</v>
      </c>
      <c r="DH49" s="39">
        <f>COUNTIFS('jami 1-20 kunlik arizalar'!B:B,A:A,'jami 1-20 kunlik arizalar'!S:S,"5")</f>
        <v>74</v>
      </c>
      <c r="DI49" s="39">
        <f>SUM(COUNTIFS('jami 1-20 kunlik arizalar'!B:B,A:A, 'jami 1-20 kunlik arizalar'!S:S, {6,7,8,9,10}))</f>
        <v>262</v>
      </c>
      <c r="DJ49" s="40">
        <f>SUMPRODUCT(('jami 1-20 kunlik arizalar'!B:B=A49)*('jami 1-20 kunlik arizalar'!S:S&gt;10))</f>
        <v>292</v>
      </c>
      <c r="DK49" s="34"/>
    </row>
    <row r="50" spans="1:115" ht="33" hidden="1" customHeight="1" outlineLevel="1" x14ac:dyDescent="0.25">
      <c r="A50" s="92" t="s">
        <v>443</v>
      </c>
      <c r="B50" s="106" t="s">
        <v>959</v>
      </c>
      <c r="C50" s="85" t="s">
        <v>777</v>
      </c>
      <c r="D50" s="80">
        <f>+COUNTIFS('muddati otgan'!C:C,A50,'muddati otgan'!C:C,A50)</f>
        <v>0</v>
      </c>
      <c r="E50" s="10">
        <f>SUMIFS('muddati otgan'!$V:V,'muddati otgan'!$C:C,$A:A)</f>
        <v>0</v>
      </c>
      <c r="F50" s="10">
        <f>SUMIFS('muddati otgan'!$W:W,'muddati otgan'!$C:C,$A:A)</f>
        <v>0</v>
      </c>
      <c r="G50" s="24">
        <f>SUMIFS('muddati otgan'!$U:U,'muddati otgan'!$C:C,$A:A)</f>
        <v>0</v>
      </c>
      <c r="H50" s="11">
        <f>SUMIFS('muddati otgan'!$G:G,'muddati otgan'!$C:C,$A:A)</f>
        <v>0</v>
      </c>
      <c r="I50" s="12">
        <f>SUMIFS('muddati otgan'!$H:H,'muddati otgan'!$C:C,$A:A)</f>
        <v>0</v>
      </c>
      <c r="J50" s="44">
        <f t="shared" ref="J50:J73" si="58">K50+P50+Q50+R50+S50+T50+U50+V50+W50+L50+O50+M50+N50+X50</f>
        <v>0</v>
      </c>
      <c r="K50" s="11">
        <f>+COUNTIFS('muddati otgan'!C:C,A50,'muddati otgan'!AA:AA,"Arizani qabul qilish")</f>
        <v>0</v>
      </c>
      <c r="L50" s="11">
        <f>+COUNTIFS('muddati otgan'!C:C,A50,'muddati otgan'!J:J,"Arizani rad etish")</f>
        <v>0</v>
      </c>
      <c r="M50" s="11">
        <f>+COUNTIFS('muddati otgan'!C:C,A50,'muddati otgan'!J:J,"Arizani tasdiqlash")</f>
        <v>0</v>
      </c>
      <c r="N50" s="11">
        <f>+COUNTIFS('muddati otgan'!C:C,A50,'muddati otgan'!J:J,"Arizani yo'naltirish")</f>
        <v>0</v>
      </c>
      <c r="O50" s="11">
        <f>+COUNTIFS('muddati otgan'!C:C,A50,'muddati otgan'!J:J,"Rad qilish sababini o'rganish")</f>
        <v>0</v>
      </c>
      <c r="P50" s="11">
        <f>+COUNTIFS('muddati otgan'!C:C,A50,'muddati otgan'!J:J,"Ko'chmas mulkni UZKAD ga migratsiya qilish")</f>
        <v>0</v>
      </c>
      <c r="Q50" s="11">
        <f>+COUNTIFS('muddati otgan'!C:C,A50,'muddati otgan'!J:J,"Migratisya qilingan obyekt holatini tekshirish")</f>
        <v>0</v>
      </c>
      <c r="R50" s="11">
        <f>+COUNTIFS('muddati otgan'!C:C,A50,'muddati otgan'!J:J,"Ko‘chmas mulkni tanlash")</f>
        <v>0</v>
      </c>
      <c r="S50" s="11">
        <f>+COUNTIFS('muddati otgan'!C:C,A50,'muddati otgan'!J:J,"Arizani ko'rib chiqish")</f>
        <v>0</v>
      </c>
      <c r="T50" s="11">
        <f>+COUNTIFS('muddati otgan'!C:C,A50,'muddati otgan'!J:J,"Kadastr muhandisini tanlash")</f>
        <v>0</v>
      </c>
      <c r="U50" s="11">
        <f>+COUNTIFS('muddati otgan'!C:C,A50,'muddati otgan'!J:J,"Ko'chmas mulk turini tanlahsh")</f>
        <v>0</v>
      </c>
      <c r="V50" s="11">
        <f>+COUNTIFS('muddati otgan'!C:C,A50,'muddati otgan'!AA:AA,"Rad qilish")</f>
        <v>0</v>
      </c>
      <c r="W50" s="11">
        <f>+COUNTIFS('muddati otgan'!C:C,A50,'muddati otgan'!J:J,"ijrochi tanlash")</f>
        <v>0</v>
      </c>
      <c r="X50" s="11">
        <f>+COUNTIFS('muddati otgan'!C:C,A50,'muddati otgan'!J:J,"Ko'chmas mulk turini tanlash")</f>
        <v>0</v>
      </c>
      <c r="Y50" s="11">
        <f t="shared" ref="Y50:Y73" si="59">Z50+AD50+AF50+AE50+AC50+AB50+AA50</f>
        <v>0</v>
      </c>
      <c r="Z50" s="11">
        <f>+COUNTIFS('muddati otgan'!C:C,A50,'muddati otgan'!J:J,"Ijroga qabul qilish")</f>
        <v>0</v>
      </c>
      <c r="AA50" s="11">
        <f>+COUNTIFS('muddati otgan'!C:C,A50,'muddati otgan'!J:J,"Joyida o'rganish va ma'lumotlarni kiritish")</f>
        <v>0</v>
      </c>
      <c r="AB50" s="11">
        <f>+COUNTIFS('muddati otgan'!C:C,A50,'muddati otgan'!J:J,"Asosiy qismdan ajratish jarayonida")</f>
        <v>0</v>
      </c>
      <c r="AC50" s="11">
        <f>+COUNTIFS('muddati otgan'!C:C,A50,'muddati otgan'!J:J,"Umumiy foydalanishdagi obyekt yaratilish")</f>
        <v>0</v>
      </c>
      <c r="AD50" s="11">
        <f>+COUNTIFS('muddati otgan'!C:C,A50,'muddati otgan'!J:J,"Migratsiya qilinadigan kadastr raqamini kiritish")</f>
        <v>0</v>
      </c>
      <c r="AE50" s="11">
        <f>+COUNTIFS('muddati otgan'!C:C,A50,'muddati otgan'!J:J,"O'zida qolgan obyektni yaratish")</f>
        <v>0</v>
      </c>
      <c r="AF50" s="11">
        <f>+COUNTIFS('muddati otgan'!C:C,A50,'muddati otgan'!J:J,"O'lchov natijalarini kiritish")</f>
        <v>0</v>
      </c>
      <c r="AG50" s="11">
        <f>+COUNTIFS('muddati otgan'!C:C,A50,'muddati otgan'!J:J,"Topoxaritani tayyorlash (dwg, pdf)")</f>
        <v>0</v>
      </c>
      <c r="AH50" s="11">
        <f t="shared" ref="AH50:AH73" si="60">AI50</f>
        <v>0</v>
      </c>
      <c r="AI50" s="11">
        <f>+COUNTIFS('muddati otgan'!C:C,A50,'muddati otgan'!J:J,"Yer uchastkasini yaratish")</f>
        <v>0</v>
      </c>
      <c r="AJ50" s="11">
        <f t="shared" ref="AJ50:AJ73" si="61">AK50</f>
        <v>0</v>
      </c>
      <c r="AK50" s="11">
        <f>+COUNTIFS('muddati otgan'!C:C,A50,'muddati otgan'!J:J,"Kelishish (Boshqarma)")</f>
        <v>0</v>
      </c>
      <c r="AL50" s="11">
        <f t="shared" ref="AL50:AL73" si="62">AM50+AN50+AO50</f>
        <v>0</v>
      </c>
      <c r="AM50" s="11">
        <f>+COUNTIFS('muddati otgan'!C:C,A50,'muddati otgan'!J:J,"Kelishish (DKP)")</f>
        <v>0</v>
      </c>
      <c r="AN50" s="11">
        <f>+COUNTIFS('muddati otgan'!C:C,A50,'muddati otgan'!J:J,"Kelishish")</f>
        <v>0</v>
      </c>
      <c r="AO50" s="11">
        <f>+COUNTIFS('muddati otgan'!C:C,A50,'muddati otgan'!J:J,"Kelishish (Registratsiya DKP)")</f>
        <v>0</v>
      </c>
      <c r="AP50" s="11">
        <f t="shared" ref="AP50:AP73" si="63">AQ50+AR50+AS50+AT50</f>
        <v>0</v>
      </c>
      <c r="AQ50" s="11">
        <f>+COUNTIFS('muddati otgan'!C:C,A50,'muddati otgan'!J:J,"Manzil biriktirish")</f>
        <v>0</v>
      </c>
      <c r="AR50" s="11">
        <f>+COUNTIFS('muddati otgan'!C:C,A50,'muddati otgan'!J:J,"Bino va inshootlarni yaratish")</f>
        <v>0</v>
      </c>
      <c r="AS50" s="11">
        <f>+COUNTIFS('muddati otgan'!C:C,A50,'muddati otgan'!J:J,"Dov daraxtlarni yaratish")</f>
        <v>0</v>
      </c>
      <c r="AT50" s="11">
        <f>+COUNTIFS('muddati otgan'!C:C,A50,'muddati otgan'!J:J,"Yer uchastkasini tahrirlash")</f>
        <v>0</v>
      </c>
      <c r="AU50" s="11">
        <f t="shared" ref="AU50:AU73" si="64">AV50+AW50+AX50+AY50+AZ50</f>
        <v>0</v>
      </c>
      <c r="AV50" s="11">
        <f>+COUNTIFS('muddati otgan'!C:C,A50,'muddati otgan'!J:J,"Yer toifasi va maqsadini kiritish")</f>
        <v>0</v>
      </c>
      <c r="AW50" s="11">
        <f>+COUNTIFS('muddati otgan'!C:C,A50,'muddati otgan'!J:J,"Auksion yer tekshirish")</f>
        <v>0</v>
      </c>
      <c r="AX50" s="11">
        <f>+COUNTIFS('muddati otgan'!C:C,A50,'muddati otgan'!J:J,"Yer turlarini kiritish")</f>
        <v>0</v>
      </c>
      <c r="AY50" s="11">
        <f>+COUNTIFS('muddati otgan'!C:C,A50,'muddati otgan'!J:J,"Ma'lumotlarni kiritish")</f>
        <v>0</v>
      </c>
      <c r="AZ50" s="11">
        <f>+COUNTIFS('muddati otgan'!C:C,A50,'muddati otgan'!J:J,"Yer tekshirish")</f>
        <v>0</v>
      </c>
      <c r="BA50" s="11">
        <f t="shared" ref="BA50:BA73" si="65">BB50+BC50+BD50+BE50+BF50+BG50+BH50+BI50+BJ50+BK50</f>
        <v>0</v>
      </c>
      <c r="BB50" s="11">
        <f>+COUNTIFS('muddati otgan'!C:C,A50,'muddati otgan'!J:J,"Bino va inshoot ma'lumotlarini to‘ldirish")</f>
        <v>0</v>
      </c>
      <c r="BC50" s="11">
        <f>+COUNTIFS('muddati otgan'!C:C,A50,'muddati otgan'!J:J,"Inventarizatsiya ma'lumotlarini to‘ldirish")</f>
        <v>0</v>
      </c>
      <c r="BD50" s="11">
        <f>+COUNTIFS('muddati otgan'!C:C,A50,'muddati otgan'!J:J,"Yer uchastkasiga huquqiy hujjatlarni kiritsh")</f>
        <v>0</v>
      </c>
      <c r="BE50" s="11">
        <f>+COUNTIFS('muddati otgan'!C:C,A50,'muddati otgan'!J:J,"Bino-inshootlarga huquqiy hujjatlarni kiritsh")</f>
        <v>0</v>
      </c>
      <c r="BF50" s="11">
        <f>+COUNTIFS('muddati otgan'!C:C,A50,'muddati otgan'!J:J,"Kadastr qiymatini hisoblash va kiritish")</f>
        <v>0</v>
      </c>
      <c r="BG50" s="11">
        <f>+COUNTIFS('muddati otgan'!C:C,A50,'muddati otgan'!J:J,"Kadastr raqam biriktirish")</f>
        <v>0</v>
      </c>
      <c r="BH50" s="11">
        <f>+COUNTIFS('muddati otgan'!C:C,A50,'muddati otgan'!J:J,"Kadastr yig'ma jildni tayyorlash")</f>
        <v>0</v>
      </c>
      <c r="BI50" s="11">
        <f>+COUNTIFS('muddati otgan'!C:C,A50,'muddati otgan'!J:J,"Huquqni yaratish")</f>
        <v>0</v>
      </c>
      <c r="BJ50" s="11">
        <f>+COUNTIFS('muddati otgan'!C:C,A50,'muddati otgan'!J:J,"Hujjatlarni o'rganish")</f>
        <v>0</v>
      </c>
      <c r="BK50" s="11">
        <f>+COUNTIFS('muddati otgan'!C:C,A50,'muddati otgan'!J:J,"Ma'lumotlarni tekshirish")</f>
        <v>0</v>
      </c>
      <c r="BL50" s="11">
        <f t="shared" ref="BL50:BL73" si="66">BM50+BN50+BP50+BO50+BQ50</f>
        <v>0</v>
      </c>
      <c r="BM50" s="11">
        <f>+COUNTIFS('muddati otgan'!C:C,A50,'muddati otgan'!J:J,"Tekshirish")</f>
        <v>0</v>
      </c>
      <c r="BN50" s="11">
        <f>+COUNTIFS('muddati otgan'!C:C,A50,'muddati otgan'!J:J,"Hujjatlarni tekshirish")</f>
        <v>0</v>
      </c>
      <c r="BO50" s="11">
        <f>+COUNTIFS('muddati otgan'!C:C,A50,'muddati otgan'!J:J,"Tasdiqlash")</f>
        <v>0</v>
      </c>
      <c r="BP50" s="11">
        <f>+COUNTIFS('muddati otgan'!C:C,A50,'muddati otgan'!J:J,"tekshirish/tasdiqlash")</f>
        <v>0</v>
      </c>
      <c r="BQ50" s="11">
        <f>+COUNTIFS('muddati otgan'!C:C,A50,'muddati otgan'!J:J,"Ma'lumotlarni tasdiqlash")</f>
        <v>0</v>
      </c>
      <c r="BR50" s="11">
        <f t="shared" si="32"/>
        <v>0</v>
      </c>
      <c r="BS50" s="11">
        <f>+COUNTIFS('muddati otgan'!C:C,A50,'muddati otgan'!J:J,"Ro'yxatdan o'tkazish ma'lumotlarini tekshirish")</f>
        <v>0</v>
      </c>
      <c r="BT50" s="11">
        <f>+COUNTIFS('muddati otgan'!C:C,A50,'muddati otgan'!J:J,"Kamchiliklar bo'yicha habarnoma yuborish va 3 kunga to'xtatish")</f>
        <v>0</v>
      </c>
      <c r="BU50" s="11">
        <f>+COUNTIFS('muddati otgan'!C:C,A50,'muddati otgan'!J:J,"Hisobga olish")</f>
        <v>0</v>
      </c>
      <c r="BV50" s="11">
        <f>+COUNTIFS('muddati otgan'!C:C,A50,'muddati otgan'!J:J,"Yer uchastkasiga huquq yaratish")</f>
        <v>0</v>
      </c>
      <c r="BW50" s="11">
        <f>+COUNTIFS('muddati otgan'!C:C,A50,'muddati otgan'!J:J,"Bino-inshootga huquq yaratish")</f>
        <v>0</v>
      </c>
      <c r="BX50" s="11">
        <f>+COUNTIFS('muddati otgan'!C:C,A50,'muddati otgan'!J:J,"Cheklov yaratish")</f>
        <v>0</v>
      </c>
      <c r="BY50" s="11">
        <f>+COUNTIFS('muddati otgan'!C:C,A50,'muddati otgan'!J:J,"Taqiq yaratish")</f>
        <v>0</v>
      </c>
      <c r="BZ50" s="11">
        <f t="shared" si="33"/>
        <v>0</v>
      </c>
      <c r="CA50" s="11">
        <f>+COUNTIFS('muddati otgan'!C:C,A50,'muddati otgan'!J:J,"Soliq maydonini tekshirish")</f>
        <v>0</v>
      </c>
      <c r="CB50" s="11">
        <f t="shared" si="34"/>
        <v>0</v>
      </c>
      <c r="CC50" s="11">
        <f>+COUNTIFS('muddati otgan'!C:C,A50,'muddati otgan'!J:J,"Kadastr yig'majildini shakllantirish")</f>
        <v>0</v>
      </c>
      <c r="CD50" s="11">
        <f t="shared" si="35"/>
        <v>0</v>
      </c>
      <c r="CE50" s="11">
        <f>+COUNTIFS('muddati otgan'!C:C,A50,'muddati otgan'!J:J,"Kadastr passportini shakllantirish")</f>
        <v>0</v>
      </c>
      <c r="CF50" s="11">
        <f>+COUNTIFS('muddati otgan'!C:C,A50,'muddati otgan'!J:J,"Yig'ma jildni tasdiqlash")</f>
        <v>0</v>
      </c>
      <c r="CG50" s="11">
        <f>+COUNTIFS('muddati otgan'!C:C,A50,'muddati otgan'!J:J,"To'lov yoki bepul tasdiqlash")</f>
        <v>0</v>
      </c>
      <c r="CH50" s="11">
        <f>+COUNTIFS('muddati otgan'!C:C,A50,'muddati otgan'!J:J,"Bog'liq arizani kutish")</f>
        <v>0</v>
      </c>
      <c r="CI50" s="11">
        <f>+COUNTIFS('muddati otgan'!C:C,A50,'muddati otgan'!J:J,"To'lovga chiqarish")</f>
        <v>0</v>
      </c>
      <c r="CJ50" s="11">
        <f>+COUNTIFS('muddati otgan'!C:C,A50,'muddati otgan'!J:J,"Hisobga qo'yish")</f>
        <v>0</v>
      </c>
      <c r="CK50" s="6">
        <f>+COUNTIFS('muddati otgan'!C:C,A50,'muddati otgan'!J:J,"To'lov kutilmoqda")</f>
        <v>0</v>
      </c>
      <c r="CL50" s="11">
        <f t="shared" si="36"/>
        <v>0</v>
      </c>
      <c r="CM50" s="11">
        <f>+COUNTIFS('muddati otgan'!C:C,A50,'muddati otgan'!AA:AA,"Arizani qabul qilish2")</f>
        <v>0</v>
      </c>
      <c r="CN50" s="11">
        <f>+COUNTIFS('muddati otgan'!C:C,A50,'muddati otgan'!J:J,"Huquqlarni tekshirish")</f>
        <v>0</v>
      </c>
      <c r="CO50" s="11">
        <f>+COUNTIFS('muddati otgan'!C:C,A50,'muddati otgan'!J:J,"Ko'chmas mulkni ro'yhatdan o'tkazishga qabul qilish")</f>
        <v>0</v>
      </c>
      <c r="CP50" s="11">
        <f>+COUNTIFS('muddati otgan'!C:C,A50,'muddati otgan'!J:J,"Ro'yxatdan o'tkazish")</f>
        <v>0</v>
      </c>
      <c r="CQ50" s="11">
        <f>+COUNTIFS('muddati otgan'!C:C,A50,'muddati otgan'!J:J,"Kadastr pasporti va ko'chirmani yuborish")</f>
        <v>0</v>
      </c>
      <c r="CR50" s="11">
        <f>+COUNTIFS('muddati otgan'!C:C,A50,'muddati otgan'!AA:AA,"Rad qilish2")</f>
        <v>0</v>
      </c>
      <c r="CS50" s="11">
        <f>+COUNTIFS('muddati otgan'!C:C,A50,'muddati otgan'!J:J,"Ko'chirmani yuborish")</f>
        <v>0</v>
      </c>
      <c r="CT50" s="11">
        <f>+COUNTIFS('muddati otgan'!C:C,A50,'muddati otgan'!J:J,"Ma‘lumotlarni tekshirish")</f>
        <v>0</v>
      </c>
      <c r="CU50" s="11">
        <f t="shared" si="37"/>
        <v>0</v>
      </c>
      <c r="CV50" s="11">
        <f>+COUNTIFS('muddati otgan'!C:C,A50,'muddati otgan'!J:J,"Kadastr yig'majildini chop etish va arxiv ishiga tikish")</f>
        <v>0</v>
      </c>
      <c r="CW50" s="11">
        <f t="shared" si="38"/>
        <v>0</v>
      </c>
      <c r="CX50" s="11">
        <f>+COUNTIFS('muddati otgan'!C:C,A50,'muddati otgan'!J:J,"Kadastr yig‘majildini qabul qilish, arizani yakunlash")</f>
        <v>0</v>
      </c>
      <c r="CY50" s="11">
        <f>+COUNTIFS('muddati otgan'!C:C,A50,'muddati otgan'!J:J,"Next Cloudga yuklash")</f>
        <v>0</v>
      </c>
      <c r="CZ50" s="6">
        <f>+COUNTIFS('muddati otgan'!C:C,A50,'muddati otgan'!J:J,"Kelishish kutilmoqda")</f>
        <v>0</v>
      </c>
      <c r="DA50" s="6">
        <f>+COUNTIFS('muddati otgan'!C:C,A50,'muddati otgan'!J:J,"Yakunlandi")</f>
        <v>0</v>
      </c>
      <c r="DB50" s="10">
        <f>+COUNTIFS('muddati otgan'!C:C,A50,'muddati otgan'!J:J,"Rad etildi")</f>
        <v>0</v>
      </c>
      <c r="DC50" s="100">
        <f t="shared" si="5"/>
        <v>0</v>
      </c>
      <c r="DD50" s="44">
        <f>COUNTIFS('jami 1-20 kunlik arizalar'!C:C,A:A,'jami 1-20 kunlik arizalar'!S:S,"1")</f>
        <v>0</v>
      </c>
      <c r="DE50" s="11">
        <f>COUNTIFS('jami 1-20 kunlik arizalar'!C:C,A:A,'jami 1-20 kunlik arizalar'!S:S,"2")</f>
        <v>0</v>
      </c>
      <c r="DF50" s="11">
        <f>COUNTIFS('jami 1-20 kunlik arizalar'!C:C,A:A,'jami 1-20 kunlik arizalar'!S:S,"3")</f>
        <v>0</v>
      </c>
      <c r="DG50" s="11">
        <f>COUNTIFS('jami 1-20 kunlik arizalar'!C:C,A:A,'jami 1-20 kunlik arizalar'!S:S,"4")</f>
        <v>1</v>
      </c>
      <c r="DH50" s="11">
        <f>COUNTIFS('jami 1-20 kunlik arizalar'!C:C,A:A,'jami 1-20 kunlik arizalar'!S:S,"5")</f>
        <v>0</v>
      </c>
      <c r="DI50" s="11">
        <f>SUM(COUNTIFS('jami 1-20 kunlik arizalar'!C:C,A:A, 'jami 1-20 kunlik arizalar'!S:S, {6,7,8,9,10}))</f>
        <v>0</v>
      </c>
      <c r="DJ50" s="12">
        <f>SUM(COUNTIFS('jami 1-20 kunlik arizalar'!C:C,A:A, 'jami 1-20 kunlik arizalar'!S:S, "&gt;10"))</f>
        <v>0</v>
      </c>
    </row>
    <row r="51" spans="1:115" ht="33" hidden="1" customHeight="1" outlineLevel="1" x14ac:dyDescent="0.25">
      <c r="A51">
        <v>51006025960068</v>
      </c>
      <c r="B51" s="106" t="s">
        <v>959</v>
      </c>
      <c r="C51" s="85" t="s">
        <v>946</v>
      </c>
      <c r="D51" s="80">
        <f>+COUNTIFS('muddati otgan'!C:C,A51,'muddati otgan'!C:C,A51)</f>
        <v>1</v>
      </c>
      <c r="E51" s="10">
        <f>SUMIFS('muddati otgan'!$V:V,'muddati otgan'!$C:C,$A:A)</f>
        <v>0</v>
      </c>
      <c r="F51" s="10">
        <f>SUMIFS('muddati otgan'!$W:W,'muddati otgan'!$C:C,$A:A)</f>
        <v>0</v>
      </c>
      <c r="G51" s="24">
        <f>SUMIFS('muddati otgan'!$U:U,'muddati otgan'!$C:C,$A:A)</f>
        <v>1</v>
      </c>
      <c r="H51" s="11">
        <f>SUMIFS('muddati otgan'!$G:G,'muddati otgan'!$C:C,$A:A)</f>
        <v>0</v>
      </c>
      <c r="I51" s="12">
        <f>SUMIFS('muddati otgan'!$H:H,'muddati otgan'!$C:C,$A:A)</f>
        <v>1</v>
      </c>
      <c r="J51" s="44">
        <f t="shared" ref="J51" si="67">K51+P51+Q51+R51+S51+T51+U51+V51+W51+L51+O51+M51+N51+X51</f>
        <v>0</v>
      </c>
      <c r="K51" s="11">
        <f>+COUNTIFS('muddati otgan'!C:C,A51,'muddati otgan'!AA:AA,"Arizani qabul qilish")</f>
        <v>0</v>
      </c>
      <c r="L51" s="11">
        <f>+COUNTIFS('muddati otgan'!C:C,A51,'muddati otgan'!J:J,"Arizani rad etish")</f>
        <v>0</v>
      </c>
      <c r="M51" s="11">
        <f>+COUNTIFS('muddati otgan'!C:C,A51,'muddati otgan'!J:J,"Arizani tasdiqlash")</f>
        <v>0</v>
      </c>
      <c r="N51" s="11">
        <f>+COUNTIFS('muddati otgan'!C:C,A51,'muddati otgan'!J:J,"Arizani yo'naltirish")</f>
        <v>0</v>
      </c>
      <c r="O51" s="11">
        <f>+COUNTIFS('muddati otgan'!C:C,A51,'muddati otgan'!J:J,"Rad qilish sababini o'rganish")</f>
        <v>0</v>
      </c>
      <c r="P51" s="11">
        <f>+COUNTIFS('muddati otgan'!C:C,A51,'muddati otgan'!J:J,"Ko'chmas mulkni UZKAD ga migratsiya qilish")</f>
        <v>0</v>
      </c>
      <c r="Q51" s="11">
        <f>+COUNTIFS('muddati otgan'!C:C,A51,'muddati otgan'!J:J,"Migratisya qilingan obyekt holatini tekshirish")</f>
        <v>0</v>
      </c>
      <c r="R51" s="11">
        <f>+COUNTIFS('muddati otgan'!C:C,A51,'muddati otgan'!J:J,"Ko‘chmas mulkni tanlash")</f>
        <v>0</v>
      </c>
      <c r="S51" s="11">
        <f>+COUNTIFS('muddati otgan'!C:C,A51,'muddati otgan'!J:J,"Arizani ko'rib chiqish")</f>
        <v>0</v>
      </c>
      <c r="T51" s="11">
        <f>+COUNTIFS('muddati otgan'!C:C,A51,'muddati otgan'!J:J,"Kadastr muhandisini tanlash")</f>
        <v>0</v>
      </c>
      <c r="U51" s="11">
        <f>+COUNTIFS('muddati otgan'!C:C,A51,'muddati otgan'!J:J,"Ko'chmas mulk turini tanlahsh")</f>
        <v>0</v>
      </c>
      <c r="V51" s="11">
        <f>+COUNTIFS('muddati otgan'!C:C,A51,'muddati otgan'!AA:AA,"Rad qilish")</f>
        <v>0</v>
      </c>
      <c r="W51" s="11">
        <f>+COUNTIFS('muddati otgan'!C:C,A51,'muddati otgan'!J:J,"ijrochi tanlash")</f>
        <v>0</v>
      </c>
      <c r="X51" s="11">
        <f>+COUNTIFS('muddati otgan'!C:C,A51,'muddati otgan'!J:J,"Ko'chmas mulk turini tanlash")</f>
        <v>0</v>
      </c>
      <c r="Y51" s="11">
        <f t="shared" ref="Y51" si="68">Z51+AD51+AF51+AE51+AC51+AB51+AA51</f>
        <v>0</v>
      </c>
      <c r="Z51" s="11">
        <f>+COUNTIFS('muddati otgan'!C:C,A51,'muddati otgan'!J:J,"Ijroga qabul qilish")</f>
        <v>0</v>
      </c>
      <c r="AA51" s="11">
        <f>+COUNTIFS('muddati otgan'!C:C,A51,'muddati otgan'!J:J,"Joyida o'rganish va ma'lumotlarni kiritish")</f>
        <v>0</v>
      </c>
      <c r="AB51" s="11">
        <f>+COUNTIFS('muddati otgan'!C:C,A51,'muddati otgan'!J:J,"Asosiy qismdan ajratish jarayonida")</f>
        <v>0</v>
      </c>
      <c r="AC51" s="11">
        <f>+COUNTIFS('muddati otgan'!C:C,A51,'muddati otgan'!J:J,"Umumiy foydalanishdagi obyekt yaratilish")</f>
        <v>0</v>
      </c>
      <c r="AD51" s="11">
        <f>+COUNTIFS('muddati otgan'!C:C,A51,'muddati otgan'!J:J,"Migratsiya qilinadigan kadastr raqamini kiritish")</f>
        <v>0</v>
      </c>
      <c r="AE51" s="11">
        <f>+COUNTIFS('muddati otgan'!C:C,A51,'muddati otgan'!J:J,"O'zida qolgan obyektni yaratish")</f>
        <v>0</v>
      </c>
      <c r="AF51" s="11">
        <f>+COUNTIFS('muddati otgan'!C:C,A51,'muddati otgan'!J:J,"O'lchov natijalarini kiritish")</f>
        <v>0</v>
      </c>
      <c r="AG51" s="11">
        <f>+COUNTIFS('muddati otgan'!C:C,A51,'muddati otgan'!J:J,"Topoxaritani tayyorlash (dwg, pdf)")</f>
        <v>0</v>
      </c>
      <c r="AH51" s="11">
        <f t="shared" ref="AH51" si="69">AI51</f>
        <v>0</v>
      </c>
      <c r="AI51" s="11">
        <f>+COUNTIFS('muddati otgan'!C:C,A51,'muddati otgan'!J:J,"Yer uchastkasini yaratish")</f>
        <v>0</v>
      </c>
      <c r="AJ51" s="11">
        <f t="shared" ref="AJ51" si="70">AK51</f>
        <v>0</v>
      </c>
      <c r="AK51" s="11">
        <f>+COUNTIFS('muddati otgan'!C:C,A51,'muddati otgan'!J:J,"Kelishish (Boshqarma)")</f>
        <v>0</v>
      </c>
      <c r="AL51" s="11">
        <f t="shared" ref="AL51" si="71">AM51+AN51+AO51</f>
        <v>0</v>
      </c>
      <c r="AM51" s="11">
        <f>+COUNTIFS('muddati otgan'!C:C,A51,'muddati otgan'!J:J,"Kelishish (DKP)")</f>
        <v>0</v>
      </c>
      <c r="AN51" s="11">
        <f>+COUNTIFS('muddati otgan'!C:C,A51,'muddati otgan'!J:J,"Kelishish")</f>
        <v>0</v>
      </c>
      <c r="AO51" s="11">
        <f>+COUNTIFS('muddati otgan'!C:C,A51,'muddati otgan'!J:J,"Kelishish (Registratsiya DKP)")</f>
        <v>0</v>
      </c>
      <c r="AP51" s="11">
        <f t="shared" ref="AP51" si="72">AQ51+AR51+AS51+AT51</f>
        <v>0</v>
      </c>
      <c r="AQ51" s="11">
        <f>+COUNTIFS('muddati otgan'!C:C,A51,'muddati otgan'!J:J,"Manzil biriktirish")</f>
        <v>0</v>
      </c>
      <c r="AR51" s="11">
        <f>+COUNTIFS('muddati otgan'!C:C,A51,'muddati otgan'!J:J,"Bino va inshootlarni yaratish")</f>
        <v>0</v>
      </c>
      <c r="AS51" s="11">
        <f>+COUNTIFS('muddati otgan'!C:C,A51,'muddati otgan'!J:J,"Dov daraxtlarni yaratish")</f>
        <v>0</v>
      </c>
      <c r="AT51" s="11">
        <f>+COUNTIFS('muddati otgan'!C:C,A51,'muddati otgan'!J:J,"Yer uchastkasini tahrirlash")</f>
        <v>0</v>
      </c>
      <c r="AU51" s="11">
        <f t="shared" ref="AU51" si="73">AV51+AW51+AX51+AY51+AZ51</f>
        <v>0</v>
      </c>
      <c r="AV51" s="11">
        <f>+COUNTIFS('muddati otgan'!C:C,A51,'muddati otgan'!J:J,"Yer toifasi va maqsadini kiritish")</f>
        <v>0</v>
      </c>
      <c r="AW51" s="11">
        <f>+COUNTIFS('muddati otgan'!C:C,A51,'muddati otgan'!J:J,"Auksion yer tekshirish")</f>
        <v>0</v>
      </c>
      <c r="AX51" s="11">
        <f>+COUNTIFS('muddati otgan'!C:C,A51,'muddati otgan'!J:J,"Yer turlarini kiritish")</f>
        <v>0</v>
      </c>
      <c r="AY51" s="11">
        <f>+COUNTIFS('muddati otgan'!C:C,A51,'muddati otgan'!J:J,"Ma'lumotlarni kiritish")</f>
        <v>0</v>
      </c>
      <c r="AZ51" s="11">
        <f>+COUNTIFS('muddati otgan'!C:C,A51,'muddati otgan'!J:J,"Yer tekshirish")</f>
        <v>0</v>
      </c>
      <c r="BA51" s="11">
        <f t="shared" ref="BA51" si="74">BB51+BC51+BD51+BE51+BF51+BG51+BH51+BI51+BJ51+BK51</f>
        <v>0</v>
      </c>
      <c r="BB51" s="11">
        <f>+COUNTIFS('muddati otgan'!C:C,A51,'muddati otgan'!J:J,"Bino va inshoot ma'lumotlarini to‘ldirish")</f>
        <v>0</v>
      </c>
      <c r="BC51" s="11">
        <f>+COUNTIFS('muddati otgan'!C:C,A51,'muddati otgan'!J:J,"Inventarizatsiya ma'lumotlarini to‘ldirish")</f>
        <v>0</v>
      </c>
      <c r="BD51" s="11">
        <f>+COUNTIFS('muddati otgan'!C:C,A51,'muddati otgan'!J:J,"Yer uchastkasiga huquqiy hujjatlarni kiritsh")</f>
        <v>0</v>
      </c>
      <c r="BE51" s="11">
        <f>+COUNTIFS('muddati otgan'!C:C,A51,'muddati otgan'!J:J,"Bino-inshootlarga huquqiy hujjatlarni kiritsh")</f>
        <v>0</v>
      </c>
      <c r="BF51" s="11">
        <f>+COUNTIFS('muddati otgan'!C:C,A51,'muddati otgan'!J:J,"Kadastr qiymatini hisoblash va kiritish")</f>
        <v>0</v>
      </c>
      <c r="BG51" s="11">
        <f>+COUNTIFS('muddati otgan'!C:C,A51,'muddati otgan'!J:J,"Kadastr raqam biriktirish")</f>
        <v>0</v>
      </c>
      <c r="BH51" s="11">
        <f>+COUNTIFS('muddati otgan'!C:C,A51,'muddati otgan'!J:J,"Kadastr yig'ma jildni tayyorlash")</f>
        <v>0</v>
      </c>
      <c r="BI51" s="11">
        <f>+COUNTIFS('muddati otgan'!C:C,A51,'muddati otgan'!J:J,"Huquqni yaratish")</f>
        <v>0</v>
      </c>
      <c r="BJ51" s="11">
        <f>+COUNTIFS('muddati otgan'!C:C,A51,'muddati otgan'!J:J,"Hujjatlarni o'rganish")</f>
        <v>0</v>
      </c>
      <c r="BK51" s="11">
        <f>+COUNTIFS('muddati otgan'!C:C,A51,'muddati otgan'!J:J,"Ma'lumotlarni tekshirish")</f>
        <v>0</v>
      </c>
      <c r="BL51" s="11">
        <f t="shared" ref="BL51" si="75">BM51+BN51+BP51+BO51+BQ51</f>
        <v>1</v>
      </c>
      <c r="BM51" s="11">
        <f>+COUNTIFS('muddati otgan'!C:C,A51,'muddati otgan'!J:J,"Tekshirish")</f>
        <v>1</v>
      </c>
      <c r="BN51" s="11">
        <f>+COUNTIFS('muddati otgan'!C:C,A51,'muddati otgan'!J:J,"Hujjatlarni tekshirish")</f>
        <v>0</v>
      </c>
      <c r="BO51" s="11">
        <f>+COUNTIFS('muddati otgan'!C:C,A51,'muddati otgan'!J:J,"Tasdiqlash")</f>
        <v>0</v>
      </c>
      <c r="BP51" s="11">
        <f>+COUNTIFS('muddati otgan'!C:C,A51,'muddati otgan'!J:J,"tekshirish/tasdiqlash")</f>
        <v>0</v>
      </c>
      <c r="BQ51" s="11">
        <f>+COUNTIFS('muddati otgan'!C:C,A51,'muddati otgan'!J:J,"Ma'lumotlarni tasdiqlash")</f>
        <v>0</v>
      </c>
      <c r="BR51" s="11">
        <f t="shared" ref="BR51" si="76">BS51+BU51+BV51+BW51+BX51+BY51-BT51</f>
        <v>0</v>
      </c>
      <c r="BS51" s="11">
        <f>+COUNTIFS('muddati otgan'!C:C,A51,'muddati otgan'!J:J,"Ro'yxatdan o'tkazish ma'lumotlarini tekshirish")</f>
        <v>0</v>
      </c>
      <c r="BT51" s="11">
        <f>+COUNTIFS('muddati otgan'!C:C,A51,'muddati otgan'!J:J,"Kamchiliklar bo'yicha habarnoma yuborish va 3 kunga to'xtatish")</f>
        <v>0</v>
      </c>
      <c r="BU51" s="11">
        <f>+COUNTIFS('muddati otgan'!C:C,A51,'muddati otgan'!J:J,"Hisobga olish")</f>
        <v>0</v>
      </c>
      <c r="BV51" s="11">
        <f>+COUNTIFS('muddati otgan'!C:C,A51,'muddati otgan'!J:J,"Yer uchastkasiga huquq yaratish")</f>
        <v>0</v>
      </c>
      <c r="BW51" s="11">
        <f>+COUNTIFS('muddati otgan'!C:C,A51,'muddati otgan'!J:J,"Bino-inshootga huquq yaratish")</f>
        <v>0</v>
      </c>
      <c r="BX51" s="11">
        <f>+COUNTIFS('muddati otgan'!C:C,A51,'muddati otgan'!J:J,"Cheklov yaratish")</f>
        <v>0</v>
      </c>
      <c r="BY51" s="11">
        <f>+COUNTIFS('muddati otgan'!C:C,A51,'muddati otgan'!J:J,"Taqiq yaratish")</f>
        <v>0</v>
      </c>
      <c r="BZ51" s="11">
        <f t="shared" ref="BZ51" si="77">CA51</f>
        <v>0</v>
      </c>
      <c r="CA51" s="11">
        <f>+COUNTIFS('muddati otgan'!C:C,A51,'muddati otgan'!J:J,"Soliq maydonini tekshirish")</f>
        <v>0</v>
      </c>
      <c r="CB51" s="11">
        <f t="shared" ref="CB51" si="78">CC51</f>
        <v>0</v>
      </c>
      <c r="CC51" s="11">
        <f>+COUNTIFS('muddati otgan'!C:C,A51,'muddati otgan'!J:J,"Kadastr yig'majildini shakllantirish")</f>
        <v>0</v>
      </c>
      <c r="CD51" s="11">
        <f t="shared" ref="CD51" si="79">CE51+CF51+CG51+CI51+CJ51+CH51</f>
        <v>0</v>
      </c>
      <c r="CE51" s="11">
        <f>+COUNTIFS('muddati otgan'!C:C,A51,'muddati otgan'!J:J,"Kadastr passportini shakllantirish")</f>
        <v>0</v>
      </c>
      <c r="CF51" s="11">
        <f>+COUNTIFS('muddati otgan'!C:C,A51,'muddati otgan'!J:J,"Yig'ma jildni tasdiqlash")</f>
        <v>0</v>
      </c>
      <c r="CG51" s="11">
        <f>+COUNTIFS('muddati otgan'!C:C,A51,'muddati otgan'!J:J,"To'lov yoki bepul tasdiqlash")</f>
        <v>0</v>
      </c>
      <c r="CH51" s="11">
        <f>+COUNTIFS('muddati otgan'!C:C,A51,'muddati otgan'!J:J,"Bog'liq arizani kutish")</f>
        <v>0</v>
      </c>
      <c r="CI51" s="11">
        <f>+COUNTIFS('muddati otgan'!C:C,A51,'muddati otgan'!J:J,"To'lovga chiqarish")</f>
        <v>0</v>
      </c>
      <c r="CJ51" s="11">
        <f>+COUNTIFS('muddati otgan'!C:C,A51,'muddati otgan'!J:J,"Hisobga qo'yish")</f>
        <v>0</v>
      </c>
      <c r="CK51" s="6">
        <f>+COUNTIFS('muddati otgan'!C:C,A51,'muddati otgan'!J:J,"To'lov kutilmoqda")</f>
        <v>0</v>
      </c>
      <c r="CL51" s="11">
        <f t="shared" ref="CL51" si="80">CM51+CN51+CO51+CP51+CQ51+CR51+CS51+CT51</f>
        <v>0</v>
      </c>
      <c r="CM51" s="11">
        <f>+COUNTIFS('muddati otgan'!C:C,A51,'muddati otgan'!AA:AA,"Arizani qabul qilish2")</f>
        <v>0</v>
      </c>
      <c r="CN51" s="11">
        <f>+COUNTIFS('muddati otgan'!C:C,A51,'muddati otgan'!J:J,"Huquqlarni tekshirish")</f>
        <v>0</v>
      </c>
      <c r="CO51" s="11">
        <f>+COUNTIFS('muddati otgan'!C:C,A51,'muddati otgan'!J:J,"Ko'chmas mulkni ro'yhatdan o'tkazishga qabul qilish")</f>
        <v>0</v>
      </c>
      <c r="CP51" s="11">
        <f>+COUNTIFS('muddati otgan'!C:C,A51,'muddati otgan'!J:J,"Ro'yxatdan o'tkazish")</f>
        <v>0</v>
      </c>
      <c r="CQ51" s="11">
        <f>+COUNTIFS('muddati otgan'!C:C,A51,'muddati otgan'!J:J,"Kadastr pasporti va ko'chirmani yuborish")</f>
        <v>0</v>
      </c>
      <c r="CR51" s="11">
        <f>+COUNTIFS('muddati otgan'!C:C,A51,'muddati otgan'!AA:AA,"Rad qilish2")</f>
        <v>0</v>
      </c>
      <c r="CS51" s="11">
        <f>+COUNTIFS('muddati otgan'!C:C,A51,'muddati otgan'!J:J,"Ko'chirmani yuborish")</f>
        <v>0</v>
      </c>
      <c r="CT51" s="11">
        <f>+COUNTIFS('muddati otgan'!C:C,A51,'muddati otgan'!J:J,"Ma‘lumotlarni tekshirish")</f>
        <v>0</v>
      </c>
      <c r="CU51" s="11">
        <f t="shared" ref="CU51" si="81">CV51</f>
        <v>0</v>
      </c>
      <c r="CV51" s="11">
        <f>+COUNTIFS('muddati otgan'!C:C,A51,'muddati otgan'!J:J,"Kadastr yig'majildini chop etish va arxiv ishiga tikish")</f>
        <v>0</v>
      </c>
      <c r="CW51" s="11">
        <f t="shared" ref="CW51" si="82">CX51+CY51</f>
        <v>0</v>
      </c>
      <c r="CX51" s="11">
        <f>+COUNTIFS('muddati otgan'!C:C,A51,'muddati otgan'!J:J,"Kadastr yig‘majildini qabul qilish, arizani yakunlash")</f>
        <v>0</v>
      </c>
      <c r="CY51" s="11">
        <f>+COUNTIFS('muddati otgan'!C:C,A51,'muddati otgan'!J:J,"Next Cloudga yuklash")</f>
        <v>0</v>
      </c>
      <c r="CZ51" s="6">
        <f>+COUNTIFS('muddati otgan'!C:C,A51,'muddati otgan'!J:J,"Kelishish kutilmoqda")</f>
        <v>0</v>
      </c>
      <c r="DA51" s="6">
        <f>+COUNTIFS('muddati otgan'!C:C,A51,'muddati otgan'!J:J,"Yakunlandi")</f>
        <v>0</v>
      </c>
      <c r="DB51" s="10">
        <f>+COUNTIFS('muddati otgan'!C:C,A51,'muddati otgan'!J:J,"Rad etildi")</f>
        <v>0</v>
      </c>
      <c r="DC51" s="100">
        <f t="shared" ref="DC51" si="83">CK51+CZ51+DA51+DB51-D51</f>
        <v>-1</v>
      </c>
      <c r="DD51" s="44">
        <f>COUNTIFS('jami 1-20 kunlik arizalar'!C:C,A:A,'jami 1-20 kunlik arizalar'!S:S,"1")</f>
        <v>0</v>
      </c>
      <c r="DE51" s="11">
        <f>COUNTIFS('jami 1-20 kunlik arizalar'!C:C,A:A,'jami 1-20 kunlik arizalar'!S:S,"2")</f>
        <v>0</v>
      </c>
      <c r="DF51" s="11">
        <f>COUNTIFS('jami 1-20 kunlik arizalar'!C:C,A:A,'jami 1-20 kunlik arizalar'!S:S,"3")</f>
        <v>2</v>
      </c>
      <c r="DG51" s="11">
        <f>COUNTIFS('jami 1-20 kunlik arizalar'!C:C,A:A,'jami 1-20 kunlik arizalar'!S:S,"4")</f>
        <v>1</v>
      </c>
      <c r="DH51" s="11">
        <f>COUNTIFS('jami 1-20 kunlik arizalar'!C:C,A:A,'jami 1-20 kunlik arizalar'!S:S,"5")</f>
        <v>1</v>
      </c>
      <c r="DI51" s="11">
        <f>SUM(COUNTIFS('jami 1-20 kunlik arizalar'!C:C,A:A, 'jami 1-20 kunlik arizalar'!S:S, {6,7,8,9,10}))</f>
        <v>3</v>
      </c>
      <c r="DJ51" s="12">
        <f>SUM(COUNTIFS('jami 1-20 kunlik arizalar'!C:C,A:A, 'jami 1-20 kunlik arizalar'!S:S, "&gt;10"))</f>
        <v>5</v>
      </c>
    </row>
    <row r="52" spans="1:115" ht="33" hidden="1" customHeight="1" outlineLevel="1" x14ac:dyDescent="0.25">
      <c r="A52" s="92" t="s">
        <v>459</v>
      </c>
      <c r="B52" s="106" t="s">
        <v>959</v>
      </c>
      <c r="C52" s="85" t="s">
        <v>778</v>
      </c>
      <c r="D52" s="80">
        <f>+COUNTIFS('muddati otgan'!C:C,A52,'muddati otgan'!C:C,A52)</f>
        <v>0</v>
      </c>
      <c r="E52" s="10">
        <f>SUMIFS('muddati otgan'!$V:V,'muddati otgan'!$C:C,$A:A)</f>
        <v>0</v>
      </c>
      <c r="F52" s="10">
        <f>SUMIFS('muddati otgan'!$W:W,'muddati otgan'!$C:C,$A:A)</f>
        <v>0</v>
      </c>
      <c r="G52" s="24">
        <f>SUMIFS('muddati otgan'!$U:U,'muddati otgan'!$C:C,$A:A)</f>
        <v>0</v>
      </c>
      <c r="H52" s="11">
        <f>SUMIFS('muddati otgan'!$G:G,'muddati otgan'!$C:C,$A:A)</f>
        <v>0</v>
      </c>
      <c r="I52" s="12">
        <f>SUMIFS('muddati otgan'!$H:H,'muddati otgan'!$C:C,$A:A)</f>
        <v>0</v>
      </c>
      <c r="J52" s="44">
        <f t="shared" si="58"/>
        <v>0</v>
      </c>
      <c r="K52" s="11">
        <f>+COUNTIFS('muddati otgan'!C:C,A52,'muddati otgan'!AA:AA,"Arizani qabul qilish")</f>
        <v>0</v>
      </c>
      <c r="L52" s="11">
        <f>+COUNTIFS('muddati otgan'!C:C,A52,'muddati otgan'!J:J,"Arizani rad etish")</f>
        <v>0</v>
      </c>
      <c r="M52" s="11">
        <f>+COUNTIFS('muddati otgan'!C:C,A52,'muddati otgan'!J:J,"Arizani tasdiqlash")</f>
        <v>0</v>
      </c>
      <c r="N52" s="11">
        <f>+COUNTIFS('muddati otgan'!C:C,A52,'muddati otgan'!J:J,"Arizani yo'naltirish")</f>
        <v>0</v>
      </c>
      <c r="O52" s="11">
        <f>+COUNTIFS('muddati otgan'!C:C,A52,'muddati otgan'!J:J,"Rad qilish sababini o'rganish")</f>
        <v>0</v>
      </c>
      <c r="P52" s="11">
        <f>+COUNTIFS('muddati otgan'!C:C,A52,'muddati otgan'!J:J,"Ko'chmas mulkni UZKAD ga migratsiya qilish")</f>
        <v>0</v>
      </c>
      <c r="Q52" s="11">
        <f>+COUNTIFS('muddati otgan'!C:C,A52,'muddati otgan'!J:J,"Migratisya qilingan obyekt holatini tekshirish")</f>
        <v>0</v>
      </c>
      <c r="R52" s="11">
        <f>+COUNTIFS('muddati otgan'!C:C,A52,'muddati otgan'!J:J,"Ko‘chmas mulkni tanlash")</f>
        <v>0</v>
      </c>
      <c r="S52" s="11">
        <f>+COUNTIFS('muddati otgan'!C:C,A52,'muddati otgan'!J:J,"Arizani ko'rib chiqish")</f>
        <v>0</v>
      </c>
      <c r="T52" s="11">
        <f>+COUNTIFS('muddati otgan'!C:C,A52,'muddati otgan'!J:J,"Kadastr muhandisini tanlash")</f>
        <v>0</v>
      </c>
      <c r="U52" s="11">
        <f>+COUNTIFS('muddati otgan'!C:C,A52,'muddati otgan'!J:J,"Ko'chmas mulk turini tanlahsh")</f>
        <v>0</v>
      </c>
      <c r="V52" s="11">
        <f>+COUNTIFS('muddati otgan'!C:C,A52,'muddati otgan'!AA:AA,"Rad qilish")</f>
        <v>0</v>
      </c>
      <c r="W52" s="11">
        <f>+COUNTIFS('muddati otgan'!C:C,A52,'muddati otgan'!J:J,"ijrochi tanlash")</f>
        <v>0</v>
      </c>
      <c r="X52" s="11">
        <f>+COUNTIFS('muddati otgan'!C:C,A52,'muddati otgan'!J:J,"Ko'chmas mulk turini tanlash")</f>
        <v>0</v>
      </c>
      <c r="Y52" s="11">
        <f t="shared" si="59"/>
        <v>0</v>
      </c>
      <c r="Z52" s="11">
        <f>+COUNTIFS('muddati otgan'!C:C,A52,'muddati otgan'!J:J,"Ijroga qabul qilish")</f>
        <v>0</v>
      </c>
      <c r="AA52" s="11">
        <f>+COUNTIFS('muddati otgan'!C:C,A52,'muddati otgan'!J:J,"Joyida o'rganish va ma'lumotlarni kiritish")</f>
        <v>0</v>
      </c>
      <c r="AB52" s="11">
        <f>+COUNTIFS('muddati otgan'!C:C,A52,'muddati otgan'!J:J,"Asosiy qismdan ajratish jarayonida")</f>
        <v>0</v>
      </c>
      <c r="AC52" s="11">
        <f>+COUNTIFS('muddati otgan'!C:C,A52,'muddati otgan'!J:J,"Umumiy foydalanishdagi obyekt yaratilish")</f>
        <v>0</v>
      </c>
      <c r="AD52" s="11">
        <f>+COUNTIFS('muddati otgan'!C:C,A52,'muddati otgan'!J:J,"Migratsiya qilinadigan kadastr raqamini kiritish")</f>
        <v>0</v>
      </c>
      <c r="AE52" s="11">
        <f>+COUNTIFS('muddati otgan'!C:C,A52,'muddati otgan'!J:J,"O'zida qolgan obyektni yaratish")</f>
        <v>0</v>
      </c>
      <c r="AF52" s="11">
        <f>+COUNTIFS('muddati otgan'!C:C,A52,'muddati otgan'!J:J,"O'lchov natijalarini kiritish")</f>
        <v>0</v>
      </c>
      <c r="AG52" s="11">
        <f>+COUNTIFS('muddati otgan'!C:C,A52,'muddati otgan'!J:J,"Topoxaritani tayyorlash (dwg, pdf)")</f>
        <v>0</v>
      </c>
      <c r="AH52" s="11">
        <f t="shared" si="60"/>
        <v>0</v>
      </c>
      <c r="AI52" s="11">
        <f>+COUNTIFS('muddati otgan'!C:C,A52,'muddati otgan'!J:J,"Yer uchastkasini yaratish")</f>
        <v>0</v>
      </c>
      <c r="AJ52" s="11">
        <f t="shared" si="61"/>
        <v>0</v>
      </c>
      <c r="AK52" s="11">
        <f>+COUNTIFS('muddati otgan'!C:C,A52,'muddati otgan'!J:J,"Kelishish (Boshqarma)")</f>
        <v>0</v>
      </c>
      <c r="AL52" s="11">
        <f t="shared" si="62"/>
        <v>0</v>
      </c>
      <c r="AM52" s="11">
        <f>+COUNTIFS('muddati otgan'!C:C,A52,'muddati otgan'!J:J,"Kelishish (DKP)")</f>
        <v>0</v>
      </c>
      <c r="AN52" s="11">
        <f>+COUNTIFS('muddati otgan'!C:C,A52,'muddati otgan'!J:J,"Kelishish")</f>
        <v>0</v>
      </c>
      <c r="AO52" s="11">
        <f>+COUNTIFS('muddati otgan'!C:C,A52,'muddati otgan'!J:J,"Kelishish (Registratsiya DKP)")</f>
        <v>0</v>
      </c>
      <c r="AP52" s="11">
        <f t="shared" si="63"/>
        <v>0</v>
      </c>
      <c r="AQ52" s="11">
        <f>+COUNTIFS('muddati otgan'!C:C,A52,'muddati otgan'!J:J,"Manzil biriktirish")</f>
        <v>0</v>
      </c>
      <c r="AR52" s="11">
        <f>+COUNTIFS('muddati otgan'!C:C,A52,'muddati otgan'!J:J,"Bino va inshootlarni yaratish")</f>
        <v>0</v>
      </c>
      <c r="AS52" s="11">
        <f>+COUNTIFS('muddati otgan'!C:C,A52,'muddati otgan'!J:J,"Dov daraxtlarni yaratish")</f>
        <v>0</v>
      </c>
      <c r="AT52" s="11">
        <f>+COUNTIFS('muddati otgan'!C:C,A52,'muddati otgan'!J:J,"Yer uchastkasini tahrirlash")</f>
        <v>0</v>
      </c>
      <c r="AU52" s="11">
        <f t="shared" si="64"/>
        <v>0</v>
      </c>
      <c r="AV52" s="11">
        <f>+COUNTIFS('muddati otgan'!C:C,A52,'muddati otgan'!J:J,"Yer toifasi va maqsadini kiritish")</f>
        <v>0</v>
      </c>
      <c r="AW52" s="11">
        <f>+COUNTIFS('muddati otgan'!C:C,A52,'muddati otgan'!J:J,"Auksion yer tekshirish")</f>
        <v>0</v>
      </c>
      <c r="AX52" s="11">
        <f>+COUNTIFS('muddati otgan'!C:C,A52,'muddati otgan'!J:J,"Yer turlarini kiritish")</f>
        <v>0</v>
      </c>
      <c r="AY52" s="11">
        <f>+COUNTIFS('muddati otgan'!C:C,A52,'muddati otgan'!J:J,"Ma'lumotlarni kiritish")</f>
        <v>0</v>
      </c>
      <c r="AZ52" s="11">
        <f>+COUNTIFS('muddati otgan'!C:C,A52,'muddati otgan'!J:J,"Yer tekshirish")</f>
        <v>0</v>
      </c>
      <c r="BA52" s="11">
        <f t="shared" si="65"/>
        <v>0</v>
      </c>
      <c r="BB52" s="11">
        <f>+COUNTIFS('muddati otgan'!C:C,A52,'muddati otgan'!J:J,"Bino va inshoot ma'lumotlarini to‘ldirish")</f>
        <v>0</v>
      </c>
      <c r="BC52" s="11">
        <f>+COUNTIFS('muddati otgan'!C:C,A52,'muddati otgan'!J:J,"Inventarizatsiya ma'lumotlarini to‘ldirish")</f>
        <v>0</v>
      </c>
      <c r="BD52" s="11">
        <f>+COUNTIFS('muddati otgan'!C:C,A52,'muddati otgan'!J:J,"Yer uchastkasiga huquqiy hujjatlarni kiritsh")</f>
        <v>0</v>
      </c>
      <c r="BE52" s="11">
        <f>+COUNTIFS('muddati otgan'!C:C,A52,'muddati otgan'!J:J,"Bino-inshootlarga huquqiy hujjatlarni kiritsh")</f>
        <v>0</v>
      </c>
      <c r="BF52" s="11">
        <f>+COUNTIFS('muddati otgan'!C:C,A52,'muddati otgan'!J:J,"Kadastr qiymatini hisoblash va kiritish")</f>
        <v>0</v>
      </c>
      <c r="BG52" s="11">
        <f>+COUNTIFS('muddati otgan'!C:C,A52,'muddati otgan'!J:J,"Kadastr raqam biriktirish")</f>
        <v>0</v>
      </c>
      <c r="BH52" s="11">
        <f>+COUNTIFS('muddati otgan'!C:C,A52,'muddati otgan'!J:J,"Kadastr yig'ma jildni tayyorlash")</f>
        <v>0</v>
      </c>
      <c r="BI52" s="11">
        <f>+COUNTIFS('muddati otgan'!C:C,A52,'muddati otgan'!J:J,"Huquqni yaratish")</f>
        <v>0</v>
      </c>
      <c r="BJ52" s="11">
        <f>+COUNTIFS('muddati otgan'!C:C,A52,'muddati otgan'!J:J,"Hujjatlarni o'rganish")</f>
        <v>0</v>
      </c>
      <c r="BK52" s="11">
        <f>+COUNTIFS('muddati otgan'!C:C,A52,'muddati otgan'!J:J,"Ma'lumotlarni tekshirish")</f>
        <v>0</v>
      </c>
      <c r="BL52" s="11">
        <f t="shared" si="66"/>
        <v>0</v>
      </c>
      <c r="BM52" s="11">
        <f>+COUNTIFS('muddati otgan'!C:C,A52,'muddati otgan'!J:J,"Tekshirish")</f>
        <v>0</v>
      </c>
      <c r="BN52" s="11">
        <f>+COUNTIFS('muddati otgan'!C:C,A52,'muddati otgan'!J:J,"Hujjatlarni tekshirish")</f>
        <v>0</v>
      </c>
      <c r="BO52" s="11">
        <f>+COUNTIFS('muddati otgan'!C:C,A52,'muddati otgan'!J:J,"Tasdiqlash")</f>
        <v>0</v>
      </c>
      <c r="BP52" s="11">
        <f>+COUNTIFS('muddati otgan'!C:C,A52,'muddati otgan'!J:J,"tekshirish/tasdiqlash")</f>
        <v>0</v>
      </c>
      <c r="BQ52" s="11">
        <f>+COUNTIFS('muddati otgan'!C:C,A52,'muddati otgan'!J:J,"Ma'lumotlarni tasdiqlash")</f>
        <v>0</v>
      </c>
      <c r="BR52" s="11">
        <f t="shared" si="32"/>
        <v>0</v>
      </c>
      <c r="BS52" s="11">
        <f>+COUNTIFS('muddati otgan'!C:C,A52,'muddati otgan'!J:J,"Ro'yxatdan o'tkazish ma'lumotlarini tekshirish")</f>
        <v>0</v>
      </c>
      <c r="BT52" s="11">
        <f>+COUNTIFS('muddati otgan'!C:C,A52,'muddati otgan'!J:J,"Kamchiliklar bo'yicha habarnoma yuborish va 3 kunga to'xtatish")</f>
        <v>0</v>
      </c>
      <c r="BU52" s="11">
        <f>+COUNTIFS('muddati otgan'!C:C,A52,'muddati otgan'!J:J,"Hisobga olish")</f>
        <v>0</v>
      </c>
      <c r="BV52" s="11">
        <f>+COUNTIFS('muddati otgan'!C:C,A52,'muddati otgan'!J:J,"Yer uchastkasiga huquq yaratish")</f>
        <v>0</v>
      </c>
      <c r="BW52" s="11">
        <f>+COUNTIFS('muddati otgan'!C:C,A52,'muddati otgan'!J:J,"Bino-inshootga huquq yaratish")</f>
        <v>0</v>
      </c>
      <c r="BX52" s="11">
        <f>+COUNTIFS('muddati otgan'!C:C,A52,'muddati otgan'!J:J,"Cheklov yaratish")</f>
        <v>0</v>
      </c>
      <c r="BY52" s="11">
        <f>+COUNTIFS('muddati otgan'!C:C,A52,'muddati otgan'!J:J,"Taqiq yaratish")</f>
        <v>0</v>
      </c>
      <c r="BZ52" s="11">
        <f t="shared" si="33"/>
        <v>0</v>
      </c>
      <c r="CA52" s="11">
        <f>+COUNTIFS('muddati otgan'!C:C,A52,'muddati otgan'!J:J,"Soliq maydonini tekshirish")</f>
        <v>0</v>
      </c>
      <c r="CB52" s="11">
        <f t="shared" si="34"/>
        <v>0</v>
      </c>
      <c r="CC52" s="11">
        <f>+COUNTIFS('muddati otgan'!C:C,A52,'muddati otgan'!J:J,"Kadastr yig'majildini shakllantirish")</f>
        <v>0</v>
      </c>
      <c r="CD52" s="11">
        <f t="shared" si="35"/>
        <v>0</v>
      </c>
      <c r="CE52" s="11">
        <f>+COUNTIFS('muddati otgan'!C:C,A52,'muddati otgan'!J:J,"Kadastr passportini shakllantirish")</f>
        <v>0</v>
      </c>
      <c r="CF52" s="11">
        <f>+COUNTIFS('muddati otgan'!C:C,A52,'muddati otgan'!J:J,"Yig'ma jildni tasdiqlash")</f>
        <v>0</v>
      </c>
      <c r="CG52" s="11">
        <f>+COUNTIFS('muddati otgan'!C:C,A52,'muddati otgan'!J:J,"To'lov yoki bepul tasdiqlash")</f>
        <v>0</v>
      </c>
      <c r="CH52" s="11">
        <f>+COUNTIFS('muddati otgan'!C:C,A52,'muddati otgan'!J:J,"Bog'liq arizani kutish")</f>
        <v>0</v>
      </c>
      <c r="CI52" s="11">
        <f>+COUNTIFS('muddati otgan'!C:C,A52,'muddati otgan'!J:J,"To'lovga chiqarish")</f>
        <v>0</v>
      </c>
      <c r="CJ52" s="11">
        <f>+COUNTIFS('muddati otgan'!C:C,A52,'muddati otgan'!J:J,"Hisobga qo'yish")</f>
        <v>0</v>
      </c>
      <c r="CK52" s="6">
        <f>+COUNTIFS('muddati otgan'!C:C,A52,'muddati otgan'!J:J,"To'lov kutilmoqda")</f>
        <v>0</v>
      </c>
      <c r="CL52" s="11">
        <f t="shared" si="36"/>
        <v>0</v>
      </c>
      <c r="CM52" s="11">
        <f>+COUNTIFS('muddati otgan'!C:C,A52,'muddati otgan'!AA:AA,"Arizani qabul qilish2")</f>
        <v>0</v>
      </c>
      <c r="CN52" s="11">
        <f>+COUNTIFS('muddati otgan'!C:C,A52,'muddati otgan'!J:J,"Huquqlarni tekshirish")</f>
        <v>0</v>
      </c>
      <c r="CO52" s="11">
        <f>+COUNTIFS('muddati otgan'!C:C,A52,'muddati otgan'!J:J,"Ko'chmas mulkni ro'yhatdan o'tkazishga qabul qilish")</f>
        <v>0</v>
      </c>
      <c r="CP52" s="11">
        <f>+COUNTIFS('muddati otgan'!C:C,A52,'muddati otgan'!J:J,"Ro'yxatdan o'tkazish")</f>
        <v>0</v>
      </c>
      <c r="CQ52" s="11">
        <f>+COUNTIFS('muddati otgan'!C:C,A52,'muddati otgan'!J:J,"Kadastr pasporti va ko'chirmani yuborish")</f>
        <v>0</v>
      </c>
      <c r="CR52" s="11">
        <f>+COUNTIFS('muddati otgan'!C:C,A52,'muddati otgan'!AA:AA,"Rad qilish2")</f>
        <v>0</v>
      </c>
      <c r="CS52" s="11">
        <f>+COUNTIFS('muddati otgan'!C:C,A52,'muddati otgan'!J:J,"Ko'chirmani yuborish")</f>
        <v>0</v>
      </c>
      <c r="CT52" s="11">
        <f>+COUNTIFS('muddati otgan'!C:C,A52,'muddati otgan'!J:J,"Ma‘lumotlarni tekshirish")</f>
        <v>0</v>
      </c>
      <c r="CU52" s="11">
        <f t="shared" si="37"/>
        <v>0</v>
      </c>
      <c r="CV52" s="11">
        <f>+COUNTIFS('muddati otgan'!C:C,A52,'muddati otgan'!J:J,"Kadastr yig'majildini chop etish va arxiv ishiga tikish")</f>
        <v>0</v>
      </c>
      <c r="CW52" s="11">
        <f t="shared" si="38"/>
        <v>0</v>
      </c>
      <c r="CX52" s="11">
        <f>+COUNTIFS('muddati otgan'!C:C,A52,'muddati otgan'!J:J,"Kadastr yig‘majildini qabul qilish, arizani yakunlash")</f>
        <v>0</v>
      </c>
      <c r="CY52" s="11">
        <f>+COUNTIFS('muddati otgan'!C:C,A52,'muddati otgan'!J:J,"Next Cloudga yuklash")</f>
        <v>0</v>
      </c>
      <c r="CZ52" s="6">
        <f>+COUNTIFS('muddati otgan'!C:C,A52,'muddati otgan'!J:J,"Kelishish kutilmoqda")</f>
        <v>0</v>
      </c>
      <c r="DA52" s="6">
        <f>+COUNTIFS('muddati otgan'!C:C,A52,'muddati otgan'!J:J,"Yakunlandi")</f>
        <v>0</v>
      </c>
      <c r="DB52" s="10">
        <f>+COUNTIFS('muddati otgan'!C:C,A52,'muddati otgan'!J:J,"Rad etildi")</f>
        <v>0</v>
      </c>
      <c r="DC52" s="100">
        <f t="shared" si="5"/>
        <v>0</v>
      </c>
      <c r="DD52" s="44">
        <f>COUNTIFS('jami 1-20 kunlik arizalar'!C:C,A:A,'jami 1-20 kunlik arizalar'!S:S,"1")</f>
        <v>0</v>
      </c>
      <c r="DE52" s="11">
        <f>COUNTIFS('jami 1-20 kunlik arizalar'!C:C,A:A,'jami 1-20 kunlik arizalar'!S:S,"2")</f>
        <v>0</v>
      </c>
      <c r="DF52" s="11">
        <f>COUNTIFS('jami 1-20 kunlik arizalar'!C:C,A:A,'jami 1-20 kunlik arizalar'!S:S,"3")</f>
        <v>0</v>
      </c>
      <c r="DG52" s="11">
        <f>COUNTIFS('jami 1-20 kunlik arizalar'!C:C,A:A,'jami 1-20 kunlik arizalar'!S:S,"4")</f>
        <v>2</v>
      </c>
      <c r="DH52" s="11">
        <f>COUNTIFS('jami 1-20 kunlik arizalar'!C:C,A:A,'jami 1-20 kunlik arizalar'!S:S,"5")</f>
        <v>3</v>
      </c>
      <c r="DI52" s="11">
        <f>SUM(COUNTIFS('jami 1-20 kunlik arizalar'!C:C,A:A, 'jami 1-20 kunlik arizalar'!S:S, {6,7,8,9,10}))</f>
        <v>2</v>
      </c>
      <c r="DJ52" s="12">
        <f>SUM(COUNTIFS('jami 1-20 kunlik arizalar'!C:C,A:A, 'jami 1-20 kunlik arizalar'!S:S, "&gt;10"))</f>
        <v>3</v>
      </c>
    </row>
    <row r="53" spans="1:115" ht="33" hidden="1" customHeight="1" outlineLevel="1" x14ac:dyDescent="0.25">
      <c r="A53" s="92" t="s">
        <v>472</v>
      </c>
      <c r="B53" s="106" t="s">
        <v>959</v>
      </c>
      <c r="C53" s="85" t="s">
        <v>779</v>
      </c>
      <c r="D53" s="80">
        <f>+COUNTIFS('muddati otgan'!C:C,A53,'muddati otgan'!C:C,A53)</f>
        <v>0</v>
      </c>
      <c r="E53" s="10">
        <f>SUMIFS('muddati otgan'!$V:V,'muddati otgan'!$C:C,$A:A)</f>
        <v>0</v>
      </c>
      <c r="F53" s="10">
        <f>SUMIFS('muddati otgan'!$W:W,'muddati otgan'!$C:C,$A:A)</f>
        <v>0</v>
      </c>
      <c r="G53" s="24">
        <f>SUMIFS('muddati otgan'!$U:U,'muddati otgan'!$C:C,$A:A)</f>
        <v>0</v>
      </c>
      <c r="H53" s="11">
        <f>SUMIFS('muddati otgan'!$G:G,'muddati otgan'!$C:C,$A:A)</f>
        <v>0</v>
      </c>
      <c r="I53" s="12">
        <f>SUMIFS('muddati otgan'!$H:H,'muddati otgan'!$C:C,$A:A)</f>
        <v>0</v>
      </c>
      <c r="J53" s="44">
        <f t="shared" si="58"/>
        <v>0</v>
      </c>
      <c r="K53" s="11">
        <f>+COUNTIFS('muddati otgan'!C:C,A53,'muddati otgan'!AA:AA,"Arizani qabul qilish")</f>
        <v>0</v>
      </c>
      <c r="L53" s="11">
        <f>+COUNTIFS('muddati otgan'!C:C,A53,'muddati otgan'!J:J,"Arizani rad etish")</f>
        <v>0</v>
      </c>
      <c r="M53" s="11">
        <f>+COUNTIFS('muddati otgan'!C:C,A53,'muddati otgan'!J:J,"Arizani tasdiqlash")</f>
        <v>0</v>
      </c>
      <c r="N53" s="11">
        <f>+COUNTIFS('muddati otgan'!C:C,A53,'muddati otgan'!J:J,"Arizani yo'naltirish")</f>
        <v>0</v>
      </c>
      <c r="O53" s="11">
        <f>+COUNTIFS('muddati otgan'!C:C,A53,'muddati otgan'!J:J,"Rad qilish sababini o'rganish")</f>
        <v>0</v>
      </c>
      <c r="P53" s="11">
        <f>+COUNTIFS('muddati otgan'!C:C,A53,'muddati otgan'!J:J,"Ko'chmas mulkni UZKAD ga migratsiya qilish")</f>
        <v>0</v>
      </c>
      <c r="Q53" s="11">
        <f>+COUNTIFS('muddati otgan'!C:C,A53,'muddati otgan'!J:J,"Migratisya qilingan obyekt holatini tekshirish")</f>
        <v>0</v>
      </c>
      <c r="R53" s="11">
        <f>+COUNTIFS('muddati otgan'!C:C,A53,'muddati otgan'!J:J,"Ko‘chmas mulkni tanlash")</f>
        <v>0</v>
      </c>
      <c r="S53" s="11">
        <f>+COUNTIFS('muddati otgan'!C:C,A53,'muddati otgan'!J:J,"Arizani ko'rib chiqish")</f>
        <v>0</v>
      </c>
      <c r="T53" s="11">
        <f>+COUNTIFS('muddati otgan'!C:C,A53,'muddati otgan'!J:J,"Kadastr muhandisini tanlash")</f>
        <v>0</v>
      </c>
      <c r="U53" s="11">
        <f>+COUNTIFS('muddati otgan'!C:C,A53,'muddati otgan'!J:J,"Ko'chmas mulk turini tanlahsh")</f>
        <v>0</v>
      </c>
      <c r="V53" s="11">
        <f>+COUNTIFS('muddati otgan'!C:C,A53,'muddati otgan'!AA:AA,"Rad qilish")</f>
        <v>0</v>
      </c>
      <c r="W53" s="11">
        <f>+COUNTIFS('muddati otgan'!C:C,A53,'muddati otgan'!J:J,"ijrochi tanlash")</f>
        <v>0</v>
      </c>
      <c r="X53" s="11">
        <f>+COUNTIFS('muddati otgan'!C:C,A53,'muddati otgan'!J:J,"Ko'chmas mulk turini tanlash")</f>
        <v>0</v>
      </c>
      <c r="Y53" s="11">
        <f t="shared" si="59"/>
        <v>0</v>
      </c>
      <c r="Z53" s="11">
        <f>+COUNTIFS('muddati otgan'!C:C,A53,'muddati otgan'!J:J,"Ijroga qabul qilish")</f>
        <v>0</v>
      </c>
      <c r="AA53" s="11">
        <f>+COUNTIFS('muddati otgan'!C:C,A53,'muddati otgan'!J:J,"Joyida o'rganish va ma'lumotlarni kiritish")</f>
        <v>0</v>
      </c>
      <c r="AB53" s="11">
        <f>+COUNTIFS('muddati otgan'!C:C,A53,'muddati otgan'!J:J,"Asosiy qismdan ajratish jarayonida")</f>
        <v>0</v>
      </c>
      <c r="AC53" s="11">
        <f>+COUNTIFS('muddati otgan'!C:C,A53,'muddati otgan'!J:J,"Umumiy foydalanishdagi obyekt yaratilish")</f>
        <v>0</v>
      </c>
      <c r="AD53" s="11">
        <f>+COUNTIFS('muddati otgan'!C:C,A53,'muddati otgan'!J:J,"Migratsiya qilinadigan kadastr raqamini kiritish")</f>
        <v>0</v>
      </c>
      <c r="AE53" s="11">
        <f>+COUNTIFS('muddati otgan'!C:C,A53,'muddati otgan'!J:J,"O'zida qolgan obyektni yaratish")</f>
        <v>0</v>
      </c>
      <c r="AF53" s="11">
        <f>+COUNTIFS('muddati otgan'!C:C,A53,'muddati otgan'!J:J,"O'lchov natijalarini kiritish")</f>
        <v>0</v>
      </c>
      <c r="AG53" s="11">
        <f>+COUNTIFS('muddati otgan'!C:C,A53,'muddati otgan'!J:J,"Topoxaritani tayyorlash (dwg, pdf)")</f>
        <v>0</v>
      </c>
      <c r="AH53" s="11">
        <f t="shared" si="60"/>
        <v>0</v>
      </c>
      <c r="AI53" s="11">
        <f>+COUNTIFS('muddati otgan'!C:C,A53,'muddati otgan'!J:J,"Yer uchastkasini yaratish")</f>
        <v>0</v>
      </c>
      <c r="AJ53" s="11">
        <f t="shared" si="61"/>
        <v>0</v>
      </c>
      <c r="AK53" s="11">
        <f>+COUNTIFS('muddati otgan'!C:C,A53,'muddati otgan'!J:J,"Kelishish (Boshqarma)")</f>
        <v>0</v>
      </c>
      <c r="AL53" s="11">
        <f t="shared" si="62"/>
        <v>0</v>
      </c>
      <c r="AM53" s="11">
        <f>+COUNTIFS('muddati otgan'!C:C,A53,'muddati otgan'!J:J,"Kelishish (DKP)")</f>
        <v>0</v>
      </c>
      <c r="AN53" s="11">
        <f>+COUNTIFS('muddati otgan'!C:C,A53,'muddati otgan'!J:J,"Kelishish")</f>
        <v>0</v>
      </c>
      <c r="AO53" s="11">
        <f>+COUNTIFS('muddati otgan'!C:C,A53,'muddati otgan'!J:J,"Kelishish (Registratsiya DKP)")</f>
        <v>0</v>
      </c>
      <c r="AP53" s="11">
        <f t="shared" si="63"/>
        <v>0</v>
      </c>
      <c r="AQ53" s="11">
        <f>+COUNTIFS('muddati otgan'!C:C,A53,'muddati otgan'!J:J,"Manzil biriktirish")</f>
        <v>0</v>
      </c>
      <c r="AR53" s="11">
        <f>+COUNTIFS('muddati otgan'!C:C,A53,'muddati otgan'!J:J,"Bino va inshootlarni yaratish")</f>
        <v>0</v>
      </c>
      <c r="AS53" s="11">
        <f>+COUNTIFS('muddati otgan'!C:C,A53,'muddati otgan'!J:J,"Dov daraxtlarni yaratish")</f>
        <v>0</v>
      </c>
      <c r="AT53" s="11">
        <f>+COUNTIFS('muddati otgan'!C:C,A53,'muddati otgan'!J:J,"Yer uchastkasini tahrirlash")</f>
        <v>0</v>
      </c>
      <c r="AU53" s="11">
        <f t="shared" si="64"/>
        <v>0</v>
      </c>
      <c r="AV53" s="11">
        <f>+COUNTIFS('muddati otgan'!C:C,A53,'muddati otgan'!J:J,"Yer toifasi va maqsadini kiritish")</f>
        <v>0</v>
      </c>
      <c r="AW53" s="11">
        <f>+COUNTIFS('muddati otgan'!C:C,A53,'muddati otgan'!J:J,"Auksion yer tekshirish")</f>
        <v>0</v>
      </c>
      <c r="AX53" s="11">
        <f>+COUNTIFS('muddati otgan'!C:C,A53,'muddati otgan'!J:J,"Yer turlarini kiritish")</f>
        <v>0</v>
      </c>
      <c r="AY53" s="11">
        <f>+COUNTIFS('muddati otgan'!C:C,A53,'muddati otgan'!J:J,"Ma'lumotlarni kiritish")</f>
        <v>0</v>
      </c>
      <c r="AZ53" s="11">
        <f>+COUNTIFS('muddati otgan'!C:C,A53,'muddati otgan'!J:J,"Yer tekshirish")</f>
        <v>0</v>
      </c>
      <c r="BA53" s="11">
        <f t="shared" si="65"/>
        <v>0</v>
      </c>
      <c r="BB53" s="11">
        <f>+COUNTIFS('muddati otgan'!C:C,A53,'muddati otgan'!J:J,"Bino va inshoot ma'lumotlarini to‘ldirish")</f>
        <v>0</v>
      </c>
      <c r="BC53" s="11">
        <f>+COUNTIFS('muddati otgan'!C:C,A53,'muddati otgan'!J:J,"Inventarizatsiya ma'lumotlarini to‘ldirish")</f>
        <v>0</v>
      </c>
      <c r="BD53" s="11">
        <f>+COUNTIFS('muddati otgan'!C:C,A53,'muddati otgan'!J:J,"Yer uchastkasiga huquqiy hujjatlarni kiritsh")</f>
        <v>0</v>
      </c>
      <c r="BE53" s="11">
        <f>+COUNTIFS('muddati otgan'!C:C,A53,'muddati otgan'!J:J,"Bino-inshootlarga huquqiy hujjatlarni kiritsh")</f>
        <v>0</v>
      </c>
      <c r="BF53" s="11">
        <f>+COUNTIFS('muddati otgan'!C:C,A53,'muddati otgan'!J:J,"Kadastr qiymatini hisoblash va kiritish")</f>
        <v>0</v>
      </c>
      <c r="BG53" s="11">
        <f>+COUNTIFS('muddati otgan'!C:C,A53,'muddati otgan'!J:J,"Kadastr raqam biriktirish")</f>
        <v>0</v>
      </c>
      <c r="BH53" s="11">
        <f>+COUNTIFS('muddati otgan'!C:C,A53,'muddati otgan'!J:J,"Kadastr yig'ma jildni tayyorlash")</f>
        <v>0</v>
      </c>
      <c r="BI53" s="11">
        <f>+COUNTIFS('muddati otgan'!C:C,A53,'muddati otgan'!J:J,"Huquqni yaratish")</f>
        <v>0</v>
      </c>
      <c r="BJ53" s="11">
        <f>+COUNTIFS('muddati otgan'!C:C,A53,'muddati otgan'!J:J,"Hujjatlarni o'rganish")</f>
        <v>0</v>
      </c>
      <c r="BK53" s="11">
        <f>+COUNTIFS('muddati otgan'!C:C,A53,'muddati otgan'!J:J,"Ma'lumotlarni tekshirish")</f>
        <v>0</v>
      </c>
      <c r="BL53" s="11">
        <f t="shared" si="66"/>
        <v>0</v>
      </c>
      <c r="BM53" s="11">
        <f>+COUNTIFS('muddati otgan'!C:C,A53,'muddati otgan'!J:J,"Tekshirish")</f>
        <v>0</v>
      </c>
      <c r="BN53" s="11">
        <f>+COUNTIFS('muddati otgan'!C:C,A53,'muddati otgan'!J:J,"Hujjatlarni tekshirish")</f>
        <v>0</v>
      </c>
      <c r="BO53" s="11">
        <f>+COUNTIFS('muddati otgan'!C:C,A53,'muddati otgan'!J:J,"Tasdiqlash")</f>
        <v>0</v>
      </c>
      <c r="BP53" s="11">
        <f>+COUNTIFS('muddati otgan'!C:C,A53,'muddati otgan'!J:J,"tekshirish/tasdiqlash")</f>
        <v>0</v>
      </c>
      <c r="BQ53" s="11">
        <f>+COUNTIFS('muddati otgan'!C:C,A53,'muddati otgan'!J:J,"Ma'lumotlarni tasdiqlash")</f>
        <v>0</v>
      </c>
      <c r="BR53" s="11">
        <f t="shared" si="32"/>
        <v>0</v>
      </c>
      <c r="BS53" s="11">
        <f>+COUNTIFS('muddati otgan'!C:C,A53,'muddati otgan'!J:J,"Ro'yxatdan o'tkazish ma'lumotlarini tekshirish")</f>
        <v>0</v>
      </c>
      <c r="BT53" s="11">
        <f>+COUNTIFS('muddati otgan'!C:C,A53,'muddati otgan'!J:J,"Kamchiliklar bo'yicha habarnoma yuborish va 3 kunga to'xtatish")</f>
        <v>0</v>
      </c>
      <c r="BU53" s="11">
        <f>+COUNTIFS('muddati otgan'!C:C,A53,'muddati otgan'!J:J,"Hisobga olish")</f>
        <v>0</v>
      </c>
      <c r="BV53" s="11">
        <f>+COUNTIFS('muddati otgan'!C:C,A53,'muddati otgan'!J:J,"Yer uchastkasiga huquq yaratish")</f>
        <v>0</v>
      </c>
      <c r="BW53" s="11">
        <f>+COUNTIFS('muddati otgan'!C:C,A53,'muddati otgan'!J:J,"Bino-inshootga huquq yaratish")</f>
        <v>0</v>
      </c>
      <c r="BX53" s="11">
        <f>+COUNTIFS('muddati otgan'!C:C,A53,'muddati otgan'!J:J,"Cheklov yaratish")</f>
        <v>0</v>
      </c>
      <c r="BY53" s="11">
        <f>+COUNTIFS('muddati otgan'!C:C,A53,'muddati otgan'!J:J,"Taqiq yaratish")</f>
        <v>0</v>
      </c>
      <c r="BZ53" s="11">
        <f t="shared" si="33"/>
        <v>0</v>
      </c>
      <c r="CA53" s="11">
        <f>+COUNTIFS('muddati otgan'!C:C,A53,'muddati otgan'!J:J,"Soliq maydonini tekshirish")</f>
        <v>0</v>
      </c>
      <c r="CB53" s="11">
        <f t="shared" si="34"/>
        <v>0</v>
      </c>
      <c r="CC53" s="11">
        <f>+COUNTIFS('muddati otgan'!C:C,A53,'muddati otgan'!J:J,"Kadastr yig'majildini shakllantirish")</f>
        <v>0</v>
      </c>
      <c r="CD53" s="11">
        <f t="shared" si="35"/>
        <v>0</v>
      </c>
      <c r="CE53" s="11">
        <f>+COUNTIFS('muddati otgan'!C:C,A53,'muddati otgan'!J:J,"Kadastr passportini shakllantirish")</f>
        <v>0</v>
      </c>
      <c r="CF53" s="11">
        <f>+COUNTIFS('muddati otgan'!C:C,A53,'muddati otgan'!J:J,"Yig'ma jildni tasdiqlash")</f>
        <v>0</v>
      </c>
      <c r="CG53" s="11">
        <f>+COUNTIFS('muddati otgan'!C:C,A53,'muddati otgan'!J:J,"To'lov yoki bepul tasdiqlash")</f>
        <v>0</v>
      </c>
      <c r="CH53" s="11">
        <f>+COUNTIFS('muddati otgan'!C:C,A53,'muddati otgan'!J:J,"Bog'liq arizani kutish")</f>
        <v>0</v>
      </c>
      <c r="CI53" s="11">
        <f>+COUNTIFS('muddati otgan'!C:C,A53,'muddati otgan'!J:J,"To'lovga chiqarish")</f>
        <v>0</v>
      </c>
      <c r="CJ53" s="11">
        <f>+COUNTIFS('muddati otgan'!C:C,A53,'muddati otgan'!J:J,"Hisobga qo'yish")</f>
        <v>0</v>
      </c>
      <c r="CK53" s="6">
        <f>+COUNTIFS('muddati otgan'!C:C,A53,'muddati otgan'!J:J,"To'lov kutilmoqda")</f>
        <v>0</v>
      </c>
      <c r="CL53" s="11">
        <f t="shared" si="36"/>
        <v>0</v>
      </c>
      <c r="CM53" s="11">
        <f>+COUNTIFS('muddati otgan'!C:C,A53,'muddati otgan'!AA:AA,"Arizani qabul qilish2")</f>
        <v>0</v>
      </c>
      <c r="CN53" s="11">
        <f>+COUNTIFS('muddati otgan'!C:C,A53,'muddati otgan'!J:J,"Huquqlarni tekshirish")</f>
        <v>0</v>
      </c>
      <c r="CO53" s="11">
        <f>+COUNTIFS('muddati otgan'!C:C,A53,'muddati otgan'!J:J,"Ko'chmas mulkni ro'yhatdan o'tkazishga qabul qilish")</f>
        <v>0</v>
      </c>
      <c r="CP53" s="11">
        <f>+COUNTIFS('muddati otgan'!C:C,A53,'muddati otgan'!J:J,"Ro'yxatdan o'tkazish")</f>
        <v>0</v>
      </c>
      <c r="CQ53" s="11">
        <f>+COUNTIFS('muddati otgan'!C:C,A53,'muddati otgan'!J:J,"Kadastr pasporti va ko'chirmani yuborish")</f>
        <v>0</v>
      </c>
      <c r="CR53" s="11">
        <f>+COUNTIFS('muddati otgan'!C:C,A53,'muddati otgan'!AA:AA,"Rad qilish2")</f>
        <v>0</v>
      </c>
      <c r="CS53" s="11">
        <f>+COUNTIFS('muddati otgan'!C:C,A53,'muddati otgan'!J:J,"Ko'chirmani yuborish")</f>
        <v>0</v>
      </c>
      <c r="CT53" s="11">
        <f>+COUNTIFS('muddati otgan'!C:C,A53,'muddati otgan'!J:J,"Ma‘lumotlarni tekshirish")</f>
        <v>0</v>
      </c>
      <c r="CU53" s="11">
        <f t="shared" si="37"/>
        <v>0</v>
      </c>
      <c r="CV53" s="11">
        <f>+COUNTIFS('muddati otgan'!C:C,A53,'muddati otgan'!J:J,"Kadastr yig'majildini chop etish va arxiv ishiga tikish")</f>
        <v>0</v>
      </c>
      <c r="CW53" s="11">
        <f t="shared" si="38"/>
        <v>0</v>
      </c>
      <c r="CX53" s="11">
        <f>+COUNTIFS('muddati otgan'!C:C,A53,'muddati otgan'!J:J,"Kadastr yig‘majildini qabul qilish, arizani yakunlash")</f>
        <v>0</v>
      </c>
      <c r="CY53" s="11">
        <f>+COUNTIFS('muddati otgan'!C:C,A53,'muddati otgan'!J:J,"Next Cloudga yuklash")</f>
        <v>0</v>
      </c>
      <c r="CZ53" s="6">
        <f>+COUNTIFS('muddati otgan'!C:C,A53,'muddati otgan'!J:J,"Kelishish kutilmoqda")</f>
        <v>0</v>
      </c>
      <c r="DA53" s="6">
        <f>+COUNTIFS('muddati otgan'!C:C,A53,'muddati otgan'!J:J,"Yakunlandi")</f>
        <v>0</v>
      </c>
      <c r="DB53" s="10">
        <f>+COUNTIFS('muddati otgan'!C:C,A53,'muddati otgan'!J:J,"Rad etildi")</f>
        <v>0</v>
      </c>
      <c r="DC53" s="100">
        <f t="shared" si="5"/>
        <v>0</v>
      </c>
      <c r="DD53" s="44">
        <f>COUNTIFS('jami 1-20 kunlik arizalar'!C:C,A:A,'jami 1-20 kunlik arizalar'!S:S,"1")</f>
        <v>0</v>
      </c>
      <c r="DE53" s="11">
        <f>COUNTIFS('jami 1-20 kunlik arizalar'!C:C,A:A,'jami 1-20 kunlik arizalar'!S:S,"2")</f>
        <v>0</v>
      </c>
      <c r="DF53" s="11">
        <f>COUNTIFS('jami 1-20 kunlik arizalar'!C:C,A:A,'jami 1-20 kunlik arizalar'!S:S,"3")</f>
        <v>1</v>
      </c>
      <c r="DG53" s="11">
        <f>COUNTIFS('jami 1-20 kunlik arizalar'!C:C,A:A,'jami 1-20 kunlik arizalar'!S:S,"4")</f>
        <v>1</v>
      </c>
      <c r="DH53" s="11">
        <f>COUNTIFS('jami 1-20 kunlik arizalar'!C:C,A:A,'jami 1-20 kunlik arizalar'!S:S,"5")</f>
        <v>2</v>
      </c>
      <c r="DI53" s="11">
        <f>SUM(COUNTIFS('jami 1-20 kunlik arizalar'!C:C,A:A, 'jami 1-20 kunlik arizalar'!S:S, {6,7,8,9,10}))</f>
        <v>13</v>
      </c>
      <c r="DJ53" s="12">
        <f>SUM(COUNTIFS('jami 1-20 kunlik arizalar'!C:C,A:A, 'jami 1-20 kunlik arizalar'!S:S, "&gt;10"))</f>
        <v>11</v>
      </c>
    </row>
    <row r="54" spans="1:115" ht="33" hidden="1" customHeight="1" outlineLevel="1" x14ac:dyDescent="0.25">
      <c r="A54" s="92" t="s">
        <v>481</v>
      </c>
      <c r="B54" s="106" t="s">
        <v>959</v>
      </c>
      <c r="C54" s="85" t="s">
        <v>780</v>
      </c>
      <c r="D54" s="80">
        <f>+COUNTIFS('muddati otgan'!C:C,A54,'muddati otgan'!C:C,A54)</f>
        <v>2</v>
      </c>
      <c r="E54" s="10">
        <f>SUMIFS('muddati otgan'!$V:V,'muddati otgan'!$C:C,$A:A)</f>
        <v>0</v>
      </c>
      <c r="F54" s="10">
        <f>SUMIFS('muddati otgan'!$W:W,'muddati otgan'!$C:C,$A:A)</f>
        <v>0</v>
      </c>
      <c r="G54" s="24">
        <f>SUMIFS('muddati otgan'!$U:U,'muddati otgan'!$C:C,$A:A)</f>
        <v>2</v>
      </c>
      <c r="H54" s="11">
        <f>SUMIFS('muddati otgan'!$G:G,'muddati otgan'!$C:C,$A:A)</f>
        <v>2</v>
      </c>
      <c r="I54" s="12">
        <f>SUMIFS('muddati otgan'!$H:H,'muddati otgan'!$C:C,$A:A)</f>
        <v>0</v>
      </c>
      <c r="J54" s="44">
        <f t="shared" si="58"/>
        <v>0</v>
      </c>
      <c r="K54" s="11">
        <f>+COUNTIFS('muddati otgan'!C:C,A54,'muddati otgan'!AA:AA,"Arizani qabul qilish")</f>
        <v>0</v>
      </c>
      <c r="L54" s="11">
        <f>+COUNTIFS('muddati otgan'!C:C,A54,'muddati otgan'!J:J,"Arizani rad etish")</f>
        <v>0</v>
      </c>
      <c r="M54" s="11">
        <f>+COUNTIFS('muddati otgan'!C:C,A54,'muddati otgan'!J:J,"Arizani tasdiqlash")</f>
        <v>0</v>
      </c>
      <c r="N54" s="11">
        <f>+COUNTIFS('muddati otgan'!C:C,A54,'muddati otgan'!J:J,"Arizani yo'naltirish")</f>
        <v>0</v>
      </c>
      <c r="O54" s="11">
        <f>+COUNTIFS('muddati otgan'!C:C,A54,'muddati otgan'!J:J,"Rad qilish sababini o'rganish")</f>
        <v>0</v>
      </c>
      <c r="P54" s="11">
        <f>+COUNTIFS('muddati otgan'!C:C,A54,'muddati otgan'!J:J,"Ko'chmas mulkni UZKAD ga migratsiya qilish")</f>
        <v>0</v>
      </c>
      <c r="Q54" s="11">
        <f>+COUNTIFS('muddati otgan'!C:C,A54,'muddati otgan'!J:J,"Migratisya qilingan obyekt holatini tekshirish")</f>
        <v>0</v>
      </c>
      <c r="R54" s="11">
        <f>+COUNTIFS('muddati otgan'!C:C,A54,'muddati otgan'!J:J,"Ko‘chmas mulkni tanlash")</f>
        <v>0</v>
      </c>
      <c r="S54" s="11">
        <f>+COUNTIFS('muddati otgan'!C:C,A54,'muddati otgan'!J:J,"Arizani ko'rib chiqish")</f>
        <v>0</v>
      </c>
      <c r="T54" s="11">
        <f>+COUNTIFS('muddati otgan'!C:C,A54,'muddati otgan'!J:J,"Kadastr muhandisini tanlash")</f>
        <v>0</v>
      </c>
      <c r="U54" s="11">
        <f>+COUNTIFS('muddati otgan'!C:C,A54,'muddati otgan'!J:J,"Ko'chmas mulk turini tanlahsh")</f>
        <v>0</v>
      </c>
      <c r="V54" s="11">
        <f>+COUNTIFS('muddati otgan'!C:C,A54,'muddati otgan'!AA:AA,"Rad qilish")</f>
        <v>0</v>
      </c>
      <c r="W54" s="11">
        <f>+COUNTIFS('muddati otgan'!C:C,A54,'muddati otgan'!J:J,"ijrochi tanlash")</f>
        <v>0</v>
      </c>
      <c r="X54" s="11">
        <f>+COUNTIFS('muddati otgan'!C:C,A54,'muddati otgan'!J:J,"Ko'chmas mulk turini tanlash")</f>
        <v>0</v>
      </c>
      <c r="Y54" s="11">
        <f t="shared" si="59"/>
        <v>0</v>
      </c>
      <c r="Z54" s="11">
        <f>+COUNTIFS('muddati otgan'!C:C,A54,'muddati otgan'!J:J,"Ijroga qabul qilish")</f>
        <v>0</v>
      </c>
      <c r="AA54" s="11">
        <f>+COUNTIFS('muddati otgan'!C:C,A54,'muddati otgan'!J:J,"Joyida o'rganish va ma'lumotlarni kiritish")</f>
        <v>0</v>
      </c>
      <c r="AB54" s="11">
        <f>+COUNTIFS('muddati otgan'!C:C,A54,'muddati otgan'!J:J,"Asosiy qismdan ajratish jarayonida")</f>
        <v>0</v>
      </c>
      <c r="AC54" s="11">
        <f>+COUNTIFS('muddati otgan'!C:C,A54,'muddati otgan'!J:J,"Umumiy foydalanishdagi obyekt yaratilish")</f>
        <v>0</v>
      </c>
      <c r="AD54" s="11">
        <f>+COUNTIFS('muddati otgan'!C:C,A54,'muddati otgan'!J:J,"Migratsiya qilinadigan kadastr raqamini kiritish")</f>
        <v>0</v>
      </c>
      <c r="AE54" s="11">
        <f>+COUNTIFS('muddati otgan'!C:C,A54,'muddati otgan'!J:J,"O'zida qolgan obyektni yaratish")</f>
        <v>0</v>
      </c>
      <c r="AF54" s="11">
        <f>+COUNTIFS('muddati otgan'!C:C,A54,'muddati otgan'!J:J,"O'lchov natijalarini kiritish")</f>
        <v>0</v>
      </c>
      <c r="AG54" s="11">
        <f>+COUNTIFS('muddati otgan'!C:C,A54,'muddati otgan'!J:J,"Topoxaritani tayyorlash (dwg, pdf)")</f>
        <v>0</v>
      </c>
      <c r="AH54" s="11">
        <f t="shared" si="60"/>
        <v>0</v>
      </c>
      <c r="AI54" s="11">
        <f>+COUNTIFS('muddati otgan'!C:C,A54,'muddati otgan'!J:J,"Yer uchastkasini yaratish")</f>
        <v>0</v>
      </c>
      <c r="AJ54" s="11">
        <f t="shared" si="61"/>
        <v>0</v>
      </c>
      <c r="AK54" s="11">
        <f>+COUNTIFS('muddati otgan'!C:C,A54,'muddati otgan'!J:J,"Kelishish (Boshqarma)")</f>
        <v>0</v>
      </c>
      <c r="AL54" s="11">
        <f t="shared" si="62"/>
        <v>0</v>
      </c>
      <c r="AM54" s="11">
        <f>+COUNTIFS('muddati otgan'!C:C,A54,'muddati otgan'!J:J,"Kelishish (DKP)")</f>
        <v>0</v>
      </c>
      <c r="AN54" s="11">
        <f>+COUNTIFS('muddati otgan'!C:C,A54,'muddati otgan'!J:J,"Kelishish")</f>
        <v>0</v>
      </c>
      <c r="AO54" s="11">
        <f>+COUNTIFS('muddati otgan'!C:C,A54,'muddati otgan'!J:J,"Kelishish (Registratsiya DKP)")</f>
        <v>0</v>
      </c>
      <c r="AP54" s="11">
        <f t="shared" si="63"/>
        <v>0</v>
      </c>
      <c r="AQ54" s="11">
        <f>+COUNTIFS('muddati otgan'!C:C,A54,'muddati otgan'!J:J,"Manzil biriktirish")</f>
        <v>0</v>
      </c>
      <c r="AR54" s="11">
        <f>+COUNTIFS('muddati otgan'!C:C,A54,'muddati otgan'!J:J,"Bino va inshootlarni yaratish")</f>
        <v>0</v>
      </c>
      <c r="AS54" s="11">
        <f>+COUNTIFS('muddati otgan'!C:C,A54,'muddati otgan'!J:J,"Dov daraxtlarni yaratish")</f>
        <v>0</v>
      </c>
      <c r="AT54" s="11">
        <f>+COUNTIFS('muddati otgan'!C:C,A54,'muddati otgan'!J:J,"Yer uchastkasini tahrirlash")</f>
        <v>0</v>
      </c>
      <c r="AU54" s="11">
        <f t="shared" si="64"/>
        <v>0</v>
      </c>
      <c r="AV54" s="11">
        <f>+COUNTIFS('muddati otgan'!C:C,A54,'muddati otgan'!J:J,"Yer toifasi va maqsadini kiritish")</f>
        <v>0</v>
      </c>
      <c r="AW54" s="11">
        <f>+COUNTIFS('muddati otgan'!C:C,A54,'muddati otgan'!J:J,"Auksion yer tekshirish")</f>
        <v>0</v>
      </c>
      <c r="AX54" s="11">
        <f>+COUNTIFS('muddati otgan'!C:C,A54,'muddati otgan'!J:J,"Yer turlarini kiritish")</f>
        <v>0</v>
      </c>
      <c r="AY54" s="11">
        <f>+COUNTIFS('muddati otgan'!C:C,A54,'muddati otgan'!J:J,"Ma'lumotlarni kiritish")</f>
        <v>0</v>
      </c>
      <c r="AZ54" s="11">
        <f>+COUNTIFS('muddati otgan'!C:C,A54,'muddati otgan'!J:J,"Yer tekshirish")</f>
        <v>0</v>
      </c>
      <c r="BA54" s="11">
        <f t="shared" si="65"/>
        <v>0</v>
      </c>
      <c r="BB54" s="11">
        <f>+COUNTIFS('muddati otgan'!C:C,A54,'muddati otgan'!J:J,"Bino va inshoot ma'lumotlarini to‘ldirish")</f>
        <v>0</v>
      </c>
      <c r="BC54" s="11">
        <f>+COUNTIFS('muddati otgan'!C:C,A54,'muddati otgan'!J:J,"Inventarizatsiya ma'lumotlarini to‘ldirish")</f>
        <v>0</v>
      </c>
      <c r="BD54" s="11">
        <f>+COUNTIFS('muddati otgan'!C:C,A54,'muddati otgan'!J:J,"Yer uchastkasiga huquqiy hujjatlarni kiritsh")</f>
        <v>0</v>
      </c>
      <c r="BE54" s="11">
        <f>+COUNTIFS('muddati otgan'!C:C,A54,'muddati otgan'!J:J,"Bino-inshootlarga huquqiy hujjatlarni kiritsh")</f>
        <v>0</v>
      </c>
      <c r="BF54" s="11">
        <f>+COUNTIFS('muddati otgan'!C:C,A54,'muddati otgan'!J:J,"Kadastr qiymatini hisoblash va kiritish")</f>
        <v>0</v>
      </c>
      <c r="BG54" s="11">
        <f>+COUNTIFS('muddati otgan'!C:C,A54,'muddati otgan'!J:J,"Kadastr raqam biriktirish")</f>
        <v>0</v>
      </c>
      <c r="BH54" s="11">
        <f>+COUNTIFS('muddati otgan'!C:C,A54,'muddati otgan'!J:J,"Kadastr yig'ma jildni tayyorlash")</f>
        <v>0</v>
      </c>
      <c r="BI54" s="11">
        <f>+COUNTIFS('muddati otgan'!C:C,A54,'muddati otgan'!J:J,"Huquqni yaratish")</f>
        <v>0</v>
      </c>
      <c r="BJ54" s="11">
        <f>+COUNTIFS('muddati otgan'!C:C,A54,'muddati otgan'!J:J,"Hujjatlarni o'rganish")</f>
        <v>0</v>
      </c>
      <c r="BK54" s="11">
        <f>+COUNTIFS('muddati otgan'!C:C,A54,'muddati otgan'!J:J,"Ma'lumotlarni tekshirish")</f>
        <v>0</v>
      </c>
      <c r="BL54" s="11">
        <f t="shared" si="66"/>
        <v>0</v>
      </c>
      <c r="BM54" s="11">
        <f>+COUNTIFS('muddati otgan'!C:C,A54,'muddati otgan'!J:J,"Tekshirish")</f>
        <v>0</v>
      </c>
      <c r="BN54" s="11">
        <f>+COUNTIFS('muddati otgan'!C:C,A54,'muddati otgan'!J:J,"Hujjatlarni tekshirish")</f>
        <v>0</v>
      </c>
      <c r="BO54" s="11">
        <f>+COUNTIFS('muddati otgan'!C:C,A54,'muddati otgan'!J:J,"Tasdiqlash")</f>
        <v>0</v>
      </c>
      <c r="BP54" s="11">
        <f>+COUNTIFS('muddati otgan'!C:C,A54,'muddati otgan'!J:J,"tekshirish/tasdiqlash")</f>
        <v>0</v>
      </c>
      <c r="BQ54" s="11">
        <f>+COUNTIFS('muddati otgan'!C:C,A54,'muddati otgan'!J:J,"Ma'lumotlarni tasdiqlash")</f>
        <v>0</v>
      </c>
      <c r="BR54" s="11">
        <f t="shared" si="32"/>
        <v>0</v>
      </c>
      <c r="BS54" s="11">
        <f>+COUNTIFS('muddati otgan'!C:C,A54,'muddati otgan'!J:J,"Ro'yxatdan o'tkazish ma'lumotlarini tekshirish")</f>
        <v>0</v>
      </c>
      <c r="BT54" s="11">
        <f>+COUNTIFS('muddati otgan'!C:C,A54,'muddati otgan'!J:J,"Kamchiliklar bo'yicha habarnoma yuborish va 3 kunga to'xtatish")</f>
        <v>0</v>
      </c>
      <c r="BU54" s="11">
        <f>+COUNTIFS('muddati otgan'!C:C,A54,'muddati otgan'!J:J,"Hisobga olish")</f>
        <v>0</v>
      </c>
      <c r="BV54" s="11">
        <f>+COUNTIFS('muddati otgan'!C:C,A54,'muddati otgan'!J:J,"Yer uchastkasiga huquq yaratish")</f>
        <v>0</v>
      </c>
      <c r="BW54" s="11">
        <f>+COUNTIFS('muddati otgan'!C:C,A54,'muddati otgan'!J:J,"Bino-inshootga huquq yaratish")</f>
        <v>0</v>
      </c>
      <c r="BX54" s="11">
        <f>+COUNTIFS('muddati otgan'!C:C,A54,'muddati otgan'!J:J,"Cheklov yaratish")</f>
        <v>0</v>
      </c>
      <c r="BY54" s="11">
        <f>+COUNTIFS('muddati otgan'!C:C,A54,'muddati otgan'!J:J,"Taqiq yaratish")</f>
        <v>0</v>
      </c>
      <c r="BZ54" s="11">
        <f t="shared" si="33"/>
        <v>0</v>
      </c>
      <c r="CA54" s="11">
        <f>+COUNTIFS('muddati otgan'!C:C,A54,'muddati otgan'!J:J,"Soliq maydonini tekshirish")</f>
        <v>0</v>
      </c>
      <c r="CB54" s="11">
        <f t="shared" si="34"/>
        <v>0</v>
      </c>
      <c r="CC54" s="11">
        <f>+COUNTIFS('muddati otgan'!C:C,A54,'muddati otgan'!J:J,"Kadastr yig'majildini shakllantirish")</f>
        <v>0</v>
      </c>
      <c r="CD54" s="11">
        <f t="shared" si="35"/>
        <v>0</v>
      </c>
      <c r="CE54" s="11">
        <f>+COUNTIFS('muddati otgan'!C:C,A54,'muddati otgan'!J:J,"Kadastr passportini shakllantirish")</f>
        <v>0</v>
      </c>
      <c r="CF54" s="11">
        <f>+COUNTIFS('muddati otgan'!C:C,A54,'muddati otgan'!J:J,"Yig'ma jildni tasdiqlash")</f>
        <v>0</v>
      </c>
      <c r="CG54" s="11">
        <f>+COUNTIFS('muddati otgan'!C:C,A54,'muddati otgan'!J:J,"To'lov yoki bepul tasdiqlash")</f>
        <v>0</v>
      </c>
      <c r="CH54" s="11">
        <f>+COUNTIFS('muddati otgan'!C:C,A54,'muddati otgan'!J:J,"Bog'liq arizani kutish")</f>
        <v>0</v>
      </c>
      <c r="CI54" s="11">
        <f>+COUNTIFS('muddati otgan'!C:C,A54,'muddati otgan'!J:J,"To'lovga chiqarish")</f>
        <v>0</v>
      </c>
      <c r="CJ54" s="11">
        <f>+COUNTIFS('muddati otgan'!C:C,A54,'muddati otgan'!J:J,"Hisobga qo'yish")</f>
        <v>0</v>
      </c>
      <c r="CK54" s="6">
        <f>+COUNTIFS('muddati otgan'!C:C,A54,'muddati otgan'!J:J,"To'lov kutilmoqda")</f>
        <v>0</v>
      </c>
      <c r="CL54" s="11">
        <f t="shared" si="36"/>
        <v>1</v>
      </c>
      <c r="CM54" s="11">
        <f>+COUNTIFS('muddati otgan'!C:C,A54,'muddati otgan'!AA:AA,"Arizani qabul qilish2")</f>
        <v>0</v>
      </c>
      <c r="CN54" s="11">
        <f>+COUNTIFS('muddati otgan'!C:C,A54,'muddati otgan'!J:J,"Huquqlarni tekshirish")</f>
        <v>1</v>
      </c>
      <c r="CO54" s="11">
        <f>+COUNTIFS('muddati otgan'!C:C,A54,'muddati otgan'!J:J,"Ko'chmas mulkni ro'yhatdan o'tkazishga qabul qilish")</f>
        <v>0</v>
      </c>
      <c r="CP54" s="11">
        <f>+COUNTIFS('muddati otgan'!C:C,A54,'muddati otgan'!J:J,"Ro'yxatdan o'tkazish")</f>
        <v>0</v>
      </c>
      <c r="CQ54" s="11">
        <f>+COUNTIFS('muddati otgan'!C:C,A54,'muddati otgan'!J:J,"Kadastr pasporti va ko'chirmani yuborish")</f>
        <v>0</v>
      </c>
      <c r="CR54" s="11">
        <f>+COUNTIFS('muddati otgan'!C:C,A54,'muddati otgan'!AA:AA,"Rad qilish2")</f>
        <v>0</v>
      </c>
      <c r="CS54" s="11">
        <f>+COUNTIFS('muddati otgan'!C:C,A54,'muddati otgan'!J:J,"Ko'chirmani yuborish")</f>
        <v>0</v>
      </c>
      <c r="CT54" s="11">
        <f>+COUNTIFS('muddati otgan'!C:C,A54,'muddati otgan'!J:J,"Ma‘lumotlarni tekshirish")</f>
        <v>0</v>
      </c>
      <c r="CU54" s="11">
        <f t="shared" si="37"/>
        <v>0</v>
      </c>
      <c r="CV54" s="11">
        <f>+COUNTIFS('muddati otgan'!C:C,A54,'muddati otgan'!J:J,"Kadastr yig'majildini chop etish va arxiv ishiga tikish")</f>
        <v>0</v>
      </c>
      <c r="CW54" s="11">
        <f t="shared" si="38"/>
        <v>0</v>
      </c>
      <c r="CX54" s="11">
        <f>+COUNTIFS('muddati otgan'!C:C,A54,'muddati otgan'!J:J,"Kadastr yig‘majildini qabul qilish, arizani yakunlash")</f>
        <v>0</v>
      </c>
      <c r="CY54" s="11">
        <f>+COUNTIFS('muddati otgan'!C:C,A54,'muddati otgan'!J:J,"Next Cloudga yuklash")</f>
        <v>0</v>
      </c>
      <c r="CZ54" s="6">
        <f>+COUNTIFS('muddati otgan'!C:C,A54,'muddati otgan'!J:J,"Kelishish kutilmoqda")</f>
        <v>0</v>
      </c>
      <c r="DA54" s="6">
        <f>+COUNTIFS('muddati otgan'!C:C,A54,'muddati otgan'!J:J,"Yakunlandi")</f>
        <v>1</v>
      </c>
      <c r="DB54" s="10">
        <f>+COUNTIFS('muddati otgan'!C:C,A54,'muddati otgan'!J:J,"Rad etildi")</f>
        <v>0</v>
      </c>
      <c r="DC54" s="100">
        <f t="shared" si="5"/>
        <v>-1</v>
      </c>
      <c r="DD54" s="44">
        <f>COUNTIFS('jami 1-20 kunlik arizalar'!C:C,A:A,'jami 1-20 kunlik arizalar'!S:S,"1")</f>
        <v>0</v>
      </c>
      <c r="DE54" s="11">
        <f>COUNTIFS('jami 1-20 kunlik arizalar'!C:C,A:A,'jami 1-20 kunlik arizalar'!S:S,"2")</f>
        <v>0</v>
      </c>
      <c r="DF54" s="11">
        <f>COUNTIFS('jami 1-20 kunlik arizalar'!C:C,A:A,'jami 1-20 kunlik arizalar'!S:S,"3")</f>
        <v>0</v>
      </c>
      <c r="DG54" s="11">
        <f>COUNTIFS('jami 1-20 kunlik arizalar'!C:C,A:A,'jami 1-20 kunlik arizalar'!S:S,"4")</f>
        <v>3</v>
      </c>
      <c r="DH54" s="11">
        <f>COUNTIFS('jami 1-20 kunlik arizalar'!C:C,A:A,'jami 1-20 kunlik arizalar'!S:S,"5")</f>
        <v>7</v>
      </c>
      <c r="DI54" s="11">
        <f>SUM(COUNTIFS('jami 1-20 kunlik arizalar'!C:C,A:A, 'jami 1-20 kunlik arizalar'!S:S, {6,7,8,9,10}))</f>
        <v>15</v>
      </c>
      <c r="DJ54" s="12">
        <f>SUM(COUNTIFS('jami 1-20 kunlik arizalar'!C:C,A:A, 'jami 1-20 kunlik arizalar'!S:S, "&gt;10"))</f>
        <v>8</v>
      </c>
    </row>
    <row r="55" spans="1:115" ht="33" hidden="1" customHeight="1" outlineLevel="1" x14ac:dyDescent="0.25">
      <c r="A55" s="92" t="s">
        <v>628</v>
      </c>
      <c r="B55" s="106" t="s">
        <v>959</v>
      </c>
      <c r="C55" s="85" t="s">
        <v>781</v>
      </c>
      <c r="D55" s="80">
        <f>+COUNTIFS('muddati otgan'!C:C,A55,'muddati otgan'!C:C,A55)</f>
        <v>0</v>
      </c>
      <c r="E55" s="10">
        <f>SUMIFS('muddati otgan'!$V:V,'muddati otgan'!$C:C,$A:A)</f>
        <v>0</v>
      </c>
      <c r="F55" s="10">
        <f>SUMIFS('muddati otgan'!$W:W,'muddati otgan'!$C:C,$A:A)</f>
        <v>0</v>
      </c>
      <c r="G55" s="24">
        <f>SUMIFS('muddati otgan'!$U:U,'muddati otgan'!$C:C,$A:A)</f>
        <v>0</v>
      </c>
      <c r="H55" s="11">
        <f>SUMIFS('muddati otgan'!$G:G,'muddati otgan'!$C:C,$A:A)</f>
        <v>0</v>
      </c>
      <c r="I55" s="12">
        <f>SUMIFS('muddati otgan'!$H:H,'muddati otgan'!$C:C,$A:A)</f>
        <v>0</v>
      </c>
      <c r="J55" s="44">
        <f t="shared" si="58"/>
        <v>0</v>
      </c>
      <c r="K55" s="11">
        <f>+COUNTIFS('muddati otgan'!C:C,A55,'muddati otgan'!AA:AA,"Arizani qabul qilish")</f>
        <v>0</v>
      </c>
      <c r="L55" s="11">
        <f>+COUNTIFS('muddati otgan'!C:C,A55,'muddati otgan'!J:J,"Arizani rad etish")</f>
        <v>0</v>
      </c>
      <c r="M55" s="11">
        <f>+COUNTIFS('muddati otgan'!C:C,A55,'muddati otgan'!J:J,"Arizani tasdiqlash")</f>
        <v>0</v>
      </c>
      <c r="N55" s="11">
        <f>+COUNTIFS('muddati otgan'!C:C,A55,'muddati otgan'!J:J,"Arizani yo'naltirish")</f>
        <v>0</v>
      </c>
      <c r="O55" s="11">
        <f>+COUNTIFS('muddati otgan'!C:C,A55,'muddati otgan'!J:J,"Rad qilish sababini o'rganish")</f>
        <v>0</v>
      </c>
      <c r="P55" s="11">
        <f>+COUNTIFS('muddati otgan'!C:C,A55,'muddati otgan'!J:J,"Ko'chmas mulkni UZKAD ga migratsiya qilish")</f>
        <v>0</v>
      </c>
      <c r="Q55" s="11">
        <f>+COUNTIFS('muddati otgan'!C:C,A55,'muddati otgan'!J:J,"Migratisya qilingan obyekt holatini tekshirish")</f>
        <v>0</v>
      </c>
      <c r="R55" s="11">
        <f>+COUNTIFS('muddati otgan'!C:C,A55,'muddati otgan'!J:J,"Ko‘chmas mulkni tanlash")</f>
        <v>0</v>
      </c>
      <c r="S55" s="11">
        <f>+COUNTIFS('muddati otgan'!C:C,A55,'muddati otgan'!J:J,"Arizani ko'rib chiqish")</f>
        <v>0</v>
      </c>
      <c r="T55" s="11">
        <f>+COUNTIFS('muddati otgan'!C:C,A55,'muddati otgan'!J:J,"Kadastr muhandisini tanlash")</f>
        <v>0</v>
      </c>
      <c r="U55" s="11">
        <f>+COUNTIFS('muddati otgan'!C:C,A55,'muddati otgan'!J:J,"Ko'chmas mulk turini tanlahsh")</f>
        <v>0</v>
      </c>
      <c r="V55" s="11">
        <f>+COUNTIFS('muddati otgan'!C:C,A55,'muddati otgan'!AA:AA,"Rad qilish")</f>
        <v>0</v>
      </c>
      <c r="W55" s="11">
        <f>+COUNTIFS('muddati otgan'!C:C,A55,'muddati otgan'!J:J,"ijrochi tanlash")</f>
        <v>0</v>
      </c>
      <c r="X55" s="11">
        <f>+COUNTIFS('muddati otgan'!C:C,A55,'muddati otgan'!J:J,"Ko'chmas mulk turini tanlash")</f>
        <v>0</v>
      </c>
      <c r="Y55" s="11">
        <f t="shared" si="59"/>
        <v>0</v>
      </c>
      <c r="Z55" s="11">
        <f>+COUNTIFS('muddati otgan'!C:C,A55,'muddati otgan'!J:J,"Ijroga qabul qilish")</f>
        <v>0</v>
      </c>
      <c r="AA55" s="11">
        <f>+COUNTIFS('muddati otgan'!C:C,A55,'muddati otgan'!J:J,"Joyida o'rganish va ma'lumotlarni kiritish")</f>
        <v>0</v>
      </c>
      <c r="AB55" s="11">
        <f>+COUNTIFS('muddati otgan'!C:C,A55,'muddati otgan'!J:J,"Asosiy qismdan ajratish jarayonida")</f>
        <v>0</v>
      </c>
      <c r="AC55" s="11">
        <f>+COUNTIFS('muddati otgan'!C:C,A55,'muddati otgan'!J:J,"Umumiy foydalanishdagi obyekt yaratilish")</f>
        <v>0</v>
      </c>
      <c r="AD55" s="11">
        <f>+COUNTIFS('muddati otgan'!C:C,A55,'muddati otgan'!J:J,"Migratsiya qilinadigan kadastr raqamini kiritish")</f>
        <v>0</v>
      </c>
      <c r="AE55" s="11">
        <f>+COUNTIFS('muddati otgan'!C:C,A55,'muddati otgan'!J:J,"O'zida qolgan obyektni yaratish")</f>
        <v>0</v>
      </c>
      <c r="AF55" s="11">
        <f>+COUNTIFS('muddati otgan'!C:C,A55,'muddati otgan'!J:J,"O'lchov natijalarini kiritish")</f>
        <v>0</v>
      </c>
      <c r="AG55" s="11">
        <f>+COUNTIFS('muddati otgan'!C:C,A55,'muddati otgan'!J:J,"Topoxaritani tayyorlash (dwg, pdf)")</f>
        <v>0</v>
      </c>
      <c r="AH55" s="11">
        <f t="shared" si="60"/>
        <v>0</v>
      </c>
      <c r="AI55" s="11">
        <f>+COUNTIFS('muddati otgan'!C:C,A55,'muddati otgan'!J:J,"Yer uchastkasini yaratish")</f>
        <v>0</v>
      </c>
      <c r="AJ55" s="11">
        <f t="shared" si="61"/>
        <v>0</v>
      </c>
      <c r="AK55" s="11">
        <f>+COUNTIFS('muddati otgan'!C:C,A55,'muddati otgan'!J:J,"Kelishish (Boshqarma)")</f>
        <v>0</v>
      </c>
      <c r="AL55" s="11">
        <f t="shared" si="62"/>
        <v>0</v>
      </c>
      <c r="AM55" s="11">
        <f>+COUNTIFS('muddati otgan'!C:C,A55,'muddati otgan'!J:J,"Kelishish (DKP)")</f>
        <v>0</v>
      </c>
      <c r="AN55" s="11">
        <f>+COUNTIFS('muddati otgan'!C:C,A55,'muddati otgan'!J:J,"Kelishish")</f>
        <v>0</v>
      </c>
      <c r="AO55" s="11">
        <f>+COUNTIFS('muddati otgan'!C:C,A55,'muddati otgan'!J:J,"Kelishish (Registratsiya DKP)")</f>
        <v>0</v>
      </c>
      <c r="AP55" s="11">
        <f t="shared" si="63"/>
        <v>0</v>
      </c>
      <c r="AQ55" s="11">
        <f>+COUNTIFS('muddati otgan'!C:C,A55,'muddati otgan'!J:J,"Manzil biriktirish")</f>
        <v>0</v>
      </c>
      <c r="AR55" s="11">
        <f>+COUNTIFS('muddati otgan'!C:C,A55,'muddati otgan'!J:J,"Bino va inshootlarni yaratish")</f>
        <v>0</v>
      </c>
      <c r="AS55" s="11">
        <f>+COUNTIFS('muddati otgan'!C:C,A55,'muddati otgan'!J:J,"Dov daraxtlarni yaratish")</f>
        <v>0</v>
      </c>
      <c r="AT55" s="11">
        <f>+COUNTIFS('muddati otgan'!C:C,A55,'muddati otgan'!J:J,"Yer uchastkasini tahrirlash")</f>
        <v>0</v>
      </c>
      <c r="AU55" s="11">
        <f t="shared" si="64"/>
        <v>0</v>
      </c>
      <c r="AV55" s="11">
        <f>+COUNTIFS('muddati otgan'!C:C,A55,'muddati otgan'!J:J,"Yer toifasi va maqsadini kiritish")</f>
        <v>0</v>
      </c>
      <c r="AW55" s="11">
        <f>+COUNTIFS('muddati otgan'!C:C,A55,'muddati otgan'!J:J,"Auksion yer tekshirish")</f>
        <v>0</v>
      </c>
      <c r="AX55" s="11">
        <f>+COUNTIFS('muddati otgan'!C:C,A55,'muddati otgan'!J:J,"Yer turlarini kiritish")</f>
        <v>0</v>
      </c>
      <c r="AY55" s="11">
        <f>+COUNTIFS('muddati otgan'!C:C,A55,'muddati otgan'!J:J,"Ma'lumotlarni kiritish")</f>
        <v>0</v>
      </c>
      <c r="AZ55" s="11">
        <f>+COUNTIFS('muddati otgan'!C:C,A55,'muddati otgan'!J:J,"Yer tekshirish")</f>
        <v>0</v>
      </c>
      <c r="BA55" s="11">
        <f t="shared" si="65"/>
        <v>0</v>
      </c>
      <c r="BB55" s="11">
        <f>+COUNTIFS('muddati otgan'!C:C,A55,'muddati otgan'!J:J,"Bino va inshoot ma'lumotlarini to‘ldirish")</f>
        <v>0</v>
      </c>
      <c r="BC55" s="11">
        <f>+COUNTIFS('muddati otgan'!C:C,A55,'muddati otgan'!J:J,"Inventarizatsiya ma'lumotlarini to‘ldirish")</f>
        <v>0</v>
      </c>
      <c r="BD55" s="11">
        <f>+COUNTIFS('muddati otgan'!C:C,A55,'muddati otgan'!J:J,"Yer uchastkasiga huquqiy hujjatlarni kiritsh")</f>
        <v>0</v>
      </c>
      <c r="BE55" s="11">
        <f>+COUNTIFS('muddati otgan'!C:C,A55,'muddati otgan'!J:J,"Bino-inshootlarga huquqiy hujjatlarni kiritsh")</f>
        <v>0</v>
      </c>
      <c r="BF55" s="11">
        <f>+COUNTIFS('muddati otgan'!C:C,A55,'muddati otgan'!J:J,"Kadastr qiymatini hisoblash va kiritish")</f>
        <v>0</v>
      </c>
      <c r="BG55" s="11">
        <f>+COUNTIFS('muddati otgan'!C:C,A55,'muddati otgan'!J:J,"Kadastr raqam biriktirish")</f>
        <v>0</v>
      </c>
      <c r="BH55" s="11">
        <f>+COUNTIFS('muddati otgan'!C:C,A55,'muddati otgan'!J:J,"Kadastr yig'ma jildni tayyorlash")</f>
        <v>0</v>
      </c>
      <c r="BI55" s="11">
        <f>+COUNTIFS('muddati otgan'!C:C,A55,'muddati otgan'!J:J,"Huquqni yaratish")</f>
        <v>0</v>
      </c>
      <c r="BJ55" s="11">
        <f>+COUNTIFS('muddati otgan'!C:C,A55,'muddati otgan'!J:J,"Hujjatlarni o'rganish")</f>
        <v>0</v>
      </c>
      <c r="BK55" s="11">
        <f>+COUNTIFS('muddati otgan'!C:C,A55,'muddati otgan'!J:J,"Ma'lumotlarni tekshirish")</f>
        <v>0</v>
      </c>
      <c r="BL55" s="11">
        <f t="shared" si="66"/>
        <v>0</v>
      </c>
      <c r="BM55" s="11">
        <f>+COUNTIFS('muddati otgan'!C:C,A55,'muddati otgan'!J:J,"Tekshirish")</f>
        <v>0</v>
      </c>
      <c r="BN55" s="11">
        <f>+COUNTIFS('muddati otgan'!C:C,A55,'muddati otgan'!J:J,"Hujjatlarni tekshirish")</f>
        <v>0</v>
      </c>
      <c r="BO55" s="11">
        <f>+COUNTIFS('muddati otgan'!C:C,A55,'muddati otgan'!J:J,"Tasdiqlash")</f>
        <v>0</v>
      </c>
      <c r="BP55" s="11">
        <f>+COUNTIFS('muddati otgan'!C:C,A55,'muddati otgan'!J:J,"tekshirish/tasdiqlash")</f>
        <v>0</v>
      </c>
      <c r="BQ55" s="11">
        <f>+COUNTIFS('muddati otgan'!C:C,A55,'muddati otgan'!J:J,"Ma'lumotlarni tasdiqlash")</f>
        <v>0</v>
      </c>
      <c r="BR55" s="11">
        <f t="shared" si="32"/>
        <v>0</v>
      </c>
      <c r="BS55" s="11">
        <f>+COUNTIFS('muddati otgan'!C:C,A55,'muddati otgan'!J:J,"Ro'yxatdan o'tkazish ma'lumotlarini tekshirish")</f>
        <v>0</v>
      </c>
      <c r="BT55" s="11">
        <f>+COUNTIFS('muddati otgan'!C:C,A55,'muddati otgan'!J:J,"Kamchiliklar bo'yicha habarnoma yuborish va 3 kunga to'xtatish")</f>
        <v>0</v>
      </c>
      <c r="BU55" s="11">
        <f>+COUNTIFS('muddati otgan'!C:C,A55,'muddati otgan'!J:J,"Hisobga olish")</f>
        <v>0</v>
      </c>
      <c r="BV55" s="11">
        <f>+COUNTIFS('muddati otgan'!C:C,A55,'muddati otgan'!J:J,"Yer uchastkasiga huquq yaratish")</f>
        <v>0</v>
      </c>
      <c r="BW55" s="11">
        <f>+COUNTIFS('muddati otgan'!C:C,A55,'muddati otgan'!J:J,"Bino-inshootga huquq yaratish")</f>
        <v>0</v>
      </c>
      <c r="BX55" s="11">
        <f>+COUNTIFS('muddati otgan'!C:C,A55,'muddati otgan'!J:J,"Cheklov yaratish")</f>
        <v>0</v>
      </c>
      <c r="BY55" s="11">
        <f>+COUNTIFS('muddati otgan'!C:C,A55,'muddati otgan'!J:J,"Taqiq yaratish")</f>
        <v>0</v>
      </c>
      <c r="BZ55" s="11">
        <f t="shared" si="33"/>
        <v>0</v>
      </c>
      <c r="CA55" s="11">
        <f>+COUNTIFS('muddati otgan'!C:C,A55,'muddati otgan'!J:J,"Soliq maydonini tekshirish")</f>
        <v>0</v>
      </c>
      <c r="CB55" s="11">
        <f t="shared" si="34"/>
        <v>0</v>
      </c>
      <c r="CC55" s="11">
        <f>+COUNTIFS('muddati otgan'!C:C,A55,'muddati otgan'!J:J,"Kadastr yig'majildini shakllantirish")</f>
        <v>0</v>
      </c>
      <c r="CD55" s="11">
        <f t="shared" si="35"/>
        <v>0</v>
      </c>
      <c r="CE55" s="11">
        <f>+COUNTIFS('muddati otgan'!C:C,A55,'muddati otgan'!J:J,"Kadastr passportini shakllantirish")</f>
        <v>0</v>
      </c>
      <c r="CF55" s="11">
        <f>+COUNTIFS('muddati otgan'!C:C,A55,'muddati otgan'!J:J,"Yig'ma jildni tasdiqlash")</f>
        <v>0</v>
      </c>
      <c r="CG55" s="11">
        <f>+COUNTIFS('muddati otgan'!C:C,A55,'muddati otgan'!J:J,"To'lov yoki bepul tasdiqlash")</f>
        <v>0</v>
      </c>
      <c r="CH55" s="11">
        <f>+COUNTIFS('muddati otgan'!C:C,A55,'muddati otgan'!J:J,"Bog'liq arizani kutish")</f>
        <v>0</v>
      </c>
      <c r="CI55" s="11">
        <f>+COUNTIFS('muddati otgan'!C:C,A55,'muddati otgan'!J:J,"To'lovga chiqarish")</f>
        <v>0</v>
      </c>
      <c r="CJ55" s="11">
        <f>+COUNTIFS('muddati otgan'!C:C,A55,'muddati otgan'!J:J,"Hisobga qo'yish")</f>
        <v>0</v>
      </c>
      <c r="CK55" s="6">
        <f>+COUNTIFS('muddati otgan'!C:C,A55,'muddati otgan'!J:J,"To'lov kutilmoqda")</f>
        <v>0</v>
      </c>
      <c r="CL55" s="11">
        <f t="shared" si="36"/>
        <v>0</v>
      </c>
      <c r="CM55" s="11">
        <f>+COUNTIFS('muddati otgan'!C:C,A55,'muddati otgan'!AA:AA,"Arizani qabul qilish2")</f>
        <v>0</v>
      </c>
      <c r="CN55" s="11">
        <f>+COUNTIFS('muddati otgan'!C:C,A55,'muddati otgan'!J:J,"Huquqlarni tekshirish")</f>
        <v>0</v>
      </c>
      <c r="CO55" s="11">
        <f>+COUNTIFS('muddati otgan'!C:C,A55,'muddati otgan'!J:J,"Ko'chmas mulkni ro'yhatdan o'tkazishga qabul qilish")</f>
        <v>0</v>
      </c>
      <c r="CP55" s="11">
        <f>+COUNTIFS('muddati otgan'!C:C,A55,'muddati otgan'!J:J,"Ro'yxatdan o'tkazish")</f>
        <v>0</v>
      </c>
      <c r="CQ55" s="11">
        <f>+COUNTIFS('muddati otgan'!C:C,A55,'muddati otgan'!J:J,"Kadastr pasporti va ko'chirmani yuborish")</f>
        <v>0</v>
      </c>
      <c r="CR55" s="11">
        <f>+COUNTIFS('muddati otgan'!C:C,A55,'muddati otgan'!AA:AA,"Rad qilish2")</f>
        <v>0</v>
      </c>
      <c r="CS55" s="11">
        <f>+COUNTIFS('muddati otgan'!C:C,A55,'muddati otgan'!J:J,"Ko'chirmani yuborish")</f>
        <v>0</v>
      </c>
      <c r="CT55" s="11">
        <f>+COUNTIFS('muddati otgan'!C:C,A55,'muddati otgan'!J:J,"Ma‘lumotlarni tekshirish")</f>
        <v>0</v>
      </c>
      <c r="CU55" s="11">
        <f t="shared" si="37"/>
        <v>0</v>
      </c>
      <c r="CV55" s="11">
        <f>+COUNTIFS('muddati otgan'!C:C,A55,'muddati otgan'!J:J,"Kadastr yig'majildini chop etish va arxiv ishiga tikish")</f>
        <v>0</v>
      </c>
      <c r="CW55" s="11">
        <f t="shared" si="38"/>
        <v>0</v>
      </c>
      <c r="CX55" s="11">
        <f>+COUNTIFS('muddati otgan'!C:C,A55,'muddati otgan'!J:J,"Kadastr yig‘majildini qabul qilish, arizani yakunlash")</f>
        <v>0</v>
      </c>
      <c r="CY55" s="11">
        <f>+COUNTIFS('muddati otgan'!C:C,A55,'muddati otgan'!J:J,"Next Cloudga yuklash")</f>
        <v>0</v>
      </c>
      <c r="CZ55" s="6">
        <f>+COUNTIFS('muddati otgan'!C:C,A55,'muddati otgan'!J:J,"Kelishish kutilmoqda")</f>
        <v>0</v>
      </c>
      <c r="DA55" s="6">
        <f>+COUNTIFS('muddati otgan'!C:C,A55,'muddati otgan'!J:J,"Yakunlandi")</f>
        <v>0</v>
      </c>
      <c r="DB55" s="10">
        <f>+COUNTIFS('muddati otgan'!C:C,A55,'muddati otgan'!J:J,"Rad etildi")</f>
        <v>0</v>
      </c>
      <c r="DC55" s="100">
        <f t="shared" si="5"/>
        <v>0</v>
      </c>
      <c r="DD55" s="44">
        <f>COUNTIFS('jami 1-20 kunlik arizalar'!C:C,A:A,'jami 1-20 kunlik arizalar'!S:S,"1")</f>
        <v>0</v>
      </c>
      <c r="DE55" s="11">
        <f>COUNTIFS('jami 1-20 kunlik arizalar'!C:C,A:A,'jami 1-20 kunlik arizalar'!S:S,"2")</f>
        <v>0</v>
      </c>
      <c r="DF55" s="11">
        <f>COUNTIFS('jami 1-20 kunlik arizalar'!C:C,A:A,'jami 1-20 kunlik arizalar'!S:S,"3")</f>
        <v>1</v>
      </c>
      <c r="DG55" s="11">
        <f>COUNTIFS('jami 1-20 kunlik arizalar'!C:C,A:A,'jami 1-20 kunlik arizalar'!S:S,"4")</f>
        <v>2</v>
      </c>
      <c r="DH55" s="11">
        <f>COUNTIFS('jami 1-20 kunlik arizalar'!C:C,A:A,'jami 1-20 kunlik arizalar'!S:S,"5")</f>
        <v>1</v>
      </c>
      <c r="DI55" s="11">
        <f>SUM(COUNTIFS('jami 1-20 kunlik arizalar'!C:C,A:A, 'jami 1-20 kunlik arizalar'!S:S, {6,7,8,9,10}))</f>
        <v>7</v>
      </c>
      <c r="DJ55" s="12">
        <f>SUM(COUNTIFS('jami 1-20 kunlik arizalar'!C:C,A:A, 'jami 1-20 kunlik arizalar'!S:S, "&gt;10"))</f>
        <v>2</v>
      </c>
    </row>
    <row r="56" spans="1:115" ht="33" hidden="1" customHeight="1" outlineLevel="1" x14ac:dyDescent="0.25">
      <c r="A56" s="92" t="s">
        <v>625</v>
      </c>
      <c r="B56" s="106" t="s">
        <v>959</v>
      </c>
      <c r="C56" s="85" t="s">
        <v>782</v>
      </c>
      <c r="D56" s="80">
        <f>+COUNTIFS('muddati otgan'!C:C,A56,'muddati otgan'!C:C,A56)</f>
        <v>1</v>
      </c>
      <c r="E56" s="10">
        <f>SUMIFS('muddati otgan'!$V:V,'muddati otgan'!$C:C,$A:A)</f>
        <v>0</v>
      </c>
      <c r="F56" s="10">
        <f>SUMIFS('muddati otgan'!$W:W,'muddati otgan'!$C:C,$A:A)</f>
        <v>0</v>
      </c>
      <c r="G56" s="24">
        <f>SUMIFS('muddati otgan'!$U:U,'muddati otgan'!$C:C,$A:A)</f>
        <v>1</v>
      </c>
      <c r="H56" s="11">
        <f>SUMIFS('muddati otgan'!$G:G,'muddati otgan'!$C:C,$A:A)</f>
        <v>0</v>
      </c>
      <c r="I56" s="12">
        <f>SUMIFS('muddati otgan'!$H:H,'muddati otgan'!$C:C,$A:A)</f>
        <v>1</v>
      </c>
      <c r="J56" s="44">
        <f t="shared" si="58"/>
        <v>0</v>
      </c>
      <c r="K56" s="11">
        <f>+COUNTIFS('muddati otgan'!C:C,A56,'muddati otgan'!AA:AA,"Arizani qabul qilish")</f>
        <v>0</v>
      </c>
      <c r="L56" s="11">
        <f>+COUNTIFS('muddati otgan'!C:C,A56,'muddati otgan'!J:J,"Arizani rad etish")</f>
        <v>0</v>
      </c>
      <c r="M56" s="11">
        <f>+COUNTIFS('muddati otgan'!C:C,A56,'muddati otgan'!J:J,"Arizani tasdiqlash")</f>
        <v>0</v>
      </c>
      <c r="N56" s="11">
        <f>+COUNTIFS('muddati otgan'!C:C,A56,'muddati otgan'!J:J,"Arizani yo'naltirish")</f>
        <v>0</v>
      </c>
      <c r="O56" s="11">
        <f>+COUNTIFS('muddati otgan'!C:C,A56,'muddati otgan'!J:J,"Rad qilish sababini o'rganish")</f>
        <v>0</v>
      </c>
      <c r="P56" s="11">
        <f>+COUNTIFS('muddati otgan'!C:C,A56,'muddati otgan'!J:J,"Ko'chmas mulkni UZKAD ga migratsiya qilish")</f>
        <v>0</v>
      </c>
      <c r="Q56" s="11">
        <f>+COUNTIFS('muddati otgan'!C:C,A56,'muddati otgan'!J:J,"Migratisya qilingan obyekt holatini tekshirish")</f>
        <v>0</v>
      </c>
      <c r="R56" s="11">
        <f>+COUNTIFS('muddati otgan'!C:C,A56,'muddati otgan'!J:J,"Ko‘chmas mulkni tanlash")</f>
        <v>0</v>
      </c>
      <c r="S56" s="11">
        <f>+COUNTIFS('muddati otgan'!C:C,A56,'muddati otgan'!J:J,"Arizani ko'rib chiqish")</f>
        <v>0</v>
      </c>
      <c r="T56" s="11">
        <f>+COUNTIFS('muddati otgan'!C:C,A56,'muddati otgan'!J:J,"Kadastr muhandisini tanlash")</f>
        <v>0</v>
      </c>
      <c r="U56" s="11">
        <f>+COUNTIFS('muddati otgan'!C:C,A56,'muddati otgan'!J:J,"Ko'chmas mulk turini tanlahsh")</f>
        <v>0</v>
      </c>
      <c r="V56" s="11">
        <f>+COUNTIFS('muddati otgan'!C:C,A56,'muddati otgan'!AA:AA,"Rad qilish")</f>
        <v>0</v>
      </c>
      <c r="W56" s="11">
        <f>+COUNTIFS('muddati otgan'!C:C,A56,'muddati otgan'!J:J,"ijrochi tanlash")</f>
        <v>0</v>
      </c>
      <c r="X56" s="11">
        <f>+COUNTIFS('muddati otgan'!C:C,A56,'muddati otgan'!J:J,"Ko'chmas mulk turini tanlash")</f>
        <v>0</v>
      </c>
      <c r="Y56" s="11">
        <f t="shared" si="59"/>
        <v>0</v>
      </c>
      <c r="Z56" s="11">
        <f>+COUNTIFS('muddati otgan'!C:C,A56,'muddati otgan'!J:J,"Ijroga qabul qilish")</f>
        <v>0</v>
      </c>
      <c r="AA56" s="11">
        <f>+COUNTIFS('muddati otgan'!C:C,A56,'muddati otgan'!J:J,"Joyida o'rganish va ma'lumotlarni kiritish")</f>
        <v>0</v>
      </c>
      <c r="AB56" s="11">
        <f>+COUNTIFS('muddati otgan'!C:C,A56,'muddati otgan'!J:J,"Asosiy qismdan ajratish jarayonida")</f>
        <v>0</v>
      </c>
      <c r="AC56" s="11">
        <f>+COUNTIFS('muddati otgan'!C:C,A56,'muddati otgan'!J:J,"Umumiy foydalanishdagi obyekt yaratilish")</f>
        <v>0</v>
      </c>
      <c r="AD56" s="11">
        <f>+COUNTIFS('muddati otgan'!C:C,A56,'muddati otgan'!J:J,"Migratsiya qilinadigan kadastr raqamini kiritish")</f>
        <v>0</v>
      </c>
      <c r="AE56" s="11">
        <f>+COUNTIFS('muddati otgan'!C:C,A56,'muddati otgan'!J:J,"O'zida qolgan obyektni yaratish")</f>
        <v>0</v>
      </c>
      <c r="AF56" s="11">
        <f>+COUNTIFS('muddati otgan'!C:C,A56,'muddati otgan'!J:J,"O'lchov natijalarini kiritish")</f>
        <v>0</v>
      </c>
      <c r="AG56" s="11">
        <f>+COUNTIFS('muddati otgan'!C:C,A56,'muddati otgan'!J:J,"Topoxaritani tayyorlash (dwg, pdf)")</f>
        <v>0</v>
      </c>
      <c r="AH56" s="11">
        <f t="shared" si="60"/>
        <v>0</v>
      </c>
      <c r="AI56" s="11">
        <f>+COUNTIFS('muddati otgan'!C:C,A56,'muddati otgan'!J:J,"Yer uchastkasini yaratish")</f>
        <v>0</v>
      </c>
      <c r="AJ56" s="11">
        <f t="shared" si="61"/>
        <v>0</v>
      </c>
      <c r="AK56" s="11">
        <f>+COUNTIFS('muddati otgan'!C:C,A56,'muddati otgan'!J:J,"Kelishish (Boshqarma)")</f>
        <v>0</v>
      </c>
      <c r="AL56" s="11">
        <f t="shared" si="62"/>
        <v>0</v>
      </c>
      <c r="AM56" s="11">
        <f>+COUNTIFS('muddati otgan'!C:C,A56,'muddati otgan'!J:J,"Kelishish (DKP)")</f>
        <v>0</v>
      </c>
      <c r="AN56" s="11">
        <f>+COUNTIFS('muddati otgan'!C:C,A56,'muddati otgan'!J:J,"Kelishish")</f>
        <v>0</v>
      </c>
      <c r="AO56" s="11">
        <f>+COUNTIFS('muddati otgan'!C:C,A56,'muddati otgan'!J:J,"Kelishish (Registratsiya DKP)")</f>
        <v>0</v>
      </c>
      <c r="AP56" s="11">
        <f t="shared" si="63"/>
        <v>0</v>
      </c>
      <c r="AQ56" s="11">
        <f>+COUNTIFS('muddati otgan'!C:C,A56,'muddati otgan'!J:J,"Manzil biriktirish")</f>
        <v>0</v>
      </c>
      <c r="AR56" s="11">
        <f>+COUNTIFS('muddati otgan'!C:C,A56,'muddati otgan'!J:J,"Bino va inshootlarni yaratish")</f>
        <v>0</v>
      </c>
      <c r="AS56" s="11">
        <f>+COUNTIFS('muddati otgan'!C:C,A56,'muddati otgan'!J:J,"Dov daraxtlarni yaratish")</f>
        <v>0</v>
      </c>
      <c r="AT56" s="11">
        <f>+COUNTIFS('muddati otgan'!C:C,A56,'muddati otgan'!J:J,"Yer uchastkasini tahrirlash")</f>
        <v>0</v>
      </c>
      <c r="AU56" s="11">
        <f t="shared" si="64"/>
        <v>0</v>
      </c>
      <c r="AV56" s="11">
        <f>+COUNTIFS('muddati otgan'!C:C,A56,'muddati otgan'!J:J,"Yer toifasi va maqsadini kiritish")</f>
        <v>0</v>
      </c>
      <c r="AW56" s="11">
        <f>+COUNTIFS('muddati otgan'!C:C,A56,'muddati otgan'!J:J,"Auksion yer tekshirish")</f>
        <v>0</v>
      </c>
      <c r="AX56" s="11">
        <f>+COUNTIFS('muddati otgan'!C:C,A56,'muddati otgan'!J:J,"Yer turlarini kiritish")</f>
        <v>0</v>
      </c>
      <c r="AY56" s="11">
        <f>+COUNTIFS('muddati otgan'!C:C,A56,'muddati otgan'!J:J,"Ma'lumotlarni kiritish")</f>
        <v>0</v>
      </c>
      <c r="AZ56" s="11">
        <f>+COUNTIFS('muddati otgan'!C:C,A56,'muddati otgan'!J:J,"Yer tekshirish")</f>
        <v>0</v>
      </c>
      <c r="BA56" s="11">
        <f t="shared" si="65"/>
        <v>0</v>
      </c>
      <c r="BB56" s="11">
        <f>+COUNTIFS('muddati otgan'!C:C,A56,'muddati otgan'!J:J,"Bino va inshoot ma'lumotlarini to‘ldirish")</f>
        <v>0</v>
      </c>
      <c r="BC56" s="11">
        <f>+COUNTIFS('muddati otgan'!C:C,A56,'muddati otgan'!J:J,"Inventarizatsiya ma'lumotlarini to‘ldirish")</f>
        <v>0</v>
      </c>
      <c r="BD56" s="11">
        <f>+COUNTIFS('muddati otgan'!C:C,A56,'muddati otgan'!J:J,"Yer uchastkasiga huquqiy hujjatlarni kiritsh")</f>
        <v>0</v>
      </c>
      <c r="BE56" s="11">
        <f>+COUNTIFS('muddati otgan'!C:C,A56,'muddati otgan'!J:J,"Bino-inshootlarga huquqiy hujjatlarni kiritsh")</f>
        <v>0</v>
      </c>
      <c r="BF56" s="11">
        <f>+COUNTIFS('muddati otgan'!C:C,A56,'muddati otgan'!J:J,"Kadastr qiymatini hisoblash va kiritish")</f>
        <v>0</v>
      </c>
      <c r="BG56" s="11">
        <f>+COUNTIFS('muddati otgan'!C:C,A56,'muddati otgan'!J:J,"Kadastr raqam biriktirish")</f>
        <v>0</v>
      </c>
      <c r="BH56" s="11">
        <f>+COUNTIFS('muddati otgan'!C:C,A56,'muddati otgan'!J:J,"Kadastr yig'ma jildni tayyorlash")</f>
        <v>0</v>
      </c>
      <c r="BI56" s="11">
        <f>+COUNTIFS('muddati otgan'!C:C,A56,'muddati otgan'!J:J,"Huquqni yaratish")</f>
        <v>0</v>
      </c>
      <c r="BJ56" s="11">
        <f>+COUNTIFS('muddati otgan'!C:C,A56,'muddati otgan'!J:J,"Hujjatlarni o'rganish")</f>
        <v>0</v>
      </c>
      <c r="BK56" s="11">
        <f>+COUNTIFS('muddati otgan'!C:C,A56,'muddati otgan'!J:J,"Ma'lumotlarni tekshirish")</f>
        <v>0</v>
      </c>
      <c r="BL56" s="11">
        <f t="shared" si="66"/>
        <v>0</v>
      </c>
      <c r="BM56" s="11">
        <f>+COUNTIFS('muddati otgan'!C:C,A56,'muddati otgan'!J:J,"Tekshirish")</f>
        <v>0</v>
      </c>
      <c r="BN56" s="11">
        <f>+COUNTIFS('muddati otgan'!C:C,A56,'muddati otgan'!J:J,"Hujjatlarni tekshirish")</f>
        <v>0</v>
      </c>
      <c r="BO56" s="11">
        <f>+COUNTIFS('muddati otgan'!C:C,A56,'muddati otgan'!J:J,"Tasdiqlash")</f>
        <v>0</v>
      </c>
      <c r="BP56" s="11">
        <f>+COUNTIFS('muddati otgan'!C:C,A56,'muddati otgan'!J:J,"tekshirish/tasdiqlash")</f>
        <v>0</v>
      </c>
      <c r="BQ56" s="11">
        <f>+COUNTIFS('muddati otgan'!C:C,A56,'muddati otgan'!J:J,"Ma'lumotlarni tasdiqlash")</f>
        <v>0</v>
      </c>
      <c r="BR56" s="11">
        <f t="shared" si="32"/>
        <v>0</v>
      </c>
      <c r="BS56" s="11">
        <f>+COUNTIFS('muddati otgan'!C:C,A56,'muddati otgan'!J:J,"Ro'yxatdan o'tkazish ma'lumotlarini tekshirish")</f>
        <v>0</v>
      </c>
      <c r="BT56" s="11">
        <f>+COUNTIFS('muddati otgan'!C:C,A56,'muddati otgan'!J:J,"Kamchiliklar bo'yicha habarnoma yuborish va 3 kunga to'xtatish")</f>
        <v>0</v>
      </c>
      <c r="BU56" s="11">
        <f>+COUNTIFS('muddati otgan'!C:C,A56,'muddati otgan'!J:J,"Hisobga olish")</f>
        <v>0</v>
      </c>
      <c r="BV56" s="11">
        <f>+COUNTIFS('muddati otgan'!C:C,A56,'muddati otgan'!J:J,"Yer uchastkasiga huquq yaratish")</f>
        <v>0</v>
      </c>
      <c r="BW56" s="11">
        <f>+COUNTIFS('muddati otgan'!C:C,A56,'muddati otgan'!J:J,"Bino-inshootga huquq yaratish")</f>
        <v>0</v>
      </c>
      <c r="BX56" s="11">
        <f>+COUNTIFS('muddati otgan'!C:C,A56,'muddati otgan'!J:J,"Cheklov yaratish")</f>
        <v>0</v>
      </c>
      <c r="BY56" s="11">
        <f>+COUNTIFS('muddati otgan'!C:C,A56,'muddati otgan'!J:J,"Taqiq yaratish")</f>
        <v>0</v>
      </c>
      <c r="BZ56" s="11">
        <f t="shared" si="33"/>
        <v>0</v>
      </c>
      <c r="CA56" s="11">
        <f>+COUNTIFS('muddati otgan'!C:C,A56,'muddati otgan'!J:J,"Soliq maydonini tekshirish")</f>
        <v>0</v>
      </c>
      <c r="CB56" s="11">
        <f t="shared" si="34"/>
        <v>1</v>
      </c>
      <c r="CC56" s="11">
        <f>+COUNTIFS('muddati otgan'!C:C,A56,'muddati otgan'!J:J,"Kadastr yig'majildini shakllantirish")</f>
        <v>1</v>
      </c>
      <c r="CD56" s="11">
        <f t="shared" si="35"/>
        <v>0</v>
      </c>
      <c r="CE56" s="11">
        <f>+COUNTIFS('muddati otgan'!C:C,A56,'muddati otgan'!J:J,"Kadastr passportini shakllantirish")</f>
        <v>0</v>
      </c>
      <c r="CF56" s="11">
        <f>+COUNTIFS('muddati otgan'!C:C,A56,'muddati otgan'!J:J,"Yig'ma jildni tasdiqlash")</f>
        <v>0</v>
      </c>
      <c r="CG56" s="11">
        <f>+COUNTIFS('muddati otgan'!C:C,A56,'muddati otgan'!J:J,"To'lov yoki bepul tasdiqlash")</f>
        <v>0</v>
      </c>
      <c r="CH56" s="11">
        <f>+COUNTIFS('muddati otgan'!C:C,A56,'muddati otgan'!J:J,"Bog'liq arizani kutish")</f>
        <v>0</v>
      </c>
      <c r="CI56" s="11">
        <f>+COUNTIFS('muddati otgan'!C:C,A56,'muddati otgan'!J:J,"To'lovga chiqarish")</f>
        <v>0</v>
      </c>
      <c r="CJ56" s="11">
        <f>+COUNTIFS('muddati otgan'!C:C,A56,'muddati otgan'!J:J,"Hisobga qo'yish")</f>
        <v>0</v>
      </c>
      <c r="CK56" s="6">
        <f>+COUNTIFS('muddati otgan'!C:C,A56,'muddati otgan'!J:J,"To'lov kutilmoqda")</f>
        <v>0</v>
      </c>
      <c r="CL56" s="11">
        <f t="shared" si="36"/>
        <v>0</v>
      </c>
      <c r="CM56" s="11">
        <f>+COUNTIFS('muddati otgan'!C:C,A56,'muddati otgan'!AA:AA,"Arizani qabul qilish2")</f>
        <v>0</v>
      </c>
      <c r="CN56" s="11">
        <f>+COUNTIFS('muddati otgan'!C:C,A56,'muddati otgan'!J:J,"Huquqlarni tekshirish")</f>
        <v>0</v>
      </c>
      <c r="CO56" s="11">
        <f>+COUNTIFS('muddati otgan'!C:C,A56,'muddati otgan'!J:J,"Ko'chmas mulkni ro'yhatdan o'tkazishga qabul qilish")</f>
        <v>0</v>
      </c>
      <c r="CP56" s="11">
        <f>+COUNTIFS('muddati otgan'!C:C,A56,'muddati otgan'!J:J,"Ro'yxatdan o'tkazish")</f>
        <v>0</v>
      </c>
      <c r="CQ56" s="11">
        <f>+COUNTIFS('muddati otgan'!C:C,A56,'muddati otgan'!J:J,"Kadastr pasporti va ko'chirmani yuborish")</f>
        <v>0</v>
      </c>
      <c r="CR56" s="11">
        <f>+COUNTIFS('muddati otgan'!C:C,A56,'muddati otgan'!AA:AA,"Rad qilish2")</f>
        <v>0</v>
      </c>
      <c r="CS56" s="11">
        <f>+COUNTIFS('muddati otgan'!C:C,A56,'muddati otgan'!J:J,"Ko'chirmani yuborish")</f>
        <v>0</v>
      </c>
      <c r="CT56" s="11">
        <f>+COUNTIFS('muddati otgan'!C:C,A56,'muddati otgan'!J:J,"Ma‘lumotlarni tekshirish")</f>
        <v>0</v>
      </c>
      <c r="CU56" s="11">
        <f t="shared" si="37"/>
        <v>0</v>
      </c>
      <c r="CV56" s="11">
        <f>+COUNTIFS('muddati otgan'!C:C,A56,'muddati otgan'!J:J,"Kadastr yig'majildini chop etish va arxiv ishiga tikish")</f>
        <v>0</v>
      </c>
      <c r="CW56" s="11">
        <f t="shared" si="38"/>
        <v>0</v>
      </c>
      <c r="CX56" s="11">
        <f>+COUNTIFS('muddati otgan'!C:C,A56,'muddati otgan'!J:J,"Kadastr yig‘majildini qabul qilish, arizani yakunlash")</f>
        <v>0</v>
      </c>
      <c r="CY56" s="11">
        <f>+COUNTIFS('muddati otgan'!C:C,A56,'muddati otgan'!J:J,"Next Cloudga yuklash")</f>
        <v>0</v>
      </c>
      <c r="CZ56" s="6">
        <f>+COUNTIFS('muddati otgan'!C:C,A56,'muddati otgan'!J:J,"Kelishish kutilmoqda")</f>
        <v>0</v>
      </c>
      <c r="DA56" s="6">
        <f>+COUNTIFS('muddati otgan'!C:C,A56,'muddati otgan'!J:J,"Yakunlandi")</f>
        <v>0</v>
      </c>
      <c r="DB56" s="10">
        <f>+COUNTIFS('muddati otgan'!C:C,A56,'muddati otgan'!J:J,"Rad etildi")</f>
        <v>0</v>
      </c>
      <c r="DC56" s="100">
        <f t="shared" si="5"/>
        <v>-1</v>
      </c>
      <c r="DD56" s="44">
        <f>COUNTIFS('jami 1-20 kunlik arizalar'!C:C,A:A,'jami 1-20 kunlik arizalar'!S:S,"1")</f>
        <v>0</v>
      </c>
      <c r="DE56" s="11">
        <f>COUNTIFS('jami 1-20 kunlik arizalar'!C:C,A:A,'jami 1-20 kunlik arizalar'!S:S,"2")</f>
        <v>0</v>
      </c>
      <c r="DF56" s="11">
        <f>COUNTIFS('jami 1-20 kunlik arizalar'!C:C,A:A,'jami 1-20 kunlik arizalar'!S:S,"3")</f>
        <v>0</v>
      </c>
      <c r="DG56" s="11">
        <f>COUNTIFS('jami 1-20 kunlik arizalar'!C:C,A:A,'jami 1-20 kunlik arizalar'!S:S,"4")</f>
        <v>1</v>
      </c>
      <c r="DH56" s="11">
        <f>COUNTIFS('jami 1-20 kunlik arizalar'!C:C,A:A,'jami 1-20 kunlik arizalar'!S:S,"5")</f>
        <v>1</v>
      </c>
      <c r="DI56" s="11">
        <f>SUM(COUNTIFS('jami 1-20 kunlik arizalar'!C:C,A:A, 'jami 1-20 kunlik arizalar'!S:S, {6,7,8,9,10}))</f>
        <v>2</v>
      </c>
      <c r="DJ56" s="12">
        <f>SUM(COUNTIFS('jami 1-20 kunlik arizalar'!C:C,A:A, 'jami 1-20 kunlik arizalar'!S:S, "&gt;10"))</f>
        <v>7</v>
      </c>
    </row>
    <row r="57" spans="1:115" ht="33" hidden="1" customHeight="1" outlineLevel="1" x14ac:dyDescent="0.25">
      <c r="A57" s="92" t="s">
        <v>513</v>
      </c>
      <c r="B57" s="106" t="s">
        <v>959</v>
      </c>
      <c r="C57" s="85" t="s">
        <v>783</v>
      </c>
      <c r="D57" s="80">
        <f>+COUNTIFS('muddati otgan'!C:C,A57,'muddati otgan'!C:C,A57)</f>
        <v>0</v>
      </c>
      <c r="E57" s="10">
        <f>SUMIFS('muddati otgan'!$V:V,'muddati otgan'!$C:C,$A:A)</f>
        <v>0</v>
      </c>
      <c r="F57" s="10">
        <f>SUMIFS('muddati otgan'!$W:W,'muddati otgan'!$C:C,$A:A)</f>
        <v>0</v>
      </c>
      <c r="G57" s="24">
        <f>SUMIFS('muddati otgan'!$U:U,'muddati otgan'!$C:C,$A:A)</f>
        <v>0</v>
      </c>
      <c r="H57" s="11">
        <f>SUMIFS('muddati otgan'!$G:G,'muddati otgan'!$C:C,$A:A)</f>
        <v>0</v>
      </c>
      <c r="I57" s="12">
        <f>SUMIFS('muddati otgan'!$H:H,'muddati otgan'!$C:C,$A:A)</f>
        <v>0</v>
      </c>
      <c r="J57" s="44">
        <f t="shared" si="58"/>
        <v>0</v>
      </c>
      <c r="K57" s="11">
        <f>+COUNTIFS('muddati otgan'!C:C,A57,'muddati otgan'!AA:AA,"Arizani qabul qilish")</f>
        <v>0</v>
      </c>
      <c r="L57" s="11">
        <f>+COUNTIFS('muddati otgan'!C:C,A57,'muddati otgan'!J:J,"Arizani rad etish")</f>
        <v>0</v>
      </c>
      <c r="M57" s="11">
        <f>+COUNTIFS('muddati otgan'!C:C,A57,'muddati otgan'!J:J,"Arizani tasdiqlash")</f>
        <v>0</v>
      </c>
      <c r="N57" s="11">
        <f>+COUNTIFS('muddati otgan'!C:C,A57,'muddati otgan'!J:J,"Arizani yo'naltirish")</f>
        <v>0</v>
      </c>
      <c r="O57" s="11">
        <f>+COUNTIFS('muddati otgan'!C:C,A57,'muddati otgan'!J:J,"Rad qilish sababini o'rganish")</f>
        <v>0</v>
      </c>
      <c r="P57" s="11">
        <f>+COUNTIFS('muddati otgan'!C:C,A57,'muddati otgan'!J:J,"Ko'chmas mulkni UZKAD ga migratsiya qilish")</f>
        <v>0</v>
      </c>
      <c r="Q57" s="11">
        <f>+COUNTIFS('muddati otgan'!C:C,A57,'muddati otgan'!J:J,"Migratisya qilingan obyekt holatini tekshirish")</f>
        <v>0</v>
      </c>
      <c r="R57" s="11">
        <f>+COUNTIFS('muddati otgan'!C:C,A57,'muddati otgan'!J:J,"Ko‘chmas mulkni tanlash")</f>
        <v>0</v>
      </c>
      <c r="S57" s="11">
        <f>+COUNTIFS('muddati otgan'!C:C,A57,'muddati otgan'!J:J,"Arizani ko'rib chiqish")</f>
        <v>0</v>
      </c>
      <c r="T57" s="11">
        <f>+COUNTIFS('muddati otgan'!C:C,A57,'muddati otgan'!J:J,"Kadastr muhandisini tanlash")</f>
        <v>0</v>
      </c>
      <c r="U57" s="11">
        <f>+COUNTIFS('muddati otgan'!C:C,A57,'muddati otgan'!J:J,"Ko'chmas mulk turini tanlahsh")</f>
        <v>0</v>
      </c>
      <c r="V57" s="11">
        <f>+COUNTIFS('muddati otgan'!C:C,A57,'muddati otgan'!AA:AA,"Rad qilish")</f>
        <v>0</v>
      </c>
      <c r="W57" s="11">
        <f>+COUNTIFS('muddati otgan'!C:C,A57,'muddati otgan'!J:J,"ijrochi tanlash")</f>
        <v>0</v>
      </c>
      <c r="X57" s="11">
        <f>+COUNTIFS('muddati otgan'!C:C,A57,'muddati otgan'!J:J,"Ko'chmas mulk turini tanlash")</f>
        <v>0</v>
      </c>
      <c r="Y57" s="11">
        <f t="shared" si="59"/>
        <v>0</v>
      </c>
      <c r="Z57" s="11">
        <f>+COUNTIFS('muddati otgan'!C:C,A57,'muddati otgan'!J:J,"Ijroga qabul qilish")</f>
        <v>0</v>
      </c>
      <c r="AA57" s="11">
        <f>+COUNTIFS('muddati otgan'!C:C,A57,'muddati otgan'!J:J,"Joyida o'rganish va ma'lumotlarni kiritish")</f>
        <v>0</v>
      </c>
      <c r="AB57" s="11">
        <f>+COUNTIFS('muddati otgan'!C:C,A57,'muddati otgan'!J:J,"Asosiy qismdan ajratish jarayonida")</f>
        <v>0</v>
      </c>
      <c r="AC57" s="11">
        <f>+COUNTIFS('muddati otgan'!C:C,A57,'muddati otgan'!J:J,"Umumiy foydalanishdagi obyekt yaratilish")</f>
        <v>0</v>
      </c>
      <c r="AD57" s="11">
        <f>+COUNTIFS('muddati otgan'!C:C,A57,'muddati otgan'!J:J,"Migratsiya qilinadigan kadastr raqamini kiritish")</f>
        <v>0</v>
      </c>
      <c r="AE57" s="11">
        <f>+COUNTIFS('muddati otgan'!C:C,A57,'muddati otgan'!J:J,"O'zida qolgan obyektni yaratish")</f>
        <v>0</v>
      </c>
      <c r="AF57" s="11">
        <f>+COUNTIFS('muddati otgan'!C:C,A57,'muddati otgan'!J:J,"O'lchov natijalarini kiritish")</f>
        <v>0</v>
      </c>
      <c r="AG57" s="11">
        <f>+COUNTIFS('muddati otgan'!C:C,A57,'muddati otgan'!J:J,"Topoxaritani tayyorlash (dwg, pdf)")</f>
        <v>0</v>
      </c>
      <c r="AH57" s="11">
        <f t="shared" si="60"/>
        <v>0</v>
      </c>
      <c r="AI57" s="11">
        <f>+COUNTIFS('muddati otgan'!C:C,A57,'muddati otgan'!J:J,"Yer uchastkasini yaratish")</f>
        <v>0</v>
      </c>
      <c r="AJ57" s="11">
        <f t="shared" si="61"/>
        <v>0</v>
      </c>
      <c r="AK57" s="11">
        <f>+COUNTIFS('muddati otgan'!C:C,A57,'muddati otgan'!J:J,"Kelishish (Boshqarma)")</f>
        <v>0</v>
      </c>
      <c r="AL57" s="11">
        <f t="shared" si="62"/>
        <v>0</v>
      </c>
      <c r="AM57" s="11">
        <f>+COUNTIFS('muddati otgan'!C:C,A57,'muddati otgan'!J:J,"Kelishish (DKP)")</f>
        <v>0</v>
      </c>
      <c r="AN57" s="11">
        <f>+COUNTIFS('muddati otgan'!C:C,A57,'muddati otgan'!J:J,"Kelishish")</f>
        <v>0</v>
      </c>
      <c r="AO57" s="11">
        <f>+COUNTIFS('muddati otgan'!C:C,A57,'muddati otgan'!J:J,"Kelishish (Registratsiya DKP)")</f>
        <v>0</v>
      </c>
      <c r="AP57" s="11">
        <f t="shared" si="63"/>
        <v>0</v>
      </c>
      <c r="AQ57" s="11">
        <f>+COUNTIFS('muddati otgan'!C:C,A57,'muddati otgan'!J:J,"Manzil biriktirish")</f>
        <v>0</v>
      </c>
      <c r="AR57" s="11">
        <f>+COUNTIFS('muddati otgan'!C:C,A57,'muddati otgan'!J:J,"Bino va inshootlarni yaratish")</f>
        <v>0</v>
      </c>
      <c r="AS57" s="11">
        <f>+COUNTIFS('muddati otgan'!C:C,A57,'muddati otgan'!J:J,"Dov daraxtlarni yaratish")</f>
        <v>0</v>
      </c>
      <c r="AT57" s="11">
        <f>+COUNTIFS('muddati otgan'!C:C,A57,'muddati otgan'!J:J,"Yer uchastkasini tahrirlash")</f>
        <v>0</v>
      </c>
      <c r="AU57" s="11">
        <f t="shared" si="64"/>
        <v>0</v>
      </c>
      <c r="AV57" s="11">
        <f>+COUNTIFS('muddati otgan'!C:C,A57,'muddati otgan'!J:J,"Yer toifasi va maqsadini kiritish")</f>
        <v>0</v>
      </c>
      <c r="AW57" s="11">
        <f>+COUNTIFS('muddati otgan'!C:C,A57,'muddati otgan'!J:J,"Auksion yer tekshirish")</f>
        <v>0</v>
      </c>
      <c r="AX57" s="11">
        <f>+COUNTIFS('muddati otgan'!C:C,A57,'muddati otgan'!J:J,"Yer turlarini kiritish")</f>
        <v>0</v>
      </c>
      <c r="AY57" s="11">
        <f>+COUNTIFS('muddati otgan'!C:C,A57,'muddati otgan'!J:J,"Ma'lumotlarni kiritish")</f>
        <v>0</v>
      </c>
      <c r="AZ57" s="11">
        <f>+COUNTIFS('muddati otgan'!C:C,A57,'muddati otgan'!J:J,"Yer tekshirish")</f>
        <v>0</v>
      </c>
      <c r="BA57" s="11">
        <f t="shared" si="65"/>
        <v>0</v>
      </c>
      <c r="BB57" s="11">
        <f>+COUNTIFS('muddati otgan'!C:C,A57,'muddati otgan'!J:J,"Bino va inshoot ma'lumotlarini to‘ldirish")</f>
        <v>0</v>
      </c>
      <c r="BC57" s="11">
        <f>+COUNTIFS('muddati otgan'!C:C,A57,'muddati otgan'!J:J,"Inventarizatsiya ma'lumotlarini to‘ldirish")</f>
        <v>0</v>
      </c>
      <c r="BD57" s="11">
        <f>+COUNTIFS('muddati otgan'!C:C,A57,'muddati otgan'!J:J,"Yer uchastkasiga huquqiy hujjatlarni kiritsh")</f>
        <v>0</v>
      </c>
      <c r="BE57" s="11">
        <f>+COUNTIFS('muddati otgan'!C:C,A57,'muddati otgan'!J:J,"Bino-inshootlarga huquqiy hujjatlarni kiritsh")</f>
        <v>0</v>
      </c>
      <c r="BF57" s="11">
        <f>+COUNTIFS('muddati otgan'!C:C,A57,'muddati otgan'!J:J,"Kadastr qiymatini hisoblash va kiritish")</f>
        <v>0</v>
      </c>
      <c r="BG57" s="11">
        <f>+COUNTIFS('muddati otgan'!C:C,A57,'muddati otgan'!J:J,"Kadastr raqam biriktirish")</f>
        <v>0</v>
      </c>
      <c r="BH57" s="11">
        <f>+COUNTIFS('muddati otgan'!C:C,A57,'muddati otgan'!J:J,"Kadastr yig'ma jildni tayyorlash")</f>
        <v>0</v>
      </c>
      <c r="BI57" s="11">
        <f>+COUNTIFS('muddati otgan'!C:C,A57,'muddati otgan'!J:J,"Huquqni yaratish")</f>
        <v>0</v>
      </c>
      <c r="BJ57" s="11">
        <f>+COUNTIFS('muddati otgan'!C:C,A57,'muddati otgan'!J:J,"Hujjatlarni o'rganish")</f>
        <v>0</v>
      </c>
      <c r="BK57" s="11">
        <f>+COUNTIFS('muddati otgan'!C:C,A57,'muddati otgan'!J:J,"Ma'lumotlarni tekshirish")</f>
        <v>0</v>
      </c>
      <c r="BL57" s="11">
        <f t="shared" si="66"/>
        <v>0</v>
      </c>
      <c r="BM57" s="11">
        <f>+COUNTIFS('muddati otgan'!C:C,A57,'muddati otgan'!J:J,"Tekshirish")</f>
        <v>0</v>
      </c>
      <c r="BN57" s="11">
        <f>+COUNTIFS('muddati otgan'!C:C,A57,'muddati otgan'!J:J,"Hujjatlarni tekshirish")</f>
        <v>0</v>
      </c>
      <c r="BO57" s="11">
        <f>+COUNTIFS('muddati otgan'!C:C,A57,'muddati otgan'!J:J,"Tasdiqlash")</f>
        <v>0</v>
      </c>
      <c r="BP57" s="11">
        <f>+COUNTIFS('muddati otgan'!C:C,A57,'muddati otgan'!J:J,"tekshirish/tasdiqlash")</f>
        <v>0</v>
      </c>
      <c r="BQ57" s="11">
        <f>+COUNTIFS('muddati otgan'!C:C,A57,'muddati otgan'!J:J,"Ma'lumotlarni tasdiqlash")</f>
        <v>0</v>
      </c>
      <c r="BR57" s="11">
        <f t="shared" si="32"/>
        <v>0</v>
      </c>
      <c r="BS57" s="11">
        <f>+COUNTIFS('muddati otgan'!C:C,A57,'muddati otgan'!J:J,"Ro'yxatdan o'tkazish ma'lumotlarini tekshirish")</f>
        <v>0</v>
      </c>
      <c r="BT57" s="11">
        <f>+COUNTIFS('muddati otgan'!C:C,A57,'muddati otgan'!J:J,"Kamchiliklar bo'yicha habarnoma yuborish va 3 kunga to'xtatish")</f>
        <v>0</v>
      </c>
      <c r="BU57" s="11">
        <f>+COUNTIFS('muddati otgan'!C:C,A57,'muddati otgan'!J:J,"Hisobga olish")</f>
        <v>0</v>
      </c>
      <c r="BV57" s="11">
        <f>+COUNTIFS('muddati otgan'!C:C,A57,'muddati otgan'!J:J,"Yer uchastkasiga huquq yaratish")</f>
        <v>0</v>
      </c>
      <c r="BW57" s="11">
        <f>+COUNTIFS('muddati otgan'!C:C,A57,'muddati otgan'!J:J,"Bino-inshootga huquq yaratish")</f>
        <v>0</v>
      </c>
      <c r="BX57" s="11">
        <f>+COUNTIFS('muddati otgan'!C:C,A57,'muddati otgan'!J:J,"Cheklov yaratish")</f>
        <v>0</v>
      </c>
      <c r="BY57" s="11">
        <f>+COUNTIFS('muddati otgan'!C:C,A57,'muddati otgan'!J:J,"Taqiq yaratish")</f>
        <v>0</v>
      </c>
      <c r="BZ57" s="11">
        <f t="shared" si="33"/>
        <v>0</v>
      </c>
      <c r="CA57" s="11">
        <f>+COUNTIFS('muddati otgan'!C:C,A57,'muddati otgan'!J:J,"Soliq maydonini tekshirish")</f>
        <v>0</v>
      </c>
      <c r="CB57" s="11">
        <f t="shared" si="34"/>
        <v>0</v>
      </c>
      <c r="CC57" s="11">
        <f>+COUNTIFS('muddati otgan'!C:C,A57,'muddati otgan'!J:J,"Kadastr yig'majildini shakllantirish")</f>
        <v>0</v>
      </c>
      <c r="CD57" s="11">
        <f t="shared" si="35"/>
        <v>0</v>
      </c>
      <c r="CE57" s="11">
        <f>+COUNTIFS('muddati otgan'!C:C,A57,'muddati otgan'!J:J,"Kadastr passportini shakllantirish")</f>
        <v>0</v>
      </c>
      <c r="CF57" s="11">
        <f>+COUNTIFS('muddati otgan'!C:C,A57,'muddati otgan'!J:J,"Yig'ma jildni tasdiqlash")</f>
        <v>0</v>
      </c>
      <c r="CG57" s="11">
        <f>+COUNTIFS('muddati otgan'!C:C,A57,'muddati otgan'!J:J,"To'lov yoki bepul tasdiqlash")</f>
        <v>0</v>
      </c>
      <c r="CH57" s="11">
        <f>+COUNTIFS('muddati otgan'!C:C,A57,'muddati otgan'!J:J,"Bog'liq arizani kutish")</f>
        <v>0</v>
      </c>
      <c r="CI57" s="11">
        <f>+COUNTIFS('muddati otgan'!C:C,A57,'muddati otgan'!J:J,"To'lovga chiqarish")</f>
        <v>0</v>
      </c>
      <c r="CJ57" s="11">
        <f>+COUNTIFS('muddati otgan'!C:C,A57,'muddati otgan'!J:J,"Hisobga qo'yish")</f>
        <v>0</v>
      </c>
      <c r="CK57" s="6">
        <f>+COUNTIFS('muddati otgan'!C:C,A57,'muddati otgan'!J:J,"To'lov kutilmoqda")</f>
        <v>0</v>
      </c>
      <c r="CL57" s="11">
        <f t="shared" si="36"/>
        <v>0</v>
      </c>
      <c r="CM57" s="11">
        <f>+COUNTIFS('muddati otgan'!C:C,A57,'muddati otgan'!AA:AA,"Arizani qabul qilish2")</f>
        <v>0</v>
      </c>
      <c r="CN57" s="11">
        <f>+COUNTIFS('muddati otgan'!C:C,A57,'muddati otgan'!J:J,"Huquqlarni tekshirish")</f>
        <v>0</v>
      </c>
      <c r="CO57" s="11">
        <f>+COUNTIFS('muddati otgan'!C:C,A57,'muddati otgan'!J:J,"Ko'chmas mulkni ro'yhatdan o'tkazishga qabul qilish")</f>
        <v>0</v>
      </c>
      <c r="CP57" s="11">
        <f>+COUNTIFS('muddati otgan'!C:C,A57,'muddati otgan'!J:J,"Ro'yxatdan o'tkazish")</f>
        <v>0</v>
      </c>
      <c r="CQ57" s="11">
        <f>+COUNTIFS('muddati otgan'!C:C,A57,'muddati otgan'!J:J,"Kadastr pasporti va ko'chirmani yuborish")</f>
        <v>0</v>
      </c>
      <c r="CR57" s="11">
        <f>+COUNTIFS('muddati otgan'!C:C,A57,'muddati otgan'!AA:AA,"Rad qilish2")</f>
        <v>0</v>
      </c>
      <c r="CS57" s="11">
        <f>+COUNTIFS('muddati otgan'!C:C,A57,'muddati otgan'!J:J,"Ko'chirmani yuborish")</f>
        <v>0</v>
      </c>
      <c r="CT57" s="11">
        <f>+COUNTIFS('muddati otgan'!C:C,A57,'muddati otgan'!J:J,"Ma‘lumotlarni tekshirish")</f>
        <v>0</v>
      </c>
      <c r="CU57" s="11">
        <f t="shared" si="37"/>
        <v>0</v>
      </c>
      <c r="CV57" s="11">
        <f>+COUNTIFS('muddati otgan'!C:C,A57,'muddati otgan'!J:J,"Kadastr yig'majildini chop etish va arxiv ishiga tikish")</f>
        <v>0</v>
      </c>
      <c r="CW57" s="11">
        <f t="shared" si="38"/>
        <v>0</v>
      </c>
      <c r="CX57" s="11">
        <f>+COUNTIFS('muddati otgan'!C:C,A57,'muddati otgan'!J:J,"Kadastr yig‘majildini qabul qilish, arizani yakunlash")</f>
        <v>0</v>
      </c>
      <c r="CY57" s="11">
        <f>+COUNTIFS('muddati otgan'!C:C,A57,'muddati otgan'!J:J,"Next Cloudga yuklash")</f>
        <v>0</v>
      </c>
      <c r="CZ57" s="6">
        <f>+COUNTIFS('muddati otgan'!C:C,A57,'muddati otgan'!J:J,"Kelishish kutilmoqda")</f>
        <v>0</v>
      </c>
      <c r="DA57" s="6">
        <f>+COUNTIFS('muddati otgan'!C:C,A57,'muddati otgan'!J:J,"Yakunlandi")</f>
        <v>0</v>
      </c>
      <c r="DB57" s="10">
        <f>+COUNTIFS('muddati otgan'!C:C,A57,'muddati otgan'!J:J,"Rad etildi")</f>
        <v>0</v>
      </c>
      <c r="DC57" s="100">
        <f t="shared" si="5"/>
        <v>0</v>
      </c>
      <c r="DD57" s="44">
        <f>COUNTIFS('jami 1-20 kunlik arizalar'!C:C,A:A,'jami 1-20 kunlik arizalar'!S:S,"1")</f>
        <v>0</v>
      </c>
      <c r="DE57" s="11">
        <f>COUNTIFS('jami 1-20 kunlik arizalar'!C:C,A:A,'jami 1-20 kunlik arizalar'!S:S,"2")</f>
        <v>0</v>
      </c>
      <c r="DF57" s="11">
        <f>COUNTIFS('jami 1-20 kunlik arizalar'!C:C,A:A,'jami 1-20 kunlik arizalar'!S:S,"3")</f>
        <v>0</v>
      </c>
      <c r="DG57" s="11">
        <f>COUNTIFS('jami 1-20 kunlik arizalar'!C:C,A:A,'jami 1-20 kunlik arizalar'!S:S,"4")</f>
        <v>0</v>
      </c>
      <c r="DH57" s="11">
        <f>COUNTIFS('jami 1-20 kunlik arizalar'!C:C,A:A,'jami 1-20 kunlik arizalar'!S:S,"5")</f>
        <v>0</v>
      </c>
      <c r="DI57" s="11">
        <f>SUM(COUNTIFS('jami 1-20 kunlik arizalar'!C:C,A:A, 'jami 1-20 kunlik arizalar'!S:S, {6,7,8,9,10}))</f>
        <v>1</v>
      </c>
      <c r="DJ57" s="12">
        <f>SUM(COUNTIFS('jami 1-20 kunlik arizalar'!C:C,A:A, 'jami 1-20 kunlik arizalar'!S:S, "&gt;10"))</f>
        <v>2</v>
      </c>
    </row>
    <row r="58" spans="1:115" ht="33" hidden="1" customHeight="1" outlineLevel="1" x14ac:dyDescent="0.25">
      <c r="A58" s="92" t="s">
        <v>528</v>
      </c>
      <c r="B58" s="106" t="s">
        <v>959</v>
      </c>
      <c r="C58" s="85" t="s">
        <v>784</v>
      </c>
      <c r="D58" s="80">
        <f>+COUNTIFS('muddati otgan'!C:C,A58,'muddati otgan'!C:C,A58)</f>
        <v>0</v>
      </c>
      <c r="E58" s="10">
        <f>SUMIFS('muddati otgan'!$V:V,'muddati otgan'!$C:C,$A:A)</f>
        <v>0</v>
      </c>
      <c r="F58" s="10">
        <f>SUMIFS('muddati otgan'!$W:W,'muddati otgan'!$C:C,$A:A)</f>
        <v>0</v>
      </c>
      <c r="G58" s="24">
        <f>SUMIFS('muddati otgan'!$U:U,'muddati otgan'!$C:C,$A:A)</f>
        <v>0</v>
      </c>
      <c r="H58" s="11">
        <f>SUMIFS('muddati otgan'!$G:G,'muddati otgan'!$C:C,$A:A)</f>
        <v>0</v>
      </c>
      <c r="I58" s="12">
        <f>SUMIFS('muddati otgan'!$H:H,'muddati otgan'!$C:C,$A:A)</f>
        <v>0</v>
      </c>
      <c r="J58" s="44">
        <f t="shared" si="58"/>
        <v>0</v>
      </c>
      <c r="K58" s="11">
        <f>+COUNTIFS('muddati otgan'!C:C,A58,'muddati otgan'!AA:AA,"Arizani qabul qilish")</f>
        <v>0</v>
      </c>
      <c r="L58" s="11">
        <f>+COUNTIFS('muddati otgan'!C:C,A58,'muddati otgan'!J:J,"Arizani rad etish")</f>
        <v>0</v>
      </c>
      <c r="M58" s="11">
        <f>+COUNTIFS('muddati otgan'!C:C,A58,'muddati otgan'!J:J,"Arizani tasdiqlash")</f>
        <v>0</v>
      </c>
      <c r="N58" s="11">
        <f>+COUNTIFS('muddati otgan'!C:C,A58,'muddati otgan'!J:J,"Arizani yo'naltirish")</f>
        <v>0</v>
      </c>
      <c r="O58" s="11">
        <f>+COUNTIFS('muddati otgan'!C:C,A58,'muddati otgan'!J:J,"Rad qilish sababini o'rganish")</f>
        <v>0</v>
      </c>
      <c r="P58" s="11">
        <f>+COUNTIFS('muddati otgan'!C:C,A58,'muddati otgan'!J:J,"Ko'chmas mulkni UZKAD ga migratsiya qilish")</f>
        <v>0</v>
      </c>
      <c r="Q58" s="11">
        <f>+COUNTIFS('muddati otgan'!C:C,A58,'muddati otgan'!J:J,"Migratisya qilingan obyekt holatini tekshirish")</f>
        <v>0</v>
      </c>
      <c r="R58" s="11">
        <f>+COUNTIFS('muddati otgan'!C:C,A58,'muddati otgan'!J:J,"Ko‘chmas mulkni tanlash")</f>
        <v>0</v>
      </c>
      <c r="S58" s="11">
        <f>+COUNTIFS('muddati otgan'!C:C,A58,'muddati otgan'!J:J,"Arizani ko'rib chiqish")</f>
        <v>0</v>
      </c>
      <c r="T58" s="11">
        <f>+COUNTIFS('muddati otgan'!C:C,A58,'muddati otgan'!J:J,"Kadastr muhandisini tanlash")</f>
        <v>0</v>
      </c>
      <c r="U58" s="11">
        <f>+COUNTIFS('muddati otgan'!C:C,A58,'muddati otgan'!J:J,"Ko'chmas mulk turini tanlahsh")</f>
        <v>0</v>
      </c>
      <c r="V58" s="11">
        <f>+COUNTIFS('muddati otgan'!C:C,A58,'muddati otgan'!AA:AA,"Rad qilish")</f>
        <v>0</v>
      </c>
      <c r="W58" s="11">
        <f>+COUNTIFS('muddati otgan'!C:C,A58,'muddati otgan'!J:J,"ijrochi tanlash")</f>
        <v>0</v>
      </c>
      <c r="X58" s="11">
        <f>+COUNTIFS('muddati otgan'!C:C,A58,'muddati otgan'!J:J,"Ko'chmas mulk turini tanlash")</f>
        <v>0</v>
      </c>
      <c r="Y58" s="11">
        <f t="shared" si="59"/>
        <v>0</v>
      </c>
      <c r="Z58" s="11">
        <f>+COUNTIFS('muddati otgan'!C:C,A58,'muddati otgan'!J:J,"Ijroga qabul qilish")</f>
        <v>0</v>
      </c>
      <c r="AA58" s="11">
        <f>+COUNTIFS('muddati otgan'!C:C,A58,'muddati otgan'!J:J,"Joyida o'rganish va ma'lumotlarni kiritish")</f>
        <v>0</v>
      </c>
      <c r="AB58" s="11">
        <f>+COUNTIFS('muddati otgan'!C:C,A58,'muddati otgan'!J:J,"Asosiy qismdan ajratish jarayonida")</f>
        <v>0</v>
      </c>
      <c r="AC58" s="11">
        <f>+COUNTIFS('muddati otgan'!C:C,A58,'muddati otgan'!J:J,"Umumiy foydalanishdagi obyekt yaratilish")</f>
        <v>0</v>
      </c>
      <c r="AD58" s="11">
        <f>+COUNTIFS('muddati otgan'!C:C,A58,'muddati otgan'!J:J,"Migratsiya qilinadigan kadastr raqamini kiritish")</f>
        <v>0</v>
      </c>
      <c r="AE58" s="11">
        <f>+COUNTIFS('muddati otgan'!C:C,A58,'muddati otgan'!J:J,"O'zida qolgan obyektni yaratish")</f>
        <v>0</v>
      </c>
      <c r="AF58" s="11">
        <f>+COUNTIFS('muddati otgan'!C:C,A58,'muddati otgan'!J:J,"O'lchov natijalarini kiritish")</f>
        <v>0</v>
      </c>
      <c r="AG58" s="11">
        <f>+COUNTIFS('muddati otgan'!C:C,A58,'muddati otgan'!J:J,"Topoxaritani tayyorlash (dwg, pdf)")</f>
        <v>0</v>
      </c>
      <c r="AH58" s="11">
        <f t="shared" si="60"/>
        <v>0</v>
      </c>
      <c r="AI58" s="11">
        <f>+COUNTIFS('muddati otgan'!C:C,A58,'muddati otgan'!J:J,"Yer uchastkasini yaratish")</f>
        <v>0</v>
      </c>
      <c r="AJ58" s="11">
        <f t="shared" si="61"/>
        <v>0</v>
      </c>
      <c r="AK58" s="11">
        <f>+COUNTIFS('muddati otgan'!C:C,A58,'muddati otgan'!J:J,"Kelishish (Boshqarma)")</f>
        <v>0</v>
      </c>
      <c r="AL58" s="11">
        <f t="shared" si="62"/>
        <v>0</v>
      </c>
      <c r="AM58" s="11">
        <f>+COUNTIFS('muddati otgan'!C:C,A58,'muddati otgan'!J:J,"Kelishish (DKP)")</f>
        <v>0</v>
      </c>
      <c r="AN58" s="11">
        <f>+COUNTIFS('muddati otgan'!C:C,A58,'muddati otgan'!J:J,"Kelishish")</f>
        <v>0</v>
      </c>
      <c r="AO58" s="11">
        <f>+COUNTIFS('muddati otgan'!C:C,A58,'muddati otgan'!J:J,"Kelishish (Registratsiya DKP)")</f>
        <v>0</v>
      </c>
      <c r="AP58" s="11">
        <f t="shared" si="63"/>
        <v>0</v>
      </c>
      <c r="AQ58" s="11">
        <f>+COUNTIFS('muddati otgan'!C:C,A58,'muddati otgan'!J:J,"Manzil biriktirish")</f>
        <v>0</v>
      </c>
      <c r="AR58" s="11">
        <f>+COUNTIFS('muddati otgan'!C:C,A58,'muddati otgan'!J:J,"Bino va inshootlarni yaratish")</f>
        <v>0</v>
      </c>
      <c r="AS58" s="11">
        <f>+COUNTIFS('muddati otgan'!C:C,A58,'muddati otgan'!J:J,"Dov daraxtlarni yaratish")</f>
        <v>0</v>
      </c>
      <c r="AT58" s="11">
        <f>+COUNTIFS('muddati otgan'!C:C,A58,'muddati otgan'!J:J,"Yer uchastkasini tahrirlash")</f>
        <v>0</v>
      </c>
      <c r="AU58" s="11">
        <f t="shared" si="64"/>
        <v>0</v>
      </c>
      <c r="AV58" s="11">
        <f>+COUNTIFS('muddati otgan'!C:C,A58,'muddati otgan'!J:J,"Yer toifasi va maqsadini kiritish")</f>
        <v>0</v>
      </c>
      <c r="AW58" s="11">
        <f>+COUNTIFS('muddati otgan'!C:C,A58,'muddati otgan'!J:J,"Auksion yer tekshirish")</f>
        <v>0</v>
      </c>
      <c r="AX58" s="11">
        <f>+COUNTIFS('muddati otgan'!C:C,A58,'muddati otgan'!J:J,"Yer turlarini kiritish")</f>
        <v>0</v>
      </c>
      <c r="AY58" s="11">
        <f>+COUNTIFS('muddati otgan'!C:C,A58,'muddati otgan'!J:J,"Ma'lumotlarni kiritish")</f>
        <v>0</v>
      </c>
      <c r="AZ58" s="11">
        <f>+COUNTIFS('muddati otgan'!C:C,A58,'muddati otgan'!J:J,"Yer tekshirish")</f>
        <v>0</v>
      </c>
      <c r="BA58" s="11">
        <f t="shared" si="65"/>
        <v>0</v>
      </c>
      <c r="BB58" s="11">
        <f>+COUNTIFS('muddati otgan'!C:C,A58,'muddati otgan'!J:J,"Bino va inshoot ma'lumotlarini to‘ldirish")</f>
        <v>0</v>
      </c>
      <c r="BC58" s="11">
        <f>+COUNTIFS('muddati otgan'!C:C,A58,'muddati otgan'!J:J,"Inventarizatsiya ma'lumotlarini to‘ldirish")</f>
        <v>0</v>
      </c>
      <c r="BD58" s="11">
        <f>+COUNTIFS('muddati otgan'!C:C,A58,'muddati otgan'!J:J,"Yer uchastkasiga huquqiy hujjatlarni kiritsh")</f>
        <v>0</v>
      </c>
      <c r="BE58" s="11">
        <f>+COUNTIFS('muddati otgan'!C:C,A58,'muddati otgan'!J:J,"Bino-inshootlarga huquqiy hujjatlarni kiritsh")</f>
        <v>0</v>
      </c>
      <c r="BF58" s="11">
        <f>+COUNTIFS('muddati otgan'!C:C,A58,'muddati otgan'!J:J,"Kadastr qiymatini hisoblash va kiritish")</f>
        <v>0</v>
      </c>
      <c r="BG58" s="11">
        <f>+COUNTIFS('muddati otgan'!C:C,A58,'muddati otgan'!J:J,"Kadastr raqam biriktirish")</f>
        <v>0</v>
      </c>
      <c r="BH58" s="11">
        <f>+COUNTIFS('muddati otgan'!C:C,A58,'muddati otgan'!J:J,"Kadastr yig'ma jildni tayyorlash")</f>
        <v>0</v>
      </c>
      <c r="BI58" s="11">
        <f>+COUNTIFS('muddati otgan'!C:C,A58,'muddati otgan'!J:J,"Huquqni yaratish")</f>
        <v>0</v>
      </c>
      <c r="BJ58" s="11">
        <f>+COUNTIFS('muddati otgan'!C:C,A58,'muddati otgan'!J:J,"Hujjatlarni o'rganish")</f>
        <v>0</v>
      </c>
      <c r="BK58" s="11">
        <f>+COUNTIFS('muddati otgan'!C:C,A58,'muddati otgan'!J:J,"Ma'lumotlarni tekshirish")</f>
        <v>0</v>
      </c>
      <c r="BL58" s="11">
        <f t="shared" si="66"/>
        <v>0</v>
      </c>
      <c r="BM58" s="11">
        <f>+COUNTIFS('muddati otgan'!C:C,A58,'muddati otgan'!J:J,"Tekshirish")</f>
        <v>0</v>
      </c>
      <c r="BN58" s="11">
        <f>+COUNTIFS('muddati otgan'!C:C,A58,'muddati otgan'!J:J,"Hujjatlarni tekshirish")</f>
        <v>0</v>
      </c>
      <c r="BO58" s="11">
        <f>+COUNTIFS('muddati otgan'!C:C,A58,'muddati otgan'!J:J,"Tasdiqlash")</f>
        <v>0</v>
      </c>
      <c r="BP58" s="11">
        <f>+COUNTIFS('muddati otgan'!C:C,A58,'muddati otgan'!J:J,"tekshirish/tasdiqlash")</f>
        <v>0</v>
      </c>
      <c r="BQ58" s="11">
        <f>+COUNTIFS('muddati otgan'!C:C,A58,'muddati otgan'!J:J,"Ma'lumotlarni tasdiqlash")</f>
        <v>0</v>
      </c>
      <c r="BR58" s="11">
        <f t="shared" si="32"/>
        <v>0</v>
      </c>
      <c r="BS58" s="11">
        <f>+COUNTIFS('muddati otgan'!C:C,A58,'muddati otgan'!J:J,"Ro'yxatdan o'tkazish ma'lumotlarini tekshirish")</f>
        <v>0</v>
      </c>
      <c r="BT58" s="11">
        <f>+COUNTIFS('muddati otgan'!C:C,A58,'muddati otgan'!J:J,"Kamchiliklar bo'yicha habarnoma yuborish va 3 kunga to'xtatish")</f>
        <v>0</v>
      </c>
      <c r="BU58" s="11">
        <f>+COUNTIFS('muddati otgan'!C:C,A58,'muddati otgan'!J:J,"Hisobga olish")</f>
        <v>0</v>
      </c>
      <c r="BV58" s="11">
        <f>+COUNTIFS('muddati otgan'!C:C,A58,'muddati otgan'!J:J,"Yer uchastkasiga huquq yaratish")</f>
        <v>0</v>
      </c>
      <c r="BW58" s="11">
        <f>+COUNTIFS('muddati otgan'!C:C,A58,'muddati otgan'!J:J,"Bino-inshootga huquq yaratish")</f>
        <v>0</v>
      </c>
      <c r="BX58" s="11">
        <f>+COUNTIFS('muddati otgan'!C:C,A58,'muddati otgan'!J:J,"Cheklov yaratish")</f>
        <v>0</v>
      </c>
      <c r="BY58" s="11">
        <f>+COUNTIFS('muddati otgan'!C:C,A58,'muddati otgan'!J:J,"Taqiq yaratish")</f>
        <v>0</v>
      </c>
      <c r="BZ58" s="11">
        <f t="shared" si="33"/>
        <v>0</v>
      </c>
      <c r="CA58" s="11">
        <f>+COUNTIFS('muddati otgan'!C:C,A58,'muddati otgan'!J:J,"Soliq maydonini tekshirish")</f>
        <v>0</v>
      </c>
      <c r="CB58" s="11">
        <f t="shared" si="34"/>
        <v>0</v>
      </c>
      <c r="CC58" s="11">
        <f>+COUNTIFS('muddati otgan'!C:C,A58,'muddati otgan'!J:J,"Kadastr yig'majildini shakllantirish")</f>
        <v>0</v>
      </c>
      <c r="CD58" s="11">
        <f t="shared" si="35"/>
        <v>0</v>
      </c>
      <c r="CE58" s="11">
        <f>+COUNTIFS('muddati otgan'!C:C,A58,'muddati otgan'!J:J,"Kadastr passportini shakllantirish")</f>
        <v>0</v>
      </c>
      <c r="CF58" s="11">
        <f>+COUNTIFS('muddati otgan'!C:C,A58,'muddati otgan'!J:J,"Yig'ma jildni tasdiqlash")</f>
        <v>0</v>
      </c>
      <c r="CG58" s="11">
        <f>+COUNTIFS('muddati otgan'!C:C,A58,'muddati otgan'!J:J,"To'lov yoki bepul tasdiqlash")</f>
        <v>0</v>
      </c>
      <c r="CH58" s="11">
        <f>+COUNTIFS('muddati otgan'!C:C,A58,'muddati otgan'!J:J,"Bog'liq arizani kutish")</f>
        <v>0</v>
      </c>
      <c r="CI58" s="11">
        <f>+COUNTIFS('muddati otgan'!C:C,A58,'muddati otgan'!J:J,"To'lovga chiqarish")</f>
        <v>0</v>
      </c>
      <c r="CJ58" s="11">
        <f>+COUNTIFS('muddati otgan'!C:C,A58,'muddati otgan'!J:J,"Hisobga qo'yish")</f>
        <v>0</v>
      </c>
      <c r="CK58" s="6">
        <f>+COUNTIFS('muddati otgan'!C:C,A58,'muddati otgan'!J:J,"To'lov kutilmoqda")</f>
        <v>0</v>
      </c>
      <c r="CL58" s="11">
        <f t="shared" si="36"/>
        <v>0</v>
      </c>
      <c r="CM58" s="11">
        <f>+COUNTIFS('muddati otgan'!C:C,A58,'muddati otgan'!AA:AA,"Arizani qabul qilish2")</f>
        <v>0</v>
      </c>
      <c r="CN58" s="11">
        <f>+COUNTIFS('muddati otgan'!C:C,A58,'muddati otgan'!J:J,"Huquqlarni tekshirish")</f>
        <v>0</v>
      </c>
      <c r="CO58" s="11">
        <f>+COUNTIFS('muddati otgan'!C:C,A58,'muddati otgan'!J:J,"Ko'chmas mulkni ro'yhatdan o'tkazishga qabul qilish")</f>
        <v>0</v>
      </c>
      <c r="CP58" s="11">
        <f>+COUNTIFS('muddati otgan'!C:C,A58,'muddati otgan'!J:J,"Ro'yxatdan o'tkazish")</f>
        <v>0</v>
      </c>
      <c r="CQ58" s="11">
        <f>+COUNTIFS('muddati otgan'!C:C,A58,'muddati otgan'!J:J,"Kadastr pasporti va ko'chirmani yuborish")</f>
        <v>0</v>
      </c>
      <c r="CR58" s="11">
        <f>+COUNTIFS('muddati otgan'!C:C,A58,'muddati otgan'!AA:AA,"Rad qilish2")</f>
        <v>0</v>
      </c>
      <c r="CS58" s="11">
        <f>+COUNTIFS('muddati otgan'!C:C,A58,'muddati otgan'!J:J,"Ko'chirmani yuborish")</f>
        <v>0</v>
      </c>
      <c r="CT58" s="11">
        <f>+COUNTIFS('muddati otgan'!C:C,A58,'muddati otgan'!J:J,"Ma‘lumotlarni tekshirish")</f>
        <v>0</v>
      </c>
      <c r="CU58" s="11">
        <f t="shared" si="37"/>
        <v>0</v>
      </c>
      <c r="CV58" s="11">
        <f>+COUNTIFS('muddati otgan'!C:C,A58,'muddati otgan'!J:J,"Kadastr yig'majildini chop etish va arxiv ishiga tikish")</f>
        <v>0</v>
      </c>
      <c r="CW58" s="11">
        <f t="shared" si="38"/>
        <v>0</v>
      </c>
      <c r="CX58" s="11">
        <f>+COUNTIFS('muddati otgan'!C:C,A58,'muddati otgan'!J:J,"Kadastr yig‘majildini qabul qilish, arizani yakunlash")</f>
        <v>0</v>
      </c>
      <c r="CY58" s="11">
        <f>+COUNTIFS('muddati otgan'!C:C,A58,'muddati otgan'!J:J,"Next Cloudga yuklash")</f>
        <v>0</v>
      </c>
      <c r="CZ58" s="6">
        <f>+COUNTIFS('muddati otgan'!C:C,A58,'muddati otgan'!J:J,"Kelishish kutilmoqda")</f>
        <v>0</v>
      </c>
      <c r="DA58" s="6">
        <f>+COUNTIFS('muddati otgan'!C:C,A58,'muddati otgan'!J:J,"Yakunlandi")</f>
        <v>0</v>
      </c>
      <c r="DB58" s="10">
        <f>+COUNTIFS('muddati otgan'!C:C,A58,'muddati otgan'!J:J,"Rad etildi")</f>
        <v>0</v>
      </c>
      <c r="DC58" s="100">
        <f t="shared" si="5"/>
        <v>0</v>
      </c>
      <c r="DD58" s="44">
        <f>COUNTIFS('jami 1-20 kunlik arizalar'!C:C,A:A,'jami 1-20 kunlik arizalar'!S:S,"1")</f>
        <v>0</v>
      </c>
      <c r="DE58" s="11">
        <f>COUNTIFS('jami 1-20 kunlik arizalar'!C:C,A:A,'jami 1-20 kunlik arizalar'!S:S,"2")</f>
        <v>0</v>
      </c>
      <c r="DF58" s="11">
        <f>COUNTIFS('jami 1-20 kunlik arizalar'!C:C,A:A,'jami 1-20 kunlik arizalar'!S:S,"3")</f>
        <v>0</v>
      </c>
      <c r="DG58" s="11">
        <f>COUNTIFS('jami 1-20 kunlik arizalar'!C:C,A:A,'jami 1-20 kunlik arizalar'!S:S,"4")</f>
        <v>0</v>
      </c>
      <c r="DH58" s="11">
        <f>COUNTIFS('jami 1-20 kunlik arizalar'!C:C,A:A,'jami 1-20 kunlik arizalar'!S:S,"5")</f>
        <v>0</v>
      </c>
      <c r="DI58" s="11">
        <f>SUM(COUNTIFS('jami 1-20 kunlik arizalar'!C:C,A:A, 'jami 1-20 kunlik arizalar'!S:S, {6,7,8,9,10}))</f>
        <v>0</v>
      </c>
      <c r="DJ58" s="12">
        <f>SUM(COUNTIFS('jami 1-20 kunlik arizalar'!C:C,A:A, 'jami 1-20 kunlik arizalar'!S:S, "&gt;10"))</f>
        <v>0</v>
      </c>
    </row>
    <row r="59" spans="1:115" ht="33" hidden="1" customHeight="1" outlineLevel="1" x14ac:dyDescent="0.25">
      <c r="A59" s="92" t="s">
        <v>614</v>
      </c>
      <c r="B59" s="106" t="s">
        <v>959</v>
      </c>
      <c r="C59" s="85" t="s">
        <v>785</v>
      </c>
      <c r="D59" s="80">
        <f>+COUNTIFS('muddati otgan'!C:C,A59,'muddati otgan'!C:C,A59)</f>
        <v>2</v>
      </c>
      <c r="E59" s="10">
        <f>SUMIFS('muddati otgan'!$V:V,'muddati otgan'!$C:C,$A:A)</f>
        <v>0</v>
      </c>
      <c r="F59" s="10">
        <f>SUMIFS('muddati otgan'!$W:W,'muddati otgan'!$C:C,$A:A)</f>
        <v>0</v>
      </c>
      <c r="G59" s="24">
        <f>SUMIFS('muddati otgan'!$U:U,'muddati otgan'!$C:C,$A:A)</f>
        <v>2</v>
      </c>
      <c r="H59" s="11">
        <f>SUMIFS('muddati otgan'!$G:G,'muddati otgan'!$C:C,$A:A)</f>
        <v>2</v>
      </c>
      <c r="I59" s="12">
        <f>SUMIFS('muddati otgan'!$H:H,'muddati otgan'!$C:C,$A:A)</f>
        <v>0</v>
      </c>
      <c r="J59" s="44">
        <f t="shared" si="58"/>
        <v>0</v>
      </c>
      <c r="K59" s="11">
        <f>+COUNTIFS('muddati otgan'!C:C,A59,'muddati otgan'!AA:AA,"Arizani qabul qilish")</f>
        <v>0</v>
      </c>
      <c r="L59" s="11">
        <f>+COUNTIFS('muddati otgan'!C:C,A59,'muddati otgan'!J:J,"Arizani rad etish")</f>
        <v>0</v>
      </c>
      <c r="M59" s="11">
        <f>+COUNTIFS('muddati otgan'!C:C,A59,'muddati otgan'!J:J,"Arizani tasdiqlash")</f>
        <v>0</v>
      </c>
      <c r="N59" s="11">
        <f>+COUNTIFS('muddati otgan'!C:C,A59,'muddati otgan'!J:J,"Arizani yo'naltirish")</f>
        <v>0</v>
      </c>
      <c r="O59" s="11">
        <f>+COUNTIFS('muddati otgan'!C:C,A59,'muddati otgan'!J:J,"Rad qilish sababini o'rganish")</f>
        <v>0</v>
      </c>
      <c r="P59" s="11">
        <f>+COUNTIFS('muddati otgan'!C:C,A59,'muddati otgan'!J:J,"Ko'chmas mulkni UZKAD ga migratsiya qilish")</f>
        <v>0</v>
      </c>
      <c r="Q59" s="11">
        <f>+COUNTIFS('muddati otgan'!C:C,A59,'muddati otgan'!J:J,"Migratisya qilingan obyekt holatini tekshirish")</f>
        <v>0</v>
      </c>
      <c r="R59" s="11">
        <f>+COUNTIFS('muddati otgan'!C:C,A59,'muddati otgan'!J:J,"Ko‘chmas mulkni tanlash")</f>
        <v>0</v>
      </c>
      <c r="S59" s="11">
        <f>+COUNTIFS('muddati otgan'!C:C,A59,'muddati otgan'!J:J,"Arizani ko'rib chiqish")</f>
        <v>0</v>
      </c>
      <c r="T59" s="11">
        <f>+COUNTIFS('muddati otgan'!C:C,A59,'muddati otgan'!J:J,"Kadastr muhandisini tanlash")</f>
        <v>0</v>
      </c>
      <c r="U59" s="11">
        <f>+COUNTIFS('muddati otgan'!C:C,A59,'muddati otgan'!J:J,"Ko'chmas mulk turini tanlahsh")</f>
        <v>0</v>
      </c>
      <c r="V59" s="11">
        <f>+COUNTIFS('muddati otgan'!C:C,A59,'muddati otgan'!AA:AA,"Rad qilish")</f>
        <v>0</v>
      </c>
      <c r="W59" s="11">
        <f>+COUNTIFS('muddati otgan'!C:C,A59,'muddati otgan'!J:J,"ijrochi tanlash")</f>
        <v>0</v>
      </c>
      <c r="X59" s="11">
        <f>+COUNTIFS('muddati otgan'!C:C,A59,'muddati otgan'!J:J,"Ko'chmas mulk turini tanlash")</f>
        <v>0</v>
      </c>
      <c r="Y59" s="11">
        <f t="shared" si="59"/>
        <v>0</v>
      </c>
      <c r="Z59" s="11">
        <f>+COUNTIFS('muddati otgan'!C:C,A59,'muddati otgan'!J:J,"Ijroga qabul qilish")</f>
        <v>0</v>
      </c>
      <c r="AA59" s="11">
        <f>+COUNTIFS('muddati otgan'!C:C,A59,'muddati otgan'!J:J,"Joyida o'rganish va ma'lumotlarni kiritish")</f>
        <v>0</v>
      </c>
      <c r="AB59" s="11">
        <f>+COUNTIFS('muddati otgan'!C:C,A59,'muddati otgan'!J:J,"Asosiy qismdan ajratish jarayonida")</f>
        <v>0</v>
      </c>
      <c r="AC59" s="11">
        <f>+COUNTIFS('muddati otgan'!C:C,A59,'muddati otgan'!J:J,"Umumiy foydalanishdagi obyekt yaratilish")</f>
        <v>0</v>
      </c>
      <c r="AD59" s="11">
        <f>+COUNTIFS('muddati otgan'!C:C,A59,'muddati otgan'!J:J,"Migratsiya qilinadigan kadastr raqamini kiritish")</f>
        <v>0</v>
      </c>
      <c r="AE59" s="11">
        <f>+COUNTIFS('muddati otgan'!C:C,A59,'muddati otgan'!J:J,"O'zida qolgan obyektni yaratish")</f>
        <v>0</v>
      </c>
      <c r="AF59" s="11">
        <f>+COUNTIFS('muddati otgan'!C:C,A59,'muddati otgan'!J:J,"O'lchov natijalarini kiritish")</f>
        <v>0</v>
      </c>
      <c r="AG59" s="11">
        <f>+COUNTIFS('muddati otgan'!C:C,A59,'muddati otgan'!J:J,"Topoxaritani tayyorlash (dwg, pdf)")</f>
        <v>0</v>
      </c>
      <c r="AH59" s="11">
        <f t="shared" si="60"/>
        <v>0</v>
      </c>
      <c r="AI59" s="11">
        <f>+COUNTIFS('muddati otgan'!C:C,A59,'muddati otgan'!J:J,"Yer uchastkasini yaratish")</f>
        <v>0</v>
      </c>
      <c r="AJ59" s="11">
        <f t="shared" si="61"/>
        <v>0</v>
      </c>
      <c r="AK59" s="11">
        <f>+COUNTIFS('muddati otgan'!C:C,A59,'muddati otgan'!J:J,"Kelishish (Boshqarma)")</f>
        <v>0</v>
      </c>
      <c r="AL59" s="11">
        <f t="shared" si="62"/>
        <v>0</v>
      </c>
      <c r="AM59" s="11">
        <f>+COUNTIFS('muddati otgan'!C:C,A59,'muddati otgan'!J:J,"Kelishish (DKP)")</f>
        <v>0</v>
      </c>
      <c r="AN59" s="11">
        <f>+COUNTIFS('muddati otgan'!C:C,A59,'muddati otgan'!J:J,"Kelishish")</f>
        <v>0</v>
      </c>
      <c r="AO59" s="11">
        <f>+COUNTIFS('muddati otgan'!C:C,A59,'muddati otgan'!J:J,"Kelishish (Registratsiya DKP)")</f>
        <v>0</v>
      </c>
      <c r="AP59" s="11">
        <f t="shared" si="63"/>
        <v>0</v>
      </c>
      <c r="AQ59" s="11">
        <f>+COUNTIFS('muddati otgan'!C:C,A59,'muddati otgan'!J:J,"Manzil biriktirish")</f>
        <v>0</v>
      </c>
      <c r="AR59" s="11">
        <f>+COUNTIFS('muddati otgan'!C:C,A59,'muddati otgan'!J:J,"Bino va inshootlarni yaratish")</f>
        <v>0</v>
      </c>
      <c r="AS59" s="11">
        <f>+COUNTIFS('muddati otgan'!C:C,A59,'muddati otgan'!J:J,"Dov daraxtlarni yaratish")</f>
        <v>0</v>
      </c>
      <c r="AT59" s="11">
        <f>+COUNTIFS('muddati otgan'!C:C,A59,'muddati otgan'!J:J,"Yer uchastkasini tahrirlash")</f>
        <v>0</v>
      </c>
      <c r="AU59" s="11">
        <f t="shared" si="64"/>
        <v>0</v>
      </c>
      <c r="AV59" s="11">
        <f>+COUNTIFS('muddati otgan'!C:C,A59,'muddati otgan'!J:J,"Yer toifasi va maqsadini kiritish")</f>
        <v>0</v>
      </c>
      <c r="AW59" s="11">
        <f>+COUNTIFS('muddati otgan'!C:C,A59,'muddati otgan'!J:J,"Auksion yer tekshirish")</f>
        <v>0</v>
      </c>
      <c r="AX59" s="11">
        <f>+COUNTIFS('muddati otgan'!C:C,A59,'muddati otgan'!J:J,"Yer turlarini kiritish")</f>
        <v>0</v>
      </c>
      <c r="AY59" s="11">
        <f>+COUNTIFS('muddati otgan'!C:C,A59,'muddati otgan'!J:J,"Ma'lumotlarni kiritish")</f>
        <v>0</v>
      </c>
      <c r="AZ59" s="11">
        <f>+COUNTIFS('muddati otgan'!C:C,A59,'muddati otgan'!J:J,"Yer tekshirish")</f>
        <v>0</v>
      </c>
      <c r="BA59" s="11">
        <f t="shared" si="65"/>
        <v>0</v>
      </c>
      <c r="BB59" s="11">
        <f>+COUNTIFS('muddati otgan'!C:C,A59,'muddati otgan'!J:J,"Bino va inshoot ma'lumotlarini to‘ldirish")</f>
        <v>0</v>
      </c>
      <c r="BC59" s="11">
        <f>+COUNTIFS('muddati otgan'!C:C,A59,'muddati otgan'!J:J,"Inventarizatsiya ma'lumotlarini to‘ldirish")</f>
        <v>0</v>
      </c>
      <c r="BD59" s="11">
        <f>+COUNTIFS('muddati otgan'!C:C,A59,'muddati otgan'!J:J,"Yer uchastkasiga huquqiy hujjatlarni kiritsh")</f>
        <v>0</v>
      </c>
      <c r="BE59" s="11">
        <f>+COUNTIFS('muddati otgan'!C:C,A59,'muddati otgan'!J:J,"Bino-inshootlarga huquqiy hujjatlarni kiritsh")</f>
        <v>0</v>
      </c>
      <c r="BF59" s="11">
        <f>+COUNTIFS('muddati otgan'!C:C,A59,'muddati otgan'!J:J,"Kadastr qiymatini hisoblash va kiritish")</f>
        <v>0</v>
      </c>
      <c r="BG59" s="11">
        <f>+COUNTIFS('muddati otgan'!C:C,A59,'muddati otgan'!J:J,"Kadastr raqam biriktirish")</f>
        <v>0</v>
      </c>
      <c r="BH59" s="11">
        <f>+COUNTIFS('muddati otgan'!C:C,A59,'muddati otgan'!J:J,"Kadastr yig'ma jildni tayyorlash")</f>
        <v>0</v>
      </c>
      <c r="BI59" s="11">
        <f>+COUNTIFS('muddati otgan'!C:C,A59,'muddati otgan'!J:J,"Huquqni yaratish")</f>
        <v>0</v>
      </c>
      <c r="BJ59" s="11">
        <f>+COUNTIFS('muddati otgan'!C:C,A59,'muddati otgan'!J:J,"Hujjatlarni o'rganish")</f>
        <v>0</v>
      </c>
      <c r="BK59" s="11">
        <f>+COUNTIFS('muddati otgan'!C:C,A59,'muddati otgan'!J:J,"Ma'lumotlarni tekshirish")</f>
        <v>0</v>
      </c>
      <c r="BL59" s="11">
        <f t="shared" si="66"/>
        <v>0</v>
      </c>
      <c r="BM59" s="11">
        <f>+COUNTIFS('muddati otgan'!C:C,A59,'muddati otgan'!J:J,"Tekshirish")</f>
        <v>0</v>
      </c>
      <c r="BN59" s="11">
        <f>+COUNTIFS('muddati otgan'!C:C,A59,'muddati otgan'!J:J,"Hujjatlarni tekshirish")</f>
        <v>0</v>
      </c>
      <c r="BO59" s="11">
        <f>+COUNTIFS('muddati otgan'!C:C,A59,'muddati otgan'!J:J,"Tasdiqlash")</f>
        <v>0</v>
      </c>
      <c r="BP59" s="11">
        <f>+COUNTIFS('muddati otgan'!C:C,A59,'muddati otgan'!J:J,"tekshirish/tasdiqlash")</f>
        <v>0</v>
      </c>
      <c r="BQ59" s="11">
        <f>+COUNTIFS('muddati otgan'!C:C,A59,'muddati otgan'!J:J,"Ma'lumotlarni tasdiqlash")</f>
        <v>0</v>
      </c>
      <c r="BR59" s="11">
        <f t="shared" si="32"/>
        <v>1</v>
      </c>
      <c r="BS59" s="11">
        <f>+COUNTIFS('muddati otgan'!C:C,A59,'muddati otgan'!J:J,"Ro'yxatdan o'tkazish ma'lumotlarini tekshirish")</f>
        <v>1</v>
      </c>
      <c r="BT59" s="11">
        <f>+COUNTIFS('muddati otgan'!C:C,A59,'muddati otgan'!J:J,"Kamchiliklar bo'yicha habarnoma yuborish va 3 kunga to'xtatish")</f>
        <v>0</v>
      </c>
      <c r="BU59" s="11">
        <f>+COUNTIFS('muddati otgan'!C:C,A59,'muddati otgan'!J:J,"Hisobga olish")</f>
        <v>0</v>
      </c>
      <c r="BV59" s="11">
        <f>+COUNTIFS('muddati otgan'!C:C,A59,'muddati otgan'!J:J,"Yer uchastkasiga huquq yaratish")</f>
        <v>0</v>
      </c>
      <c r="BW59" s="11">
        <f>+COUNTIFS('muddati otgan'!C:C,A59,'muddati otgan'!J:J,"Bino-inshootga huquq yaratish")</f>
        <v>0</v>
      </c>
      <c r="BX59" s="11">
        <f>+COUNTIFS('muddati otgan'!C:C,A59,'muddati otgan'!J:J,"Cheklov yaratish")</f>
        <v>0</v>
      </c>
      <c r="BY59" s="11">
        <f>+COUNTIFS('muddati otgan'!C:C,A59,'muddati otgan'!J:J,"Taqiq yaratish")</f>
        <v>0</v>
      </c>
      <c r="BZ59" s="11">
        <f t="shared" si="33"/>
        <v>0</v>
      </c>
      <c r="CA59" s="11">
        <f>+COUNTIFS('muddati otgan'!C:C,A59,'muddati otgan'!J:J,"Soliq maydonini tekshirish")</f>
        <v>0</v>
      </c>
      <c r="CB59" s="11">
        <f t="shared" si="34"/>
        <v>0</v>
      </c>
      <c r="CC59" s="11">
        <f>+COUNTIFS('muddati otgan'!C:C,A59,'muddati otgan'!J:J,"Kadastr yig'majildini shakllantirish")</f>
        <v>0</v>
      </c>
      <c r="CD59" s="11">
        <f t="shared" si="35"/>
        <v>1</v>
      </c>
      <c r="CE59" s="11">
        <f>+COUNTIFS('muddati otgan'!C:C,A59,'muddati otgan'!J:J,"Kadastr passportini shakllantirish")</f>
        <v>1</v>
      </c>
      <c r="CF59" s="11">
        <f>+COUNTIFS('muddati otgan'!C:C,A59,'muddati otgan'!J:J,"Yig'ma jildni tasdiqlash")</f>
        <v>0</v>
      </c>
      <c r="CG59" s="11">
        <f>+COUNTIFS('muddati otgan'!C:C,A59,'muddati otgan'!J:J,"To'lov yoki bepul tasdiqlash")</f>
        <v>0</v>
      </c>
      <c r="CH59" s="11">
        <f>+COUNTIFS('muddati otgan'!C:C,A59,'muddati otgan'!J:J,"Bog'liq arizani kutish")</f>
        <v>0</v>
      </c>
      <c r="CI59" s="11">
        <f>+COUNTIFS('muddati otgan'!C:C,A59,'muddati otgan'!J:J,"To'lovga chiqarish")</f>
        <v>0</v>
      </c>
      <c r="CJ59" s="11">
        <f>+COUNTIFS('muddati otgan'!C:C,A59,'muddati otgan'!J:J,"Hisobga qo'yish")</f>
        <v>0</v>
      </c>
      <c r="CK59" s="6">
        <f>+COUNTIFS('muddati otgan'!C:C,A59,'muddati otgan'!J:J,"To'lov kutilmoqda")</f>
        <v>0</v>
      </c>
      <c r="CL59" s="11">
        <f t="shared" si="36"/>
        <v>0</v>
      </c>
      <c r="CM59" s="11">
        <f>+COUNTIFS('muddati otgan'!C:C,A59,'muddati otgan'!AA:AA,"Arizani qabul qilish2")</f>
        <v>0</v>
      </c>
      <c r="CN59" s="11">
        <f>+COUNTIFS('muddati otgan'!C:C,A59,'muddati otgan'!J:J,"Huquqlarni tekshirish")</f>
        <v>0</v>
      </c>
      <c r="CO59" s="11">
        <f>+COUNTIFS('muddati otgan'!C:C,A59,'muddati otgan'!J:J,"Ko'chmas mulkni ro'yhatdan o'tkazishga qabul qilish")</f>
        <v>0</v>
      </c>
      <c r="CP59" s="11">
        <f>+COUNTIFS('muddati otgan'!C:C,A59,'muddati otgan'!J:J,"Ro'yxatdan o'tkazish")</f>
        <v>0</v>
      </c>
      <c r="CQ59" s="11">
        <f>+COUNTIFS('muddati otgan'!C:C,A59,'muddati otgan'!J:J,"Kadastr pasporti va ko'chirmani yuborish")</f>
        <v>0</v>
      </c>
      <c r="CR59" s="11">
        <f>+COUNTIFS('muddati otgan'!C:C,A59,'muddati otgan'!AA:AA,"Rad qilish2")</f>
        <v>0</v>
      </c>
      <c r="CS59" s="11">
        <f>+COUNTIFS('muddati otgan'!C:C,A59,'muddati otgan'!J:J,"Ko'chirmani yuborish")</f>
        <v>0</v>
      </c>
      <c r="CT59" s="11">
        <f>+COUNTIFS('muddati otgan'!C:C,A59,'muddati otgan'!J:J,"Ma‘lumotlarni tekshirish")</f>
        <v>0</v>
      </c>
      <c r="CU59" s="11">
        <f t="shared" si="37"/>
        <v>0</v>
      </c>
      <c r="CV59" s="11">
        <f>+COUNTIFS('muddati otgan'!C:C,A59,'muddati otgan'!J:J,"Kadastr yig'majildini chop etish va arxiv ishiga tikish")</f>
        <v>0</v>
      </c>
      <c r="CW59" s="11">
        <f t="shared" si="38"/>
        <v>0</v>
      </c>
      <c r="CX59" s="11">
        <f>+COUNTIFS('muddati otgan'!C:C,A59,'muddati otgan'!J:J,"Kadastr yig‘majildini qabul qilish, arizani yakunlash")</f>
        <v>0</v>
      </c>
      <c r="CY59" s="11">
        <f>+COUNTIFS('muddati otgan'!C:C,A59,'muddati otgan'!J:J,"Next Cloudga yuklash")</f>
        <v>0</v>
      </c>
      <c r="CZ59" s="6">
        <f>+COUNTIFS('muddati otgan'!C:C,A59,'muddati otgan'!J:J,"Kelishish kutilmoqda")</f>
        <v>0</v>
      </c>
      <c r="DA59" s="6">
        <f>+COUNTIFS('muddati otgan'!C:C,A59,'muddati otgan'!J:J,"Yakunlandi")</f>
        <v>0</v>
      </c>
      <c r="DB59" s="10">
        <f>+COUNTIFS('muddati otgan'!C:C,A59,'muddati otgan'!J:J,"Rad etildi")</f>
        <v>0</v>
      </c>
      <c r="DC59" s="100">
        <f t="shared" si="5"/>
        <v>-2</v>
      </c>
      <c r="DD59" s="44">
        <f>COUNTIFS('jami 1-20 kunlik arizalar'!C:C,A:A,'jami 1-20 kunlik arizalar'!S:S,"1")</f>
        <v>0</v>
      </c>
      <c r="DE59" s="11">
        <f>COUNTIFS('jami 1-20 kunlik arizalar'!C:C,A:A,'jami 1-20 kunlik arizalar'!S:S,"2")</f>
        <v>0</v>
      </c>
      <c r="DF59" s="11">
        <f>COUNTIFS('jami 1-20 kunlik arizalar'!C:C,A:A,'jami 1-20 kunlik arizalar'!S:S,"3")</f>
        <v>3</v>
      </c>
      <c r="DG59" s="11">
        <f>COUNTIFS('jami 1-20 kunlik arizalar'!C:C,A:A,'jami 1-20 kunlik arizalar'!S:S,"4")</f>
        <v>3</v>
      </c>
      <c r="DH59" s="11">
        <f>COUNTIFS('jami 1-20 kunlik arizalar'!C:C,A:A,'jami 1-20 kunlik arizalar'!S:S,"5")</f>
        <v>1</v>
      </c>
      <c r="DI59" s="11">
        <f>SUM(COUNTIFS('jami 1-20 kunlik arizalar'!C:C,A:A, 'jami 1-20 kunlik arizalar'!S:S, {6,7,8,9,10}))</f>
        <v>16</v>
      </c>
      <c r="DJ59" s="12">
        <f>SUM(COUNTIFS('jami 1-20 kunlik arizalar'!C:C,A:A, 'jami 1-20 kunlik arizalar'!S:S, "&gt;10"))</f>
        <v>11</v>
      </c>
    </row>
    <row r="60" spans="1:115" ht="33" hidden="1" customHeight="1" outlineLevel="1" x14ac:dyDescent="0.25">
      <c r="A60" s="92" t="s">
        <v>561</v>
      </c>
      <c r="B60" s="106" t="s">
        <v>959</v>
      </c>
      <c r="C60" s="85" t="s">
        <v>786</v>
      </c>
      <c r="D60" s="80">
        <f>+COUNTIFS('muddati otgan'!C:C,A60,'muddati otgan'!C:C,A60)</f>
        <v>0</v>
      </c>
      <c r="E60" s="10">
        <f>SUMIFS('muddati otgan'!$V:V,'muddati otgan'!$C:C,$A:A)</f>
        <v>0</v>
      </c>
      <c r="F60" s="10">
        <f>SUMIFS('muddati otgan'!$W:W,'muddati otgan'!$C:C,$A:A)</f>
        <v>0</v>
      </c>
      <c r="G60" s="24">
        <f>SUMIFS('muddati otgan'!$U:U,'muddati otgan'!$C:C,$A:A)</f>
        <v>0</v>
      </c>
      <c r="H60" s="11">
        <f>SUMIFS('muddati otgan'!$G:G,'muddati otgan'!$C:C,$A:A)</f>
        <v>0</v>
      </c>
      <c r="I60" s="12">
        <f>SUMIFS('muddati otgan'!$H:H,'muddati otgan'!$C:C,$A:A)</f>
        <v>0</v>
      </c>
      <c r="J60" s="44">
        <f t="shared" si="58"/>
        <v>0</v>
      </c>
      <c r="K60" s="11">
        <f>+COUNTIFS('muddati otgan'!C:C,A60,'muddati otgan'!AA:AA,"Arizani qabul qilish")</f>
        <v>0</v>
      </c>
      <c r="L60" s="11">
        <f>+COUNTIFS('muddati otgan'!C:C,A60,'muddati otgan'!J:J,"Arizani rad etish")</f>
        <v>0</v>
      </c>
      <c r="M60" s="11">
        <f>+COUNTIFS('muddati otgan'!C:C,A60,'muddati otgan'!J:J,"Arizani tasdiqlash")</f>
        <v>0</v>
      </c>
      <c r="N60" s="11">
        <f>+COUNTIFS('muddati otgan'!C:C,A60,'muddati otgan'!J:J,"Arizani yo'naltirish")</f>
        <v>0</v>
      </c>
      <c r="O60" s="11">
        <f>+COUNTIFS('muddati otgan'!C:C,A60,'muddati otgan'!J:J,"Rad qilish sababini o'rganish")</f>
        <v>0</v>
      </c>
      <c r="P60" s="11">
        <f>+COUNTIFS('muddati otgan'!C:C,A60,'muddati otgan'!J:J,"Ko'chmas mulkni UZKAD ga migratsiya qilish")</f>
        <v>0</v>
      </c>
      <c r="Q60" s="11">
        <f>+COUNTIFS('muddati otgan'!C:C,A60,'muddati otgan'!J:J,"Migratisya qilingan obyekt holatini tekshirish")</f>
        <v>0</v>
      </c>
      <c r="R60" s="11">
        <f>+COUNTIFS('muddati otgan'!C:C,A60,'muddati otgan'!J:J,"Ko‘chmas mulkni tanlash")</f>
        <v>0</v>
      </c>
      <c r="S60" s="11">
        <f>+COUNTIFS('muddati otgan'!C:C,A60,'muddati otgan'!J:J,"Arizani ko'rib chiqish")</f>
        <v>0</v>
      </c>
      <c r="T60" s="11">
        <f>+COUNTIFS('muddati otgan'!C:C,A60,'muddati otgan'!J:J,"Kadastr muhandisini tanlash")</f>
        <v>0</v>
      </c>
      <c r="U60" s="11">
        <f>+COUNTIFS('muddati otgan'!C:C,A60,'muddati otgan'!J:J,"Ko'chmas mulk turini tanlahsh")</f>
        <v>0</v>
      </c>
      <c r="V60" s="11">
        <f>+COUNTIFS('muddati otgan'!C:C,A60,'muddati otgan'!AA:AA,"Rad qilish")</f>
        <v>0</v>
      </c>
      <c r="W60" s="11">
        <f>+COUNTIFS('muddati otgan'!C:C,A60,'muddati otgan'!J:J,"ijrochi tanlash")</f>
        <v>0</v>
      </c>
      <c r="X60" s="11">
        <f>+COUNTIFS('muddati otgan'!C:C,A60,'muddati otgan'!J:J,"Ko'chmas mulk turini tanlash")</f>
        <v>0</v>
      </c>
      <c r="Y60" s="11">
        <f t="shared" si="59"/>
        <v>0</v>
      </c>
      <c r="Z60" s="11">
        <f>+COUNTIFS('muddati otgan'!C:C,A60,'muddati otgan'!J:J,"Ijroga qabul qilish")</f>
        <v>0</v>
      </c>
      <c r="AA60" s="11">
        <f>+COUNTIFS('muddati otgan'!C:C,A60,'muddati otgan'!J:J,"Joyida o'rganish va ma'lumotlarni kiritish")</f>
        <v>0</v>
      </c>
      <c r="AB60" s="11">
        <f>+COUNTIFS('muddati otgan'!C:C,A60,'muddati otgan'!J:J,"Asosiy qismdan ajratish jarayonida")</f>
        <v>0</v>
      </c>
      <c r="AC60" s="11">
        <f>+COUNTIFS('muddati otgan'!C:C,A60,'muddati otgan'!J:J,"Umumiy foydalanishdagi obyekt yaratilish")</f>
        <v>0</v>
      </c>
      <c r="AD60" s="11">
        <f>+COUNTIFS('muddati otgan'!C:C,A60,'muddati otgan'!J:J,"Migratsiya qilinadigan kadastr raqamini kiritish")</f>
        <v>0</v>
      </c>
      <c r="AE60" s="11">
        <f>+COUNTIFS('muddati otgan'!C:C,A60,'muddati otgan'!J:J,"O'zida qolgan obyektni yaratish")</f>
        <v>0</v>
      </c>
      <c r="AF60" s="11">
        <f>+COUNTIFS('muddati otgan'!C:C,A60,'muddati otgan'!J:J,"O'lchov natijalarini kiritish")</f>
        <v>0</v>
      </c>
      <c r="AG60" s="11">
        <f>+COUNTIFS('muddati otgan'!C:C,A60,'muddati otgan'!J:J,"Topoxaritani tayyorlash (dwg, pdf)")</f>
        <v>0</v>
      </c>
      <c r="AH60" s="11">
        <f t="shared" si="60"/>
        <v>0</v>
      </c>
      <c r="AI60" s="11">
        <f>+COUNTIFS('muddati otgan'!C:C,A60,'muddati otgan'!J:J,"Yer uchastkasini yaratish")</f>
        <v>0</v>
      </c>
      <c r="AJ60" s="11">
        <f t="shared" si="61"/>
        <v>0</v>
      </c>
      <c r="AK60" s="11">
        <f>+COUNTIFS('muddati otgan'!C:C,A60,'muddati otgan'!J:J,"Kelishish (Boshqarma)")</f>
        <v>0</v>
      </c>
      <c r="AL60" s="11">
        <f t="shared" si="62"/>
        <v>0</v>
      </c>
      <c r="AM60" s="11">
        <f>+COUNTIFS('muddati otgan'!C:C,A60,'muddati otgan'!J:J,"Kelishish (DKP)")</f>
        <v>0</v>
      </c>
      <c r="AN60" s="11">
        <f>+COUNTIFS('muddati otgan'!C:C,A60,'muddati otgan'!J:J,"Kelishish")</f>
        <v>0</v>
      </c>
      <c r="AO60" s="11">
        <f>+COUNTIFS('muddati otgan'!C:C,A60,'muddati otgan'!J:J,"Kelishish (Registratsiya DKP)")</f>
        <v>0</v>
      </c>
      <c r="AP60" s="11">
        <f t="shared" si="63"/>
        <v>0</v>
      </c>
      <c r="AQ60" s="11">
        <f>+COUNTIFS('muddati otgan'!C:C,A60,'muddati otgan'!J:J,"Manzil biriktirish")</f>
        <v>0</v>
      </c>
      <c r="AR60" s="11">
        <f>+COUNTIFS('muddati otgan'!C:C,A60,'muddati otgan'!J:J,"Bino va inshootlarni yaratish")</f>
        <v>0</v>
      </c>
      <c r="AS60" s="11">
        <f>+COUNTIFS('muddati otgan'!C:C,A60,'muddati otgan'!J:J,"Dov daraxtlarni yaratish")</f>
        <v>0</v>
      </c>
      <c r="AT60" s="11">
        <f>+COUNTIFS('muddati otgan'!C:C,A60,'muddati otgan'!J:J,"Yer uchastkasini tahrirlash")</f>
        <v>0</v>
      </c>
      <c r="AU60" s="11">
        <f t="shared" si="64"/>
        <v>0</v>
      </c>
      <c r="AV60" s="11">
        <f>+COUNTIFS('muddati otgan'!C:C,A60,'muddati otgan'!J:J,"Yer toifasi va maqsadini kiritish")</f>
        <v>0</v>
      </c>
      <c r="AW60" s="11">
        <f>+COUNTIFS('muddati otgan'!C:C,A60,'muddati otgan'!J:J,"Auksion yer tekshirish")</f>
        <v>0</v>
      </c>
      <c r="AX60" s="11">
        <f>+COUNTIFS('muddati otgan'!C:C,A60,'muddati otgan'!J:J,"Yer turlarini kiritish")</f>
        <v>0</v>
      </c>
      <c r="AY60" s="11">
        <f>+COUNTIFS('muddati otgan'!C:C,A60,'muddati otgan'!J:J,"Ma'lumotlarni kiritish")</f>
        <v>0</v>
      </c>
      <c r="AZ60" s="11">
        <f>+COUNTIFS('muddati otgan'!C:C,A60,'muddati otgan'!J:J,"Yer tekshirish")</f>
        <v>0</v>
      </c>
      <c r="BA60" s="11">
        <f t="shared" si="65"/>
        <v>0</v>
      </c>
      <c r="BB60" s="11">
        <f>+COUNTIFS('muddati otgan'!C:C,A60,'muddati otgan'!J:J,"Bino va inshoot ma'lumotlarini to‘ldirish")</f>
        <v>0</v>
      </c>
      <c r="BC60" s="11">
        <f>+COUNTIFS('muddati otgan'!C:C,A60,'muddati otgan'!J:J,"Inventarizatsiya ma'lumotlarini to‘ldirish")</f>
        <v>0</v>
      </c>
      <c r="BD60" s="11">
        <f>+COUNTIFS('muddati otgan'!C:C,A60,'muddati otgan'!J:J,"Yer uchastkasiga huquqiy hujjatlarni kiritsh")</f>
        <v>0</v>
      </c>
      <c r="BE60" s="11">
        <f>+COUNTIFS('muddati otgan'!C:C,A60,'muddati otgan'!J:J,"Bino-inshootlarga huquqiy hujjatlarni kiritsh")</f>
        <v>0</v>
      </c>
      <c r="BF60" s="11">
        <f>+COUNTIFS('muddati otgan'!C:C,A60,'muddati otgan'!J:J,"Kadastr qiymatini hisoblash va kiritish")</f>
        <v>0</v>
      </c>
      <c r="BG60" s="11">
        <f>+COUNTIFS('muddati otgan'!C:C,A60,'muddati otgan'!J:J,"Kadastr raqam biriktirish")</f>
        <v>0</v>
      </c>
      <c r="BH60" s="11">
        <f>+COUNTIFS('muddati otgan'!C:C,A60,'muddati otgan'!J:J,"Kadastr yig'ma jildni tayyorlash")</f>
        <v>0</v>
      </c>
      <c r="BI60" s="11">
        <f>+COUNTIFS('muddati otgan'!C:C,A60,'muddati otgan'!J:J,"Huquqni yaratish")</f>
        <v>0</v>
      </c>
      <c r="BJ60" s="11">
        <f>+COUNTIFS('muddati otgan'!C:C,A60,'muddati otgan'!J:J,"Hujjatlarni o'rganish")</f>
        <v>0</v>
      </c>
      <c r="BK60" s="11">
        <f>+COUNTIFS('muddati otgan'!C:C,A60,'muddati otgan'!J:J,"Ma'lumotlarni tekshirish")</f>
        <v>0</v>
      </c>
      <c r="BL60" s="11">
        <f t="shared" si="66"/>
        <v>0</v>
      </c>
      <c r="BM60" s="11">
        <f>+COUNTIFS('muddati otgan'!C:C,A60,'muddati otgan'!J:J,"Tekshirish")</f>
        <v>0</v>
      </c>
      <c r="BN60" s="11">
        <f>+COUNTIFS('muddati otgan'!C:C,A60,'muddati otgan'!J:J,"Hujjatlarni tekshirish")</f>
        <v>0</v>
      </c>
      <c r="BO60" s="11">
        <f>+COUNTIFS('muddati otgan'!C:C,A60,'muddati otgan'!J:J,"Tasdiqlash")</f>
        <v>0</v>
      </c>
      <c r="BP60" s="11">
        <f>+COUNTIFS('muddati otgan'!C:C,A60,'muddati otgan'!J:J,"tekshirish/tasdiqlash")</f>
        <v>0</v>
      </c>
      <c r="BQ60" s="11">
        <f>+COUNTIFS('muddati otgan'!C:C,A60,'muddati otgan'!J:J,"Ma'lumotlarni tasdiqlash")</f>
        <v>0</v>
      </c>
      <c r="BR60" s="11">
        <f t="shared" si="32"/>
        <v>0</v>
      </c>
      <c r="BS60" s="11">
        <f>+COUNTIFS('muddati otgan'!C:C,A60,'muddati otgan'!J:J,"Ro'yxatdan o'tkazish ma'lumotlarini tekshirish")</f>
        <v>0</v>
      </c>
      <c r="BT60" s="11">
        <f>+COUNTIFS('muddati otgan'!C:C,A60,'muddati otgan'!J:J,"Kamchiliklar bo'yicha habarnoma yuborish va 3 kunga to'xtatish")</f>
        <v>0</v>
      </c>
      <c r="BU60" s="11">
        <f>+COUNTIFS('muddati otgan'!C:C,A60,'muddati otgan'!J:J,"Hisobga olish")</f>
        <v>0</v>
      </c>
      <c r="BV60" s="11">
        <f>+COUNTIFS('muddati otgan'!C:C,A60,'muddati otgan'!J:J,"Yer uchastkasiga huquq yaratish")</f>
        <v>0</v>
      </c>
      <c r="BW60" s="11">
        <f>+COUNTIFS('muddati otgan'!C:C,A60,'muddati otgan'!J:J,"Bino-inshootga huquq yaratish")</f>
        <v>0</v>
      </c>
      <c r="BX60" s="11">
        <f>+COUNTIFS('muddati otgan'!C:C,A60,'muddati otgan'!J:J,"Cheklov yaratish")</f>
        <v>0</v>
      </c>
      <c r="BY60" s="11">
        <f>+COUNTIFS('muddati otgan'!C:C,A60,'muddati otgan'!J:J,"Taqiq yaratish")</f>
        <v>0</v>
      </c>
      <c r="BZ60" s="11">
        <f t="shared" si="33"/>
        <v>0</v>
      </c>
      <c r="CA60" s="11">
        <f>+COUNTIFS('muddati otgan'!C:C,A60,'muddati otgan'!J:J,"Soliq maydonini tekshirish")</f>
        <v>0</v>
      </c>
      <c r="CB60" s="11">
        <f t="shared" si="34"/>
        <v>0</v>
      </c>
      <c r="CC60" s="11">
        <f>+COUNTIFS('muddati otgan'!C:C,A60,'muddati otgan'!J:J,"Kadastr yig'majildini shakllantirish")</f>
        <v>0</v>
      </c>
      <c r="CD60" s="11">
        <f t="shared" si="35"/>
        <v>0</v>
      </c>
      <c r="CE60" s="11">
        <f>+COUNTIFS('muddati otgan'!C:C,A60,'muddati otgan'!J:J,"Kadastr passportini shakllantirish")</f>
        <v>0</v>
      </c>
      <c r="CF60" s="11">
        <f>+COUNTIFS('muddati otgan'!C:C,A60,'muddati otgan'!J:J,"Yig'ma jildni tasdiqlash")</f>
        <v>0</v>
      </c>
      <c r="CG60" s="11">
        <f>+COUNTIFS('muddati otgan'!C:C,A60,'muddati otgan'!J:J,"To'lov yoki bepul tasdiqlash")</f>
        <v>0</v>
      </c>
      <c r="CH60" s="11">
        <f>+COUNTIFS('muddati otgan'!C:C,A60,'muddati otgan'!J:J,"Bog'liq arizani kutish")</f>
        <v>0</v>
      </c>
      <c r="CI60" s="11">
        <f>+COUNTIFS('muddati otgan'!C:C,A60,'muddati otgan'!J:J,"To'lovga chiqarish")</f>
        <v>0</v>
      </c>
      <c r="CJ60" s="11">
        <f>+COUNTIFS('muddati otgan'!C:C,A60,'muddati otgan'!J:J,"Hisobga qo'yish")</f>
        <v>0</v>
      </c>
      <c r="CK60" s="6">
        <f>+COUNTIFS('muddati otgan'!C:C,A60,'muddati otgan'!J:J,"To'lov kutilmoqda")</f>
        <v>0</v>
      </c>
      <c r="CL60" s="11">
        <f t="shared" si="36"/>
        <v>0</v>
      </c>
      <c r="CM60" s="11">
        <f>+COUNTIFS('muddati otgan'!C:C,A60,'muddati otgan'!AA:AA,"Arizani qabul qilish2")</f>
        <v>0</v>
      </c>
      <c r="CN60" s="11">
        <f>+COUNTIFS('muddati otgan'!C:C,A60,'muddati otgan'!J:J,"Huquqlarni tekshirish")</f>
        <v>0</v>
      </c>
      <c r="CO60" s="11">
        <f>+COUNTIFS('muddati otgan'!C:C,A60,'muddati otgan'!J:J,"Ko'chmas mulkni ro'yhatdan o'tkazishga qabul qilish")</f>
        <v>0</v>
      </c>
      <c r="CP60" s="11">
        <f>+COUNTIFS('muddati otgan'!C:C,A60,'muddati otgan'!J:J,"Ro'yxatdan o'tkazish")</f>
        <v>0</v>
      </c>
      <c r="CQ60" s="11">
        <f>+COUNTIFS('muddati otgan'!C:C,A60,'muddati otgan'!J:J,"Kadastr pasporti va ko'chirmani yuborish")</f>
        <v>0</v>
      </c>
      <c r="CR60" s="11">
        <f>+COUNTIFS('muddati otgan'!C:C,A60,'muddati otgan'!AA:AA,"Rad qilish2")</f>
        <v>0</v>
      </c>
      <c r="CS60" s="11">
        <f>+COUNTIFS('muddati otgan'!C:C,A60,'muddati otgan'!J:J,"Ko'chirmani yuborish")</f>
        <v>0</v>
      </c>
      <c r="CT60" s="11">
        <f>+COUNTIFS('muddati otgan'!C:C,A60,'muddati otgan'!J:J,"Ma‘lumotlarni tekshirish")</f>
        <v>0</v>
      </c>
      <c r="CU60" s="11">
        <f t="shared" si="37"/>
        <v>0</v>
      </c>
      <c r="CV60" s="11">
        <f>+COUNTIFS('muddati otgan'!C:C,A60,'muddati otgan'!J:J,"Kadastr yig'majildini chop etish va arxiv ishiga tikish")</f>
        <v>0</v>
      </c>
      <c r="CW60" s="11">
        <f t="shared" si="38"/>
        <v>0</v>
      </c>
      <c r="CX60" s="11">
        <f>+COUNTIFS('muddati otgan'!C:C,A60,'muddati otgan'!J:J,"Kadastr yig‘majildini qabul qilish, arizani yakunlash")</f>
        <v>0</v>
      </c>
      <c r="CY60" s="11">
        <f>+COUNTIFS('muddati otgan'!C:C,A60,'muddati otgan'!J:J,"Next Cloudga yuklash")</f>
        <v>0</v>
      </c>
      <c r="CZ60" s="6">
        <f>+COUNTIFS('muddati otgan'!C:C,A60,'muddati otgan'!J:J,"Kelishish kutilmoqda")</f>
        <v>0</v>
      </c>
      <c r="DA60" s="6">
        <f>+COUNTIFS('muddati otgan'!C:C,A60,'muddati otgan'!J:J,"Yakunlandi")</f>
        <v>0</v>
      </c>
      <c r="DB60" s="10">
        <f>+COUNTIFS('muddati otgan'!C:C,A60,'muddati otgan'!J:J,"Rad etildi")</f>
        <v>0</v>
      </c>
      <c r="DC60" s="100">
        <f t="shared" si="5"/>
        <v>0</v>
      </c>
      <c r="DD60" s="44">
        <f>COUNTIFS('jami 1-20 kunlik arizalar'!C:C,A:A,'jami 1-20 kunlik arizalar'!S:S,"1")</f>
        <v>0</v>
      </c>
      <c r="DE60" s="11">
        <f>COUNTIFS('jami 1-20 kunlik arizalar'!C:C,A:A,'jami 1-20 kunlik arizalar'!S:S,"2")</f>
        <v>0</v>
      </c>
      <c r="DF60" s="11">
        <f>COUNTIFS('jami 1-20 kunlik arizalar'!C:C,A:A,'jami 1-20 kunlik arizalar'!S:S,"3")</f>
        <v>0</v>
      </c>
      <c r="DG60" s="11">
        <f>COUNTIFS('jami 1-20 kunlik arizalar'!C:C,A:A,'jami 1-20 kunlik arizalar'!S:S,"4")</f>
        <v>0</v>
      </c>
      <c r="DH60" s="11">
        <f>COUNTIFS('jami 1-20 kunlik arizalar'!C:C,A:A,'jami 1-20 kunlik arizalar'!S:S,"5")</f>
        <v>0</v>
      </c>
      <c r="DI60" s="11">
        <f>SUM(COUNTIFS('jami 1-20 kunlik arizalar'!C:C,A:A, 'jami 1-20 kunlik arizalar'!S:S, {6,7,8,9,10}))</f>
        <v>0</v>
      </c>
      <c r="DJ60" s="12">
        <f>SUM(COUNTIFS('jami 1-20 kunlik arizalar'!C:C,A:A, 'jami 1-20 kunlik arizalar'!S:S, "&gt;10"))</f>
        <v>0</v>
      </c>
    </row>
    <row r="61" spans="1:115" ht="33" hidden="1" customHeight="1" outlineLevel="1" x14ac:dyDescent="0.25">
      <c r="A61" s="112">
        <v>52004005950071</v>
      </c>
      <c r="B61" s="106" t="s">
        <v>959</v>
      </c>
      <c r="C61" s="85" t="s">
        <v>1019</v>
      </c>
      <c r="D61" s="80">
        <f>+COUNTIFS('muddati otgan'!C:C,A61,'muddati otgan'!C:C,A61)</f>
        <v>2</v>
      </c>
      <c r="E61" s="10">
        <f>SUMIFS('muddati otgan'!$V:V,'muddati otgan'!$C:C,$A:A)</f>
        <v>2</v>
      </c>
      <c r="F61" s="10">
        <f>SUMIFS('muddati otgan'!$W:W,'muddati otgan'!$C:C,$A:A)</f>
        <v>0</v>
      </c>
      <c r="G61" s="24">
        <f>SUMIFS('muddati otgan'!$U:U,'muddati otgan'!$C:C,$A:A)</f>
        <v>0</v>
      </c>
      <c r="H61" s="11">
        <f>SUMIFS('muddati otgan'!$G:G,'muddati otgan'!$C:C,$A:A)</f>
        <v>2</v>
      </c>
      <c r="I61" s="12">
        <f>SUMIFS('muddati otgan'!$H:H,'muddati otgan'!$C:C,$A:A)</f>
        <v>0</v>
      </c>
      <c r="J61" s="44">
        <f t="shared" ref="J61" si="84">K61+P61+Q61+R61+S61+T61+U61+V61+W61+L61+O61+M61+N61+X61</f>
        <v>0</v>
      </c>
      <c r="K61" s="11">
        <f>+COUNTIFS('muddati otgan'!C:C,A61,'muddati otgan'!AA:AA,"Arizani qabul qilish")</f>
        <v>0</v>
      </c>
      <c r="L61" s="11">
        <f>+COUNTIFS('muddati otgan'!C:C,A61,'muddati otgan'!J:J,"Arizani rad etish")</f>
        <v>0</v>
      </c>
      <c r="M61" s="11">
        <f>+COUNTIFS('muddati otgan'!C:C,A61,'muddati otgan'!J:J,"Arizani tasdiqlash")</f>
        <v>0</v>
      </c>
      <c r="N61" s="11">
        <f>+COUNTIFS('muddati otgan'!C:C,A61,'muddati otgan'!J:J,"Arizani yo'naltirish")</f>
        <v>0</v>
      </c>
      <c r="O61" s="11">
        <f>+COUNTIFS('muddati otgan'!C:C,A61,'muddati otgan'!J:J,"Rad qilish sababini o'rganish")</f>
        <v>0</v>
      </c>
      <c r="P61" s="11">
        <f>+COUNTIFS('muddati otgan'!C:C,A61,'muddati otgan'!J:J,"Ko'chmas mulkni UZKAD ga migratsiya qilish")</f>
        <v>0</v>
      </c>
      <c r="Q61" s="11">
        <f>+COUNTIFS('muddati otgan'!C:C,A61,'muddati otgan'!J:J,"Migratisya qilingan obyekt holatini tekshirish")</f>
        <v>0</v>
      </c>
      <c r="R61" s="11">
        <f>+COUNTIFS('muddati otgan'!C:C,A61,'muddati otgan'!J:J,"Ko‘chmas mulkni tanlash")</f>
        <v>0</v>
      </c>
      <c r="S61" s="11">
        <f>+COUNTIFS('muddati otgan'!C:C,A61,'muddati otgan'!J:J,"Arizani ko'rib chiqish")</f>
        <v>0</v>
      </c>
      <c r="T61" s="11">
        <f>+COUNTIFS('muddati otgan'!C:C,A61,'muddati otgan'!J:J,"Kadastr muhandisini tanlash")</f>
        <v>0</v>
      </c>
      <c r="U61" s="11">
        <f>+COUNTIFS('muddati otgan'!C:C,A61,'muddati otgan'!J:J,"Ko'chmas mulk turini tanlahsh")</f>
        <v>0</v>
      </c>
      <c r="V61" s="11">
        <f>+COUNTIFS('muddati otgan'!C:C,A61,'muddati otgan'!AA:AA,"Rad qilish")</f>
        <v>0</v>
      </c>
      <c r="W61" s="11">
        <f>+COUNTIFS('muddati otgan'!C:C,A61,'muddati otgan'!J:J,"ijrochi tanlash")</f>
        <v>0</v>
      </c>
      <c r="X61" s="11">
        <f>+COUNTIFS('muddati otgan'!C:C,A61,'muddati otgan'!J:J,"Ko'chmas mulk turini tanlash")</f>
        <v>0</v>
      </c>
      <c r="Y61" s="11">
        <f t="shared" ref="Y61" si="85">Z61+AD61+AF61+AE61+AC61+AB61+AA61</f>
        <v>0</v>
      </c>
      <c r="Z61" s="11">
        <f>+COUNTIFS('muddati otgan'!C:C,A61,'muddati otgan'!J:J,"Ijroga qabul qilish")</f>
        <v>0</v>
      </c>
      <c r="AA61" s="11">
        <f>+COUNTIFS('muddati otgan'!C:C,A61,'muddati otgan'!J:J,"Joyida o'rganish va ma'lumotlarni kiritish")</f>
        <v>0</v>
      </c>
      <c r="AB61" s="11">
        <f>+COUNTIFS('muddati otgan'!C:C,A61,'muddati otgan'!J:J,"Asosiy qismdan ajratish jarayonida")</f>
        <v>0</v>
      </c>
      <c r="AC61" s="11">
        <f>+COUNTIFS('muddati otgan'!C:C,A61,'muddati otgan'!J:J,"Umumiy foydalanishdagi obyekt yaratilish")</f>
        <v>0</v>
      </c>
      <c r="AD61" s="11">
        <f>+COUNTIFS('muddati otgan'!C:C,A61,'muddati otgan'!J:J,"Migratsiya qilinadigan kadastr raqamini kiritish")</f>
        <v>0</v>
      </c>
      <c r="AE61" s="11">
        <f>+COUNTIFS('muddati otgan'!C:C,A61,'muddati otgan'!J:J,"O'zida qolgan obyektni yaratish")</f>
        <v>0</v>
      </c>
      <c r="AF61" s="11">
        <f>+COUNTIFS('muddati otgan'!C:C,A61,'muddati otgan'!J:J,"O'lchov natijalarini kiritish")</f>
        <v>0</v>
      </c>
      <c r="AG61" s="11">
        <f>+COUNTIFS('muddati otgan'!C:C,A61,'muddati otgan'!J:J,"Topoxaritani tayyorlash (dwg, pdf)")</f>
        <v>0</v>
      </c>
      <c r="AH61" s="11">
        <f t="shared" ref="AH61" si="86">AI61</f>
        <v>0</v>
      </c>
      <c r="AI61" s="11">
        <f>+COUNTIFS('muddati otgan'!C:C,A61,'muddati otgan'!J:J,"Yer uchastkasini yaratish")</f>
        <v>0</v>
      </c>
      <c r="AJ61" s="11">
        <f t="shared" ref="AJ61" si="87">AK61</f>
        <v>0</v>
      </c>
      <c r="AK61" s="11">
        <f>+COUNTIFS('muddati otgan'!C:C,A61,'muddati otgan'!J:J,"Kelishish (Boshqarma)")</f>
        <v>0</v>
      </c>
      <c r="AL61" s="11">
        <f t="shared" ref="AL61" si="88">AM61+AN61+AO61</f>
        <v>0</v>
      </c>
      <c r="AM61" s="11">
        <f>+COUNTIFS('muddati otgan'!C:C,A61,'muddati otgan'!J:J,"Kelishish (DKP)")</f>
        <v>0</v>
      </c>
      <c r="AN61" s="11">
        <f>+COUNTIFS('muddati otgan'!C:C,A61,'muddati otgan'!J:J,"Kelishish")</f>
        <v>0</v>
      </c>
      <c r="AO61" s="11">
        <f>+COUNTIFS('muddati otgan'!C:C,A61,'muddati otgan'!J:J,"Kelishish (Registratsiya DKP)")</f>
        <v>0</v>
      </c>
      <c r="AP61" s="11">
        <f t="shared" ref="AP61" si="89">AQ61+AR61+AS61+AT61</f>
        <v>0</v>
      </c>
      <c r="AQ61" s="11">
        <f>+COUNTIFS('muddati otgan'!C:C,A61,'muddati otgan'!J:J,"Manzil biriktirish")</f>
        <v>0</v>
      </c>
      <c r="AR61" s="11">
        <f>+COUNTIFS('muddati otgan'!C:C,A61,'muddati otgan'!J:J,"Bino va inshootlarni yaratish")</f>
        <v>0</v>
      </c>
      <c r="AS61" s="11">
        <f>+COUNTIFS('muddati otgan'!C:C,A61,'muddati otgan'!J:J,"Dov daraxtlarni yaratish")</f>
        <v>0</v>
      </c>
      <c r="AT61" s="11">
        <f>+COUNTIFS('muddati otgan'!C:C,A61,'muddati otgan'!J:J,"Yer uchastkasini tahrirlash")</f>
        <v>0</v>
      </c>
      <c r="AU61" s="11">
        <f t="shared" ref="AU61" si="90">AV61+AW61+AX61+AY61+AZ61</f>
        <v>0</v>
      </c>
      <c r="AV61" s="11">
        <f>+COUNTIFS('muddati otgan'!C:C,A61,'muddati otgan'!J:J,"Yer toifasi va maqsadini kiritish")</f>
        <v>0</v>
      </c>
      <c r="AW61" s="11">
        <f>+COUNTIFS('muddati otgan'!C:C,A61,'muddati otgan'!J:J,"Auksion yer tekshirish")</f>
        <v>0</v>
      </c>
      <c r="AX61" s="11">
        <f>+COUNTIFS('muddati otgan'!C:C,A61,'muddati otgan'!J:J,"Yer turlarini kiritish")</f>
        <v>0</v>
      </c>
      <c r="AY61" s="11">
        <f>+COUNTIFS('muddati otgan'!C:C,A61,'muddati otgan'!J:J,"Ma'lumotlarni kiritish")</f>
        <v>0</v>
      </c>
      <c r="AZ61" s="11">
        <f>+COUNTIFS('muddati otgan'!C:C,A61,'muddati otgan'!J:J,"Yer tekshirish")</f>
        <v>0</v>
      </c>
      <c r="BA61" s="11">
        <f t="shared" ref="BA61" si="91">BB61+BC61+BD61+BE61+BF61+BG61+BH61+BI61+BJ61+BK61</f>
        <v>0</v>
      </c>
      <c r="BB61" s="11">
        <f>+COUNTIFS('muddati otgan'!C:C,A61,'muddati otgan'!J:J,"Bino va inshoot ma'lumotlarini to‘ldirish")</f>
        <v>0</v>
      </c>
      <c r="BC61" s="11">
        <f>+COUNTIFS('muddati otgan'!C:C,A61,'muddati otgan'!J:J,"Inventarizatsiya ma'lumotlarini to‘ldirish")</f>
        <v>0</v>
      </c>
      <c r="BD61" s="11">
        <f>+COUNTIFS('muddati otgan'!C:C,A61,'muddati otgan'!J:J,"Yer uchastkasiga huquqiy hujjatlarni kiritsh")</f>
        <v>0</v>
      </c>
      <c r="BE61" s="11">
        <f>+COUNTIFS('muddati otgan'!C:C,A61,'muddati otgan'!J:J,"Bino-inshootlarga huquqiy hujjatlarni kiritsh")</f>
        <v>0</v>
      </c>
      <c r="BF61" s="11">
        <f>+COUNTIFS('muddati otgan'!C:C,A61,'muddati otgan'!J:J,"Kadastr qiymatini hisoblash va kiritish")</f>
        <v>0</v>
      </c>
      <c r="BG61" s="11">
        <f>+COUNTIFS('muddati otgan'!C:C,A61,'muddati otgan'!J:J,"Kadastr raqam biriktirish")</f>
        <v>0</v>
      </c>
      <c r="BH61" s="11">
        <f>+COUNTIFS('muddati otgan'!C:C,A61,'muddati otgan'!J:J,"Kadastr yig'ma jildni tayyorlash")</f>
        <v>0</v>
      </c>
      <c r="BI61" s="11">
        <f>+COUNTIFS('muddati otgan'!C:C,A61,'muddati otgan'!J:J,"Huquqni yaratish")</f>
        <v>0</v>
      </c>
      <c r="BJ61" s="11">
        <f>+COUNTIFS('muddati otgan'!C:C,A61,'muddati otgan'!J:J,"Hujjatlarni o'rganish")</f>
        <v>0</v>
      </c>
      <c r="BK61" s="11">
        <f>+COUNTIFS('muddati otgan'!C:C,A61,'muddati otgan'!J:J,"Ma'lumotlarni tekshirish")</f>
        <v>0</v>
      </c>
      <c r="BL61" s="11">
        <f t="shared" ref="BL61" si="92">BM61+BN61+BP61+BO61+BQ61</f>
        <v>0</v>
      </c>
      <c r="BM61" s="11">
        <f>+COUNTIFS('muddati otgan'!C:C,A61,'muddati otgan'!J:J,"Tekshirish")</f>
        <v>0</v>
      </c>
      <c r="BN61" s="11">
        <f>+COUNTIFS('muddati otgan'!C:C,A61,'muddati otgan'!J:J,"Hujjatlarni tekshirish")</f>
        <v>0</v>
      </c>
      <c r="BO61" s="11">
        <f>+COUNTIFS('muddati otgan'!C:C,A61,'muddati otgan'!J:J,"Tasdiqlash")</f>
        <v>0</v>
      </c>
      <c r="BP61" s="11">
        <f>+COUNTIFS('muddati otgan'!C:C,A61,'muddati otgan'!J:J,"tekshirish/tasdiqlash")</f>
        <v>0</v>
      </c>
      <c r="BQ61" s="11">
        <f>+COUNTIFS('muddati otgan'!C:C,A61,'muddati otgan'!J:J,"Ma'lumotlarni tasdiqlash")</f>
        <v>0</v>
      </c>
      <c r="BR61" s="11">
        <f t="shared" ref="BR61" si="93">BS61+BU61+BV61+BW61+BX61+BY61-BT61</f>
        <v>0</v>
      </c>
      <c r="BS61" s="11">
        <f>+COUNTIFS('muddati otgan'!C:C,A61,'muddati otgan'!J:J,"Ro'yxatdan o'tkazish ma'lumotlarini tekshirish")</f>
        <v>0</v>
      </c>
      <c r="BT61" s="11">
        <f>+COUNTIFS('muddati otgan'!C:C,A61,'muddati otgan'!J:J,"Kamchiliklar bo'yicha habarnoma yuborish va 3 kunga to'xtatish")</f>
        <v>0</v>
      </c>
      <c r="BU61" s="11">
        <f>+COUNTIFS('muddati otgan'!C:C,A61,'muddati otgan'!J:J,"Hisobga olish")</f>
        <v>0</v>
      </c>
      <c r="BV61" s="11">
        <f>+COUNTIFS('muddati otgan'!C:C,A61,'muddati otgan'!J:J,"Yer uchastkasiga huquq yaratish")</f>
        <v>0</v>
      </c>
      <c r="BW61" s="11">
        <f>+COUNTIFS('muddati otgan'!C:C,A61,'muddati otgan'!J:J,"Bino-inshootga huquq yaratish")</f>
        <v>0</v>
      </c>
      <c r="BX61" s="11">
        <f>+COUNTIFS('muddati otgan'!C:C,A61,'muddati otgan'!J:J,"Cheklov yaratish")</f>
        <v>0</v>
      </c>
      <c r="BY61" s="11">
        <f>+COUNTIFS('muddati otgan'!C:C,A61,'muddati otgan'!J:J,"Taqiq yaratish")</f>
        <v>0</v>
      </c>
      <c r="BZ61" s="11">
        <f t="shared" ref="BZ61" si="94">CA61</f>
        <v>0</v>
      </c>
      <c r="CA61" s="11">
        <f>+COUNTIFS('muddati otgan'!C:C,A61,'muddati otgan'!J:J,"Soliq maydonini tekshirish")</f>
        <v>0</v>
      </c>
      <c r="CB61" s="11">
        <f t="shared" ref="CB61" si="95">CC61</f>
        <v>0</v>
      </c>
      <c r="CC61" s="11">
        <f>+COUNTIFS('muddati otgan'!C:C,A61,'muddati otgan'!J:J,"Kadastr yig'majildini shakllantirish")</f>
        <v>0</v>
      </c>
      <c r="CD61" s="11">
        <f t="shared" ref="CD61" si="96">CE61+CF61+CG61+CI61+CJ61+CH61</f>
        <v>0</v>
      </c>
      <c r="CE61" s="11">
        <f>+COUNTIFS('muddati otgan'!C:C,A61,'muddati otgan'!J:J,"Kadastr passportini shakllantirish")</f>
        <v>0</v>
      </c>
      <c r="CF61" s="11">
        <f>+COUNTIFS('muddati otgan'!C:C,A61,'muddati otgan'!J:J,"Yig'ma jildni tasdiqlash")</f>
        <v>0</v>
      </c>
      <c r="CG61" s="11">
        <f>+COUNTIFS('muddati otgan'!C:C,A61,'muddati otgan'!J:J,"To'lov yoki bepul tasdiqlash")</f>
        <v>0</v>
      </c>
      <c r="CH61" s="11">
        <f>+COUNTIFS('muddati otgan'!C:C,A61,'muddati otgan'!J:J,"Bog'liq arizani kutish")</f>
        <v>0</v>
      </c>
      <c r="CI61" s="11">
        <f>+COUNTIFS('muddati otgan'!C:C,A61,'muddati otgan'!J:J,"To'lovga chiqarish")</f>
        <v>0</v>
      </c>
      <c r="CJ61" s="11">
        <f>+COUNTIFS('muddati otgan'!C:C,A61,'muddati otgan'!J:J,"Hisobga qo'yish")</f>
        <v>0</v>
      </c>
      <c r="CK61" s="6">
        <f>+COUNTIFS('muddati otgan'!C:C,A61,'muddati otgan'!J:J,"To'lov kutilmoqda")</f>
        <v>0</v>
      </c>
      <c r="CL61" s="11">
        <f t="shared" ref="CL61" si="97">CM61+CN61+CO61+CP61+CQ61+CR61+CS61+CT61</f>
        <v>0</v>
      </c>
      <c r="CM61" s="11">
        <f>+COUNTIFS('muddati otgan'!C:C,A61,'muddati otgan'!AA:AA,"Arizani qabul qilish2")</f>
        <v>0</v>
      </c>
      <c r="CN61" s="11">
        <f>+COUNTIFS('muddati otgan'!C:C,A61,'muddati otgan'!J:J,"Huquqlarni tekshirish")</f>
        <v>0</v>
      </c>
      <c r="CO61" s="11">
        <f>+COUNTIFS('muddati otgan'!C:C,A61,'muddati otgan'!J:J,"Ko'chmas mulkni ro'yhatdan o'tkazishga qabul qilish")</f>
        <v>0</v>
      </c>
      <c r="CP61" s="11">
        <f>+COUNTIFS('muddati otgan'!C:C,A61,'muddati otgan'!J:J,"Ro'yxatdan o'tkazish")</f>
        <v>0</v>
      </c>
      <c r="CQ61" s="11">
        <f>+COUNTIFS('muddati otgan'!C:C,A61,'muddati otgan'!J:J,"Kadastr pasporti va ko'chirmani yuborish")</f>
        <v>0</v>
      </c>
      <c r="CR61" s="11">
        <f>+COUNTIFS('muddati otgan'!C:C,A61,'muddati otgan'!AA:AA,"Rad qilish2")</f>
        <v>0</v>
      </c>
      <c r="CS61" s="11">
        <f>+COUNTIFS('muddati otgan'!C:C,A61,'muddati otgan'!J:J,"Ko'chirmani yuborish")</f>
        <v>0</v>
      </c>
      <c r="CT61" s="11">
        <f>+COUNTIFS('muddati otgan'!C:C,A61,'muddati otgan'!J:J,"Ma‘lumotlarni tekshirish")</f>
        <v>0</v>
      </c>
      <c r="CU61" s="11">
        <f t="shared" ref="CU61" si="98">CV61</f>
        <v>0</v>
      </c>
      <c r="CV61" s="11">
        <f>+COUNTIFS('muddati otgan'!C:C,A61,'muddati otgan'!J:J,"Kadastr yig'majildini chop etish va arxiv ishiga tikish")</f>
        <v>0</v>
      </c>
      <c r="CW61" s="11">
        <f t="shared" ref="CW61" si="99">CX61+CY61</f>
        <v>0</v>
      </c>
      <c r="CX61" s="11">
        <f>+COUNTIFS('muddati otgan'!C:C,A61,'muddati otgan'!J:J,"Kadastr yig‘majildini qabul qilish, arizani yakunlash")</f>
        <v>0</v>
      </c>
      <c r="CY61" s="11">
        <f>+COUNTIFS('muddati otgan'!C:C,A61,'muddati otgan'!J:J,"Next Cloudga yuklash")</f>
        <v>0</v>
      </c>
      <c r="CZ61" s="6">
        <f>+COUNTIFS('muddati otgan'!C:C,A61,'muddati otgan'!J:J,"Kelishish kutilmoqda")</f>
        <v>0</v>
      </c>
      <c r="DA61" s="6">
        <f>+COUNTIFS('muddati otgan'!C:C,A61,'muddati otgan'!J:J,"Yakunlandi")</f>
        <v>2</v>
      </c>
      <c r="DB61" s="10">
        <f>+COUNTIFS('muddati otgan'!C:C,A61,'muddati otgan'!J:J,"Rad etildi")</f>
        <v>0</v>
      </c>
      <c r="DC61" s="100">
        <f t="shared" ref="DC61" si="100">CK61+CZ61+DA61+DB61-D61</f>
        <v>0</v>
      </c>
      <c r="DD61" s="44">
        <f>COUNTIFS('jami 1-20 kunlik arizalar'!C:C,A:A,'jami 1-20 kunlik arizalar'!S:S,"1")</f>
        <v>0</v>
      </c>
      <c r="DE61" s="11">
        <f>COUNTIFS('jami 1-20 kunlik arizalar'!C:C,A:A,'jami 1-20 kunlik arizalar'!S:S,"2")</f>
        <v>0</v>
      </c>
      <c r="DF61" s="11">
        <f>COUNTIFS('jami 1-20 kunlik arizalar'!C:C,A:A,'jami 1-20 kunlik arizalar'!S:S,"3")</f>
        <v>1</v>
      </c>
      <c r="DG61" s="11">
        <f>COUNTIFS('jami 1-20 kunlik arizalar'!C:C,A:A,'jami 1-20 kunlik arizalar'!S:S,"4")</f>
        <v>3</v>
      </c>
      <c r="DH61" s="11">
        <f>COUNTIFS('jami 1-20 kunlik arizalar'!C:C,A:A,'jami 1-20 kunlik arizalar'!S:S,"5")</f>
        <v>2</v>
      </c>
      <c r="DI61" s="11">
        <f>SUM(COUNTIFS('jami 1-20 kunlik arizalar'!C:C,A:A, 'jami 1-20 kunlik arizalar'!S:S, {6,7,8,9,10}))</f>
        <v>8</v>
      </c>
      <c r="DJ61" s="12">
        <f>SUM(COUNTIFS('jami 1-20 kunlik arizalar'!C:C,A:A, 'jami 1-20 kunlik arizalar'!S:S, "&gt;10"))</f>
        <v>10</v>
      </c>
    </row>
    <row r="62" spans="1:115" ht="33" hidden="1" customHeight="1" outlineLevel="1" x14ac:dyDescent="0.25">
      <c r="A62" s="92" t="s">
        <v>565</v>
      </c>
      <c r="B62" s="106" t="s">
        <v>959</v>
      </c>
      <c r="C62" s="85" t="s">
        <v>787</v>
      </c>
      <c r="D62" s="80">
        <f>+COUNTIFS('muddati otgan'!C:C,A62,'muddati otgan'!C:C,A62)</f>
        <v>1</v>
      </c>
      <c r="E62" s="10">
        <f>SUMIFS('muddati otgan'!$V:V,'muddati otgan'!$C:C,$A:A)</f>
        <v>0</v>
      </c>
      <c r="F62" s="10">
        <f>SUMIFS('muddati otgan'!$W:W,'muddati otgan'!$C:C,$A:A)</f>
        <v>1</v>
      </c>
      <c r="G62" s="24">
        <f>SUMIFS('muddati otgan'!$U:U,'muddati otgan'!$C:C,$A:A)</f>
        <v>0</v>
      </c>
      <c r="H62" s="11">
        <f>SUMIFS('muddati otgan'!$G:G,'muddati otgan'!$C:C,$A:A)</f>
        <v>1</v>
      </c>
      <c r="I62" s="12">
        <f>SUMIFS('muddati otgan'!$H:H,'muddati otgan'!$C:C,$A:A)</f>
        <v>0</v>
      </c>
      <c r="J62" s="44">
        <f t="shared" si="58"/>
        <v>0</v>
      </c>
      <c r="K62" s="11">
        <f>+COUNTIFS('muddati otgan'!C:C,A62,'muddati otgan'!AA:AA,"Arizani qabul qilish")</f>
        <v>0</v>
      </c>
      <c r="L62" s="11">
        <f>+COUNTIFS('muddati otgan'!C:C,A62,'muddati otgan'!J:J,"Arizani rad etish")</f>
        <v>0</v>
      </c>
      <c r="M62" s="11">
        <f>+COUNTIFS('muddati otgan'!C:C,A62,'muddati otgan'!J:J,"Arizani tasdiqlash")</f>
        <v>0</v>
      </c>
      <c r="N62" s="11">
        <f>+COUNTIFS('muddati otgan'!C:C,A62,'muddati otgan'!J:J,"Arizani yo'naltirish")</f>
        <v>0</v>
      </c>
      <c r="O62" s="11">
        <f>+COUNTIFS('muddati otgan'!C:C,A62,'muddati otgan'!J:J,"Rad qilish sababini o'rganish")</f>
        <v>0</v>
      </c>
      <c r="P62" s="11">
        <f>+COUNTIFS('muddati otgan'!C:C,A62,'muddati otgan'!J:J,"Ko'chmas mulkni UZKAD ga migratsiya qilish")</f>
        <v>0</v>
      </c>
      <c r="Q62" s="11">
        <f>+COUNTIFS('muddati otgan'!C:C,A62,'muddati otgan'!J:J,"Migratisya qilingan obyekt holatini tekshirish")</f>
        <v>0</v>
      </c>
      <c r="R62" s="11">
        <f>+COUNTIFS('muddati otgan'!C:C,A62,'muddati otgan'!J:J,"Ko‘chmas mulkni tanlash")</f>
        <v>0</v>
      </c>
      <c r="S62" s="11">
        <f>+COUNTIFS('muddati otgan'!C:C,A62,'muddati otgan'!J:J,"Arizani ko'rib chiqish")</f>
        <v>0</v>
      </c>
      <c r="T62" s="11">
        <f>+COUNTIFS('muddati otgan'!C:C,A62,'muddati otgan'!J:J,"Kadastr muhandisini tanlash")</f>
        <v>0</v>
      </c>
      <c r="U62" s="11">
        <f>+COUNTIFS('muddati otgan'!C:C,A62,'muddati otgan'!J:J,"Ko'chmas mulk turini tanlahsh")</f>
        <v>0</v>
      </c>
      <c r="V62" s="11">
        <f>+COUNTIFS('muddati otgan'!C:C,A62,'muddati otgan'!AA:AA,"Rad qilish")</f>
        <v>0</v>
      </c>
      <c r="W62" s="11">
        <f>+COUNTIFS('muddati otgan'!C:C,A62,'muddati otgan'!J:J,"ijrochi tanlash")</f>
        <v>0</v>
      </c>
      <c r="X62" s="11">
        <f>+COUNTIFS('muddati otgan'!C:C,A62,'muddati otgan'!J:J,"Ko'chmas mulk turini tanlash")</f>
        <v>0</v>
      </c>
      <c r="Y62" s="11">
        <f t="shared" si="59"/>
        <v>0</v>
      </c>
      <c r="Z62" s="11">
        <f>+COUNTIFS('muddati otgan'!C:C,A62,'muddati otgan'!J:J,"Ijroga qabul qilish")</f>
        <v>0</v>
      </c>
      <c r="AA62" s="11">
        <f>+COUNTIFS('muddati otgan'!C:C,A62,'muddati otgan'!J:J,"Joyida o'rganish va ma'lumotlarni kiritish")</f>
        <v>0</v>
      </c>
      <c r="AB62" s="11">
        <f>+COUNTIFS('muddati otgan'!C:C,A62,'muddati otgan'!J:J,"Asosiy qismdan ajratish jarayonida")</f>
        <v>0</v>
      </c>
      <c r="AC62" s="11">
        <f>+COUNTIFS('muddati otgan'!C:C,A62,'muddati otgan'!J:J,"Umumiy foydalanishdagi obyekt yaratilish")</f>
        <v>0</v>
      </c>
      <c r="AD62" s="11">
        <f>+COUNTIFS('muddati otgan'!C:C,A62,'muddati otgan'!J:J,"Migratsiya qilinadigan kadastr raqamini kiritish")</f>
        <v>0</v>
      </c>
      <c r="AE62" s="11">
        <f>+COUNTIFS('muddati otgan'!C:C,A62,'muddati otgan'!J:J,"O'zida qolgan obyektni yaratish")</f>
        <v>0</v>
      </c>
      <c r="AF62" s="11">
        <f>+COUNTIFS('muddati otgan'!C:C,A62,'muddati otgan'!J:J,"O'lchov natijalarini kiritish")</f>
        <v>0</v>
      </c>
      <c r="AG62" s="11">
        <f>+COUNTIFS('muddati otgan'!C:C,A62,'muddati otgan'!J:J,"Topoxaritani tayyorlash (dwg, pdf)")</f>
        <v>0</v>
      </c>
      <c r="AH62" s="11">
        <f t="shared" si="60"/>
        <v>0</v>
      </c>
      <c r="AI62" s="11">
        <f>+COUNTIFS('muddati otgan'!C:C,A62,'muddati otgan'!J:J,"Yer uchastkasini yaratish")</f>
        <v>0</v>
      </c>
      <c r="AJ62" s="11">
        <f t="shared" si="61"/>
        <v>0</v>
      </c>
      <c r="AK62" s="11">
        <f>+COUNTIFS('muddati otgan'!C:C,A62,'muddati otgan'!J:J,"Kelishish (Boshqarma)")</f>
        <v>0</v>
      </c>
      <c r="AL62" s="11">
        <f t="shared" si="62"/>
        <v>0</v>
      </c>
      <c r="AM62" s="11">
        <f>+COUNTIFS('muddati otgan'!C:C,A62,'muddati otgan'!J:J,"Kelishish (DKP)")</f>
        <v>0</v>
      </c>
      <c r="AN62" s="11">
        <f>+COUNTIFS('muddati otgan'!C:C,A62,'muddati otgan'!J:J,"Kelishish")</f>
        <v>0</v>
      </c>
      <c r="AO62" s="11">
        <f>+COUNTIFS('muddati otgan'!C:C,A62,'muddati otgan'!J:J,"Kelishish (Registratsiya DKP)")</f>
        <v>0</v>
      </c>
      <c r="AP62" s="11">
        <f t="shared" si="63"/>
        <v>0</v>
      </c>
      <c r="AQ62" s="11">
        <f>+COUNTIFS('muddati otgan'!C:C,A62,'muddati otgan'!J:J,"Manzil biriktirish")</f>
        <v>0</v>
      </c>
      <c r="AR62" s="11">
        <f>+COUNTIFS('muddati otgan'!C:C,A62,'muddati otgan'!J:J,"Bino va inshootlarni yaratish")</f>
        <v>0</v>
      </c>
      <c r="AS62" s="11">
        <f>+COUNTIFS('muddati otgan'!C:C,A62,'muddati otgan'!J:J,"Dov daraxtlarni yaratish")</f>
        <v>0</v>
      </c>
      <c r="AT62" s="11">
        <f>+COUNTIFS('muddati otgan'!C:C,A62,'muddati otgan'!J:J,"Yer uchastkasini tahrirlash")</f>
        <v>0</v>
      </c>
      <c r="AU62" s="11">
        <f t="shared" si="64"/>
        <v>0</v>
      </c>
      <c r="AV62" s="11">
        <f>+COUNTIFS('muddati otgan'!C:C,A62,'muddati otgan'!J:J,"Yer toifasi va maqsadini kiritish")</f>
        <v>0</v>
      </c>
      <c r="AW62" s="11">
        <f>+COUNTIFS('muddati otgan'!C:C,A62,'muddati otgan'!J:J,"Auksion yer tekshirish")</f>
        <v>0</v>
      </c>
      <c r="AX62" s="11">
        <f>+COUNTIFS('muddati otgan'!C:C,A62,'muddati otgan'!J:J,"Yer turlarini kiritish")</f>
        <v>0</v>
      </c>
      <c r="AY62" s="11">
        <f>+COUNTIFS('muddati otgan'!C:C,A62,'muddati otgan'!J:J,"Ma'lumotlarni kiritish")</f>
        <v>0</v>
      </c>
      <c r="AZ62" s="11">
        <f>+COUNTIFS('muddati otgan'!C:C,A62,'muddati otgan'!J:J,"Yer tekshirish")</f>
        <v>0</v>
      </c>
      <c r="BA62" s="11">
        <f t="shared" si="65"/>
        <v>0</v>
      </c>
      <c r="BB62" s="11">
        <f>+COUNTIFS('muddati otgan'!C:C,A62,'muddati otgan'!J:J,"Bino va inshoot ma'lumotlarini to‘ldirish")</f>
        <v>0</v>
      </c>
      <c r="BC62" s="11">
        <f>+COUNTIFS('muddati otgan'!C:C,A62,'muddati otgan'!J:J,"Inventarizatsiya ma'lumotlarini to‘ldirish")</f>
        <v>0</v>
      </c>
      <c r="BD62" s="11">
        <f>+COUNTIFS('muddati otgan'!C:C,A62,'muddati otgan'!J:J,"Yer uchastkasiga huquqiy hujjatlarni kiritsh")</f>
        <v>0</v>
      </c>
      <c r="BE62" s="11">
        <f>+COUNTIFS('muddati otgan'!C:C,A62,'muddati otgan'!J:J,"Bino-inshootlarga huquqiy hujjatlarni kiritsh")</f>
        <v>0</v>
      </c>
      <c r="BF62" s="11">
        <f>+COUNTIFS('muddati otgan'!C:C,A62,'muddati otgan'!J:J,"Kadastr qiymatini hisoblash va kiritish")</f>
        <v>0</v>
      </c>
      <c r="BG62" s="11">
        <f>+COUNTIFS('muddati otgan'!C:C,A62,'muddati otgan'!J:J,"Kadastr raqam biriktirish")</f>
        <v>0</v>
      </c>
      <c r="BH62" s="11">
        <f>+COUNTIFS('muddati otgan'!C:C,A62,'muddati otgan'!J:J,"Kadastr yig'ma jildni tayyorlash")</f>
        <v>0</v>
      </c>
      <c r="BI62" s="11">
        <f>+COUNTIFS('muddati otgan'!C:C,A62,'muddati otgan'!J:J,"Huquqni yaratish")</f>
        <v>0</v>
      </c>
      <c r="BJ62" s="11">
        <f>+COUNTIFS('muddati otgan'!C:C,A62,'muddati otgan'!J:J,"Hujjatlarni o'rganish")</f>
        <v>0</v>
      </c>
      <c r="BK62" s="11">
        <f>+COUNTIFS('muddati otgan'!C:C,A62,'muddati otgan'!J:J,"Ma'lumotlarni tekshirish")</f>
        <v>0</v>
      </c>
      <c r="BL62" s="11">
        <f t="shared" si="66"/>
        <v>0</v>
      </c>
      <c r="BM62" s="11">
        <f>+COUNTIFS('muddati otgan'!C:C,A62,'muddati otgan'!J:J,"Tekshirish")</f>
        <v>0</v>
      </c>
      <c r="BN62" s="11">
        <f>+COUNTIFS('muddati otgan'!C:C,A62,'muddati otgan'!J:J,"Hujjatlarni tekshirish")</f>
        <v>0</v>
      </c>
      <c r="BO62" s="11">
        <f>+COUNTIFS('muddati otgan'!C:C,A62,'muddati otgan'!J:J,"Tasdiqlash")</f>
        <v>0</v>
      </c>
      <c r="BP62" s="11">
        <f>+COUNTIFS('muddati otgan'!C:C,A62,'muddati otgan'!J:J,"tekshirish/tasdiqlash")</f>
        <v>0</v>
      </c>
      <c r="BQ62" s="11">
        <f>+COUNTIFS('muddati otgan'!C:C,A62,'muddati otgan'!J:J,"Ma'lumotlarni tasdiqlash")</f>
        <v>0</v>
      </c>
      <c r="BR62" s="11">
        <f t="shared" si="32"/>
        <v>0</v>
      </c>
      <c r="BS62" s="11">
        <f>+COUNTIFS('muddati otgan'!C:C,A62,'muddati otgan'!J:J,"Ro'yxatdan o'tkazish ma'lumotlarini tekshirish")</f>
        <v>0</v>
      </c>
      <c r="BT62" s="11">
        <f>+COUNTIFS('muddati otgan'!C:C,A62,'muddati otgan'!J:J,"Kamchiliklar bo'yicha habarnoma yuborish va 3 kunga to'xtatish")</f>
        <v>0</v>
      </c>
      <c r="BU62" s="11">
        <f>+COUNTIFS('muddati otgan'!C:C,A62,'muddati otgan'!J:J,"Hisobga olish")</f>
        <v>0</v>
      </c>
      <c r="BV62" s="11">
        <f>+COUNTIFS('muddati otgan'!C:C,A62,'muddati otgan'!J:J,"Yer uchastkasiga huquq yaratish")</f>
        <v>0</v>
      </c>
      <c r="BW62" s="11">
        <f>+COUNTIFS('muddati otgan'!C:C,A62,'muddati otgan'!J:J,"Bino-inshootga huquq yaratish")</f>
        <v>0</v>
      </c>
      <c r="BX62" s="11">
        <f>+COUNTIFS('muddati otgan'!C:C,A62,'muddati otgan'!J:J,"Cheklov yaratish")</f>
        <v>0</v>
      </c>
      <c r="BY62" s="11">
        <f>+COUNTIFS('muddati otgan'!C:C,A62,'muddati otgan'!J:J,"Taqiq yaratish")</f>
        <v>0</v>
      </c>
      <c r="BZ62" s="11">
        <f t="shared" si="33"/>
        <v>0</v>
      </c>
      <c r="CA62" s="11">
        <f>+COUNTIFS('muddati otgan'!C:C,A62,'muddati otgan'!J:J,"Soliq maydonini tekshirish")</f>
        <v>0</v>
      </c>
      <c r="CB62" s="11">
        <f t="shared" si="34"/>
        <v>0</v>
      </c>
      <c r="CC62" s="11">
        <f>+COUNTIFS('muddati otgan'!C:C,A62,'muddati otgan'!J:J,"Kadastr yig'majildini shakllantirish")</f>
        <v>0</v>
      </c>
      <c r="CD62" s="11">
        <f t="shared" si="35"/>
        <v>1</v>
      </c>
      <c r="CE62" s="11">
        <f>+COUNTIFS('muddati otgan'!C:C,A62,'muddati otgan'!J:J,"Kadastr passportini shakllantirish")</f>
        <v>1</v>
      </c>
      <c r="CF62" s="11">
        <f>+COUNTIFS('muddati otgan'!C:C,A62,'muddati otgan'!J:J,"Yig'ma jildni tasdiqlash")</f>
        <v>0</v>
      </c>
      <c r="CG62" s="11">
        <f>+COUNTIFS('muddati otgan'!C:C,A62,'muddati otgan'!J:J,"To'lov yoki bepul tasdiqlash")</f>
        <v>0</v>
      </c>
      <c r="CH62" s="11">
        <f>+COUNTIFS('muddati otgan'!C:C,A62,'muddati otgan'!J:J,"Bog'liq arizani kutish")</f>
        <v>0</v>
      </c>
      <c r="CI62" s="11">
        <f>+COUNTIFS('muddati otgan'!C:C,A62,'muddati otgan'!J:J,"To'lovga chiqarish")</f>
        <v>0</v>
      </c>
      <c r="CJ62" s="11">
        <f>+COUNTIFS('muddati otgan'!C:C,A62,'muddati otgan'!J:J,"Hisobga qo'yish")</f>
        <v>0</v>
      </c>
      <c r="CK62" s="6">
        <f>+COUNTIFS('muddati otgan'!C:C,A62,'muddati otgan'!J:J,"To'lov kutilmoqda")</f>
        <v>0</v>
      </c>
      <c r="CL62" s="11">
        <f t="shared" si="36"/>
        <v>0</v>
      </c>
      <c r="CM62" s="11">
        <f>+COUNTIFS('muddati otgan'!C:C,A62,'muddati otgan'!AA:AA,"Arizani qabul qilish2")</f>
        <v>0</v>
      </c>
      <c r="CN62" s="11">
        <f>+COUNTIFS('muddati otgan'!C:C,A62,'muddati otgan'!J:J,"Huquqlarni tekshirish")</f>
        <v>0</v>
      </c>
      <c r="CO62" s="11">
        <f>+COUNTIFS('muddati otgan'!C:C,A62,'muddati otgan'!J:J,"Ko'chmas mulkni ro'yhatdan o'tkazishga qabul qilish")</f>
        <v>0</v>
      </c>
      <c r="CP62" s="11">
        <f>+COUNTIFS('muddati otgan'!C:C,A62,'muddati otgan'!J:J,"Ro'yxatdan o'tkazish")</f>
        <v>0</v>
      </c>
      <c r="CQ62" s="11">
        <f>+COUNTIFS('muddati otgan'!C:C,A62,'muddati otgan'!J:J,"Kadastr pasporti va ko'chirmani yuborish")</f>
        <v>0</v>
      </c>
      <c r="CR62" s="11">
        <f>+COUNTIFS('muddati otgan'!C:C,A62,'muddati otgan'!AA:AA,"Rad qilish2")</f>
        <v>0</v>
      </c>
      <c r="CS62" s="11">
        <f>+COUNTIFS('muddati otgan'!C:C,A62,'muddati otgan'!J:J,"Ko'chirmani yuborish")</f>
        <v>0</v>
      </c>
      <c r="CT62" s="11">
        <f>+COUNTIFS('muddati otgan'!C:C,A62,'muddati otgan'!J:J,"Ma‘lumotlarni tekshirish")</f>
        <v>0</v>
      </c>
      <c r="CU62" s="11">
        <f t="shared" si="37"/>
        <v>0</v>
      </c>
      <c r="CV62" s="11">
        <f>+COUNTIFS('muddati otgan'!C:C,A62,'muddati otgan'!J:J,"Kadastr yig'majildini chop etish va arxiv ishiga tikish")</f>
        <v>0</v>
      </c>
      <c r="CW62" s="11">
        <f t="shared" si="38"/>
        <v>0</v>
      </c>
      <c r="CX62" s="11">
        <f>+COUNTIFS('muddati otgan'!C:C,A62,'muddati otgan'!J:J,"Kadastr yig‘majildini qabul qilish, arizani yakunlash")</f>
        <v>0</v>
      </c>
      <c r="CY62" s="11">
        <f>+COUNTIFS('muddati otgan'!C:C,A62,'muddati otgan'!J:J,"Next Cloudga yuklash")</f>
        <v>0</v>
      </c>
      <c r="CZ62" s="6">
        <f>+COUNTIFS('muddati otgan'!C:C,A62,'muddati otgan'!J:J,"Kelishish kutilmoqda")</f>
        <v>0</v>
      </c>
      <c r="DA62" s="6">
        <f>+COUNTIFS('muddati otgan'!C:C,A62,'muddati otgan'!J:J,"Yakunlandi")</f>
        <v>0</v>
      </c>
      <c r="DB62" s="10">
        <f>+COUNTIFS('muddati otgan'!C:C,A62,'muddati otgan'!J:J,"Rad etildi")</f>
        <v>0</v>
      </c>
      <c r="DC62" s="100">
        <f t="shared" si="5"/>
        <v>-1</v>
      </c>
      <c r="DD62" s="44">
        <f>COUNTIFS('jami 1-20 kunlik arizalar'!C:C,A:A,'jami 1-20 kunlik arizalar'!S:S,"1")</f>
        <v>0</v>
      </c>
      <c r="DE62" s="11">
        <f>COUNTIFS('jami 1-20 kunlik arizalar'!C:C,A:A,'jami 1-20 kunlik arizalar'!S:S,"2")</f>
        <v>0</v>
      </c>
      <c r="DF62" s="11">
        <f>COUNTIFS('jami 1-20 kunlik arizalar'!C:C,A:A,'jami 1-20 kunlik arizalar'!S:S,"3")</f>
        <v>1</v>
      </c>
      <c r="DG62" s="11">
        <f>COUNTIFS('jami 1-20 kunlik arizalar'!C:C,A:A,'jami 1-20 kunlik arizalar'!S:S,"4")</f>
        <v>2</v>
      </c>
      <c r="DH62" s="11">
        <f>COUNTIFS('jami 1-20 kunlik arizalar'!C:C,A:A,'jami 1-20 kunlik arizalar'!S:S,"5")</f>
        <v>3</v>
      </c>
      <c r="DI62" s="11">
        <f>SUM(COUNTIFS('jami 1-20 kunlik arizalar'!C:C,A:A, 'jami 1-20 kunlik arizalar'!S:S, {6,7,8,9,10}))</f>
        <v>7</v>
      </c>
      <c r="DJ62" s="12">
        <f>SUM(COUNTIFS('jami 1-20 kunlik arizalar'!C:C,A:A, 'jami 1-20 kunlik arizalar'!S:S, "&gt;10"))</f>
        <v>13</v>
      </c>
    </row>
    <row r="63" spans="1:115" ht="33" hidden="1" customHeight="1" outlineLevel="1" x14ac:dyDescent="0.25">
      <c r="A63" s="92" t="s">
        <v>585</v>
      </c>
      <c r="B63" s="106" t="s">
        <v>959</v>
      </c>
      <c r="C63" s="85" t="s">
        <v>788</v>
      </c>
      <c r="D63" s="80">
        <f>+COUNTIFS('muddati otgan'!C:C,A63,'muddati otgan'!C:C,A63)</f>
        <v>0</v>
      </c>
      <c r="E63" s="10">
        <f>SUMIFS('muddati otgan'!$V:V,'muddati otgan'!$C:C,$A:A)</f>
        <v>0</v>
      </c>
      <c r="F63" s="10">
        <f>SUMIFS('muddati otgan'!$W:W,'muddati otgan'!$C:C,$A:A)</f>
        <v>0</v>
      </c>
      <c r="G63" s="24">
        <f>SUMIFS('muddati otgan'!$U:U,'muddati otgan'!$C:C,$A:A)</f>
        <v>0</v>
      </c>
      <c r="H63" s="11">
        <f>SUMIFS('muddati otgan'!$G:G,'muddati otgan'!$C:C,$A:A)</f>
        <v>0</v>
      </c>
      <c r="I63" s="12">
        <f>SUMIFS('muddati otgan'!$H:H,'muddati otgan'!$C:C,$A:A)</f>
        <v>0</v>
      </c>
      <c r="J63" s="44">
        <f t="shared" si="58"/>
        <v>0</v>
      </c>
      <c r="K63" s="11">
        <f>+COUNTIFS('muddati otgan'!C:C,A63,'muddati otgan'!AA:AA,"Arizani qabul qilish")</f>
        <v>0</v>
      </c>
      <c r="L63" s="11">
        <f>+COUNTIFS('muddati otgan'!C:C,A63,'muddati otgan'!J:J,"Arizani rad etish")</f>
        <v>0</v>
      </c>
      <c r="M63" s="11">
        <f>+COUNTIFS('muddati otgan'!C:C,A63,'muddati otgan'!J:J,"Arizani tasdiqlash")</f>
        <v>0</v>
      </c>
      <c r="N63" s="11">
        <f>+COUNTIFS('muddati otgan'!C:C,A63,'muddati otgan'!J:J,"Arizani yo'naltirish")</f>
        <v>0</v>
      </c>
      <c r="O63" s="11">
        <f>+COUNTIFS('muddati otgan'!C:C,A63,'muddati otgan'!J:J,"Rad qilish sababini o'rganish")</f>
        <v>0</v>
      </c>
      <c r="P63" s="11">
        <f>+COUNTIFS('muddati otgan'!C:C,A63,'muddati otgan'!J:J,"Ko'chmas mulkni UZKAD ga migratsiya qilish")</f>
        <v>0</v>
      </c>
      <c r="Q63" s="11">
        <f>+COUNTIFS('muddati otgan'!C:C,A63,'muddati otgan'!J:J,"Migratisya qilingan obyekt holatini tekshirish")</f>
        <v>0</v>
      </c>
      <c r="R63" s="11">
        <f>+COUNTIFS('muddati otgan'!C:C,A63,'muddati otgan'!J:J,"Ko‘chmas mulkni tanlash")</f>
        <v>0</v>
      </c>
      <c r="S63" s="11">
        <f>+COUNTIFS('muddati otgan'!C:C,A63,'muddati otgan'!J:J,"Arizani ko'rib chiqish")</f>
        <v>0</v>
      </c>
      <c r="T63" s="11">
        <f>+COUNTIFS('muddati otgan'!C:C,A63,'muddati otgan'!J:J,"Kadastr muhandisini tanlash")</f>
        <v>0</v>
      </c>
      <c r="U63" s="11">
        <f>+COUNTIFS('muddati otgan'!C:C,A63,'muddati otgan'!J:J,"Ko'chmas mulk turini tanlahsh")</f>
        <v>0</v>
      </c>
      <c r="V63" s="11">
        <f>+COUNTIFS('muddati otgan'!C:C,A63,'muddati otgan'!AA:AA,"Rad qilish")</f>
        <v>0</v>
      </c>
      <c r="W63" s="11">
        <f>+COUNTIFS('muddati otgan'!C:C,A63,'muddati otgan'!J:J,"ijrochi tanlash")</f>
        <v>0</v>
      </c>
      <c r="X63" s="11">
        <f>+COUNTIFS('muddati otgan'!C:C,A63,'muddati otgan'!J:J,"Ko'chmas mulk turini tanlash")</f>
        <v>0</v>
      </c>
      <c r="Y63" s="11">
        <f t="shared" si="59"/>
        <v>0</v>
      </c>
      <c r="Z63" s="11">
        <f>+COUNTIFS('muddati otgan'!C:C,A63,'muddati otgan'!J:J,"Ijroga qabul qilish")</f>
        <v>0</v>
      </c>
      <c r="AA63" s="11">
        <f>+COUNTIFS('muddati otgan'!C:C,A63,'muddati otgan'!J:J,"Joyida o'rganish va ma'lumotlarni kiritish")</f>
        <v>0</v>
      </c>
      <c r="AB63" s="11">
        <f>+COUNTIFS('muddati otgan'!C:C,A63,'muddati otgan'!J:J,"Asosiy qismdan ajratish jarayonida")</f>
        <v>0</v>
      </c>
      <c r="AC63" s="11">
        <f>+COUNTIFS('muddati otgan'!C:C,A63,'muddati otgan'!J:J,"Umumiy foydalanishdagi obyekt yaratilish")</f>
        <v>0</v>
      </c>
      <c r="AD63" s="11">
        <f>+COUNTIFS('muddati otgan'!C:C,A63,'muddati otgan'!J:J,"Migratsiya qilinadigan kadastr raqamini kiritish")</f>
        <v>0</v>
      </c>
      <c r="AE63" s="11">
        <f>+COUNTIFS('muddati otgan'!C:C,A63,'muddati otgan'!J:J,"O'zida qolgan obyektni yaratish")</f>
        <v>0</v>
      </c>
      <c r="AF63" s="11">
        <f>+COUNTIFS('muddati otgan'!C:C,A63,'muddati otgan'!J:J,"O'lchov natijalarini kiritish")</f>
        <v>0</v>
      </c>
      <c r="AG63" s="11">
        <f>+COUNTIFS('muddati otgan'!C:C,A63,'muddati otgan'!J:J,"Topoxaritani tayyorlash (dwg, pdf)")</f>
        <v>0</v>
      </c>
      <c r="AH63" s="11">
        <f t="shared" si="60"/>
        <v>0</v>
      </c>
      <c r="AI63" s="11">
        <f>+COUNTIFS('muddati otgan'!C:C,A63,'muddati otgan'!J:J,"Yer uchastkasini yaratish")</f>
        <v>0</v>
      </c>
      <c r="AJ63" s="11">
        <f t="shared" si="61"/>
        <v>0</v>
      </c>
      <c r="AK63" s="11">
        <f>+COUNTIFS('muddati otgan'!C:C,A63,'muddati otgan'!J:J,"Kelishish (Boshqarma)")</f>
        <v>0</v>
      </c>
      <c r="AL63" s="11">
        <f t="shared" si="62"/>
        <v>0</v>
      </c>
      <c r="AM63" s="11">
        <f>+COUNTIFS('muddati otgan'!C:C,A63,'muddati otgan'!J:J,"Kelishish (DKP)")</f>
        <v>0</v>
      </c>
      <c r="AN63" s="11">
        <f>+COUNTIFS('muddati otgan'!C:C,A63,'muddati otgan'!J:J,"Kelishish")</f>
        <v>0</v>
      </c>
      <c r="AO63" s="11">
        <f>+COUNTIFS('muddati otgan'!C:C,A63,'muddati otgan'!J:J,"Kelishish (Registratsiya DKP)")</f>
        <v>0</v>
      </c>
      <c r="AP63" s="11">
        <f t="shared" si="63"/>
        <v>0</v>
      </c>
      <c r="AQ63" s="11">
        <f>+COUNTIFS('muddati otgan'!C:C,A63,'muddati otgan'!J:J,"Manzil biriktirish")</f>
        <v>0</v>
      </c>
      <c r="AR63" s="11">
        <f>+COUNTIFS('muddati otgan'!C:C,A63,'muddati otgan'!J:J,"Bino va inshootlarni yaratish")</f>
        <v>0</v>
      </c>
      <c r="AS63" s="11">
        <f>+COUNTIFS('muddati otgan'!C:C,A63,'muddati otgan'!J:J,"Dov daraxtlarni yaratish")</f>
        <v>0</v>
      </c>
      <c r="AT63" s="11">
        <f>+COUNTIFS('muddati otgan'!C:C,A63,'muddati otgan'!J:J,"Yer uchastkasini tahrirlash")</f>
        <v>0</v>
      </c>
      <c r="AU63" s="11">
        <f t="shared" si="64"/>
        <v>0</v>
      </c>
      <c r="AV63" s="11">
        <f>+COUNTIFS('muddati otgan'!C:C,A63,'muddati otgan'!J:J,"Yer toifasi va maqsadini kiritish")</f>
        <v>0</v>
      </c>
      <c r="AW63" s="11">
        <f>+COUNTIFS('muddati otgan'!C:C,A63,'muddati otgan'!J:J,"Auksion yer tekshirish")</f>
        <v>0</v>
      </c>
      <c r="AX63" s="11">
        <f>+COUNTIFS('muddati otgan'!C:C,A63,'muddati otgan'!J:J,"Yer turlarini kiritish")</f>
        <v>0</v>
      </c>
      <c r="AY63" s="11">
        <f>+COUNTIFS('muddati otgan'!C:C,A63,'muddati otgan'!J:J,"Ma'lumotlarni kiritish")</f>
        <v>0</v>
      </c>
      <c r="AZ63" s="11">
        <f>+COUNTIFS('muddati otgan'!C:C,A63,'muddati otgan'!J:J,"Yer tekshirish")</f>
        <v>0</v>
      </c>
      <c r="BA63" s="11">
        <f t="shared" si="65"/>
        <v>0</v>
      </c>
      <c r="BB63" s="11">
        <f>+COUNTIFS('muddati otgan'!C:C,A63,'muddati otgan'!J:J,"Bino va inshoot ma'lumotlarini to‘ldirish")</f>
        <v>0</v>
      </c>
      <c r="BC63" s="11">
        <f>+COUNTIFS('muddati otgan'!C:C,A63,'muddati otgan'!J:J,"Inventarizatsiya ma'lumotlarini to‘ldirish")</f>
        <v>0</v>
      </c>
      <c r="BD63" s="11">
        <f>+COUNTIFS('muddati otgan'!C:C,A63,'muddati otgan'!J:J,"Yer uchastkasiga huquqiy hujjatlarni kiritsh")</f>
        <v>0</v>
      </c>
      <c r="BE63" s="11">
        <f>+COUNTIFS('muddati otgan'!C:C,A63,'muddati otgan'!J:J,"Bino-inshootlarga huquqiy hujjatlarni kiritsh")</f>
        <v>0</v>
      </c>
      <c r="BF63" s="11">
        <f>+COUNTIFS('muddati otgan'!C:C,A63,'muddati otgan'!J:J,"Kadastr qiymatini hisoblash va kiritish")</f>
        <v>0</v>
      </c>
      <c r="BG63" s="11">
        <f>+COUNTIFS('muddati otgan'!C:C,A63,'muddati otgan'!J:J,"Kadastr raqam biriktirish")</f>
        <v>0</v>
      </c>
      <c r="BH63" s="11">
        <f>+COUNTIFS('muddati otgan'!C:C,A63,'muddati otgan'!J:J,"Kadastr yig'ma jildni tayyorlash")</f>
        <v>0</v>
      </c>
      <c r="BI63" s="11">
        <f>+COUNTIFS('muddati otgan'!C:C,A63,'muddati otgan'!J:J,"Huquqni yaratish")</f>
        <v>0</v>
      </c>
      <c r="BJ63" s="11">
        <f>+COUNTIFS('muddati otgan'!C:C,A63,'muddati otgan'!J:J,"Hujjatlarni o'rganish")</f>
        <v>0</v>
      </c>
      <c r="BK63" s="11">
        <f>+COUNTIFS('muddati otgan'!C:C,A63,'muddati otgan'!J:J,"Ma'lumotlarni tekshirish")</f>
        <v>0</v>
      </c>
      <c r="BL63" s="11">
        <f t="shared" si="66"/>
        <v>0</v>
      </c>
      <c r="BM63" s="11">
        <f>+COUNTIFS('muddati otgan'!C:C,A63,'muddati otgan'!J:J,"Tekshirish")</f>
        <v>0</v>
      </c>
      <c r="BN63" s="11">
        <f>+COUNTIFS('muddati otgan'!C:C,A63,'muddati otgan'!J:J,"Hujjatlarni tekshirish")</f>
        <v>0</v>
      </c>
      <c r="BO63" s="11">
        <f>+COUNTIFS('muddati otgan'!C:C,A63,'muddati otgan'!J:J,"Tasdiqlash")</f>
        <v>0</v>
      </c>
      <c r="BP63" s="11">
        <f>+COUNTIFS('muddati otgan'!C:C,A63,'muddati otgan'!J:J,"tekshirish/tasdiqlash")</f>
        <v>0</v>
      </c>
      <c r="BQ63" s="11">
        <f>+COUNTIFS('muddati otgan'!C:C,A63,'muddati otgan'!J:J,"Ma'lumotlarni tasdiqlash")</f>
        <v>0</v>
      </c>
      <c r="BR63" s="11">
        <f t="shared" si="32"/>
        <v>0</v>
      </c>
      <c r="BS63" s="11">
        <f>+COUNTIFS('muddati otgan'!C:C,A63,'muddati otgan'!J:J,"Ro'yxatdan o'tkazish ma'lumotlarini tekshirish")</f>
        <v>0</v>
      </c>
      <c r="BT63" s="11">
        <f>+COUNTIFS('muddati otgan'!C:C,A63,'muddati otgan'!J:J,"Kamchiliklar bo'yicha habarnoma yuborish va 3 kunga to'xtatish")</f>
        <v>0</v>
      </c>
      <c r="BU63" s="11">
        <f>+COUNTIFS('muddati otgan'!C:C,A63,'muddati otgan'!J:J,"Hisobga olish")</f>
        <v>0</v>
      </c>
      <c r="BV63" s="11">
        <f>+COUNTIFS('muddati otgan'!C:C,A63,'muddati otgan'!J:J,"Yer uchastkasiga huquq yaratish")</f>
        <v>0</v>
      </c>
      <c r="BW63" s="11">
        <f>+COUNTIFS('muddati otgan'!C:C,A63,'muddati otgan'!J:J,"Bino-inshootga huquq yaratish")</f>
        <v>0</v>
      </c>
      <c r="BX63" s="11">
        <f>+COUNTIFS('muddati otgan'!C:C,A63,'muddati otgan'!J:J,"Cheklov yaratish")</f>
        <v>0</v>
      </c>
      <c r="BY63" s="11">
        <f>+COUNTIFS('muddati otgan'!C:C,A63,'muddati otgan'!J:J,"Taqiq yaratish")</f>
        <v>0</v>
      </c>
      <c r="BZ63" s="11">
        <f t="shared" si="33"/>
        <v>0</v>
      </c>
      <c r="CA63" s="11">
        <f>+COUNTIFS('muddati otgan'!C:C,A63,'muddati otgan'!J:J,"Soliq maydonini tekshirish")</f>
        <v>0</v>
      </c>
      <c r="CB63" s="11">
        <f t="shared" si="34"/>
        <v>0</v>
      </c>
      <c r="CC63" s="11">
        <f>+COUNTIFS('muddati otgan'!C:C,A63,'muddati otgan'!J:J,"Kadastr yig'majildini shakllantirish")</f>
        <v>0</v>
      </c>
      <c r="CD63" s="11">
        <f t="shared" si="35"/>
        <v>0</v>
      </c>
      <c r="CE63" s="11">
        <f>+COUNTIFS('muddati otgan'!C:C,A63,'muddati otgan'!J:J,"Kadastr passportini shakllantirish")</f>
        <v>0</v>
      </c>
      <c r="CF63" s="11">
        <f>+COUNTIFS('muddati otgan'!C:C,A63,'muddati otgan'!J:J,"Yig'ma jildni tasdiqlash")</f>
        <v>0</v>
      </c>
      <c r="CG63" s="11">
        <f>+COUNTIFS('muddati otgan'!C:C,A63,'muddati otgan'!J:J,"To'lov yoki bepul tasdiqlash")</f>
        <v>0</v>
      </c>
      <c r="CH63" s="11">
        <f>+COUNTIFS('muddati otgan'!C:C,A63,'muddati otgan'!J:J,"Bog'liq arizani kutish")</f>
        <v>0</v>
      </c>
      <c r="CI63" s="11">
        <f>+COUNTIFS('muddati otgan'!C:C,A63,'muddati otgan'!J:J,"To'lovga chiqarish")</f>
        <v>0</v>
      </c>
      <c r="CJ63" s="11">
        <f>+COUNTIFS('muddati otgan'!C:C,A63,'muddati otgan'!J:J,"Hisobga qo'yish")</f>
        <v>0</v>
      </c>
      <c r="CK63" s="6">
        <f>+COUNTIFS('muddati otgan'!C:C,A63,'muddati otgan'!J:J,"To'lov kutilmoqda")</f>
        <v>0</v>
      </c>
      <c r="CL63" s="11">
        <f t="shared" si="36"/>
        <v>0</v>
      </c>
      <c r="CM63" s="11">
        <f>+COUNTIFS('muddati otgan'!C:C,A63,'muddati otgan'!AA:AA,"Arizani qabul qilish2")</f>
        <v>0</v>
      </c>
      <c r="CN63" s="11">
        <f>+COUNTIFS('muddati otgan'!C:C,A63,'muddati otgan'!J:J,"Huquqlarni tekshirish")</f>
        <v>0</v>
      </c>
      <c r="CO63" s="11">
        <f>+COUNTIFS('muddati otgan'!C:C,A63,'muddati otgan'!J:J,"Ko'chmas mulkni ro'yhatdan o'tkazishga qabul qilish")</f>
        <v>0</v>
      </c>
      <c r="CP63" s="11">
        <f>+COUNTIFS('muddati otgan'!C:C,A63,'muddati otgan'!J:J,"Ro'yxatdan o'tkazish")</f>
        <v>0</v>
      </c>
      <c r="CQ63" s="11">
        <f>+COUNTIFS('muddati otgan'!C:C,A63,'muddati otgan'!J:J,"Kadastr pasporti va ko'chirmani yuborish")</f>
        <v>0</v>
      </c>
      <c r="CR63" s="11">
        <f>+COUNTIFS('muddati otgan'!C:C,A63,'muddati otgan'!AA:AA,"Rad qilish2")</f>
        <v>0</v>
      </c>
      <c r="CS63" s="11">
        <f>+COUNTIFS('muddati otgan'!C:C,A63,'muddati otgan'!J:J,"Ko'chirmani yuborish")</f>
        <v>0</v>
      </c>
      <c r="CT63" s="11">
        <f>+COUNTIFS('muddati otgan'!C:C,A63,'muddati otgan'!J:J,"Ma‘lumotlarni tekshirish")</f>
        <v>0</v>
      </c>
      <c r="CU63" s="11">
        <f t="shared" si="37"/>
        <v>0</v>
      </c>
      <c r="CV63" s="11">
        <f>+COUNTIFS('muddati otgan'!C:C,A63,'muddati otgan'!J:J,"Kadastr yig'majildini chop etish va arxiv ishiga tikish")</f>
        <v>0</v>
      </c>
      <c r="CW63" s="11">
        <f t="shared" si="38"/>
        <v>0</v>
      </c>
      <c r="CX63" s="11">
        <f>+COUNTIFS('muddati otgan'!C:C,A63,'muddati otgan'!J:J,"Kadastr yig‘majildini qabul qilish, arizani yakunlash")</f>
        <v>0</v>
      </c>
      <c r="CY63" s="11">
        <f>+COUNTIFS('muddati otgan'!C:C,A63,'muddati otgan'!J:J,"Next Cloudga yuklash")</f>
        <v>0</v>
      </c>
      <c r="CZ63" s="6">
        <f>+COUNTIFS('muddati otgan'!C:C,A63,'muddati otgan'!J:J,"Kelishish kutilmoqda")</f>
        <v>0</v>
      </c>
      <c r="DA63" s="6">
        <f>+COUNTIFS('muddati otgan'!C:C,A63,'muddati otgan'!J:J,"Yakunlandi")</f>
        <v>0</v>
      </c>
      <c r="DB63" s="10">
        <f>+COUNTIFS('muddati otgan'!C:C,A63,'muddati otgan'!J:J,"Rad etildi")</f>
        <v>0</v>
      </c>
      <c r="DC63" s="100">
        <f t="shared" si="5"/>
        <v>0</v>
      </c>
      <c r="DD63" s="44">
        <f>COUNTIFS('jami 1-20 kunlik arizalar'!C:C,A:A,'jami 1-20 kunlik arizalar'!S:S,"1")</f>
        <v>0</v>
      </c>
      <c r="DE63" s="11">
        <f>COUNTIFS('jami 1-20 kunlik arizalar'!C:C,A:A,'jami 1-20 kunlik arizalar'!S:S,"2")</f>
        <v>0</v>
      </c>
      <c r="DF63" s="11">
        <f>COUNTIFS('jami 1-20 kunlik arizalar'!C:C,A:A,'jami 1-20 kunlik arizalar'!S:S,"3")</f>
        <v>2</v>
      </c>
      <c r="DG63" s="11">
        <f>COUNTIFS('jami 1-20 kunlik arizalar'!C:C,A:A,'jami 1-20 kunlik arizalar'!S:S,"4")</f>
        <v>4</v>
      </c>
      <c r="DH63" s="11">
        <f>COUNTIFS('jami 1-20 kunlik arizalar'!C:C,A:A,'jami 1-20 kunlik arizalar'!S:S,"5")</f>
        <v>3</v>
      </c>
      <c r="DI63" s="11">
        <f>SUM(COUNTIFS('jami 1-20 kunlik arizalar'!C:C,A:A, 'jami 1-20 kunlik arizalar'!S:S, {6,7,8,9,10}))</f>
        <v>8</v>
      </c>
      <c r="DJ63" s="12">
        <f>SUM(COUNTIFS('jami 1-20 kunlik arizalar'!C:C,A:A, 'jami 1-20 kunlik arizalar'!S:S, "&gt;10"))</f>
        <v>14</v>
      </c>
    </row>
    <row r="64" spans="1:115" ht="33" hidden="1" customHeight="1" outlineLevel="1" x14ac:dyDescent="0.25">
      <c r="A64" s="97">
        <v>50703045960050</v>
      </c>
      <c r="B64" s="106" t="s">
        <v>959</v>
      </c>
      <c r="C64" s="85" t="s">
        <v>954</v>
      </c>
      <c r="D64" s="80">
        <f>+COUNTIFS('muddati otgan'!C:C,A64,'muddati otgan'!C:C,A64)</f>
        <v>1</v>
      </c>
      <c r="E64" s="10">
        <f>SUMIFS('muddati otgan'!$V:V,'muddati otgan'!$C:C,$A:A)</f>
        <v>0</v>
      </c>
      <c r="F64" s="10">
        <f>SUMIFS('muddati otgan'!$W:W,'muddati otgan'!$C:C,$A:A)</f>
        <v>1</v>
      </c>
      <c r="G64" s="24">
        <f>SUMIFS('muddati otgan'!$U:U,'muddati otgan'!$C:C,$A:A)</f>
        <v>0</v>
      </c>
      <c r="H64" s="11">
        <f>SUMIFS('muddati otgan'!$G:G,'muddati otgan'!$C:C,$A:A)</f>
        <v>1</v>
      </c>
      <c r="I64" s="12">
        <f>SUMIFS('muddati otgan'!$H:H,'muddati otgan'!$C:C,$A:A)</f>
        <v>0</v>
      </c>
      <c r="J64" s="44">
        <f t="shared" ref="J64" si="101">K64+P64+Q64+R64+S64+T64+U64+V64+W64+L64+O64+M64+N64+X64</f>
        <v>0</v>
      </c>
      <c r="K64" s="11">
        <f>+COUNTIFS('muddati otgan'!C:C,A64,'muddati otgan'!AA:AA,"Arizani qabul qilish")</f>
        <v>0</v>
      </c>
      <c r="L64" s="11">
        <f>+COUNTIFS('muddati otgan'!C:C,A64,'muddati otgan'!J:J,"Arizani rad etish")</f>
        <v>0</v>
      </c>
      <c r="M64" s="11">
        <f>+COUNTIFS('muddati otgan'!C:C,A64,'muddati otgan'!J:J,"Arizani tasdiqlash")</f>
        <v>0</v>
      </c>
      <c r="N64" s="11">
        <f>+COUNTIFS('muddati otgan'!C:C,A64,'muddati otgan'!J:J,"Arizani yo'naltirish")</f>
        <v>0</v>
      </c>
      <c r="O64" s="11">
        <f>+COUNTIFS('muddati otgan'!C:C,A64,'muddati otgan'!J:J,"Rad qilish sababini o'rganish")</f>
        <v>0</v>
      </c>
      <c r="P64" s="11">
        <f>+COUNTIFS('muddati otgan'!C:C,A64,'muddati otgan'!J:J,"Ko'chmas mulkni UZKAD ga migratsiya qilish")</f>
        <v>0</v>
      </c>
      <c r="Q64" s="11">
        <f>+COUNTIFS('muddati otgan'!C:C,A64,'muddati otgan'!J:J,"Migratisya qilingan obyekt holatini tekshirish")</f>
        <v>0</v>
      </c>
      <c r="R64" s="11">
        <f>+COUNTIFS('muddati otgan'!C:C,A64,'muddati otgan'!J:J,"Ko‘chmas mulkni tanlash")</f>
        <v>0</v>
      </c>
      <c r="S64" s="11">
        <f>+COUNTIFS('muddati otgan'!C:C,A64,'muddati otgan'!J:J,"Arizani ko'rib chiqish")</f>
        <v>0</v>
      </c>
      <c r="T64" s="11">
        <f>+COUNTIFS('muddati otgan'!C:C,A64,'muddati otgan'!J:J,"Kadastr muhandisini tanlash")</f>
        <v>0</v>
      </c>
      <c r="U64" s="11">
        <f>+COUNTIFS('muddati otgan'!C:C,A64,'muddati otgan'!J:J,"Ko'chmas mulk turini tanlahsh")</f>
        <v>0</v>
      </c>
      <c r="V64" s="11">
        <f>+COUNTIFS('muddati otgan'!C:C,A64,'muddati otgan'!AA:AA,"Rad qilish")</f>
        <v>0</v>
      </c>
      <c r="W64" s="11">
        <f>+COUNTIFS('muddati otgan'!C:C,A64,'muddati otgan'!J:J,"ijrochi tanlash")</f>
        <v>0</v>
      </c>
      <c r="X64" s="11">
        <f>+COUNTIFS('muddati otgan'!C:C,A64,'muddati otgan'!J:J,"Ko'chmas mulk turini tanlash")</f>
        <v>0</v>
      </c>
      <c r="Y64" s="11">
        <f t="shared" ref="Y64" si="102">Z64+AD64+AF64+AE64+AC64+AB64+AA64</f>
        <v>0</v>
      </c>
      <c r="Z64" s="11">
        <f>+COUNTIFS('muddati otgan'!C:C,A64,'muddati otgan'!J:J,"Ijroga qabul qilish")</f>
        <v>0</v>
      </c>
      <c r="AA64" s="11">
        <f>+COUNTIFS('muddati otgan'!C:C,A64,'muddati otgan'!J:J,"Joyida o'rganish va ma'lumotlarni kiritish")</f>
        <v>0</v>
      </c>
      <c r="AB64" s="11">
        <f>+COUNTIFS('muddati otgan'!C:C,A64,'muddati otgan'!J:J,"Asosiy qismdan ajratish jarayonida")</f>
        <v>0</v>
      </c>
      <c r="AC64" s="11">
        <f>+COUNTIFS('muddati otgan'!C:C,A64,'muddati otgan'!J:J,"Umumiy foydalanishdagi obyekt yaratilish")</f>
        <v>0</v>
      </c>
      <c r="AD64" s="11">
        <f>+COUNTIFS('muddati otgan'!C:C,A64,'muddati otgan'!J:J,"Migratsiya qilinadigan kadastr raqamini kiritish")</f>
        <v>0</v>
      </c>
      <c r="AE64" s="11">
        <f>+COUNTIFS('muddati otgan'!C:C,A64,'muddati otgan'!J:J,"O'zida qolgan obyektni yaratish")</f>
        <v>0</v>
      </c>
      <c r="AF64" s="11">
        <f>+COUNTIFS('muddati otgan'!C:C,A64,'muddati otgan'!J:J,"O'lchov natijalarini kiritish")</f>
        <v>0</v>
      </c>
      <c r="AG64" s="11">
        <f>+COUNTIFS('muddati otgan'!C:C,A64,'muddati otgan'!J:J,"Topoxaritani tayyorlash (dwg, pdf)")</f>
        <v>0</v>
      </c>
      <c r="AH64" s="11">
        <f t="shared" ref="AH64" si="103">AI64</f>
        <v>0</v>
      </c>
      <c r="AI64" s="11">
        <f>+COUNTIFS('muddati otgan'!C:C,A64,'muddati otgan'!J:J,"Yer uchastkasini yaratish")</f>
        <v>0</v>
      </c>
      <c r="AJ64" s="11">
        <f t="shared" ref="AJ64" si="104">AK64</f>
        <v>0</v>
      </c>
      <c r="AK64" s="11">
        <f>+COUNTIFS('muddati otgan'!C:C,A64,'muddati otgan'!J:J,"Kelishish (Boshqarma)")</f>
        <v>0</v>
      </c>
      <c r="AL64" s="11">
        <f t="shared" ref="AL64" si="105">AM64+AN64+AO64</f>
        <v>0</v>
      </c>
      <c r="AM64" s="11">
        <f>+COUNTIFS('muddati otgan'!C:C,A64,'muddati otgan'!J:J,"Kelishish (DKP)")</f>
        <v>0</v>
      </c>
      <c r="AN64" s="11">
        <f>+COUNTIFS('muddati otgan'!C:C,A64,'muddati otgan'!J:J,"Kelishish")</f>
        <v>0</v>
      </c>
      <c r="AO64" s="11">
        <f>+COUNTIFS('muddati otgan'!C:C,A64,'muddati otgan'!J:J,"Kelishish (Registratsiya DKP)")</f>
        <v>0</v>
      </c>
      <c r="AP64" s="11">
        <f t="shared" ref="AP64" si="106">AQ64+AR64+AS64+AT64</f>
        <v>0</v>
      </c>
      <c r="AQ64" s="11">
        <f>+COUNTIFS('muddati otgan'!C:C,A64,'muddati otgan'!J:J,"Manzil biriktirish")</f>
        <v>0</v>
      </c>
      <c r="AR64" s="11">
        <f>+COUNTIFS('muddati otgan'!C:C,A64,'muddati otgan'!J:J,"Bino va inshootlarni yaratish")</f>
        <v>0</v>
      </c>
      <c r="AS64" s="11">
        <f>+COUNTIFS('muddati otgan'!C:C,A64,'muddati otgan'!J:J,"Dov daraxtlarni yaratish")</f>
        <v>0</v>
      </c>
      <c r="AT64" s="11">
        <f>+COUNTIFS('muddati otgan'!C:C,A64,'muddati otgan'!J:J,"Yer uchastkasini tahrirlash")</f>
        <v>0</v>
      </c>
      <c r="AU64" s="11">
        <f t="shared" ref="AU64" si="107">AV64+AW64+AX64+AY64+AZ64</f>
        <v>0</v>
      </c>
      <c r="AV64" s="11">
        <f>+COUNTIFS('muddati otgan'!C:C,A64,'muddati otgan'!J:J,"Yer toifasi va maqsadini kiritish")</f>
        <v>0</v>
      </c>
      <c r="AW64" s="11">
        <f>+COUNTIFS('muddati otgan'!C:C,A64,'muddati otgan'!J:J,"Auksion yer tekshirish")</f>
        <v>0</v>
      </c>
      <c r="AX64" s="11">
        <f>+COUNTIFS('muddati otgan'!C:C,A64,'muddati otgan'!J:J,"Yer turlarini kiritish")</f>
        <v>0</v>
      </c>
      <c r="AY64" s="11">
        <f>+COUNTIFS('muddati otgan'!C:C,A64,'muddati otgan'!J:J,"Ma'lumotlarni kiritish")</f>
        <v>0</v>
      </c>
      <c r="AZ64" s="11">
        <f>+COUNTIFS('muddati otgan'!C:C,A64,'muddati otgan'!J:J,"Yer tekshirish")</f>
        <v>0</v>
      </c>
      <c r="BA64" s="11">
        <f t="shared" ref="BA64" si="108">BB64+BC64+BD64+BE64+BF64+BG64+BH64+BI64+BJ64+BK64</f>
        <v>0</v>
      </c>
      <c r="BB64" s="11">
        <f>+COUNTIFS('muddati otgan'!C:C,A64,'muddati otgan'!J:J,"Bino va inshoot ma'lumotlarini to‘ldirish")</f>
        <v>0</v>
      </c>
      <c r="BC64" s="11">
        <f>+COUNTIFS('muddati otgan'!C:C,A64,'muddati otgan'!J:J,"Inventarizatsiya ma'lumotlarini to‘ldirish")</f>
        <v>0</v>
      </c>
      <c r="BD64" s="11">
        <f>+COUNTIFS('muddati otgan'!C:C,A64,'muddati otgan'!J:J,"Yer uchastkasiga huquqiy hujjatlarni kiritsh")</f>
        <v>0</v>
      </c>
      <c r="BE64" s="11">
        <f>+COUNTIFS('muddati otgan'!C:C,A64,'muddati otgan'!J:J,"Bino-inshootlarga huquqiy hujjatlarni kiritsh")</f>
        <v>0</v>
      </c>
      <c r="BF64" s="11">
        <f>+COUNTIFS('muddati otgan'!C:C,A64,'muddati otgan'!J:J,"Kadastr qiymatini hisoblash va kiritish")</f>
        <v>0</v>
      </c>
      <c r="BG64" s="11">
        <f>+COUNTIFS('muddati otgan'!C:C,A64,'muddati otgan'!J:J,"Kadastr raqam biriktirish")</f>
        <v>0</v>
      </c>
      <c r="BH64" s="11">
        <f>+COUNTIFS('muddati otgan'!C:C,A64,'muddati otgan'!J:J,"Kadastr yig'ma jildni tayyorlash")</f>
        <v>0</v>
      </c>
      <c r="BI64" s="11">
        <f>+COUNTIFS('muddati otgan'!C:C,A64,'muddati otgan'!J:J,"Huquqni yaratish")</f>
        <v>0</v>
      </c>
      <c r="BJ64" s="11">
        <f>+COUNTIFS('muddati otgan'!C:C,A64,'muddati otgan'!J:J,"Hujjatlarni o'rganish")</f>
        <v>0</v>
      </c>
      <c r="BK64" s="11">
        <f>+COUNTIFS('muddati otgan'!C:C,A64,'muddati otgan'!J:J,"Ma'lumotlarni tekshirish")</f>
        <v>0</v>
      </c>
      <c r="BL64" s="11">
        <f t="shared" ref="BL64" si="109">BM64+BN64+BP64+BO64+BQ64</f>
        <v>0</v>
      </c>
      <c r="BM64" s="11">
        <f>+COUNTIFS('muddati otgan'!C:C,A64,'muddati otgan'!J:J,"Tekshirish")</f>
        <v>0</v>
      </c>
      <c r="BN64" s="11">
        <f>+COUNTIFS('muddati otgan'!C:C,A64,'muddati otgan'!J:J,"Hujjatlarni tekshirish")</f>
        <v>0</v>
      </c>
      <c r="BO64" s="11">
        <f>+COUNTIFS('muddati otgan'!C:C,A64,'muddati otgan'!J:J,"Tasdiqlash")</f>
        <v>0</v>
      </c>
      <c r="BP64" s="11">
        <f>+COUNTIFS('muddati otgan'!C:C,A64,'muddati otgan'!J:J,"tekshirish/tasdiqlash")</f>
        <v>0</v>
      </c>
      <c r="BQ64" s="11">
        <f>+COUNTIFS('muddati otgan'!C:C,A64,'muddati otgan'!J:J,"Ma'lumotlarni tasdiqlash")</f>
        <v>0</v>
      </c>
      <c r="BR64" s="11">
        <f t="shared" ref="BR64" si="110">BS64+BU64+BV64+BW64+BX64+BY64-BT64</f>
        <v>0</v>
      </c>
      <c r="BS64" s="11">
        <f>+COUNTIFS('muddati otgan'!C:C,A64,'muddati otgan'!J:J,"Ro'yxatdan o'tkazish ma'lumotlarini tekshirish")</f>
        <v>0</v>
      </c>
      <c r="BT64" s="11">
        <f>+COUNTIFS('muddati otgan'!C:C,A64,'muddati otgan'!J:J,"Kamchiliklar bo'yicha habarnoma yuborish va 3 kunga to'xtatish")</f>
        <v>0</v>
      </c>
      <c r="BU64" s="11">
        <f>+COUNTIFS('muddati otgan'!C:C,A64,'muddati otgan'!J:J,"Hisobga olish")</f>
        <v>0</v>
      </c>
      <c r="BV64" s="11">
        <f>+COUNTIFS('muddati otgan'!C:C,A64,'muddati otgan'!J:J,"Yer uchastkasiga huquq yaratish")</f>
        <v>0</v>
      </c>
      <c r="BW64" s="11">
        <f>+COUNTIFS('muddati otgan'!C:C,A64,'muddati otgan'!J:J,"Bino-inshootga huquq yaratish")</f>
        <v>0</v>
      </c>
      <c r="BX64" s="11">
        <f>+COUNTIFS('muddati otgan'!C:C,A64,'muddati otgan'!J:J,"Cheklov yaratish")</f>
        <v>0</v>
      </c>
      <c r="BY64" s="11">
        <f>+COUNTIFS('muddati otgan'!C:C,A64,'muddati otgan'!J:J,"Taqiq yaratish")</f>
        <v>0</v>
      </c>
      <c r="BZ64" s="11">
        <f t="shared" ref="BZ64" si="111">CA64</f>
        <v>0</v>
      </c>
      <c r="CA64" s="11">
        <f>+COUNTIFS('muddati otgan'!C:C,A64,'muddati otgan'!J:J,"Soliq maydonini tekshirish")</f>
        <v>0</v>
      </c>
      <c r="CB64" s="11">
        <f t="shared" ref="CB64" si="112">CC64</f>
        <v>0</v>
      </c>
      <c r="CC64" s="11">
        <f>+COUNTIFS('muddati otgan'!C:C,A64,'muddati otgan'!J:J,"Kadastr yig'majildini shakllantirish")</f>
        <v>0</v>
      </c>
      <c r="CD64" s="11">
        <f t="shared" ref="CD64" si="113">CE64+CF64+CG64+CI64+CJ64+CH64</f>
        <v>0</v>
      </c>
      <c r="CE64" s="11">
        <f>+COUNTIFS('muddati otgan'!C:C,A64,'muddati otgan'!J:J,"Kadastr passportini shakllantirish")</f>
        <v>0</v>
      </c>
      <c r="CF64" s="11">
        <f>+COUNTIFS('muddati otgan'!C:C,A64,'muddati otgan'!J:J,"Yig'ma jildni tasdiqlash")</f>
        <v>0</v>
      </c>
      <c r="CG64" s="11">
        <f>+COUNTIFS('muddati otgan'!C:C,A64,'muddati otgan'!J:J,"To'lov yoki bepul tasdiqlash")</f>
        <v>0</v>
      </c>
      <c r="CH64" s="11">
        <f>+COUNTIFS('muddati otgan'!C:C,A64,'muddati otgan'!J:J,"Bog'liq arizani kutish")</f>
        <v>0</v>
      </c>
      <c r="CI64" s="11">
        <f>+COUNTIFS('muddati otgan'!C:C,A64,'muddati otgan'!J:J,"To'lovga chiqarish")</f>
        <v>0</v>
      </c>
      <c r="CJ64" s="11">
        <f>+COUNTIFS('muddati otgan'!C:C,A64,'muddati otgan'!J:J,"Hisobga qo'yish")</f>
        <v>0</v>
      </c>
      <c r="CK64" s="6">
        <f>+COUNTIFS('muddati otgan'!C:C,A64,'muddati otgan'!J:J,"To'lov kutilmoqda")</f>
        <v>0</v>
      </c>
      <c r="CL64" s="11">
        <f t="shared" ref="CL64" si="114">CM64+CN64+CO64+CP64+CQ64+CR64+CS64+CT64</f>
        <v>0</v>
      </c>
      <c r="CM64" s="11">
        <f>+COUNTIFS('muddati otgan'!C:C,A64,'muddati otgan'!AA:AA,"Arizani qabul qilish2")</f>
        <v>0</v>
      </c>
      <c r="CN64" s="11">
        <f>+COUNTIFS('muddati otgan'!C:C,A64,'muddati otgan'!J:J,"Huquqlarni tekshirish")</f>
        <v>0</v>
      </c>
      <c r="CO64" s="11">
        <f>+COUNTIFS('muddati otgan'!C:C,A64,'muddati otgan'!J:J,"Ko'chmas mulkni ro'yhatdan o'tkazishga qabul qilish")</f>
        <v>0</v>
      </c>
      <c r="CP64" s="11">
        <f>+COUNTIFS('muddati otgan'!C:C,A64,'muddati otgan'!J:J,"Ro'yxatdan o'tkazish")</f>
        <v>0</v>
      </c>
      <c r="CQ64" s="11">
        <f>+COUNTIFS('muddati otgan'!C:C,A64,'muddati otgan'!J:J,"Kadastr pasporti va ko'chirmani yuborish")</f>
        <v>0</v>
      </c>
      <c r="CR64" s="11">
        <f>+COUNTIFS('muddati otgan'!C:C,A64,'muddati otgan'!AA:AA,"Rad qilish2")</f>
        <v>0</v>
      </c>
      <c r="CS64" s="11">
        <f>+COUNTIFS('muddati otgan'!C:C,A64,'muddati otgan'!J:J,"Ko'chirmani yuborish")</f>
        <v>0</v>
      </c>
      <c r="CT64" s="11">
        <f>+COUNTIFS('muddati otgan'!C:C,A64,'muddati otgan'!J:J,"Ma‘lumotlarni tekshirish")</f>
        <v>0</v>
      </c>
      <c r="CU64" s="11">
        <f t="shared" ref="CU64" si="115">CV64</f>
        <v>0</v>
      </c>
      <c r="CV64" s="11">
        <f>+COUNTIFS('muddati otgan'!C:C,A64,'muddati otgan'!J:J,"Kadastr yig'majildini chop etish va arxiv ishiga tikish")</f>
        <v>0</v>
      </c>
      <c r="CW64" s="11">
        <f t="shared" ref="CW64" si="116">CX64+CY64</f>
        <v>0</v>
      </c>
      <c r="CX64" s="11">
        <f>+COUNTIFS('muddati otgan'!C:C,A64,'muddati otgan'!J:J,"Kadastr yig‘majildini qabul qilish, arizani yakunlash")</f>
        <v>0</v>
      </c>
      <c r="CY64" s="11">
        <f>+COUNTIFS('muddati otgan'!C:C,A64,'muddati otgan'!J:J,"Next Cloudga yuklash")</f>
        <v>0</v>
      </c>
      <c r="CZ64" s="6">
        <f>+COUNTIFS('muddati otgan'!C:C,A64,'muddati otgan'!J:J,"Kelishish kutilmoqda")</f>
        <v>0</v>
      </c>
      <c r="DA64" s="6">
        <f>+COUNTIFS('muddati otgan'!C:C,A64,'muddati otgan'!J:J,"Yakunlandi")</f>
        <v>1</v>
      </c>
      <c r="DB64" s="10">
        <f>+COUNTIFS('muddati otgan'!C:C,A64,'muddati otgan'!J:J,"Rad etildi")</f>
        <v>0</v>
      </c>
      <c r="DC64" s="100">
        <f t="shared" ref="DC64" si="117">CK64+CZ64+DA64+DB64-D64</f>
        <v>0</v>
      </c>
      <c r="DD64" s="44">
        <f>COUNTIFS('jami 1-20 kunlik arizalar'!C:C,A:A,'jami 1-20 kunlik arizalar'!S:S,"1")</f>
        <v>0</v>
      </c>
      <c r="DE64" s="11">
        <f>COUNTIFS('jami 1-20 kunlik arizalar'!C:C,A:A,'jami 1-20 kunlik arizalar'!S:S,"2")</f>
        <v>0</v>
      </c>
      <c r="DF64" s="11">
        <f>COUNTIFS('jami 1-20 kunlik arizalar'!C:C,A:A,'jami 1-20 kunlik arizalar'!S:S,"3")</f>
        <v>1</v>
      </c>
      <c r="DG64" s="11">
        <f>COUNTIFS('jami 1-20 kunlik arizalar'!C:C,A:A,'jami 1-20 kunlik arizalar'!S:S,"4")</f>
        <v>0</v>
      </c>
      <c r="DH64" s="11">
        <f>COUNTIFS('jami 1-20 kunlik arizalar'!C:C,A:A,'jami 1-20 kunlik arizalar'!S:S,"5")</f>
        <v>2</v>
      </c>
      <c r="DI64" s="11">
        <f>SUM(COUNTIFS('jami 1-20 kunlik arizalar'!C:C,A:A, 'jami 1-20 kunlik arizalar'!S:S, {6,7,8,9,10}))</f>
        <v>6</v>
      </c>
      <c r="DJ64" s="12">
        <f>SUM(COUNTIFS('jami 1-20 kunlik arizalar'!C:C,A:A, 'jami 1-20 kunlik arizalar'!S:S, "&gt;10"))</f>
        <v>6</v>
      </c>
    </row>
    <row r="65" spans="1:114" ht="33" hidden="1" customHeight="1" outlineLevel="1" x14ac:dyDescent="0.25">
      <c r="A65" s="92" t="s">
        <v>588</v>
      </c>
      <c r="B65" s="106" t="s">
        <v>959</v>
      </c>
      <c r="C65" s="85" t="s">
        <v>789</v>
      </c>
      <c r="D65" s="80">
        <f>+COUNTIFS('muddati otgan'!C:C,A65,'muddati otgan'!C:C,A65)</f>
        <v>1</v>
      </c>
      <c r="E65" s="10">
        <f>SUMIFS('muddati otgan'!$V:V,'muddati otgan'!$C:C,$A:A)</f>
        <v>0</v>
      </c>
      <c r="F65" s="10">
        <f>SUMIFS('muddati otgan'!$W:W,'muddati otgan'!$C:C,$A:A)</f>
        <v>0</v>
      </c>
      <c r="G65" s="24">
        <f>SUMIFS('muddati otgan'!$U:U,'muddati otgan'!$C:C,$A:A)</f>
        <v>1</v>
      </c>
      <c r="H65" s="11">
        <f>SUMIFS('muddati otgan'!$G:G,'muddati otgan'!$C:C,$A:A)</f>
        <v>1</v>
      </c>
      <c r="I65" s="12">
        <f>SUMIFS('muddati otgan'!$H:H,'muddati otgan'!$C:C,$A:A)</f>
        <v>0</v>
      </c>
      <c r="J65" s="44">
        <f t="shared" si="58"/>
        <v>0</v>
      </c>
      <c r="K65" s="11">
        <f>+COUNTIFS('muddati otgan'!C:C,A65,'muddati otgan'!AA:AA,"Arizani qabul qilish")</f>
        <v>0</v>
      </c>
      <c r="L65" s="11">
        <f>+COUNTIFS('muddati otgan'!C:C,A65,'muddati otgan'!J:J,"Arizani rad etish")</f>
        <v>0</v>
      </c>
      <c r="M65" s="11">
        <f>+COUNTIFS('muddati otgan'!C:C,A65,'muddati otgan'!J:J,"Arizani tasdiqlash")</f>
        <v>0</v>
      </c>
      <c r="N65" s="11">
        <f>+COUNTIFS('muddati otgan'!C:C,A65,'muddati otgan'!J:J,"Arizani yo'naltirish")</f>
        <v>0</v>
      </c>
      <c r="O65" s="11">
        <f>+COUNTIFS('muddati otgan'!C:C,A65,'muddati otgan'!J:J,"Rad qilish sababini o'rganish")</f>
        <v>0</v>
      </c>
      <c r="P65" s="11">
        <f>+COUNTIFS('muddati otgan'!C:C,A65,'muddati otgan'!J:J,"Ko'chmas mulkni UZKAD ga migratsiya qilish")</f>
        <v>0</v>
      </c>
      <c r="Q65" s="11">
        <f>+COUNTIFS('muddati otgan'!C:C,A65,'muddati otgan'!J:J,"Migratisya qilingan obyekt holatini tekshirish")</f>
        <v>0</v>
      </c>
      <c r="R65" s="11">
        <f>+COUNTIFS('muddati otgan'!C:C,A65,'muddati otgan'!J:J,"Ko‘chmas mulkni tanlash")</f>
        <v>0</v>
      </c>
      <c r="S65" s="11">
        <f>+COUNTIFS('muddati otgan'!C:C,A65,'muddati otgan'!J:J,"Arizani ko'rib chiqish")</f>
        <v>0</v>
      </c>
      <c r="T65" s="11">
        <f>+COUNTIFS('muddati otgan'!C:C,A65,'muddati otgan'!J:J,"Kadastr muhandisini tanlash")</f>
        <v>0</v>
      </c>
      <c r="U65" s="11">
        <f>+COUNTIFS('muddati otgan'!C:C,A65,'muddati otgan'!J:J,"Ko'chmas mulk turini tanlahsh")</f>
        <v>0</v>
      </c>
      <c r="V65" s="11">
        <f>+COUNTIFS('muddati otgan'!C:C,A65,'muddati otgan'!AA:AA,"Rad qilish")</f>
        <v>0</v>
      </c>
      <c r="W65" s="11">
        <f>+COUNTIFS('muddati otgan'!C:C,A65,'muddati otgan'!J:J,"ijrochi tanlash")</f>
        <v>0</v>
      </c>
      <c r="X65" s="11">
        <f>+COUNTIFS('muddati otgan'!C:C,A65,'muddati otgan'!J:J,"Ko'chmas mulk turini tanlash")</f>
        <v>0</v>
      </c>
      <c r="Y65" s="11">
        <f t="shared" si="59"/>
        <v>0</v>
      </c>
      <c r="Z65" s="11">
        <f>+COUNTIFS('muddati otgan'!C:C,A65,'muddati otgan'!J:J,"Ijroga qabul qilish")</f>
        <v>0</v>
      </c>
      <c r="AA65" s="11">
        <f>+COUNTIFS('muddati otgan'!C:C,A65,'muddati otgan'!J:J,"Joyida o'rganish va ma'lumotlarni kiritish")</f>
        <v>0</v>
      </c>
      <c r="AB65" s="11">
        <f>+COUNTIFS('muddati otgan'!C:C,A65,'muddati otgan'!J:J,"Asosiy qismdan ajratish jarayonida")</f>
        <v>0</v>
      </c>
      <c r="AC65" s="11">
        <f>+COUNTIFS('muddati otgan'!C:C,A65,'muddati otgan'!J:J,"Umumiy foydalanishdagi obyekt yaratilish")</f>
        <v>0</v>
      </c>
      <c r="AD65" s="11">
        <f>+COUNTIFS('muddati otgan'!C:C,A65,'muddati otgan'!J:J,"Migratsiya qilinadigan kadastr raqamini kiritish")</f>
        <v>0</v>
      </c>
      <c r="AE65" s="11">
        <f>+COUNTIFS('muddati otgan'!C:C,A65,'muddati otgan'!J:J,"O'zida qolgan obyektni yaratish")</f>
        <v>0</v>
      </c>
      <c r="AF65" s="11">
        <f>+COUNTIFS('muddati otgan'!C:C,A65,'muddati otgan'!J:J,"O'lchov natijalarini kiritish")</f>
        <v>0</v>
      </c>
      <c r="AG65" s="11">
        <f>+COUNTIFS('muddati otgan'!C:C,A65,'muddati otgan'!J:J,"Topoxaritani tayyorlash (dwg, pdf)")</f>
        <v>0</v>
      </c>
      <c r="AH65" s="11">
        <f t="shared" si="60"/>
        <v>0</v>
      </c>
      <c r="AI65" s="11">
        <f>+COUNTIFS('muddati otgan'!C:C,A65,'muddati otgan'!J:J,"Yer uchastkasini yaratish")</f>
        <v>0</v>
      </c>
      <c r="AJ65" s="11">
        <f t="shared" si="61"/>
        <v>0</v>
      </c>
      <c r="AK65" s="11">
        <f>+COUNTIFS('muddati otgan'!C:C,A65,'muddati otgan'!J:J,"Kelishish (Boshqarma)")</f>
        <v>0</v>
      </c>
      <c r="AL65" s="11">
        <f t="shared" si="62"/>
        <v>0</v>
      </c>
      <c r="AM65" s="11">
        <f>+COUNTIFS('muddati otgan'!C:C,A65,'muddati otgan'!J:J,"Kelishish (DKP)")</f>
        <v>0</v>
      </c>
      <c r="AN65" s="11">
        <f>+COUNTIFS('muddati otgan'!C:C,A65,'muddati otgan'!J:J,"Kelishish")</f>
        <v>0</v>
      </c>
      <c r="AO65" s="11">
        <f>+COUNTIFS('muddati otgan'!C:C,A65,'muddati otgan'!J:J,"Kelishish (Registratsiya DKP)")</f>
        <v>0</v>
      </c>
      <c r="AP65" s="11">
        <f t="shared" si="63"/>
        <v>0</v>
      </c>
      <c r="AQ65" s="11">
        <f>+COUNTIFS('muddati otgan'!C:C,A65,'muddati otgan'!J:J,"Manzil biriktirish")</f>
        <v>0</v>
      </c>
      <c r="AR65" s="11">
        <f>+COUNTIFS('muddati otgan'!C:C,A65,'muddati otgan'!J:J,"Bino va inshootlarni yaratish")</f>
        <v>0</v>
      </c>
      <c r="AS65" s="11">
        <f>+COUNTIFS('muddati otgan'!C:C,A65,'muddati otgan'!J:J,"Dov daraxtlarni yaratish")</f>
        <v>0</v>
      </c>
      <c r="AT65" s="11">
        <f>+COUNTIFS('muddati otgan'!C:C,A65,'muddati otgan'!J:J,"Yer uchastkasini tahrirlash")</f>
        <v>0</v>
      </c>
      <c r="AU65" s="11">
        <f t="shared" si="64"/>
        <v>0</v>
      </c>
      <c r="AV65" s="11">
        <f>+COUNTIFS('muddati otgan'!C:C,A65,'muddati otgan'!J:J,"Yer toifasi va maqsadini kiritish")</f>
        <v>0</v>
      </c>
      <c r="AW65" s="11">
        <f>+COUNTIFS('muddati otgan'!C:C,A65,'muddati otgan'!J:J,"Auksion yer tekshirish")</f>
        <v>0</v>
      </c>
      <c r="AX65" s="11">
        <f>+COUNTIFS('muddati otgan'!C:C,A65,'muddati otgan'!J:J,"Yer turlarini kiritish")</f>
        <v>0</v>
      </c>
      <c r="AY65" s="11">
        <f>+COUNTIFS('muddati otgan'!C:C,A65,'muddati otgan'!J:J,"Ma'lumotlarni kiritish")</f>
        <v>0</v>
      </c>
      <c r="AZ65" s="11">
        <f>+COUNTIFS('muddati otgan'!C:C,A65,'muddati otgan'!J:J,"Yer tekshirish")</f>
        <v>0</v>
      </c>
      <c r="BA65" s="11">
        <f t="shared" si="65"/>
        <v>0</v>
      </c>
      <c r="BB65" s="11">
        <f>+COUNTIFS('muddati otgan'!C:C,A65,'muddati otgan'!J:J,"Bino va inshoot ma'lumotlarini to‘ldirish")</f>
        <v>0</v>
      </c>
      <c r="BC65" s="11">
        <f>+COUNTIFS('muddati otgan'!C:C,A65,'muddati otgan'!J:J,"Inventarizatsiya ma'lumotlarini to‘ldirish")</f>
        <v>0</v>
      </c>
      <c r="BD65" s="11">
        <f>+COUNTIFS('muddati otgan'!C:C,A65,'muddati otgan'!J:J,"Yer uchastkasiga huquqiy hujjatlarni kiritsh")</f>
        <v>0</v>
      </c>
      <c r="BE65" s="11">
        <f>+COUNTIFS('muddati otgan'!C:C,A65,'muddati otgan'!J:J,"Bino-inshootlarga huquqiy hujjatlarni kiritsh")</f>
        <v>0</v>
      </c>
      <c r="BF65" s="11">
        <f>+COUNTIFS('muddati otgan'!C:C,A65,'muddati otgan'!J:J,"Kadastr qiymatini hisoblash va kiritish")</f>
        <v>0</v>
      </c>
      <c r="BG65" s="11">
        <f>+COUNTIFS('muddati otgan'!C:C,A65,'muddati otgan'!J:J,"Kadastr raqam biriktirish")</f>
        <v>0</v>
      </c>
      <c r="BH65" s="11">
        <f>+COUNTIFS('muddati otgan'!C:C,A65,'muddati otgan'!J:J,"Kadastr yig'ma jildni tayyorlash")</f>
        <v>0</v>
      </c>
      <c r="BI65" s="11">
        <f>+COUNTIFS('muddati otgan'!C:C,A65,'muddati otgan'!J:J,"Huquqni yaratish")</f>
        <v>0</v>
      </c>
      <c r="BJ65" s="11">
        <f>+COUNTIFS('muddati otgan'!C:C,A65,'muddati otgan'!J:J,"Hujjatlarni o'rganish")</f>
        <v>0</v>
      </c>
      <c r="BK65" s="11">
        <f>+COUNTIFS('muddati otgan'!C:C,A65,'muddati otgan'!J:J,"Ma'lumotlarni tekshirish")</f>
        <v>0</v>
      </c>
      <c r="BL65" s="11">
        <f t="shared" si="66"/>
        <v>0</v>
      </c>
      <c r="BM65" s="11">
        <f>+COUNTIFS('muddati otgan'!C:C,A65,'muddati otgan'!J:J,"Tekshirish")</f>
        <v>0</v>
      </c>
      <c r="BN65" s="11">
        <f>+COUNTIFS('muddati otgan'!C:C,A65,'muddati otgan'!J:J,"Hujjatlarni tekshirish")</f>
        <v>0</v>
      </c>
      <c r="BO65" s="11">
        <f>+COUNTIFS('muddati otgan'!C:C,A65,'muddati otgan'!J:J,"Tasdiqlash")</f>
        <v>0</v>
      </c>
      <c r="BP65" s="11">
        <f>+COUNTIFS('muddati otgan'!C:C,A65,'muddati otgan'!J:J,"tekshirish/tasdiqlash")</f>
        <v>0</v>
      </c>
      <c r="BQ65" s="11">
        <f>+COUNTIFS('muddati otgan'!C:C,A65,'muddati otgan'!J:J,"Ma'lumotlarni tasdiqlash")</f>
        <v>0</v>
      </c>
      <c r="BR65" s="11">
        <f t="shared" si="32"/>
        <v>0</v>
      </c>
      <c r="BS65" s="11">
        <f>+COUNTIFS('muddati otgan'!C:C,A65,'muddati otgan'!J:J,"Ro'yxatdan o'tkazish ma'lumotlarini tekshirish")</f>
        <v>0</v>
      </c>
      <c r="BT65" s="11">
        <f>+COUNTIFS('muddati otgan'!C:C,A65,'muddati otgan'!J:J,"Kamchiliklar bo'yicha habarnoma yuborish va 3 kunga to'xtatish")</f>
        <v>0</v>
      </c>
      <c r="BU65" s="11">
        <f>+COUNTIFS('muddati otgan'!C:C,A65,'muddati otgan'!J:J,"Hisobga olish")</f>
        <v>0</v>
      </c>
      <c r="BV65" s="11">
        <f>+COUNTIFS('muddati otgan'!C:C,A65,'muddati otgan'!J:J,"Yer uchastkasiga huquq yaratish")</f>
        <v>0</v>
      </c>
      <c r="BW65" s="11">
        <f>+COUNTIFS('muddati otgan'!C:C,A65,'muddati otgan'!J:J,"Bino-inshootga huquq yaratish")</f>
        <v>0</v>
      </c>
      <c r="BX65" s="11">
        <f>+COUNTIFS('muddati otgan'!C:C,A65,'muddati otgan'!J:J,"Cheklov yaratish")</f>
        <v>0</v>
      </c>
      <c r="BY65" s="11">
        <f>+COUNTIFS('muddati otgan'!C:C,A65,'muddati otgan'!J:J,"Taqiq yaratish")</f>
        <v>0</v>
      </c>
      <c r="BZ65" s="11">
        <f t="shared" si="33"/>
        <v>0</v>
      </c>
      <c r="CA65" s="11">
        <f>+COUNTIFS('muddati otgan'!C:C,A65,'muddati otgan'!J:J,"Soliq maydonini tekshirish")</f>
        <v>0</v>
      </c>
      <c r="CB65" s="11">
        <f t="shared" si="34"/>
        <v>0</v>
      </c>
      <c r="CC65" s="11">
        <f>+COUNTIFS('muddati otgan'!C:C,A65,'muddati otgan'!J:J,"Kadastr yig'majildini shakllantirish")</f>
        <v>0</v>
      </c>
      <c r="CD65" s="11">
        <f t="shared" si="35"/>
        <v>0</v>
      </c>
      <c r="CE65" s="11">
        <f>+COUNTIFS('muddati otgan'!C:C,A65,'muddati otgan'!J:J,"Kadastr passportini shakllantirish")</f>
        <v>0</v>
      </c>
      <c r="CF65" s="11">
        <f>+COUNTIFS('muddati otgan'!C:C,A65,'muddati otgan'!J:J,"Yig'ma jildni tasdiqlash")</f>
        <v>0</v>
      </c>
      <c r="CG65" s="11">
        <f>+COUNTIFS('muddati otgan'!C:C,A65,'muddati otgan'!J:J,"To'lov yoki bepul tasdiqlash")</f>
        <v>0</v>
      </c>
      <c r="CH65" s="11">
        <f>+COUNTIFS('muddati otgan'!C:C,A65,'muddati otgan'!J:J,"Bog'liq arizani kutish")</f>
        <v>0</v>
      </c>
      <c r="CI65" s="11">
        <f>+COUNTIFS('muddati otgan'!C:C,A65,'muddati otgan'!J:J,"To'lovga chiqarish")</f>
        <v>0</v>
      </c>
      <c r="CJ65" s="11">
        <f>+COUNTIFS('muddati otgan'!C:C,A65,'muddati otgan'!J:J,"Hisobga qo'yish")</f>
        <v>0</v>
      </c>
      <c r="CK65" s="6">
        <f>+COUNTIFS('muddati otgan'!C:C,A65,'muddati otgan'!J:J,"To'lov kutilmoqda")</f>
        <v>0</v>
      </c>
      <c r="CL65" s="11">
        <f t="shared" si="36"/>
        <v>0</v>
      </c>
      <c r="CM65" s="11">
        <f>+COUNTIFS('muddati otgan'!C:C,A65,'muddati otgan'!AA:AA,"Arizani qabul qilish2")</f>
        <v>0</v>
      </c>
      <c r="CN65" s="11">
        <f>+COUNTIFS('muddati otgan'!C:C,A65,'muddati otgan'!J:J,"Huquqlarni tekshirish")</f>
        <v>0</v>
      </c>
      <c r="CO65" s="11">
        <f>+COUNTIFS('muddati otgan'!C:C,A65,'muddati otgan'!J:J,"Ko'chmas mulkni ro'yhatdan o'tkazishga qabul qilish")</f>
        <v>0</v>
      </c>
      <c r="CP65" s="11">
        <f>+COUNTIFS('muddati otgan'!C:C,A65,'muddati otgan'!J:J,"Ro'yxatdan o'tkazish")</f>
        <v>0</v>
      </c>
      <c r="CQ65" s="11">
        <f>+COUNTIFS('muddati otgan'!C:C,A65,'muddati otgan'!J:J,"Kadastr pasporti va ko'chirmani yuborish")</f>
        <v>0</v>
      </c>
      <c r="CR65" s="11">
        <f>+COUNTIFS('muddati otgan'!C:C,A65,'muddati otgan'!AA:AA,"Rad qilish2")</f>
        <v>0</v>
      </c>
      <c r="CS65" s="11">
        <f>+COUNTIFS('muddati otgan'!C:C,A65,'muddati otgan'!J:J,"Ko'chirmani yuborish")</f>
        <v>0</v>
      </c>
      <c r="CT65" s="11">
        <f>+COUNTIFS('muddati otgan'!C:C,A65,'muddati otgan'!J:J,"Ma‘lumotlarni tekshirish")</f>
        <v>0</v>
      </c>
      <c r="CU65" s="11">
        <f t="shared" si="37"/>
        <v>0</v>
      </c>
      <c r="CV65" s="11">
        <f>+COUNTIFS('muddati otgan'!C:C,A65,'muddati otgan'!J:J,"Kadastr yig'majildini chop etish va arxiv ishiga tikish")</f>
        <v>0</v>
      </c>
      <c r="CW65" s="11">
        <f t="shared" si="38"/>
        <v>0</v>
      </c>
      <c r="CX65" s="11">
        <f>+COUNTIFS('muddati otgan'!C:C,A65,'muddati otgan'!J:J,"Kadastr yig‘majildini qabul qilish, arizani yakunlash")</f>
        <v>0</v>
      </c>
      <c r="CY65" s="11">
        <f>+COUNTIFS('muddati otgan'!C:C,A65,'muddati otgan'!J:J,"Next Cloudga yuklash")</f>
        <v>0</v>
      </c>
      <c r="CZ65" s="6">
        <f>+COUNTIFS('muddati otgan'!C:C,A65,'muddati otgan'!J:J,"Kelishish kutilmoqda")</f>
        <v>0</v>
      </c>
      <c r="DA65" s="6">
        <f>+COUNTIFS('muddati otgan'!C:C,A65,'muddati otgan'!J:J,"Yakunlandi")</f>
        <v>1</v>
      </c>
      <c r="DB65" s="10">
        <f>+COUNTIFS('muddati otgan'!C:C,A65,'muddati otgan'!J:J,"Rad etildi")</f>
        <v>0</v>
      </c>
      <c r="DC65" s="100">
        <f t="shared" si="5"/>
        <v>0</v>
      </c>
      <c r="DD65" s="44">
        <f>COUNTIFS('jami 1-20 kunlik arizalar'!C:C,A:A,'jami 1-20 kunlik arizalar'!S:S,"1")</f>
        <v>0</v>
      </c>
      <c r="DE65" s="11">
        <f>COUNTIFS('jami 1-20 kunlik arizalar'!C:C,A:A,'jami 1-20 kunlik arizalar'!S:S,"2")</f>
        <v>0</v>
      </c>
      <c r="DF65" s="11">
        <f>COUNTIFS('jami 1-20 kunlik arizalar'!C:C,A:A,'jami 1-20 kunlik arizalar'!S:S,"3")</f>
        <v>0</v>
      </c>
      <c r="DG65" s="11">
        <f>COUNTIFS('jami 1-20 kunlik arizalar'!C:C,A:A,'jami 1-20 kunlik arizalar'!S:S,"4")</f>
        <v>1</v>
      </c>
      <c r="DH65" s="11">
        <f>COUNTIFS('jami 1-20 kunlik arizalar'!C:C,A:A,'jami 1-20 kunlik arizalar'!S:S,"5")</f>
        <v>1</v>
      </c>
      <c r="DI65" s="11">
        <f>SUM(COUNTIFS('jami 1-20 kunlik arizalar'!C:C,A:A, 'jami 1-20 kunlik arizalar'!S:S, {6,7,8,9,10}))</f>
        <v>6</v>
      </c>
      <c r="DJ65" s="12">
        <f>SUM(COUNTIFS('jami 1-20 kunlik arizalar'!C:C,A:A, 'jami 1-20 kunlik arizalar'!S:S, "&gt;10"))</f>
        <v>6</v>
      </c>
    </row>
    <row r="66" spans="1:114" ht="33" hidden="1" customHeight="1" outlineLevel="1" x14ac:dyDescent="0.25">
      <c r="A66" s="92" t="s">
        <v>591</v>
      </c>
      <c r="B66" s="106" t="s">
        <v>959</v>
      </c>
      <c r="C66" s="85" t="s">
        <v>790</v>
      </c>
      <c r="D66" s="80">
        <f>+COUNTIFS('muddati otgan'!C:C,A66,'muddati otgan'!C:C,A66)</f>
        <v>3</v>
      </c>
      <c r="E66" s="10">
        <f>SUMIFS('muddati otgan'!$V:V,'muddati otgan'!$C:C,$A:A)</f>
        <v>2</v>
      </c>
      <c r="F66" s="10">
        <f>SUMIFS('muddati otgan'!$W:W,'muddati otgan'!$C:C,$A:A)</f>
        <v>0</v>
      </c>
      <c r="G66" s="24">
        <f>SUMIFS('muddati otgan'!$U:U,'muddati otgan'!$C:C,$A:A)</f>
        <v>1</v>
      </c>
      <c r="H66" s="11">
        <f>SUMIFS('muddati otgan'!$G:G,'muddati otgan'!$C:C,$A:A)</f>
        <v>3</v>
      </c>
      <c r="I66" s="12">
        <f>SUMIFS('muddati otgan'!$H:H,'muddati otgan'!$C:C,$A:A)</f>
        <v>0</v>
      </c>
      <c r="J66" s="44">
        <f t="shared" si="58"/>
        <v>0</v>
      </c>
      <c r="K66" s="11">
        <f>+COUNTIFS('muddati otgan'!C:C,A66,'muddati otgan'!AA:AA,"Arizani qabul qilish")</f>
        <v>0</v>
      </c>
      <c r="L66" s="11">
        <f>+COUNTIFS('muddati otgan'!C:C,A66,'muddati otgan'!J:J,"Arizani rad etish")</f>
        <v>0</v>
      </c>
      <c r="M66" s="11">
        <f>+COUNTIFS('muddati otgan'!C:C,A66,'muddati otgan'!J:J,"Arizani tasdiqlash")</f>
        <v>0</v>
      </c>
      <c r="N66" s="11">
        <f>+COUNTIFS('muddati otgan'!C:C,A66,'muddati otgan'!J:J,"Arizani yo'naltirish")</f>
        <v>0</v>
      </c>
      <c r="O66" s="11">
        <f>+COUNTIFS('muddati otgan'!C:C,A66,'muddati otgan'!J:J,"Rad qilish sababini o'rganish")</f>
        <v>0</v>
      </c>
      <c r="P66" s="11">
        <f>+COUNTIFS('muddati otgan'!C:C,A66,'muddati otgan'!J:J,"Ko'chmas mulkni UZKAD ga migratsiya qilish")</f>
        <v>0</v>
      </c>
      <c r="Q66" s="11">
        <f>+COUNTIFS('muddati otgan'!C:C,A66,'muddati otgan'!J:J,"Migratisya qilingan obyekt holatini tekshirish")</f>
        <v>0</v>
      </c>
      <c r="R66" s="11">
        <f>+COUNTIFS('muddati otgan'!C:C,A66,'muddati otgan'!J:J,"Ko‘chmas mulkni tanlash")</f>
        <v>0</v>
      </c>
      <c r="S66" s="11">
        <f>+COUNTIFS('muddati otgan'!C:C,A66,'muddati otgan'!J:J,"Arizani ko'rib chiqish")</f>
        <v>0</v>
      </c>
      <c r="T66" s="11">
        <f>+COUNTIFS('muddati otgan'!C:C,A66,'muddati otgan'!J:J,"Kadastr muhandisini tanlash")</f>
        <v>0</v>
      </c>
      <c r="U66" s="11">
        <f>+COUNTIFS('muddati otgan'!C:C,A66,'muddati otgan'!J:J,"Ko'chmas mulk turini tanlahsh")</f>
        <v>0</v>
      </c>
      <c r="V66" s="11">
        <f>+COUNTIFS('muddati otgan'!C:C,A66,'muddati otgan'!AA:AA,"Rad qilish")</f>
        <v>0</v>
      </c>
      <c r="W66" s="11">
        <f>+COUNTIFS('muddati otgan'!C:C,A66,'muddati otgan'!J:J,"ijrochi tanlash")</f>
        <v>0</v>
      </c>
      <c r="X66" s="11">
        <f>+COUNTIFS('muddati otgan'!C:C,A66,'muddati otgan'!J:J,"Ko'chmas mulk turini tanlash")</f>
        <v>0</v>
      </c>
      <c r="Y66" s="11">
        <f t="shared" si="59"/>
        <v>0</v>
      </c>
      <c r="Z66" s="11">
        <f>+COUNTIFS('muddati otgan'!C:C,A66,'muddati otgan'!J:J,"Ijroga qabul qilish")</f>
        <v>0</v>
      </c>
      <c r="AA66" s="11">
        <f>+COUNTIFS('muddati otgan'!C:C,A66,'muddati otgan'!J:J,"Joyida o'rganish va ma'lumotlarni kiritish")</f>
        <v>0</v>
      </c>
      <c r="AB66" s="11">
        <f>+COUNTIFS('muddati otgan'!C:C,A66,'muddati otgan'!J:J,"Asosiy qismdan ajratish jarayonida")</f>
        <v>0</v>
      </c>
      <c r="AC66" s="11">
        <f>+COUNTIFS('muddati otgan'!C:C,A66,'muddati otgan'!J:J,"Umumiy foydalanishdagi obyekt yaratilish")</f>
        <v>0</v>
      </c>
      <c r="AD66" s="11">
        <f>+COUNTIFS('muddati otgan'!C:C,A66,'muddati otgan'!J:J,"Migratsiya qilinadigan kadastr raqamini kiritish")</f>
        <v>0</v>
      </c>
      <c r="AE66" s="11">
        <f>+COUNTIFS('muddati otgan'!C:C,A66,'muddati otgan'!J:J,"O'zida qolgan obyektni yaratish")</f>
        <v>0</v>
      </c>
      <c r="AF66" s="11">
        <f>+COUNTIFS('muddati otgan'!C:C,A66,'muddati otgan'!J:J,"O'lchov natijalarini kiritish")</f>
        <v>0</v>
      </c>
      <c r="AG66" s="11">
        <f>+COUNTIFS('muddati otgan'!C:C,A66,'muddati otgan'!J:J,"Topoxaritani tayyorlash (dwg, pdf)")</f>
        <v>0</v>
      </c>
      <c r="AH66" s="11">
        <f t="shared" si="60"/>
        <v>0</v>
      </c>
      <c r="AI66" s="11">
        <f>+COUNTIFS('muddati otgan'!C:C,A66,'muddati otgan'!J:J,"Yer uchastkasini yaratish")</f>
        <v>0</v>
      </c>
      <c r="AJ66" s="11">
        <f t="shared" si="61"/>
        <v>0</v>
      </c>
      <c r="AK66" s="11">
        <f>+COUNTIFS('muddati otgan'!C:C,A66,'muddati otgan'!J:J,"Kelishish (Boshqarma)")</f>
        <v>0</v>
      </c>
      <c r="AL66" s="11">
        <f t="shared" si="62"/>
        <v>0</v>
      </c>
      <c r="AM66" s="11">
        <f>+COUNTIFS('muddati otgan'!C:C,A66,'muddati otgan'!J:J,"Kelishish (DKP)")</f>
        <v>0</v>
      </c>
      <c r="AN66" s="11">
        <f>+COUNTIFS('muddati otgan'!C:C,A66,'muddati otgan'!J:J,"Kelishish")</f>
        <v>0</v>
      </c>
      <c r="AO66" s="11">
        <f>+COUNTIFS('muddati otgan'!C:C,A66,'muddati otgan'!J:J,"Kelishish (Registratsiya DKP)")</f>
        <v>0</v>
      </c>
      <c r="AP66" s="11">
        <f t="shared" si="63"/>
        <v>0</v>
      </c>
      <c r="AQ66" s="11">
        <f>+COUNTIFS('muddati otgan'!C:C,A66,'muddati otgan'!J:J,"Manzil biriktirish")</f>
        <v>0</v>
      </c>
      <c r="AR66" s="11">
        <f>+COUNTIFS('muddati otgan'!C:C,A66,'muddati otgan'!J:J,"Bino va inshootlarni yaratish")</f>
        <v>0</v>
      </c>
      <c r="AS66" s="11">
        <f>+COUNTIFS('muddati otgan'!C:C,A66,'muddati otgan'!J:J,"Dov daraxtlarni yaratish")</f>
        <v>0</v>
      </c>
      <c r="AT66" s="11">
        <f>+COUNTIFS('muddati otgan'!C:C,A66,'muddati otgan'!J:J,"Yer uchastkasini tahrirlash")</f>
        <v>0</v>
      </c>
      <c r="AU66" s="11">
        <f t="shared" si="64"/>
        <v>0</v>
      </c>
      <c r="AV66" s="11">
        <f>+COUNTIFS('muddati otgan'!C:C,A66,'muddati otgan'!J:J,"Yer toifasi va maqsadini kiritish")</f>
        <v>0</v>
      </c>
      <c r="AW66" s="11">
        <f>+COUNTIFS('muddati otgan'!C:C,A66,'muddati otgan'!J:J,"Auksion yer tekshirish")</f>
        <v>0</v>
      </c>
      <c r="AX66" s="11">
        <f>+COUNTIFS('muddati otgan'!C:C,A66,'muddati otgan'!J:J,"Yer turlarini kiritish")</f>
        <v>0</v>
      </c>
      <c r="AY66" s="11">
        <f>+COUNTIFS('muddati otgan'!C:C,A66,'muddati otgan'!J:J,"Ma'lumotlarni kiritish")</f>
        <v>0</v>
      </c>
      <c r="AZ66" s="11">
        <f>+COUNTIFS('muddati otgan'!C:C,A66,'muddati otgan'!J:J,"Yer tekshirish")</f>
        <v>0</v>
      </c>
      <c r="BA66" s="11">
        <f t="shared" si="65"/>
        <v>0</v>
      </c>
      <c r="BB66" s="11">
        <f>+COUNTIFS('muddati otgan'!C:C,A66,'muddati otgan'!J:J,"Bino va inshoot ma'lumotlarini to‘ldirish")</f>
        <v>0</v>
      </c>
      <c r="BC66" s="11">
        <f>+COUNTIFS('muddati otgan'!C:C,A66,'muddati otgan'!J:J,"Inventarizatsiya ma'lumotlarini to‘ldirish")</f>
        <v>0</v>
      </c>
      <c r="BD66" s="11">
        <f>+COUNTIFS('muddati otgan'!C:C,A66,'muddati otgan'!J:J,"Yer uchastkasiga huquqiy hujjatlarni kiritsh")</f>
        <v>0</v>
      </c>
      <c r="BE66" s="11">
        <f>+COUNTIFS('muddati otgan'!C:C,A66,'muddati otgan'!J:J,"Bino-inshootlarga huquqiy hujjatlarni kiritsh")</f>
        <v>0</v>
      </c>
      <c r="BF66" s="11">
        <f>+COUNTIFS('muddati otgan'!C:C,A66,'muddati otgan'!J:J,"Kadastr qiymatini hisoblash va kiritish")</f>
        <v>0</v>
      </c>
      <c r="BG66" s="11">
        <f>+COUNTIFS('muddati otgan'!C:C,A66,'muddati otgan'!J:J,"Kadastr raqam biriktirish")</f>
        <v>0</v>
      </c>
      <c r="BH66" s="11">
        <f>+COUNTIFS('muddati otgan'!C:C,A66,'muddati otgan'!J:J,"Kadastr yig'ma jildni tayyorlash")</f>
        <v>0</v>
      </c>
      <c r="BI66" s="11">
        <f>+COUNTIFS('muddati otgan'!C:C,A66,'muddati otgan'!J:J,"Huquqni yaratish")</f>
        <v>0</v>
      </c>
      <c r="BJ66" s="11">
        <f>+COUNTIFS('muddati otgan'!C:C,A66,'muddati otgan'!J:J,"Hujjatlarni o'rganish")</f>
        <v>0</v>
      </c>
      <c r="BK66" s="11">
        <f>+COUNTIFS('muddati otgan'!C:C,A66,'muddati otgan'!J:J,"Ma'lumotlarni tekshirish")</f>
        <v>0</v>
      </c>
      <c r="BL66" s="11">
        <f t="shared" si="66"/>
        <v>0</v>
      </c>
      <c r="BM66" s="11">
        <f>+COUNTIFS('muddati otgan'!C:C,A66,'muddati otgan'!J:J,"Tekshirish")</f>
        <v>0</v>
      </c>
      <c r="BN66" s="11">
        <f>+COUNTIFS('muddati otgan'!C:C,A66,'muddati otgan'!J:J,"Hujjatlarni tekshirish")</f>
        <v>0</v>
      </c>
      <c r="BO66" s="11">
        <f>+COUNTIFS('muddati otgan'!C:C,A66,'muddati otgan'!J:J,"Tasdiqlash")</f>
        <v>0</v>
      </c>
      <c r="BP66" s="11">
        <f>+COUNTIFS('muddati otgan'!C:C,A66,'muddati otgan'!J:J,"tekshirish/tasdiqlash")</f>
        <v>0</v>
      </c>
      <c r="BQ66" s="11">
        <f>+COUNTIFS('muddati otgan'!C:C,A66,'muddati otgan'!J:J,"Ma'lumotlarni tasdiqlash")</f>
        <v>0</v>
      </c>
      <c r="BR66" s="11">
        <f t="shared" si="32"/>
        <v>0</v>
      </c>
      <c r="BS66" s="11">
        <f>+COUNTIFS('muddati otgan'!C:C,A66,'muddati otgan'!J:J,"Ro'yxatdan o'tkazish ma'lumotlarini tekshirish")</f>
        <v>0</v>
      </c>
      <c r="BT66" s="11">
        <f>+COUNTIFS('muddati otgan'!C:C,A66,'muddati otgan'!J:J,"Kamchiliklar bo'yicha habarnoma yuborish va 3 kunga to'xtatish")</f>
        <v>0</v>
      </c>
      <c r="BU66" s="11">
        <f>+COUNTIFS('muddati otgan'!C:C,A66,'muddati otgan'!J:J,"Hisobga olish")</f>
        <v>0</v>
      </c>
      <c r="BV66" s="11">
        <f>+COUNTIFS('muddati otgan'!C:C,A66,'muddati otgan'!J:J,"Yer uchastkasiga huquq yaratish")</f>
        <v>0</v>
      </c>
      <c r="BW66" s="11">
        <f>+COUNTIFS('muddati otgan'!C:C,A66,'muddati otgan'!J:J,"Bino-inshootga huquq yaratish")</f>
        <v>0</v>
      </c>
      <c r="BX66" s="11">
        <f>+COUNTIFS('muddati otgan'!C:C,A66,'muddati otgan'!J:J,"Cheklov yaratish")</f>
        <v>0</v>
      </c>
      <c r="BY66" s="11">
        <f>+COUNTIFS('muddati otgan'!C:C,A66,'muddati otgan'!J:J,"Taqiq yaratish")</f>
        <v>0</v>
      </c>
      <c r="BZ66" s="11">
        <f t="shared" si="33"/>
        <v>0</v>
      </c>
      <c r="CA66" s="11">
        <f>+COUNTIFS('muddati otgan'!C:C,A66,'muddati otgan'!J:J,"Soliq maydonini tekshirish")</f>
        <v>0</v>
      </c>
      <c r="CB66" s="11">
        <f t="shared" si="34"/>
        <v>0</v>
      </c>
      <c r="CC66" s="11">
        <f>+COUNTIFS('muddati otgan'!C:C,A66,'muddati otgan'!J:J,"Kadastr yig'majildini shakllantirish")</f>
        <v>0</v>
      </c>
      <c r="CD66" s="11">
        <f t="shared" si="35"/>
        <v>0</v>
      </c>
      <c r="CE66" s="11">
        <f>+COUNTIFS('muddati otgan'!C:C,A66,'muddati otgan'!J:J,"Kadastr passportini shakllantirish")</f>
        <v>0</v>
      </c>
      <c r="CF66" s="11">
        <f>+COUNTIFS('muddati otgan'!C:C,A66,'muddati otgan'!J:J,"Yig'ma jildni tasdiqlash")</f>
        <v>0</v>
      </c>
      <c r="CG66" s="11">
        <f>+COUNTIFS('muddati otgan'!C:C,A66,'muddati otgan'!J:J,"To'lov yoki bepul tasdiqlash")</f>
        <v>0</v>
      </c>
      <c r="CH66" s="11">
        <f>+COUNTIFS('muddati otgan'!C:C,A66,'muddati otgan'!J:J,"Bog'liq arizani kutish")</f>
        <v>0</v>
      </c>
      <c r="CI66" s="11">
        <f>+COUNTIFS('muddati otgan'!C:C,A66,'muddati otgan'!J:J,"To'lovga chiqarish")</f>
        <v>0</v>
      </c>
      <c r="CJ66" s="11">
        <f>+COUNTIFS('muddati otgan'!C:C,A66,'muddati otgan'!J:J,"Hisobga qo'yish")</f>
        <v>0</v>
      </c>
      <c r="CK66" s="6">
        <f>+COUNTIFS('muddati otgan'!C:C,A66,'muddati otgan'!J:J,"To'lov kutilmoqda")</f>
        <v>0</v>
      </c>
      <c r="CL66" s="11">
        <f t="shared" si="36"/>
        <v>0</v>
      </c>
      <c r="CM66" s="11">
        <f>+COUNTIFS('muddati otgan'!C:C,A66,'muddati otgan'!AA:AA,"Arizani qabul qilish2")</f>
        <v>0</v>
      </c>
      <c r="CN66" s="11">
        <f>+COUNTIFS('muddati otgan'!C:C,A66,'muddati otgan'!J:J,"Huquqlarni tekshirish")</f>
        <v>0</v>
      </c>
      <c r="CO66" s="11">
        <f>+COUNTIFS('muddati otgan'!C:C,A66,'muddati otgan'!J:J,"Ko'chmas mulkni ro'yhatdan o'tkazishga qabul qilish")</f>
        <v>0</v>
      </c>
      <c r="CP66" s="11">
        <f>+COUNTIFS('muddati otgan'!C:C,A66,'muddati otgan'!J:J,"Ro'yxatdan o'tkazish")</f>
        <v>0</v>
      </c>
      <c r="CQ66" s="11">
        <f>+COUNTIFS('muddati otgan'!C:C,A66,'muddati otgan'!J:J,"Kadastr pasporti va ko'chirmani yuborish")</f>
        <v>0</v>
      </c>
      <c r="CR66" s="11">
        <f>+COUNTIFS('muddati otgan'!C:C,A66,'muddati otgan'!AA:AA,"Rad qilish2")</f>
        <v>0</v>
      </c>
      <c r="CS66" s="11">
        <f>+COUNTIFS('muddati otgan'!C:C,A66,'muddati otgan'!J:J,"Ko'chirmani yuborish")</f>
        <v>0</v>
      </c>
      <c r="CT66" s="11">
        <f>+COUNTIFS('muddati otgan'!C:C,A66,'muddati otgan'!J:J,"Ma‘lumotlarni tekshirish")</f>
        <v>0</v>
      </c>
      <c r="CU66" s="11">
        <f t="shared" si="37"/>
        <v>0</v>
      </c>
      <c r="CV66" s="11">
        <f>+COUNTIFS('muddati otgan'!C:C,A66,'muddati otgan'!J:J,"Kadastr yig'majildini chop etish va arxiv ishiga tikish")</f>
        <v>0</v>
      </c>
      <c r="CW66" s="11">
        <f t="shared" si="38"/>
        <v>0</v>
      </c>
      <c r="CX66" s="11">
        <f>+COUNTIFS('muddati otgan'!C:C,A66,'muddati otgan'!J:J,"Kadastr yig‘majildini qabul qilish, arizani yakunlash")</f>
        <v>0</v>
      </c>
      <c r="CY66" s="11">
        <f>+COUNTIFS('muddati otgan'!C:C,A66,'muddati otgan'!J:J,"Next Cloudga yuklash")</f>
        <v>0</v>
      </c>
      <c r="CZ66" s="6">
        <f>+COUNTIFS('muddati otgan'!C:C,A66,'muddati otgan'!J:J,"Kelishish kutilmoqda")</f>
        <v>0</v>
      </c>
      <c r="DA66" s="6">
        <f>+COUNTIFS('muddati otgan'!C:C,A66,'muddati otgan'!J:J,"Yakunlandi")</f>
        <v>3</v>
      </c>
      <c r="DB66" s="10">
        <f>+COUNTIFS('muddati otgan'!C:C,A66,'muddati otgan'!J:J,"Rad etildi")</f>
        <v>0</v>
      </c>
      <c r="DC66" s="100">
        <f t="shared" si="5"/>
        <v>0</v>
      </c>
      <c r="DD66" s="44">
        <f>COUNTIFS('jami 1-20 kunlik arizalar'!C:C,A:A,'jami 1-20 kunlik arizalar'!S:S,"1")</f>
        <v>0</v>
      </c>
      <c r="DE66" s="11">
        <f>COUNTIFS('jami 1-20 kunlik arizalar'!C:C,A:A,'jami 1-20 kunlik arizalar'!S:S,"2")</f>
        <v>0</v>
      </c>
      <c r="DF66" s="11">
        <f>COUNTIFS('jami 1-20 kunlik arizalar'!C:C,A:A,'jami 1-20 kunlik arizalar'!S:S,"3")</f>
        <v>0</v>
      </c>
      <c r="DG66" s="11">
        <f>COUNTIFS('jami 1-20 kunlik arizalar'!C:C,A:A,'jami 1-20 kunlik arizalar'!S:S,"4")</f>
        <v>2</v>
      </c>
      <c r="DH66" s="11">
        <f>COUNTIFS('jami 1-20 kunlik arizalar'!C:C,A:A,'jami 1-20 kunlik arizalar'!S:S,"5")</f>
        <v>2</v>
      </c>
      <c r="DI66" s="11">
        <f>SUM(COUNTIFS('jami 1-20 kunlik arizalar'!C:C,A:A, 'jami 1-20 kunlik arizalar'!S:S, {6,7,8,9,10}))</f>
        <v>5</v>
      </c>
      <c r="DJ66" s="12">
        <f>SUM(COUNTIFS('jami 1-20 kunlik arizalar'!C:C,A:A, 'jami 1-20 kunlik arizalar'!S:S, "&gt;10"))</f>
        <v>11</v>
      </c>
    </row>
    <row r="67" spans="1:114" ht="33" hidden="1" customHeight="1" outlineLevel="1" x14ac:dyDescent="0.25">
      <c r="A67" s="92" t="s">
        <v>597</v>
      </c>
      <c r="B67" s="106" t="s">
        <v>959</v>
      </c>
      <c r="C67" s="85" t="s">
        <v>791</v>
      </c>
      <c r="D67" s="80">
        <f>+COUNTIFS('muddati otgan'!C:C,A67,'muddati otgan'!C:C,A67)</f>
        <v>1</v>
      </c>
      <c r="E67" s="10">
        <f>SUMIFS('muddati otgan'!$V:V,'muddati otgan'!$C:C,$A:A)</f>
        <v>0</v>
      </c>
      <c r="F67" s="10">
        <f>SUMIFS('muddati otgan'!$W:W,'muddati otgan'!$C:C,$A:A)</f>
        <v>1</v>
      </c>
      <c r="G67" s="24">
        <f>SUMIFS('muddati otgan'!$U:U,'muddati otgan'!$C:C,$A:A)</f>
        <v>0</v>
      </c>
      <c r="H67" s="11">
        <f>SUMIFS('muddati otgan'!$G:G,'muddati otgan'!$C:C,$A:A)</f>
        <v>1</v>
      </c>
      <c r="I67" s="12">
        <f>SUMIFS('muddati otgan'!$H:H,'muddati otgan'!$C:C,$A:A)</f>
        <v>0</v>
      </c>
      <c r="J67" s="44">
        <f t="shared" si="58"/>
        <v>0</v>
      </c>
      <c r="K67" s="11">
        <f>+COUNTIFS('muddati otgan'!C:C,A67,'muddati otgan'!AA:AA,"Arizani qabul qilish")</f>
        <v>0</v>
      </c>
      <c r="L67" s="11">
        <f>+COUNTIFS('muddati otgan'!C:C,A67,'muddati otgan'!J:J,"Arizani rad etish")</f>
        <v>0</v>
      </c>
      <c r="M67" s="11">
        <f>+COUNTIFS('muddati otgan'!C:C,A67,'muddati otgan'!J:J,"Arizani tasdiqlash")</f>
        <v>0</v>
      </c>
      <c r="N67" s="11">
        <f>+COUNTIFS('muddati otgan'!C:C,A67,'muddati otgan'!J:J,"Arizani yo'naltirish")</f>
        <v>0</v>
      </c>
      <c r="O67" s="11">
        <f>+COUNTIFS('muddati otgan'!C:C,A67,'muddati otgan'!J:J,"Rad qilish sababini o'rganish")</f>
        <v>0</v>
      </c>
      <c r="P67" s="11">
        <f>+COUNTIFS('muddati otgan'!C:C,A67,'muddati otgan'!J:J,"Ko'chmas mulkni UZKAD ga migratsiya qilish")</f>
        <v>0</v>
      </c>
      <c r="Q67" s="11">
        <f>+COUNTIFS('muddati otgan'!C:C,A67,'muddati otgan'!J:J,"Migratisya qilingan obyekt holatini tekshirish")</f>
        <v>0</v>
      </c>
      <c r="R67" s="11">
        <f>+COUNTIFS('muddati otgan'!C:C,A67,'muddati otgan'!J:J,"Ko‘chmas mulkni tanlash")</f>
        <v>0</v>
      </c>
      <c r="S67" s="11">
        <f>+COUNTIFS('muddati otgan'!C:C,A67,'muddati otgan'!J:J,"Arizani ko'rib chiqish")</f>
        <v>0</v>
      </c>
      <c r="T67" s="11">
        <f>+COUNTIFS('muddati otgan'!C:C,A67,'muddati otgan'!J:J,"Kadastr muhandisini tanlash")</f>
        <v>0</v>
      </c>
      <c r="U67" s="11">
        <f>+COUNTIFS('muddati otgan'!C:C,A67,'muddati otgan'!J:J,"Ko'chmas mulk turini tanlahsh")</f>
        <v>0</v>
      </c>
      <c r="V67" s="11">
        <f>+COUNTIFS('muddati otgan'!C:C,A67,'muddati otgan'!AA:AA,"Rad qilish")</f>
        <v>0</v>
      </c>
      <c r="W67" s="11">
        <f>+COUNTIFS('muddati otgan'!C:C,A67,'muddati otgan'!J:J,"ijrochi tanlash")</f>
        <v>0</v>
      </c>
      <c r="X67" s="11">
        <f>+COUNTIFS('muddati otgan'!C:C,A67,'muddati otgan'!J:J,"Ko'chmas mulk turini tanlash")</f>
        <v>0</v>
      </c>
      <c r="Y67" s="11">
        <f t="shared" si="59"/>
        <v>0</v>
      </c>
      <c r="Z67" s="11">
        <f>+COUNTIFS('muddati otgan'!C:C,A67,'muddati otgan'!J:J,"Ijroga qabul qilish")</f>
        <v>0</v>
      </c>
      <c r="AA67" s="11">
        <f>+COUNTIFS('muddati otgan'!C:C,A67,'muddati otgan'!J:J,"Joyida o'rganish va ma'lumotlarni kiritish")</f>
        <v>0</v>
      </c>
      <c r="AB67" s="11">
        <f>+COUNTIFS('muddati otgan'!C:C,A67,'muddati otgan'!J:J,"Asosiy qismdan ajratish jarayonida")</f>
        <v>0</v>
      </c>
      <c r="AC67" s="11">
        <f>+COUNTIFS('muddati otgan'!C:C,A67,'muddati otgan'!J:J,"Umumiy foydalanishdagi obyekt yaratilish")</f>
        <v>0</v>
      </c>
      <c r="AD67" s="11">
        <f>+COUNTIFS('muddati otgan'!C:C,A67,'muddati otgan'!J:J,"Migratsiya qilinadigan kadastr raqamini kiritish")</f>
        <v>0</v>
      </c>
      <c r="AE67" s="11">
        <f>+COUNTIFS('muddati otgan'!C:C,A67,'muddati otgan'!J:J,"O'zida qolgan obyektni yaratish")</f>
        <v>0</v>
      </c>
      <c r="AF67" s="11">
        <f>+COUNTIFS('muddati otgan'!C:C,A67,'muddati otgan'!J:J,"O'lchov natijalarini kiritish")</f>
        <v>0</v>
      </c>
      <c r="AG67" s="11">
        <f>+COUNTIFS('muddati otgan'!C:C,A67,'muddati otgan'!J:J,"Topoxaritani tayyorlash (dwg, pdf)")</f>
        <v>0</v>
      </c>
      <c r="AH67" s="11">
        <f t="shared" si="60"/>
        <v>0</v>
      </c>
      <c r="AI67" s="11">
        <f>+COUNTIFS('muddati otgan'!C:C,A67,'muddati otgan'!J:J,"Yer uchastkasini yaratish")</f>
        <v>0</v>
      </c>
      <c r="AJ67" s="11">
        <f t="shared" si="61"/>
        <v>0</v>
      </c>
      <c r="AK67" s="11">
        <f>+COUNTIFS('muddati otgan'!C:C,A67,'muddati otgan'!J:J,"Kelishish (Boshqarma)")</f>
        <v>0</v>
      </c>
      <c r="AL67" s="11">
        <f t="shared" si="62"/>
        <v>0</v>
      </c>
      <c r="AM67" s="11">
        <f>+COUNTIFS('muddati otgan'!C:C,A67,'muddati otgan'!J:J,"Kelishish (DKP)")</f>
        <v>0</v>
      </c>
      <c r="AN67" s="11">
        <f>+COUNTIFS('muddati otgan'!C:C,A67,'muddati otgan'!J:J,"Kelishish")</f>
        <v>0</v>
      </c>
      <c r="AO67" s="11">
        <f>+COUNTIFS('muddati otgan'!C:C,A67,'muddati otgan'!J:J,"Kelishish (Registratsiya DKP)")</f>
        <v>0</v>
      </c>
      <c r="AP67" s="11">
        <f t="shared" si="63"/>
        <v>0</v>
      </c>
      <c r="AQ67" s="11">
        <f>+COUNTIFS('muddati otgan'!C:C,A67,'muddati otgan'!J:J,"Manzil biriktirish")</f>
        <v>0</v>
      </c>
      <c r="AR67" s="11">
        <f>+COUNTIFS('muddati otgan'!C:C,A67,'muddati otgan'!J:J,"Bino va inshootlarni yaratish")</f>
        <v>0</v>
      </c>
      <c r="AS67" s="11">
        <f>+COUNTIFS('muddati otgan'!C:C,A67,'muddati otgan'!J:J,"Dov daraxtlarni yaratish")</f>
        <v>0</v>
      </c>
      <c r="AT67" s="11">
        <f>+COUNTIFS('muddati otgan'!C:C,A67,'muddati otgan'!J:J,"Yer uchastkasini tahrirlash")</f>
        <v>0</v>
      </c>
      <c r="AU67" s="11">
        <f t="shared" si="64"/>
        <v>0</v>
      </c>
      <c r="AV67" s="11">
        <f>+COUNTIFS('muddati otgan'!C:C,A67,'muddati otgan'!J:J,"Yer toifasi va maqsadini kiritish")</f>
        <v>0</v>
      </c>
      <c r="AW67" s="11">
        <f>+COUNTIFS('muddati otgan'!C:C,A67,'muddati otgan'!J:J,"Auksion yer tekshirish")</f>
        <v>0</v>
      </c>
      <c r="AX67" s="11">
        <f>+COUNTIFS('muddati otgan'!C:C,A67,'muddati otgan'!J:J,"Yer turlarini kiritish")</f>
        <v>0</v>
      </c>
      <c r="AY67" s="11">
        <f>+COUNTIFS('muddati otgan'!C:C,A67,'muddati otgan'!J:J,"Ma'lumotlarni kiritish")</f>
        <v>0</v>
      </c>
      <c r="AZ67" s="11">
        <f>+COUNTIFS('muddati otgan'!C:C,A67,'muddati otgan'!J:J,"Yer tekshirish")</f>
        <v>0</v>
      </c>
      <c r="BA67" s="11">
        <f t="shared" si="65"/>
        <v>0</v>
      </c>
      <c r="BB67" s="11">
        <f>+COUNTIFS('muddati otgan'!C:C,A67,'muddati otgan'!J:J,"Bino va inshoot ma'lumotlarini to‘ldirish")</f>
        <v>0</v>
      </c>
      <c r="BC67" s="11">
        <f>+COUNTIFS('muddati otgan'!C:C,A67,'muddati otgan'!J:J,"Inventarizatsiya ma'lumotlarini to‘ldirish")</f>
        <v>0</v>
      </c>
      <c r="BD67" s="11">
        <f>+COUNTIFS('muddati otgan'!C:C,A67,'muddati otgan'!J:J,"Yer uchastkasiga huquqiy hujjatlarni kiritsh")</f>
        <v>0</v>
      </c>
      <c r="BE67" s="11">
        <f>+COUNTIFS('muddati otgan'!C:C,A67,'muddati otgan'!J:J,"Bino-inshootlarga huquqiy hujjatlarni kiritsh")</f>
        <v>0</v>
      </c>
      <c r="BF67" s="11">
        <f>+COUNTIFS('muddati otgan'!C:C,A67,'muddati otgan'!J:J,"Kadastr qiymatini hisoblash va kiritish")</f>
        <v>0</v>
      </c>
      <c r="BG67" s="11">
        <f>+COUNTIFS('muddati otgan'!C:C,A67,'muddati otgan'!J:J,"Kadastr raqam biriktirish")</f>
        <v>0</v>
      </c>
      <c r="BH67" s="11">
        <f>+COUNTIFS('muddati otgan'!C:C,A67,'muddati otgan'!J:J,"Kadastr yig'ma jildni tayyorlash")</f>
        <v>0</v>
      </c>
      <c r="BI67" s="11">
        <f>+COUNTIFS('muddati otgan'!C:C,A67,'muddati otgan'!J:J,"Huquqni yaratish")</f>
        <v>0</v>
      </c>
      <c r="BJ67" s="11">
        <f>+COUNTIFS('muddati otgan'!C:C,A67,'muddati otgan'!J:J,"Hujjatlarni o'rganish")</f>
        <v>0</v>
      </c>
      <c r="BK67" s="11">
        <f>+COUNTIFS('muddati otgan'!C:C,A67,'muddati otgan'!J:J,"Ma'lumotlarni tekshirish")</f>
        <v>0</v>
      </c>
      <c r="BL67" s="11">
        <f t="shared" si="66"/>
        <v>0</v>
      </c>
      <c r="BM67" s="11">
        <f>+COUNTIFS('muddati otgan'!C:C,A67,'muddati otgan'!J:J,"Tekshirish")</f>
        <v>0</v>
      </c>
      <c r="BN67" s="11">
        <f>+COUNTIFS('muddati otgan'!C:C,A67,'muddati otgan'!J:J,"Hujjatlarni tekshirish")</f>
        <v>0</v>
      </c>
      <c r="BO67" s="11">
        <f>+COUNTIFS('muddati otgan'!C:C,A67,'muddati otgan'!J:J,"Tasdiqlash")</f>
        <v>0</v>
      </c>
      <c r="BP67" s="11">
        <f>+COUNTIFS('muddati otgan'!C:C,A67,'muddati otgan'!J:J,"tekshirish/tasdiqlash")</f>
        <v>0</v>
      </c>
      <c r="BQ67" s="11">
        <f>+COUNTIFS('muddati otgan'!C:C,A67,'muddati otgan'!J:J,"Ma'lumotlarni tasdiqlash")</f>
        <v>0</v>
      </c>
      <c r="BR67" s="11">
        <f t="shared" si="32"/>
        <v>0</v>
      </c>
      <c r="BS67" s="11">
        <f>+COUNTIFS('muddati otgan'!C:C,A67,'muddati otgan'!J:J,"Ro'yxatdan o'tkazish ma'lumotlarini tekshirish")</f>
        <v>0</v>
      </c>
      <c r="BT67" s="11">
        <f>+COUNTIFS('muddati otgan'!C:C,A67,'muddati otgan'!J:J,"Kamchiliklar bo'yicha habarnoma yuborish va 3 kunga to'xtatish")</f>
        <v>0</v>
      </c>
      <c r="BU67" s="11">
        <f>+COUNTIFS('muddati otgan'!C:C,A67,'muddati otgan'!J:J,"Hisobga olish")</f>
        <v>0</v>
      </c>
      <c r="BV67" s="11">
        <f>+COUNTIFS('muddati otgan'!C:C,A67,'muddati otgan'!J:J,"Yer uchastkasiga huquq yaratish")</f>
        <v>0</v>
      </c>
      <c r="BW67" s="11">
        <f>+COUNTIFS('muddati otgan'!C:C,A67,'muddati otgan'!J:J,"Bino-inshootga huquq yaratish")</f>
        <v>0</v>
      </c>
      <c r="BX67" s="11">
        <f>+COUNTIFS('muddati otgan'!C:C,A67,'muddati otgan'!J:J,"Cheklov yaratish")</f>
        <v>0</v>
      </c>
      <c r="BY67" s="11">
        <f>+COUNTIFS('muddati otgan'!C:C,A67,'muddati otgan'!J:J,"Taqiq yaratish")</f>
        <v>0</v>
      </c>
      <c r="BZ67" s="11">
        <f t="shared" si="33"/>
        <v>0</v>
      </c>
      <c r="CA67" s="11">
        <f>+COUNTIFS('muddati otgan'!C:C,A67,'muddati otgan'!J:J,"Soliq maydonini tekshirish")</f>
        <v>0</v>
      </c>
      <c r="CB67" s="11">
        <f t="shared" si="34"/>
        <v>0</v>
      </c>
      <c r="CC67" s="11">
        <f>+COUNTIFS('muddati otgan'!C:C,A67,'muddati otgan'!J:J,"Kadastr yig'majildini shakllantirish")</f>
        <v>0</v>
      </c>
      <c r="CD67" s="11">
        <f t="shared" si="35"/>
        <v>0</v>
      </c>
      <c r="CE67" s="11">
        <f>+COUNTIFS('muddati otgan'!C:C,A67,'muddati otgan'!J:J,"Kadastr passportini shakllantirish")</f>
        <v>0</v>
      </c>
      <c r="CF67" s="11">
        <f>+COUNTIFS('muddati otgan'!C:C,A67,'muddati otgan'!J:J,"Yig'ma jildni tasdiqlash")</f>
        <v>0</v>
      </c>
      <c r="CG67" s="11">
        <f>+COUNTIFS('muddati otgan'!C:C,A67,'muddati otgan'!J:J,"To'lov yoki bepul tasdiqlash")</f>
        <v>0</v>
      </c>
      <c r="CH67" s="11">
        <f>+COUNTIFS('muddati otgan'!C:C,A67,'muddati otgan'!J:J,"Bog'liq arizani kutish")</f>
        <v>0</v>
      </c>
      <c r="CI67" s="11">
        <f>+COUNTIFS('muddati otgan'!C:C,A67,'muddati otgan'!J:J,"To'lovga chiqarish")</f>
        <v>0</v>
      </c>
      <c r="CJ67" s="11">
        <f>+COUNTIFS('muddati otgan'!C:C,A67,'muddati otgan'!J:J,"Hisobga qo'yish")</f>
        <v>0</v>
      </c>
      <c r="CK67" s="6">
        <f>+COUNTIFS('muddati otgan'!C:C,A67,'muddati otgan'!J:J,"To'lov kutilmoqda")</f>
        <v>0</v>
      </c>
      <c r="CL67" s="11">
        <f t="shared" si="36"/>
        <v>1</v>
      </c>
      <c r="CM67" s="11">
        <f>+COUNTIFS('muddati otgan'!C:C,A67,'muddati otgan'!AA:AA,"Arizani qabul qilish2")</f>
        <v>0</v>
      </c>
      <c r="CN67" s="11">
        <f>+COUNTIFS('muddati otgan'!C:C,A67,'muddati otgan'!J:J,"Huquqlarni tekshirish")</f>
        <v>0</v>
      </c>
      <c r="CO67" s="11">
        <f>+COUNTIFS('muddati otgan'!C:C,A67,'muddati otgan'!J:J,"Ko'chmas mulkni ro'yhatdan o'tkazishga qabul qilish")</f>
        <v>0</v>
      </c>
      <c r="CP67" s="11">
        <f>+COUNTIFS('muddati otgan'!C:C,A67,'muddati otgan'!J:J,"Ro'yxatdan o'tkazish")</f>
        <v>1</v>
      </c>
      <c r="CQ67" s="11">
        <f>+COUNTIFS('muddati otgan'!C:C,A67,'muddati otgan'!J:J,"Kadastr pasporti va ko'chirmani yuborish")</f>
        <v>0</v>
      </c>
      <c r="CR67" s="11">
        <f>+COUNTIFS('muddati otgan'!C:C,A67,'muddati otgan'!AA:AA,"Rad qilish2")</f>
        <v>0</v>
      </c>
      <c r="CS67" s="11">
        <f>+COUNTIFS('muddati otgan'!C:C,A67,'muddati otgan'!J:J,"Ko'chirmani yuborish")</f>
        <v>0</v>
      </c>
      <c r="CT67" s="11">
        <f>+COUNTIFS('muddati otgan'!C:C,A67,'muddati otgan'!J:J,"Ma‘lumotlarni tekshirish")</f>
        <v>0</v>
      </c>
      <c r="CU67" s="11">
        <f t="shared" si="37"/>
        <v>0</v>
      </c>
      <c r="CV67" s="11">
        <f>+COUNTIFS('muddati otgan'!C:C,A67,'muddati otgan'!J:J,"Kadastr yig'majildini chop etish va arxiv ishiga tikish")</f>
        <v>0</v>
      </c>
      <c r="CW67" s="11">
        <f t="shared" si="38"/>
        <v>0</v>
      </c>
      <c r="CX67" s="11">
        <f>+COUNTIFS('muddati otgan'!C:C,A67,'muddati otgan'!J:J,"Kadastr yig‘majildini qabul qilish, arizani yakunlash")</f>
        <v>0</v>
      </c>
      <c r="CY67" s="11">
        <f>+COUNTIFS('muddati otgan'!C:C,A67,'muddati otgan'!J:J,"Next Cloudga yuklash")</f>
        <v>0</v>
      </c>
      <c r="CZ67" s="6">
        <f>+COUNTIFS('muddati otgan'!C:C,A67,'muddati otgan'!J:J,"Kelishish kutilmoqda")</f>
        <v>0</v>
      </c>
      <c r="DA67" s="6">
        <f>+COUNTIFS('muddati otgan'!C:C,A67,'muddati otgan'!J:J,"Yakunlandi")</f>
        <v>0</v>
      </c>
      <c r="DB67" s="10">
        <f>+COUNTIFS('muddati otgan'!C:C,A67,'muddati otgan'!J:J,"Rad etildi")</f>
        <v>0</v>
      </c>
      <c r="DC67" s="100">
        <f t="shared" si="5"/>
        <v>-1</v>
      </c>
      <c r="DD67" s="44">
        <f>COUNTIFS('jami 1-20 kunlik arizalar'!C:C,A:A,'jami 1-20 kunlik arizalar'!S:S,"1")</f>
        <v>0</v>
      </c>
      <c r="DE67" s="11">
        <f>COUNTIFS('jami 1-20 kunlik arizalar'!C:C,A:A,'jami 1-20 kunlik arizalar'!S:S,"2")</f>
        <v>0</v>
      </c>
      <c r="DF67" s="11">
        <f>COUNTIFS('jami 1-20 kunlik arizalar'!C:C,A:A,'jami 1-20 kunlik arizalar'!S:S,"3")</f>
        <v>0</v>
      </c>
      <c r="DG67" s="11">
        <f>COUNTIFS('jami 1-20 kunlik arizalar'!C:C,A:A,'jami 1-20 kunlik arizalar'!S:S,"4")</f>
        <v>0</v>
      </c>
      <c r="DH67" s="11">
        <f>COUNTIFS('jami 1-20 kunlik arizalar'!C:C,A:A,'jami 1-20 kunlik arizalar'!S:S,"5")</f>
        <v>0</v>
      </c>
      <c r="DI67" s="11">
        <f>SUM(COUNTIFS('jami 1-20 kunlik arizalar'!C:C,A:A, 'jami 1-20 kunlik arizalar'!S:S, {6,7,8,9,10}))</f>
        <v>2</v>
      </c>
      <c r="DJ67" s="12">
        <f>SUM(COUNTIFS('jami 1-20 kunlik arizalar'!C:C,A:A, 'jami 1-20 kunlik arizalar'!S:S, "&gt;10"))</f>
        <v>1</v>
      </c>
    </row>
    <row r="68" spans="1:114" ht="33" hidden="1" customHeight="1" outlineLevel="1" x14ac:dyDescent="0.25">
      <c r="A68" s="92" t="s">
        <v>609</v>
      </c>
      <c r="B68" s="106" t="s">
        <v>959</v>
      </c>
      <c r="C68" s="85" t="s">
        <v>792</v>
      </c>
      <c r="D68" s="80">
        <f>+COUNTIFS('muddati otgan'!C:C,A68,'muddati otgan'!C:C,A68)</f>
        <v>1</v>
      </c>
      <c r="E68" s="10">
        <f>SUMIFS('muddati otgan'!$V:V,'muddati otgan'!$C:C,$A:A)</f>
        <v>1</v>
      </c>
      <c r="F68" s="10">
        <f>SUMIFS('muddati otgan'!$W:W,'muddati otgan'!$C:C,$A:A)</f>
        <v>0</v>
      </c>
      <c r="G68" s="24">
        <f>SUMIFS('muddati otgan'!$U:U,'muddati otgan'!$C:C,$A:A)</f>
        <v>0</v>
      </c>
      <c r="H68" s="11">
        <f>SUMIFS('muddati otgan'!$G:G,'muddati otgan'!$C:C,$A:A)</f>
        <v>1</v>
      </c>
      <c r="I68" s="12">
        <f>SUMIFS('muddati otgan'!$H:H,'muddati otgan'!$C:C,$A:A)</f>
        <v>0</v>
      </c>
      <c r="J68" s="44">
        <f t="shared" si="58"/>
        <v>0</v>
      </c>
      <c r="K68" s="11">
        <f>+COUNTIFS('muddati otgan'!C:C,A68,'muddati otgan'!AA:AA,"Arizani qabul qilish")</f>
        <v>0</v>
      </c>
      <c r="L68" s="11">
        <f>+COUNTIFS('muddati otgan'!C:C,A68,'muddati otgan'!J:J,"Arizani rad etish")</f>
        <v>0</v>
      </c>
      <c r="M68" s="11">
        <f>+COUNTIFS('muddati otgan'!C:C,A68,'muddati otgan'!J:J,"Arizani tasdiqlash")</f>
        <v>0</v>
      </c>
      <c r="N68" s="11">
        <f>+COUNTIFS('muddati otgan'!C:C,A68,'muddati otgan'!J:J,"Arizani yo'naltirish")</f>
        <v>0</v>
      </c>
      <c r="O68" s="11">
        <f>+COUNTIFS('muddati otgan'!C:C,A68,'muddati otgan'!J:J,"Rad qilish sababini o'rganish")</f>
        <v>0</v>
      </c>
      <c r="P68" s="11">
        <f>+COUNTIFS('muddati otgan'!C:C,A68,'muddati otgan'!J:J,"Ko'chmas mulkni UZKAD ga migratsiya qilish")</f>
        <v>0</v>
      </c>
      <c r="Q68" s="11">
        <f>+COUNTIFS('muddati otgan'!C:C,A68,'muddati otgan'!J:J,"Migratisya qilingan obyekt holatini tekshirish")</f>
        <v>0</v>
      </c>
      <c r="R68" s="11">
        <f>+COUNTIFS('muddati otgan'!C:C,A68,'muddati otgan'!J:J,"Ko‘chmas mulkni tanlash")</f>
        <v>0</v>
      </c>
      <c r="S68" s="11">
        <f>+COUNTIFS('muddati otgan'!C:C,A68,'muddati otgan'!J:J,"Arizani ko'rib chiqish")</f>
        <v>0</v>
      </c>
      <c r="T68" s="11">
        <f>+COUNTIFS('muddati otgan'!C:C,A68,'muddati otgan'!J:J,"Kadastr muhandisini tanlash")</f>
        <v>0</v>
      </c>
      <c r="U68" s="11">
        <f>+COUNTIFS('muddati otgan'!C:C,A68,'muddati otgan'!J:J,"Ko'chmas mulk turini tanlahsh")</f>
        <v>0</v>
      </c>
      <c r="V68" s="11">
        <f>+COUNTIFS('muddati otgan'!C:C,A68,'muddati otgan'!AA:AA,"Rad qilish")</f>
        <v>0</v>
      </c>
      <c r="W68" s="11">
        <f>+COUNTIFS('muddati otgan'!C:C,A68,'muddati otgan'!J:J,"ijrochi tanlash")</f>
        <v>0</v>
      </c>
      <c r="X68" s="11">
        <f>+COUNTIFS('muddati otgan'!C:C,A68,'muddati otgan'!J:J,"Ko'chmas mulk turini tanlash")</f>
        <v>0</v>
      </c>
      <c r="Y68" s="11">
        <f t="shared" si="59"/>
        <v>0</v>
      </c>
      <c r="Z68" s="11">
        <f>+COUNTIFS('muddati otgan'!C:C,A68,'muddati otgan'!J:J,"Ijroga qabul qilish")</f>
        <v>0</v>
      </c>
      <c r="AA68" s="11">
        <f>+COUNTIFS('muddati otgan'!C:C,A68,'muddati otgan'!J:J,"Joyida o'rganish va ma'lumotlarni kiritish")</f>
        <v>0</v>
      </c>
      <c r="AB68" s="11">
        <f>+COUNTIFS('muddati otgan'!C:C,A68,'muddati otgan'!J:J,"Asosiy qismdan ajratish jarayonida")</f>
        <v>0</v>
      </c>
      <c r="AC68" s="11">
        <f>+COUNTIFS('muddati otgan'!C:C,A68,'muddati otgan'!J:J,"Umumiy foydalanishdagi obyekt yaratilish")</f>
        <v>0</v>
      </c>
      <c r="AD68" s="11">
        <f>+COUNTIFS('muddati otgan'!C:C,A68,'muddati otgan'!J:J,"Migratsiya qilinadigan kadastr raqamini kiritish")</f>
        <v>0</v>
      </c>
      <c r="AE68" s="11">
        <f>+COUNTIFS('muddati otgan'!C:C,A68,'muddati otgan'!J:J,"O'zida qolgan obyektni yaratish")</f>
        <v>0</v>
      </c>
      <c r="AF68" s="11">
        <f>+COUNTIFS('muddati otgan'!C:C,A68,'muddati otgan'!J:J,"O'lchov natijalarini kiritish")</f>
        <v>0</v>
      </c>
      <c r="AG68" s="11">
        <f>+COUNTIFS('muddati otgan'!C:C,A68,'muddati otgan'!J:J,"Topoxaritani tayyorlash (dwg, pdf)")</f>
        <v>0</v>
      </c>
      <c r="AH68" s="11">
        <f t="shared" si="60"/>
        <v>1</v>
      </c>
      <c r="AI68" s="11">
        <f>+COUNTIFS('muddati otgan'!C:C,A68,'muddati otgan'!J:J,"Yer uchastkasini yaratish")</f>
        <v>1</v>
      </c>
      <c r="AJ68" s="11">
        <f t="shared" si="61"/>
        <v>0</v>
      </c>
      <c r="AK68" s="11">
        <f>+COUNTIFS('muddati otgan'!C:C,A68,'muddati otgan'!J:J,"Kelishish (Boshqarma)")</f>
        <v>0</v>
      </c>
      <c r="AL68" s="11">
        <f t="shared" si="62"/>
        <v>0</v>
      </c>
      <c r="AM68" s="11">
        <f>+COUNTIFS('muddati otgan'!C:C,A68,'muddati otgan'!J:J,"Kelishish (DKP)")</f>
        <v>0</v>
      </c>
      <c r="AN68" s="11">
        <f>+COUNTIFS('muddati otgan'!C:C,A68,'muddati otgan'!J:J,"Kelishish")</f>
        <v>0</v>
      </c>
      <c r="AO68" s="11">
        <f>+COUNTIFS('muddati otgan'!C:C,A68,'muddati otgan'!J:J,"Kelishish (Registratsiya DKP)")</f>
        <v>0</v>
      </c>
      <c r="AP68" s="11">
        <f t="shared" si="63"/>
        <v>0</v>
      </c>
      <c r="AQ68" s="11">
        <f>+COUNTIFS('muddati otgan'!C:C,A68,'muddati otgan'!J:J,"Manzil biriktirish")</f>
        <v>0</v>
      </c>
      <c r="AR68" s="11">
        <f>+COUNTIFS('muddati otgan'!C:C,A68,'muddati otgan'!J:J,"Bino va inshootlarni yaratish")</f>
        <v>0</v>
      </c>
      <c r="AS68" s="11">
        <f>+COUNTIFS('muddati otgan'!C:C,A68,'muddati otgan'!J:J,"Dov daraxtlarni yaratish")</f>
        <v>0</v>
      </c>
      <c r="AT68" s="11">
        <f>+COUNTIFS('muddati otgan'!C:C,A68,'muddati otgan'!J:J,"Yer uchastkasini tahrirlash")</f>
        <v>0</v>
      </c>
      <c r="AU68" s="11">
        <f t="shared" si="64"/>
        <v>0</v>
      </c>
      <c r="AV68" s="11">
        <f>+COUNTIFS('muddati otgan'!C:C,A68,'muddati otgan'!J:J,"Yer toifasi va maqsadini kiritish")</f>
        <v>0</v>
      </c>
      <c r="AW68" s="11">
        <f>+COUNTIFS('muddati otgan'!C:C,A68,'muddati otgan'!J:J,"Auksion yer tekshirish")</f>
        <v>0</v>
      </c>
      <c r="AX68" s="11">
        <f>+COUNTIFS('muddati otgan'!C:C,A68,'muddati otgan'!J:J,"Yer turlarini kiritish")</f>
        <v>0</v>
      </c>
      <c r="AY68" s="11">
        <f>+COUNTIFS('muddati otgan'!C:C,A68,'muddati otgan'!J:J,"Ma'lumotlarni kiritish")</f>
        <v>0</v>
      </c>
      <c r="AZ68" s="11">
        <f>+COUNTIFS('muddati otgan'!C:C,A68,'muddati otgan'!J:J,"Yer tekshirish")</f>
        <v>0</v>
      </c>
      <c r="BA68" s="11">
        <f t="shared" si="65"/>
        <v>0</v>
      </c>
      <c r="BB68" s="11">
        <f>+COUNTIFS('muddati otgan'!C:C,A68,'muddati otgan'!J:J,"Bino va inshoot ma'lumotlarini to‘ldirish")</f>
        <v>0</v>
      </c>
      <c r="BC68" s="11">
        <f>+COUNTIFS('muddati otgan'!C:C,A68,'muddati otgan'!J:J,"Inventarizatsiya ma'lumotlarini to‘ldirish")</f>
        <v>0</v>
      </c>
      <c r="BD68" s="11">
        <f>+COUNTIFS('muddati otgan'!C:C,A68,'muddati otgan'!J:J,"Yer uchastkasiga huquqiy hujjatlarni kiritsh")</f>
        <v>0</v>
      </c>
      <c r="BE68" s="11">
        <f>+COUNTIFS('muddati otgan'!C:C,A68,'muddati otgan'!J:J,"Bino-inshootlarga huquqiy hujjatlarni kiritsh")</f>
        <v>0</v>
      </c>
      <c r="BF68" s="11">
        <f>+COUNTIFS('muddati otgan'!C:C,A68,'muddati otgan'!J:J,"Kadastr qiymatini hisoblash va kiritish")</f>
        <v>0</v>
      </c>
      <c r="BG68" s="11">
        <f>+COUNTIFS('muddati otgan'!C:C,A68,'muddati otgan'!J:J,"Kadastr raqam biriktirish")</f>
        <v>0</v>
      </c>
      <c r="BH68" s="11">
        <f>+COUNTIFS('muddati otgan'!C:C,A68,'muddati otgan'!J:J,"Kadastr yig'ma jildni tayyorlash")</f>
        <v>0</v>
      </c>
      <c r="BI68" s="11">
        <f>+COUNTIFS('muddati otgan'!C:C,A68,'muddati otgan'!J:J,"Huquqni yaratish")</f>
        <v>0</v>
      </c>
      <c r="BJ68" s="11">
        <f>+COUNTIFS('muddati otgan'!C:C,A68,'muddati otgan'!J:J,"Hujjatlarni o'rganish")</f>
        <v>0</v>
      </c>
      <c r="BK68" s="11">
        <f>+COUNTIFS('muddati otgan'!C:C,A68,'muddati otgan'!J:J,"Ma'lumotlarni tekshirish")</f>
        <v>0</v>
      </c>
      <c r="BL68" s="11">
        <f t="shared" si="66"/>
        <v>0</v>
      </c>
      <c r="BM68" s="11">
        <f>+COUNTIFS('muddati otgan'!C:C,A68,'muddati otgan'!J:J,"Tekshirish")</f>
        <v>0</v>
      </c>
      <c r="BN68" s="11">
        <f>+COUNTIFS('muddati otgan'!C:C,A68,'muddati otgan'!J:J,"Hujjatlarni tekshirish")</f>
        <v>0</v>
      </c>
      <c r="BO68" s="11">
        <f>+COUNTIFS('muddati otgan'!C:C,A68,'muddati otgan'!J:J,"Tasdiqlash")</f>
        <v>0</v>
      </c>
      <c r="BP68" s="11">
        <f>+COUNTIFS('muddati otgan'!C:C,A68,'muddati otgan'!J:J,"tekshirish/tasdiqlash")</f>
        <v>0</v>
      </c>
      <c r="BQ68" s="11">
        <f>+COUNTIFS('muddati otgan'!C:C,A68,'muddati otgan'!J:J,"Ma'lumotlarni tasdiqlash")</f>
        <v>0</v>
      </c>
      <c r="BR68" s="11">
        <f t="shared" si="32"/>
        <v>0</v>
      </c>
      <c r="BS68" s="11">
        <f>+COUNTIFS('muddati otgan'!C:C,A68,'muddati otgan'!J:J,"Ro'yxatdan o'tkazish ma'lumotlarini tekshirish")</f>
        <v>0</v>
      </c>
      <c r="BT68" s="11">
        <f>+COUNTIFS('muddati otgan'!C:C,A68,'muddati otgan'!J:J,"Kamchiliklar bo'yicha habarnoma yuborish va 3 kunga to'xtatish")</f>
        <v>0</v>
      </c>
      <c r="BU68" s="11">
        <f>+COUNTIFS('muddati otgan'!C:C,A68,'muddati otgan'!J:J,"Hisobga olish")</f>
        <v>0</v>
      </c>
      <c r="BV68" s="11">
        <f>+COUNTIFS('muddati otgan'!C:C,A68,'muddati otgan'!J:J,"Yer uchastkasiga huquq yaratish")</f>
        <v>0</v>
      </c>
      <c r="BW68" s="11">
        <f>+COUNTIFS('muddati otgan'!C:C,A68,'muddati otgan'!J:J,"Bino-inshootga huquq yaratish")</f>
        <v>0</v>
      </c>
      <c r="BX68" s="11">
        <f>+COUNTIFS('muddati otgan'!C:C,A68,'muddati otgan'!J:J,"Cheklov yaratish")</f>
        <v>0</v>
      </c>
      <c r="BY68" s="11">
        <f>+COUNTIFS('muddati otgan'!C:C,A68,'muddati otgan'!J:J,"Taqiq yaratish")</f>
        <v>0</v>
      </c>
      <c r="BZ68" s="11">
        <f t="shared" si="33"/>
        <v>0</v>
      </c>
      <c r="CA68" s="11">
        <f>+COUNTIFS('muddati otgan'!C:C,A68,'muddati otgan'!J:J,"Soliq maydonini tekshirish")</f>
        <v>0</v>
      </c>
      <c r="CB68" s="11">
        <f t="shared" si="34"/>
        <v>0</v>
      </c>
      <c r="CC68" s="11">
        <f>+COUNTIFS('muddati otgan'!C:C,A68,'muddati otgan'!J:J,"Kadastr yig'majildini shakllantirish")</f>
        <v>0</v>
      </c>
      <c r="CD68" s="11">
        <f t="shared" si="35"/>
        <v>0</v>
      </c>
      <c r="CE68" s="11">
        <f>+COUNTIFS('muddati otgan'!C:C,A68,'muddati otgan'!J:J,"Kadastr passportini shakllantirish")</f>
        <v>0</v>
      </c>
      <c r="CF68" s="11">
        <f>+COUNTIFS('muddati otgan'!C:C,A68,'muddati otgan'!J:J,"Yig'ma jildni tasdiqlash")</f>
        <v>0</v>
      </c>
      <c r="CG68" s="11">
        <f>+COUNTIFS('muddati otgan'!C:C,A68,'muddati otgan'!J:J,"To'lov yoki bepul tasdiqlash")</f>
        <v>0</v>
      </c>
      <c r="CH68" s="11">
        <f>+COUNTIFS('muddati otgan'!C:C,A68,'muddati otgan'!J:J,"Bog'liq arizani kutish")</f>
        <v>0</v>
      </c>
      <c r="CI68" s="11">
        <f>+COUNTIFS('muddati otgan'!C:C,A68,'muddati otgan'!J:J,"To'lovga chiqarish")</f>
        <v>0</v>
      </c>
      <c r="CJ68" s="11">
        <f>+COUNTIFS('muddati otgan'!C:C,A68,'muddati otgan'!J:J,"Hisobga qo'yish")</f>
        <v>0</v>
      </c>
      <c r="CK68" s="6">
        <f>+COUNTIFS('muddati otgan'!C:C,A68,'muddati otgan'!J:J,"To'lov kutilmoqda")</f>
        <v>0</v>
      </c>
      <c r="CL68" s="11">
        <f t="shared" si="36"/>
        <v>0</v>
      </c>
      <c r="CM68" s="11">
        <f>+COUNTIFS('muddati otgan'!C:C,A68,'muddati otgan'!AA:AA,"Arizani qabul qilish2")</f>
        <v>0</v>
      </c>
      <c r="CN68" s="11">
        <f>+COUNTIFS('muddati otgan'!C:C,A68,'muddati otgan'!J:J,"Huquqlarni tekshirish")</f>
        <v>0</v>
      </c>
      <c r="CO68" s="11">
        <f>+COUNTIFS('muddati otgan'!C:C,A68,'muddati otgan'!J:J,"Ko'chmas mulkni ro'yhatdan o'tkazishga qabul qilish")</f>
        <v>0</v>
      </c>
      <c r="CP68" s="11">
        <f>+COUNTIFS('muddati otgan'!C:C,A68,'muddati otgan'!J:J,"Ro'yxatdan o'tkazish")</f>
        <v>0</v>
      </c>
      <c r="CQ68" s="11">
        <f>+COUNTIFS('muddati otgan'!C:C,A68,'muddati otgan'!J:J,"Kadastr pasporti va ko'chirmani yuborish")</f>
        <v>0</v>
      </c>
      <c r="CR68" s="11">
        <f>+COUNTIFS('muddati otgan'!C:C,A68,'muddati otgan'!AA:AA,"Rad qilish2")</f>
        <v>0</v>
      </c>
      <c r="CS68" s="11">
        <f>+COUNTIFS('muddati otgan'!C:C,A68,'muddati otgan'!J:J,"Ko'chirmani yuborish")</f>
        <v>0</v>
      </c>
      <c r="CT68" s="11">
        <f>+COUNTIFS('muddati otgan'!C:C,A68,'muddati otgan'!J:J,"Ma‘lumotlarni tekshirish")</f>
        <v>0</v>
      </c>
      <c r="CU68" s="11">
        <f t="shared" si="37"/>
        <v>0</v>
      </c>
      <c r="CV68" s="11">
        <f>+COUNTIFS('muddati otgan'!C:C,A68,'muddati otgan'!J:J,"Kadastr yig'majildini chop etish va arxiv ishiga tikish")</f>
        <v>0</v>
      </c>
      <c r="CW68" s="11">
        <f t="shared" si="38"/>
        <v>0</v>
      </c>
      <c r="CX68" s="11">
        <f>+COUNTIFS('muddati otgan'!C:C,A68,'muddati otgan'!J:J,"Kadastr yig‘majildini qabul qilish, arizani yakunlash")</f>
        <v>0</v>
      </c>
      <c r="CY68" s="11">
        <f>+COUNTIFS('muddati otgan'!C:C,A68,'muddati otgan'!J:J,"Next Cloudga yuklash")</f>
        <v>0</v>
      </c>
      <c r="CZ68" s="6">
        <f>+COUNTIFS('muddati otgan'!C:C,A68,'muddati otgan'!J:J,"Kelishish kutilmoqda")</f>
        <v>0</v>
      </c>
      <c r="DA68" s="6">
        <f>+COUNTIFS('muddati otgan'!C:C,A68,'muddati otgan'!J:J,"Yakunlandi")</f>
        <v>0</v>
      </c>
      <c r="DB68" s="10">
        <f>+COUNTIFS('muddati otgan'!C:C,A68,'muddati otgan'!J:J,"Rad etildi")</f>
        <v>0</v>
      </c>
      <c r="DC68" s="100">
        <f t="shared" si="5"/>
        <v>-1</v>
      </c>
      <c r="DD68" s="44">
        <f>COUNTIFS('jami 1-20 kunlik arizalar'!C:C,A:A,'jami 1-20 kunlik arizalar'!S:S,"1")</f>
        <v>0</v>
      </c>
      <c r="DE68" s="11">
        <f>COUNTIFS('jami 1-20 kunlik arizalar'!C:C,A:A,'jami 1-20 kunlik arizalar'!S:S,"2")</f>
        <v>0</v>
      </c>
      <c r="DF68" s="11">
        <f>COUNTIFS('jami 1-20 kunlik arizalar'!C:C,A:A,'jami 1-20 kunlik arizalar'!S:S,"3")</f>
        <v>0</v>
      </c>
      <c r="DG68" s="11">
        <f>COUNTIFS('jami 1-20 kunlik arizalar'!C:C,A:A,'jami 1-20 kunlik arizalar'!S:S,"4")</f>
        <v>5</v>
      </c>
      <c r="DH68" s="11">
        <f>COUNTIFS('jami 1-20 kunlik arizalar'!C:C,A:A,'jami 1-20 kunlik arizalar'!S:S,"5")</f>
        <v>3</v>
      </c>
      <c r="DI68" s="11">
        <f>SUM(COUNTIFS('jami 1-20 kunlik arizalar'!C:C,A:A, 'jami 1-20 kunlik arizalar'!S:S, {6,7,8,9,10}))</f>
        <v>3</v>
      </c>
      <c r="DJ68" s="12">
        <f>SUM(COUNTIFS('jami 1-20 kunlik arizalar'!C:C,A:A, 'jami 1-20 kunlik arizalar'!S:S, "&gt;10"))</f>
        <v>4</v>
      </c>
    </row>
    <row r="69" spans="1:114" ht="33" hidden="1" customHeight="1" outlineLevel="1" x14ac:dyDescent="0.25">
      <c r="A69" s="92" t="s">
        <v>610</v>
      </c>
      <c r="B69" s="106" t="s">
        <v>959</v>
      </c>
      <c r="C69" s="85" t="s">
        <v>793</v>
      </c>
      <c r="D69" s="80">
        <f>+COUNTIFS('muddati otgan'!C:C,A69,'muddati otgan'!C:C,A69)</f>
        <v>4</v>
      </c>
      <c r="E69" s="10">
        <f>SUMIFS('muddati otgan'!$V:V,'muddati otgan'!$C:C,$A:A)</f>
        <v>2</v>
      </c>
      <c r="F69" s="10">
        <f>SUMIFS('muddati otgan'!$W:W,'muddati otgan'!$C:C,$A:A)</f>
        <v>0</v>
      </c>
      <c r="G69" s="24">
        <f>SUMIFS('muddati otgan'!$U:U,'muddati otgan'!$C:C,$A:A)</f>
        <v>2</v>
      </c>
      <c r="H69" s="11">
        <f>SUMIFS('muddati otgan'!$G:G,'muddati otgan'!$C:C,$A:A)</f>
        <v>4</v>
      </c>
      <c r="I69" s="12">
        <f>SUMIFS('muddati otgan'!$H:H,'muddati otgan'!$C:C,$A:A)</f>
        <v>0</v>
      </c>
      <c r="J69" s="44">
        <f t="shared" si="58"/>
        <v>0</v>
      </c>
      <c r="K69" s="11">
        <f>+COUNTIFS('muddati otgan'!C:C,A69,'muddati otgan'!AA:AA,"Arizani qabul qilish")</f>
        <v>0</v>
      </c>
      <c r="L69" s="11">
        <f>+COUNTIFS('muddati otgan'!C:C,A69,'muddati otgan'!J:J,"Arizani rad etish")</f>
        <v>0</v>
      </c>
      <c r="M69" s="11">
        <f>+COUNTIFS('muddati otgan'!C:C,A69,'muddati otgan'!J:J,"Arizani tasdiqlash")</f>
        <v>0</v>
      </c>
      <c r="N69" s="11">
        <f>+COUNTIFS('muddati otgan'!C:C,A69,'muddati otgan'!J:J,"Arizani yo'naltirish")</f>
        <v>0</v>
      </c>
      <c r="O69" s="11">
        <f>+COUNTIFS('muddati otgan'!C:C,A69,'muddati otgan'!J:J,"Rad qilish sababini o'rganish")</f>
        <v>0</v>
      </c>
      <c r="P69" s="11">
        <f>+COUNTIFS('muddati otgan'!C:C,A69,'muddati otgan'!J:J,"Ko'chmas mulkni UZKAD ga migratsiya qilish")</f>
        <v>0</v>
      </c>
      <c r="Q69" s="11">
        <f>+COUNTIFS('muddati otgan'!C:C,A69,'muddati otgan'!J:J,"Migratisya qilingan obyekt holatini tekshirish")</f>
        <v>0</v>
      </c>
      <c r="R69" s="11">
        <f>+COUNTIFS('muddati otgan'!C:C,A69,'muddati otgan'!J:J,"Ko‘chmas mulkni tanlash")</f>
        <v>0</v>
      </c>
      <c r="S69" s="11">
        <f>+COUNTIFS('muddati otgan'!C:C,A69,'muddati otgan'!J:J,"Arizani ko'rib chiqish")</f>
        <v>0</v>
      </c>
      <c r="T69" s="11">
        <f>+COUNTIFS('muddati otgan'!C:C,A69,'muddati otgan'!J:J,"Kadastr muhandisini tanlash")</f>
        <v>0</v>
      </c>
      <c r="U69" s="11">
        <f>+COUNTIFS('muddati otgan'!C:C,A69,'muddati otgan'!J:J,"Ko'chmas mulk turini tanlahsh")</f>
        <v>0</v>
      </c>
      <c r="V69" s="11">
        <f>+COUNTIFS('muddati otgan'!C:C,A69,'muddati otgan'!AA:AA,"Rad qilish")</f>
        <v>0</v>
      </c>
      <c r="W69" s="11">
        <f>+COUNTIFS('muddati otgan'!C:C,A69,'muddati otgan'!J:J,"ijrochi tanlash")</f>
        <v>0</v>
      </c>
      <c r="X69" s="11">
        <f>+COUNTIFS('muddati otgan'!C:C,A69,'muddati otgan'!J:J,"Ko'chmas mulk turini tanlash")</f>
        <v>0</v>
      </c>
      <c r="Y69" s="11">
        <f t="shared" si="59"/>
        <v>0</v>
      </c>
      <c r="Z69" s="11">
        <f>+COUNTIFS('muddati otgan'!C:C,A69,'muddati otgan'!J:J,"Ijroga qabul qilish")</f>
        <v>0</v>
      </c>
      <c r="AA69" s="11">
        <f>+COUNTIFS('muddati otgan'!C:C,A69,'muddati otgan'!J:J,"Joyida o'rganish va ma'lumotlarni kiritish")</f>
        <v>0</v>
      </c>
      <c r="AB69" s="11">
        <f>+COUNTIFS('muddati otgan'!C:C,A69,'muddati otgan'!J:J,"Asosiy qismdan ajratish jarayonida")</f>
        <v>0</v>
      </c>
      <c r="AC69" s="11">
        <f>+COUNTIFS('muddati otgan'!C:C,A69,'muddati otgan'!J:J,"Umumiy foydalanishdagi obyekt yaratilish")</f>
        <v>0</v>
      </c>
      <c r="AD69" s="11">
        <f>+COUNTIFS('muddati otgan'!C:C,A69,'muddati otgan'!J:J,"Migratsiya qilinadigan kadastr raqamini kiritish")</f>
        <v>0</v>
      </c>
      <c r="AE69" s="11">
        <f>+COUNTIFS('muddati otgan'!C:C,A69,'muddati otgan'!J:J,"O'zida qolgan obyektni yaratish")</f>
        <v>0</v>
      </c>
      <c r="AF69" s="11">
        <f>+COUNTIFS('muddati otgan'!C:C,A69,'muddati otgan'!J:J,"O'lchov natijalarini kiritish")</f>
        <v>0</v>
      </c>
      <c r="AG69" s="11">
        <f>+COUNTIFS('muddati otgan'!C:C,A69,'muddati otgan'!J:J,"Topoxaritani tayyorlash (dwg, pdf)")</f>
        <v>0</v>
      </c>
      <c r="AH69" s="11">
        <f t="shared" si="60"/>
        <v>3</v>
      </c>
      <c r="AI69" s="11">
        <f>+COUNTIFS('muddati otgan'!C:C,A69,'muddati otgan'!J:J,"Yer uchastkasini yaratish")</f>
        <v>3</v>
      </c>
      <c r="AJ69" s="11">
        <f t="shared" si="61"/>
        <v>0</v>
      </c>
      <c r="AK69" s="11">
        <f>+COUNTIFS('muddati otgan'!C:C,A69,'muddati otgan'!J:J,"Kelishish (Boshqarma)")</f>
        <v>0</v>
      </c>
      <c r="AL69" s="11">
        <f t="shared" si="62"/>
        <v>1</v>
      </c>
      <c r="AM69" s="11">
        <f>+COUNTIFS('muddati otgan'!C:C,A69,'muddati otgan'!J:J,"Kelishish (DKP)")</f>
        <v>0</v>
      </c>
      <c r="AN69" s="11">
        <f>+COUNTIFS('muddati otgan'!C:C,A69,'muddati otgan'!J:J,"Kelishish")</f>
        <v>1</v>
      </c>
      <c r="AO69" s="11">
        <f>+COUNTIFS('muddati otgan'!C:C,A69,'muddati otgan'!J:J,"Kelishish (Registratsiya DKP)")</f>
        <v>0</v>
      </c>
      <c r="AP69" s="11">
        <f t="shared" si="63"/>
        <v>0</v>
      </c>
      <c r="AQ69" s="11">
        <f>+COUNTIFS('muddati otgan'!C:C,A69,'muddati otgan'!J:J,"Manzil biriktirish")</f>
        <v>0</v>
      </c>
      <c r="AR69" s="11">
        <f>+COUNTIFS('muddati otgan'!C:C,A69,'muddati otgan'!J:J,"Bino va inshootlarni yaratish")</f>
        <v>0</v>
      </c>
      <c r="AS69" s="11">
        <f>+COUNTIFS('muddati otgan'!C:C,A69,'muddati otgan'!J:J,"Dov daraxtlarni yaratish")</f>
        <v>0</v>
      </c>
      <c r="AT69" s="11">
        <f>+COUNTIFS('muddati otgan'!C:C,A69,'muddati otgan'!J:J,"Yer uchastkasini tahrirlash")</f>
        <v>0</v>
      </c>
      <c r="AU69" s="11">
        <f t="shared" si="64"/>
        <v>0</v>
      </c>
      <c r="AV69" s="11">
        <f>+COUNTIFS('muddati otgan'!C:C,A69,'muddati otgan'!J:J,"Yer toifasi va maqsadini kiritish")</f>
        <v>0</v>
      </c>
      <c r="AW69" s="11">
        <f>+COUNTIFS('muddati otgan'!C:C,A69,'muddati otgan'!J:J,"Auksion yer tekshirish")</f>
        <v>0</v>
      </c>
      <c r="AX69" s="11">
        <f>+COUNTIFS('muddati otgan'!C:C,A69,'muddati otgan'!J:J,"Yer turlarini kiritish")</f>
        <v>0</v>
      </c>
      <c r="AY69" s="11">
        <f>+COUNTIFS('muddati otgan'!C:C,A69,'muddati otgan'!J:J,"Ma'lumotlarni kiritish")</f>
        <v>0</v>
      </c>
      <c r="AZ69" s="11">
        <f>+COUNTIFS('muddati otgan'!C:C,A69,'muddati otgan'!J:J,"Yer tekshirish")</f>
        <v>0</v>
      </c>
      <c r="BA69" s="11">
        <f t="shared" si="65"/>
        <v>0</v>
      </c>
      <c r="BB69" s="11">
        <f>+COUNTIFS('muddati otgan'!C:C,A69,'muddati otgan'!J:J,"Bino va inshoot ma'lumotlarini to‘ldirish")</f>
        <v>0</v>
      </c>
      <c r="BC69" s="11">
        <f>+COUNTIFS('muddati otgan'!C:C,A69,'muddati otgan'!J:J,"Inventarizatsiya ma'lumotlarini to‘ldirish")</f>
        <v>0</v>
      </c>
      <c r="BD69" s="11">
        <f>+COUNTIFS('muddati otgan'!C:C,A69,'muddati otgan'!J:J,"Yer uchastkasiga huquqiy hujjatlarni kiritsh")</f>
        <v>0</v>
      </c>
      <c r="BE69" s="11">
        <f>+COUNTIFS('muddati otgan'!C:C,A69,'muddati otgan'!J:J,"Bino-inshootlarga huquqiy hujjatlarni kiritsh")</f>
        <v>0</v>
      </c>
      <c r="BF69" s="11">
        <f>+COUNTIFS('muddati otgan'!C:C,A69,'muddati otgan'!J:J,"Kadastr qiymatini hisoblash va kiritish")</f>
        <v>0</v>
      </c>
      <c r="BG69" s="11">
        <f>+COUNTIFS('muddati otgan'!C:C,A69,'muddati otgan'!J:J,"Kadastr raqam biriktirish")</f>
        <v>0</v>
      </c>
      <c r="BH69" s="11">
        <f>+COUNTIFS('muddati otgan'!C:C,A69,'muddati otgan'!J:J,"Kadastr yig'ma jildni tayyorlash")</f>
        <v>0</v>
      </c>
      <c r="BI69" s="11">
        <f>+COUNTIFS('muddati otgan'!C:C,A69,'muddati otgan'!J:J,"Huquqni yaratish")</f>
        <v>0</v>
      </c>
      <c r="BJ69" s="11">
        <f>+COUNTIFS('muddati otgan'!C:C,A69,'muddati otgan'!J:J,"Hujjatlarni o'rganish")</f>
        <v>0</v>
      </c>
      <c r="BK69" s="11">
        <f>+COUNTIFS('muddati otgan'!C:C,A69,'muddati otgan'!J:J,"Ma'lumotlarni tekshirish")</f>
        <v>0</v>
      </c>
      <c r="BL69" s="11">
        <f t="shared" si="66"/>
        <v>0</v>
      </c>
      <c r="BM69" s="11">
        <f>+COUNTIFS('muddati otgan'!C:C,A69,'muddati otgan'!J:J,"Tekshirish")</f>
        <v>0</v>
      </c>
      <c r="BN69" s="11">
        <f>+COUNTIFS('muddati otgan'!C:C,A69,'muddati otgan'!J:J,"Hujjatlarni tekshirish")</f>
        <v>0</v>
      </c>
      <c r="BO69" s="11">
        <f>+COUNTIFS('muddati otgan'!C:C,A69,'muddati otgan'!J:J,"Tasdiqlash")</f>
        <v>0</v>
      </c>
      <c r="BP69" s="11">
        <f>+COUNTIFS('muddati otgan'!C:C,A69,'muddati otgan'!J:J,"tekshirish/tasdiqlash")</f>
        <v>0</v>
      </c>
      <c r="BQ69" s="11">
        <f>+COUNTIFS('muddati otgan'!C:C,A69,'muddati otgan'!J:J,"Ma'lumotlarni tasdiqlash")</f>
        <v>0</v>
      </c>
      <c r="BR69" s="11">
        <f t="shared" si="32"/>
        <v>0</v>
      </c>
      <c r="BS69" s="11">
        <f>+COUNTIFS('muddati otgan'!C:C,A69,'muddati otgan'!J:J,"Ro'yxatdan o'tkazish ma'lumotlarini tekshirish")</f>
        <v>0</v>
      </c>
      <c r="BT69" s="11">
        <f>+COUNTIFS('muddati otgan'!C:C,A69,'muddati otgan'!J:J,"Kamchiliklar bo'yicha habarnoma yuborish va 3 kunga to'xtatish")</f>
        <v>0</v>
      </c>
      <c r="BU69" s="11">
        <f>+COUNTIFS('muddati otgan'!C:C,A69,'muddati otgan'!J:J,"Hisobga olish")</f>
        <v>0</v>
      </c>
      <c r="BV69" s="11">
        <f>+COUNTIFS('muddati otgan'!C:C,A69,'muddati otgan'!J:J,"Yer uchastkasiga huquq yaratish")</f>
        <v>0</v>
      </c>
      <c r="BW69" s="11">
        <f>+COUNTIFS('muddati otgan'!C:C,A69,'muddati otgan'!J:J,"Bino-inshootga huquq yaratish")</f>
        <v>0</v>
      </c>
      <c r="BX69" s="11">
        <f>+COUNTIFS('muddati otgan'!C:C,A69,'muddati otgan'!J:J,"Cheklov yaratish")</f>
        <v>0</v>
      </c>
      <c r="BY69" s="11">
        <f>+COUNTIFS('muddati otgan'!C:C,A69,'muddati otgan'!J:J,"Taqiq yaratish")</f>
        <v>0</v>
      </c>
      <c r="BZ69" s="11">
        <f t="shared" si="33"/>
        <v>0</v>
      </c>
      <c r="CA69" s="11">
        <f>+COUNTIFS('muddati otgan'!C:C,A69,'muddati otgan'!J:J,"Soliq maydonini tekshirish")</f>
        <v>0</v>
      </c>
      <c r="CB69" s="11">
        <f t="shared" si="34"/>
        <v>0</v>
      </c>
      <c r="CC69" s="11">
        <f>+COUNTIFS('muddati otgan'!C:C,A69,'muddati otgan'!J:J,"Kadastr yig'majildini shakllantirish")</f>
        <v>0</v>
      </c>
      <c r="CD69" s="11">
        <f t="shared" si="35"/>
        <v>0</v>
      </c>
      <c r="CE69" s="11">
        <f>+COUNTIFS('muddati otgan'!C:C,A69,'muddati otgan'!J:J,"Kadastr passportini shakllantirish")</f>
        <v>0</v>
      </c>
      <c r="CF69" s="11">
        <f>+COUNTIFS('muddati otgan'!C:C,A69,'muddati otgan'!J:J,"Yig'ma jildni tasdiqlash")</f>
        <v>0</v>
      </c>
      <c r="CG69" s="11">
        <f>+COUNTIFS('muddati otgan'!C:C,A69,'muddati otgan'!J:J,"To'lov yoki bepul tasdiqlash")</f>
        <v>0</v>
      </c>
      <c r="CH69" s="11">
        <f>+COUNTIFS('muddati otgan'!C:C,A69,'muddati otgan'!J:J,"Bog'liq arizani kutish")</f>
        <v>0</v>
      </c>
      <c r="CI69" s="11">
        <f>+COUNTIFS('muddati otgan'!C:C,A69,'muddati otgan'!J:J,"To'lovga chiqarish")</f>
        <v>0</v>
      </c>
      <c r="CJ69" s="11">
        <f>+COUNTIFS('muddati otgan'!C:C,A69,'muddati otgan'!J:J,"Hisobga qo'yish")</f>
        <v>0</v>
      </c>
      <c r="CK69" s="6">
        <f>+COUNTIFS('muddati otgan'!C:C,A69,'muddati otgan'!J:J,"To'lov kutilmoqda")</f>
        <v>0</v>
      </c>
      <c r="CL69" s="11">
        <f t="shared" si="36"/>
        <v>0</v>
      </c>
      <c r="CM69" s="11">
        <f>+COUNTIFS('muddati otgan'!C:C,A69,'muddati otgan'!AA:AA,"Arizani qabul qilish2")</f>
        <v>0</v>
      </c>
      <c r="CN69" s="11">
        <f>+COUNTIFS('muddati otgan'!C:C,A69,'muddati otgan'!J:J,"Huquqlarni tekshirish")</f>
        <v>0</v>
      </c>
      <c r="CO69" s="11">
        <f>+COUNTIFS('muddati otgan'!C:C,A69,'muddati otgan'!J:J,"Ko'chmas mulkni ro'yhatdan o'tkazishga qabul qilish")</f>
        <v>0</v>
      </c>
      <c r="CP69" s="11">
        <f>+COUNTIFS('muddati otgan'!C:C,A69,'muddati otgan'!J:J,"Ro'yxatdan o'tkazish")</f>
        <v>0</v>
      </c>
      <c r="CQ69" s="11">
        <f>+COUNTIFS('muddati otgan'!C:C,A69,'muddati otgan'!J:J,"Kadastr pasporti va ko'chirmani yuborish")</f>
        <v>0</v>
      </c>
      <c r="CR69" s="11">
        <f>+COUNTIFS('muddati otgan'!C:C,A69,'muddati otgan'!AA:AA,"Rad qilish2")</f>
        <v>0</v>
      </c>
      <c r="CS69" s="11">
        <f>+COUNTIFS('muddati otgan'!C:C,A69,'muddati otgan'!J:J,"Ko'chirmani yuborish")</f>
        <v>0</v>
      </c>
      <c r="CT69" s="11">
        <f>+COUNTIFS('muddati otgan'!C:C,A69,'muddati otgan'!J:J,"Ma‘lumotlarni tekshirish")</f>
        <v>0</v>
      </c>
      <c r="CU69" s="11">
        <f t="shared" si="37"/>
        <v>0</v>
      </c>
      <c r="CV69" s="11">
        <f>+COUNTIFS('muddati otgan'!C:C,A69,'muddati otgan'!J:J,"Kadastr yig'majildini chop etish va arxiv ishiga tikish")</f>
        <v>0</v>
      </c>
      <c r="CW69" s="11">
        <f t="shared" si="38"/>
        <v>0</v>
      </c>
      <c r="CX69" s="11">
        <f>+COUNTIFS('muddati otgan'!C:C,A69,'muddati otgan'!J:J,"Kadastr yig‘majildini qabul qilish, arizani yakunlash")</f>
        <v>0</v>
      </c>
      <c r="CY69" s="11">
        <f>+COUNTIFS('muddati otgan'!C:C,A69,'muddati otgan'!J:J,"Next Cloudga yuklash")</f>
        <v>0</v>
      </c>
      <c r="CZ69" s="6">
        <f>+COUNTIFS('muddati otgan'!C:C,A69,'muddati otgan'!J:J,"Kelishish kutilmoqda")</f>
        <v>0</v>
      </c>
      <c r="DA69" s="6">
        <f>+COUNTIFS('muddati otgan'!C:C,A69,'muddati otgan'!J:J,"Yakunlandi")</f>
        <v>0</v>
      </c>
      <c r="DB69" s="10">
        <f>+COUNTIFS('muddati otgan'!C:C,A69,'muddati otgan'!J:J,"Rad etildi")</f>
        <v>0</v>
      </c>
      <c r="DC69" s="100">
        <f t="shared" si="5"/>
        <v>-4</v>
      </c>
      <c r="DD69" s="44">
        <f>COUNTIFS('jami 1-20 kunlik arizalar'!C:C,A:A,'jami 1-20 kunlik arizalar'!S:S,"1")</f>
        <v>0</v>
      </c>
      <c r="DE69" s="11">
        <f>COUNTIFS('jami 1-20 kunlik arizalar'!C:C,A:A,'jami 1-20 kunlik arizalar'!S:S,"2")</f>
        <v>0</v>
      </c>
      <c r="DF69" s="11">
        <f>COUNTIFS('jami 1-20 kunlik arizalar'!C:C,A:A,'jami 1-20 kunlik arizalar'!S:S,"3")</f>
        <v>4</v>
      </c>
      <c r="DG69" s="11">
        <f>COUNTIFS('jami 1-20 kunlik arizalar'!C:C,A:A,'jami 1-20 kunlik arizalar'!S:S,"4")</f>
        <v>1</v>
      </c>
      <c r="DH69" s="11">
        <f>COUNTIFS('jami 1-20 kunlik arizalar'!C:C,A:A,'jami 1-20 kunlik arizalar'!S:S,"5")</f>
        <v>5</v>
      </c>
      <c r="DI69" s="11">
        <f>SUM(COUNTIFS('jami 1-20 kunlik arizalar'!C:C,A:A, 'jami 1-20 kunlik arizalar'!S:S, {6,7,8,9,10}))</f>
        <v>12</v>
      </c>
      <c r="DJ69" s="12">
        <f>SUM(COUNTIFS('jami 1-20 kunlik arizalar'!C:C,A:A, 'jami 1-20 kunlik arizalar'!S:S, "&gt;10"))</f>
        <v>11</v>
      </c>
    </row>
    <row r="70" spans="1:114" ht="33" hidden="1" customHeight="1" outlineLevel="1" x14ac:dyDescent="0.25">
      <c r="A70" s="92" t="s">
        <v>616</v>
      </c>
      <c r="B70" s="106" t="s">
        <v>959</v>
      </c>
      <c r="C70" s="85" t="s">
        <v>794</v>
      </c>
      <c r="D70" s="80">
        <f>+COUNTIFS('muddati otgan'!C:C,A70,'muddati otgan'!C:C,A70)</f>
        <v>2</v>
      </c>
      <c r="E70" s="10">
        <f>SUMIFS('muddati otgan'!$V:V,'muddati otgan'!$C:C,$A:A)</f>
        <v>0</v>
      </c>
      <c r="F70" s="10">
        <f>SUMIFS('muddati otgan'!$W:W,'muddati otgan'!$C:C,$A:A)</f>
        <v>1</v>
      </c>
      <c r="G70" s="24">
        <f>SUMIFS('muddati otgan'!$U:U,'muddati otgan'!$C:C,$A:A)</f>
        <v>1</v>
      </c>
      <c r="H70" s="11">
        <f>SUMIFS('muddati otgan'!$G:G,'muddati otgan'!$C:C,$A:A)</f>
        <v>1</v>
      </c>
      <c r="I70" s="12">
        <f>SUMIFS('muddati otgan'!$H:H,'muddati otgan'!$C:C,$A:A)</f>
        <v>1</v>
      </c>
      <c r="J70" s="44">
        <f t="shared" si="58"/>
        <v>0</v>
      </c>
      <c r="K70" s="11">
        <f>+COUNTIFS('muddati otgan'!C:C,A70,'muddati otgan'!AA:AA,"Arizani qabul qilish")</f>
        <v>0</v>
      </c>
      <c r="L70" s="11">
        <f>+COUNTIFS('muddati otgan'!C:C,A70,'muddati otgan'!J:J,"Arizani rad etish")</f>
        <v>0</v>
      </c>
      <c r="M70" s="11">
        <f>+COUNTIFS('muddati otgan'!C:C,A70,'muddati otgan'!J:J,"Arizani tasdiqlash")</f>
        <v>0</v>
      </c>
      <c r="N70" s="11">
        <f>+COUNTIFS('muddati otgan'!C:C,A70,'muddati otgan'!J:J,"Arizani yo'naltirish")</f>
        <v>0</v>
      </c>
      <c r="O70" s="11">
        <f>+COUNTIFS('muddati otgan'!C:C,A70,'muddati otgan'!J:J,"Rad qilish sababini o'rganish")</f>
        <v>0</v>
      </c>
      <c r="P70" s="11">
        <f>+COUNTIFS('muddati otgan'!C:C,A70,'muddati otgan'!J:J,"Ko'chmas mulkni UZKAD ga migratsiya qilish")</f>
        <v>0</v>
      </c>
      <c r="Q70" s="11">
        <f>+COUNTIFS('muddati otgan'!C:C,A70,'muddati otgan'!J:J,"Migratisya qilingan obyekt holatini tekshirish")</f>
        <v>0</v>
      </c>
      <c r="R70" s="11">
        <f>+COUNTIFS('muddati otgan'!C:C,A70,'muddati otgan'!J:J,"Ko‘chmas mulkni tanlash")</f>
        <v>0</v>
      </c>
      <c r="S70" s="11">
        <f>+COUNTIFS('muddati otgan'!C:C,A70,'muddati otgan'!J:J,"Arizani ko'rib chiqish")</f>
        <v>0</v>
      </c>
      <c r="T70" s="11">
        <f>+COUNTIFS('muddati otgan'!C:C,A70,'muddati otgan'!J:J,"Kadastr muhandisini tanlash")</f>
        <v>0</v>
      </c>
      <c r="U70" s="11">
        <f>+COUNTIFS('muddati otgan'!C:C,A70,'muddati otgan'!J:J,"Ko'chmas mulk turini tanlahsh")</f>
        <v>0</v>
      </c>
      <c r="V70" s="11">
        <f>+COUNTIFS('muddati otgan'!C:C,A70,'muddati otgan'!AA:AA,"Rad qilish")</f>
        <v>0</v>
      </c>
      <c r="W70" s="11">
        <f>+COUNTIFS('muddati otgan'!C:C,A70,'muddati otgan'!J:J,"ijrochi tanlash")</f>
        <v>0</v>
      </c>
      <c r="X70" s="11">
        <f>+COUNTIFS('muddati otgan'!C:C,A70,'muddati otgan'!J:J,"Ko'chmas mulk turini tanlash")</f>
        <v>0</v>
      </c>
      <c r="Y70" s="11">
        <f t="shared" si="59"/>
        <v>0</v>
      </c>
      <c r="Z70" s="11">
        <f>+COUNTIFS('muddati otgan'!C:C,A70,'muddati otgan'!J:J,"Ijroga qabul qilish")</f>
        <v>0</v>
      </c>
      <c r="AA70" s="11">
        <f>+COUNTIFS('muddati otgan'!C:C,A70,'muddati otgan'!J:J,"Joyida o'rganish va ma'lumotlarni kiritish")</f>
        <v>0</v>
      </c>
      <c r="AB70" s="11">
        <f>+COUNTIFS('muddati otgan'!C:C,A70,'muddati otgan'!J:J,"Asosiy qismdan ajratish jarayonida")</f>
        <v>0</v>
      </c>
      <c r="AC70" s="11">
        <f>+COUNTIFS('muddati otgan'!C:C,A70,'muddati otgan'!J:J,"Umumiy foydalanishdagi obyekt yaratilish")</f>
        <v>0</v>
      </c>
      <c r="AD70" s="11">
        <f>+COUNTIFS('muddati otgan'!C:C,A70,'muddati otgan'!J:J,"Migratsiya qilinadigan kadastr raqamini kiritish")</f>
        <v>0</v>
      </c>
      <c r="AE70" s="11">
        <f>+COUNTIFS('muddati otgan'!C:C,A70,'muddati otgan'!J:J,"O'zida qolgan obyektni yaratish")</f>
        <v>0</v>
      </c>
      <c r="AF70" s="11">
        <f>+COUNTIFS('muddati otgan'!C:C,A70,'muddati otgan'!J:J,"O'lchov natijalarini kiritish")</f>
        <v>0</v>
      </c>
      <c r="AG70" s="11">
        <f>+COUNTIFS('muddati otgan'!C:C,A70,'muddati otgan'!J:J,"Topoxaritani tayyorlash (dwg, pdf)")</f>
        <v>0</v>
      </c>
      <c r="AH70" s="11">
        <f t="shared" si="60"/>
        <v>0</v>
      </c>
      <c r="AI70" s="11">
        <f>+COUNTIFS('muddati otgan'!C:C,A70,'muddati otgan'!J:J,"Yer uchastkasini yaratish")</f>
        <v>0</v>
      </c>
      <c r="AJ70" s="11">
        <f t="shared" si="61"/>
        <v>0</v>
      </c>
      <c r="AK70" s="11">
        <f>+COUNTIFS('muddati otgan'!C:C,A70,'muddati otgan'!J:J,"Kelishish (Boshqarma)")</f>
        <v>0</v>
      </c>
      <c r="AL70" s="11">
        <f t="shared" si="62"/>
        <v>0</v>
      </c>
      <c r="AM70" s="11">
        <f>+COUNTIFS('muddati otgan'!C:C,A70,'muddati otgan'!J:J,"Kelishish (DKP)")</f>
        <v>0</v>
      </c>
      <c r="AN70" s="11">
        <f>+COUNTIFS('muddati otgan'!C:C,A70,'muddati otgan'!J:J,"Kelishish")</f>
        <v>0</v>
      </c>
      <c r="AO70" s="11">
        <f>+COUNTIFS('muddati otgan'!C:C,A70,'muddati otgan'!J:J,"Kelishish (Registratsiya DKP)")</f>
        <v>0</v>
      </c>
      <c r="AP70" s="11">
        <f t="shared" si="63"/>
        <v>0</v>
      </c>
      <c r="AQ70" s="11">
        <f>+COUNTIFS('muddati otgan'!C:C,A70,'muddati otgan'!J:J,"Manzil biriktirish")</f>
        <v>0</v>
      </c>
      <c r="AR70" s="11">
        <f>+COUNTIFS('muddati otgan'!C:C,A70,'muddati otgan'!J:J,"Bino va inshootlarni yaratish")</f>
        <v>0</v>
      </c>
      <c r="AS70" s="11">
        <f>+COUNTIFS('muddati otgan'!C:C,A70,'muddati otgan'!J:J,"Dov daraxtlarni yaratish")</f>
        <v>0</v>
      </c>
      <c r="AT70" s="11">
        <f>+COUNTIFS('muddati otgan'!C:C,A70,'muddati otgan'!J:J,"Yer uchastkasini tahrirlash")</f>
        <v>0</v>
      </c>
      <c r="AU70" s="11">
        <f t="shared" si="64"/>
        <v>0</v>
      </c>
      <c r="AV70" s="11">
        <f>+COUNTIFS('muddati otgan'!C:C,A70,'muddati otgan'!J:J,"Yer toifasi va maqsadini kiritish")</f>
        <v>0</v>
      </c>
      <c r="AW70" s="11">
        <f>+COUNTIFS('muddati otgan'!C:C,A70,'muddati otgan'!J:J,"Auksion yer tekshirish")</f>
        <v>0</v>
      </c>
      <c r="AX70" s="11">
        <f>+COUNTIFS('muddati otgan'!C:C,A70,'muddati otgan'!J:J,"Yer turlarini kiritish")</f>
        <v>0</v>
      </c>
      <c r="AY70" s="11">
        <f>+COUNTIFS('muddati otgan'!C:C,A70,'muddati otgan'!J:J,"Ma'lumotlarni kiritish")</f>
        <v>0</v>
      </c>
      <c r="AZ70" s="11">
        <f>+COUNTIFS('muddati otgan'!C:C,A70,'muddati otgan'!J:J,"Yer tekshirish")</f>
        <v>0</v>
      </c>
      <c r="BA70" s="11">
        <f t="shared" si="65"/>
        <v>0</v>
      </c>
      <c r="BB70" s="11">
        <f>+COUNTIFS('muddati otgan'!C:C,A70,'muddati otgan'!J:J,"Bino va inshoot ma'lumotlarini to‘ldirish")</f>
        <v>0</v>
      </c>
      <c r="BC70" s="11">
        <f>+COUNTIFS('muddati otgan'!C:C,A70,'muddati otgan'!J:J,"Inventarizatsiya ma'lumotlarini to‘ldirish")</f>
        <v>0</v>
      </c>
      <c r="BD70" s="11">
        <f>+COUNTIFS('muddati otgan'!C:C,A70,'muddati otgan'!J:J,"Yer uchastkasiga huquqiy hujjatlarni kiritsh")</f>
        <v>0</v>
      </c>
      <c r="BE70" s="11">
        <f>+COUNTIFS('muddati otgan'!C:C,A70,'muddati otgan'!J:J,"Bino-inshootlarga huquqiy hujjatlarni kiritsh")</f>
        <v>0</v>
      </c>
      <c r="BF70" s="11">
        <f>+COUNTIFS('muddati otgan'!C:C,A70,'muddati otgan'!J:J,"Kadastr qiymatini hisoblash va kiritish")</f>
        <v>0</v>
      </c>
      <c r="BG70" s="11">
        <f>+COUNTIFS('muddati otgan'!C:C,A70,'muddati otgan'!J:J,"Kadastr raqam biriktirish")</f>
        <v>0</v>
      </c>
      <c r="BH70" s="11">
        <f>+COUNTIFS('muddati otgan'!C:C,A70,'muddati otgan'!J:J,"Kadastr yig'ma jildni tayyorlash")</f>
        <v>0</v>
      </c>
      <c r="BI70" s="11">
        <f>+COUNTIFS('muddati otgan'!C:C,A70,'muddati otgan'!J:J,"Huquqni yaratish")</f>
        <v>0</v>
      </c>
      <c r="BJ70" s="11">
        <f>+COUNTIFS('muddati otgan'!C:C,A70,'muddati otgan'!J:J,"Hujjatlarni o'rganish")</f>
        <v>0</v>
      </c>
      <c r="BK70" s="11">
        <f>+COUNTIFS('muddati otgan'!C:C,A70,'muddati otgan'!J:J,"Ma'lumotlarni tekshirish")</f>
        <v>0</v>
      </c>
      <c r="BL70" s="11">
        <f t="shared" si="66"/>
        <v>0</v>
      </c>
      <c r="BM70" s="11">
        <f>+COUNTIFS('muddati otgan'!C:C,A70,'muddati otgan'!J:J,"Tekshirish")</f>
        <v>0</v>
      </c>
      <c r="BN70" s="11">
        <f>+COUNTIFS('muddati otgan'!C:C,A70,'muddati otgan'!J:J,"Hujjatlarni tekshirish")</f>
        <v>0</v>
      </c>
      <c r="BO70" s="11">
        <f>+COUNTIFS('muddati otgan'!C:C,A70,'muddati otgan'!J:J,"Tasdiqlash")</f>
        <v>0</v>
      </c>
      <c r="BP70" s="11">
        <f>+COUNTIFS('muddati otgan'!C:C,A70,'muddati otgan'!J:J,"tekshirish/tasdiqlash")</f>
        <v>0</v>
      </c>
      <c r="BQ70" s="11">
        <f>+COUNTIFS('muddati otgan'!C:C,A70,'muddati otgan'!J:J,"Ma'lumotlarni tasdiqlash")</f>
        <v>0</v>
      </c>
      <c r="BR70" s="11">
        <f t="shared" si="32"/>
        <v>1</v>
      </c>
      <c r="BS70" s="11">
        <f>+COUNTIFS('muddati otgan'!C:C,A70,'muddati otgan'!J:J,"Ro'yxatdan o'tkazish ma'lumotlarini tekshirish")</f>
        <v>1</v>
      </c>
      <c r="BT70" s="11">
        <f>+COUNTIFS('muddati otgan'!C:C,A70,'muddati otgan'!J:J,"Kamchiliklar bo'yicha habarnoma yuborish va 3 kunga to'xtatish")</f>
        <v>0</v>
      </c>
      <c r="BU70" s="11">
        <f>+COUNTIFS('muddati otgan'!C:C,A70,'muddati otgan'!J:J,"Hisobga olish")</f>
        <v>0</v>
      </c>
      <c r="BV70" s="11">
        <f>+COUNTIFS('muddati otgan'!C:C,A70,'muddati otgan'!J:J,"Yer uchastkasiga huquq yaratish")</f>
        <v>0</v>
      </c>
      <c r="BW70" s="11">
        <f>+COUNTIFS('muddati otgan'!C:C,A70,'muddati otgan'!J:J,"Bino-inshootga huquq yaratish")</f>
        <v>0</v>
      </c>
      <c r="BX70" s="11">
        <f>+COUNTIFS('muddati otgan'!C:C,A70,'muddati otgan'!J:J,"Cheklov yaratish")</f>
        <v>0</v>
      </c>
      <c r="BY70" s="11">
        <f>+COUNTIFS('muddati otgan'!C:C,A70,'muddati otgan'!J:J,"Taqiq yaratish")</f>
        <v>0</v>
      </c>
      <c r="BZ70" s="11">
        <f t="shared" si="33"/>
        <v>0</v>
      </c>
      <c r="CA70" s="11">
        <f>+COUNTIFS('muddati otgan'!C:C,A70,'muddati otgan'!J:J,"Soliq maydonini tekshirish")</f>
        <v>0</v>
      </c>
      <c r="CB70" s="11">
        <f t="shared" si="34"/>
        <v>0</v>
      </c>
      <c r="CC70" s="11">
        <f>+COUNTIFS('muddati otgan'!C:C,A70,'muddati otgan'!J:J,"Kadastr yig'majildini shakllantirish")</f>
        <v>0</v>
      </c>
      <c r="CD70" s="11">
        <f t="shared" si="35"/>
        <v>0</v>
      </c>
      <c r="CE70" s="11">
        <f>+COUNTIFS('muddati otgan'!C:C,A70,'muddati otgan'!J:J,"Kadastr passportini shakllantirish")</f>
        <v>0</v>
      </c>
      <c r="CF70" s="11">
        <f>+COUNTIFS('muddati otgan'!C:C,A70,'muddati otgan'!J:J,"Yig'ma jildni tasdiqlash")</f>
        <v>0</v>
      </c>
      <c r="CG70" s="11">
        <f>+COUNTIFS('muddati otgan'!C:C,A70,'muddati otgan'!J:J,"To'lov yoki bepul tasdiqlash")</f>
        <v>0</v>
      </c>
      <c r="CH70" s="11">
        <f>+COUNTIFS('muddati otgan'!C:C,A70,'muddati otgan'!J:J,"Bog'liq arizani kutish")</f>
        <v>0</v>
      </c>
      <c r="CI70" s="11">
        <f>+COUNTIFS('muddati otgan'!C:C,A70,'muddati otgan'!J:J,"To'lovga chiqarish")</f>
        <v>0</v>
      </c>
      <c r="CJ70" s="11">
        <f>+COUNTIFS('muddati otgan'!C:C,A70,'muddati otgan'!J:J,"Hisobga qo'yish")</f>
        <v>0</v>
      </c>
      <c r="CK70" s="6">
        <f>+COUNTIFS('muddati otgan'!C:C,A70,'muddati otgan'!J:J,"To'lov kutilmoqda")</f>
        <v>1</v>
      </c>
      <c r="CL70" s="11">
        <f t="shared" si="36"/>
        <v>0</v>
      </c>
      <c r="CM70" s="11">
        <f>+COUNTIFS('muddati otgan'!C:C,A70,'muddati otgan'!AA:AA,"Arizani qabul qilish2")</f>
        <v>0</v>
      </c>
      <c r="CN70" s="11">
        <f>+COUNTIFS('muddati otgan'!C:C,A70,'muddati otgan'!J:J,"Huquqlarni tekshirish")</f>
        <v>0</v>
      </c>
      <c r="CO70" s="11">
        <f>+COUNTIFS('muddati otgan'!C:C,A70,'muddati otgan'!J:J,"Ko'chmas mulkni ro'yhatdan o'tkazishga qabul qilish")</f>
        <v>0</v>
      </c>
      <c r="CP70" s="11">
        <f>+COUNTIFS('muddati otgan'!C:C,A70,'muddati otgan'!J:J,"Ro'yxatdan o'tkazish")</f>
        <v>0</v>
      </c>
      <c r="CQ70" s="11">
        <f>+COUNTIFS('muddati otgan'!C:C,A70,'muddati otgan'!J:J,"Kadastr pasporti va ko'chirmani yuborish")</f>
        <v>0</v>
      </c>
      <c r="CR70" s="11">
        <f>+COUNTIFS('muddati otgan'!C:C,A70,'muddati otgan'!AA:AA,"Rad qilish2")</f>
        <v>0</v>
      </c>
      <c r="CS70" s="11">
        <f>+COUNTIFS('muddati otgan'!C:C,A70,'muddati otgan'!J:J,"Ko'chirmani yuborish")</f>
        <v>0</v>
      </c>
      <c r="CT70" s="11">
        <f>+COUNTIFS('muddati otgan'!C:C,A70,'muddati otgan'!J:J,"Ma‘lumotlarni tekshirish")</f>
        <v>0</v>
      </c>
      <c r="CU70" s="11">
        <f t="shared" si="37"/>
        <v>0</v>
      </c>
      <c r="CV70" s="11">
        <f>+COUNTIFS('muddati otgan'!C:C,A70,'muddati otgan'!J:J,"Kadastr yig'majildini chop etish va arxiv ishiga tikish")</f>
        <v>0</v>
      </c>
      <c r="CW70" s="11">
        <f t="shared" si="38"/>
        <v>0</v>
      </c>
      <c r="CX70" s="11">
        <f>+COUNTIFS('muddati otgan'!C:C,A70,'muddati otgan'!J:J,"Kadastr yig‘majildini qabul qilish, arizani yakunlash")</f>
        <v>0</v>
      </c>
      <c r="CY70" s="11">
        <f>+COUNTIFS('muddati otgan'!C:C,A70,'muddati otgan'!J:J,"Next Cloudga yuklash")</f>
        <v>0</v>
      </c>
      <c r="CZ70" s="6">
        <f>+COUNTIFS('muddati otgan'!C:C,A70,'muddati otgan'!J:J,"Kelishish kutilmoqda")</f>
        <v>0</v>
      </c>
      <c r="DA70" s="6">
        <f>+COUNTIFS('muddati otgan'!C:C,A70,'muddati otgan'!J:J,"Yakunlandi")</f>
        <v>0</v>
      </c>
      <c r="DB70" s="10">
        <f>+COUNTIFS('muddati otgan'!C:C,A70,'muddati otgan'!J:J,"Rad etildi")</f>
        <v>0</v>
      </c>
      <c r="DC70" s="100">
        <f t="shared" si="5"/>
        <v>-1</v>
      </c>
      <c r="DD70" s="44">
        <f>COUNTIFS('jami 1-20 kunlik arizalar'!C:C,A:A,'jami 1-20 kunlik arizalar'!S:S,"1")</f>
        <v>0</v>
      </c>
      <c r="DE70" s="11">
        <f>COUNTIFS('jami 1-20 kunlik arizalar'!C:C,A:A,'jami 1-20 kunlik arizalar'!S:S,"2")</f>
        <v>0</v>
      </c>
      <c r="DF70" s="11">
        <f>COUNTIFS('jami 1-20 kunlik arizalar'!C:C,A:A,'jami 1-20 kunlik arizalar'!S:S,"3")</f>
        <v>2</v>
      </c>
      <c r="DG70" s="11">
        <f>COUNTIFS('jami 1-20 kunlik arizalar'!C:C,A:A,'jami 1-20 kunlik arizalar'!S:S,"4")</f>
        <v>2</v>
      </c>
      <c r="DH70" s="11">
        <f>COUNTIFS('jami 1-20 kunlik arizalar'!C:C,A:A,'jami 1-20 kunlik arizalar'!S:S,"5")</f>
        <v>1</v>
      </c>
      <c r="DI70" s="11">
        <f>SUM(COUNTIFS('jami 1-20 kunlik arizalar'!C:C,A:A, 'jami 1-20 kunlik arizalar'!S:S, {6,7,8,9,10}))</f>
        <v>4</v>
      </c>
      <c r="DJ70" s="12">
        <f>SUM(COUNTIFS('jami 1-20 kunlik arizalar'!C:C,A:A, 'jami 1-20 kunlik arizalar'!S:S, "&gt;10"))</f>
        <v>9</v>
      </c>
    </row>
    <row r="71" spans="1:114" ht="33" hidden="1" customHeight="1" outlineLevel="1" x14ac:dyDescent="0.25">
      <c r="A71" s="98">
        <v>50510025960139</v>
      </c>
      <c r="B71" s="106" t="s">
        <v>959</v>
      </c>
      <c r="C71" s="85" t="s">
        <v>966</v>
      </c>
      <c r="D71" s="80">
        <f>+COUNTIFS('muddati otgan'!C:C,A71,'muddati otgan'!C:C,A71)</f>
        <v>4</v>
      </c>
      <c r="E71" s="10">
        <f>SUMIFS('muddati otgan'!$V:V,'muddati otgan'!$C:C,$A:A)</f>
        <v>1</v>
      </c>
      <c r="F71" s="10">
        <f>SUMIFS('muddati otgan'!$W:W,'muddati otgan'!$C:C,$A:A)</f>
        <v>0</v>
      </c>
      <c r="G71" s="24">
        <f>SUMIFS('muddati otgan'!$U:U,'muddati otgan'!$C:C,$A:A)</f>
        <v>3</v>
      </c>
      <c r="H71" s="11">
        <f>SUMIFS('muddati otgan'!$G:G,'muddati otgan'!$C:C,$A:A)</f>
        <v>4</v>
      </c>
      <c r="I71" s="12">
        <f>SUMIFS('muddati otgan'!$H:H,'muddati otgan'!$C:C,$A:A)</f>
        <v>0</v>
      </c>
      <c r="J71" s="44">
        <f t="shared" ref="J71" si="118">K71+P71+Q71+R71+S71+T71+U71+V71+W71+L71+O71+M71+N71+X71</f>
        <v>0</v>
      </c>
      <c r="K71" s="11">
        <f>+COUNTIFS('muddati otgan'!C:C,A71,'muddati otgan'!AA:AA,"Arizani qabul qilish")</f>
        <v>0</v>
      </c>
      <c r="L71" s="11">
        <f>+COUNTIFS('muddati otgan'!C:C,A71,'muddati otgan'!J:J,"Arizani rad etish")</f>
        <v>0</v>
      </c>
      <c r="M71" s="11">
        <f>+COUNTIFS('muddati otgan'!C:C,A71,'muddati otgan'!J:J,"Arizani tasdiqlash")</f>
        <v>0</v>
      </c>
      <c r="N71" s="11">
        <f>+COUNTIFS('muddati otgan'!C:C,A71,'muddati otgan'!J:J,"Arizani yo'naltirish")</f>
        <v>0</v>
      </c>
      <c r="O71" s="11">
        <f>+COUNTIFS('muddati otgan'!C:C,A71,'muddati otgan'!J:J,"Rad qilish sababini o'rganish")</f>
        <v>0</v>
      </c>
      <c r="P71" s="11">
        <f>+COUNTIFS('muddati otgan'!C:C,A71,'muddati otgan'!J:J,"Ko'chmas mulkni UZKAD ga migratsiya qilish")</f>
        <v>0</v>
      </c>
      <c r="Q71" s="11">
        <f>+COUNTIFS('muddati otgan'!C:C,A71,'muddati otgan'!J:J,"Migratisya qilingan obyekt holatini tekshirish")</f>
        <v>0</v>
      </c>
      <c r="R71" s="11">
        <f>+COUNTIFS('muddati otgan'!C:C,A71,'muddati otgan'!J:J,"Ko‘chmas mulkni tanlash")</f>
        <v>0</v>
      </c>
      <c r="S71" s="11">
        <f>+COUNTIFS('muddati otgan'!C:C,A71,'muddati otgan'!J:J,"Arizani ko'rib chiqish")</f>
        <v>0</v>
      </c>
      <c r="T71" s="11">
        <f>+COUNTIFS('muddati otgan'!C:C,A71,'muddati otgan'!J:J,"Kadastr muhandisini tanlash")</f>
        <v>0</v>
      </c>
      <c r="U71" s="11">
        <f>+COUNTIFS('muddati otgan'!C:C,A71,'muddati otgan'!J:J,"Ko'chmas mulk turini tanlahsh")</f>
        <v>0</v>
      </c>
      <c r="V71" s="11">
        <f>+COUNTIFS('muddati otgan'!C:C,A71,'muddati otgan'!AA:AA,"Rad qilish")</f>
        <v>0</v>
      </c>
      <c r="W71" s="11">
        <f>+COUNTIFS('muddati otgan'!C:C,A71,'muddati otgan'!J:J,"ijrochi tanlash")</f>
        <v>0</v>
      </c>
      <c r="X71" s="11">
        <f>+COUNTIFS('muddati otgan'!C:C,A71,'muddati otgan'!J:J,"Ko'chmas mulk turini tanlash")</f>
        <v>0</v>
      </c>
      <c r="Y71" s="11">
        <f t="shared" ref="Y71" si="119">Z71+AD71+AF71+AE71+AC71+AB71+AA71</f>
        <v>1</v>
      </c>
      <c r="Z71" s="11">
        <f>+COUNTIFS('muddati otgan'!C:C,A71,'muddati otgan'!J:J,"Ijroga qabul qilish")</f>
        <v>0</v>
      </c>
      <c r="AA71" s="11">
        <f>+COUNTIFS('muddati otgan'!C:C,A71,'muddati otgan'!J:J,"Joyida o'rganish va ma'lumotlarni kiritish")</f>
        <v>0</v>
      </c>
      <c r="AB71" s="11">
        <f>+COUNTIFS('muddati otgan'!C:C,A71,'muddati otgan'!J:J,"Asosiy qismdan ajratish jarayonida")</f>
        <v>1</v>
      </c>
      <c r="AC71" s="11">
        <f>+COUNTIFS('muddati otgan'!C:C,A71,'muddati otgan'!J:J,"Umumiy foydalanishdagi obyekt yaratilish")</f>
        <v>0</v>
      </c>
      <c r="AD71" s="11">
        <f>+COUNTIFS('muddati otgan'!C:C,A71,'muddati otgan'!J:J,"Migratsiya qilinadigan kadastr raqamini kiritish")</f>
        <v>0</v>
      </c>
      <c r="AE71" s="11">
        <f>+COUNTIFS('muddati otgan'!C:C,A71,'muddati otgan'!J:J,"O'zida qolgan obyektni yaratish")</f>
        <v>0</v>
      </c>
      <c r="AF71" s="11">
        <f>+COUNTIFS('muddati otgan'!C:C,A71,'muddati otgan'!J:J,"O'lchov natijalarini kiritish")</f>
        <v>0</v>
      </c>
      <c r="AG71" s="11">
        <f>+COUNTIFS('muddati otgan'!C:C,A71,'muddati otgan'!J:J,"Topoxaritani tayyorlash (dwg, pdf)")</f>
        <v>0</v>
      </c>
      <c r="AH71" s="11">
        <f t="shared" ref="AH71" si="120">AI71</f>
        <v>0</v>
      </c>
      <c r="AI71" s="11">
        <f>+COUNTIFS('muddati otgan'!C:C,A71,'muddati otgan'!J:J,"Yer uchastkasini yaratish")</f>
        <v>0</v>
      </c>
      <c r="AJ71" s="11">
        <f t="shared" ref="AJ71" si="121">AK71</f>
        <v>0</v>
      </c>
      <c r="AK71" s="11">
        <f>+COUNTIFS('muddati otgan'!C:C,A71,'muddati otgan'!J:J,"Kelishish (Boshqarma)")</f>
        <v>0</v>
      </c>
      <c r="AL71" s="11">
        <f t="shared" ref="AL71" si="122">AM71+AN71+AO71</f>
        <v>0</v>
      </c>
      <c r="AM71" s="11">
        <f>+COUNTIFS('muddati otgan'!C:C,A71,'muddati otgan'!J:J,"Kelishish (DKP)")</f>
        <v>0</v>
      </c>
      <c r="AN71" s="11">
        <f>+COUNTIFS('muddati otgan'!C:C,A71,'muddati otgan'!J:J,"Kelishish")</f>
        <v>0</v>
      </c>
      <c r="AO71" s="11">
        <f>+COUNTIFS('muddati otgan'!C:C,A71,'muddati otgan'!J:J,"Kelishish (Registratsiya DKP)")</f>
        <v>0</v>
      </c>
      <c r="AP71" s="11">
        <f t="shared" ref="AP71" si="123">AQ71+AR71+AS71+AT71</f>
        <v>0</v>
      </c>
      <c r="AQ71" s="11">
        <f>+COUNTIFS('muddati otgan'!C:C,A71,'muddati otgan'!J:J,"Manzil biriktirish")</f>
        <v>0</v>
      </c>
      <c r="AR71" s="11">
        <f>+COUNTIFS('muddati otgan'!C:C,A71,'muddati otgan'!J:J,"Bino va inshootlarni yaratish")</f>
        <v>0</v>
      </c>
      <c r="AS71" s="11">
        <f>+COUNTIFS('muddati otgan'!C:C,A71,'muddati otgan'!J:J,"Dov daraxtlarni yaratish")</f>
        <v>0</v>
      </c>
      <c r="AT71" s="11">
        <f>+COUNTIFS('muddati otgan'!C:C,A71,'muddati otgan'!J:J,"Yer uchastkasini tahrirlash")</f>
        <v>0</v>
      </c>
      <c r="AU71" s="11">
        <f t="shared" ref="AU71" si="124">AV71+AW71+AX71+AY71+AZ71</f>
        <v>0</v>
      </c>
      <c r="AV71" s="11">
        <f>+COUNTIFS('muddati otgan'!C:C,A71,'muddati otgan'!J:J,"Yer toifasi va maqsadini kiritish")</f>
        <v>0</v>
      </c>
      <c r="AW71" s="11">
        <f>+COUNTIFS('muddati otgan'!C:C,A71,'muddati otgan'!J:J,"Auksion yer tekshirish")</f>
        <v>0</v>
      </c>
      <c r="AX71" s="11">
        <f>+COUNTIFS('muddati otgan'!C:C,A71,'muddati otgan'!J:J,"Yer turlarini kiritish")</f>
        <v>0</v>
      </c>
      <c r="AY71" s="11">
        <f>+COUNTIFS('muddati otgan'!C:C,A71,'muddati otgan'!J:J,"Ma'lumotlarni kiritish")</f>
        <v>0</v>
      </c>
      <c r="AZ71" s="11">
        <f>+COUNTIFS('muddati otgan'!C:C,A71,'muddati otgan'!J:J,"Yer tekshirish")</f>
        <v>0</v>
      </c>
      <c r="BA71" s="11">
        <f t="shared" ref="BA71" si="125">BB71+BC71+BD71+BE71+BF71+BG71+BH71+BI71+BJ71+BK71</f>
        <v>0</v>
      </c>
      <c r="BB71" s="11">
        <f>+COUNTIFS('muddati otgan'!C:C,A71,'muddati otgan'!J:J,"Bino va inshoot ma'lumotlarini to‘ldirish")</f>
        <v>0</v>
      </c>
      <c r="BC71" s="11">
        <f>+COUNTIFS('muddati otgan'!C:C,A71,'muddati otgan'!J:J,"Inventarizatsiya ma'lumotlarini to‘ldirish")</f>
        <v>0</v>
      </c>
      <c r="BD71" s="11">
        <f>+COUNTIFS('muddati otgan'!C:C,A71,'muddati otgan'!J:J,"Yer uchastkasiga huquqiy hujjatlarni kiritsh")</f>
        <v>0</v>
      </c>
      <c r="BE71" s="11">
        <f>+COUNTIFS('muddati otgan'!C:C,A71,'muddati otgan'!J:J,"Bino-inshootlarga huquqiy hujjatlarni kiritsh")</f>
        <v>0</v>
      </c>
      <c r="BF71" s="11">
        <f>+COUNTIFS('muddati otgan'!C:C,A71,'muddati otgan'!J:J,"Kadastr qiymatini hisoblash va kiritish")</f>
        <v>0</v>
      </c>
      <c r="BG71" s="11">
        <f>+COUNTIFS('muddati otgan'!C:C,A71,'muddati otgan'!J:J,"Kadastr raqam biriktirish")</f>
        <v>0</v>
      </c>
      <c r="BH71" s="11">
        <f>+COUNTIFS('muddati otgan'!C:C,A71,'muddati otgan'!J:J,"Kadastr yig'ma jildni tayyorlash")</f>
        <v>0</v>
      </c>
      <c r="BI71" s="11">
        <f>+COUNTIFS('muddati otgan'!C:C,A71,'muddati otgan'!J:J,"Huquqni yaratish")</f>
        <v>0</v>
      </c>
      <c r="BJ71" s="11">
        <f>+COUNTIFS('muddati otgan'!C:C,A71,'muddati otgan'!J:J,"Hujjatlarni o'rganish")</f>
        <v>0</v>
      </c>
      <c r="BK71" s="11">
        <f>+COUNTIFS('muddati otgan'!C:C,A71,'muddati otgan'!J:J,"Ma'lumotlarni tekshirish")</f>
        <v>0</v>
      </c>
      <c r="BL71" s="11">
        <f t="shared" ref="BL71" si="126">BM71+BN71+BP71+BO71+BQ71</f>
        <v>0</v>
      </c>
      <c r="BM71" s="11">
        <f>+COUNTIFS('muddati otgan'!C:C,A71,'muddati otgan'!J:J,"Tekshirish")</f>
        <v>0</v>
      </c>
      <c r="BN71" s="11">
        <f>+COUNTIFS('muddati otgan'!C:C,A71,'muddati otgan'!J:J,"Hujjatlarni tekshirish")</f>
        <v>0</v>
      </c>
      <c r="BO71" s="11">
        <f>+COUNTIFS('muddati otgan'!C:C,A71,'muddati otgan'!J:J,"Tasdiqlash")</f>
        <v>0</v>
      </c>
      <c r="BP71" s="11">
        <f>+COUNTIFS('muddati otgan'!C:C,A71,'muddati otgan'!J:J,"tekshirish/tasdiqlash")</f>
        <v>0</v>
      </c>
      <c r="BQ71" s="11">
        <f>+COUNTIFS('muddati otgan'!C:C,A71,'muddati otgan'!J:J,"Ma'lumotlarni tasdiqlash")</f>
        <v>0</v>
      </c>
      <c r="BR71" s="11">
        <f t="shared" ref="BR71" si="127">BS71+BU71+BV71+BW71+BX71+BY71-BT71</f>
        <v>1</v>
      </c>
      <c r="BS71" s="11">
        <f>+COUNTIFS('muddati otgan'!C:C,A71,'muddati otgan'!J:J,"Ro'yxatdan o'tkazish ma'lumotlarini tekshirish")</f>
        <v>1</v>
      </c>
      <c r="BT71" s="11">
        <f>+COUNTIFS('muddati otgan'!C:C,A71,'muddati otgan'!J:J,"Kamchiliklar bo'yicha habarnoma yuborish va 3 kunga to'xtatish")</f>
        <v>0</v>
      </c>
      <c r="BU71" s="11">
        <f>+COUNTIFS('muddati otgan'!C:C,A71,'muddati otgan'!J:J,"Hisobga olish")</f>
        <v>0</v>
      </c>
      <c r="BV71" s="11">
        <f>+COUNTIFS('muddati otgan'!C:C,A71,'muddati otgan'!J:J,"Yer uchastkasiga huquq yaratish")</f>
        <v>0</v>
      </c>
      <c r="BW71" s="11">
        <f>+COUNTIFS('muddati otgan'!C:C,A71,'muddati otgan'!J:J,"Bino-inshootga huquq yaratish")</f>
        <v>0</v>
      </c>
      <c r="BX71" s="11">
        <f>+COUNTIFS('muddati otgan'!C:C,A71,'muddati otgan'!J:J,"Cheklov yaratish")</f>
        <v>0</v>
      </c>
      <c r="BY71" s="11">
        <f>+COUNTIFS('muddati otgan'!C:C,A71,'muddati otgan'!J:J,"Taqiq yaratish")</f>
        <v>0</v>
      </c>
      <c r="BZ71" s="11">
        <f t="shared" ref="BZ71" si="128">CA71</f>
        <v>0</v>
      </c>
      <c r="CA71" s="11">
        <f>+COUNTIFS('muddati otgan'!C:C,A71,'muddati otgan'!J:J,"Soliq maydonini tekshirish")</f>
        <v>0</v>
      </c>
      <c r="CB71" s="11">
        <f t="shared" ref="CB71" si="129">CC71</f>
        <v>0</v>
      </c>
      <c r="CC71" s="11">
        <f>+COUNTIFS('muddati otgan'!C:C,A71,'muddati otgan'!J:J,"Kadastr yig'majildini shakllantirish")</f>
        <v>0</v>
      </c>
      <c r="CD71" s="11">
        <f t="shared" ref="CD71" si="130">CE71+CF71+CG71+CI71+CJ71+CH71</f>
        <v>0</v>
      </c>
      <c r="CE71" s="11">
        <f>+COUNTIFS('muddati otgan'!C:C,A71,'muddati otgan'!J:J,"Kadastr passportini shakllantirish")</f>
        <v>0</v>
      </c>
      <c r="CF71" s="11">
        <f>+COUNTIFS('muddati otgan'!C:C,A71,'muddati otgan'!J:J,"Yig'ma jildni tasdiqlash")</f>
        <v>0</v>
      </c>
      <c r="CG71" s="11">
        <f>+COUNTIFS('muddati otgan'!C:C,A71,'muddati otgan'!J:J,"To'lov yoki bepul tasdiqlash")</f>
        <v>0</v>
      </c>
      <c r="CH71" s="11">
        <f>+COUNTIFS('muddati otgan'!C:C,A71,'muddati otgan'!J:J,"Bog'liq arizani kutish")</f>
        <v>0</v>
      </c>
      <c r="CI71" s="11">
        <f>+COUNTIFS('muddati otgan'!C:C,A71,'muddati otgan'!J:J,"To'lovga chiqarish")</f>
        <v>0</v>
      </c>
      <c r="CJ71" s="11">
        <f>+COUNTIFS('muddati otgan'!C:C,A71,'muddati otgan'!J:J,"Hisobga qo'yish")</f>
        <v>0</v>
      </c>
      <c r="CK71" s="6">
        <f>+COUNTIFS('muddati otgan'!C:C,A71,'muddati otgan'!J:J,"To'lov kutilmoqda")</f>
        <v>0</v>
      </c>
      <c r="CL71" s="11">
        <f t="shared" ref="CL71" si="131">CM71+CN71+CO71+CP71+CQ71+CR71+CS71+CT71</f>
        <v>1</v>
      </c>
      <c r="CM71" s="11">
        <f>+COUNTIFS('muddati otgan'!C:C,A71,'muddati otgan'!AA:AA,"Arizani qabul qilish2")</f>
        <v>0</v>
      </c>
      <c r="CN71" s="11">
        <f>+COUNTIFS('muddati otgan'!C:C,A71,'muddati otgan'!J:J,"Huquqlarni tekshirish")</f>
        <v>1</v>
      </c>
      <c r="CO71" s="11">
        <f>+COUNTIFS('muddati otgan'!C:C,A71,'muddati otgan'!J:J,"Ko'chmas mulkni ro'yhatdan o'tkazishga qabul qilish")</f>
        <v>0</v>
      </c>
      <c r="CP71" s="11">
        <f>+COUNTIFS('muddati otgan'!C:C,A71,'muddati otgan'!J:J,"Ro'yxatdan o'tkazish")</f>
        <v>0</v>
      </c>
      <c r="CQ71" s="11">
        <f>+COUNTIFS('muddati otgan'!C:C,A71,'muddati otgan'!J:J,"Kadastr pasporti va ko'chirmani yuborish")</f>
        <v>0</v>
      </c>
      <c r="CR71" s="11">
        <f>+COUNTIFS('muddati otgan'!C:C,A71,'muddati otgan'!AA:AA,"Rad qilish2")</f>
        <v>0</v>
      </c>
      <c r="CS71" s="11">
        <f>+COUNTIFS('muddati otgan'!C:C,A71,'muddati otgan'!J:J,"Ko'chirmani yuborish")</f>
        <v>0</v>
      </c>
      <c r="CT71" s="11">
        <f>+COUNTIFS('muddati otgan'!C:C,A71,'muddati otgan'!J:J,"Ma‘lumotlarni tekshirish")</f>
        <v>0</v>
      </c>
      <c r="CU71" s="11">
        <f t="shared" ref="CU71" si="132">CV71</f>
        <v>0</v>
      </c>
      <c r="CV71" s="11">
        <f>+COUNTIFS('muddati otgan'!C:C,A71,'muddati otgan'!J:J,"Kadastr yig'majildini chop etish va arxiv ishiga tikish")</f>
        <v>0</v>
      </c>
      <c r="CW71" s="11">
        <f t="shared" ref="CW71" si="133">CX71+CY71</f>
        <v>0</v>
      </c>
      <c r="CX71" s="11">
        <f>+COUNTIFS('muddati otgan'!C:C,A71,'muddati otgan'!J:J,"Kadastr yig‘majildini qabul qilish, arizani yakunlash")</f>
        <v>0</v>
      </c>
      <c r="CY71" s="11">
        <f>+COUNTIFS('muddati otgan'!C:C,A71,'muddati otgan'!J:J,"Next Cloudga yuklash")</f>
        <v>0</v>
      </c>
      <c r="CZ71" s="6">
        <f>+COUNTIFS('muddati otgan'!C:C,A71,'muddati otgan'!J:J,"Kelishish kutilmoqda")</f>
        <v>0</v>
      </c>
      <c r="DA71" s="6">
        <f>+COUNTIFS('muddati otgan'!C:C,A71,'muddati otgan'!J:J,"Yakunlandi")</f>
        <v>1</v>
      </c>
      <c r="DB71" s="10">
        <f>+COUNTIFS('muddati otgan'!C:C,A71,'muddati otgan'!J:J,"Rad etildi")</f>
        <v>0</v>
      </c>
      <c r="DC71" s="100">
        <f t="shared" ref="DC71" si="134">CK71+CZ71+DA71+DB71-D71</f>
        <v>-3</v>
      </c>
      <c r="DD71" s="44">
        <f>COUNTIFS('jami 1-20 kunlik arizalar'!C:C,A:A,'jami 1-20 kunlik arizalar'!S:S,"1")</f>
        <v>0</v>
      </c>
      <c r="DE71" s="11">
        <f>COUNTIFS('jami 1-20 kunlik arizalar'!C:C,A:A,'jami 1-20 kunlik arizalar'!S:S,"2")</f>
        <v>0</v>
      </c>
      <c r="DF71" s="11">
        <f>COUNTIFS('jami 1-20 kunlik arizalar'!C:C,A:A,'jami 1-20 kunlik arizalar'!S:S,"3")</f>
        <v>0</v>
      </c>
      <c r="DG71" s="11">
        <f>COUNTIFS('jami 1-20 kunlik arizalar'!C:C,A:A,'jami 1-20 kunlik arizalar'!S:S,"4")</f>
        <v>2</v>
      </c>
      <c r="DH71" s="11">
        <f>COUNTIFS('jami 1-20 kunlik arizalar'!C:C,A:A,'jami 1-20 kunlik arizalar'!S:S,"5")</f>
        <v>1</v>
      </c>
      <c r="DI71" s="11">
        <f>SUM(COUNTIFS('jami 1-20 kunlik arizalar'!C:C,A:A, 'jami 1-20 kunlik arizalar'!S:S, {6,7,8,9,10}))</f>
        <v>12</v>
      </c>
      <c r="DJ71" s="12">
        <f>SUM(COUNTIFS('jami 1-20 kunlik arizalar'!C:C,A:A, 'jami 1-20 kunlik arizalar'!S:S, "&gt;10"))</f>
        <v>11</v>
      </c>
    </row>
    <row r="72" spans="1:114" ht="33" hidden="1" customHeight="1" outlineLevel="1" x14ac:dyDescent="0.25">
      <c r="A72" s="92" t="s">
        <v>627</v>
      </c>
      <c r="B72" s="106" t="s">
        <v>959</v>
      </c>
      <c r="C72" s="85" t="s">
        <v>795</v>
      </c>
      <c r="D72" s="80">
        <f>+COUNTIFS('muddati otgan'!C:C,A72,'muddati otgan'!C:C,A72)</f>
        <v>1</v>
      </c>
      <c r="E72" s="10">
        <f>SUMIFS('muddati otgan'!$V:V,'muddati otgan'!$C:C,$A:A)</f>
        <v>1</v>
      </c>
      <c r="F72" s="10">
        <f>SUMIFS('muddati otgan'!$W:W,'muddati otgan'!$C:C,$A:A)</f>
        <v>0</v>
      </c>
      <c r="G72" s="24">
        <f>SUMIFS('muddati otgan'!$U:U,'muddati otgan'!$C:C,$A:A)</f>
        <v>0</v>
      </c>
      <c r="H72" s="11">
        <f>SUMIFS('muddati otgan'!$G:G,'muddati otgan'!$C:C,$A:A)</f>
        <v>1</v>
      </c>
      <c r="I72" s="12">
        <f>SUMIFS('muddati otgan'!$H:H,'muddati otgan'!$C:C,$A:A)</f>
        <v>0</v>
      </c>
      <c r="J72" s="44">
        <f t="shared" si="58"/>
        <v>0</v>
      </c>
      <c r="K72" s="11">
        <f>+COUNTIFS('muddati otgan'!C:C,A72,'muddati otgan'!AA:AA,"Arizani qabul qilish")</f>
        <v>0</v>
      </c>
      <c r="L72" s="11">
        <f>+COUNTIFS('muddati otgan'!C:C,A72,'muddati otgan'!J:J,"Arizani rad etish")</f>
        <v>0</v>
      </c>
      <c r="M72" s="11">
        <f>+COUNTIFS('muddati otgan'!C:C,A72,'muddati otgan'!J:J,"Arizani tasdiqlash")</f>
        <v>0</v>
      </c>
      <c r="N72" s="11">
        <f>+COUNTIFS('muddati otgan'!C:C,A72,'muddati otgan'!J:J,"Arizani yo'naltirish")</f>
        <v>0</v>
      </c>
      <c r="O72" s="11">
        <f>+COUNTIFS('muddati otgan'!C:C,A72,'muddati otgan'!J:J,"Rad qilish sababini o'rganish")</f>
        <v>0</v>
      </c>
      <c r="P72" s="11">
        <f>+COUNTIFS('muddati otgan'!C:C,A72,'muddati otgan'!J:J,"Ko'chmas mulkni UZKAD ga migratsiya qilish")</f>
        <v>0</v>
      </c>
      <c r="Q72" s="11">
        <f>+COUNTIFS('muddati otgan'!C:C,A72,'muddati otgan'!J:J,"Migratisya qilingan obyekt holatini tekshirish")</f>
        <v>0</v>
      </c>
      <c r="R72" s="11">
        <f>+COUNTIFS('muddati otgan'!C:C,A72,'muddati otgan'!J:J,"Ko‘chmas mulkni tanlash")</f>
        <v>0</v>
      </c>
      <c r="S72" s="11">
        <f>+COUNTIFS('muddati otgan'!C:C,A72,'muddati otgan'!J:J,"Arizani ko'rib chiqish")</f>
        <v>0</v>
      </c>
      <c r="T72" s="11">
        <f>+COUNTIFS('muddati otgan'!C:C,A72,'muddati otgan'!J:J,"Kadastr muhandisini tanlash")</f>
        <v>0</v>
      </c>
      <c r="U72" s="11">
        <f>+COUNTIFS('muddati otgan'!C:C,A72,'muddati otgan'!J:J,"Ko'chmas mulk turini tanlahsh")</f>
        <v>0</v>
      </c>
      <c r="V72" s="11">
        <f>+COUNTIFS('muddati otgan'!C:C,A72,'muddati otgan'!AA:AA,"Rad qilish")</f>
        <v>0</v>
      </c>
      <c r="W72" s="11">
        <f>+COUNTIFS('muddati otgan'!C:C,A72,'muddati otgan'!J:J,"ijrochi tanlash")</f>
        <v>0</v>
      </c>
      <c r="X72" s="11">
        <f>+COUNTIFS('muddati otgan'!C:C,A72,'muddati otgan'!J:J,"Ko'chmas mulk turini tanlash")</f>
        <v>0</v>
      </c>
      <c r="Y72" s="11">
        <f t="shared" si="59"/>
        <v>0</v>
      </c>
      <c r="Z72" s="11">
        <f>+COUNTIFS('muddati otgan'!C:C,A72,'muddati otgan'!J:J,"Ijroga qabul qilish")</f>
        <v>0</v>
      </c>
      <c r="AA72" s="11">
        <f>+COUNTIFS('muddati otgan'!C:C,A72,'muddati otgan'!J:J,"Joyida o'rganish va ma'lumotlarni kiritish")</f>
        <v>0</v>
      </c>
      <c r="AB72" s="11">
        <f>+COUNTIFS('muddati otgan'!C:C,A72,'muddati otgan'!J:J,"Asosiy qismdan ajratish jarayonida")</f>
        <v>0</v>
      </c>
      <c r="AC72" s="11">
        <f>+COUNTIFS('muddati otgan'!C:C,A72,'muddati otgan'!J:J,"Umumiy foydalanishdagi obyekt yaratilish")</f>
        <v>0</v>
      </c>
      <c r="AD72" s="11">
        <f>+COUNTIFS('muddati otgan'!C:C,A72,'muddati otgan'!J:J,"Migratsiya qilinadigan kadastr raqamini kiritish")</f>
        <v>0</v>
      </c>
      <c r="AE72" s="11">
        <f>+COUNTIFS('muddati otgan'!C:C,A72,'muddati otgan'!J:J,"O'zida qolgan obyektni yaratish")</f>
        <v>0</v>
      </c>
      <c r="AF72" s="11">
        <f>+COUNTIFS('muddati otgan'!C:C,A72,'muddati otgan'!J:J,"O'lchov natijalarini kiritish")</f>
        <v>0</v>
      </c>
      <c r="AG72" s="11">
        <f>+COUNTIFS('muddati otgan'!C:C,A72,'muddati otgan'!J:J,"Topoxaritani tayyorlash (dwg, pdf)")</f>
        <v>0</v>
      </c>
      <c r="AH72" s="11">
        <f t="shared" si="60"/>
        <v>0</v>
      </c>
      <c r="AI72" s="11">
        <f>+COUNTIFS('muddati otgan'!C:C,A72,'muddati otgan'!J:J,"Yer uchastkasini yaratish")</f>
        <v>0</v>
      </c>
      <c r="AJ72" s="11">
        <f t="shared" si="61"/>
        <v>0</v>
      </c>
      <c r="AK72" s="11">
        <f>+COUNTIFS('muddati otgan'!C:C,A72,'muddati otgan'!J:J,"Kelishish (Boshqarma)")</f>
        <v>0</v>
      </c>
      <c r="AL72" s="11">
        <f t="shared" si="62"/>
        <v>0</v>
      </c>
      <c r="AM72" s="11">
        <f>+COUNTIFS('muddati otgan'!C:C,A72,'muddati otgan'!J:J,"Kelishish (DKP)")</f>
        <v>0</v>
      </c>
      <c r="AN72" s="11">
        <f>+COUNTIFS('muddati otgan'!C:C,A72,'muddati otgan'!J:J,"Kelishish")</f>
        <v>0</v>
      </c>
      <c r="AO72" s="11">
        <f>+COUNTIFS('muddati otgan'!C:C,A72,'muddati otgan'!J:J,"Kelishish (Registratsiya DKP)")</f>
        <v>0</v>
      </c>
      <c r="AP72" s="11">
        <f t="shared" si="63"/>
        <v>0</v>
      </c>
      <c r="AQ72" s="11">
        <f>+COUNTIFS('muddati otgan'!C:C,A72,'muddati otgan'!J:J,"Manzil biriktirish")</f>
        <v>0</v>
      </c>
      <c r="AR72" s="11">
        <f>+COUNTIFS('muddati otgan'!C:C,A72,'muddati otgan'!J:J,"Bino va inshootlarni yaratish")</f>
        <v>0</v>
      </c>
      <c r="AS72" s="11">
        <f>+COUNTIFS('muddati otgan'!C:C,A72,'muddati otgan'!J:J,"Dov daraxtlarni yaratish")</f>
        <v>0</v>
      </c>
      <c r="AT72" s="11">
        <f>+COUNTIFS('muddati otgan'!C:C,A72,'muddati otgan'!J:J,"Yer uchastkasini tahrirlash")</f>
        <v>0</v>
      </c>
      <c r="AU72" s="11">
        <f t="shared" si="64"/>
        <v>0</v>
      </c>
      <c r="AV72" s="11">
        <f>+COUNTIFS('muddati otgan'!C:C,A72,'muddati otgan'!J:J,"Yer toifasi va maqsadini kiritish")</f>
        <v>0</v>
      </c>
      <c r="AW72" s="11">
        <f>+COUNTIFS('muddati otgan'!C:C,A72,'muddati otgan'!J:J,"Auksion yer tekshirish")</f>
        <v>0</v>
      </c>
      <c r="AX72" s="11">
        <f>+COUNTIFS('muddati otgan'!C:C,A72,'muddati otgan'!J:J,"Yer turlarini kiritish")</f>
        <v>0</v>
      </c>
      <c r="AY72" s="11">
        <f>+COUNTIFS('muddati otgan'!C:C,A72,'muddati otgan'!J:J,"Ma'lumotlarni kiritish")</f>
        <v>0</v>
      </c>
      <c r="AZ72" s="11">
        <f>+COUNTIFS('muddati otgan'!C:C,A72,'muddati otgan'!J:J,"Yer tekshirish")</f>
        <v>0</v>
      </c>
      <c r="BA72" s="11">
        <f t="shared" si="65"/>
        <v>0</v>
      </c>
      <c r="BB72" s="11">
        <f>+COUNTIFS('muddati otgan'!C:C,A72,'muddati otgan'!J:J,"Bino va inshoot ma'lumotlarini to‘ldirish")</f>
        <v>0</v>
      </c>
      <c r="BC72" s="11">
        <f>+COUNTIFS('muddati otgan'!C:C,A72,'muddati otgan'!J:J,"Inventarizatsiya ma'lumotlarini to‘ldirish")</f>
        <v>0</v>
      </c>
      <c r="BD72" s="11">
        <f>+COUNTIFS('muddati otgan'!C:C,A72,'muddati otgan'!J:J,"Yer uchastkasiga huquqiy hujjatlarni kiritsh")</f>
        <v>0</v>
      </c>
      <c r="BE72" s="11">
        <f>+COUNTIFS('muddati otgan'!C:C,A72,'muddati otgan'!J:J,"Bino-inshootlarga huquqiy hujjatlarni kiritsh")</f>
        <v>0</v>
      </c>
      <c r="BF72" s="11">
        <f>+COUNTIFS('muddati otgan'!C:C,A72,'muddati otgan'!J:J,"Kadastr qiymatini hisoblash va kiritish")</f>
        <v>0</v>
      </c>
      <c r="BG72" s="11">
        <f>+COUNTIFS('muddati otgan'!C:C,A72,'muddati otgan'!J:J,"Kadastr raqam biriktirish")</f>
        <v>0</v>
      </c>
      <c r="BH72" s="11">
        <f>+COUNTIFS('muddati otgan'!C:C,A72,'muddati otgan'!J:J,"Kadastr yig'ma jildni tayyorlash")</f>
        <v>0</v>
      </c>
      <c r="BI72" s="11">
        <f>+COUNTIFS('muddati otgan'!C:C,A72,'muddati otgan'!J:J,"Huquqni yaratish")</f>
        <v>0</v>
      </c>
      <c r="BJ72" s="11">
        <f>+COUNTIFS('muddati otgan'!C:C,A72,'muddati otgan'!J:J,"Hujjatlarni o'rganish")</f>
        <v>0</v>
      </c>
      <c r="BK72" s="11">
        <f>+COUNTIFS('muddati otgan'!C:C,A72,'muddati otgan'!J:J,"Ma'lumotlarni tekshirish")</f>
        <v>0</v>
      </c>
      <c r="BL72" s="11">
        <f t="shared" si="66"/>
        <v>0</v>
      </c>
      <c r="BM72" s="11">
        <f>+COUNTIFS('muddati otgan'!C:C,A72,'muddati otgan'!J:J,"Tekshirish")</f>
        <v>0</v>
      </c>
      <c r="BN72" s="11">
        <f>+COUNTIFS('muddati otgan'!C:C,A72,'muddati otgan'!J:J,"Hujjatlarni tekshirish")</f>
        <v>0</v>
      </c>
      <c r="BO72" s="11">
        <f>+COUNTIFS('muddati otgan'!C:C,A72,'muddati otgan'!J:J,"Tasdiqlash")</f>
        <v>0</v>
      </c>
      <c r="BP72" s="11">
        <f>+COUNTIFS('muddati otgan'!C:C,A72,'muddati otgan'!J:J,"tekshirish/tasdiqlash")</f>
        <v>0</v>
      </c>
      <c r="BQ72" s="11">
        <f>+COUNTIFS('muddati otgan'!C:C,A72,'muddati otgan'!J:J,"Ma'lumotlarni tasdiqlash")</f>
        <v>0</v>
      </c>
      <c r="BR72" s="11">
        <f t="shared" si="32"/>
        <v>0</v>
      </c>
      <c r="BS72" s="11">
        <f>+COUNTIFS('muddati otgan'!C:C,A72,'muddati otgan'!J:J,"Ro'yxatdan o'tkazish ma'lumotlarini tekshirish")</f>
        <v>0</v>
      </c>
      <c r="BT72" s="11">
        <f>+COUNTIFS('muddati otgan'!C:C,A72,'muddati otgan'!J:J,"Kamchiliklar bo'yicha habarnoma yuborish va 3 kunga to'xtatish")</f>
        <v>0</v>
      </c>
      <c r="BU72" s="11">
        <f>+COUNTIFS('muddati otgan'!C:C,A72,'muddati otgan'!J:J,"Hisobga olish")</f>
        <v>0</v>
      </c>
      <c r="BV72" s="11">
        <f>+COUNTIFS('muddati otgan'!C:C,A72,'muddati otgan'!J:J,"Yer uchastkasiga huquq yaratish")</f>
        <v>0</v>
      </c>
      <c r="BW72" s="11">
        <f>+COUNTIFS('muddati otgan'!C:C,A72,'muddati otgan'!J:J,"Bino-inshootga huquq yaratish")</f>
        <v>0</v>
      </c>
      <c r="BX72" s="11">
        <f>+COUNTIFS('muddati otgan'!C:C,A72,'muddati otgan'!J:J,"Cheklov yaratish")</f>
        <v>0</v>
      </c>
      <c r="BY72" s="11">
        <f>+COUNTIFS('muddati otgan'!C:C,A72,'muddati otgan'!J:J,"Taqiq yaratish")</f>
        <v>0</v>
      </c>
      <c r="BZ72" s="11">
        <f t="shared" si="33"/>
        <v>0</v>
      </c>
      <c r="CA72" s="11">
        <f>+COUNTIFS('muddati otgan'!C:C,A72,'muddati otgan'!J:J,"Soliq maydonini tekshirish")</f>
        <v>0</v>
      </c>
      <c r="CB72" s="11">
        <f t="shared" si="34"/>
        <v>0</v>
      </c>
      <c r="CC72" s="11">
        <f>+COUNTIFS('muddati otgan'!C:C,A72,'muddati otgan'!J:J,"Kadastr yig'majildini shakllantirish")</f>
        <v>0</v>
      </c>
      <c r="CD72" s="11">
        <f t="shared" si="35"/>
        <v>0</v>
      </c>
      <c r="CE72" s="11">
        <f>+COUNTIFS('muddati otgan'!C:C,A72,'muddati otgan'!J:J,"Kadastr passportini shakllantirish")</f>
        <v>0</v>
      </c>
      <c r="CF72" s="11">
        <f>+COUNTIFS('muddati otgan'!C:C,A72,'muddati otgan'!J:J,"Yig'ma jildni tasdiqlash")</f>
        <v>0</v>
      </c>
      <c r="CG72" s="11">
        <f>+COUNTIFS('muddati otgan'!C:C,A72,'muddati otgan'!J:J,"To'lov yoki bepul tasdiqlash")</f>
        <v>0</v>
      </c>
      <c r="CH72" s="11">
        <f>+COUNTIFS('muddati otgan'!C:C,A72,'muddati otgan'!J:J,"Bog'liq arizani kutish")</f>
        <v>0</v>
      </c>
      <c r="CI72" s="11">
        <f>+COUNTIFS('muddati otgan'!C:C,A72,'muddati otgan'!J:J,"To'lovga chiqarish")</f>
        <v>0</v>
      </c>
      <c r="CJ72" s="11">
        <f>+COUNTIFS('muddati otgan'!C:C,A72,'muddati otgan'!J:J,"Hisobga qo'yish")</f>
        <v>0</v>
      </c>
      <c r="CK72" s="6">
        <f>+COUNTIFS('muddati otgan'!C:C,A72,'muddati otgan'!J:J,"To'lov kutilmoqda")</f>
        <v>0</v>
      </c>
      <c r="CL72" s="11">
        <f t="shared" si="36"/>
        <v>0</v>
      </c>
      <c r="CM72" s="11">
        <f>+COUNTIFS('muddati otgan'!C:C,A72,'muddati otgan'!AA:AA,"Arizani qabul qilish2")</f>
        <v>0</v>
      </c>
      <c r="CN72" s="11">
        <f>+COUNTIFS('muddati otgan'!C:C,A72,'muddati otgan'!J:J,"Huquqlarni tekshirish")</f>
        <v>0</v>
      </c>
      <c r="CO72" s="11">
        <f>+COUNTIFS('muddati otgan'!C:C,A72,'muddati otgan'!J:J,"Ko'chmas mulkni ro'yhatdan o'tkazishga qabul qilish")</f>
        <v>0</v>
      </c>
      <c r="CP72" s="11">
        <f>+COUNTIFS('muddati otgan'!C:C,A72,'muddati otgan'!J:J,"Ro'yxatdan o'tkazish")</f>
        <v>0</v>
      </c>
      <c r="CQ72" s="11">
        <f>+COUNTIFS('muddati otgan'!C:C,A72,'muddati otgan'!J:J,"Kadastr pasporti va ko'chirmani yuborish")</f>
        <v>0</v>
      </c>
      <c r="CR72" s="11">
        <f>+COUNTIFS('muddati otgan'!C:C,A72,'muddati otgan'!AA:AA,"Rad qilish2")</f>
        <v>0</v>
      </c>
      <c r="CS72" s="11">
        <f>+COUNTIFS('muddati otgan'!C:C,A72,'muddati otgan'!J:J,"Ko'chirmani yuborish")</f>
        <v>0</v>
      </c>
      <c r="CT72" s="11">
        <f>+COUNTIFS('muddati otgan'!C:C,A72,'muddati otgan'!J:J,"Ma‘lumotlarni tekshirish")</f>
        <v>0</v>
      </c>
      <c r="CU72" s="11">
        <f t="shared" si="37"/>
        <v>0</v>
      </c>
      <c r="CV72" s="11">
        <f>+COUNTIFS('muddati otgan'!C:C,A72,'muddati otgan'!J:J,"Kadastr yig'majildini chop etish va arxiv ishiga tikish")</f>
        <v>0</v>
      </c>
      <c r="CW72" s="11">
        <f t="shared" si="38"/>
        <v>0</v>
      </c>
      <c r="CX72" s="11">
        <f>+COUNTIFS('muddati otgan'!C:C,A72,'muddati otgan'!J:J,"Kadastr yig‘majildini qabul qilish, arizani yakunlash")</f>
        <v>0</v>
      </c>
      <c r="CY72" s="11">
        <f>+COUNTIFS('muddati otgan'!C:C,A72,'muddati otgan'!J:J,"Next Cloudga yuklash")</f>
        <v>0</v>
      </c>
      <c r="CZ72" s="6">
        <f>+COUNTIFS('muddati otgan'!C:C,A72,'muddati otgan'!J:J,"Kelishish kutilmoqda")</f>
        <v>0</v>
      </c>
      <c r="DA72" s="6">
        <f>+COUNTIFS('muddati otgan'!C:C,A72,'muddati otgan'!J:J,"Yakunlandi")</f>
        <v>1</v>
      </c>
      <c r="DB72" s="10">
        <f>+COUNTIFS('muddati otgan'!C:C,A72,'muddati otgan'!J:J,"Rad etildi")</f>
        <v>0</v>
      </c>
      <c r="DC72" s="100">
        <f t="shared" si="5"/>
        <v>0</v>
      </c>
      <c r="DD72" s="44">
        <f>COUNTIFS('jami 1-20 kunlik arizalar'!C:C,A:A,'jami 1-20 kunlik arizalar'!S:S,"1")</f>
        <v>0</v>
      </c>
      <c r="DE72" s="11">
        <f>COUNTIFS('jami 1-20 kunlik arizalar'!C:C,A:A,'jami 1-20 kunlik arizalar'!S:S,"2")</f>
        <v>0</v>
      </c>
      <c r="DF72" s="11">
        <f>COUNTIFS('jami 1-20 kunlik arizalar'!C:C,A:A,'jami 1-20 kunlik arizalar'!S:S,"3")</f>
        <v>2</v>
      </c>
      <c r="DG72" s="11">
        <f>COUNTIFS('jami 1-20 kunlik arizalar'!C:C,A:A,'jami 1-20 kunlik arizalar'!S:S,"4")</f>
        <v>1</v>
      </c>
      <c r="DH72" s="11">
        <f>COUNTIFS('jami 1-20 kunlik arizalar'!C:C,A:A,'jami 1-20 kunlik arizalar'!S:S,"5")</f>
        <v>4</v>
      </c>
      <c r="DI72" s="11">
        <f>SUM(COUNTIFS('jami 1-20 kunlik arizalar'!C:C,A:A, 'jami 1-20 kunlik arizalar'!S:S, {6,7,8,9,10}))</f>
        <v>11</v>
      </c>
      <c r="DJ72" s="12">
        <f>SUM(COUNTIFS('jami 1-20 kunlik arizalar'!C:C,A:A, 'jami 1-20 kunlik arizalar'!S:S, "&gt;10"))</f>
        <v>9</v>
      </c>
    </row>
    <row r="73" spans="1:114" ht="33" hidden="1" customHeight="1" outlineLevel="1" x14ac:dyDescent="0.25">
      <c r="A73" s="92" t="s">
        <v>607</v>
      </c>
      <c r="B73" s="106" t="s">
        <v>959</v>
      </c>
      <c r="C73" s="85" t="s">
        <v>796</v>
      </c>
      <c r="D73" s="80">
        <f>+COUNTIFS('muddati otgan'!C:C,A73,'muddati otgan'!C:C,A73)</f>
        <v>0</v>
      </c>
      <c r="E73" s="10">
        <f>SUMIFS('muddati otgan'!$V:V,'muddati otgan'!$C:C,$A:A)</f>
        <v>0</v>
      </c>
      <c r="F73" s="10">
        <f>SUMIFS('muddati otgan'!$W:W,'muddati otgan'!$C:C,$A:A)</f>
        <v>0</v>
      </c>
      <c r="G73" s="24">
        <f>SUMIFS('muddati otgan'!$U:U,'muddati otgan'!$C:C,$A:A)</f>
        <v>0</v>
      </c>
      <c r="H73" s="11">
        <f>SUMIFS('muddati otgan'!$G:G,'muddati otgan'!$C:C,$A:A)</f>
        <v>0</v>
      </c>
      <c r="I73" s="12">
        <f>SUMIFS('muddati otgan'!$H:H,'muddati otgan'!$C:C,$A:A)</f>
        <v>0</v>
      </c>
      <c r="J73" s="44">
        <f t="shared" si="58"/>
        <v>0</v>
      </c>
      <c r="K73" s="11">
        <f>+COUNTIFS('muddati otgan'!C:C,A73,'muddati otgan'!AA:AA,"Arizani qabul qilish")</f>
        <v>0</v>
      </c>
      <c r="L73" s="11">
        <f>+COUNTIFS('muddati otgan'!C:C,A73,'muddati otgan'!J:J,"Arizani rad etish")</f>
        <v>0</v>
      </c>
      <c r="M73" s="11">
        <f>+COUNTIFS('muddati otgan'!C:C,A73,'muddati otgan'!J:J,"Arizani tasdiqlash")</f>
        <v>0</v>
      </c>
      <c r="N73" s="11">
        <f>+COUNTIFS('muddati otgan'!C:C,A73,'muddati otgan'!J:J,"Arizani yo'naltirish")</f>
        <v>0</v>
      </c>
      <c r="O73" s="11">
        <f>+COUNTIFS('muddati otgan'!C:C,A73,'muddati otgan'!J:J,"Rad qilish sababini o'rganish")</f>
        <v>0</v>
      </c>
      <c r="P73" s="11">
        <f>+COUNTIFS('muddati otgan'!C:C,A73,'muddati otgan'!J:J,"Ko'chmas mulkni UZKAD ga migratsiya qilish")</f>
        <v>0</v>
      </c>
      <c r="Q73" s="11">
        <f>+COUNTIFS('muddati otgan'!C:C,A73,'muddati otgan'!J:J,"Migratisya qilingan obyekt holatini tekshirish")</f>
        <v>0</v>
      </c>
      <c r="R73" s="11">
        <f>+COUNTIFS('muddati otgan'!C:C,A73,'muddati otgan'!J:J,"Ko‘chmas mulkni tanlash")</f>
        <v>0</v>
      </c>
      <c r="S73" s="11">
        <f>+COUNTIFS('muddati otgan'!C:C,A73,'muddati otgan'!J:J,"Arizani ko'rib chiqish")</f>
        <v>0</v>
      </c>
      <c r="T73" s="11">
        <f>+COUNTIFS('muddati otgan'!C:C,A73,'muddati otgan'!J:J,"Kadastr muhandisini tanlash")</f>
        <v>0</v>
      </c>
      <c r="U73" s="11">
        <f>+COUNTIFS('muddati otgan'!C:C,A73,'muddati otgan'!J:J,"Ko'chmas mulk turini tanlahsh")</f>
        <v>0</v>
      </c>
      <c r="V73" s="11">
        <f>+COUNTIFS('muddati otgan'!C:C,A73,'muddati otgan'!AA:AA,"Rad qilish")</f>
        <v>0</v>
      </c>
      <c r="W73" s="11">
        <f>+COUNTIFS('muddati otgan'!C:C,A73,'muddati otgan'!J:J,"ijrochi tanlash")</f>
        <v>0</v>
      </c>
      <c r="X73" s="11">
        <f>+COUNTIFS('muddati otgan'!C:C,A73,'muddati otgan'!J:J,"Ko'chmas mulk turini tanlash")</f>
        <v>0</v>
      </c>
      <c r="Y73" s="11">
        <f t="shared" si="59"/>
        <v>0</v>
      </c>
      <c r="Z73" s="11">
        <f>+COUNTIFS('muddati otgan'!C:C,A73,'muddati otgan'!J:J,"Ijroga qabul qilish")</f>
        <v>0</v>
      </c>
      <c r="AA73" s="11">
        <f>+COUNTIFS('muddati otgan'!C:C,A73,'muddati otgan'!J:J,"Joyida o'rganish va ma'lumotlarni kiritish")</f>
        <v>0</v>
      </c>
      <c r="AB73" s="11">
        <f>+COUNTIFS('muddati otgan'!C:C,A73,'muddati otgan'!J:J,"Asosiy qismdan ajratish jarayonida")</f>
        <v>0</v>
      </c>
      <c r="AC73" s="11">
        <f>+COUNTIFS('muddati otgan'!C:C,A73,'muddati otgan'!J:J,"Umumiy foydalanishdagi obyekt yaratilish")</f>
        <v>0</v>
      </c>
      <c r="AD73" s="11">
        <f>+COUNTIFS('muddati otgan'!C:C,A73,'muddati otgan'!J:J,"Migratsiya qilinadigan kadastr raqamini kiritish")</f>
        <v>0</v>
      </c>
      <c r="AE73" s="11">
        <f>+COUNTIFS('muddati otgan'!C:C,A73,'muddati otgan'!J:J,"O'zida qolgan obyektni yaratish")</f>
        <v>0</v>
      </c>
      <c r="AF73" s="11">
        <f>+COUNTIFS('muddati otgan'!C:C,A73,'muddati otgan'!J:J,"O'lchov natijalarini kiritish")</f>
        <v>0</v>
      </c>
      <c r="AG73" s="11">
        <f>+COUNTIFS('muddati otgan'!C:C,A73,'muddati otgan'!J:J,"Topoxaritani tayyorlash (dwg, pdf)")</f>
        <v>0</v>
      </c>
      <c r="AH73" s="11">
        <f t="shared" si="60"/>
        <v>0</v>
      </c>
      <c r="AI73" s="11">
        <f>+COUNTIFS('muddati otgan'!C:C,A73,'muddati otgan'!J:J,"Yer uchastkasini yaratish")</f>
        <v>0</v>
      </c>
      <c r="AJ73" s="11">
        <f t="shared" si="61"/>
        <v>0</v>
      </c>
      <c r="AK73" s="11">
        <f>+COUNTIFS('muddati otgan'!C:C,A73,'muddati otgan'!J:J,"Kelishish (Boshqarma)")</f>
        <v>0</v>
      </c>
      <c r="AL73" s="11">
        <f t="shared" si="62"/>
        <v>0</v>
      </c>
      <c r="AM73" s="11">
        <f>+COUNTIFS('muddati otgan'!C:C,A73,'muddati otgan'!J:J,"Kelishish (DKP)")</f>
        <v>0</v>
      </c>
      <c r="AN73" s="11">
        <f>+COUNTIFS('muddati otgan'!C:C,A73,'muddati otgan'!J:J,"Kelishish")</f>
        <v>0</v>
      </c>
      <c r="AO73" s="11">
        <f>+COUNTIFS('muddati otgan'!C:C,A73,'muddati otgan'!J:J,"Kelishish (Registratsiya DKP)")</f>
        <v>0</v>
      </c>
      <c r="AP73" s="11">
        <f t="shared" si="63"/>
        <v>0</v>
      </c>
      <c r="AQ73" s="11">
        <f>+COUNTIFS('muddati otgan'!C:C,A73,'muddati otgan'!J:J,"Manzil biriktirish")</f>
        <v>0</v>
      </c>
      <c r="AR73" s="11">
        <f>+COUNTIFS('muddati otgan'!C:C,A73,'muddati otgan'!J:J,"Bino va inshootlarni yaratish")</f>
        <v>0</v>
      </c>
      <c r="AS73" s="11">
        <f>+COUNTIFS('muddati otgan'!C:C,A73,'muddati otgan'!J:J,"Dov daraxtlarni yaratish")</f>
        <v>0</v>
      </c>
      <c r="AT73" s="11">
        <f>+COUNTIFS('muddati otgan'!C:C,A73,'muddati otgan'!J:J,"Yer uchastkasini tahrirlash")</f>
        <v>0</v>
      </c>
      <c r="AU73" s="11">
        <f t="shared" si="64"/>
        <v>0</v>
      </c>
      <c r="AV73" s="11">
        <f>+COUNTIFS('muddati otgan'!C:C,A73,'muddati otgan'!J:J,"Yer toifasi va maqsadini kiritish")</f>
        <v>0</v>
      </c>
      <c r="AW73" s="11">
        <f>+COUNTIFS('muddati otgan'!C:C,A73,'muddati otgan'!J:J,"Auksion yer tekshirish")</f>
        <v>0</v>
      </c>
      <c r="AX73" s="11">
        <f>+COUNTIFS('muddati otgan'!C:C,A73,'muddati otgan'!J:J,"Yer turlarini kiritish")</f>
        <v>0</v>
      </c>
      <c r="AY73" s="11">
        <f>+COUNTIFS('muddati otgan'!C:C,A73,'muddati otgan'!J:J,"Ma'lumotlarni kiritish")</f>
        <v>0</v>
      </c>
      <c r="AZ73" s="11">
        <f>+COUNTIFS('muddati otgan'!C:C,A73,'muddati otgan'!J:J,"Yer tekshirish")</f>
        <v>0</v>
      </c>
      <c r="BA73" s="11">
        <f t="shared" si="65"/>
        <v>0</v>
      </c>
      <c r="BB73" s="11">
        <f>+COUNTIFS('muddati otgan'!C:C,A73,'muddati otgan'!J:J,"Bino va inshoot ma'lumotlarini to‘ldirish")</f>
        <v>0</v>
      </c>
      <c r="BC73" s="11">
        <f>+COUNTIFS('muddati otgan'!C:C,A73,'muddati otgan'!J:J,"Inventarizatsiya ma'lumotlarini to‘ldirish")</f>
        <v>0</v>
      </c>
      <c r="BD73" s="11">
        <f>+COUNTIFS('muddati otgan'!C:C,A73,'muddati otgan'!J:J,"Yer uchastkasiga huquqiy hujjatlarni kiritsh")</f>
        <v>0</v>
      </c>
      <c r="BE73" s="11">
        <f>+COUNTIFS('muddati otgan'!C:C,A73,'muddati otgan'!J:J,"Bino-inshootlarga huquqiy hujjatlarni kiritsh")</f>
        <v>0</v>
      </c>
      <c r="BF73" s="11">
        <f>+COUNTIFS('muddati otgan'!C:C,A73,'muddati otgan'!J:J,"Kadastr qiymatini hisoblash va kiritish")</f>
        <v>0</v>
      </c>
      <c r="BG73" s="11">
        <f>+COUNTIFS('muddati otgan'!C:C,A73,'muddati otgan'!J:J,"Kadastr raqam biriktirish")</f>
        <v>0</v>
      </c>
      <c r="BH73" s="11">
        <f>+COUNTIFS('muddati otgan'!C:C,A73,'muddati otgan'!J:J,"Kadastr yig'ma jildni tayyorlash")</f>
        <v>0</v>
      </c>
      <c r="BI73" s="11">
        <f>+COUNTIFS('muddati otgan'!C:C,A73,'muddati otgan'!J:J,"Huquqni yaratish")</f>
        <v>0</v>
      </c>
      <c r="BJ73" s="11">
        <f>+COUNTIFS('muddati otgan'!C:C,A73,'muddati otgan'!J:J,"Hujjatlarni o'rganish")</f>
        <v>0</v>
      </c>
      <c r="BK73" s="11">
        <f>+COUNTIFS('muddati otgan'!C:C,A73,'muddati otgan'!J:J,"Ma'lumotlarni tekshirish")</f>
        <v>0</v>
      </c>
      <c r="BL73" s="11">
        <f t="shared" si="66"/>
        <v>0</v>
      </c>
      <c r="BM73" s="11">
        <f>+COUNTIFS('muddati otgan'!C:C,A73,'muddati otgan'!J:J,"Tekshirish")</f>
        <v>0</v>
      </c>
      <c r="BN73" s="11">
        <f>+COUNTIFS('muddati otgan'!C:C,A73,'muddati otgan'!J:J,"Hujjatlarni tekshirish")</f>
        <v>0</v>
      </c>
      <c r="BO73" s="11">
        <f>+COUNTIFS('muddati otgan'!C:C,A73,'muddati otgan'!J:J,"Tasdiqlash")</f>
        <v>0</v>
      </c>
      <c r="BP73" s="11">
        <f>+COUNTIFS('muddati otgan'!C:C,A73,'muddati otgan'!J:J,"tekshirish/tasdiqlash")</f>
        <v>0</v>
      </c>
      <c r="BQ73" s="11">
        <f>+COUNTIFS('muddati otgan'!C:C,A73,'muddati otgan'!J:J,"Ma'lumotlarni tasdiqlash")</f>
        <v>0</v>
      </c>
      <c r="BR73" s="11">
        <f t="shared" si="32"/>
        <v>0</v>
      </c>
      <c r="BS73" s="11">
        <f>+COUNTIFS('muddati otgan'!C:C,A73,'muddati otgan'!J:J,"Ro'yxatdan o'tkazish ma'lumotlarini tekshirish")</f>
        <v>0</v>
      </c>
      <c r="BT73" s="11">
        <f>+COUNTIFS('muddati otgan'!C:C,A73,'muddati otgan'!J:J,"Kamchiliklar bo'yicha habarnoma yuborish va 3 kunga to'xtatish")</f>
        <v>0</v>
      </c>
      <c r="BU73" s="11">
        <f>+COUNTIFS('muddati otgan'!C:C,A73,'muddati otgan'!J:J,"Hisobga olish")</f>
        <v>0</v>
      </c>
      <c r="BV73" s="11">
        <f>+COUNTIFS('muddati otgan'!C:C,A73,'muddati otgan'!J:J,"Yer uchastkasiga huquq yaratish")</f>
        <v>0</v>
      </c>
      <c r="BW73" s="11">
        <f>+COUNTIFS('muddati otgan'!C:C,A73,'muddati otgan'!J:J,"Bino-inshootga huquq yaratish")</f>
        <v>0</v>
      </c>
      <c r="BX73" s="11">
        <f>+COUNTIFS('muddati otgan'!C:C,A73,'muddati otgan'!J:J,"Cheklov yaratish")</f>
        <v>0</v>
      </c>
      <c r="BY73" s="11">
        <f>+COUNTIFS('muddati otgan'!C:C,A73,'muddati otgan'!J:J,"Taqiq yaratish")</f>
        <v>0</v>
      </c>
      <c r="BZ73" s="11">
        <f t="shared" si="33"/>
        <v>0</v>
      </c>
      <c r="CA73" s="11">
        <f>+COUNTIFS('muddati otgan'!C:C,A73,'muddati otgan'!J:J,"Soliq maydonini tekshirish")</f>
        <v>0</v>
      </c>
      <c r="CB73" s="11">
        <f t="shared" si="34"/>
        <v>0</v>
      </c>
      <c r="CC73" s="11">
        <f>+COUNTIFS('muddati otgan'!C:C,A73,'muddati otgan'!J:J,"Kadastr yig'majildini shakllantirish")</f>
        <v>0</v>
      </c>
      <c r="CD73" s="11">
        <f t="shared" si="35"/>
        <v>0</v>
      </c>
      <c r="CE73" s="11">
        <f>+COUNTIFS('muddati otgan'!C:C,A73,'muddati otgan'!J:J,"Kadastr passportini shakllantirish")</f>
        <v>0</v>
      </c>
      <c r="CF73" s="11">
        <f>+COUNTIFS('muddati otgan'!C:C,A73,'muddati otgan'!J:J,"Yig'ma jildni tasdiqlash")</f>
        <v>0</v>
      </c>
      <c r="CG73" s="11">
        <f>+COUNTIFS('muddati otgan'!C:C,A73,'muddati otgan'!J:J,"To'lov yoki bepul tasdiqlash")</f>
        <v>0</v>
      </c>
      <c r="CH73" s="11">
        <f>+COUNTIFS('muddati otgan'!C:C,A73,'muddati otgan'!J:J,"Bog'liq arizani kutish")</f>
        <v>0</v>
      </c>
      <c r="CI73" s="11">
        <f>+COUNTIFS('muddati otgan'!C:C,A73,'muddati otgan'!J:J,"To'lovga chiqarish")</f>
        <v>0</v>
      </c>
      <c r="CJ73" s="11">
        <f>+COUNTIFS('muddati otgan'!C:C,A73,'muddati otgan'!J:J,"Hisobga qo'yish")</f>
        <v>0</v>
      </c>
      <c r="CK73" s="6">
        <f>+COUNTIFS('muddati otgan'!C:C,A73,'muddati otgan'!J:J,"To'lov kutilmoqda")</f>
        <v>0</v>
      </c>
      <c r="CL73" s="11">
        <f t="shared" si="36"/>
        <v>0</v>
      </c>
      <c r="CM73" s="11">
        <f>+COUNTIFS('muddati otgan'!C:C,A73,'muddati otgan'!AA:AA,"Arizani qabul qilish2")</f>
        <v>0</v>
      </c>
      <c r="CN73" s="11">
        <f>+COUNTIFS('muddati otgan'!C:C,A73,'muddati otgan'!J:J,"Huquqlarni tekshirish")</f>
        <v>0</v>
      </c>
      <c r="CO73" s="11">
        <f>+COUNTIFS('muddati otgan'!C:C,A73,'muddati otgan'!J:J,"Ko'chmas mulkni ro'yhatdan o'tkazishga qabul qilish")</f>
        <v>0</v>
      </c>
      <c r="CP73" s="11">
        <f>+COUNTIFS('muddati otgan'!C:C,A73,'muddati otgan'!J:J,"Ro'yxatdan o'tkazish")</f>
        <v>0</v>
      </c>
      <c r="CQ73" s="11">
        <f>+COUNTIFS('muddati otgan'!C:C,A73,'muddati otgan'!J:J,"Kadastr pasporti va ko'chirmani yuborish")</f>
        <v>0</v>
      </c>
      <c r="CR73" s="11">
        <f>+COUNTIFS('muddati otgan'!C:C,A73,'muddati otgan'!AA:AA,"Rad qilish2")</f>
        <v>0</v>
      </c>
      <c r="CS73" s="11">
        <f>+COUNTIFS('muddati otgan'!C:C,A73,'muddati otgan'!J:J,"Ko'chirmani yuborish")</f>
        <v>0</v>
      </c>
      <c r="CT73" s="11">
        <f>+COUNTIFS('muddati otgan'!C:C,A73,'muddati otgan'!J:J,"Ma‘lumotlarni tekshirish")</f>
        <v>0</v>
      </c>
      <c r="CU73" s="11">
        <f t="shared" si="37"/>
        <v>0</v>
      </c>
      <c r="CV73" s="11">
        <f>+COUNTIFS('muddati otgan'!C:C,A73,'muddati otgan'!J:J,"Kadastr yig'majildini chop etish va arxiv ishiga tikish")</f>
        <v>0</v>
      </c>
      <c r="CW73" s="11">
        <f t="shared" si="38"/>
        <v>0</v>
      </c>
      <c r="CX73" s="11">
        <f>+COUNTIFS('muddati otgan'!C:C,A73,'muddati otgan'!J:J,"Kadastr yig‘majildini qabul qilish, arizani yakunlash")</f>
        <v>0</v>
      </c>
      <c r="CY73" s="11">
        <f>+COUNTIFS('muddati otgan'!C:C,A73,'muddati otgan'!J:J,"Next Cloudga yuklash")</f>
        <v>0</v>
      </c>
      <c r="CZ73" s="6">
        <f>+COUNTIFS('muddati otgan'!C:C,A73,'muddati otgan'!J:J,"Kelishish kutilmoqda")</f>
        <v>0</v>
      </c>
      <c r="DA73" s="6">
        <f>+COUNTIFS('muddati otgan'!C:C,A73,'muddati otgan'!J:J,"Yakunlandi")</f>
        <v>0</v>
      </c>
      <c r="DB73" s="10">
        <f>+COUNTIFS('muddati otgan'!C:C,A73,'muddati otgan'!J:J,"Rad etildi")</f>
        <v>0</v>
      </c>
      <c r="DC73" s="100">
        <f t="shared" si="5"/>
        <v>0</v>
      </c>
      <c r="DD73" s="44">
        <f>COUNTIFS('jami 1-20 kunlik arizalar'!C:C,A:A,'jami 1-20 kunlik arizalar'!S:S,"1")</f>
        <v>0</v>
      </c>
      <c r="DE73" s="11">
        <f>COUNTIFS('jami 1-20 kunlik arizalar'!C:C,A:A,'jami 1-20 kunlik arizalar'!S:S,"2")</f>
        <v>0</v>
      </c>
      <c r="DF73" s="11">
        <f>COUNTIFS('jami 1-20 kunlik arizalar'!C:C,A:A,'jami 1-20 kunlik arizalar'!S:S,"3")</f>
        <v>0</v>
      </c>
      <c r="DG73" s="11">
        <f>COUNTIFS('jami 1-20 kunlik arizalar'!C:C,A:A,'jami 1-20 kunlik arizalar'!S:S,"4")</f>
        <v>1</v>
      </c>
      <c r="DH73" s="11">
        <f>COUNTIFS('jami 1-20 kunlik arizalar'!C:C,A:A,'jami 1-20 kunlik arizalar'!S:S,"5")</f>
        <v>1</v>
      </c>
      <c r="DI73" s="11">
        <f>SUM(COUNTIFS('jami 1-20 kunlik arizalar'!C:C,A:A, 'jami 1-20 kunlik arizalar'!S:S, {6,7,8,9,10}))</f>
        <v>6</v>
      </c>
      <c r="DJ73" s="12">
        <f>SUM(COUNTIFS('jami 1-20 kunlik arizalar'!C:C,A:A, 'jami 1-20 kunlik arizalar'!S:S, "&gt;10"))</f>
        <v>6</v>
      </c>
    </row>
    <row r="74" spans="1:114" ht="51.95" hidden="1" customHeight="1" outlineLevel="1" x14ac:dyDescent="0.25">
      <c r="A74" s="92" t="s">
        <v>426</v>
      </c>
      <c r="B74" s="106" t="s">
        <v>958</v>
      </c>
      <c r="C74" s="85" t="s">
        <v>413</v>
      </c>
      <c r="D74" s="80">
        <f>+COUNTIFS('muddati otgan'!C:C,A74,'muddati otgan'!C:C,A74)</f>
        <v>2</v>
      </c>
      <c r="E74" s="10">
        <f>SUMIFS('muddati otgan'!$V:V,'muddati otgan'!$C:C,$A:A)</f>
        <v>0</v>
      </c>
      <c r="F74" s="10">
        <f>SUMIFS('muddati otgan'!$W:W,'muddati otgan'!$C:C,$A:A)</f>
        <v>0</v>
      </c>
      <c r="G74" s="24">
        <f>SUMIFS('muddati otgan'!$U:U,'muddati otgan'!$C:C,$A:A)</f>
        <v>2</v>
      </c>
      <c r="H74" s="11">
        <f>SUMIFS('muddati otgan'!$G:G,'muddati otgan'!$C:C,$A:A)</f>
        <v>2</v>
      </c>
      <c r="I74" s="12">
        <f>SUMIFS('muddati otgan'!$H:H,'muddati otgan'!$C:C,$A:A)</f>
        <v>0</v>
      </c>
      <c r="J74" s="44">
        <f t="shared" ref="J74" si="135">K74+P74+Q74+R74+S74+T74+U74+V74+W74+L74+O74+M74+N74+X74</f>
        <v>0</v>
      </c>
      <c r="K74" s="11">
        <f>+COUNTIFS('muddati otgan'!C:C,A74,'muddati otgan'!AA:AA,"Arizani qabul qilish")</f>
        <v>0</v>
      </c>
      <c r="L74" s="11">
        <f>+COUNTIFS('muddati otgan'!C:C,A74,'muddati otgan'!J:J,"Arizani rad etish")</f>
        <v>0</v>
      </c>
      <c r="M74" s="11">
        <f>+COUNTIFS('muddati otgan'!C:C,A74,'muddati otgan'!J:J,"Arizani tasdiqlash")</f>
        <v>0</v>
      </c>
      <c r="N74" s="11">
        <f>+COUNTIFS('muddati otgan'!C:C,A74,'muddati otgan'!J:J,"Arizani yo'naltirish")</f>
        <v>0</v>
      </c>
      <c r="O74" s="11">
        <f>+COUNTIFS('muddati otgan'!C:C,A74,'muddati otgan'!J:J,"Rad qilish sababini o'rganish")</f>
        <v>0</v>
      </c>
      <c r="P74" s="11">
        <f>+COUNTIFS('muddati otgan'!C:C,A74,'muddati otgan'!J:J,"Ko'chmas mulkni UZKAD ga migratsiya qilish")</f>
        <v>0</v>
      </c>
      <c r="Q74" s="11">
        <f>+COUNTIFS('muddati otgan'!C:C,A74,'muddati otgan'!J:J,"Migratisya qilingan obyekt holatini tekshirish")</f>
        <v>0</v>
      </c>
      <c r="R74" s="11">
        <f>+COUNTIFS('muddati otgan'!C:C,A74,'muddati otgan'!J:J,"Ko‘chmas mulkni tanlash")</f>
        <v>0</v>
      </c>
      <c r="S74" s="11">
        <f>+COUNTIFS('muddati otgan'!C:C,A74,'muddati otgan'!J:J,"Arizani ko'rib chiqish")</f>
        <v>0</v>
      </c>
      <c r="T74" s="11">
        <f>+COUNTIFS('muddati otgan'!C:C,A74,'muddati otgan'!J:J,"Kadastr muhandisini tanlash")</f>
        <v>0</v>
      </c>
      <c r="U74" s="11">
        <f>+COUNTIFS('muddati otgan'!C:C,A74,'muddati otgan'!J:J,"Ko'chmas mulk turini tanlahsh")</f>
        <v>0</v>
      </c>
      <c r="V74" s="11">
        <f>+COUNTIFS('muddati otgan'!C:C,A74,'muddati otgan'!AA:AA,"Rad qilish")</f>
        <v>0</v>
      </c>
      <c r="W74" s="11">
        <f>+COUNTIFS('muddati otgan'!C:C,A74,'muddati otgan'!J:J,"ijrochi tanlash")</f>
        <v>0</v>
      </c>
      <c r="X74" s="11">
        <f>+COUNTIFS('muddati otgan'!C:C,A74,'muddati otgan'!J:J,"Ko'chmas mulk turini tanlash")</f>
        <v>0</v>
      </c>
      <c r="Y74" s="11">
        <f t="shared" ref="Y74" si="136">Z74+AD74+AF74+AE74+AC74+AB74+AA74</f>
        <v>1</v>
      </c>
      <c r="Z74" s="11">
        <f>+COUNTIFS('muddati otgan'!C:C,A74,'muddati otgan'!J:J,"Ijroga qabul qilish")</f>
        <v>0</v>
      </c>
      <c r="AA74" s="11">
        <f>+COUNTIFS('muddati otgan'!C:C,A74,'muddati otgan'!J:J,"Joyida o'rganish va ma'lumotlarni kiritish")</f>
        <v>0</v>
      </c>
      <c r="AB74" s="11">
        <f>+COUNTIFS('muddati otgan'!C:C,A74,'muddati otgan'!J:J,"Asosiy qismdan ajratish jarayonida")</f>
        <v>0</v>
      </c>
      <c r="AC74" s="11">
        <f>+COUNTIFS('muddati otgan'!C:C,A74,'muddati otgan'!J:J,"Umumiy foydalanishdagi obyekt yaratilish")</f>
        <v>0</v>
      </c>
      <c r="AD74" s="11">
        <f>+COUNTIFS('muddati otgan'!C:C,A74,'muddati otgan'!J:J,"Migratsiya qilinadigan kadastr raqamini kiritish")</f>
        <v>0</v>
      </c>
      <c r="AE74" s="11">
        <f>+COUNTIFS('muddati otgan'!C:C,A74,'muddati otgan'!J:J,"O'zida qolgan obyektni yaratish")</f>
        <v>0</v>
      </c>
      <c r="AF74" s="11">
        <f>+COUNTIFS('muddati otgan'!C:C,A74,'muddati otgan'!J:J,"O'lchov natijalarini kiritish")</f>
        <v>1</v>
      </c>
      <c r="AG74" s="11">
        <f>+COUNTIFS('muddati otgan'!C:C,A74,'muddati otgan'!J:J,"Topoxaritani tayyorlash (dwg, pdf)")</f>
        <v>0</v>
      </c>
      <c r="AH74" s="11">
        <f t="shared" ref="AH74" si="137">AI74</f>
        <v>0</v>
      </c>
      <c r="AI74" s="11">
        <f>+COUNTIFS('muddati otgan'!C:C,A74,'muddati otgan'!J:J,"Yer uchastkasini yaratish")</f>
        <v>0</v>
      </c>
      <c r="AJ74" s="11">
        <f t="shared" ref="AJ74" si="138">AK74</f>
        <v>0</v>
      </c>
      <c r="AK74" s="11">
        <f>+COUNTIFS('muddati otgan'!C:C,A74,'muddati otgan'!J:J,"Kelishish (Boshqarma)")</f>
        <v>0</v>
      </c>
      <c r="AL74" s="11">
        <f t="shared" ref="AL74" si="139">AM74+AN74+AO74</f>
        <v>0</v>
      </c>
      <c r="AM74" s="11">
        <f>+COUNTIFS('muddati otgan'!C:C,A74,'muddati otgan'!J:J,"Kelishish (DKP)")</f>
        <v>0</v>
      </c>
      <c r="AN74" s="11">
        <f>+COUNTIFS('muddati otgan'!C:C,A74,'muddati otgan'!J:J,"Kelishish")</f>
        <v>0</v>
      </c>
      <c r="AO74" s="11">
        <f>+COUNTIFS('muddati otgan'!C:C,A74,'muddati otgan'!J:J,"Kelishish (Registratsiya DKP)")</f>
        <v>0</v>
      </c>
      <c r="AP74" s="11">
        <f t="shared" ref="AP74" si="140">AQ74+AR74+AS74+AT74</f>
        <v>0</v>
      </c>
      <c r="AQ74" s="11">
        <f>+COUNTIFS('muddati otgan'!C:C,A74,'muddati otgan'!J:J,"Manzil biriktirish")</f>
        <v>0</v>
      </c>
      <c r="AR74" s="11">
        <f>+COUNTIFS('muddati otgan'!C:C,A74,'muddati otgan'!J:J,"Bino va inshootlarni yaratish")</f>
        <v>0</v>
      </c>
      <c r="AS74" s="11">
        <f>+COUNTIFS('muddati otgan'!C:C,A74,'muddati otgan'!J:J,"Dov daraxtlarni yaratish")</f>
        <v>0</v>
      </c>
      <c r="AT74" s="11">
        <f>+COUNTIFS('muddati otgan'!C:C,A74,'muddati otgan'!J:J,"Yer uchastkasini tahrirlash")</f>
        <v>0</v>
      </c>
      <c r="AU74" s="11">
        <f t="shared" ref="AU74" si="141">AV74+AW74+AX74+AY74+AZ74</f>
        <v>0</v>
      </c>
      <c r="AV74" s="11">
        <f>+COUNTIFS('muddati otgan'!C:C,A74,'muddati otgan'!J:J,"Yer toifasi va maqsadini kiritish")</f>
        <v>0</v>
      </c>
      <c r="AW74" s="11">
        <f>+COUNTIFS('muddati otgan'!C:C,A74,'muddati otgan'!J:J,"Auksion yer tekshirish")</f>
        <v>0</v>
      </c>
      <c r="AX74" s="11">
        <f>+COUNTIFS('muddati otgan'!C:C,A74,'muddati otgan'!J:J,"Yer turlarini kiritish")</f>
        <v>0</v>
      </c>
      <c r="AY74" s="11">
        <f>+COUNTIFS('muddati otgan'!C:C,A74,'muddati otgan'!J:J,"Ma'lumotlarni kiritish")</f>
        <v>0</v>
      </c>
      <c r="AZ74" s="11">
        <f>+COUNTIFS('muddati otgan'!C:C,A74,'muddati otgan'!J:J,"Yer tekshirish")</f>
        <v>0</v>
      </c>
      <c r="BA74" s="11">
        <f t="shared" ref="BA74" si="142">BB74+BC74+BD74+BE74+BF74+BG74+BH74+BI74+BJ74+BK74</f>
        <v>0</v>
      </c>
      <c r="BB74" s="11">
        <f>+COUNTIFS('muddati otgan'!C:C,A74,'muddati otgan'!J:J,"Bino va inshoot ma'lumotlarini to‘ldirish")</f>
        <v>0</v>
      </c>
      <c r="BC74" s="11">
        <f>+COUNTIFS('muddati otgan'!C:C,A74,'muddati otgan'!J:J,"Inventarizatsiya ma'lumotlarini to‘ldirish")</f>
        <v>0</v>
      </c>
      <c r="BD74" s="11">
        <f>+COUNTIFS('muddati otgan'!C:C,A74,'muddati otgan'!J:J,"Yer uchastkasiga huquqiy hujjatlarni kiritsh")</f>
        <v>0</v>
      </c>
      <c r="BE74" s="11">
        <f>+COUNTIFS('muddati otgan'!C:C,A74,'muddati otgan'!J:J,"Bino-inshootlarga huquqiy hujjatlarni kiritsh")</f>
        <v>0</v>
      </c>
      <c r="BF74" s="11">
        <f>+COUNTIFS('muddati otgan'!C:C,A74,'muddati otgan'!J:J,"Kadastr qiymatini hisoblash va kiritish")</f>
        <v>0</v>
      </c>
      <c r="BG74" s="11">
        <f>+COUNTIFS('muddati otgan'!C:C,A74,'muddati otgan'!J:J,"Kadastr raqam biriktirish")</f>
        <v>0</v>
      </c>
      <c r="BH74" s="11">
        <f>+COUNTIFS('muddati otgan'!C:C,A74,'muddati otgan'!J:J,"Kadastr yig'ma jildni tayyorlash")</f>
        <v>0</v>
      </c>
      <c r="BI74" s="11">
        <f>+COUNTIFS('muddati otgan'!C:C,A74,'muddati otgan'!J:J,"Huquqni yaratish")</f>
        <v>0</v>
      </c>
      <c r="BJ74" s="11">
        <f>+COUNTIFS('muddati otgan'!C:C,A74,'muddati otgan'!J:J,"Hujjatlarni o'rganish")</f>
        <v>0</v>
      </c>
      <c r="BK74" s="11">
        <f>+COUNTIFS('muddati otgan'!C:C,A74,'muddati otgan'!J:J,"Ma'lumotlarni tekshirish")</f>
        <v>0</v>
      </c>
      <c r="BL74" s="11">
        <f t="shared" ref="BL74" si="143">BM74+BN74+BP74+BO74+BQ74</f>
        <v>0</v>
      </c>
      <c r="BM74" s="11">
        <f>+COUNTIFS('muddati otgan'!C:C,A74,'muddati otgan'!J:J,"Tekshirish")</f>
        <v>0</v>
      </c>
      <c r="BN74" s="11">
        <f>+COUNTIFS('muddati otgan'!C:C,A74,'muddati otgan'!J:J,"Hujjatlarni tekshirish")</f>
        <v>0</v>
      </c>
      <c r="BO74" s="11">
        <f>+COUNTIFS('muddati otgan'!C:C,A74,'muddati otgan'!J:J,"Tasdiqlash")</f>
        <v>0</v>
      </c>
      <c r="BP74" s="11">
        <f>+COUNTIFS('muddati otgan'!C:C,A74,'muddati otgan'!J:J,"tekshirish/tasdiqlash")</f>
        <v>0</v>
      </c>
      <c r="BQ74" s="11">
        <f>+COUNTIFS('muddati otgan'!C:C,A74,'muddati otgan'!J:J,"Ma'lumotlarni tasdiqlash")</f>
        <v>0</v>
      </c>
      <c r="BR74" s="11">
        <f t="shared" ref="BR74" si="144">BS74+BU74+BV74+BW74+BX74+BY74-BT74</f>
        <v>0</v>
      </c>
      <c r="BS74" s="11">
        <f>+COUNTIFS('muddati otgan'!C:C,A74,'muddati otgan'!J:J,"Ro'yxatdan o'tkazish ma'lumotlarini tekshirish")</f>
        <v>0</v>
      </c>
      <c r="BT74" s="11">
        <f>+COUNTIFS('muddati otgan'!C:C,A74,'muddati otgan'!J:J,"Kamchiliklar bo'yicha habarnoma yuborish va 3 kunga to'xtatish")</f>
        <v>0</v>
      </c>
      <c r="BU74" s="11">
        <f>+COUNTIFS('muddati otgan'!C:C,A74,'muddati otgan'!J:J,"Hisobga olish")</f>
        <v>0</v>
      </c>
      <c r="BV74" s="11">
        <f>+COUNTIFS('muddati otgan'!C:C,A74,'muddati otgan'!J:J,"Yer uchastkasiga huquq yaratish")</f>
        <v>0</v>
      </c>
      <c r="BW74" s="11">
        <f>+COUNTIFS('muddati otgan'!C:C,A74,'muddati otgan'!J:J,"Bino-inshootga huquq yaratish")</f>
        <v>0</v>
      </c>
      <c r="BX74" s="11">
        <f>+COUNTIFS('muddati otgan'!C:C,A74,'muddati otgan'!J:J,"Cheklov yaratish")</f>
        <v>0</v>
      </c>
      <c r="BY74" s="11">
        <f>+COUNTIFS('muddati otgan'!C:C,A74,'muddati otgan'!J:J,"Taqiq yaratish")</f>
        <v>0</v>
      </c>
      <c r="BZ74" s="11">
        <f t="shared" ref="BZ74" si="145">CA74</f>
        <v>0</v>
      </c>
      <c r="CA74" s="11">
        <f>+COUNTIFS('muddati otgan'!C:C,A74,'muddati otgan'!J:J,"Soliq maydonini tekshirish")</f>
        <v>0</v>
      </c>
      <c r="CB74" s="11">
        <f t="shared" ref="CB74" si="146">CC74</f>
        <v>0</v>
      </c>
      <c r="CC74" s="11">
        <f>+COUNTIFS('muddati otgan'!C:C,A74,'muddati otgan'!J:J,"Kadastr yig'majildini shakllantirish")</f>
        <v>0</v>
      </c>
      <c r="CD74" s="11">
        <f t="shared" ref="CD74" si="147">CE74+CF74+CG74+CI74+CJ74+CH74</f>
        <v>0</v>
      </c>
      <c r="CE74" s="11">
        <f>+COUNTIFS('muddati otgan'!C:C,A74,'muddati otgan'!J:J,"Kadastr passportini shakllantirish")</f>
        <v>0</v>
      </c>
      <c r="CF74" s="11">
        <f>+COUNTIFS('muddati otgan'!C:C,A74,'muddati otgan'!J:J,"Yig'ma jildni tasdiqlash")</f>
        <v>0</v>
      </c>
      <c r="CG74" s="11">
        <f>+COUNTIFS('muddati otgan'!C:C,A74,'muddati otgan'!J:J,"To'lov yoki bepul tasdiqlash")</f>
        <v>0</v>
      </c>
      <c r="CH74" s="11">
        <f>+COUNTIFS('muddati otgan'!C:C,A74,'muddati otgan'!J:J,"Bog'liq arizani kutish")</f>
        <v>0</v>
      </c>
      <c r="CI74" s="11">
        <f>+COUNTIFS('muddati otgan'!C:C,A74,'muddati otgan'!J:J,"To'lovga chiqarish")</f>
        <v>0</v>
      </c>
      <c r="CJ74" s="11">
        <f>+COUNTIFS('muddati otgan'!C:C,A74,'muddati otgan'!J:J,"Hisobga qo'yish")</f>
        <v>0</v>
      </c>
      <c r="CK74" s="6">
        <f>+COUNTIFS('muddati otgan'!C:C,A74,'muddati otgan'!J:J,"To'lov kutilmoqda")</f>
        <v>0</v>
      </c>
      <c r="CL74" s="11">
        <f t="shared" ref="CL74" si="148">CM74+CN74+CO74+CP74+CQ74+CR74+CS74+CT74</f>
        <v>0</v>
      </c>
      <c r="CM74" s="11">
        <f>+COUNTIFS('muddati otgan'!C:C,A74,'muddati otgan'!AA:AA,"Arizani qabul qilish2")</f>
        <v>0</v>
      </c>
      <c r="CN74" s="11">
        <f>+COUNTIFS('muddati otgan'!C:C,A74,'muddati otgan'!J:J,"Huquqlarni tekshirish")</f>
        <v>0</v>
      </c>
      <c r="CO74" s="11">
        <f>+COUNTIFS('muddati otgan'!C:C,A74,'muddati otgan'!J:J,"Ko'chmas mulkni ro'yhatdan o'tkazishga qabul qilish")</f>
        <v>0</v>
      </c>
      <c r="CP74" s="11">
        <f>+COUNTIFS('muddati otgan'!C:C,A74,'muddati otgan'!J:J,"Ro'yxatdan o'tkazish")</f>
        <v>0</v>
      </c>
      <c r="CQ74" s="11">
        <f>+COUNTIFS('muddati otgan'!C:C,A74,'muddati otgan'!J:J,"Kadastr pasporti va ko'chirmani yuborish")</f>
        <v>0</v>
      </c>
      <c r="CR74" s="11">
        <f>+COUNTIFS('muddati otgan'!C:C,A74,'muddati otgan'!AA:AA,"Rad qilish2")</f>
        <v>0</v>
      </c>
      <c r="CS74" s="11">
        <f>+COUNTIFS('muddati otgan'!C:C,A74,'muddati otgan'!J:J,"Ko'chirmani yuborish")</f>
        <v>0</v>
      </c>
      <c r="CT74" s="11">
        <f>+COUNTIFS('muddati otgan'!C:C,A74,'muddati otgan'!J:J,"Ma‘lumotlarni tekshirish")</f>
        <v>0</v>
      </c>
      <c r="CU74" s="11">
        <f t="shared" ref="CU74" si="149">CV74</f>
        <v>0</v>
      </c>
      <c r="CV74" s="11">
        <f>+COUNTIFS('muddati otgan'!C:C,A74,'muddati otgan'!J:J,"Kadastr yig'majildini chop etish va arxiv ishiga tikish")</f>
        <v>0</v>
      </c>
      <c r="CW74" s="11">
        <f t="shared" ref="CW74" si="150">CX74+CY74</f>
        <v>0</v>
      </c>
      <c r="CX74" s="11">
        <f>+COUNTIFS('muddati otgan'!C:C,A74,'muddati otgan'!J:J,"Kadastr yig‘majildini qabul qilish, arizani yakunlash")</f>
        <v>0</v>
      </c>
      <c r="CY74" s="11">
        <f>+COUNTIFS('muddati otgan'!C:C,A74,'muddati otgan'!J:J,"Next Cloudga yuklash")</f>
        <v>0</v>
      </c>
      <c r="CZ74" s="6">
        <f>+COUNTIFS('muddati otgan'!C:C,A74,'muddati otgan'!J:J,"Kelishish kutilmoqda")</f>
        <v>0</v>
      </c>
      <c r="DA74" s="6">
        <f>+COUNTIFS('muddati otgan'!C:C,A74,'muddati otgan'!J:J,"Yakunlandi")</f>
        <v>1</v>
      </c>
      <c r="DB74" s="10">
        <f>+COUNTIFS('muddati otgan'!C:C,A74,'muddati otgan'!J:J,"Rad etildi")</f>
        <v>0</v>
      </c>
      <c r="DC74" s="100">
        <f t="shared" ref="DC74" si="151">CK74+CZ74+DA74+DB74-D74</f>
        <v>-1</v>
      </c>
      <c r="DD74" s="44">
        <f>COUNTIFS('jami 1-20 kunlik arizalar'!C:C,A:A,'jami 1-20 kunlik arizalar'!S:S,"1")</f>
        <v>0</v>
      </c>
      <c r="DE74" s="11">
        <f>COUNTIFS('jami 1-20 kunlik arizalar'!C:C,A:A,'jami 1-20 kunlik arizalar'!S:S,"2")</f>
        <v>0</v>
      </c>
      <c r="DF74" s="11">
        <f>COUNTIFS('jami 1-20 kunlik arizalar'!C:C,A:A,'jami 1-20 kunlik arizalar'!S:S,"3")</f>
        <v>0</v>
      </c>
      <c r="DG74" s="11">
        <f>COUNTIFS('jami 1-20 kunlik arizalar'!C:C,A:A,'jami 1-20 kunlik arizalar'!S:S,"4")</f>
        <v>2</v>
      </c>
      <c r="DH74" s="11">
        <f>COUNTIFS('jami 1-20 kunlik arizalar'!C:C,A:A,'jami 1-20 kunlik arizalar'!S:S,"5")</f>
        <v>1</v>
      </c>
      <c r="DI74" s="11">
        <f>SUM(COUNTIFS('jami 1-20 kunlik arizalar'!C:C,A:A, 'jami 1-20 kunlik arizalar'!S:S, {6,7,8,9,10}))</f>
        <v>2</v>
      </c>
      <c r="DJ74" s="12">
        <f>SUM(COUNTIFS('jami 1-20 kunlik arizalar'!C:C,A:A, 'jami 1-20 kunlik arizalar'!S:S, "&gt;10"))</f>
        <v>4</v>
      </c>
    </row>
    <row r="75" spans="1:114" ht="51.95" hidden="1" customHeight="1" outlineLevel="1" x14ac:dyDescent="0.25">
      <c r="A75" s="92" t="s">
        <v>427</v>
      </c>
      <c r="B75" s="106" t="s">
        <v>958</v>
      </c>
      <c r="C75" s="85" t="s">
        <v>414</v>
      </c>
      <c r="D75" s="80">
        <f>+COUNTIFS('muddati otgan'!C:C,A75,'muddati otgan'!C:C,A75)</f>
        <v>3</v>
      </c>
      <c r="E75" s="10">
        <f>SUMIFS('muddati otgan'!$V:V,'muddati otgan'!$C:C,$A:A)</f>
        <v>1</v>
      </c>
      <c r="F75" s="10">
        <f>SUMIFS('muddati otgan'!$W:W,'muddati otgan'!$C:C,$A:A)</f>
        <v>1</v>
      </c>
      <c r="G75" s="24">
        <f>SUMIFS('muddati otgan'!$U:U,'muddati otgan'!$C:C,$A:A)</f>
        <v>1</v>
      </c>
      <c r="H75" s="11">
        <f>SUMIFS('muddati otgan'!$G:G,'muddati otgan'!$C:C,$A:A)</f>
        <v>2</v>
      </c>
      <c r="I75" s="12">
        <f>SUMIFS('muddati otgan'!$H:H,'muddati otgan'!$C:C,$A:A)</f>
        <v>1</v>
      </c>
      <c r="J75" s="44">
        <f t="shared" ref="J75:J86" si="152">K75+P75+Q75+R75+S75+T75+U75+V75+W75+L75+O75+M75+N75+X75</f>
        <v>0</v>
      </c>
      <c r="K75" s="11">
        <f>+COUNTIFS('muddati otgan'!C:C,A75,'muddati otgan'!AA:AA,"Arizani qabul qilish")</f>
        <v>0</v>
      </c>
      <c r="L75" s="11">
        <f>+COUNTIFS('muddati otgan'!C:C,A75,'muddati otgan'!J:J,"Arizani rad etish")</f>
        <v>0</v>
      </c>
      <c r="M75" s="11">
        <f>+COUNTIFS('muddati otgan'!C:C,A75,'muddati otgan'!J:J,"Arizani tasdiqlash")</f>
        <v>0</v>
      </c>
      <c r="N75" s="11">
        <f>+COUNTIFS('muddati otgan'!C:C,A75,'muddati otgan'!J:J,"Arizani yo'naltirish")</f>
        <v>0</v>
      </c>
      <c r="O75" s="11">
        <f>+COUNTIFS('muddati otgan'!C:C,A75,'muddati otgan'!J:J,"Rad qilish sababini o'rganish")</f>
        <v>0</v>
      </c>
      <c r="P75" s="11">
        <f>+COUNTIFS('muddati otgan'!C:C,A75,'muddati otgan'!J:J,"Ko'chmas mulkni UZKAD ga migratsiya qilish")</f>
        <v>0</v>
      </c>
      <c r="Q75" s="11">
        <f>+COUNTIFS('muddati otgan'!C:C,A75,'muddati otgan'!J:J,"Migratisya qilingan obyekt holatini tekshirish")</f>
        <v>0</v>
      </c>
      <c r="R75" s="11">
        <f>+COUNTIFS('muddati otgan'!C:C,A75,'muddati otgan'!J:J,"Ko‘chmas mulkni tanlash")</f>
        <v>0</v>
      </c>
      <c r="S75" s="11">
        <f>+COUNTIFS('muddati otgan'!C:C,A75,'muddati otgan'!J:J,"Arizani ko'rib chiqish")</f>
        <v>0</v>
      </c>
      <c r="T75" s="11">
        <f>+COUNTIFS('muddati otgan'!C:C,A75,'muddati otgan'!J:J,"Kadastr muhandisini tanlash")</f>
        <v>0</v>
      </c>
      <c r="U75" s="11">
        <f>+COUNTIFS('muddati otgan'!C:C,A75,'muddati otgan'!J:J,"Ko'chmas mulk turini tanlahsh")</f>
        <v>0</v>
      </c>
      <c r="V75" s="11">
        <f>+COUNTIFS('muddati otgan'!C:C,A75,'muddati otgan'!AA:AA,"Rad qilish")</f>
        <v>0</v>
      </c>
      <c r="W75" s="11">
        <f>+COUNTIFS('muddati otgan'!C:C,A75,'muddati otgan'!J:J,"ijrochi tanlash")</f>
        <v>0</v>
      </c>
      <c r="X75" s="11">
        <f>+COUNTIFS('muddati otgan'!C:C,A75,'muddati otgan'!J:J,"Ko'chmas mulk turini tanlash")</f>
        <v>0</v>
      </c>
      <c r="Y75" s="11">
        <f t="shared" ref="Y75:Y86" si="153">Z75+AD75+AF75+AE75+AC75+AB75+AA75</f>
        <v>0</v>
      </c>
      <c r="Z75" s="11">
        <f>+COUNTIFS('muddati otgan'!C:C,A75,'muddati otgan'!J:J,"Ijroga qabul qilish")</f>
        <v>0</v>
      </c>
      <c r="AA75" s="11">
        <f>+COUNTIFS('muddati otgan'!C:C,A75,'muddati otgan'!J:J,"Joyida o'rganish va ma'lumotlarni kiritish")</f>
        <v>0</v>
      </c>
      <c r="AB75" s="11">
        <f>+COUNTIFS('muddati otgan'!C:C,A75,'muddati otgan'!J:J,"Asosiy qismdan ajratish jarayonida")</f>
        <v>0</v>
      </c>
      <c r="AC75" s="11">
        <f>+COUNTIFS('muddati otgan'!C:C,A75,'muddati otgan'!J:J,"Umumiy foydalanishdagi obyekt yaratilish")</f>
        <v>0</v>
      </c>
      <c r="AD75" s="11">
        <f>+COUNTIFS('muddati otgan'!C:C,A75,'muddati otgan'!J:J,"Migratsiya qilinadigan kadastr raqamini kiritish")</f>
        <v>0</v>
      </c>
      <c r="AE75" s="11">
        <f>+COUNTIFS('muddati otgan'!C:C,A75,'muddati otgan'!J:J,"O'zida qolgan obyektni yaratish")</f>
        <v>0</v>
      </c>
      <c r="AF75" s="11">
        <f>+COUNTIFS('muddati otgan'!C:C,A75,'muddati otgan'!J:J,"O'lchov natijalarini kiritish")</f>
        <v>0</v>
      </c>
      <c r="AG75" s="11">
        <f>+COUNTIFS('muddati otgan'!C:C,A75,'muddati otgan'!J:J,"Topoxaritani tayyorlash (dwg, pdf)")</f>
        <v>0</v>
      </c>
      <c r="AH75" s="11">
        <f t="shared" ref="AH75:AH86" si="154">AI75</f>
        <v>0</v>
      </c>
      <c r="AI75" s="11">
        <f>+COUNTIFS('muddati otgan'!C:C,A75,'muddati otgan'!J:J,"Yer uchastkasini yaratish")</f>
        <v>0</v>
      </c>
      <c r="AJ75" s="11">
        <f t="shared" ref="AJ75:AJ86" si="155">AK75</f>
        <v>0</v>
      </c>
      <c r="AK75" s="11">
        <f>+COUNTIFS('muddati otgan'!C:C,A75,'muddati otgan'!J:J,"Kelishish (Boshqarma)")</f>
        <v>0</v>
      </c>
      <c r="AL75" s="11">
        <f t="shared" ref="AL75:AL86" si="156">AM75+AN75+AO75</f>
        <v>0</v>
      </c>
      <c r="AM75" s="11">
        <f>+COUNTIFS('muddati otgan'!C:C,A75,'muddati otgan'!J:J,"Kelishish (DKP)")</f>
        <v>0</v>
      </c>
      <c r="AN75" s="11">
        <f>+COUNTIFS('muddati otgan'!C:C,A75,'muddati otgan'!J:J,"Kelishish")</f>
        <v>0</v>
      </c>
      <c r="AO75" s="11">
        <f>+COUNTIFS('muddati otgan'!C:C,A75,'muddati otgan'!J:J,"Kelishish (Registratsiya DKP)")</f>
        <v>0</v>
      </c>
      <c r="AP75" s="11">
        <f t="shared" ref="AP75:AP86" si="157">AQ75+AR75+AS75+AT75</f>
        <v>0</v>
      </c>
      <c r="AQ75" s="11">
        <f>+COUNTIFS('muddati otgan'!C:C,A75,'muddati otgan'!J:J,"Manzil biriktirish")</f>
        <v>0</v>
      </c>
      <c r="AR75" s="11">
        <f>+COUNTIFS('muddati otgan'!C:C,A75,'muddati otgan'!J:J,"Bino va inshootlarni yaratish")</f>
        <v>0</v>
      </c>
      <c r="AS75" s="11">
        <f>+COUNTIFS('muddati otgan'!C:C,A75,'muddati otgan'!J:J,"Dov daraxtlarni yaratish")</f>
        <v>0</v>
      </c>
      <c r="AT75" s="11">
        <f>+COUNTIFS('muddati otgan'!C:C,A75,'muddati otgan'!J:J,"Yer uchastkasini tahrirlash")</f>
        <v>0</v>
      </c>
      <c r="AU75" s="11">
        <f t="shared" ref="AU75:AU86" si="158">AV75+AW75+AX75+AY75+AZ75</f>
        <v>0</v>
      </c>
      <c r="AV75" s="11">
        <f>+COUNTIFS('muddati otgan'!C:C,A75,'muddati otgan'!J:J,"Yer toifasi va maqsadini kiritish")</f>
        <v>0</v>
      </c>
      <c r="AW75" s="11">
        <f>+COUNTIFS('muddati otgan'!C:C,A75,'muddati otgan'!J:J,"Auksion yer tekshirish")</f>
        <v>0</v>
      </c>
      <c r="AX75" s="11">
        <f>+COUNTIFS('muddati otgan'!C:C,A75,'muddati otgan'!J:J,"Yer turlarini kiritish")</f>
        <v>0</v>
      </c>
      <c r="AY75" s="11">
        <f>+COUNTIFS('muddati otgan'!C:C,A75,'muddati otgan'!J:J,"Ma'lumotlarni kiritish")</f>
        <v>0</v>
      </c>
      <c r="AZ75" s="11">
        <f>+COUNTIFS('muddati otgan'!C:C,A75,'muddati otgan'!J:J,"Yer tekshirish")</f>
        <v>0</v>
      </c>
      <c r="BA75" s="11">
        <f t="shared" ref="BA75:BA86" si="159">BB75+BC75+BD75+BE75+BF75+BG75+BH75+BI75+BJ75+BK75</f>
        <v>0</v>
      </c>
      <c r="BB75" s="11">
        <f>+COUNTIFS('muddati otgan'!C:C,A75,'muddati otgan'!J:J,"Bino va inshoot ma'lumotlarini to‘ldirish")</f>
        <v>0</v>
      </c>
      <c r="BC75" s="11">
        <f>+COUNTIFS('muddati otgan'!C:C,A75,'muddati otgan'!J:J,"Inventarizatsiya ma'lumotlarini to‘ldirish")</f>
        <v>0</v>
      </c>
      <c r="BD75" s="11">
        <f>+COUNTIFS('muddati otgan'!C:C,A75,'muddati otgan'!J:J,"Yer uchastkasiga huquqiy hujjatlarni kiritsh")</f>
        <v>0</v>
      </c>
      <c r="BE75" s="11">
        <f>+COUNTIFS('muddati otgan'!C:C,A75,'muddati otgan'!J:J,"Bino-inshootlarga huquqiy hujjatlarni kiritsh")</f>
        <v>0</v>
      </c>
      <c r="BF75" s="11">
        <f>+COUNTIFS('muddati otgan'!C:C,A75,'muddati otgan'!J:J,"Kadastr qiymatini hisoblash va kiritish")</f>
        <v>0</v>
      </c>
      <c r="BG75" s="11">
        <f>+COUNTIFS('muddati otgan'!C:C,A75,'muddati otgan'!J:J,"Kadastr raqam biriktirish")</f>
        <v>0</v>
      </c>
      <c r="BH75" s="11">
        <f>+COUNTIFS('muddati otgan'!C:C,A75,'muddati otgan'!J:J,"Kadastr yig'ma jildni tayyorlash")</f>
        <v>0</v>
      </c>
      <c r="BI75" s="11">
        <f>+COUNTIFS('muddati otgan'!C:C,A75,'muddati otgan'!J:J,"Huquqni yaratish")</f>
        <v>0</v>
      </c>
      <c r="BJ75" s="11">
        <f>+COUNTIFS('muddati otgan'!C:C,A75,'muddati otgan'!J:J,"Hujjatlarni o'rganish")</f>
        <v>0</v>
      </c>
      <c r="BK75" s="11">
        <f>+COUNTIFS('muddati otgan'!C:C,A75,'muddati otgan'!J:J,"Ma'lumotlarni tekshirish")</f>
        <v>0</v>
      </c>
      <c r="BL75" s="11">
        <f t="shared" ref="BL75:BL86" si="160">BM75+BN75+BP75+BO75+BQ75</f>
        <v>0</v>
      </c>
      <c r="BM75" s="11">
        <f>+COUNTIFS('muddati otgan'!C:C,A75,'muddati otgan'!J:J,"Tekshirish")</f>
        <v>0</v>
      </c>
      <c r="BN75" s="11">
        <f>+COUNTIFS('muddati otgan'!C:C,A75,'muddati otgan'!J:J,"Hujjatlarni tekshirish")</f>
        <v>0</v>
      </c>
      <c r="BO75" s="11">
        <f>+COUNTIFS('muddati otgan'!C:C,A75,'muddati otgan'!J:J,"Tasdiqlash")</f>
        <v>0</v>
      </c>
      <c r="BP75" s="11">
        <f>+COUNTIFS('muddati otgan'!C:C,A75,'muddati otgan'!J:J,"tekshirish/tasdiqlash")</f>
        <v>0</v>
      </c>
      <c r="BQ75" s="11">
        <f>+COUNTIFS('muddati otgan'!C:C,A75,'muddati otgan'!J:J,"Ma'lumotlarni tasdiqlash")</f>
        <v>0</v>
      </c>
      <c r="BR75" s="11">
        <f t="shared" ref="BR75:BR86" si="161">BS75+BU75+BV75+BW75+BX75+BY75-BT75</f>
        <v>0</v>
      </c>
      <c r="BS75" s="11">
        <f>+COUNTIFS('muddati otgan'!C:C,A75,'muddati otgan'!J:J,"Ro'yxatdan o'tkazish ma'lumotlarini tekshirish")</f>
        <v>0</v>
      </c>
      <c r="BT75" s="11">
        <f>+COUNTIFS('muddati otgan'!C:C,A75,'muddati otgan'!J:J,"Kamchiliklar bo'yicha habarnoma yuborish va 3 kunga to'xtatish")</f>
        <v>0</v>
      </c>
      <c r="BU75" s="11">
        <f>+COUNTIFS('muddati otgan'!C:C,A75,'muddati otgan'!J:J,"Hisobga olish")</f>
        <v>0</v>
      </c>
      <c r="BV75" s="11">
        <f>+COUNTIFS('muddati otgan'!C:C,A75,'muddati otgan'!J:J,"Yer uchastkasiga huquq yaratish")</f>
        <v>0</v>
      </c>
      <c r="BW75" s="11">
        <f>+COUNTIFS('muddati otgan'!C:C,A75,'muddati otgan'!J:J,"Bino-inshootga huquq yaratish")</f>
        <v>0</v>
      </c>
      <c r="BX75" s="11">
        <f>+COUNTIFS('muddati otgan'!C:C,A75,'muddati otgan'!J:J,"Cheklov yaratish")</f>
        <v>0</v>
      </c>
      <c r="BY75" s="11">
        <f>+COUNTIFS('muddati otgan'!C:C,A75,'muddati otgan'!J:J,"Taqiq yaratish")</f>
        <v>0</v>
      </c>
      <c r="BZ75" s="11">
        <f t="shared" ref="BZ75:BZ86" si="162">CA75</f>
        <v>0</v>
      </c>
      <c r="CA75" s="11">
        <f>+COUNTIFS('muddati otgan'!C:C,A75,'muddati otgan'!J:J,"Soliq maydonini tekshirish")</f>
        <v>0</v>
      </c>
      <c r="CB75" s="11">
        <f t="shared" ref="CB75:CB86" si="163">CC75</f>
        <v>0</v>
      </c>
      <c r="CC75" s="11">
        <f>+COUNTIFS('muddati otgan'!C:C,A75,'muddati otgan'!J:J,"Kadastr yig'majildini shakllantirish")</f>
        <v>0</v>
      </c>
      <c r="CD75" s="11">
        <f t="shared" ref="CD75:CD86" si="164">CE75+CF75+CG75+CI75+CJ75+CH75</f>
        <v>0</v>
      </c>
      <c r="CE75" s="11">
        <f>+COUNTIFS('muddati otgan'!C:C,A75,'muddati otgan'!J:J,"Kadastr passportini shakllantirish")</f>
        <v>0</v>
      </c>
      <c r="CF75" s="11">
        <f>+COUNTIFS('muddati otgan'!C:C,A75,'muddati otgan'!J:J,"Yig'ma jildni tasdiqlash")</f>
        <v>0</v>
      </c>
      <c r="CG75" s="11">
        <f>+COUNTIFS('muddati otgan'!C:C,A75,'muddati otgan'!J:J,"To'lov yoki bepul tasdiqlash")</f>
        <v>0</v>
      </c>
      <c r="CH75" s="11">
        <f>+COUNTIFS('muddati otgan'!C:C,A75,'muddati otgan'!J:J,"Bog'liq arizani kutish")</f>
        <v>0</v>
      </c>
      <c r="CI75" s="11">
        <f>+COUNTIFS('muddati otgan'!C:C,A75,'muddati otgan'!J:J,"To'lovga chiqarish")</f>
        <v>0</v>
      </c>
      <c r="CJ75" s="11">
        <f>+COUNTIFS('muddati otgan'!C:C,A75,'muddati otgan'!J:J,"Hisobga qo'yish")</f>
        <v>0</v>
      </c>
      <c r="CK75" s="6">
        <f>+COUNTIFS('muddati otgan'!C:C,A75,'muddati otgan'!J:J,"To'lov kutilmoqda")</f>
        <v>1</v>
      </c>
      <c r="CL75" s="11">
        <f t="shared" ref="CL75:CL86" si="165">CM75+CN75+CO75+CP75+CQ75+CR75+CS75+CT75</f>
        <v>0</v>
      </c>
      <c r="CM75" s="11">
        <f>+COUNTIFS('muddati otgan'!C:C,A75,'muddati otgan'!AA:AA,"Arizani qabul qilish2")</f>
        <v>0</v>
      </c>
      <c r="CN75" s="11">
        <f>+COUNTIFS('muddati otgan'!C:C,A75,'muddati otgan'!J:J,"Huquqlarni tekshirish")</f>
        <v>0</v>
      </c>
      <c r="CO75" s="11">
        <f>+COUNTIFS('muddati otgan'!C:C,A75,'muddati otgan'!J:J,"Ko'chmas mulkni ro'yhatdan o'tkazishga qabul qilish")</f>
        <v>0</v>
      </c>
      <c r="CP75" s="11">
        <f>+COUNTIFS('muddati otgan'!C:C,A75,'muddati otgan'!J:J,"Ro'yxatdan o'tkazish")</f>
        <v>0</v>
      </c>
      <c r="CQ75" s="11">
        <f>+COUNTIFS('muddati otgan'!C:C,A75,'muddati otgan'!J:J,"Kadastr pasporti va ko'chirmani yuborish")</f>
        <v>0</v>
      </c>
      <c r="CR75" s="11">
        <f>+COUNTIFS('muddati otgan'!C:C,A75,'muddati otgan'!AA:AA,"Rad qilish2")</f>
        <v>0</v>
      </c>
      <c r="CS75" s="11">
        <f>+COUNTIFS('muddati otgan'!C:C,A75,'muddati otgan'!J:J,"Ko'chirmani yuborish")</f>
        <v>0</v>
      </c>
      <c r="CT75" s="11">
        <f>+COUNTIFS('muddati otgan'!C:C,A75,'muddati otgan'!J:J,"Ma‘lumotlarni tekshirish")</f>
        <v>0</v>
      </c>
      <c r="CU75" s="11">
        <f t="shared" ref="CU75:CU86" si="166">CV75</f>
        <v>0</v>
      </c>
      <c r="CV75" s="11">
        <f>+COUNTIFS('muddati otgan'!C:C,A75,'muddati otgan'!J:J,"Kadastr yig'majildini chop etish va arxiv ishiga tikish")</f>
        <v>0</v>
      </c>
      <c r="CW75" s="11">
        <f t="shared" ref="CW75:CW86" si="167">CX75+CY75</f>
        <v>0</v>
      </c>
      <c r="CX75" s="11">
        <f>+COUNTIFS('muddati otgan'!C:C,A75,'muddati otgan'!J:J,"Kadastr yig‘majildini qabul qilish, arizani yakunlash")</f>
        <v>0</v>
      </c>
      <c r="CY75" s="11">
        <f>+COUNTIFS('muddati otgan'!C:C,A75,'muddati otgan'!J:J,"Next Cloudga yuklash")</f>
        <v>0</v>
      </c>
      <c r="CZ75" s="6">
        <f>+COUNTIFS('muddati otgan'!C:C,A75,'muddati otgan'!J:J,"Kelishish kutilmoqda")</f>
        <v>0</v>
      </c>
      <c r="DA75" s="6">
        <f>+COUNTIFS('muddati otgan'!C:C,A75,'muddati otgan'!J:J,"Yakunlandi")</f>
        <v>2</v>
      </c>
      <c r="DB75" s="10">
        <f>+COUNTIFS('muddati otgan'!C:C,A75,'muddati otgan'!J:J,"Rad etildi")</f>
        <v>0</v>
      </c>
      <c r="DC75" s="100">
        <f t="shared" ref="DC75:DC86" si="168">CK75+CZ75+DA75+DB75-D75</f>
        <v>0</v>
      </c>
      <c r="DD75" s="44">
        <f>COUNTIFS('jami 1-20 kunlik arizalar'!C:C,A:A,'jami 1-20 kunlik arizalar'!S:S,"1")</f>
        <v>0</v>
      </c>
      <c r="DE75" s="11">
        <f>COUNTIFS('jami 1-20 kunlik arizalar'!C:C,A:A,'jami 1-20 kunlik arizalar'!S:S,"2")</f>
        <v>0</v>
      </c>
      <c r="DF75" s="11">
        <f>COUNTIFS('jami 1-20 kunlik arizalar'!C:C,A:A,'jami 1-20 kunlik arizalar'!S:S,"3")</f>
        <v>3</v>
      </c>
      <c r="DG75" s="11">
        <f>COUNTIFS('jami 1-20 kunlik arizalar'!C:C,A:A,'jami 1-20 kunlik arizalar'!S:S,"4")</f>
        <v>4</v>
      </c>
      <c r="DH75" s="11">
        <f>COUNTIFS('jami 1-20 kunlik arizalar'!C:C,A:A,'jami 1-20 kunlik arizalar'!S:S,"5")</f>
        <v>6</v>
      </c>
      <c r="DI75" s="11">
        <f>SUM(COUNTIFS('jami 1-20 kunlik arizalar'!C:C,A:A, 'jami 1-20 kunlik arizalar'!S:S, {6,7,8,9,10}))</f>
        <v>13</v>
      </c>
      <c r="DJ75" s="12">
        <f>SUM(COUNTIFS('jami 1-20 kunlik arizalar'!C:C,A:A, 'jami 1-20 kunlik arizalar'!S:S, "&gt;10"))</f>
        <v>11</v>
      </c>
    </row>
    <row r="76" spans="1:114" ht="51.95" hidden="1" customHeight="1" outlineLevel="1" x14ac:dyDescent="0.25">
      <c r="A76" s="92" t="s">
        <v>428</v>
      </c>
      <c r="B76" s="106" t="s">
        <v>958</v>
      </c>
      <c r="C76" s="85" t="s">
        <v>415</v>
      </c>
      <c r="D76" s="80">
        <f>+COUNTIFS('muddati otgan'!C:C,A76,'muddati otgan'!C:C,A76)</f>
        <v>1</v>
      </c>
      <c r="E76" s="10">
        <f>SUMIFS('muddati otgan'!$V:V,'muddati otgan'!$C:C,$A:A)</f>
        <v>0</v>
      </c>
      <c r="F76" s="10">
        <f>SUMIFS('muddati otgan'!$W:W,'muddati otgan'!$C:C,$A:A)</f>
        <v>0</v>
      </c>
      <c r="G76" s="24">
        <f>SUMIFS('muddati otgan'!$U:U,'muddati otgan'!$C:C,$A:A)</f>
        <v>1</v>
      </c>
      <c r="H76" s="11">
        <f>SUMIFS('muddati otgan'!$G:G,'muddati otgan'!$C:C,$A:A)</f>
        <v>1</v>
      </c>
      <c r="I76" s="12">
        <f>SUMIFS('muddati otgan'!$H:H,'muddati otgan'!$C:C,$A:A)</f>
        <v>0</v>
      </c>
      <c r="J76" s="44">
        <f t="shared" si="152"/>
        <v>0</v>
      </c>
      <c r="K76" s="11">
        <f>+COUNTIFS('muddati otgan'!C:C,A76,'muddati otgan'!AA:AA,"Arizani qabul qilish")</f>
        <v>0</v>
      </c>
      <c r="L76" s="11">
        <f>+COUNTIFS('muddati otgan'!C:C,A76,'muddati otgan'!J:J,"Arizani rad etish")</f>
        <v>0</v>
      </c>
      <c r="M76" s="11">
        <f>+COUNTIFS('muddati otgan'!C:C,A76,'muddati otgan'!J:J,"Arizani tasdiqlash")</f>
        <v>0</v>
      </c>
      <c r="N76" s="11">
        <f>+COUNTIFS('muddati otgan'!C:C,A76,'muddati otgan'!J:J,"Arizani yo'naltirish")</f>
        <v>0</v>
      </c>
      <c r="O76" s="11">
        <f>+COUNTIFS('muddati otgan'!C:C,A76,'muddati otgan'!J:J,"Rad qilish sababini o'rganish")</f>
        <v>0</v>
      </c>
      <c r="P76" s="11">
        <f>+COUNTIFS('muddati otgan'!C:C,A76,'muddati otgan'!J:J,"Ko'chmas mulkni UZKAD ga migratsiya qilish")</f>
        <v>0</v>
      </c>
      <c r="Q76" s="11">
        <f>+COUNTIFS('muddati otgan'!C:C,A76,'muddati otgan'!J:J,"Migratisya qilingan obyekt holatini tekshirish")</f>
        <v>0</v>
      </c>
      <c r="R76" s="11">
        <f>+COUNTIFS('muddati otgan'!C:C,A76,'muddati otgan'!J:J,"Ko‘chmas mulkni tanlash")</f>
        <v>0</v>
      </c>
      <c r="S76" s="11">
        <f>+COUNTIFS('muddati otgan'!C:C,A76,'muddati otgan'!J:J,"Arizani ko'rib chiqish")</f>
        <v>0</v>
      </c>
      <c r="T76" s="11">
        <f>+COUNTIFS('muddati otgan'!C:C,A76,'muddati otgan'!J:J,"Kadastr muhandisini tanlash")</f>
        <v>0</v>
      </c>
      <c r="U76" s="11">
        <f>+COUNTIFS('muddati otgan'!C:C,A76,'muddati otgan'!J:J,"Ko'chmas mulk turini tanlahsh")</f>
        <v>0</v>
      </c>
      <c r="V76" s="11">
        <f>+COUNTIFS('muddati otgan'!C:C,A76,'muddati otgan'!AA:AA,"Rad qilish")</f>
        <v>0</v>
      </c>
      <c r="W76" s="11">
        <f>+COUNTIFS('muddati otgan'!C:C,A76,'muddati otgan'!J:J,"ijrochi tanlash")</f>
        <v>0</v>
      </c>
      <c r="X76" s="11">
        <f>+COUNTIFS('muddati otgan'!C:C,A76,'muddati otgan'!J:J,"Ko'chmas mulk turini tanlash")</f>
        <v>0</v>
      </c>
      <c r="Y76" s="11">
        <f t="shared" si="153"/>
        <v>0</v>
      </c>
      <c r="Z76" s="11">
        <f>+COUNTIFS('muddati otgan'!C:C,A76,'muddati otgan'!J:J,"Ijroga qabul qilish")</f>
        <v>0</v>
      </c>
      <c r="AA76" s="11">
        <f>+COUNTIFS('muddati otgan'!C:C,A76,'muddati otgan'!J:J,"Joyida o'rganish va ma'lumotlarni kiritish")</f>
        <v>0</v>
      </c>
      <c r="AB76" s="11">
        <f>+COUNTIFS('muddati otgan'!C:C,A76,'muddati otgan'!J:J,"Asosiy qismdan ajratish jarayonida")</f>
        <v>0</v>
      </c>
      <c r="AC76" s="11">
        <f>+COUNTIFS('muddati otgan'!C:C,A76,'muddati otgan'!J:J,"Umumiy foydalanishdagi obyekt yaratilish")</f>
        <v>0</v>
      </c>
      <c r="AD76" s="11">
        <f>+COUNTIFS('muddati otgan'!C:C,A76,'muddati otgan'!J:J,"Migratsiya qilinadigan kadastr raqamini kiritish")</f>
        <v>0</v>
      </c>
      <c r="AE76" s="11">
        <f>+COUNTIFS('muddati otgan'!C:C,A76,'muddati otgan'!J:J,"O'zida qolgan obyektni yaratish")</f>
        <v>0</v>
      </c>
      <c r="AF76" s="11">
        <f>+COUNTIFS('muddati otgan'!C:C,A76,'muddati otgan'!J:J,"O'lchov natijalarini kiritish")</f>
        <v>0</v>
      </c>
      <c r="AG76" s="11">
        <f>+COUNTIFS('muddati otgan'!C:C,A76,'muddati otgan'!J:J,"Topoxaritani tayyorlash (dwg, pdf)")</f>
        <v>0</v>
      </c>
      <c r="AH76" s="11">
        <f t="shared" si="154"/>
        <v>0</v>
      </c>
      <c r="AI76" s="11">
        <f>+COUNTIFS('muddati otgan'!C:C,A76,'muddati otgan'!J:J,"Yer uchastkasini yaratish")</f>
        <v>0</v>
      </c>
      <c r="AJ76" s="11">
        <f t="shared" si="155"/>
        <v>0</v>
      </c>
      <c r="AK76" s="11">
        <f>+COUNTIFS('muddati otgan'!C:C,A76,'muddati otgan'!J:J,"Kelishish (Boshqarma)")</f>
        <v>0</v>
      </c>
      <c r="AL76" s="11">
        <f t="shared" si="156"/>
        <v>0</v>
      </c>
      <c r="AM76" s="11">
        <f>+COUNTIFS('muddati otgan'!C:C,A76,'muddati otgan'!J:J,"Kelishish (DKP)")</f>
        <v>0</v>
      </c>
      <c r="AN76" s="11">
        <f>+COUNTIFS('muddati otgan'!C:C,A76,'muddati otgan'!J:J,"Kelishish")</f>
        <v>0</v>
      </c>
      <c r="AO76" s="11">
        <f>+COUNTIFS('muddati otgan'!C:C,A76,'muddati otgan'!J:J,"Kelishish (Registratsiya DKP)")</f>
        <v>0</v>
      </c>
      <c r="AP76" s="11">
        <f t="shared" si="157"/>
        <v>0</v>
      </c>
      <c r="AQ76" s="11">
        <f>+COUNTIFS('muddati otgan'!C:C,A76,'muddati otgan'!J:J,"Manzil biriktirish")</f>
        <v>0</v>
      </c>
      <c r="AR76" s="11">
        <f>+COUNTIFS('muddati otgan'!C:C,A76,'muddati otgan'!J:J,"Bino va inshootlarni yaratish")</f>
        <v>0</v>
      </c>
      <c r="AS76" s="11">
        <f>+COUNTIFS('muddati otgan'!C:C,A76,'muddati otgan'!J:J,"Dov daraxtlarni yaratish")</f>
        <v>0</v>
      </c>
      <c r="AT76" s="11">
        <f>+COUNTIFS('muddati otgan'!C:C,A76,'muddati otgan'!J:J,"Yer uchastkasini tahrirlash")</f>
        <v>0</v>
      </c>
      <c r="AU76" s="11">
        <f t="shared" si="158"/>
        <v>0</v>
      </c>
      <c r="AV76" s="11">
        <f>+COUNTIFS('muddati otgan'!C:C,A76,'muddati otgan'!J:J,"Yer toifasi va maqsadini kiritish")</f>
        <v>0</v>
      </c>
      <c r="AW76" s="11">
        <f>+COUNTIFS('muddati otgan'!C:C,A76,'muddati otgan'!J:J,"Auksion yer tekshirish")</f>
        <v>0</v>
      </c>
      <c r="AX76" s="11">
        <f>+COUNTIFS('muddati otgan'!C:C,A76,'muddati otgan'!J:J,"Yer turlarini kiritish")</f>
        <v>0</v>
      </c>
      <c r="AY76" s="11">
        <f>+COUNTIFS('muddati otgan'!C:C,A76,'muddati otgan'!J:J,"Ma'lumotlarni kiritish")</f>
        <v>0</v>
      </c>
      <c r="AZ76" s="11">
        <f>+COUNTIFS('muddati otgan'!C:C,A76,'muddati otgan'!J:J,"Yer tekshirish")</f>
        <v>0</v>
      </c>
      <c r="BA76" s="11">
        <f t="shared" si="159"/>
        <v>0</v>
      </c>
      <c r="BB76" s="11">
        <f>+COUNTIFS('muddati otgan'!C:C,A76,'muddati otgan'!J:J,"Bino va inshoot ma'lumotlarini to‘ldirish")</f>
        <v>0</v>
      </c>
      <c r="BC76" s="11">
        <f>+COUNTIFS('muddati otgan'!C:C,A76,'muddati otgan'!J:J,"Inventarizatsiya ma'lumotlarini to‘ldirish")</f>
        <v>0</v>
      </c>
      <c r="BD76" s="11">
        <f>+COUNTIFS('muddati otgan'!C:C,A76,'muddati otgan'!J:J,"Yer uchastkasiga huquqiy hujjatlarni kiritsh")</f>
        <v>0</v>
      </c>
      <c r="BE76" s="11">
        <f>+COUNTIFS('muddati otgan'!C:C,A76,'muddati otgan'!J:J,"Bino-inshootlarga huquqiy hujjatlarni kiritsh")</f>
        <v>0</v>
      </c>
      <c r="BF76" s="11">
        <f>+COUNTIFS('muddati otgan'!C:C,A76,'muddati otgan'!J:J,"Kadastr qiymatini hisoblash va kiritish")</f>
        <v>0</v>
      </c>
      <c r="BG76" s="11">
        <f>+COUNTIFS('muddati otgan'!C:C,A76,'muddati otgan'!J:J,"Kadastr raqam biriktirish")</f>
        <v>0</v>
      </c>
      <c r="BH76" s="11">
        <f>+COUNTIFS('muddati otgan'!C:C,A76,'muddati otgan'!J:J,"Kadastr yig'ma jildni tayyorlash")</f>
        <v>0</v>
      </c>
      <c r="BI76" s="11">
        <f>+COUNTIFS('muddati otgan'!C:C,A76,'muddati otgan'!J:J,"Huquqni yaratish")</f>
        <v>0</v>
      </c>
      <c r="BJ76" s="11">
        <f>+COUNTIFS('muddati otgan'!C:C,A76,'muddati otgan'!J:J,"Hujjatlarni o'rganish")</f>
        <v>0</v>
      </c>
      <c r="BK76" s="11">
        <f>+COUNTIFS('muddati otgan'!C:C,A76,'muddati otgan'!J:J,"Ma'lumotlarni tekshirish")</f>
        <v>0</v>
      </c>
      <c r="BL76" s="11">
        <f t="shared" si="160"/>
        <v>0</v>
      </c>
      <c r="BM76" s="11">
        <f>+COUNTIFS('muddati otgan'!C:C,A76,'muddati otgan'!J:J,"Tekshirish")</f>
        <v>0</v>
      </c>
      <c r="BN76" s="11">
        <f>+COUNTIFS('muddati otgan'!C:C,A76,'muddati otgan'!J:J,"Hujjatlarni tekshirish")</f>
        <v>0</v>
      </c>
      <c r="BO76" s="11">
        <f>+COUNTIFS('muddati otgan'!C:C,A76,'muddati otgan'!J:J,"Tasdiqlash")</f>
        <v>0</v>
      </c>
      <c r="BP76" s="11">
        <f>+COUNTIFS('muddati otgan'!C:C,A76,'muddati otgan'!J:J,"tekshirish/tasdiqlash")</f>
        <v>0</v>
      </c>
      <c r="BQ76" s="11">
        <f>+COUNTIFS('muddati otgan'!C:C,A76,'muddati otgan'!J:J,"Ma'lumotlarni tasdiqlash")</f>
        <v>0</v>
      </c>
      <c r="BR76" s="11">
        <f t="shared" si="161"/>
        <v>0</v>
      </c>
      <c r="BS76" s="11">
        <f>+COUNTIFS('muddati otgan'!C:C,A76,'muddati otgan'!J:J,"Ro'yxatdan o'tkazish ma'lumotlarini tekshirish")</f>
        <v>0</v>
      </c>
      <c r="BT76" s="11">
        <f>+COUNTIFS('muddati otgan'!C:C,A76,'muddati otgan'!J:J,"Kamchiliklar bo'yicha habarnoma yuborish va 3 kunga to'xtatish")</f>
        <v>0</v>
      </c>
      <c r="BU76" s="11">
        <f>+COUNTIFS('muddati otgan'!C:C,A76,'muddati otgan'!J:J,"Hisobga olish")</f>
        <v>0</v>
      </c>
      <c r="BV76" s="11">
        <f>+COUNTIFS('muddati otgan'!C:C,A76,'muddati otgan'!J:J,"Yer uchastkasiga huquq yaratish")</f>
        <v>0</v>
      </c>
      <c r="BW76" s="11">
        <f>+COUNTIFS('muddati otgan'!C:C,A76,'muddati otgan'!J:J,"Bino-inshootga huquq yaratish")</f>
        <v>0</v>
      </c>
      <c r="BX76" s="11">
        <f>+COUNTIFS('muddati otgan'!C:C,A76,'muddati otgan'!J:J,"Cheklov yaratish")</f>
        <v>0</v>
      </c>
      <c r="BY76" s="11">
        <f>+COUNTIFS('muddati otgan'!C:C,A76,'muddati otgan'!J:J,"Taqiq yaratish")</f>
        <v>0</v>
      </c>
      <c r="BZ76" s="11">
        <f t="shared" si="162"/>
        <v>0</v>
      </c>
      <c r="CA76" s="11">
        <f>+COUNTIFS('muddati otgan'!C:C,A76,'muddati otgan'!J:J,"Soliq maydonini tekshirish")</f>
        <v>0</v>
      </c>
      <c r="CB76" s="11">
        <f t="shared" si="163"/>
        <v>0</v>
      </c>
      <c r="CC76" s="11">
        <f>+COUNTIFS('muddati otgan'!C:C,A76,'muddati otgan'!J:J,"Kadastr yig'majildini shakllantirish")</f>
        <v>0</v>
      </c>
      <c r="CD76" s="11">
        <f t="shared" si="164"/>
        <v>1</v>
      </c>
      <c r="CE76" s="11">
        <f>+COUNTIFS('muddati otgan'!C:C,A76,'muddati otgan'!J:J,"Kadastr passportini shakllantirish")</f>
        <v>1</v>
      </c>
      <c r="CF76" s="11">
        <f>+COUNTIFS('muddati otgan'!C:C,A76,'muddati otgan'!J:J,"Yig'ma jildni tasdiqlash")</f>
        <v>0</v>
      </c>
      <c r="CG76" s="11">
        <f>+COUNTIFS('muddati otgan'!C:C,A76,'muddati otgan'!J:J,"To'lov yoki bepul tasdiqlash")</f>
        <v>0</v>
      </c>
      <c r="CH76" s="11">
        <f>+COUNTIFS('muddati otgan'!C:C,A76,'muddati otgan'!J:J,"Bog'liq arizani kutish")</f>
        <v>0</v>
      </c>
      <c r="CI76" s="11">
        <f>+COUNTIFS('muddati otgan'!C:C,A76,'muddati otgan'!J:J,"To'lovga chiqarish")</f>
        <v>0</v>
      </c>
      <c r="CJ76" s="11">
        <f>+COUNTIFS('muddati otgan'!C:C,A76,'muddati otgan'!J:J,"Hisobga qo'yish")</f>
        <v>0</v>
      </c>
      <c r="CK76" s="6">
        <f>+COUNTIFS('muddati otgan'!C:C,A76,'muddati otgan'!J:J,"To'lov kutilmoqda")</f>
        <v>0</v>
      </c>
      <c r="CL76" s="11">
        <f t="shared" si="165"/>
        <v>0</v>
      </c>
      <c r="CM76" s="11">
        <f>+COUNTIFS('muddati otgan'!C:C,A76,'muddati otgan'!AA:AA,"Arizani qabul qilish2")</f>
        <v>0</v>
      </c>
      <c r="CN76" s="11">
        <f>+COUNTIFS('muddati otgan'!C:C,A76,'muddati otgan'!J:J,"Huquqlarni tekshirish")</f>
        <v>0</v>
      </c>
      <c r="CO76" s="11">
        <f>+COUNTIFS('muddati otgan'!C:C,A76,'muddati otgan'!J:J,"Ko'chmas mulkni ro'yhatdan o'tkazishga qabul qilish")</f>
        <v>0</v>
      </c>
      <c r="CP76" s="11">
        <f>+COUNTIFS('muddati otgan'!C:C,A76,'muddati otgan'!J:J,"Ro'yxatdan o'tkazish")</f>
        <v>0</v>
      </c>
      <c r="CQ76" s="11">
        <f>+COUNTIFS('muddati otgan'!C:C,A76,'muddati otgan'!J:J,"Kadastr pasporti va ko'chirmani yuborish")</f>
        <v>0</v>
      </c>
      <c r="CR76" s="11">
        <f>+COUNTIFS('muddati otgan'!C:C,A76,'muddati otgan'!AA:AA,"Rad qilish2")</f>
        <v>0</v>
      </c>
      <c r="CS76" s="11">
        <f>+COUNTIFS('muddati otgan'!C:C,A76,'muddati otgan'!J:J,"Ko'chirmani yuborish")</f>
        <v>0</v>
      </c>
      <c r="CT76" s="11">
        <f>+COUNTIFS('muddati otgan'!C:C,A76,'muddati otgan'!J:J,"Ma‘lumotlarni tekshirish")</f>
        <v>0</v>
      </c>
      <c r="CU76" s="11">
        <f t="shared" si="166"/>
        <v>0</v>
      </c>
      <c r="CV76" s="11">
        <f>+COUNTIFS('muddati otgan'!C:C,A76,'muddati otgan'!J:J,"Kadastr yig'majildini chop etish va arxiv ishiga tikish")</f>
        <v>0</v>
      </c>
      <c r="CW76" s="11">
        <f t="shared" si="167"/>
        <v>0</v>
      </c>
      <c r="CX76" s="11">
        <f>+COUNTIFS('muddati otgan'!C:C,A76,'muddati otgan'!J:J,"Kadastr yig‘majildini qabul qilish, arizani yakunlash")</f>
        <v>0</v>
      </c>
      <c r="CY76" s="11">
        <f>+COUNTIFS('muddati otgan'!C:C,A76,'muddati otgan'!J:J,"Next Cloudga yuklash")</f>
        <v>0</v>
      </c>
      <c r="CZ76" s="6">
        <f>+COUNTIFS('muddati otgan'!C:C,A76,'muddati otgan'!J:J,"Kelishish kutilmoqda")</f>
        <v>0</v>
      </c>
      <c r="DA76" s="6">
        <f>+COUNTIFS('muddati otgan'!C:C,A76,'muddati otgan'!J:J,"Yakunlandi")</f>
        <v>0</v>
      </c>
      <c r="DB76" s="10">
        <f>+COUNTIFS('muddati otgan'!C:C,A76,'muddati otgan'!J:J,"Rad etildi")</f>
        <v>0</v>
      </c>
      <c r="DC76" s="100">
        <f t="shared" si="168"/>
        <v>-1</v>
      </c>
      <c r="DD76" s="44">
        <f>COUNTIFS('jami 1-20 kunlik arizalar'!C:C,A:A,'jami 1-20 kunlik arizalar'!S:S,"1")</f>
        <v>0</v>
      </c>
      <c r="DE76" s="11">
        <f>COUNTIFS('jami 1-20 kunlik arizalar'!C:C,A:A,'jami 1-20 kunlik arizalar'!S:S,"2")</f>
        <v>0</v>
      </c>
      <c r="DF76" s="11">
        <f>COUNTIFS('jami 1-20 kunlik arizalar'!C:C,A:A,'jami 1-20 kunlik arizalar'!S:S,"3")</f>
        <v>0</v>
      </c>
      <c r="DG76" s="11">
        <f>COUNTIFS('jami 1-20 kunlik arizalar'!C:C,A:A,'jami 1-20 kunlik arizalar'!S:S,"4")</f>
        <v>0</v>
      </c>
      <c r="DH76" s="11">
        <f>COUNTIFS('jami 1-20 kunlik arizalar'!C:C,A:A,'jami 1-20 kunlik arizalar'!S:S,"5")</f>
        <v>2</v>
      </c>
      <c r="DI76" s="11">
        <f>SUM(COUNTIFS('jami 1-20 kunlik arizalar'!C:C,A:A, 'jami 1-20 kunlik arizalar'!S:S, {6,7,8,9,10}))</f>
        <v>1</v>
      </c>
      <c r="DJ76" s="12">
        <f>SUM(COUNTIFS('jami 1-20 kunlik arizalar'!C:C,A:A, 'jami 1-20 kunlik arizalar'!S:S, "&gt;10"))</f>
        <v>2</v>
      </c>
    </row>
    <row r="77" spans="1:114" ht="51.95" hidden="1" customHeight="1" outlineLevel="1" x14ac:dyDescent="0.25">
      <c r="A77" s="92" t="s">
        <v>429</v>
      </c>
      <c r="B77" s="106" t="s">
        <v>958</v>
      </c>
      <c r="C77" s="85" t="s">
        <v>416</v>
      </c>
      <c r="D77" s="80">
        <f>+COUNTIFS('muddati otgan'!C:C,A77,'muddati otgan'!C:C,A77)</f>
        <v>5</v>
      </c>
      <c r="E77" s="10">
        <f>SUMIFS('muddati otgan'!$V:V,'muddati otgan'!$C:C,$A:A)</f>
        <v>4</v>
      </c>
      <c r="F77" s="10">
        <f>SUMIFS('muddati otgan'!$W:W,'muddati otgan'!$C:C,$A:A)</f>
        <v>0</v>
      </c>
      <c r="G77" s="24">
        <f>SUMIFS('muddati otgan'!$U:U,'muddati otgan'!$C:C,$A:A)</f>
        <v>1</v>
      </c>
      <c r="H77" s="11">
        <f>SUMIFS('muddati otgan'!$G:G,'muddati otgan'!$C:C,$A:A)</f>
        <v>5</v>
      </c>
      <c r="I77" s="12">
        <f>SUMIFS('muddati otgan'!$H:H,'muddati otgan'!$C:C,$A:A)</f>
        <v>0</v>
      </c>
      <c r="J77" s="44">
        <f t="shared" si="152"/>
        <v>0</v>
      </c>
      <c r="K77" s="11">
        <f>+COUNTIFS('muddati otgan'!C:C,A77,'muddati otgan'!AA:AA,"Arizani qabul qilish")</f>
        <v>0</v>
      </c>
      <c r="L77" s="11">
        <f>+COUNTIFS('muddati otgan'!C:C,A77,'muddati otgan'!J:J,"Arizani rad etish")</f>
        <v>0</v>
      </c>
      <c r="M77" s="11">
        <f>+COUNTIFS('muddati otgan'!C:C,A77,'muddati otgan'!J:J,"Arizani tasdiqlash")</f>
        <v>0</v>
      </c>
      <c r="N77" s="11">
        <f>+COUNTIFS('muddati otgan'!C:C,A77,'muddati otgan'!J:J,"Arizani yo'naltirish")</f>
        <v>0</v>
      </c>
      <c r="O77" s="11">
        <f>+COUNTIFS('muddati otgan'!C:C,A77,'muddati otgan'!J:J,"Rad qilish sababini o'rganish")</f>
        <v>0</v>
      </c>
      <c r="P77" s="11">
        <f>+COUNTIFS('muddati otgan'!C:C,A77,'muddati otgan'!J:J,"Ko'chmas mulkni UZKAD ga migratsiya qilish")</f>
        <v>0</v>
      </c>
      <c r="Q77" s="11">
        <f>+COUNTIFS('muddati otgan'!C:C,A77,'muddati otgan'!J:J,"Migratisya qilingan obyekt holatini tekshirish")</f>
        <v>0</v>
      </c>
      <c r="R77" s="11">
        <f>+COUNTIFS('muddati otgan'!C:C,A77,'muddati otgan'!J:J,"Ko‘chmas mulkni tanlash")</f>
        <v>0</v>
      </c>
      <c r="S77" s="11">
        <f>+COUNTIFS('muddati otgan'!C:C,A77,'muddati otgan'!J:J,"Arizani ko'rib chiqish")</f>
        <v>0</v>
      </c>
      <c r="T77" s="11">
        <f>+COUNTIFS('muddati otgan'!C:C,A77,'muddati otgan'!J:J,"Kadastr muhandisini tanlash")</f>
        <v>0</v>
      </c>
      <c r="U77" s="11">
        <f>+COUNTIFS('muddati otgan'!C:C,A77,'muddati otgan'!J:J,"Ko'chmas mulk turini tanlahsh")</f>
        <v>0</v>
      </c>
      <c r="V77" s="11">
        <f>+COUNTIFS('muddati otgan'!C:C,A77,'muddati otgan'!AA:AA,"Rad qilish")</f>
        <v>0</v>
      </c>
      <c r="W77" s="11">
        <f>+COUNTIFS('muddati otgan'!C:C,A77,'muddati otgan'!J:J,"ijrochi tanlash")</f>
        <v>0</v>
      </c>
      <c r="X77" s="11">
        <f>+COUNTIFS('muddati otgan'!C:C,A77,'muddati otgan'!J:J,"Ko'chmas mulk turini tanlash")</f>
        <v>0</v>
      </c>
      <c r="Y77" s="11">
        <f t="shared" si="153"/>
        <v>3</v>
      </c>
      <c r="Z77" s="11">
        <f>+COUNTIFS('muddati otgan'!C:C,A77,'muddati otgan'!J:J,"Ijroga qabul qilish")</f>
        <v>0</v>
      </c>
      <c r="AA77" s="11">
        <f>+COUNTIFS('muddati otgan'!C:C,A77,'muddati otgan'!J:J,"Joyida o'rganish va ma'lumotlarni kiritish")</f>
        <v>0</v>
      </c>
      <c r="AB77" s="11">
        <f>+COUNTIFS('muddati otgan'!C:C,A77,'muddati otgan'!J:J,"Asosiy qismdan ajratish jarayonida")</f>
        <v>0</v>
      </c>
      <c r="AC77" s="11">
        <f>+COUNTIFS('muddati otgan'!C:C,A77,'muddati otgan'!J:J,"Umumiy foydalanishdagi obyekt yaratilish")</f>
        <v>0</v>
      </c>
      <c r="AD77" s="11">
        <f>+COUNTIFS('muddati otgan'!C:C,A77,'muddati otgan'!J:J,"Migratsiya qilinadigan kadastr raqamini kiritish")</f>
        <v>0</v>
      </c>
      <c r="AE77" s="11">
        <f>+COUNTIFS('muddati otgan'!C:C,A77,'muddati otgan'!J:J,"O'zida qolgan obyektni yaratish")</f>
        <v>0</v>
      </c>
      <c r="AF77" s="11">
        <f>+COUNTIFS('muddati otgan'!C:C,A77,'muddati otgan'!J:J,"O'lchov natijalarini kiritish")</f>
        <v>3</v>
      </c>
      <c r="AG77" s="11">
        <f>+COUNTIFS('muddati otgan'!C:C,A77,'muddati otgan'!J:J,"Topoxaritani tayyorlash (dwg, pdf)")</f>
        <v>0</v>
      </c>
      <c r="AH77" s="11">
        <f t="shared" si="154"/>
        <v>0</v>
      </c>
      <c r="AI77" s="11">
        <f>+COUNTIFS('muddati otgan'!C:C,A77,'muddati otgan'!J:J,"Yer uchastkasini yaratish")</f>
        <v>0</v>
      </c>
      <c r="AJ77" s="11">
        <f t="shared" si="155"/>
        <v>0</v>
      </c>
      <c r="AK77" s="11">
        <f>+COUNTIFS('muddati otgan'!C:C,A77,'muddati otgan'!J:J,"Kelishish (Boshqarma)")</f>
        <v>0</v>
      </c>
      <c r="AL77" s="11">
        <f t="shared" si="156"/>
        <v>0</v>
      </c>
      <c r="AM77" s="11">
        <f>+COUNTIFS('muddati otgan'!C:C,A77,'muddati otgan'!J:J,"Kelishish (DKP)")</f>
        <v>0</v>
      </c>
      <c r="AN77" s="11">
        <f>+COUNTIFS('muddati otgan'!C:C,A77,'muddati otgan'!J:J,"Kelishish")</f>
        <v>0</v>
      </c>
      <c r="AO77" s="11">
        <f>+COUNTIFS('muddati otgan'!C:C,A77,'muddati otgan'!J:J,"Kelishish (Registratsiya DKP)")</f>
        <v>0</v>
      </c>
      <c r="AP77" s="11">
        <f t="shared" si="157"/>
        <v>0</v>
      </c>
      <c r="AQ77" s="11">
        <f>+COUNTIFS('muddati otgan'!C:C,A77,'muddati otgan'!J:J,"Manzil biriktirish")</f>
        <v>0</v>
      </c>
      <c r="AR77" s="11">
        <f>+COUNTIFS('muddati otgan'!C:C,A77,'muddati otgan'!J:J,"Bino va inshootlarni yaratish")</f>
        <v>0</v>
      </c>
      <c r="AS77" s="11">
        <f>+COUNTIFS('muddati otgan'!C:C,A77,'muddati otgan'!J:J,"Dov daraxtlarni yaratish")</f>
        <v>0</v>
      </c>
      <c r="AT77" s="11">
        <f>+COUNTIFS('muddati otgan'!C:C,A77,'muddati otgan'!J:J,"Yer uchastkasini tahrirlash")</f>
        <v>0</v>
      </c>
      <c r="AU77" s="11">
        <f t="shared" si="158"/>
        <v>0</v>
      </c>
      <c r="AV77" s="11">
        <f>+COUNTIFS('muddati otgan'!C:C,A77,'muddati otgan'!J:J,"Yer toifasi va maqsadini kiritish")</f>
        <v>0</v>
      </c>
      <c r="AW77" s="11">
        <f>+COUNTIFS('muddati otgan'!C:C,A77,'muddati otgan'!J:J,"Auksion yer tekshirish")</f>
        <v>0</v>
      </c>
      <c r="AX77" s="11">
        <f>+COUNTIFS('muddati otgan'!C:C,A77,'muddati otgan'!J:J,"Yer turlarini kiritish")</f>
        <v>0</v>
      </c>
      <c r="AY77" s="11">
        <f>+COUNTIFS('muddati otgan'!C:C,A77,'muddati otgan'!J:J,"Ma'lumotlarni kiritish")</f>
        <v>0</v>
      </c>
      <c r="AZ77" s="11">
        <f>+COUNTIFS('muddati otgan'!C:C,A77,'muddati otgan'!J:J,"Yer tekshirish")</f>
        <v>0</v>
      </c>
      <c r="BA77" s="11">
        <f t="shared" si="159"/>
        <v>0</v>
      </c>
      <c r="BB77" s="11">
        <f>+COUNTIFS('muddati otgan'!C:C,A77,'muddati otgan'!J:J,"Bino va inshoot ma'lumotlarini to‘ldirish")</f>
        <v>0</v>
      </c>
      <c r="BC77" s="11">
        <f>+COUNTIFS('muddati otgan'!C:C,A77,'muddati otgan'!J:J,"Inventarizatsiya ma'lumotlarini to‘ldirish")</f>
        <v>0</v>
      </c>
      <c r="BD77" s="11">
        <f>+COUNTIFS('muddati otgan'!C:C,A77,'muddati otgan'!J:J,"Yer uchastkasiga huquqiy hujjatlarni kiritsh")</f>
        <v>0</v>
      </c>
      <c r="BE77" s="11">
        <f>+COUNTIFS('muddati otgan'!C:C,A77,'muddati otgan'!J:J,"Bino-inshootlarga huquqiy hujjatlarni kiritsh")</f>
        <v>0</v>
      </c>
      <c r="BF77" s="11">
        <f>+COUNTIFS('muddati otgan'!C:C,A77,'muddati otgan'!J:J,"Kadastr qiymatini hisoblash va kiritish")</f>
        <v>0</v>
      </c>
      <c r="BG77" s="11">
        <f>+COUNTIFS('muddati otgan'!C:C,A77,'muddati otgan'!J:J,"Kadastr raqam biriktirish")</f>
        <v>0</v>
      </c>
      <c r="BH77" s="11">
        <f>+COUNTIFS('muddati otgan'!C:C,A77,'muddati otgan'!J:J,"Kadastr yig'ma jildni tayyorlash")</f>
        <v>0</v>
      </c>
      <c r="BI77" s="11">
        <f>+COUNTIFS('muddati otgan'!C:C,A77,'muddati otgan'!J:J,"Huquqni yaratish")</f>
        <v>0</v>
      </c>
      <c r="BJ77" s="11">
        <f>+COUNTIFS('muddati otgan'!C:C,A77,'muddati otgan'!J:J,"Hujjatlarni o'rganish")</f>
        <v>0</v>
      </c>
      <c r="BK77" s="11">
        <f>+COUNTIFS('muddati otgan'!C:C,A77,'muddati otgan'!J:J,"Ma'lumotlarni tekshirish")</f>
        <v>0</v>
      </c>
      <c r="BL77" s="11">
        <f t="shared" si="160"/>
        <v>0</v>
      </c>
      <c r="BM77" s="11">
        <f>+COUNTIFS('muddati otgan'!C:C,A77,'muddati otgan'!J:J,"Tekshirish")</f>
        <v>0</v>
      </c>
      <c r="BN77" s="11">
        <f>+COUNTIFS('muddati otgan'!C:C,A77,'muddati otgan'!J:J,"Hujjatlarni tekshirish")</f>
        <v>0</v>
      </c>
      <c r="BO77" s="11">
        <f>+COUNTIFS('muddati otgan'!C:C,A77,'muddati otgan'!J:J,"Tasdiqlash")</f>
        <v>0</v>
      </c>
      <c r="BP77" s="11">
        <f>+COUNTIFS('muddati otgan'!C:C,A77,'muddati otgan'!J:J,"tekshirish/tasdiqlash")</f>
        <v>0</v>
      </c>
      <c r="BQ77" s="11">
        <f>+COUNTIFS('muddati otgan'!C:C,A77,'muddati otgan'!J:J,"Ma'lumotlarni tasdiqlash")</f>
        <v>0</v>
      </c>
      <c r="BR77" s="11">
        <f t="shared" si="161"/>
        <v>0</v>
      </c>
      <c r="BS77" s="11">
        <f>+COUNTIFS('muddati otgan'!C:C,A77,'muddati otgan'!J:J,"Ro'yxatdan o'tkazish ma'lumotlarini tekshirish")</f>
        <v>0</v>
      </c>
      <c r="BT77" s="11">
        <f>+COUNTIFS('muddati otgan'!C:C,A77,'muddati otgan'!J:J,"Kamchiliklar bo'yicha habarnoma yuborish va 3 kunga to'xtatish")</f>
        <v>0</v>
      </c>
      <c r="BU77" s="11">
        <f>+COUNTIFS('muddati otgan'!C:C,A77,'muddati otgan'!J:J,"Hisobga olish")</f>
        <v>0</v>
      </c>
      <c r="BV77" s="11">
        <f>+COUNTIFS('muddati otgan'!C:C,A77,'muddati otgan'!J:J,"Yer uchastkasiga huquq yaratish")</f>
        <v>0</v>
      </c>
      <c r="BW77" s="11">
        <f>+COUNTIFS('muddati otgan'!C:C,A77,'muddati otgan'!J:J,"Bino-inshootga huquq yaratish")</f>
        <v>0</v>
      </c>
      <c r="BX77" s="11">
        <f>+COUNTIFS('muddati otgan'!C:C,A77,'muddati otgan'!J:J,"Cheklov yaratish")</f>
        <v>0</v>
      </c>
      <c r="BY77" s="11">
        <f>+COUNTIFS('muddati otgan'!C:C,A77,'muddati otgan'!J:J,"Taqiq yaratish")</f>
        <v>0</v>
      </c>
      <c r="BZ77" s="11">
        <f t="shared" si="162"/>
        <v>0</v>
      </c>
      <c r="CA77" s="11">
        <f>+COUNTIFS('muddati otgan'!C:C,A77,'muddati otgan'!J:J,"Soliq maydonini tekshirish")</f>
        <v>0</v>
      </c>
      <c r="CB77" s="11">
        <f t="shared" si="163"/>
        <v>0</v>
      </c>
      <c r="CC77" s="11">
        <f>+COUNTIFS('muddati otgan'!C:C,A77,'muddati otgan'!J:J,"Kadastr yig'majildini shakllantirish")</f>
        <v>0</v>
      </c>
      <c r="CD77" s="11">
        <f t="shared" si="164"/>
        <v>1</v>
      </c>
      <c r="CE77" s="11">
        <f>+COUNTIFS('muddati otgan'!C:C,A77,'muddati otgan'!J:J,"Kadastr passportini shakllantirish")</f>
        <v>0</v>
      </c>
      <c r="CF77" s="11">
        <f>+COUNTIFS('muddati otgan'!C:C,A77,'muddati otgan'!J:J,"Yig'ma jildni tasdiqlash")</f>
        <v>0</v>
      </c>
      <c r="CG77" s="11">
        <f>+COUNTIFS('muddati otgan'!C:C,A77,'muddati otgan'!J:J,"To'lov yoki bepul tasdiqlash")</f>
        <v>0</v>
      </c>
      <c r="CH77" s="11">
        <f>+COUNTIFS('muddati otgan'!C:C,A77,'muddati otgan'!J:J,"Bog'liq arizani kutish")</f>
        <v>1</v>
      </c>
      <c r="CI77" s="11">
        <f>+COUNTIFS('muddati otgan'!C:C,A77,'muddati otgan'!J:J,"To'lovga chiqarish")</f>
        <v>0</v>
      </c>
      <c r="CJ77" s="11">
        <f>+COUNTIFS('muddati otgan'!C:C,A77,'muddati otgan'!J:J,"Hisobga qo'yish")</f>
        <v>0</v>
      </c>
      <c r="CK77" s="6">
        <f>+COUNTIFS('muddati otgan'!C:C,A77,'muddati otgan'!J:J,"To'lov kutilmoqda")</f>
        <v>0</v>
      </c>
      <c r="CL77" s="11">
        <f t="shared" si="165"/>
        <v>0</v>
      </c>
      <c r="CM77" s="11">
        <f>+COUNTIFS('muddati otgan'!C:C,A77,'muddati otgan'!AA:AA,"Arizani qabul qilish2")</f>
        <v>0</v>
      </c>
      <c r="CN77" s="11">
        <f>+COUNTIFS('muddati otgan'!C:C,A77,'muddati otgan'!J:J,"Huquqlarni tekshirish")</f>
        <v>0</v>
      </c>
      <c r="CO77" s="11">
        <f>+COUNTIFS('muddati otgan'!C:C,A77,'muddati otgan'!J:J,"Ko'chmas mulkni ro'yhatdan o'tkazishga qabul qilish")</f>
        <v>0</v>
      </c>
      <c r="CP77" s="11">
        <f>+COUNTIFS('muddati otgan'!C:C,A77,'muddati otgan'!J:J,"Ro'yxatdan o'tkazish")</f>
        <v>0</v>
      </c>
      <c r="CQ77" s="11">
        <f>+COUNTIFS('muddati otgan'!C:C,A77,'muddati otgan'!J:J,"Kadastr pasporti va ko'chirmani yuborish")</f>
        <v>0</v>
      </c>
      <c r="CR77" s="11">
        <f>+COUNTIFS('muddati otgan'!C:C,A77,'muddati otgan'!AA:AA,"Rad qilish2")</f>
        <v>0</v>
      </c>
      <c r="CS77" s="11">
        <f>+COUNTIFS('muddati otgan'!C:C,A77,'muddati otgan'!J:J,"Ko'chirmani yuborish")</f>
        <v>0</v>
      </c>
      <c r="CT77" s="11">
        <f>+COUNTIFS('muddati otgan'!C:C,A77,'muddati otgan'!J:J,"Ma‘lumotlarni tekshirish")</f>
        <v>0</v>
      </c>
      <c r="CU77" s="11">
        <f t="shared" si="166"/>
        <v>1</v>
      </c>
      <c r="CV77" s="11">
        <f>+COUNTIFS('muddati otgan'!C:C,A77,'muddati otgan'!J:J,"Kadastr yig'majildini chop etish va arxiv ishiga tikish")</f>
        <v>1</v>
      </c>
      <c r="CW77" s="11">
        <f t="shared" si="167"/>
        <v>0</v>
      </c>
      <c r="CX77" s="11">
        <f>+COUNTIFS('muddati otgan'!C:C,A77,'muddati otgan'!J:J,"Kadastr yig‘majildini qabul qilish, arizani yakunlash")</f>
        <v>0</v>
      </c>
      <c r="CY77" s="11">
        <f>+COUNTIFS('muddati otgan'!C:C,A77,'muddati otgan'!J:J,"Next Cloudga yuklash")</f>
        <v>0</v>
      </c>
      <c r="CZ77" s="6">
        <f>+COUNTIFS('muddati otgan'!C:C,A77,'muddati otgan'!J:J,"Kelishish kutilmoqda")</f>
        <v>0</v>
      </c>
      <c r="DA77" s="6">
        <f>+COUNTIFS('muddati otgan'!C:C,A77,'muddati otgan'!J:J,"Yakunlandi")</f>
        <v>0</v>
      </c>
      <c r="DB77" s="10">
        <f>+COUNTIFS('muddati otgan'!C:C,A77,'muddati otgan'!J:J,"Rad etildi")</f>
        <v>0</v>
      </c>
      <c r="DC77" s="100">
        <f t="shared" si="168"/>
        <v>-5</v>
      </c>
      <c r="DD77" s="44">
        <f>COUNTIFS('jami 1-20 kunlik arizalar'!C:C,A:A,'jami 1-20 kunlik arizalar'!S:S,"1")</f>
        <v>0</v>
      </c>
      <c r="DE77" s="11">
        <f>COUNTIFS('jami 1-20 kunlik arizalar'!C:C,A:A,'jami 1-20 kunlik arizalar'!S:S,"2")</f>
        <v>0</v>
      </c>
      <c r="DF77" s="11">
        <f>COUNTIFS('jami 1-20 kunlik arizalar'!C:C,A:A,'jami 1-20 kunlik arizalar'!S:S,"3")</f>
        <v>3</v>
      </c>
      <c r="DG77" s="11">
        <f>COUNTIFS('jami 1-20 kunlik arizalar'!C:C,A:A,'jami 1-20 kunlik arizalar'!S:S,"4")</f>
        <v>4</v>
      </c>
      <c r="DH77" s="11">
        <f>COUNTIFS('jami 1-20 kunlik arizalar'!C:C,A:A,'jami 1-20 kunlik arizalar'!S:S,"5")</f>
        <v>3</v>
      </c>
      <c r="DI77" s="11">
        <f>SUM(COUNTIFS('jami 1-20 kunlik arizalar'!C:C,A:A, 'jami 1-20 kunlik arizalar'!S:S, {6,7,8,9,10}))</f>
        <v>16</v>
      </c>
      <c r="DJ77" s="12">
        <f>SUM(COUNTIFS('jami 1-20 kunlik arizalar'!C:C,A:A, 'jami 1-20 kunlik arizalar'!S:S, "&gt;10"))</f>
        <v>11</v>
      </c>
    </row>
    <row r="78" spans="1:114" ht="51.95" hidden="1" customHeight="1" outlineLevel="1" x14ac:dyDescent="0.25">
      <c r="A78" s="92" t="s">
        <v>430</v>
      </c>
      <c r="B78" s="106" t="s">
        <v>958</v>
      </c>
      <c r="C78" s="85" t="s">
        <v>417</v>
      </c>
      <c r="D78" s="80">
        <f>+COUNTIFS('muddati otgan'!C:C,A78,'muddati otgan'!C:C,A78)</f>
        <v>1</v>
      </c>
      <c r="E78" s="10">
        <f>SUMIFS('muddati otgan'!$V:V,'muddati otgan'!$C:C,$A:A)</f>
        <v>0</v>
      </c>
      <c r="F78" s="10">
        <f>SUMIFS('muddati otgan'!$W:W,'muddati otgan'!$C:C,$A:A)</f>
        <v>0</v>
      </c>
      <c r="G78" s="24">
        <f>SUMIFS('muddati otgan'!$U:U,'muddati otgan'!$C:C,$A:A)</f>
        <v>1</v>
      </c>
      <c r="H78" s="11">
        <f>SUMIFS('muddati otgan'!$G:G,'muddati otgan'!$C:C,$A:A)</f>
        <v>1</v>
      </c>
      <c r="I78" s="12">
        <f>SUMIFS('muddati otgan'!$H:H,'muddati otgan'!$C:C,$A:A)</f>
        <v>0</v>
      </c>
      <c r="J78" s="44">
        <f t="shared" si="152"/>
        <v>0</v>
      </c>
      <c r="K78" s="11">
        <f>+COUNTIFS('muddati otgan'!C:C,A78,'muddati otgan'!AA:AA,"Arizani qabul qilish")</f>
        <v>0</v>
      </c>
      <c r="L78" s="11">
        <f>+COUNTIFS('muddati otgan'!C:C,A78,'muddati otgan'!J:J,"Arizani rad etish")</f>
        <v>0</v>
      </c>
      <c r="M78" s="11">
        <f>+COUNTIFS('muddati otgan'!C:C,A78,'muddati otgan'!J:J,"Arizani tasdiqlash")</f>
        <v>0</v>
      </c>
      <c r="N78" s="11">
        <f>+COUNTIFS('muddati otgan'!C:C,A78,'muddati otgan'!J:J,"Arizani yo'naltirish")</f>
        <v>0</v>
      </c>
      <c r="O78" s="11">
        <f>+COUNTIFS('muddati otgan'!C:C,A78,'muddati otgan'!J:J,"Rad qilish sababini o'rganish")</f>
        <v>0</v>
      </c>
      <c r="P78" s="11">
        <f>+COUNTIFS('muddati otgan'!C:C,A78,'muddati otgan'!J:J,"Ko'chmas mulkni UZKAD ga migratsiya qilish")</f>
        <v>0</v>
      </c>
      <c r="Q78" s="11">
        <f>+COUNTIFS('muddati otgan'!C:C,A78,'muddati otgan'!J:J,"Migratisya qilingan obyekt holatini tekshirish")</f>
        <v>0</v>
      </c>
      <c r="R78" s="11">
        <f>+COUNTIFS('muddati otgan'!C:C,A78,'muddati otgan'!J:J,"Ko‘chmas mulkni tanlash")</f>
        <v>0</v>
      </c>
      <c r="S78" s="11">
        <f>+COUNTIFS('muddati otgan'!C:C,A78,'muddati otgan'!J:J,"Arizani ko'rib chiqish")</f>
        <v>0</v>
      </c>
      <c r="T78" s="11">
        <f>+COUNTIFS('muddati otgan'!C:C,A78,'muddati otgan'!J:J,"Kadastr muhandisini tanlash")</f>
        <v>0</v>
      </c>
      <c r="U78" s="11">
        <f>+COUNTIFS('muddati otgan'!C:C,A78,'muddati otgan'!J:J,"Ko'chmas mulk turini tanlahsh")</f>
        <v>0</v>
      </c>
      <c r="V78" s="11">
        <f>+COUNTIFS('muddati otgan'!C:C,A78,'muddati otgan'!AA:AA,"Rad qilish")</f>
        <v>0</v>
      </c>
      <c r="W78" s="11">
        <f>+COUNTIFS('muddati otgan'!C:C,A78,'muddati otgan'!J:J,"ijrochi tanlash")</f>
        <v>0</v>
      </c>
      <c r="X78" s="11">
        <f>+COUNTIFS('muddati otgan'!C:C,A78,'muddati otgan'!J:J,"Ko'chmas mulk turini tanlash")</f>
        <v>0</v>
      </c>
      <c r="Y78" s="11">
        <f t="shared" si="153"/>
        <v>0</v>
      </c>
      <c r="Z78" s="11">
        <f>+COUNTIFS('muddati otgan'!C:C,A78,'muddati otgan'!J:J,"Ijroga qabul qilish")</f>
        <v>0</v>
      </c>
      <c r="AA78" s="11">
        <f>+COUNTIFS('muddati otgan'!C:C,A78,'muddati otgan'!J:J,"Joyida o'rganish va ma'lumotlarni kiritish")</f>
        <v>0</v>
      </c>
      <c r="AB78" s="11">
        <f>+COUNTIFS('muddati otgan'!C:C,A78,'muddati otgan'!J:J,"Asosiy qismdan ajratish jarayonida")</f>
        <v>0</v>
      </c>
      <c r="AC78" s="11">
        <f>+COUNTIFS('muddati otgan'!C:C,A78,'muddati otgan'!J:J,"Umumiy foydalanishdagi obyekt yaratilish")</f>
        <v>0</v>
      </c>
      <c r="AD78" s="11">
        <f>+COUNTIFS('muddati otgan'!C:C,A78,'muddati otgan'!J:J,"Migratsiya qilinadigan kadastr raqamini kiritish")</f>
        <v>0</v>
      </c>
      <c r="AE78" s="11">
        <f>+COUNTIFS('muddati otgan'!C:C,A78,'muddati otgan'!J:J,"O'zida qolgan obyektni yaratish")</f>
        <v>0</v>
      </c>
      <c r="AF78" s="11">
        <f>+COUNTIFS('muddati otgan'!C:C,A78,'muddati otgan'!J:J,"O'lchov natijalarini kiritish")</f>
        <v>0</v>
      </c>
      <c r="AG78" s="11">
        <f>+COUNTIFS('muddati otgan'!C:C,A78,'muddati otgan'!J:J,"Topoxaritani tayyorlash (dwg, pdf)")</f>
        <v>0</v>
      </c>
      <c r="AH78" s="11">
        <f t="shared" si="154"/>
        <v>0</v>
      </c>
      <c r="AI78" s="11">
        <f>+COUNTIFS('muddati otgan'!C:C,A78,'muddati otgan'!J:J,"Yer uchastkasini yaratish")</f>
        <v>0</v>
      </c>
      <c r="AJ78" s="11">
        <f t="shared" si="155"/>
        <v>0</v>
      </c>
      <c r="AK78" s="11">
        <f>+COUNTIFS('muddati otgan'!C:C,A78,'muddati otgan'!J:J,"Kelishish (Boshqarma)")</f>
        <v>0</v>
      </c>
      <c r="AL78" s="11">
        <f t="shared" si="156"/>
        <v>0</v>
      </c>
      <c r="AM78" s="11">
        <f>+COUNTIFS('muddati otgan'!C:C,A78,'muddati otgan'!J:J,"Kelishish (DKP)")</f>
        <v>0</v>
      </c>
      <c r="AN78" s="11">
        <f>+COUNTIFS('muddati otgan'!C:C,A78,'muddati otgan'!J:J,"Kelishish")</f>
        <v>0</v>
      </c>
      <c r="AO78" s="11">
        <f>+COUNTIFS('muddati otgan'!C:C,A78,'muddati otgan'!J:J,"Kelishish (Registratsiya DKP)")</f>
        <v>0</v>
      </c>
      <c r="AP78" s="11">
        <f t="shared" si="157"/>
        <v>0</v>
      </c>
      <c r="AQ78" s="11">
        <f>+COUNTIFS('muddati otgan'!C:C,A78,'muddati otgan'!J:J,"Manzil biriktirish")</f>
        <v>0</v>
      </c>
      <c r="AR78" s="11">
        <f>+COUNTIFS('muddati otgan'!C:C,A78,'muddati otgan'!J:J,"Bino va inshootlarni yaratish")</f>
        <v>0</v>
      </c>
      <c r="AS78" s="11">
        <f>+COUNTIFS('muddati otgan'!C:C,A78,'muddati otgan'!J:J,"Dov daraxtlarni yaratish")</f>
        <v>0</v>
      </c>
      <c r="AT78" s="11">
        <f>+COUNTIFS('muddati otgan'!C:C,A78,'muddati otgan'!J:J,"Yer uchastkasini tahrirlash")</f>
        <v>0</v>
      </c>
      <c r="AU78" s="11">
        <f t="shared" si="158"/>
        <v>0</v>
      </c>
      <c r="AV78" s="11">
        <f>+COUNTIFS('muddati otgan'!C:C,A78,'muddati otgan'!J:J,"Yer toifasi va maqsadini kiritish")</f>
        <v>0</v>
      </c>
      <c r="AW78" s="11">
        <f>+COUNTIFS('muddati otgan'!C:C,A78,'muddati otgan'!J:J,"Auksion yer tekshirish")</f>
        <v>0</v>
      </c>
      <c r="AX78" s="11">
        <f>+COUNTIFS('muddati otgan'!C:C,A78,'muddati otgan'!J:J,"Yer turlarini kiritish")</f>
        <v>0</v>
      </c>
      <c r="AY78" s="11">
        <f>+COUNTIFS('muddati otgan'!C:C,A78,'muddati otgan'!J:J,"Ma'lumotlarni kiritish")</f>
        <v>0</v>
      </c>
      <c r="AZ78" s="11">
        <f>+COUNTIFS('muddati otgan'!C:C,A78,'muddati otgan'!J:J,"Yer tekshirish")</f>
        <v>0</v>
      </c>
      <c r="BA78" s="11">
        <f t="shared" si="159"/>
        <v>0</v>
      </c>
      <c r="BB78" s="11">
        <f>+COUNTIFS('muddati otgan'!C:C,A78,'muddati otgan'!J:J,"Bino va inshoot ma'lumotlarini to‘ldirish")</f>
        <v>0</v>
      </c>
      <c r="BC78" s="11">
        <f>+COUNTIFS('muddati otgan'!C:C,A78,'muddati otgan'!J:J,"Inventarizatsiya ma'lumotlarini to‘ldirish")</f>
        <v>0</v>
      </c>
      <c r="BD78" s="11">
        <f>+COUNTIFS('muddati otgan'!C:C,A78,'muddati otgan'!J:J,"Yer uchastkasiga huquqiy hujjatlarni kiritsh")</f>
        <v>0</v>
      </c>
      <c r="BE78" s="11">
        <f>+COUNTIFS('muddati otgan'!C:C,A78,'muddati otgan'!J:J,"Bino-inshootlarga huquqiy hujjatlarni kiritsh")</f>
        <v>0</v>
      </c>
      <c r="BF78" s="11">
        <f>+COUNTIFS('muddati otgan'!C:C,A78,'muddati otgan'!J:J,"Kadastr qiymatini hisoblash va kiritish")</f>
        <v>0</v>
      </c>
      <c r="BG78" s="11">
        <f>+COUNTIFS('muddati otgan'!C:C,A78,'muddati otgan'!J:J,"Kadastr raqam biriktirish")</f>
        <v>0</v>
      </c>
      <c r="BH78" s="11">
        <f>+COUNTIFS('muddati otgan'!C:C,A78,'muddati otgan'!J:J,"Kadastr yig'ma jildni tayyorlash")</f>
        <v>0</v>
      </c>
      <c r="BI78" s="11">
        <f>+COUNTIFS('muddati otgan'!C:C,A78,'muddati otgan'!J:J,"Huquqni yaratish")</f>
        <v>0</v>
      </c>
      <c r="BJ78" s="11">
        <f>+COUNTIFS('muddati otgan'!C:C,A78,'muddati otgan'!J:J,"Hujjatlarni o'rganish")</f>
        <v>0</v>
      </c>
      <c r="BK78" s="11">
        <f>+COUNTIFS('muddati otgan'!C:C,A78,'muddati otgan'!J:J,"Ma'lumotlarni tekshirish")</f>
        <v>0</v>
      </c>
      <c r="BL78" s="11">
        <f t="shared" si="160"/>
        <v>0</v>
      </c>
      <c r="BM78" s="11">
        <f>+COUNTIFS('muddati otgan'!C:C,A78,'muddati otgan'!J:J,"Tekshirish")</f>
        <v>0</v>
      </c>
      <c r="BN78" s="11">
        <f>+COUNTIFS('muddati otgan'!C:C,A78,'muddati otgan'!J:J,"Hujjatlarni tekshirish")</f>
        <v>0</v>
      </c>
      <c r="BO78" s="11">
        <f>+COUNTIFS('muddati otgan'!C:C,A78,'muddati otgan'!J:J,"Tasdiqlash")</f>
        <v>0</v>
      </c>
      <c r="BP78" s="11">
        <f>+COUNTIFS('muddati otgan'!C:C,A78,'muddati otgan'!J:J,"tekshirish/tasdiqlash")</f>
        <v>0</v>
      </c>
      <c r="BQ78" s="11">
        <f>+COUNTIFS('muddati otgan'!C:C,A78,'muddati otgan'!J:J,"Ma'lumotlarni tasdiqlash")</f>
        <v>0</v>
      </c>
      <c r="BR78" s="11">
        <f t="shared" si="161"/>
        <v>0</v>
      </c>
      <c r="BS78" s="11">
        <f>+COUNTIFS('muddati otgan'!C:C,A78,'muddati otgan'!J:J,"Ro'yxatdan o'tkazish ma'lumotlarini tekshirish")</f>
        <v>0</v>
      </c>
      <c r="BT78" s="11">
        <f>+COUNTIFS('muddati otgan'!C:C,A78,'muddati otgan'!J:J,"Kamchiliklar bo'yicha habarnoma yuborish va 3 kunga to'xtatish")</f>
        <v>0</v>
      </c>
      <c r="BU78" s="11">
        <f>+COUNTIFS('muddati otgan'!C:C,A78,'muddati otgan'!J:J,"Hisobga olish")</f>
        <v>0</v>
      </c>
      <c r="BV78" s="11">
        <f>+COUNTIFS('muddati otgan'!C:C,A78,'muddati otgan'!J:J,"Yer uchastkasiga huquq yaratish")</f>
        <v>0</v>
      </c>
      <c r="BW78" s="11">
        <f>+COUNTIFS('muddati otgan'!C:C,A78,'muddati otgan'!J:J,"Bino-inshootga huquq yaratish")</f>
        <v>0</v>
      </c>
      <c r="BX78" s="11">
        <f>+COUNTIFS('muddati otgan'!C:C,A78,'muddati otgan'!J:J,"Cheklov yaratish")</f>
        <v>0</v>
      </c>
      <c r="BY78" s="11">
        <f>+COUNTIFS('muddati otgan'!C:C,A78,'muddati otgan'!J:J,"Taqiq yaratish")</f>
        <v>0</v>
      </c>
      <c r="BZ78" s="11">
        <f t="shared" si="162"/>
        <v>0</v>
      </c>
      <c r="CA78" s="11">
        <f>+COUNTIFS('muddati otgan'!C:C,A78,'muddati otgan'!J:J,"Soliq maydonini tekshirish")</f>
        <v>0</v>
      </c>
      <c r="CB78" s="11">
        <f t="shared" si="163"/>
        <v>0</v>
      </c>
      <c r="CC78" s="11">
        <f>+COUNTIFS('muddati otgan'!C:C,A78,'muddati otgan'!J:J,"Kadastr yig'majildini shakllantirish")</f>
        <v>0</v>
      </c>
      <c r="CD78" s="11">
        <f t="shared" si="164"/>
        <v>0</v>
      </c>
      <c r="CE78" s="11">
        <f>+COUNTIFS('muddati otgan'!C:C,A78,'muddati otgan'!J:J,"Kadastr passportini shakllantirish")</f>
        <v>0</v>
      </c>
      <c r="CF78" s="11">
        <f>+COUNTIFS('muddati otgan'!C:C,A78,'muddati otgan'!J:J,"Yig'ma jildni tasdiqlash")</f>
        <v>0</v>
      </c>
      <c r="CG78" s="11">
        <f>+COUNTIFS('muddati otgan'!C:C,A78,'muddati otgan'!J:J,"To'lov yoki bepul tasdiqlash")</f>
        <v>0</v>
      </c>
      <c r="CH78" s="11">
        <f>+COUNTIFS('muddati otgan'!C:C,A78,'muddati otgan'!J:J,"Bog'liq arizani kutish")</f>
        <v>0</v>
      </c>
      <c r="CI78" s="11">
        <f>+COUNTIFS('muddati otgan'!C:C,A78,'muddati otgan'!J:J,"To'lovga chiqarish")</f>
        <v>0</v>
      </c>
      <c r="CJ78" s="11">
        <f>+COUNTIFS('muddati otgan'!C:C,A78,'muddati otgan'!J:J,"Hisobga qo'yish")</f>
        <v>0</v>
      </c>
      <c r="CK78" s="6">
        <f>+COUNTIFS('muddati otgan'!C:C,A78,'muddati otgan'!J:J,"To'lov kutilmoqda")</f>
        <v>1</v>
      </c>
      <c r="CL78" s="11">
        <f t="shared" si="165"/>
        <v>0</v>
      </c>
      <c r="CM78" s="11">
        <f>+COUNTIFS('muddati otgan'!C:C,A78,'muddati otgan'!AA:AA,"Arizani qabul qilish2")</f>
        <v>0</v>
      </c>
      <c r="CN78" s="11">
        <f>+COUNTIFS('muddati otgan'!C:C,A78,'muddati otgan'!J:J,"Huquqlarni tekshirish")</f>
        <v>0</v>
      </c>
      <c r="CO78" s="11">
        <f>+COUNTIFS('muddati otgan'!C:C,A78,'muddati otgan'!J:J,"Ko'chmas mulkni ro'yhatdan o'tkazishga qabul qilish")</f>
        <v>0</v>
      </c>
      <c r="CP78" s="11">
        <f>+COUNTIFS('muddati otgan'!C:C,A78,'muddati otgan'!J:J,"Ro'yxatdan o'tkazish")</f>
        <v>0</v>
      </c>
      <c r="CQ78" s="11">
        <f>+COUNTIFS('muddati otgan'!C:C,A78,'muddati otgan'!J:J,"Kadastr pasporti va ko'chirmani yuborish")</f>
        <v>0</v>
      </c>
      <c r="CR78" s="11">
        <f>+COUNTIFS('muddati otgan'!C:C,A78,'muddati otgan'!AA:AA,"Rad qilish2")</f>
        <v>0</v>
      </c>
      <c r="CS78" s="11">
        <f>+COUNTIFS('muddati otgan'!C:C,A78,'muddati otgan'!J:J,"Ko'chirmani yuborish")</f>
        <v>0</v>
      </c>
      <c r="CT78" s="11">
        <f>+COUNTIFS('muddati otgan'!C:C,A78,'muddati otgan'!J:J,"Ma‘lumotlarni tekshirish")</f>
        <v>0</v>
      </c>
      <c r="CU78" s="11">
        <f t="shared" si="166"/>
        <v>0</v>
      </c>
      <c r="CV78" s="11">
        <f>+COUNTIFS('muddati otgan'!C:C,A78,'muddati otgan'!J:J,"Kadastr yig'majildini chop etish va arxiv ishiga tikish")</f>
        <v>0</v>
      </c>
      <c r="CW78" s="11">
        <f t="shared" si="167"/>
        <v>0</v>
      </c>
      <c r="CX78" s="11">
        <f>+COUNTIFS('muddati otgan'!C:C,A78,'muddati otgan'!J:J,"Kadastr yig‘majildini qabul qilish, arizani yakunlash")</f>
        <v>0</v>
      </c>
      <c r="CY78" s="11">
        <f>+COUNTIFS('muddati otgan'!C:C,A78,'muddati otgan'!J:J,"Next Cloudga yuklash")</f>
        <v>0</v>
      </c>
      <c r="CZ78" s="6">
        <f>+COUNTIFS('muddati otgan'!C:C,A78,'muddati otgan'!J:J,"Kelishish kutilmoqda")</f>
        <v>0</v>
      </c>
      <c r="DA78" s="6">
        <f>+COUNTIFS('muddati otgan'!C:C,A78,'muddati otgan'!J:J,"Yakunlandi")</f>
        <v>0</v>
      </c>
      <c r="DB78" s="10">
        <f>+COUNTIFS('muddati otgan'!C:C,A78,'muddati otgan'!J:J,"Rad etildi")</f>
        <v>0</v>
      </c>
      <c r="DC78" s="100">
        <f t="shared" si="168"/>
        <v>0</v>
      </c>
      <c r="DD78" s="44">
        <f>COUNTIFS('jami 1-20 kunlik arizalar'!C:C,A:A,'jami 1-20 kunlik arizalar'!S:S,"1")</f>
        <v>0</v>
      </c>
      <c r="DE78" s="11">
        <f>COUNTIFS('jami 1-20 kunlik arizalar'!C:C,A:A,'jami 1-20 kunlik arizalar'!S:S,"2")</f>
        <v>0</v>
      </c>
      <c r="DF78" s="11">
        <f>COUNTIFS('jami 1-20 kunlik arizalar'!C:C,A:A,'jami 1-20 kunlik arizalar'!S:S,"3")</f>
        <v>2</v>
      </c>
      <c r="DG78" s="11">
        <f>COUNTIFS('jami 1-20 kunlik arizalar'!C:C,A:A,'jami 1-20 kunlik arizalar'!S:S,"4")</f>
        <v>1</v>
      </c>
      <c r="DH78" s="11">
        <f>COUNTIFS('jami 1-20 kunlik arizalar'!C:C,A:A,'jami 1-20 kunlik arizalar'!S:S,"5")</f>
        <v>4</v>
      </c>
      <c r="DI78" s="11">
        <f>SUM(COUNTIFS('jami 1-20 kunlik arizalar'!C:C,A:A, 'jami 1-20 kunlik arizalar'!S:S, {6,7,8,9,10}))</f>
        <v>12</v>
      </c>
      <c r="DJ78" s="12">
        <f>SUM(COUNTIFS('jami 1-20 kunlik arizalar'!C:C,A:A, 'jami 1-20 kunlik arizalar'!S:S, "&gt;10"))</f>
        <v>16</v>
      </c>
    </row>
    <row r="79" spans="1:114" ht="51.95" hidden="1" customHeight="1" outlineLevel="1" x14ac:dyDescent="0.25">
      <c r="A79" s="92" t="s">
        <v>431</v>
      </c>
      <c r="B79" s="106" t="s">
        <v>958</v>
      </c>
      <c r="C79" s="85" t="s">
        <v>418</v>
      </c>
      <c r="D79" s="80">
        <f>+COUNTIFS('muddati otgan'!C:C,A79,'muddati otgan'!C:C,A79)</f>
        <v>0</v>
      </c>
      <c r="E79" s="10">
        <f>SUMIFS('muddati otgan'!$V:V,'muddati otgan'!$C:C,$A:A)</f>
        <v>0</v>
      </c>
      <c r="F79" s="10">
        <f>SUMIFS('muddati otgan'!$W:W,'muddati otgan'!$C:C,$A:A)</f>
        <v>0</v>
      </c>
      <c r="G79" s="24">
        <f>SUMIFS('muddati otgan'!$U:U,'muddati otgan'!$C:C,$A:A)</f>
        <v>0</v>
      </c>
      <c r="H79" s="11">
        <f>SUMIFS('muddati otgan'!$G:G,'muddati otgan'!$C:C,$A:A)</f>
        <v>0</v>
      </c>
      <c r="I79" s="12">
        <f>SUMIFS('muddati otgan'!$H:H,'muddati otgan'!$C:C,$A:A)</f>
        <v>0</v>
      </c>
      <c r="J79" s="44">
        <f t="shared" si="152"/>
        <v>0</v>
      </c>
      <c r="K79" s="11">
        <f>+COUNTIFS('muddati otgan'!C:C,A79,'muddati otgan'!AA:AA,"Arizani qabul qilish")</f>
        <v>0</v>
      </c>
      <c r="L79" s="11">
        <f>+COUNTIFS('muddati otgan'!C:C,A79,'muddati otgan'!J:J,"Arizani rad etish")</f>
        <v>0</v>
      </c>
      <c r="M79" s="11">
        <f>+COUNTIFS('muddati otgan'!C:C,A79,'muddati otgan'!J:J,"Arizani tasdiqlash")</f>
        <v>0</v>
      </c>
      <c r="N79" s="11">
        <f>+COUNTIFS('muddati otgan'!C:C,A79,'muddati otgan'!J:J,"Arizani yo'naltirish")</f>
        <v>0</v>
      </c>
      <c r="O79" s="11">
        <f>+COUNTIFS('muddati otgan'!C:C,A79,'muddati otgan'!J:J,"Rad qilish sababini o'rganish")</f>
        <v>0</v>
      </c>
      <c r="P79" s="11">
        <f>+COUNTIFS('muddati otgan'!C:C,A79,'muddati otgan'!J:J,"Ko'chmas mulkni UZKAD ga migratsiya qilish")</f>
        <v>0</v>
      </c>
      <c r="Q79" s="11">
        <f>+COUNTIFS('muddati otgan'!C:C,A79,'muddati otgan'!J:J,"Migratisya qilingan obyekt holatini tekshirish")</f>
        <v>0</v>
      </c>
      <c r="R79" s="11">
        <f>+COUNTIFS('muddati otgan'!C:C,A79,'muddati otgan'!J:J,"Ko‘chmas mulkni tanlash")</f>
        <v>0</v>
      </c>
      <c r="S79" s="11">
        <f>+COUNTIFS('muddati otgan'!C:C,A79,'muddati otgan'!J:J,"Arizani ko'rib chiqish")</f>
        <v>0</v>
      </c>
      <c r="T79" s="11">
        <f>+COUNTIFS('muddati otgan'!C:C,A79,'muddati otgan'!J:J,"Kadastr muhandisini tanlash")</f>
        <v>0</v>
      </c>
      <c r="U79" s="11">
        <f>+COUNTIFS('muddati otgan'!C:C,A79,'muddati otgan'!J:J,"Ko'chmas mulk turini tanlahsh")</f>
        <v>0</v>
      </c>
      <c r="V79" s="11">
        <f>+COUNTIFS('muddati otgan'!C:C,A79,'muddati otgan'!AA:AA,"Rad qilish")</f>
        <v>0</v>
      </c>
      <c r="W79" s="11">
        <f>+COUNTIFS('muddati otgan'!C:C,A79,'muddati otgan'!J:J,"ijrochi tanlash")</f>
        <v>0</v>
      </c>
      <c r="X79" s="11">
        <f>+COUNTIFS('muddati otgan'!C:C,A79,'muddati otgan'!J:J,"Ko'chmas mulk turini tanlash")</f>
        <v>0</v>
      </c>
      <c r="Y79" s="11">
        <f t="shared" si="153"/>
        <v>0</v>
      </c>
      <c r="Z79" s="11">
        <f>+COUNTIFS('muddati otgan'!C:C,A79,'muddati otgan'!J:J,"Ijroga qabul qilish")</f>
        <v>0</v>
      </c>
      <c r="AA79" s="11">
        <f>+COUNTIFS('muddati otgan'!C:C,A79,'muddati otgan'!J:J,"Joyida o'rganish va ma'lumotlarni kiritish")</f>
        <v>0</v>
      </c>
      <c r="AB79" s="11">
        <f>+COUNTIFS('muddati otgan'!C:C,A79,'muddati otgan'!J:J,"Asosiy qismdan ajratish jarayonida")</f>
        <v>0</v>
      </c>
      <c r="AC79" s="11">
        <f>+COUNTIFS('muddati otgan'!C:C,A79,'muddati otgan'!J:J,"Umumiy foydalanishdagi obyekt yaratilish")</f>
        <v>0</v>
      </c>
      <c r="AD79" s="11">
        <f>+COUNTIFS('muddati otgan'!C:C,A79,'muddati otgan'!J:J,"Migratsiya qilinadigan kadastr raqamini kiritish")</f>
        <v>0</v>
      </c>
      <c r="AE79" s="11">
        <f>+COUNTIFS('muddati otgan'!C:C,A79,'muddati otgan'!J:J,"O'zida qolgan obyektni yaratish")</f>
        <v>0</v>
      </c>
      <c r="AF79" s="11">
        <f>+COUNTIFS('muddati otgan'!C:C,A79,'muddati otgan'!J:J,"O'lchov natijalarini kiritish")</f>
        <v>0</v>
      </c>
      <c r="AG79" s="11">
        <f>+COUNTIFS('muddati otgan'!C:C,A79,'muddati otgan'!J:J,"Topoxaritani tayyorlash (dwg, pdf)")</f>
        <v>0</v>
      </c>
      <c r="AH79" s="11">
        <f t="shared" si="154"/>
        <v>0</v>
      </c>
      <c r="AI79" s="11">
        <f>+COUNTIFS('muddati otgan'!C:C,A79,'muddati otgan'!J:J,"Yer uchastkasini yaratish")</f>
        <v>0</v>
      </c>
      <c r="AJ79" s="11">
        <f t="shared" si="155"/>
        <v>0</v>
      </c>
      <c r="AK79" s="11">
        <f>+COUNTIFS('muddati otgan'!C:C,A79,'muddati otgan'!J:J,"Kelishish (Boshqarma)")</f>
        <v>0</v>
      </c>
      <c r="AL79" s="11">
        <f t="shared" si="156"/>
        <v>0</v>
      </c>
      <c r="AM79" s="11">
        <f>+COUNTIFS('muddati otgan'!C:C,A79,'muddati otgan'!J:J,"Kelishish (DKP)")</f>
        <v>0</v>
      </c>
      <c r="AN79" s="11">
        <f>+COUNTIFS('muddati otgan'!C:C,A79,'muddati otgan'!J:J,"Kelishish")</f>
        <v>0</v>
      </c>
      <c r="AO79" s="11">
        <f>+COUNTIFS('muddati otgan'!C:C,A79,'muddati otgan'!J:J,"Kelishish (Registratsiya DKP)")</f>
        <v>0</v>
      </c>
      <c r="AP79" s="11">
        <f t="shared" si="157"/>
        <v>0</v>
      </c>
      <c r="AQ79" s="11">
        <f>+COUNTIFS('muddati otgan'!C:C,A79,'muddati otgan'!J:J,"Manzil biriktirish")</f>
        <v>0</v>
      </c>
      <c r="AR79" s="11">
        <f>+COUNTIFS('muddati otgan'!C:C,A79,'muddati otgan'!J:J,"Bino va inshootlarni yaratish")</f>
        <v>0</v>
      </c>
      <c r="AS79" s="11">
        <f>+COUNTIFS('muddati otgan'!C:C,A79,'muddati otgan'!J:J,"Dov daraxtlarni yaratish")</f>
        <v>0</v>
      </c>
      <c r="AT79" s="11">
        <f>+COUNTIFS('muddati otgan'!C:C,A79,'muddati otgan'!J:J,"Yer uchastkasini tahrirlash")</f>
        <v>0</v>
      </c>
      <c r="AU79" s="11">
        <f t="shared" si="158"/>
        <v>0</v>
      </c>
      <c r="AV79" s="11">
        <f>+COUNTIFS('muddati otgan'!C:C,A79,'muddati otgan'!J:J,"Yer toifasi va maqsadini kiritish")</f>
        <v>0</v>
      </c>
      <c r="AW79" s="11">
        <f>+COUNTIFS('muddati otgan'!C:C,A79,'muddati otgan'!J:J,"Auksion yer tekshirish")</f>
        <v>0</v>
      </c>
      <c r="AX79" s="11">
        <f>+COUNTIFS('muddati otgan'!C:C,A79,'muddati otgan'!J:J,"Yer turlarini kiritish")</f>
        <v>0</v>
      </c>
      <c r="AY79" s="11">
        <f>+COUNTIFS('muddati otgan'!C:C,A79,'muddati otgan'!J:J,"Ma'lumotlarni kiritish")</f>
        <v>0</v>
      </c>
      <c r="AZ79" s="11">
        <f>+COUNTIFS('muddati otgan'!C:C,A79,'muddati otgan'!J:J,"Yer tekshirish")</f>
        <v>0</v>
      </c>
      <c r="BA79" s="11">
        <f t="shared" si="159"/>
        <v>0</v>
      </c>
      <c r="BB79" s="11">
        <f>+COUNTIFS('muddati otgan'!C:C,A79,'muddati otgan'!J:J,"Bino va inshoot ma'lumotlarini to‘ldirish")</f>
        <v>0</v>
      </c>
      <c r="BC79" s="11">
        <f>+COUNTIFS('muddati otgan'!C:C,A79,'muddati otgan'!J:J,"Inventarizatsiya ma'lumotlarini to‘ldirish")</f>
        <v>0</v>
      </c>
      <c r="BD79" s="11">
        <f>+COUNTIFS('muddati otgan'!C:C,A79,'muddati otgan'!J:J,"Yer uchastkasiga huquqiy hujjatlarni kiritsh")</f>
        <v>0</v>
      </c>
      <c r="BE79" s="11">
        <f>+COUNTIFS('muddati otgan'!C:C,A79,'muddati otgan'!J:J,"Bino-inshootlarga huquqiy hujjatlarni kiritsh")</f>
        <v>0</v>
      </c>
      <c r="BF79" s="11">
        <f>+COUNTIFS('muddati otgan'!C:C,A79,'muddati otgan'!J:J,"Kadastr qiymatini hisoblash va kiritish")</f>
        <v>0</v>
      </c>
      <c r="BG79" s="11">
        <f>+COUNTIFS('muddati otgan'!C:C,A79,'muddati otgan'!J:J,"Kadastr raqam biriktirish")</f>
        <v>0</v>
      </c>
      <c r="BH79" s="11">
        <f>+COUNTIFS('muddati otgan'!C:C,A79,'muddati otgan'!J:J,"Kadastr yig'ma jildni tayyorlash")</f>
        <v>0</v>
      </c>
      <c r="BI79" s="11">
        <f>+COUNTIFS('muddati otgan'!C:C,A79,'muddati otgan'!J:J,"Huquqni yaratish")</f>
        <v>0</v>
      </c>
      <c r="BJ79" s="11">
        <f>+COUNTIFS('muddati otgan'!C:C,A79,'muddati otgan'!J:J,"Hujjatlarni o'rganish")</f>
        <v>0</v>
      </c>
      <c r="BK79" s="11">
        <f>+COUNTIFS('muddati otgan'!C:C,A79,'muddati otgan'!J:J,"Ma'lumotlarni tekshirish")</f>
        <v>0</v>
      </c>
      <c r="BL79" s="11">
        <f t="shared" si="160"/>
        <v>0</v>
      </c>
      <c r="BM79" s="11">
        <f>+COUNTIFS('muddati otgan'!C:C,A79,'muddati otgan'!J:J,"Tekshirish")</f>
        <v>0</v>
      </c>
      <c r="BN79" s="11">
        <f>+COUNTIFS('muddati otgan'!C:C,A79,'muddati otgan'!J:J,"Hujjatlarni tekshirish")</f>
        <v>0</v>
      </c>
      <c r="BO79" s="11">
        <f>+COUNTIFS('muddati otgan'!C:C,A79,'muddati otgan'!J:J,"Tasdiqlash")</f>
        <v>0</v>
      </c>
      <c r="BP79" s="11">
        <f>+COUNTIFS('muddati otgan'!C:C,A79,'muddati otgan'!J:J,"tekshirish/tasdiqlash")</f>
        <v>0</v>
      </c>
      <c r="BQ79" s="11">
        <f>+COUNTIFS('muddati otgan'!C:C,A79,'muddati otgan'!J:J,"Ma'lumotlarni tasdiqlash")</f>
        <v>0</v>
      </c>
      <c r="BR79" s="11">
        <f t="shared" si="161"/>
        <v>0</v>
      </c>
      <c r="BS79" s="11">
        <f>+COUNTIFS('muddati otgan'!C:C,A79,'muddati otgan'!J:J,"Ro'yxatdan o'tkazish ma'lumotlarini tekshirish")</f>
        <v>0</v>
      </c>
      <c r="BT79" s="11">
        <f>+COUNTIFS('muddati otgan'!C:C,A79,'muddati otgan'!J:J,"Kamchiliklar bo'yicha habarnoma yuborish va 3 kunga to'xtatish")</f>
        <v>0</v>
      </c>
      <c r="BU79" s="11">
        <f>+COUNTIFS('muddati otgan'!C:C,A79,'muddati otgan'!J:J,"Hisobga olish")</f>
        <v>0</v>
      </c>
      <c r="BV79" s="11">
        <f>+COUNTIFS('muddati otgan'!C:C,A79,'muddati otgan'!J:J,"Yer uchastkasiga huquq yaratish")</f>
        <v>0</v>
      </c>
      <c r="BW79" s="11">
        <f>+COUNTIFS('muddati otgan'!C:C,A79,'muddati otgan'!J:J,"Bino-inshootga huquq yaratish")</f>
        <v>0</v>
      </c>
      <c r="BX79" s="11">
        <f>+COUNTIFS('muddati otgan'!C:C,A79,'muddati otgan'!J:J,"Cheklov yaratish")</f>
        <v>0</v>
      </c>
      <c r="BY79" s="11">
        <f>+COUNTIFS('muddati otgan'!C:C,A79,'muddati otgan'!J:J,"Taqiq yaratish")</f>
        <v>0</v>
      </c>
      <c r="BZ79" s="11">
        <f t="shared" si="162"/>
        <v>0</v>
      </c>
      <c r="CA79" s="11">
        <f>+COUNTIFS('muddati otgan'!C:C,A79,'muddati otgan'!J:J,"Soliq maydonini tekshirish")</f>
        <v>0</v>
      </c>
      <c r="CB79" s="11">
        <f t="shared" si="163"/>
        <v>0</v>
      </c>
      <c r="CC79" s="11">
        <f>+COUNTIFS('muddati otgan'!C:C,A79,'muddati otgan'!J:J,"Kadastr yig'majildini shakllantirish")</f>
        <v>0</v>
      </c>
      <c r="CD79" s="11">
        <f t="shared" si="164"/>
        <v>0</v>
      </c>
      <c r="CE79" s="11">
        <f>+COUNTIFS('muddati otgan'!C:C,A79,'muddati otgan'!J:J,"Kadastr passportini shakllantirish")</f>
        <v>0</v>
      </c>
      <c r="CF79" s="11">
        <f>+COUNTIFS('muddati otgan'!C:C,A79,'muddati otgan'!J:J,"Yig'ma jildni tasdiqlash")</f>
        <v>0</v>
      </c>
      <c r="CG79" s="11">
        <f>+COUNTIFS('muddati otgan'!C:C,A79,'muddati otgan'!J:J,"To'lov yoki bepul tasdiqlash")</f>
        <v>0</v>
      </c>
      <c r="CH79" s="11">
        <f>+COUNTIFS('muddati otgan'!C:C,A79,'muddati otgan'!J:J,"Bog'liq arizani kutish")</f>
        <v>0</v>
      </c>
      <c r="CI79" s="11">
        <f>+COUNTIFS('muddati otgan'!C:C,A79,'muddati otgan'!J:J,"To'lovga chiqarish")</f>
        <v>0</v>
      </c>
      <c r="CJ79" s="11">
        <f>+COUNTIFS('muddati otgan'!C:C,A79,'muddati otgan'!J:J,"Hisobga qo'yish")</f>
        <v>0</v>
      </c>
      <c r="CK79" s="6">
        <f>+COUNTIFS('muddati otgan'!C:C,A79,'muddati otgan'!J:J,"To'lov kutilmoqda")</f>
        <v>0</v>
      </c>
      <c r="CL79" s="11">
        <f t="shared" si="165"/>
        <v>0</v>
      </c>
      <c r="CM79" s="11">
        <f>+COUNTIFS('muddati otgan'!C:C,A79,'muddati otgan'!AA:AA,"Arizani qabul qilish2")</f>
        <v>0</v>
      </c>
      <c r="CN79" s="11">
        <f>+COUNTIFS('muddati otgan'!C:C,A79,'muddati otgan'!J:J,"Huquqlarni tekshirish")</f>
        <v>0</v>
      </c>
      <c r="CO79" s="11">
        <f>+COUNTIFS('muddati otgan'!C:C,A79,'muddati otgan'!J:J,"Ko'chmas mulkni ro'yhatdan o'tkazishga qabul qilish")</f>
        <v>0</v>
      </c>
      <c r="CP79" s="11">
        <f>+COUNTIFS('muddati otgan'!C:C,A79,'muddati otgan'!J:J,"Ro'yxatdan o'tkazish")</f>
        <v>0</v>
      </c>
      <c r="CQ79" s="11">
        <f>+COUNTIFS('muddati otgan'!C:C,A79,'muddati otgan'!J:J,"Kadastr pasporti va ko'chirmani yuborish")</f>
        <v>0</v>
      </c>
      <c r="CR79" s="11">
        <f>+COUNTIFS('muddati otgan'!C:C,A79,'muddati otgan'!AA:AA,"Rad qilish2")</f>
        <v>0</v>
      </c>
      <c r="CS79" s="11">
        <f>+COUNTIFS('muddati otgan'!C:C,A79,'muddati otgan'!J:J,"Ko'chirmani yuborish")</f>
        <v>0</v>
      </c>
      <c r="CT79" s="11">
        <f>+COUNTIFS('muddati otgan'!C:C,A79,'muddati otgan'!J:J,"Ma‘lumotlarni tekshirish")</f>
        <v>0</v>
      </c>
      <c r="CU79" s="11">
        <f t="shared" si="166"/>
        <v>0</v>
      </c>
      <c r="CV79" s="11">
        <f>+COUNTIFS('muddati otgan'!C:C,A79,'muddati otgan'!J:J,"Kadastr yig'majildini chop etish va arxiv ishiga tikish")</f>
        <v>0</v>
      </c>
      <c r="CW79" s="11">
        <f t="shared" si="167"/>
        <v>0</v>
      </c>
      <c r="CX79" s="11">
        <f>+COUNTIFS('muddati otgan'!C:C,A79,'muddati otgan'!J:J,"Kadastr yig‘majildini qabul qilish, arizani yakunlash")</f>
        <v>0</v>
      </c>
      <c r="CY79" s="11">
        <f>+COUNTIFS('muddati otgan'!C:C,A79,'muddati otgan'!J:J,"Next Cloudga yuklash")</f>
        <v>0</v>
      </c>
      <c r="CZ79" s="6">
        <f>+COUNTIFS('muddati otgan'!C:C,A79,'muddati otgan'!J:J,"Kelishish kutilmoqda")</f>
        <v>0</v>
      </c>
      <c r="DA79" s="6">
        <f>+COUNTIFS('muddati otgan'!C:C,A79,'muddati otgan'!J:J,"Yakunlandi")</f>
        <v>0</v>
      </c>
      <c r="DB79" s="10">
        <f>+COUNTIFS('muddati otgan'!C:C,A79,'muddati otgan'!J:J,"Rad etildi")</f>
        <v>0</v>
      </c>
      <c r="DC79" s="100">
        <f t="shared" si="168"/>
        <v>0</v>
      </c>
      <c r="DD79" s="44">
        <f>COUNTIFS('jami 1-20 kunlik arizalar'!C:C,A:A,'jami 1-20 kunlik arizalar'!S:S,"1")</f>
        <v>0</v>
      </c>
      <c r="DE79" s="11">
        <f>COUNTIFS('jami 1-20 kunlik arizalar'!C:C,A:A,'jami 1-20 kunlik arizalar'!S:S,"2")</f>
        <v>0</v>
      </c>
      <c r="DF79" s="11">
        <f>COUNTIFS('jami 1-20 kunlik arizalar'!C:C,A:A,'jami 1-20 kunlik arizalar'!S:S,"3")</f>
        <v>0</v>
      </c>
      <c r="DG79" s="11">
        <f>COUNTIFS('jami 1-20 kunlik arizalar'!C:C,A:A,'jami 1-20 kunlik arizalar'!S:S,"4")</f>
        <v>0</v>
      </c>
      <c r="DH79" s="11">
        <f>COUNTIFS('jami 1-20 kunlik arizalar'!C:C,A:A,'jami 1-20 kunlik arizalar'!S:S,"5")</f>
        <v>0</v>
      </c>
      <c r="DI79" s="11">
        <f>SUM(COUNTIFS('jami 1-20 kunlik arizalar'!C:C,A:A, 'jami 1-20 kunlik arizalar'!S:S, {6,7,8,9,10}))</f>
        <v>0</v>
      </c>
      <c r="DJ79" s="12">
        <f>SUM(COUNTIFS('jami 1-20 kunlik arizalar'!C:C,A:A, 'jami 1-20 kunlik arizalar'!S:S, "&gt;10"))</f>
        <v>0</v>
      </c>
    </row>
    <row r="80" spans="1:114" ht="51.95" hidden="1" customHeight="1" outlineLevel="1" x14ac:dyDescent="0.25">
      <c r="A80" s="92" t="s">
        <v>432</v>
      </c>
      <c r="B80" s="106" t="s">
        <v>958</v>
      </c>
      <c r="C80" s="85" t="s">
        <v>419</v>
      </c>
      <c r="D80" s="80">
        <f>+COUNTIFS('muddati otgan'!C:C,A80,'muddati otgan'!C:C,A80)</f>
        <v>0</v>
      </c>
      <c r="E80" s="10">
        <f>SUMIFS('muddati otgan'!$V:V,'muddati otgan'!$C:C,$A:A)</f>
        <v>0</v>
      </c>
      <c r="F80" s="10">
        <f>SUMIFS('muddati otgan'!$W:W,'muddati otgan'!$C:C,$A:A)</f>
        <v>0</v>
      </c>
      <c r="G80" s="24">
        <f>SUMIFS('muddati otgan'!$U:U,'muddati otgan'!$C:C,$A:A)</f>
        <v>0</v>
      </c>
      <c r="H80" s="11">
        <f>SUMIFS('muddati otgan'!$G:G,'muddati otgan'!$C:C,$A:A)</f>
        <v>0</v>
      </c>
      <c r="I80" s="12">
        <f>SUMIFS('muddati otgan'!$H:H,'muddati otgan'!$C:C,$A:A)</f>
        <v>0</v>
      </c>
      <c r="J80" s="44">
        <f t="shared" si="152"/>
        <v>0</v>
      </c>
      <c r="K80" s="11">
        <f>+COUNTIFS('muddati otgan'!C:C,A80,'muddati otgan'!AA:AA,"Arizani qabul qilish")</f>
        <v>0</v>
      </c>
      <c r="L80" s="11">
        <f>+COUNTIFS('muddati otgan'!C:C,A80,'muddati otgan'!J:J,"Arizani rad etish")</f>
        <v>0</v>
      </c>
      <c r="M80" s="11">
        <f>+COUNTIFS('muddati otgan'!C:C,A80,'muddati otgan'!J:J,"Arizani tasdiqlash")</f>
        <v>0</v>
      </c>
      <c r="N80" s="11">
        <f>+COUNTIFS('muddati otgan'!C:C,A80,'muddati otgan'!J:J,"Arizani yo'naltirish")</f>
        <v>0</v>
      </c>
      <c r="O80" s="11">
        <f>+COUNTIFS('muddati otgan'!C:C,A80,'muddati otgan'!J:J,"Rad qilish sababini o'rganish")</f>
        <v>0</v>
      </c>
      <c r="P80" s="11">
        <f>+COUNTIFS('muddati otgan'!C:C,A80,'muddati otgan'!J:J,"Ko'chmas mulkni UZKAD ga migratsiya qilish")</f>
        <v>0</v>
      </c>
      <c r="Q80" s="11">
        <f>+COUNTIFS('muddati otgan'!C:C,A80,'muddati otgan'!J:J,"Migratisya qilingan obyekt holatini tekshirish")</f>
        <v>0</v>
      </c>
      <c r="R80" s="11">
        <f>+COUNTIFS('muddati otgan'!C:C,A80,'muddati otgan'!J:J,"Ko‘chmas mulkni tanlash")</f>
        <v>0</v>
      </c>
      <c r="S80" s="11">
        <f>+COUNTIFS('muddati otgan'!C:C,A80,'muddati otgan'!J:J,"Arizani ko'rib chiqish")</f>
        <v>0</v>
      </c>
      <c r="T80" s="11">
        <f>+COUNTIFS('muddati otgan'!C:C,A80,'muddati otgan'!J:J,"Kadastr muhandisini tanlash")</f>
        <v>0</v>
      </c>
      <c r="U80" s="11">
        <f>+COUNTIFS('muddati otgan'!C:C,A80,'muddati otgan'!J:J,"Ko'chmas mulk turini tanlahsh")</f>
        <v>0</v>
      </c>
      <c r="V80" s="11">
        <f>+COUNTIFS('muddati otgan'!C:C,A80,'muddati otgan'!AA:AA,"Rad qilish")</f>
        <v>0</v>
      </c>
      <c r="W80" s="11">
        <f>+COUNTIFS('muddati otgan'!C:C,A80,'muddati otgan'!J:J,"ijrochi tanlash")</f>
        <v>0</v>
      </c>
      <c r="X80" s="11">
        <f>+COUNTIFS('muddati otgan'!C:C,A80,'muddati otgan'!J:J,"Ko'chmas mulk turini tanlash")</f>
        <v>0</v>
      </c>
      <c r="Y80" s="11">
        <f t="shared" si="153"/>
        <v>0</v>
      </c>
      <c r="Z80" s="11">
        <f>+COUNTIFS('muddati otgan'!C:C,A80,'muddati otgan'!J:J,"Ijroga qabul qilish")</f>
        <v>0</v>
      </c>
      <c r="AA80" s="11">
        <f>+COUNTIFS('muddati otgan'!C:C,A80,'muddati otgan'!J:J,"Joyida o'rganish va ma'lumotlarni kiritish")</f>
        <v>0</v>
      </c>
      <c r="AB80" s="11">
        <f>+COUNTIFS('muddati otgan'!C:C,A80,'muddati otgan'!J:J,"Asosiy qismdan ajratish jarayonida")</f>
        <v>0</v>
      </c>
      <c r="AC80" s="11">
        <f>+COUNTIFS('muddati otgan'!C:C,A80,'muddati otgan'!J:J,"Umumiy foydalanishdagi obyekt yaratilish")</f>
        <v>0</v>
      </c>
      <c r="AD80" s="11">
        <f>+COUNTIFS('muddati otgan'!C:C,A80,'muddati otgan'!J:J,"Migratsiya qilinadigan kadastr raqamini kiritish")</f>
        <v>0</v>
      </c>
      <c r="AE80" s="11">
        <f>+COUNTIFS('muddati otgan'!C:C,A80,'muddati otgan'!J:J,"O'zida qolgan obyektni yaratish")</f>
        <v>0</v>
      </c>
      <c r="AF80" s="11">
        <f>+COUNTIFS('muddati otgan'!C:C,A80,'muddati otgan'!J:J,"O'lchov natijalarini kiritish")</f>
        <v>0</v>
      </c>
      <c r="AG80" s="11">
        <f>+COUNTIFS('muddati otgan'!C:C,A80,'muddati otgan'!J:J,"Topoxaritani tayyorlash (dwg, pdf)")</f>
        <v>0</v>
      </c>
      <c r="AH80" s="11">
        <f t="shared" si="154"/>
        <v>0</v>
      </c>
      <c r="AI80" s="11">
        <f>+COUNTIFS('muddati otgan'!C:C,A80,'muddati otgan'!J:J,"Yer uchastkasini yaratish")</f>
        <v>0</v>
      </c>
      <c r="AJ80" s="11">
        <f t="shared" si="155"/>
        <v>0</v>
      </c>
      <c r="AK80" s="11">
        <f>+COUNTIFS('muddati otgan'!C:C,A80,'muddati otgan'!J:J,"Kelishish (Boshqarma)")</f>
        <v>0</v>
      </c>
      <c r="AL80" s="11">
        <f t="shared" si="156"/>
        <v>0</v>
      </c>
      <c r="AM80" s="11">
        <f>+COUNTIFS('muddati otgan'!C:C,A80,'muddati otgan'!J:J,"Kelishish (DKP)")</f>
        <v>0</v>
      </c>
      <c r="AN80" s="11">
        <f>+COUNTIFS('muddati otgan'!C:C,A80,'muddati otgan'!J:J,"Kelishish")</f>
        <v>0</v>
      </c>
      <c r="AO80" s="11">
        <f>+COUNTIFS('muddati otgan'!C:C,A80,'muddati otgan'!J:J,"Kelishish (Registratsiya DKP)")</f>
        <v>0</v>
      </c>
      <c r="AP80" s="11">
        <f t="shared" si="157"/>
        <v>0</v>
      </c>
      <c r="AQ80" s="11">
        <f>+COUNTIFS('muddati otgan'!C:C,A80,'muddati otgan'!J:J,"Manzil biriktirish")</f>
        <v>0</v>
      </c>
      <c r="AR80" s="11">
        <f>+COUNTIFS('muddati otgan'!C:C,A80,'muddati otgan'!J:J,"Bino va inshootlarni yaratish")</f>
        <v>0</v>
      </c>
      <c r="AS80" s="11">
        <f>+COUNTIFS('muddati otgan'!C:C,A80,'muddati otgan'!J:J,"Dov daraxtlarni yaratish")</f>
        <v>0</v>
      </c>
      <c r="AT80" s="11">
        <f>+COUNTIFS('muddati otgan'!C:C,A80,'muddati otgan'!J:J,"Yer uchastkasini tahrirlash")</f>
        <v>0</v>
      </c>
      <c r="AU80" s="11">
        <f t="shared" si="158"/>
        <v>0</v>
      </c>
      <c r="AV80" s="11">
        <f>+COUNTIFS('muddati otgan'!C:C,A80,'muddati otgan'!J:J,"Yer toifasi va maqsadini kiritish")</f>
        <v>0</v>
      </c>
      <c r="AW80" s="11">
        <f>+COUNTIFS('muddati otgan'!C:C,A80,'muddati otgan'!J:J,"Auksion yer tekshirish")</f>
        <v>0</v>
      </c>
      <c r="AX80" s="11">
        <f>+COUNTIFS('muddati otgan'!C:C,A80,'muddati otgan'!J:J,"Yer turlarini kiritish")</f>
        <v>0</v>
      </c>
      <c r="AY80" s="11">
        <f>+COUNTIFS('muddati otgan'!C:C,A80,'muddati otgan'!J:J,"Ma'lumotlarni kiritish")</f>
        <v>0</v>
      </c>
      <c r="AZ80" s="11">
        <f>+COUNTIFS('muddati otgan'!C:C,A80,'muddati otgan'!J:J,"Yer tekshirish")</f>
        <v>0</v>
      </c>
      <c r="BA80" s="11">
        <f t="shared" si="159"/>
        <v>0</v>
      </c>
      <c r="BB80" s="11">
        <f>+COUNTIFS('muddati otgan'!C:C,A80,'muddati otgan'!J:J,"Bino va inshoot ma'lumotlarini to‘ldirish")</f>
        <v>0</v>
      </c>
      <c r="BC80" s="11">
        <f>+COUNTIFS('muddati otgan'!C:C,A80,'muddati otgan'!J:J,"Inventarizatsiya ma'lumotlarini to‘ldirish")</f>
        <v>0</v>
      </c>
      <c r="BD80" s="11">
        <f>+COUNTIFS('muddati otgan'!C:C,A80,'muddati otgan'!J:J,"Yer uchastkasiga huquqiy hujjatlarni kiritsh")</f>
        <v>0</v>
      </c>
      <c r="BE80" s="11">
        <f>+COUNTIFS('muddati otgan'!C:C,A80,'muddati otgan'!J:J,"Bino-inshootlarga huquqiy hujjatlarni kiritsh")</f>
        <v>0</v>
      </c>
      <c r="BF80" s="11">
        <f>+COUNTIFS('muddati otgan'!C:C,A80,'muddati otgan'!J:J,"Kadastr qiymatini hisoblash va kiritish")</f>
        <v>0</v>
      </c>
      <c r="BG80" s="11">
        <f>+COUNTIFS('muddati otgan'!C:C,A80,'muddati otgan'!J:J,"Kadastr raqam biriktirish")</f>
        <v>0</v>
      </c>
      <c r="BH80" s="11">
        <f>+COUNTIFS('muddati otgan'!C:C,A80,'muddati otgan'!J:J,"Kadastr yig'ma jildni tayyorlash")</f>
        <v>0</v>
      </c>
      <c r="BI80" s="11">
        <f>+COUNTIFS('muddati otgan'!C:C,A80,'muddati otgan'!J:J,"Huquqni yaratish")</f>
        <v>0</v>
      </c>
      <c r="BJ80" s="11">
        <f>+COUNTIFS('muddati otgan'!C:C,A80,'muddati otgan'!J:J,"Hujjatlarni o'rganish")</f>
        <v>0</v>
      </c>
      <c r="BK80" s="11">
        <f>+COUNTIFS('muddati otgan'!C:C,A80,'muddati otgan'!J:J,"Ma'lumotlarni tekshirish")</f>
        <v>0</v>
      </c>
      <c r="BL80" s="11">
        <f t="shared" si="160"/>
        <v>0</v>
      </c>
      <c r="BM80" s="11">
        <f>+COUNTIFS('muddati otgan'!C:C,A80,'muddati otgan'!J:J,"Tekshirish")</f>
        <v>0</v>
      </c>
      <c r="BN80" s="11">
        <f>+COUNTIFS('muddati otgan'!C:C,A80,'muddati otgan'!J:J,"Hujjatlarni tekshirish")</f>
        <v>0</v>
      </c>
      <c r="BO80" s="11">
        <f>+COUNTIFS('muddati otgan'!C:C,A80,'muddati otgan'!J:J,"Tasdiqlash")</f>
        <v>0</v>
      </c>
      <c r="BP80" s="11">
        <f>+COUNTIFS('muddati otgan'!C:C,A80,'muddati otgan'!J:J,"tekshirish/tasdiqlash")</f>
        <v>0</v>
      </c>
      <c r="BQ80" s="11">
        <f>+COUNTIFS('muddati otgan'!C:C,A80,'muddati otgan'!J:J,"Ma'lumotlarni tasdiqlash")</f>
        <v>0</v>
      </c>
      <c r="BR80" s="11">
        <f t="shared" si="161"/>
        <v>0</v>
      </c>
      <c r="BS80" s="11">
        <f>+COUNTIFS('muddati otgan'!C:C,A80,'muddati otgan'!J:J,"Ro'yxatdan o'tkazish ma'lumotlarini tekshirish")</f>
        <v>0</v>
      </c>
      <c r="BT80" s="11">
        <f>+COUNTIFS('muddati otgan'!C:C,A80,'muddati otgan'!J:J,"Kamchiliklar bo'yicha habarnoma yuborish va 3 kunga to'xtatish")</f>
        <v>0</v>
      </c>
      <c r="BU80" s="11">
        <f>+COUNTIFS('muddati otgan'!C:C,A80,'muddati otgan'!J:J,"Hisobga olish")</f>
        <v>0</v>
      </c>
      <c r="BV80" s="11">
        <f>+COUNTIFS('muddati otgan'!C:C,A80,'muddati otgan'!J:J,"Yer uchastkasiga huquq yaratish")</f>
        <v>0</v>
      </c>
      <c r="BW80" s="11">
        <f>+COUNTIFS('muddati otgan'!C:C,A80,'muddati otgan'!J:J,"Bino-inshootga huquq yaratish")</f>
        <v>0</v>
      </c>
      <c r="BX80" s="11">
        <f>+COUNTIFS('muddati otgan'!C:C,A80,'muddati otgan'!J:J,"Cheklov yaratish")</f>
        <v>0</v>
      </c>
      <c r="BY80" s="11">
        <f>+COUNTIFS('muddati otgan'!C:C,A80,'muddati otgan'!J:J,"Taqiq yaratish")</f>
        <v>0</v>
      </c>
      <c r="BZ80" s="11">
        <f t="shared" si="162"/>
        <v>0</v>
      </c>
      <c r="CA80" s="11">
        <f>+COUNTIFS('muddati otgan'!C:C,A80,'muddati otgan'!J:J,"Soliq maydonini tekshirish")</f>
        <v>0</v>
      </c>
      <c r="CB80" s="11">
        <f t="shared" si="163"/>
        <v>0</v>
      </c>
      <c r="CC80" s="11">
        <f>+COUNTIFS('muddati otgan'!C:C,A80,'muddati otgan'!J:J,"Kadastr yig'majildini shakllantirish")</f>
        <v>0</v>
      </c>
      <c r="CD80" s="11">
        <f t="shared" si="164"/>
        <v>0</v>
      </c>
      <c r="CE80" s="11">
        <f>+COUNTIFS('muddati otgan'!C:C,A80,'muddati otgan'!J:J,"Kadastr passportini shakllantirish")</f>
        <v>0</v>
      </c>
      <c r="CF80" s="11">
        <f>+COUNTIFS('muddati otgan'!C:C,A80,'muddati otgan'!J:J,"Yig'ma jildni tasdiqlash")</f>
        <v>0</v>
      </c>
      <c r="CG80" s="11">
        <f>+COUNTIFS('muddati otgan'!C:C,A80,'muddati otgan'!J:J,"To'lov yoki bepul tasdiqlash")</f>
        <v>0</v>
      </c>
      <c r="CH80" s="11">
        <f>+COUNTIFS('muddati otgan'!C:C,A80,'muddati otgan'!J:J,"Bog'liq arizani kutish")</f>
        <v>0</v>
      </c>
      <c r="CI80" s="11">
        <f>+COUNTIFS('muddati otgan'!C:C,A80,'muddati otgan'!J:J,"To'lovga chiqarish")</f>
        <v>0</v>
      </c>
      <c r="CJ80" s="11">
        <f>+COUNTIFS('muddati otgan'!C:C,A80,'muddati otgan'!J:J,"Hisobga qo'yish")</f>
        <v>0</v>
      </c>
      <c r="CK80" s="6">
        <f>+COUNTIFS('muddati otgan'!C:C,A80,'muddati otgan'!J:J,"To'lov kutilmoqda")</f>
        <v>0</v>
      </c>
      <c r="CL80" s="11">
        <f t="shared" si="165"/>
        <v>0</v>
      </c>
      <c r="CM80" s="11">
        <f>+COUNTIFS('muddati otgan'!C:C,A80,'muddati otgan'!AA:AA,"Arizani qabul qilish2")</f>
        <v>0</v>
      </c>
      <c r="CN80" s="11">
        <f>+COUNTIFS('muddati otgan'!C:C,A80,'muddati otgan'!J:J,"Huquqlarni tekshirish")</f>
        <v>0</v>
      </c>
      <c r="CO80" s="11">
        <f>+COUNTIFS('muddati otgan'!C:C,A80,'muddati otgan'!J:J,"Ko'chmas mulkni ro'yhatdan o'tkazishga qabul qilish")</f>
        <v>0</v>
      </c>
      <c r="CP80" s="11">
        <f>+COUNTIFS('muddati otgan'!C:C,A80,'muddati otgan'!J:J,"Ro'yxatdan o'tkazish")</f>
        <v>0</v>
      </c>
      <c r="CQ80" s="11">
        <f>+COUNTIFS('muddati otgan'!C:C,A80,'muddati otgan'!J:J,"Kadastr pasporti va ko'chirmani yuborish")</f>
        <v>0</v>
      </c>
      <c r="CR80" s="11">
        <f>+COUNTIFS('muddati otgan'!C:C,A80,'muddati otgan'!AA:AA,"Rad qilish2")</f>
        <v>0</v>
      </c>
      <c r="CS80" s="11">
        <f>+COUNTIFS('muddati otgan'!C:C,A80,'muddati otgan'!J:J,"Ko'chirmani yuborish")</f>
        <v>0</v>
      </c>
      <c r="CT80" s="11">
        <f>+COUNTIFS('muddati otgan'!C:C,A80,'muddati otgan'!J:J,"Ma‘lumotlarni tekshirish")</f>
        <v>0</v>
      </c>
      <c r="CU80" s="11">
        <f t="shared" si="166"/>
        <v>0</v>
      </c>
      <c r="CV80" s="11">
        <f>+COUNTIFS('muddati otgan'!C:C,A80,'muddati otgan'!J:J,"Kadastr yig'majildini chop etish va arxiv ishiga tikish")</f>
        <v>0</v>
      </c>
      <c r="CW80" s="11">
        <f t="shared" si="167"/>
        <v>0</v>
      </c>
      <c r="CX80" s="11">
        <f>+COUNTIFS('muddati otgan'!C:C,A80,'muddati otgan'!J:J,"Kadastr yig‘majildini qabul qilish, arizani yakunlash")</f>
        <v>0</v>
      </c>
      <c r="CY80" s="11">
        <f>+COUNTIFS('muddati otgan'!C:C,A80,'muddati otgan'!J:J,"Next Cloudga yuklash")</f>
        <v>0</v>
      </c>
      <c r="CZ80" s="6">
        <f>+COUNTIFS('muddati otgan'!C:C,A80,'muddati otgan'!J:J,"Kelishish kutilmoqda")</f>
        <v>0</v>
      </c>
      <c r="DA80" s="6">
        <f>+COUNTIFS('muddati otgan'!C:C,A80,'muddati otgan'!J:J,"Yakunlandi")</f>
        <v>0</v>
      </c>
      <c r="DB80" s="10">
        <f>+COUNTIFS('muddati otgan'!C:C,A80,'muddati otgan'!J:J,"Rad etildi")</f>
        <v>0</v>
      </c>
      <c r="DC80" s="100">
        <f t="shared" si="168"/>
        <v>0</v>
      </c>
      <c r="DD80" s="44">
        <f>COUNTIFS('jami 1-20 kunlik arizalar'!C:C,A:A,'jami 1-20 kunlik arizalar'!S:S,"1")</f>
        <v>0</v>
      </c>
      <c r="DE80" s="11">
        <f>COUNTIFS('jami 1-20 kunlik arizalar'!C:C,A:A,'jami 1-20 kunlik arizalar'!S:S,"2")</f>
        <v>0</v>
      </c>
      <c r="DF80" s="11">
        <f>COUNTIFS('jami 1-20 kunlik arizalar'!C:C,A:A,'jami 1-20 kunlik arizalar'!S:S,"3")</f>
        <v>0</v>
      </c>
      <c r="DG80" s="11">
        <f>COUNTIFS('jami 1-20 kunlik arizalar'!C:C,A:A,'jami 1-20 kunlik arizalar'!S:S,"4")</f>
        <v>1</v>
      </c>
      <c r="DH80" s="11">
        <f>COUNTIFS('jami 1-20 kunlik arizalar'!C:C,A:A,'jami 1-20 kunlik arizalar'!S:S,"5")</f>
        <v>7</v>
      </c>
      <c r="DI80" s="11">
        <f>SUM(COUNTIFS('jami 1-20 kunlik arizalar'!C:C,A:A, 'jami 1-20 kunlik arizalar'!S:S, {6,7,8,9,10}))</f>
        <v>3</v>
      </c>
      <c r="DJ80" s="12">
        <f>SUM(COUNTIFS('jami 1-20 kunlik arizalar'!C:C,A:A, 'jami 1-20 kunlik arizalar'!S:S, "&gt;10"))</f>
        <v>3</v>
      </c>
    </row>
    <row r="81" spans="1:114" ht="51.95" hidden="1" customHeight="1" outlineLevel="1" x14ac:dyDescent="0.25">
      <c r="A81" s="92" t="s">
        <v>433</v>
      </c>
      <c r="B81" s="106" t="s">
        <v>958</v>
      </c>
      <c r="C81" s="85" t="s">
        <v>420</v>
      </c>
      <c r="D81" s="80">
        <f>+COUNTIFS('muddati otgan'!C:C,A81,'muddati otgan'!C:C,A81)</f>
        <v>3</v>
      </c>
      <c r="E81" s="10">
        <f>SUMIFS('muddati otgan'!$V:V,'muddati otgan'!$C:C,$A:A)</f>
        <v>2</v>
      </c>
      <c r="F81" s="10">
        <f>SUMIFS('muddati otgan'!$W:W,'muddati otgan'!$C:C,$A:A)</f>
        <v>0</v>
      </c>
      <c r="G81" s="24">
        <f>SUMIFS('muddati otgan'!$U:U,'muddati otgan'!$C:C,$A:A)</f>
        <v>1</v>
      </c>
      <c r="H81" s="11">
        <f>SUMIFS('muddati otgan'!$G:G,'muddati otgan'!$C:C,$A:A)</f>
        <v>1</v>
      </c>
      <c r="I81" s="12">
        <f>SUMIFS('muddati otgan'!$H:H,'muddati otgan'!$C:C,$A:A)</f>
        <v>2</v>
      </c>
      <c r="J81" s="44">
        <f t="shared" si="152"/>
        <v>0</v>
      </c>
      <c r="K81" s="11">
        <f>+COUNTIFS('muddati otgan'!C:C,A81,'muddati otgan'!AA:AA,"Arizani qabul qilish")</f>
        <v>0</v>
      </c>
      <c r="L81" s="11">
        <f>+COUNTIFS('muddati otgan'!C:C,A81,'muddati otgan'!J:J,"Arizani rad etish")</f>
        <v>0</v>
      </c>
      <c r="M81" s="11">
        <f>+COUNTIFS('muddati otgan'!C:C,A81,'muddati otgan'!J:J,"Arizani tasdiqlash")</f>
        <v>0</v>
      </c>
      <c r="N81" s="11">
        <f>+COUNTIFS('muddati otgan'!C:C,A81,'muddati otgan'!J:J,"Arizani yo'naltirish")</f>
        <v>0</v>
      </c>
      <c r="O81" s="11">
        <f>+COUNTIFS('muddati otgan'!C:C,A81,'muddati otgan'!J:J,"Rad qilish sababini o'rganish")</f>
        <v>0</v>
      </c>
      <c r="P81" s="11">
        <f>+COUNTIFS('muddati otgan'!C:C,A81,'muddati otgan'!J:J,"Ko'chmas mulkni UZKAD ga migratsiya qilish")</f>
        <v>0</v>
      </c>
      <c r="Q81" s="11">
        <f>+COUNTIFS('muddati otgan'!C:C,A81,'muddati otgan'!J:J,"Migratisya qilingan obyekt holatini tekshirish")</f>
        <v>0</v>
      </c>
      <c r="R81" s="11">
        <f>+COUNTIFS('muddati otgan'!C:C,A81,'muddati otgan'!J:J,"Ko‘chmas mulkni tanlash")</f>
        <v>0</v>
      </c>
      <c r="S81" s="11">
        <f>+COUNTIFS('muddati otgan'!C:C,A81,'muddati otgan'!J:J,"Arizani ko'rib chiqish")</f>
        <v>0</v>
      </c>
      <c r="T81" s="11">
        <f>+COUNTIFS('muddati otgan'!C:C,A81,'muddati otgan'!J:J,"Kadastr muhandisini tanlash")</f>
        <v>0</v>
      </c>
      <c r="U81" s="11">
        <f>+COUNTIFS('muddati otgan'!C:C,A81,'muddati otgan'!J:J,"Ko'chmas mulk turini tanlahsh")</f>
        <v>0</v>
      </c>
      <c r="V81" s="11">
        <f>+COUNTIFS('muddati otgan'!C:C,A81,'muddati otgan'!AA:AA,"Rad qilish")</f>
        <v>0</v>
      </c>
      <c r="W81" s="11">
        <f>+COUNTIFS('muddati otgan'!C:C,A81,'muddati otgan'!J:J,"ijrochi tanlash")</f>
        <v>0</v>
      </c>
      <c r="X81" s="11">
        <f>+COUNTIFS('muddati otgan'!C:C,A81,'muddati otgan'!J:J,"Ko'chmas mulk turini tanlash")</f>
        <v>0</v>
      </c>
      <c r="Y81" s="11">
        <f t="shared" si="153"/>
        <v>0</v>
      </c>
      <c r="Z81" s="11">
        <f>+COUNTIFS('muddati otgan'!C:C,A81,'muddati otgan'!J:J,"Ijroga qabul qilish")</f>
        <v>0</v>
      </c>
      <c r="AA81" s="11">
        <f>+COUNTIFS('muddati otgan'!C:C,A81,'muddati otgan'!J:J,"Joyida o'rganish va ma'lumotlarni kiritish")</f>
        <v>0</v>
      </c>
      <c r="AB81" s="11">
        <f>+COUNTIFS('muddati otgan'!C:C,A81,'muddati otgan'!J:J,"Asosiy qismdan ajratish jarayonida")</f>
        <v>0</v>
      </c>
      <c r="AC81" s="11">
        <f>+COUNTIFS('muddati otgan'!C:C,A81,'muddati otgan'!J:J,"Umumiy foydalanishdagi obyekt yaratilish")</f>
        <v>0</v>
      </c>
      <c r="AD81" s="11">
        <f>+COUNTIFS('muddati otgan'!C:C,A81,'muddati otgan'!J:J,"Migratsiya qilinadigan kadastr raqamini kiritish")</f>
        <v>0</v>
      </c>
      <c r="AE81" s="11">
        <f>+COUNTIFS('muddati otgan'!C:C,A81,'muddati otgan'!J:J,"O'zida qolgan obyektni yaratish")</f>
        <v>0</v>
      </c>
      <c r="AF81" s="11">
        <f>+COUNTIFS('muddati otgan'!C:C,A81,'muddati otgan'!J:J,"O'lchov natijalarini kiritish")</f>
        <v>0</v>
      </c>
      <c r="AG81" s="11">
        <f>+COUNTIFS('muddati otgan'!C:C,A81,'muddati otgan'!J:J,"Topoxaritani tayyorlash (dwg, pdf)")</f>
        <v>0</v>
      </c>
      <c r="AH81" s="11">
        <f t="shared" si="154"/>
        <v>1</v>
      </c>
      <c r="AI81" s="11">
        <f>+COUNTIFS('muddati otgan'!C:C,A81,'muddati otgan'!J:J,"Yer uchastkasini yaratish")</f>
        <v>1</v>
      </c>
      <c r="AJ81" s="11">
        <f t="shared" si="155"/>
        <v>0</v>
      </c>
      <c r="AK81" s="11">
        <f>+COUNTIFS('muddati otgan'!C:C,A81,'muddati otgan'!J:J,"Kelishish (Boshqarma)")</f>
        <v>0</v>
      </c>
      <c r="AL81" s="11">
        <f t="shared" si="156"/>
        <v>0</v>
      </c>
      <c r="AM81" s="11">
        <f>+COUNTIFS('muddati otgan'!C:C,A81,'muddati otgan'!J:J,"Kelishish (DKP)")</f>
        <v>0</v>
      </c>
      <c r="AN81" s="11">
        <f>+COUNTIFS('muddati otgan'!C:C,A81,'muddati otgan'!J:J,"Kelishish")</f>
        <v>0</v>
      </c>
      <c r="AO81" s="11">
        <f>+COUNTIFS('muddati otgan'!C:C,A81,'muddati otgan'!J:J,"Kelishish (Registratsiya DKP)")</f>
        <v>0</v>
      </c>
      <c r="AP81" s="11">
        <f t="shared" si="157"/>
        <v>0</v>
      </c>
      <c r="AQ81" s="11">
        <f>+COUNTIFS('muddati otgan'!C:C,A81,'muddati otgan'!J:J,"Manzil biriktirish")</f>
        <v>0</v>
      </c>
      <c r="AR81" s="11">
        <f>+COUNTIFS('muddati otgan'!C:C,A81,'muddati otgan'!J:J,"Bino va inshootlarni yaratish")</f>
        <v>0</v>
      </c>
      <c r="AS81" s="11">
        <f>+COUNTIFS('muddati otgan'!C:C,A81,'muddati otgan'!J:J,"Dov daraxtlarni yaratish")</f>
        <v>0</v>
      </c>
      <c r="AT81" s="11">
        <f>+COUNTIFS('muddati otgan'!C:C,A81,'muddati otgan'!J:J,"Yer uchastkasini tahrirlash")</f>
        <v>0</v>
      </c>
      <c r="AU81" s="11">
        <f t="shared" si="158"/>
        <v>0</v>
      </c>
      <c r="AV81" s="11">
        <f>+COUNTIFS('muddati otgan'!C:C,A81,'muddati otgan'!J:J,"Yer toifasi va maqsadini kiritish")</f>
        <v>0</v>
      </c>
      <c r="AW81" s="11">
        <f>+COUNTIFS('muddati otgan'!C:C,A81,'muddati otgan'!J:J,"Auksion yer tekshirish")</f>
        <v>0</v>
      </c>
      <c r="AX81" s="11">
        <f>+COUNTIFS('muddati otgan'!C:C,A81,'muddati otgan'!J:J,"Yer turlarini kiritish")</f>
        <v>0</v>
      </c>
      <c r="AY81" s="11">
        <f>+COUNTIFS('muddati otgan'!C:C,A81,'muddati otgan'!J:J,"Ma'lumotlarni kiritish")</f>
        <v>0</v>
      </c>
      <c r="AZ81" s="11">
        <f>+COUNTIFS('muddati otgan'!C:C,A81,'muddati otgan'!J:J,"Yer tekshirish")</f>
        <v>0</v>
      </c>
      <c r="BA81" s="11">
        <f t="shared" si="159"/>
        <v>0</v>
      </c>
      <c r="BB81" s="11">
        <f>+COUNTIFS('muddati otgan'!C:C,A81,'muddati otgan'!J:J,"Bino va inshoot ma'lumotlarini to‘ldirish")</f>
        <v>0</v>
      </c>
      <c r="BC81" s="11">
        <f>+COUNTIFS('muddati otgan'!C:C,A81,'muddati otgan'!J:J,"Inventarizatsiya ma'lumotlarini to‘ldirish")</f>
        <v>0</v>
      </c>
      <c r="BD81" s="11">
        <f>+COUNTIFS('muddati otgan'!C:C,A81,'muddati otgan'!J:J,"Yer uchastkasiga huquqiy hujjatlarni kiritsh")</f>
        <v>0</v>
      </c>
      <c r="BE81" s="11">
        <f>+COUNTIFS('muddati otgan'!C:C,A81,'muddati otgan'!J:J,"Bino-inshootlarga huquqiy hujjatlarni kiritsh")</f>
        <v>0</v>
      </c>
      <c r="BF81" s="11">
        <f>+COUNTIFS('muddati otgan'!C:C,A81,'muddati otgan'!J:J,"Kadastr qiymatini hisoblash va kiritish")</f>
        <v>0</v>
      </c>
      <c r="BG81" s="11">
        <f>+COUNTIFS('muddati otgan'!C:C,A81,'muddati otgan'!J:J,"Kadastr raqam biriktirish")</f>
        <v>0</v>
      </c>
      <c r="BH81" s="11">
        <f>+COUNTIFS('muddati otgan'!C:C,A81,'muddati otgan'!J:J,"Kadastr yig'ma jildni tayyorlash")</f>
        <v>0</v>
      </c>
      <c r="BI81" s="11">
        <f>+COUNTIFS('muddati otgan'!C:C,A81,'muddati otgan'!J:J,"Huquqni yaratish")</f>
        <v>0</v>
      </c>
      <c r="BJ81" s="11">
        <f>+COUNTIFS('muddati otgan'!C:C,A81,'muddati otgan'!J:J,"Hujjatlarni o'rganish")</f>
        <v>0</v>
      </c>
      <c r="BK81" s="11">
        <f>+COUNTIFS('muddati otgan'!C:C,A81,'muddati otgan'!J:J,"Ma'lumotlarni tekshirish")</f>
        <v>0</v>
      </c>
      <c r="BL81" s="11">
        <f t="shared" si="160"/>
        <v>0</v>
      </c>
      <c r="BM81" s="11">
        <f>+COUNTIFS('muddati otgan'!C:C,A81,'muddati otgan'!J:J,"Tekshirish")</f>
        <v>0</v>
      </c>
      <c r="BN81" s="11">
        <f>+COUNTIFS('muddati otgan'!C:C,A81,'muddati otgan'!J:J,"Hujjatlarni tekshirish")</f>
        <v>0</v>
      </c>
      <c r="BO81" s="11">
        <f>+COUNTIFS('muddati otgan'!C:C,A81,'muddati otgan'!J:J,"Tasdiqlash")</f>
        <v>0</v>
      </c>
      <c r="BP81" s="11">
        <f>+COUNTIFS('muddati otgan'!C:C,A81,'muddati otgan'!J:J,"tekshirish/tasdiqlash")</f>
        <v>0</v>
      </c>
      <c r="BQ81" s="11">
        <f>+COUNTIFS('muddati otgan'!C:C,A81,'muddati otgan'!J:J,"Ma'lumotlarni tasdiqlash")</f>
        <v>0</v>
      </c>
      <c r="BR81" s="11">
        <f t="shared" si="161"/>
        <v>0</v>
      </c>
      <c r="BS81" s="11">
        <f>+COUNTIFS('muddati otgan'!C:C,A81,'muddati otgan'!J:J,"Ro'yxatdan o'tkazish ma'lumotlarini tekshirish")</f>
        <v>0</v>
      </c>
      <c r="BT81" s="11">
        <f>+COUNTIFS('muddati otgan'!C:C,A81,'muddati otgan'!J:J,"Kamchiliklar bo'yicha habarnoma yuborish va 3 kunga to'xtatish")</f>
        <v>0</v>
      </c>
      <c r="BU81" s="11">
        <f>+COUNTIFS('muddati otgan'!C:C,A81,'muddati otgan'!J:J,"Hisobga olish")</f>
        <v>0</v>
      </c>
      <c r="BV81" s="11">
        <f>+COUNTIFS('muddati otgan'!C:C,A81,'muddati otgan'!J:J,"Yer uchastkasiga huquq yaratish")</f>
        <v>0</v>
      </c>
      <c r="BW81" s="11">
        <f>+COUNTIFS('muddati otgan'!C:C,A81,'muddati otgan'!J:J,"Bino-inshootga huquq yaratish")</f>
        <v>0</v>
      </c>
      <c r="BX81" s="11">
        <f>+COUNTIFS('muddati otgan'!C:C,A81,'muddati otgan'!J:J,"Cheklov yaratish")</f>
        <v>0</v>
      </c>
      <c r="BY81" s="11">
        <f>+COUNTIFS('muddati otgan'!C:C,A81,'muddati otgan'!J:J,"Taqiq yaratish")</f>
        <v>0</v>
      </c>
      <c r="BZ81" s="11">
        <f t="shared" si="162"/>
        <v>0</v>
      </c>
      <c r="CA81" s="11">
        <f>+COUNTIFS('muddati otgan'!C:C,A81,'muddati otgan'!J:J,"Soliq maydonini tekshirish")</f>
        <v>0</v>
      </c>
      <c r="CB81" s="11">
        <f t="shared" si="163"/>
        <v>0</v>
      </c>
      <c r="CC81" s="11">
        <f>+COUNTIFS('muddati otgan'!C:C,A81,'muddati otgan'!J:J,"Kadastr yig'majildini shakllantirish")</f>
        <v>0</v>
      </c>
      <c r="CD81" s="11">
        <f t="shared" si="164"/>
        <v>0</v>
      </c>
      <c r="CE81" s="11">
        <f>+COUNTIFS('muddati otgan'!C:C,A81,'muddati otgan'!J:J,"Kadastr passportini shakllantirish")</f>
        <v>0</v>
      </c>
      <c r="CF81" s="11">
        <f>+COUNTIFS('muddati otgan'!C:C,A81,'muddati otgan'!J:J,"Yig'ma jildni tasdiqlash")</f>
        <v>0</v>
      </c>
      <c r="CG81" s="11">
        <f>+COUNTIFS('muddati otgan'!C:C,A81,'muddati otgan'!J:J,"To'lov yoki bepul tasdiqlash")</f>
        <v>0</v>
      </c>
      <c r="CH81" s="11">
        <f>+COUNTIFS('muddati otgan'!C:C,A81,'muddati otgan'!J:J,"Bog'liq arizani kutish")</f>
        <v>0</v>
      </c>
      <c r="CI81" s="11">
        <f>+COUNTIFS('muddati otgan'!C:C,A81,'muddati otgan'!J:J,"To'lovga chiqarish")</f>
        <v>0</v>
      </c>
      <c r="CJ81" s="11">
        <f>+COUNTIFS('muddati otgan'!C:C,A81,'muddati otgan'!J:J,"Hisobga qo'yish")</f>
        <v>0</v>
      </c>
      <c r="CK81" s="6">
        <f>+COUNTIFS('muddati otgan'!C:C,A81,'muddati otgan'!J:J,"To'lov kutilmoqda")</f>
        <v>0</v>
      </c>
      <c r="CL81" s="11">
        <f t="shared" si="165"/>
        <v>0</v>
      </c>
      <c r="CM81" s="11">
        <f>+COUNTIFS('muddati otgan'!C:C,A81,'muddati otgan'!AA:AA,"Arizani qabul qilish2")</f>
        <v>0</v>
      </c>
      <c r="CN81" s="11">
        <f>+COUNTIFS('muddati otgan'!C:C,A81,'muddati otgan'!J:J,"Huquqlarni tekshirish")</f>
        <v>0</v>
      </c>
      <c r="CO81" s="11">
        <f>+COUNTIFS('muddati otgan'!C:C,A81,'muddati otgan'!J:J,"Ko'chmas mulkni ro'yhatdan o'tkazishga qabul qilish")</f>
        <v>0</v>
      </c>
      <c r="CP81" s="11">
        <f>+COUNTIFS('muddati otgan'!C:C,A81,'muddati otgan'!J:J,"Ro'yxatdan o'tkazish")</f>
        <v>0</v>
      </c>
      <c r="CQ81" s="11">
        <f>+COUNTIFS('muddati otgan'!C:C,A81,'muddati otgan'!J:J,"Kadastr pasporti va ko'chirmani yuborish")</f>
        <v>0</v>
      </c>
      <c r="CR81" s="11">
        <f>+COUNTIFS('muddati otgan'!C:C,A81,'muddati otgan'!AA:AA,"Rad qilish2")</f>
        <v>0</v>
      </c>
      <c r="CS81" s="11">
        <f>+COUNTIFS('muddati otgan'!C:C,A81,'muddati otgan'!J:J,"Ko'chirmani yuborish")</f>
        <v>0</v>
      </c>
      <c r="CT81" s="11">
        <f>+COUNTIFS('muddati otgan'!C:C,A81,'muddati otgan'!J:J,"Ma‘lumotlarni tekshirish")</f>
        <v>0</v>
      </c>
      <c r="CU81" s="11">
        <f t="shared" si="166"/>
        <v>0</v>
      </c>
      <c r="CV81" s="11">
        <f>+COUNTIFS('muddati otgan'!C:C,A81,'muddati otgan'!J:J,"Kadastr yig'majildini chop etish va arxiv ishiga tikish")</f>
        <v>0</v>
      </c>
      <c r="CW81" s="11">
        <f t="shared" si="167"/>
        <v>0</v>
      </c>
      <c r="CX81" s="11">
        <f>+COUNTIFS('muddati otgan'!C:C,A81,'muddati otgan'!J:J,"Kadastr yig‘majildini qabul qilish, arizani yakunlash")</f>
        <v>0</v>
      </c>
      <c r="CY81" s="11">
        <f>+COUNTIFS('muddati otgan'!C:C,A81,'muddati otgan'!J:J,"Next Cloudga yuklash")</f>
        <v>0</v>
      </c>
      <c r="CZ81" s="6">
        <f>+COUNTIFS('muddati otgan'!C:C,A81,'muddati otgan'!J:J,"Kelishish kutilmoqda")</f>
        <v>0</v>
      </c>
      <c r="DA81" s="6">
        <f>+COUNTIFS('muddati otgan'!C:C,A81,'muddati otgan'!J:J,"Yakunlandi")</f>
        <v>2</v>
      </c>
      <c r="DB81" s="10">
        <f>+COUNTIFS('muddati otgan'!C:C,A81,'muddati otgan'!J:J,"Rad etildi")</f>
        <v>0</v>
      </c>
      <c r="DC81" s="100">
        <f t="shared" si="168"/>
        <v>-1</v>
      </c>
      <c r="DD81" s="44">
        <f>COUNTIFS('jami 1-20 kunlik arizalar'!C:C,A:A,'jami 1-20 kunlik arizalar'!S:S,"1")</f>
        <v>0</v>
      </c>
      <c r="DE81" s="11">
        <f>COUNTIFS('jami 1-20 kunlik arizalar'!C:C,A:A,'jami 1-20 kunlik arizalar'!S:S,"2")</f>
        <v>0</v>
      </c>
      <c r="DF81" s="11">
        <f>COUNTIFS('jami 1-20 kunlik arizalar'!C:C,A:A,'jami 1-20 kunlik arizalar'!S:S,"3")</f>
        <v>0</v>
      </c>
      <c r="DG81" s="11">
        <f>COUNTIFS('jami 1-20 kunlik arizalar'!C:C,A:A,'jami 1-20 kunlik arizalar'!S:S,"4")</f>
        <v>0</v>
      </c>
      <c r="DH81" s="11">
        <f>COUNTIFS('jami 1-20 kunlik arizalar'!C:C,A:A,'jami 1-20 kunlik arizalar'!S:S,"5")</f>
        <v>0</v>
      </c>
      <c r="DI81" s="11">
        <f>SUM(COUNTIFS('jami 1-20 kunlik arizalar'!C:C,A:A, 'jami 1-20 kunlik arizalar'!S:S, {6,7,8,9,10}))</f>
        <v>2</v>
      </c>
      <c r="DJ81" s="12">
        <f>SUM(COUNTIFS('jami 1-20 kunlik arizalar'!C:C,A:A, 'jami 1-20 kunlik arizalar'!S:S, "&gt;10"))</f>
        <v>1</v>
      </c>
    </row>
    <row r="82" spans="1:114" ht="51.95" hidden="1" customHeight="1" outlineLevel="1" x14ac:dyDescent="0.25">
      <c r="A82" s="92" t="s">
        <v>434</v>
      </c>
      <c r="B82" s="106" t="s">
        <v>958</v>
      </c>
      <c r="C82" s="85" t="s">
        <v>421</v>
      </c>
      <c r="D82" s="80">
        <f>+COUNTIFS('muddati otgan'!C:C,A82,'muddati otgan'!C:C,A82)</f>
        <v>0</v>
      </c>
      <c r="E82" s="10">
        <f>SUMIFS('muddati otgan'!$V:V,'muddati otgan'!$C:C,$A:A)</f>
        <v>0</v>
      </c>
      <c r="F82" s="10">
        <f>SUMIFS('muddati otgan'!$W:W,'muddati otgan'!$C:C,$A:A)</f>
        <v>0</v>
      </c>
      <c r="G82" s="24">
        <f>SUMIFS('muddati otgan'!$U:U,'muddati otgan'!$C:C,$A:A)</f>
        <v>0</v>
      </c>
      <c r="H82" s="11">
        <f>SUMIFS('muddati otgan'!$G:G,'muddati otgan'!$C:C,$A:A)</f>
        <v>0</v>
      </c>
      <c r="I82" s="12">
        <f>SUMIFS('muddati otgan'!$H:H,'muddati otgan'!$C:C,$A:A)</f>
        <v>0</v>
      </c>
      <c r="J82" s="44">
        <f t="shared" si="152"/>
        <v>0</v>
      </c>
      <c r="K82" s="11">
        <f>+COUNTIFS('muddati otgan'!C:C,A82,'muddati otgan'!AA:AA,"Arizani qabul qilish")</f>
        <v>0</v>
      </c>
      <c r="L82" s="11">
        <f>+COUNTIFS('muddati otgan'!C:C,A82,'muddati otgan'!J:J,"Arizani rad etish")</f>
        <v>0</v>
      </c>
      <c r="M82" s="11">
        <f>+COUNTIFS('muddati otgan'!C:C,A82,'muddati otgan'!J:J,"Arizani tasdiqlash")</f>
        <v>0</v>
      </c>
      <c r="N82" s="11">
        <f>+COUNTIFS('muddati otgan'!C:C,A82,'muddati otgan'!J:J,"Arizani yo'naltirish")</f>
        <v>0</v>
      </c>
      <c r="O82" s="11">
        <f>+COUNTIFS('muddati otgan'!C:C,A82,'muddati otgan'!J:J,"Rad qilish sababini o'rganish")</f>
        <v>0</v>
      </c>
      <c r="P82" s="11">
        <f>+COUNTIFS('muddati otgan'!C:C,A82,'muddati otgan'!J:J,"Ko'chmas mulkni UZKAD ga migratsiya qilish")</f>
        <v>0</v>
      </c>
      <c r="Q82" s="11">
        <f>+COUNTIFS('muddati otgan'!C:C,A82,'muddati otgan'!J:J,"Migratisya qilingan obyekt holatini tekshirish")</f>
        <v>0</v>
      </c>
      <c r="R82" s="11">
        <f>+COUNTIFS('muddati otgan'!C:C,A82,'muddati otgan'!J:J,"Ko‘chmas mulkni tanlash")</f>
        <v>0</v>
      </c>
      <c r="S82" s="11">
        <f>+COUNTIFS('muddati otgan'!C:C,A82,'muddati otgan'!J:J,"Arizani ko'rib chiqish")</f>
        <v>0</v>
      </c>
      <c r="T82" s="11">
        <f>+COUNTIFS('muddati otgan'!C:C,A82,'muddati otgan'!J:J,"Kadastr muhandisini tanlash")</f>
        <v>0</v>
      </c>
      <c r="U82" s="11">
        <f>+COUNTIFS('muddati otgan'!C:C,A82,'muddati otgan'!J:J,"Ko'chmas mulk turini tanlahsh")</f>
        <v>0</v>
      </c>
      <c r="V82" s="11">
        <f>+COUNTIFS('muddati otgan'!C:C,A82,'muddati otgan'!AA:AA,"Rad qilish")</f>
        <v>0</v>
      </c>
      <c r="W82" s="11">
        <f>+COUNTIFS('muddati otgan'!C:C,A82,'muddati otgan'!J:J,"ijrochi tanlash")</f>
        <v>0</v>
      </c>
      <c r="X82" s="11">
        <f>+COUNTIFS('muddati otgan'!C:C,A82,'muddati otgan'!J:J,"Ko'chmas mulk turini tanlash")</f>
        <v>0</v>
      </c>
      <c r="Y82" s="11">
        <f t="shared" si="153"/>
        <v>0</v>
      </c>
      <c r="Z82" s="11">
        <f>+COUNTIFS('muddati otgan'!C:C,A82,'muddati otgan'!J:J,"Ijroga qabul qilish")</f>
        <v>0</v>
      </c>
      <c r="AA82" s="11">
        <f>+COUNTIFS('muddati otgan'!C:C,A82,'muddati otgan'!J:J,"Joyida o'rganish va ma'lumotlarni kiritish")</f>
        <v>0</v>
      </c>
      <c r="AB82" s="11">
        <f>+COUNTIFS('muddati otgan'!C:C,A82,'muddati otgan'!J:J,"Asosiy qismdan ajratish jarayonida")</f>
        <v>0</v>
      </c>
      <c r="AC82" s="11">
        <f>+COUNTIFS('muddati otgan'!C:C,A82,'muddati otgan'!J:J,"Umumiy foydalanishdagi obyekt yaratilish")</f>
        <v>0</v>
      </c>
      <c r="AD82" s="11">
        <f>+COUNTIFS('muddati otgan'!C:C,A82,'muddati otgan'!J:J,"Migratsiya qilinadigan kadastr raqamini kiritish")</f>
        <v>0</v>
      </c>
      <c r="AE82" s="11">
        <f>+COUNTIFS('muddati otgan'!C:C,A82,'muddati otgan'!J:J,"O'zida qolgan obyektni yaratish")</f>
        <v>0</v>
      </c>
      <c r="AF82" s="11">
        <f>+COUNTIFS('muddati otgan'!C:C,A82,'muddati otgan'!J:J,"O'lchov natijalarini kiritish")</f>
        <v>0</v>
      </c>
      <c r="AG82" s="11">
        <f>+COUNTIFS('muddati otgan'!C:C,A82,'muddati otgan'!J:J,"Topoxaritani tayyorlash (dwg, pdf)")</f>
        <v>0</v>
      </c>
      <c r="AH82" s="11">
        <f t="shared" si="154"/>
        <v>0</v>
      </c>
      <c r="AI82" s="11">
        <f>+COUNTIFS('muddati otgan'!C:C,A82,'muddati otgan'!J:J,"Yer uchastkasini yaratish")</f>
        <v>0</v>
      </c>
      <c r="AJ82" s="11">
        <f t="shared" si="155"/>
        <v>0</v>
      </c>
      <c r="AK82" s="11">
        <f>+COUNTIFS('muddati otgan'!C:C,A82,'muddati otgan'!J:J,"Kelishish (Boshqarma)")</f>
        <v>0</v>
      </c>
      <c r="AL82" s="11">
        <f t="shared" si="156"/>
        <v>0</v>
      </c>
      <c r="AM82" s="11">
        <f>+COUNTIFS('muddati otgan'!C:C,A82,'muddati otgan'!J:J,"Kelishish (DKP)")</f>
        <v>0</v>
      </c>
      <c r="AN82" s="11">
        <f>+COUNTIFS('muddati otgan'!C:C,A82,'muddati otgan'!J:J,"Kelishish")</f>
        <v>0</v>
      </c>
      <c r="AO82" s="11">
        <f>+COUNTIFS('muddati otgan'!C:C,A82,'muddati otgan'!J:J,"Kelishish (Registratsiya DKP)")</f>
        <v>0</v>
      </c>
      <c r="AP82" s="11">
        <f t="shared" si="157"/>
        <v>0</v>
      </c>
      <c r="AQ82" s="11">
        <f>+COUNTIFS('muddati otgan'!C:C,A82,'muddati otgan'!J:J,"Manzil biriktirish")</f>
        <v>0</v>
      </c>
      <c r="AR82" s="11">
        <f>+COUNTIFS('muddati otgan'!C:C,A82,'muddati otgan'!J:J,"Bino va inshootlarni yaratish")</f>
        <v>0</v>
      </c>
      <c r="AS82" s="11">
        <f>+COUNTIFS('muddati otgan'!C:C,A82,'muddati otgan'!J:J,"Dov daraxtlarni yaratish")</f>
        <v>0</v>
      </c>
      <c r="AT82" s="11">
        <f>+COUNTIFS('muddati otgan'!C:C,A82,'muddati otgan'!J:J,"Yer uchastkasini tahrirlash")</f>
        <v>0</v>
      </c>
      <c r="AU82" s="11">
        <f t="shared" si="158"/>
        <v>0</v>
      </c>
      <c r="AV82" s="11">
        <f>+COUNTIFS('muddati otgan'!C:C,A82,'muddati otgan'!J:J,"Yer toifasi va maqsadini kiritish")</f>
        <v>0</v>
      </c>
      <c r="AW82" s="11">
        <f>+COUNTIFS('muddati otgan'!C:C,A82,'muddati otgan'!J:J,"Auksion yer tekshirish")</f>
        <v>0</v>
      </c>
      <c r="AX82" s="11">
        <f>+COUNTIFS('muddati otgan'!C:C,A82,'muddati otgan'!J:J,"Yer turlarini kiritish")</f>
        <v>0</v>
      </c>
      <c r="AY82" s="11">
        <f>+COUNTIFS('muddati otgan'!C:C,A82,'muddati otgan'!J:J,"Ma'lumotlarni kiritish")</f>
        <v>0</v>
      </c>
      <c r="AZ82" s="11">
        <f>+COUNTIFS('muddati otgan'!C:C,A82,'muddati otgan'!J:J,"Yer tekshirish")</f>
        <v>0</v>
      </c>
      <c r="BA82" s="11">
        <f t="shared" si="159"/>
        <v>0</v>
      </c>
      <c r="BB82" s="11">
        <f>+COUNTIFS('muddati otgan'!C:C,A82,'muddati otgan'!J:J,"Bino va inshoot ma'lumotlarini to‘ldirish")</f>
        <v>0</v>
      </c>
      <c r="BC82" s="11">
        <f>+COUNTIFS('muddati otgan'!C:C,A82,'muddati otgan'!J:J,"Inventarizatsiya ma'lumotlarini to‘ldirish")</f>
        <v>0</v>
      </c>
      <c r="BD82" s="11">
        <f>+COUNTIFS('muddati otgan'!C:C,A82,'muddati otgan'!J:J,"Yer uchastkasiga huquqiy hujjatlarni kiritsh")</f>
        <v>0</v>
      </c>
      <c r="BE82" s="11">
        <f>+COUNTIFS('muddati otgan'!C:C,A82,'muddati otgan'!J:J,"Bino-inshootlarga huquqiy hujjatlarni kiritsh")</f>
        <v>0</v>
      </c>
      <c r="BF82" s="11">
        <f>+COUNTIFS('muddati otgan'!C:C,A82,'muddati otgan'!J:J,"Kadastr qiymatini hisoblash va kiritish")</f>
        <v>0</v>
      </c>
      <c r="BG82" s="11">
        <f>+COUNTIFS('muddati otgan'!C:C,A82,'muddati otgan'!J:J,"Kadastr raqam biriktirish")</f>
        <v>0</v>
      </c>
      <c r="BH82" s="11">
        <f>+COUNTIFS('muddati otgan'!C:C,A82,'muddati otgan'!J:J,"Kadastr yig'ma jildni tayyorlash")</f>
        <v>0</v>
      </c>
      <c r="BI82" s="11">
        <f>+COUNTIFS('muddati otgan'!C:C,A82,'muddati otgan'!J:J,"Huquqni yaratish")</f>
        <v>0</v>
      </c>
      <c r="BJ82" s="11">
        <f>+COUNTIFS('muddati otgan'!C:C,A82,'muddati otgan'!J:J,"Hujjatlarni o'rganish")</f>
        <v>0</v>
      </c>
      <c r="BK82" s="11">
        <f>+COUNTIFS('muddati otgan'!C:C,A82,'muddati otgan'!J:J,"Ma'lumotlarni tekshirish")</f>
        <v>0</v>
      </c>
      <c r="BL82" s="11">
        <f t="shared" si="160"/>
        <v>0</v>
      </c>
      <c r="BM82" s="11">
        <f>+COUNTIFS('muddati otgan'!C:C,A82,'muddati otgan'!J:J,"Tekshirish")</f>
        <v>0</v>
      </c>
      <c r="BN82" s="11">
        <f>+COUNTIFS('muddati otgan'!C:C,A82,'muddati otgan'!J:J,"Hujjatlarni tekshirish")</f>
        <v>0</v>
      </c>
      <c r="BO82" s="11">
        <f>+COUNTIFS('muddati otgan'!C:C,A82,'muddati otgan'!J:J,"Tasdiqlash")</f>
        <v>0</v>
      </c>
      <c r="BP82" s="11">
        <f>+COUNTIFS('muddati otgan'!C:C,A82,'muddati otgan'!J:J,"tekshirish/tasdiqlash")</f>
        <v>0</v>
      </c>
      <c r="BQ82" s="11">
        <f>+COUNTIFS('muddati otgan'!C:C,A82,'muddati otgan'!J:J,"Ma'lumotlarni tasdiqlash")</f>
        <v>0</v>
      </c>
      <c r="BR82" s="11">
        <f t="shared" si="161"/>
        <v>0</v>
      </c>
      <c r="BS82" s="11">
        <f>+COUNTIFS('muddati otgan'!C:C,A82,'muddati otgan'!J:J,"Ro'yxatdan o'tkazish ma'lumotlarini tekshirish")</f>
        <v>0</v>
      </c>
      <c r="BT82" s="11">
        <f>+COUNTIFS('muddati otgan'!C:C,A82,'muddati otgan'!J:J,"Kamchiliklar bo'yicha habarnoma yuborish va 3 kunga to'xtatish")</f>
        <v>0</v>
      </c>
      <c r="BU82" s="11">
        <f>+COUNTIFS('muddati otgan'!C:C,A82,'muddati otgan'!J:J,"Hisobga olish")</f>
        <v>0</v>
      </c>
      <c r="BV82" s="11">
        <f>+COUNTIFS('muddati otgan'!C:C,A82,'muddati otgan'!J:J,"Yer uchastkasiga huquq yaratish")</f>
        <v>0</v>
      </c>
      <c r="BW82" s="11">
        <f>+COUNTIFS('muddati otgan'!C:C,A82,'muddati otgan'!J:J,"Bino-inshootga huquq yaratish")</f>
        <v>0</v>
      </c>
      <c r="BX82" s="11">
        <f>+COUNTIFS('muddati otgan'!C:C,A82,'muddati otgan'!J:J,"Cheklov yaratish")</f>
        <v>0</v>
      </c>
      <c r="BY82" s="11">
        <f>+COUNTIFS('muddati otgan'!C:C,A82,'muddati otgan'!J:J,"Taqiq yaratish")</f>
        <v>0</v>
      </c>
      <c r="BZ82" s="11">
        <f t="shared" si="162"/>
        <v>0</v>
      </c>
      <c r="CA82" s="11">
        <f>+COUNTIFS('muddati otgan'!C:C,A82,'muddati otgan'!J:J,"Soliq maydonini tekshirish")</f>
        <v>0</v>
      </c>
      <c r="CB82" s="11">
        <f t="shared" si="163"/>
        <v>0</v>
      </c>
      <c r="CC82" s="11">
        <f>+COUNTIFS('muddati otgan'!C:C,A82,'muddati otgan'!J:J,"Kadastr yig'majildini shakllantirish")</f>
        <v>0</v>
      </c>
      <c r="CD82" s="11">
        <f t="shared" si="164"/>
        <v>0</v>
      </c>
      <c r="CE82" s="11">
        <f>+COUNTIFS('muddati otgan'!C:C,A82,'muddati otgan'!J:J,"Kadastr passportini shakllantirish")</f>
        <v>0</v>
      </c>
      <c r="CF82" s="11">
        <f>+COUNTIFS('muddati otgan'!C:C,A82,'muddati otgan'!J:J,"Yig'ma jildni tasdiqlash")</f>
        <v>0</v>
      </c>
      <c r="CG82" s="11">
        <f>+COUNTIFS('muddati otgan'!C:C,A82,'muddati otgan'!J:J,"To'lov yoki bepul tasdiqlash")</f>
        <v>0</v>
      </c>
      <c r="CH82" s="11">
        <f>+COUNTIFS('muddati otgan'!C:C,A82,'muddati otgan'!J:J,"Bog'liq arizani kutish")</f>
        <v>0</v>
      </c>
      <c r="CI82" s="11">
        <f>+COUNTIFS('muddati otgan'!C:C,A82,'muddati otgan'!J:J,"To'lovga chiqarish")</f>
        <v>0</v>
      </c>
      <c r="CJ82" s="11">
        <f>+COUNTIFS('muddati otgan'!C:C,A82,'muddati otgan'!J:J,"Hisobga qo'yish")</f>
        <v>0</v>
      </c>
      <c r="CK82" s="6">
        <f>+COUNTIFS('muddati otgan'!C:C,A82,'muddati otgan'!J:J,"To'lov kutilmoqda")</f>
        <v>0</v>
      </c>
      <c r="CL82" s="11">
        <f t="shared" si="165"/>
        <v>0</v>
      </c>
      <c r="CM82" s="11">
        <f>+COUNTIFS('muddati otgan'!C:C,A82,'muddati otgan'!AA:AA,"Arizani qabul qilish2")</f>
        <v>0</v>
      </c>
      <c r="CN82" s="11">
        <f>+COUNTIFS('muddati otgan'!C:C,A82,'muddati otgan'!J:J,"Huquqlarni tekshirish")</f>
        <v>0</v>
      </c>
      <c r="CO82" s="11">
        <f>+COUNTIFS('muddati otgan'!C:C,A82,'muddati otgan'!J:J,"Ko'chmas mulkni ro'yhatdan o'tkazishga qabul qilish")</f>
        <v>0</v>
      </c>
      <c r="CP82" s="11">
        <f>+COUNTIFS('muddati otgan'!C:C,A82,'muddati otgan'!J:J,"Ro'yxatdan o'tkazish")</f>
        <v>0</v>
      </c>
      <c r="CQ82" s="11">
        <f>+COUNTIFS('muddati otgan'!C:C,A82,'muddati otgan'!J:J,"Kadastr pasporti va ko'chirmani yuborish")</f>
        <v>0</v>
      </c>
      <c r="CR82" s="11">
        <f>+COUNTIFS('muddati otgan'!C:C,A82,'muddati otgan'!AA:AA,"Rad qilish2")</f>
        <v>0</v>
      </c>
      <c r="CS82" s="11">
        <f>+COUNTIFS('muddati otgan'!C:C,A82,'muddati otgan'!J:J,"Ko'chirmani yuborish")</f>
        <v>0</v>
      </c>
      <c r="CT82" s="11">
        <f>+COUNTIFS('muddati otgan'!C:C,A82,'muddati otgan'!J:J,"Ma‘lumotlarni tekshirish")</f>
        <v>0</v>
      </c>
      <c r="CU82" s="11">
        <f t="shared" si="166"/>
        <v>0</v>
      </c>
      <c r="CV82" s="11">
        <f>+COUNTIFS('muddati otgan'!C:C,A82,'muddati otgan'!J:J,"Kadastr yig'majildini chop etish va arxiv ishiga tikish")</f>
        <v>0</v>
      </c>
      <c r="CW82" s="11">
        <f t="shared" si="167"/>
        <v>0</v>
      </c>
      <c r="CX82" s="11">
        <f>+COUNTIFS('muddati otgan'!C:C,A82,'muddati otgan'!J:J,"Kadastr yig‘majildini qabul qilish, arizani yakunlash")</f>
        <v>0</v>
      </c>
      <c r="CY82" s="11">
        <f>+COUNTIFS('muddati otgan'!C:C,A82,'muddati otgan'!J:J,"Next Cloudga yuklash")</f>
        <v>0</v>
      </c>
      <c r="CZ82" s="6">
        <f>+COUNTIFS('muddati otgan'!C:C,A82,'muddati otgan'!J:J,"Kelishish kutilmoqda")</f>
        <v>0</v>
      </c>
      <c r="DA82" s="6">
        <f>+COUNTIFS('muddati otgan'!C:C,A82,'muddati otgan'!J:J,"Yakunlandi")</f>
        <v>0</v>
      </c>
      <c r="DB82" s="10">
        <f>+COUNTIFS('muddati otgan'!C:C,A82,'muddati otgan'!J:J,"Rad etildi")</f>
        <v>0</v>
      </c>
      <c r="DC82" s="100">
        <f t="shared" si="168"/>
        <v>0</v>
      </c>
      <c r="DD82" s="44">
        <f>COUNTIFS('jami 1-20 kunlik arizalar'!C:C,A:A,'jami 1-20 kunlik arizalar'!S:S,"1")</f>
        <v>0</v>
      </c>
      <c r="DE82" s="11">
        <f>COUNTIFS('jami 1-20 kunlik arizalar'!C:C,A:A,'jami 1-20 kunlik arizalar'!S:S,"2")</f>
        <v>0</v>
      </c>
      <c r="DF82" s="11">
        <f>COUNTIFS('jami 1-20 kunlik arizalar'!C:C,A:A,'jami 1-20 kunlik arizalar'!S:S,"3")</f>
        <v>2</v>
      </c>
      <c r="DG82" s="11">
        <f>COUNTIFS('jami 1-20 kunlik arizalar'!C:C,A:A,'jami 1-20 kunlik arizalar'!S:S,"4")</f>
        <v>1</v>
      </c>
      <c r="DH82" s="11">
        <f>COUNTIFS('jami 1-20 kunlik arizalar'!C:C,A:A,'jami 1-20 kunlik arizalar'!S:S,"5")</f>
        <v>0</v>
      </c>
      <c r="DI82" s="11">
        <f>SUM(COUNTIFS('jami 1-20 kunlik arizalar'!C:C,A:A, 'jami 1-20 kunlik arizalar'!S:S, {6,7,8,9,10}))</f>
        <v>1</v>
      </c>
      <c r="DJ82" s="12">
        <f>SUM(COUNTIFS('jami 1-20 kunlik arizalar'!C:C,A:A, 'jami 1-20 kunlik arizalar'!S:S, "&gt;10"))</f>
        <v>4</v>
      </c>
    </row>
    <row r="83" spans="1:114" ht="51.95" hidden="1" customHeight="1" outlineLevel="1" x14ac:dyDescent="0.25">
      <c r="A83" s="92" t="s">
        <v>435</v>
      </c>
      <c r="B83" s="106" t="s">
        <v>958</v>
      </c>
      <c r="C83" s="85" t="s">
        <v>422</v>
      </c>
      <c r="D83" s="80">
        <f>+COUNTIFS('muddati otgan'!C:C,A83,'muddati otgan'!C:C,A83)</f>
        <v>0</v>
      </c>
      <c r="E83" s="10">
        <f>SUMIFS('muddati otgan'!$V:V,'muddati otgan'!$C:C,$A:A)</f>
        <v>0</v>
      </c>
      <c r="F83" s="10">
        <f>SUMIFS('muddati otgan'!$W:W,'muddati otgan'!$C:C,$A:A)</f>
        <v>0</v>
      </c>
      <c r="G83" s="24">
        <f>SUMIFS('muddati otgan'!$U:U,'muddati otgan'!$C:C,$A:A)</f>
        <v>0</v>
      </c>
      <c r="H83" s="11">
        <f>SUMIFS('muddati otgan'!$G:G,'muddati otgan'!$C:C,$A:A)</f>
        <v>0</v>
      </c>
      <c r="I83" s="12">
        <f>SUMIFS('muddati otgan'!$H:H,'muddati otgan'!$C:C,$A:A)</f>
        <v>0</v>
      </c>
      <c r="J83" s="44">
        <f t="shared" si="152"/>
        <v>0</v>
      </c>
      <c r="K83" s="11">
        <f>+COUNTIFS('muddati otgan'!C:C,A83,'muddati otgan'!AA:AA,"Arizani qabul qilish")</f>
        <v>0</v>
      </c>
      <c r="L83" s="11">
        <f>+COUNTIFS('muddati otgan'!C:C,A83,'muddati otgan'!J:J,"Arizani rad etish")</f>
        <v>0</v>
      </c>
      <c r="M83" s="11">
        <f>+COUNTIFS('muddati otgan'!C:C,A83,'muddati otgan'!J:J,"Arizani tasdiqlash")</f>
        <v>0</v>
      </c>
      <c r="N83" s="11">
        <f>+COUNTIFS('muddati otgan'!C:C,A83,'muddati otgan'!J:J,"Arizani yo'naltirish")</f>
        <v>0</v>
      </c>
      <c r="O83" s="11">
        <f>+COUNTIFS('muddati otgan'!C:C,A83,'muddati otgan'!J:J,"Rad qilish sababini o'rganish")</f>
        <v>0</v>
      </c>
      <c r="P83" s="11">
        <f>+COUNTIFS('muddati otgan'!C:C,A83,'muddati otgan'!J:J,"Ko'chmas mulkni UZKAD ga migratsiya qilish")</f>
        <v>0</v>
      </c>
      <c r="Q83" s="11">
        <f>+COUNTIFS('muddati otgan'!C:C,A83,'muddati otgan'!J:J,"Migratisya qilingan obyekt holatini tekshirish")</f>
        <v>0</v>
      </c>
      <c r="R83" s="11">
        <f>+COUNTIFS('muddati otgan'!C:C,A83,'muddati otgan'!J:J,"Ko‘chmas mulkni tanlash")</f>
        <v>0</v>
      </c>
      <c r="S83" s="11">
        <f>+COUNTIFS('muddati otgan'!C:C,A83,'muddati otgan'!J:J,"Arizani ko'rib chiqish")</f>
        <v>0</v>
      </c>
      <c r="T83" s="11">
        <f>+COUNTIFS('muddati otgan'!C:C,A83,'muddati otgan'!J:J,"Kadastr muhandisini tanlash")</f>
        <v>0</v>
      </c>
      <c r="U83" s="11">
        <f>+COUNTIFS('muddati otgan'!C:C,A83,'muddati otgan'!J:J,"Ko'chmas mulk turini tanlahsh")</f>
        <v>0</v>
      </c>
      <c r="V83" s="11">
        <f>+COUNTIFS('muddati otgan'!C:C,A83,'muddati otgan'!AA:AA,"Rad qilish")</f>
        <v>0</v>
      </c>
      <c r="W83" s="11">
        <f>+COUNTIFS('muddati otgan'!C:C,A83,'muddati otgan'!J:J,"ijrochi tanlash")</f>
        <v>0</v>
      </c>
      <c r="X83" s="11">
        <f>+COUNTIFS('muddati otgan'!C:C,A83,'muddati otgan'!J:J,"Ko'chmas mulk turini tanlash")</f>
        <v>0</v>
      </c>
      <c r="Y83" s="11">
        <f t="shared" si="153"/>
        <v>0</v>
      </c>
      <c r="Z83" s="11">
        <f>+COUNTIFS('muddati otgan'!C:C,A83,'muddati otgan'!J:J,"Ijroga qabul qilish")</f>
        <v>0</v>
      </c>
      <c r="AA83" s="11">
        <f>+COUNTIFS('muddati otgan'!C:C,A83,'muddati otgan'!J:J,"Joyida o'rganish va ma'lumotlarni kiritish")</f>
        <v>0</v>
      </c>
      <c r="AB83" s="11">
        <f>+COUNTIFS('muddati otgan'!C:C,A83,'muddati otgan'!J:J,"Asosiy qismdan ajratish jarayonida")</f>
        <v>0</v>
      </c>
      <c r="AC83" s="11">
        <f>+COUNTIFS('muddati otgan'!C:C,A83,'muddati otgan'!J:J,"Umumiy foydalanishdagi obyekt yaratilish")</f>
        <v>0</v>
      </c>
      <c r="AD83" s="11">
        <f>+COUNTIFS('muddati otgan'!C:C,A83,'muddati otgan'!J:J,"Migratsiya qilinadigan kadastr raqamini kiritish")</f>
        <v>0</v>
      </c>
      <c r="AE83" s="11">
        <f>+COUNTIFS('muddati otgan'!C:C,A83,'muddati otgan'!J:J,"O'zida qolgan obyektni yaratish")</f>
        <v>0</v>
      </c>
      <c r="AF83" s="11">
        <f>+COUNTIFS('muddati otgan'!C:C,A83,'muddati otgan'!J:J,"O'lchov natijalarini kiritish")</f>
        <v>0</v>
      </c>
      <c r="AG83" s="11">
        <f>+COUNTIFS('muddati otgan'!C:C,A83,'muddati otgan'!J:J,"Topoxaritani tayyorlash (dwg, pdf)")</f>
        <v>0</v>
      </c>
      <c r="AH83" s="11">
        <f t="shared" si="154"/>
        <v>0</v>
      </c>
      <c r="AI83" s="11">
        <f>+COUNTIFS('muddati otgan'!C:C,A83,'muddati otgan'!J:J,"Yer uchastkasini yaratish")</f>
        <v>0</v>
      </c>
      <c r="AJ83" s="11">
        <f t="shared" si="155"/>
        <v>0</v>
      </c>
      <c r="AK83" s="11">
        <f>+COUNTIFS('muddati otgan'!C:C,A83,'muddati otgan'!J:J,"Kelishish (Boshqarma)")</f>
        <v>0</v>
      </c>
      <c r="AL83" s="11">
        <f t="shared" si="156"/>
        <v>0</v>
      </c>
      <c r="AM83" s="11">
        <f>+COUNTIFS('muddati otgan'!C:C,A83,'muddati otgan'!J:J,"Kelishish (DKP)")</f>
        <v>0</v>
      </c>
      <c r="AN83" s="11">
        <f>+COUNTIFS('muddati otgan'!C:C,A83,'muddati otgan'!J:J,"Kelishish")</f>
        <v>0</v>
      </c>
      <c r="AO83" s="11">
        <f>+COUNTIFS('muddati otgan'!C:C,A83,'muddati otgan'!J:J,"Kelishish (Registratsiya DKP)")</f>
        <v>0</v>
      </c>
      <c r="AP83" s="11">
        <f t="shared" si="157"/>
        <v>0</v>
      </c>
      <c r="AQ83" s="11">
        <f>+COUNTIFS('muddati otgan'!C:C,A83,'muddati otgan'!J:J,"Manzil biriktirish")</f>
        <v>0</v>
      </c>
      <c r="AR83" s="11">
        <f>+COUNTIFS('muddati otgan'!C:C,A83,'muddati otgan'!J:J,"Bino va inshootlarni yaratish")</f>
        <v>0</v>
      </c>
      <c r="AS83" s="11">
        <f>+COUNTIFS('muddati otgan'!C:C,A83,'muddati otgan'!J:J,"Dov daraxtlarni yaratish")</f>
        <v>0</v>
      </c>
      <c r="AT83" s="11">
        <f>+COUNTIFS('muddati otgan'!C:C,A83,'muddati otgan'!J:J,"Yer uchastkasini tahrirlash")</f>
        <v>0</v>
      </c>
      <c r="AU83" s="11">
        <f t="shared" si="158"/>
        <v>0</v>
      </c>
      <c r="AV83" s="11">
        <f>+COUNTIFS('muddati otgan'!C:C,A83,'muddati otgan'!J:J,"Yer toifasi va maqsadini kiritish")</f>
        <v>0</v>
      </c>
      <c r="AW83" s="11">
        <f>+COUNTIFS('muddati otgan'!C:C,A83,'muddati otgan'!J:J,"Auksion yer tekshirish")</f>
        <v>0</v>
      </c>
      <c r="AX83" s="11">
        <f>+COUNTIFS('muddati otgan'!C:C,A83,'muddati otgan'!J:J,"Yer turlarini kiritish")</f>
        <v>0</v>
      </c>
      <c r="AY83" s="11">
        <f>+COUNTIFS('muddati otgan'!C:C,A83,'muddati otgan'!J:J,"Ma'lumotlarni kiritish")</f>
        <v>0</v>
      </c>
      <c r="AZ83" s="11">
        <f>+COUNTIFS('muddati otgan'!C:C,A83,'muddati otgan'!J:J,"Yer tekshirish")</f>
        <v>0</v>
      </c>
      <c r="BA83" s="11">
        <f t="shared" si="159"/>
        <v>0</v>
      </c>
      <c r="BB83" s="11">
        <f>+COUNTIFS('muddati otgan'!C:C,A83,'muddati otgan'!J:J,"Bino va inshoot ma'lumotlarini to‘ldirish")</f>
        <v>0</v>
      </c>
      <c r="BC83" s="11">
        <f>+COUNTIFS('muddati otgan'!C:C,A83,'muddati otgan'!J:J,"Inventarizatsiya ma'lumotlarini to‘ldirish")</f>
        <v>0</v>
      </c>
      <c r="BD83" s="11">
        <f>+COUNTIFS('muddati otgan'!C:C,A83,'muddati otgan'!J:J,"Yer uchastkasiga huquqiy hujjatlarni kiritsh")</f>
        <v>0</v>
      </c>
      <c r="BE83" s="11">
        <f>+COUNTIFS('muddati otgan'!C:C,A83,'muddati otgan'!J:J,"Bino-inshootlarga huquqiy hujjatlarni kiritsh")</f>
        <v>0</v>
      </c>
      <c r="BF83" s="11">
        <f>+COUNTIFS('muddati otgan'!C:C,A83,'muddati otgan'!J:J,"Kadastr qiymatini hisoblash va kiritish")</f>
        <v>0</v>
      </c>
      <c r="BG83" s="11">
        <f>+COUNTIFS('muddati otgan'!C:C,A83,'muddati otgan'!J:J,"Kadastr raqam biriktirish")</f>
        <v>0</v>
      </c>
      <c r="BH83" s="11">
        <f>+COUNTIFS('muddati otgan'!C:C,A83,'muddati otgan'!J:J,"Kadastr yig'ma jildni tayyorlash")</f>
        <v>0</v>
      </c>
      <c r="BI83" s="11">
        <f>+COUNTIFS('muddati otgan'!C:C,A83,'muddati otgan'!J:J,"Huquqni yaratish")</f>
        <v>0</v>
      </c>
      <c r="BJ83" s="11">
        <f>+COUNTIFS('muddati otgan'!C:C,A83,'muddati otgan'!J:J,"Hujjatlarni o'rganish")</f>
        <v>0</v>
      </c>
      <c r="BK83" s="11">
        <f>+COUNTIFS('muddati otgan'!C:C,A83,'muddati otgan'!J:J,"Ma'lumotlarni tekshirish")</f>
        <v>0</v>
      </c>
      <c r="BL83" s="11">
        <f t="shared" si="160"/>
        <v>0</v>
      </c>
      <c r="BM83" s="11">
        <f>+COUNTIFS('muddati otgan'!C:C,A83,'muddati otgan'!J:J,"Tekshirish")</f>
        <v>0</v>
      </c>
      <c r="BN83" s="11">
        <f>+COUNTIFS('muddati otgan'!C:C,A83,'muddati otgan'!J:J,"Hujjatlarni tekshirish")</f>
        <v>0</v>
      </c>
      <c r="BO83" s="11">
        <f>+COUNTIFS('muddati otgan'!C:C,A83,'muddati otgan'!J:J,"Tasdiqlash")</f>
        <v>0</v>
      </c>
      <c r="BP83" s="11">
        <f>+COUNTIFS('muddati otgan'!C:C,A83,'muddati otgan'!J:J,"tekshirish/tasdiqlash")</f>
        <v>0</v>
      </c>
      <c r="BQ83" s="11">
        <f>+COUNTIFS('muddati otgan'!C:C,A83,'muddati otgan'!J:J,"Ma'lumotlarni tasdiqlash")</f>
        <v>0</v>
      </c>
      <c r="BR83" s="11">
        <f t="shared" si="161"/>
        <v>0</v>
      </c>
      <c r="BS83" s="11">
        <f>+COUNTIFS('muddati otgan'!C:C,A83,'muddati otgan'!J:J,"Ro'yxatdan o'tkazish ma'lumotlarini tekshirish")</f>
        <v>0</v>
      </c>
      <c r="BT83" s="11">
        <f>+COUNTIFS('muddati otgan'!C:C,A83,'muddati otgan'!J:J,"Kamchiliklar bo'yicha habarnoma yuborish va 3 kunga to'xtatish")</f>
        <v>0</v>
      </c>
      <c r="BU83" s="11">
        <f>+COUNTIFS('muddati otgan'!C:C,A83,'muddati otgan'!J:J,"Hisobga olish")</f>
        <v>0</v>
      </c>
      <c r="BV83" s="11">
        <f>+COUNTIFS('muddati otgan'!C:C,A83,'muddati otgan'!J:J,"Yer uchastkasiga huquq yaratish")</f>
        <v>0</v>
      </c>
      <c r="BW83" s="11">
        <f>+COUNTIFS('muddati otgan'!C:C,A83,'muddati otgan'!J:J,"Bino-inshootga huquq yaratish")</f>
        <v>0</v>
      </c>
      <c r="BX83" s="11">
        <f>+COUNTIFS('muddati otgan'!C:C,A83,'muddati otgan'!J:J,"Cheklov yaratish")</f>
        <v>0</v>
      </c>
      <c r="BY83" s="11">
        <f>+COUNTIFS('muddati otgan'!C:C,A83,'muddati otgan'!J:J,"Taqiq yaratish")</f>
        <v>0</v>
      </c>
      <c r="BZ83" s="11">
        <f t="shared" si="162"/>
        <v>0</v>
      </c>
      <c r="CA83" s="11">
        <f>+COUNTIFS('muddati otgan'!C:C,A83,'muddati otgan'!J:J,"Soliq maydonini tekshirish")</f>
        <v>0</v>
      </c>
      <c r="CB83" s="11">
        <f t="shared" si="163"/>
        <v>0</v>
      </c>
      <c r="CC83" s="11">
        <f>+COUNTIFS('muddati otgan'!C:C,A83,'muddati otgan'!J:J,"Kadastr yig'majildini shakllantirish")</f>
        <v>0</v>
      </c>
      <c r="CD83" s="11">
        <f t="shared" si="164"/>
        <v>0</v>
      </c>
      <c r="CE83" s="11">
        <f>+COUNTIFS('muddati otgan'!C:C,A83,'muddati otgan'!J:J,"Kadastr passportini shakllantirish")</f>
        <v>0</v>
      </c>
      <c r="CF83" s="11">
        <f>+COUNTIFS('muddati otgan'!C:C,A83,'muddati otgan'!J:J,"Yig'ma jildni tasdiqlash")</f>
        <v>0</v>
      </c>
      <c r="CG83" s="11">
        <f>+COUNTIFS('muddati otgan'!C:C,A83,'muddati otgan'!J:J,"To'lov yoki bepul tasdiqlash")</f>
        <v>0</v>
      </c>
      <c r="CH83" s="11">
        <f>+COUNTIFS('muddati otgan'!C:C,A83,'muddati otgan'!J:J,"Bog'liq arizani kutish")</f>
        <v>0</v>
      </c>
      <c r="CI83" s="11">
        <f>+COUNTIFS('muddati otgan'!C:C,A83,'muddati otgan'!J:J,"To'lovga chiqarish")</f>
        <v>0</v>
      </c>
      <c r="CJ83" s="11">
        <f>+COUNTIFS('muddati otgan'!C:C,A83,'muddati otgan'!J:J,"Hisobga qo'yish")</f>
        <v>0</v>
      </c>
      <c r="CK83" s="6">
        <f>+COUNTIFS('muddati otgan'!C:C,A83,'muddati otgan'!J:J,"To'lov kutilmoqda")</f>
        <v>0</v>
      </c>
      <c r="CL83" s="11">
        <f t="shared" si="165"/>
        <v>0</v>
      </c>
      <c r="CM83" s="11">
        <f>+COUNTIFS('muddati otgan'!C:C,A83,'muddati otgan'!AA:AA,"Arizani qabul qilish2")</f>
        <v>0</v>
      </c>
      <c r="CN83" s="11">
        <f>+COUNTIFS('muddati otgan'!C:C,A83,'muddati otgan'!J:J,"Huquqlarni tekshirish")</f>
        <v>0</v>
      </c>
      <c r="CO83" s="11">
        <f>+COUNTIFS('muddati otgan'!C:C,A83,'muddati otgan'!J:J,"Ko'chmas mulkni ro'yhatdan o'tkazishga qabul qilish")</f>
        <v>0</v>
      </c>
      <c r="CP83" s="11">
        <f>+COUNTIFS('muddati otgan'!C:C,A83,'muddati otgan'!J:J,"Ro'yxatdan o'tkazish")</f>
        <v>0</v>
      </c>
      <c r="CQ83" s="11">
        <f>+COUNTIFS('muddati otgan'!C:C,A83,'muddati otgan'!J:J,"Kadastr pasporti va ko'chirmani yuborish")</f>
        <v>0</v>
      </c>
      <c r="CR83" s="11">
        <f>+COUNTIFS('muddati otgan'!C:C,A83,'muddati otgan'!AA:AA,"Rad qilish2")</f>
        <v>0</v>
      </c>
      <c r="CS83" s="11">
        <f>+COUNTIFS('muddati otgan'!C:C,A83,'muddati otgan'!J:J,"Ko'chirmani yuborish")</f>
        <v>0</v>
      </c>
      <c r="CT83" s="11">
        <f>+COUNTIFS('muddati otgan'!C:C,A83,'muddati otgan'!J:J,"Ma‘lumotlarni tekshirish")</f>
        <v>0</v>
      </c>
      <c r="CU83" s="11">
        <f t="shared" si="166"/>
        <v>0</v>
      </c>
      <c r="CV83" s="11">
        <f>+COUNTIFS('muddati otgan'!C:C,A83,'muddati otgan'!J:J,"Kadastr yig'majildini chop etish va arxiv ishiga tikish")</f>
        <v>0</v>
      </c>
      <c r="CW83" s="11">
        <f t="shared" si="167"/>
        <v>0</v>
      </c>
      <c r="CX83" s="11">
        <f>+COUNTIFS('muddati otgan'!C:C,A83,'muddati otgan'!J:J,"Kadastr yig‘majildini qabul qilish, arizani yakunlash")</f>
        <v>0</v>
      </c>
      <c r="CY83" s="11">
        <f>+COUNTIFS('muddati otgan'!C:C,A83,'muddati otgan'!J:J,"Next Cloudga yuklash")</f>
        <v>0</v>
      </c>
      <c r="CZ83" s="6">
        <f>+COUNTIFS('muddati otgan'!C:C,A83,'muddati otgan'!J:J,"Kelishish kutilmoqda")</f>
        <v>0</v>
      </c>
      <c r="DA83" s="6">
        <f>+COUNTIFS('muddati otgan'!C:C,A83,'muddati otgan'!J:J,"Yakunlandi")</f>
        <v>0</v>
      </c>
      <c r="DB83" s="10">
        <f>+COUNTIFS('muddati otgan'!C:C,A83,'muddati otgan'!J:J,"Rad etildi")</f>
        <v>0</v>
      </c>
      <c r="DC83" s="100">
        <f t="shared" si="168"/>
        <v>0</v>
      </c>
      <c r="DD83" s="44">
        <f>COUNTIFS('jami 1-20 kunlik arizalar'!C:C,A:A,'jami 1-20 kunlik arizalar'!S:S,"1")</f>
        <v>0</v>
      </c>
      <c r="DE83" s="11">
        <f>COUNTIFS('jami 1-20 kunlik arizalar'!C:C,A:A,'jami 1-20 kunlik arizalar'!S:S,"2")</f>
        <v>0</v>
      </c>
      <c r="DF83" s="11">
        <f>COUNTIFS('jami 1-20 kunlik arizalar'!C:C,A:A,'jami 1-20 kunlik arizalar'!S:S,"3")</f>
        <v>0</v>
      </c>
      <c r="DG83" s="11">
        <f>COUNTIFS('jami 1-20 kunlik arizalar'!C:C,A:A,'jami 1-20 kunlik arizalar'!S:S,"4")</f>
        <v>0</v>
      </c>
      <c r="DH83" s="11">
        <f>COUNTIFS('jami 1-20 kunlik arizalar'!C:C,A:A,'jami 1-20 kunlik arizalar'!S:S,"5")</f>
        <v>0</v>
      </c>
      <c r="DI83" s="11">
        <f>SUM(COUNTIFS('jami 1-20 kunlik arizalar'!C:C,A:A, 'jami 1-20 kunlik arizalar'!S:S, {6,7,8,9,10}))</f>
        <v>0</v>
      </c>
      <c r="DJ83" s="12">
        <f>SUM(COUNTIFS('jami 1-20 kunlik arizalar'!C:C,A:A, 'jami 1-20 kunlik arizalar'!S:S, "&gt;10"))</f>
        <v>0</v>
      </c>
    </row>
    <row r="84" spans="1:114" ht="51.95" hidden="1" customHeight="1" outlineLevel="1" x14ac:dyDescent="0.25">
      <c r="A84" s="92" t="s">
        <v>436</v>
      </c>
      <c r="B84" s="106" t="s">
        <v>958</v>
      </c>
      <c r="C84" s="85" t="s">
        <v>423</v>
      </c>
      <c r="D84" s="80">
        <f>+COUNTIFS('muddati otgan'!C:C,A84,'muddati otgan'!C:C,A84)</f>
        <v>0</v>
      </c>
      <c r="E84" s="10">
        <f>SUMIFS('muddati otgan'!$V:V,'muddati otgan'!$C:C,$A:A)</f>
        <v>0</v>
      </c>
      <c r="F84" s="10">
        <f>SUMIFS('muddati otgan'!$W:W,'muddati otgan'!$C:C,$A:A)</f>
        <v>0</v>
      </c>
      <c r="G84" s="24">
        <f>SUMIFS('muddati otgan'!$U:U,'muddati otgan'!$C:C,$A:A)</f>
        <v>0</v>
      </c>
      <c r="H84" s="11">
        <f>SUMIFS('muddati otgan'!$G:G,'muddati otgan'!$C:C,$A:A)</f>
        <v>0</v>
      </c>
      <c r="I84" s="12">
        <f>SUMIFS('muddati otgan'!$H:H,'muddati otgan'!$C:C,$A:A)</f>
        <v>0</v>
      </c>
      <c r="J84" s="44">
        <f t="shared" si="152"/>
        <v>0</v>
      </c>
      <c r="K84" s="11">
        <f>+COUNTIFS('muddati otgan'!C:C,A84,'muddati otgan'!AA:AA,"Arizani qabul qilish")</f>
        <v>0</v>
      </c>
      <c r="L84" s="11">
        <f>+COUNTIFS('muddati otgan'!C:C,A84,'muddati otgan'!J:J,"Arizani rad etish")</f>
        <v>0</v>
      </c>
      <c r="M84" s="11">
        <f>+COUNTIFS('muddati otgan'!C:C,A84,'muddati otgan'!J:J,"Arizani tasdiqlash")</f>
        <v>0</v>
      </c>
      <c r="N84" s="11">
        <f>+COUNTIFS('muddati otgan'!C:C,A84,'muddati otgan'!J:J,"Arizani yo'naltirish")</f>
        <v>0</v>
      </c>
      <c r="O84" s="11">
        <f>+COUNTIFS('muddati otgan'!C:C,A84,'muddati otgan'!J:J,"Rad qilish sababini o'rganish")</f>
        <v>0</v>
      </c>
      <c r="P84" s="11">
        <f>+COUNTIFS('muddati otgan'!C:C,A84,'muddati otgan'!J:J,"Ko'chmas mulkni UZKAD ga migratsiya qilish")</f>
        <v>0</v>
      </c>
      <c r="Q84" s="11">
        <f>+COUNTIFS('muddati otgan'!C:C,A84,'muddati otgan'!J:J,"Migratisya qilingan obyekt holatini tekshirish")</f>
        <v>0</v>
      </c>
      <c r="R84" s="11">
        <f>+COUNTIFS('muddati otgan'!C:C,A84,'muddati otgan'!J:J,"Ko‘chmas mulkni tanlash")</f>
        <v>0</v>
      </c>
      <c r="S84" s="11">
        <f>+COUNTIFS('muddati otgan'!C:C,A84,'muddati otgan'!J:J,"Arizani ko'rib chiqish")</f>
        <v>0</v>
      </c>
      <c r="T84" s="11">
        <f>+COUNTIFS('muddati otgan'!C:C,A84,'muddati otgan'!J:J,"Kadastr muhandisini tanlash")</f>
        <v>0</v>
      </c>
      <c r="U84" s="11">
        <f>+COUNTIFS('muddati otgan'!C:C,A84,'muddati otgan'!J:J,"Ko'chmas mulk turini tanlahsh")</f>
        <v>0</v>
      </c>
      <c r="V84" s="11">
        <f>+COUNTIFS('muddati otgan'!C:C,A84,'muddati otgan'!AA:AA,"Rad qilish")</f>
        <v>0</v>
      </c>
      <c r="W84" s="11">
        <f>+COUNTIFS('muddati otgan'!C:C,A84,'muddati otgan'!J:J,"ijrochi tanlash")</f>
        <v>0</v>
      </c>
      <c r="X84" s="11">
        <f>+COUNTIFS('muddati otgan'!C:C,A84,'muddati otgan'!J:J,"Ko'chmas mulk turini tanlash")</f>
        <v>0</v>
      </c>
      <c r="Y84" s="11">
        <f t="shared" si="153"/>
        <v>0</v>
      </c>
      <c r="Z84" s="11">
        <f>+COUNTIFS('muddati otgan'!C:C,A84,'muddati otgan'!J:J,"Ijroga qabul qilish")</f>
        <v>0</v>
      </c>
      <c r="AA84" s="11">
        <f>+COUNTIFS('muddati otgan'!C:C,A84,'muddati otgan'!J:J,"Joyida o'rganish va ma'lumotlarni kiritish")</f>
        <v>0</v>
      </c>
      <c r="AB84" s="11">
        <f>+COUNTIFS('muddati otgan'!C:C,A84,'muddati otgan'!J:J,"Asosiy qismdan ajratish jarayonida")</f>
        <v>0</v>
      </c>
      <c r="AC84" s="11">
        <f>+COUNTIFS('muddati otgan'!C:C,A84,'muddati otgan'!J:J,"Umumiy foydalanishdagi obyekt yaratilish")</f>
        <v>0</v>
      </c>
      <c r="AD84" s="11">
        <f>+COUNTIFS('muddati otgan'!C:C,A84,'muddati otgan'!J:J,"Migratsiya qilinadigan kadastr raqamini kiritish")</f>
        <v>0</v>
      </c>
      <c r="AE84" s="11">
        <f>+COUNTIFS('muddati otgan'!C:C,A84,'muddati otgan'!J:J,"O'zida qolgan obyektni yaratish")</f>
        <v>0</v>
      </c>
      <c r="AF84" s="11">
        <f>+COUNTIFS('muddati otgan'!C:C,A84,'muddati otgan'!J:J,"O'lchov natijalarini kiritish")</f>
        <v>0</v>
      </c>
      <c r="AG84" s="11">
        <f>+COUNTIFS('muddati otgan'!C:C,A84,'muddati otgan'!J:J,"Topoxaritani tayyorlash (dwg, pdf)")</f>
        <v>0</v>
      </c>
      <c r="AH84" s="11">
        <f t="shared" si="154"/>
        <v>0</v>
      </c>
      <c r="AI84" s="11">
        <f>+COUNTIFS('muddati otgan'!C:C,A84,'muddati otgan'!J:J,"Yer uchastkasini yaratish")</f>
        <v>0</v>
      </c>
      <c r="AJ84" s="11">
        <f t="shared" si="155"/>
        <v>0</v>
      </c>
      <c r="AK84" s="11">
        <f>+COUNTIFS('muddati otgan'!C:C,A84,'muddati otgan'!J:J,"Kelishish (Boshqarma)")</f>
        <v>0</v>
      </c>
      <c r="AL84" s="11">
        <f t="shared" si="156"/>
        <v>0</v>
      </c>
      <c r="AM84" s="11">
        <f>+COUNTIFS('muddati otgan'!C:C,A84,'muddati otgan'!J:J,"Kelishish (DKP)")</f>
        <v>0</v>
      </c>
      <c r="AN84" s="11">
        <f>+COUNTIFS('muddati otgan'!C:C,A84,'muddati otgan'!J:J,"Kelishish")</f>
        <v>0</v>
      </c>
      <c r="AO84" s="11">
        <f>+COUNTIFS('muddati otgan'!C:C,A84,'muddati otgan'!J:J,"Kelishish (Registratsiya DKP)")</f>
        <v>0</v>
      </c>
      <c r="AP84" s="11">
        <f t="shared" si="157"/>
        <v>0</v>
      </c>
      <c r="AQ84" s="11">
        <f>+COUNTIFS('muddati otgan'!C:C,A84,'muddati otgan'!J:J,"Manzil biriktirish")</f>
        <v>0</v>
      </c>
      <c r="AR84" s="11">
        <f>+COUNTIFS('muddati otgan'!C:C,A84,'muddati otgan'!J:J,"Bino va inshootlarni yaratish")</f>
        <v>0</v>
      </c>
      <c r="AS84" s="11">
        <f>+COUNTIFS('muddati otgan'!C:C,A84,'muddati otgan'!J:J,"Dov daraxtlarni yaratish")</f>
        <v>0</v>
      </c>
      <c r="AT84" s="11">
        <f>+COUNTIFS('muddati otgan'!C:C,A84,'muddati otgan'!J:J,"Yer uchastkasini tahrirlash")</f>
        <v>0</v>
      </c>
      <c r="AU84" s="11">
        <f t="shared" si="158"/>
        <v>0</v>
      </c>
      <c r="AV84" s="11">
        <f>+COUNTIFS('muddati otgan'!C:C,A84,'muddati otgan'!J:J,"Yer toifasi va maqsadini kiritish")</f>
        <v>0</v>
      </c>
      <c r="AW84" s="11">
        <f>+COUNTIFS('muddati otgan'!C:C,A84,'muddati otgan'!J:J,"Auksion yer tekshirish")</f>
        <v>0</v>
      </c>
      <c r="AX84" s="11">
        <f>+COUNTIFS('muddati otgan'!C:C,A84,'muddati otgan'!J:J,"Yer turlarini kiritish")</f>
        <v>0</v>
      </c>
      <c r="AY84" s="11">
        <f>+COUNTIFS('muddati otgan'!C:C,A84,'muddati otgan'!J:J,"Ma'lumotlarni kiritish")</f>
        <v>0</v>
      </c>
      <c r="AZ84" s="11">
        <f>+COUNTIFS('muddati otgan'!C:C,A84,'muddati otgan'!J:J,"Yer tekshirish")</f>
        <v>0</v>
      </c>
      <c r="BA84" s="11">
        <f t="shared" si="159"/>
        <v>0</v>
      </c>
      <c r="BB84" s="11">
        <f>+COUNTIFS('muddati otgan'!C:C,A84,'muddati otgan'!J:J,"Bino va inshoot ma'lumotlarini to‘ldirish")</f>
        <v>0</v>
      </c>
      <c r="BC84" s="11">
        <f>+COUNTIFS('muddati otgan'!C:C,A84,'muddati otgan'!J:J,"Inventarizatsiya ma'lumotlarini to‘ldirish")</f>
        <v>0</v>
      </c>
      <c r="BD84" s="11">
        <f>+COUNTIFS('muddati otgan'!C:C,A84,'muddati otgan'!J:J,"Yer uchastkasiga huquqiy hujjatlarni kiritsh")</f>
        <v>0</v>
      </c>
      <c r="BE84" s="11">
        <f>+COUNTIFS('muddati otgan'!C:C,A84,'muddati otgan'!J:J,"Bino-inshootlarga huquqiy hujjatlarni kiritsh")</f>
        <v>0</v>
      </c>
      <c r="BF84" s="11">
        <f>+COUNTIFS('muddati otgan'!C:C,A84,'muddati otgan'!J:J,"Kadastr qiymatini hisoblash va kiritish")</f>
        <v>0</v>
      </c>
      <c r="BG84" s="11">
        <f>+COUNTIFS('muddati otgan'!C:C,A84,'muddati otgan'!J:J,"Kadastr raqam biriktirish")</f>
        <v>0</v>
      </c>
      <c r="BH84" s="11">
        <f>+COUNTIFS('muddati otgan'!C:C,A84,'muddati otgan'!J:J,"Kadastr yig'ma jildni tayyorlash")</f>
        <v>0</v>
      </c>
      <c r="BI84" s="11">
        <f>+COUNTIFS('muddati otgan'!C:C,A84,'muddati otgan'!J:J,"Huquqni yaratish")</f>
        <v>0</v>
      </c>
      <c r="BJ84" s="11">
        <f>+COUNTIFS('muddati otgan'!C:C,A84,'muddati otgan'!J:J,"Hujjatlarni o'rganish")</f>
        <v>0</v>
      </c>
      <c r="BK84" s="11">
        <f>+COUNTIFS('muddati otgan'!C:C,A84,'muddati otgan'!J:J,"Ma'lumotlarni tekshirish")</f>
        <v>0</v>
      </c>
      <c r="BL84" s="11">
        <f t="shared" si="160"/>
        <v>0</v>
      </c>
      <c r="BM84" s="11">
        <f>+COUNTIFS('muddati otgan'!C:C,A84,'muddati otgan'!J:J,"Tekshirish")</f>
        <v>0</v>
      </c>
      <c r="BN84" s="11">
        <f>+COUNTIFS('muddati otgan'!C:C,A84,'muddati otgan'!J:J,"Hujjatlarni tekshirish")</f>
        <v>0</v>
      </c>
      <c r="BO84" s="11">
        <f>+COUNTIFS('muddati otgan'!C:C,A84,'muddati otgan'!J:J,"Tasdiqlash")</f>
        <v>0</v>
      </c>
      <c r="BP84" s="11">
        <f>+COUNTIFS('muddati otgan'!C:C,A84,'muddati otgan'!J:J,"tekshirish/tasdiqlash")</f>
        <v>0</v>
      </c>
      <c r="BQ84" s="11">
        <f>+COUNTIFS('muddati otgan'!C:C,A84,'muddati otgan'!J:J,"Ma'lumotlarni tasdiqlash")</f>
        <v>0</v>
      </c>
      <c r="BR84" s="11">
        <f t="shared" si="161"/>
        <v>0</v>
      </c>
      <c r="BS84" s="11">
        <f>+COUNTIFS('muddati otgan'!C:C,A84,'muddati otgan'!J:J,"Ro'yxatdan o'tkazish ma'lumotlarini tekshirish")</f>
        <v>0</v>
      </c>
      <c r="BT84" s="11">
        <f>+COUNTIFS('muddati otgan'!C:C,A84,'muddati otgan'!J:J,"Kamchiliklar bo'yicha habarnoma yuborish va 3 kunga to'xtatish")</f>
        <v>0</v>
      </c>
      <c r="BU84" s="11">
        <f>+COUNTIFS('muddati otgan'!C:C,A84,'muddati otgan'!J:J,"Hisobga olish")</f>
        <v>0</v>
      </c>
      <c r="BV84" s="11">
        <f>+COUNTIFS('muddati otgan'!C:C,A84,'muddati otgan'!J:J,"Yer uchastkasiga huquq yaratish")</f>
        <v>0</v>
      </c>
      <c r="BW84" s="11">
        <f>+COUNTIFS('muddati otgan'!C:C,A84,'muddati otgan'!J:J,"Bino-inshootga huquq yaratish")</f>
        <v>0</v>
      </c>
      <c r="BX84" s="11">
        <f>+COUNTIFS('muddati otgan'!C:C,A84,'muddati otgan'!J:J,"Cheklov yaratish")</f>
        <v>0</v>
      </c>
      <c r="BY84" s="11">
        <f>+COUNTIFS('muddati otgan'!C:C,A84,'muddati otgan'!J:J,"Taqiq yaratish")</f>
        <v>0</v>
      </c>
      <c r="BZ84" s="11">
        <f t="shared" si="162"/>
        <v>0</v>
      </c>
      <c r="CA84" s="11">
        <f>+COUNTIFS('muddati otgan'!C:C,A84,'muddati otgan'!J:J,"Soliq maydonini tekshirish")</f>
        <v>0</v>
      </c>
      <c r="CB84" s="11">
        <f t="shared" si="163"/>
        <v>0</v>
      </c>
      <c r="CC84" s="11">
        <f>+COUNTIFS('muddati otgan'!C:C,A84,'muddati otgan'!J:J,"Kadastr yig'majildini shakllantirish")</f>
        <v>0</v>
      </c>
      <c r="CD84" s="11">
        <f t="shared" si="164"/>
        <v>0</v>
      </c>
      <c r="CE84" s="11">
        <f>+COUNTIFS('muddati otgan'!C:C,A84,'muddati otgan'!J:J,"Kadastr passportini shakllantirish")</f>
        <v>0</v>
      </c>
      <c r="CF84" s="11">
        <f>+COUNTIFS('muddati otgan'!C:C,A84,'muddati otgan'!J:J,"Yig'ma jildni tasdiqlash")</f>
        <v>0</v>
      </c>
      <c r="CG84" s="11">
        <f>+COUNTIFS('muddati otgan'!C:C,A84,'muddati otgan'!J:J,"To'lov yoki bepul tasdiqlash")</f>
        <v>0</v>
      </c>
      <c r="CH84" s="11">
        <f>+COUNTIFS('muddati otgan'!C:C,A84,'muddati otgan'!J:J,"Bog'liq arizani kutish")</f>
        <v>0</v>
      </c>
      <c r="CI84" s="11">
        <f>+COUNTIFS('muddati otgan'!C:C,A84,'muddati otgan'!J:J,"To'lovga chiqarish")</f>
        <v>0</v>
      </c>
      <c r="CJ84" s="11">
        <f>+COUNTIFS('muddati otgan'!C:C,A84,'muddati otgan'!J:J,"Hisobga qo'yish")</f>
        <v>0</v>
      </c>
      <c r="CK84" s="6">
        <f>+COUNTIFS('muddati otgan'!C:C,A84,'muddati otgan'!J:J,"To'lov kutilmoqda")</f>
        <v>0</v>
      </c>
      <c r="CL84" s="11">
        <f t="shared" si="165"/>
        <v>0</v>
      </c>
      <c r="CM84" s="11">
        <f>+COUNTIFS('muddati otgan'!C:C,A84,'muddati otgan'!AA:AA,"Arizani qabul qilish2")</f>
        <v>0</v>
      </c>
      <c r="CN84" s="11">
        <f>+COUNTIFS('muddati otgan'!C:C,A84,'muddati otgan'!J:J,"Huquqlarni tekshirish")</f>
        <v>0</v>
      </c>
      <c r="CO84" s="11">
        <f>+COUNTIFS('muddati otgan'!C:C,A84,'muddati otgan'!J:J,"Ko'chmas mulkni ro'yhatdan o'tkazishga qabul qilish")</f>
        <v>0</v>
      </c>
      <c r="CP84" s="11">
        <f>+COUNTIFS('muddati otgan'!C:C,A84,'muddati otgan'!J:J,"Ro'yxatdan o'tkazish")</f>
        <v>0</v>
      </c>
      <c r="CQ84" s="11">
        <f>+COUNTIFS('muddati otgan'!C:C,A84,'muddati otgan'!J:J,"Kadastr pasporti va ko'chirmani yuborish")</f>
        <v>0</v>
      </c>
      <c r="CR84" s="11">
        <f>+COUNTIFS('muddati otgan'!C:C,A84,'muddati otgan'!AA:AA,"Rad qilish2")</f>
        <v>0</v>
      </c>
      <c r="CS84" s="11">
        <f>+COUNTIFS('muddati otgan'!C:C,A84,'muddati otgan'!J:J,"Ko'chirmani yuborish")</f>
        <v>0</v>
      </c>
      <c r="CT84" s="11">
        <f>+COUNTIFS('muddati otgan'!C:C,A84,'muddati otgan'!J:J,"Ma‘lumotlarni tekshirish")</f>
        <v>0</v>
      </c>
      <c r="CU84" s="11">
        <f t="shared" si="166"/>
        <v>0</v>
      </c>
      <c r="CV84" s="11">
        <f>+COUNTIFS('muddati otgan'!C:C,A84,'muddati otgan'!J:J,"Kadastr yig'majildini chop etish va arxiv ishiga tikish")</f>
        <v>0</v>
      </c>
      <c r="CW84" s="11">
        <f t="shared" si="167"/>
        <v>0</v>
      </c>
      <c r="CX84" s="11">
        <f>+COUNTIFS('muddati otgan'!C:C,A84,'muddati otgan'!J:J,"Kadastr yig‘majildini qabul qilish, arizani yakunlash")</f>
        <v>0</v>
      </c>
      <c r="CY84" s="11">
        <f>+COUNTIFS('muddati otgan'!C:C,A84,'muddati otgan'!J:J,"Next Cloudga yuklash")</f>
        <v>0</v>
      </c>
      <c r="CZ84" s="6">
        <f>+COUNTIFS('muddati otgan'!C:C,A84,'muddati otgan'!J:J,"Kelishish kutilmoqda")</f>
        <v>0</v>
      </c>
      <c r="DA84" s="6">
        <f>+COUNTIFS('muddati otgan'!C:C,A84,'muddati otgan'!J:J,"Yakunlandi")</f>
        <v>0</v>
      </c>
      <c r="DB84" s="10">
        <f>+COUNTIFS('muddati otgan'!C:C,A84,'muddati otgan'!J:J,"Rad etildi")</f>
        <v>0</v>
      </c>
      <c r="DC84" s="100">
        <f t="shared" si="168"/>
        <v>0</v>
      </c>
      <c r="DD84" s="44">
        <f>COUNTIFS('jami 1-20 kunlik arizalar'!C:C,A:A,'jami 1-20 kunlik arizalar'!S:S,"1")</f>
        <v>0</v>
      </c>
      <c r="DE84" s="11">
        <f>COUNTIFS('jami 1-20 kunlik arizalar'!C:C,A:A,'jami 1-20 kunlik arizalar'!S:S,"2")</f>
        <v>0</v>
      </c>
      <c r="DF84" s="11">
        <f>COUNTIFS('jami 1-20 kunlik arizalar'!C:C,A:A,'jami 1-20 kunlik arizalar'!S:S,"3")</f>
        <v>0</v>
      </c>
      <c r="DG84" s="11">
        <f>COUNTIFS('jami 1-20 kunlik arizalar'!C:C,A:A,'jami 1-20 kunlik arizalar'!S:S,"4")</f>
        <v>0</v>
      </c>
      <c r="DH84" s="11">
        <f>COUNTIFS('jami 1-20 kunlik arizalar'!C:C,A:A,'jami 1-20 kunlik arizalar'!S:S,"5")</f>
        <v>0</v>
      </c>
      <c r="DI84" s="11">
        <f>SUM(COUNTIFS('jami 1-20 kunlik arizalar'!C:C,A:A, 'jami 1-20 kunlik arizalar'!S:S, {6,7,8,9,10}))</f>
        <v>1</v>
      </c>
      <c r="DJ84" s="12">
        <f>SUM(COUNTIFS('jami 1-20 kunlik arizalar'!C:C,A:A, 'jami 1-20 kunlik arizalar'!S:S, "&gt;10"))</f>
        <v>0</v>
      </c>
    </row>
    <row r="85" spans="1:114" ht="51.95" hidden="1" customHeight="1" outlineLevel="1" x14ac:dyDescent="0.25">
      <c r="A85" s="92" t="s">
        <v>437</v>
      </c>
      <c r="B85" s="106" t="s">
        <v>958</v>
      </c>
      <c r="C85" s="85" t="s">
        <v>424</v>
      </c>
      <c r="D85" s="80">
        <f>+COUNTIFS('muddati otgan'!C:C,A85,'muddati otgan'!C:C,A85)</f>
        <v>1</v>
      </c>
      <c r="E85" s="10">
        <f>SUMIFS('muddati otgan'!$V:V,'muddati otgan'!$C:C,$A:A)</f>
        <v>0</v>
      </c>
      <c r="F85" s="10">
        <f>SUMIFS('muddati otgan'!$W:W,'muddati otgan'!$C:C,$A:A)</f>
        <v>0</v>
      </c>
      <c r="G85" s="24">
        <f>SUMIFS('muddati otgan'!$U:U,'muddati otgan'!$C:C,$A:A)</f>
        <v>1</v>
      </c>
      <c r="H85" s="11">
        <f>SUMIFS('muddati otgan'!$G:G,'muddati otgan'!$C:C,$A:A)</f>
        <v>1</v>
      </c>
      <c r="I85" s="12">
        <f>SUMIFS('muddati otgan'!$H:H,'muddati otgan'!$C:C,$A:A)</f>
        <v>0</v>
      </c>
      <c r="J85" s="44">
        <f t="shared" si="152"/>
        <v>0</v>
      </c>
      <c r="K85" s="11">
        <f>+COUNTIFS('muddati otgan'!C:C,A85,'muddati otgan'!AA:AA,"Arizani qabul qilish")</f>
        <v>0</v>
      </c>
      <c r="L85" s="11">
        <f>+COUNTIFS('muddati otgan'!C:C,A85,'muddati otgan'!J:J,"Arizani rad etish")</f>
        <v>0</v>
      </c>
      <c r="M85" s="11">
        <f>+COUNTIFS('muddati otgan'!C:C,A85,'muddati otgan'!J:J,"Arizani tasdiqlash")</f>
        <v>0</v>
      </c>
      <c r="N85" s="11">
        <f>+COUNTIFS('muddati otgan'!C:C,A85,'muddati otgan'!J:J,"Arizani yo'naltirish")</f>
        <v>0</v>
      </c>
      <c r="O85" s="11">
        <f>+COUNTIFS('muddati otgan'!C:C,A85,'muddati otgan'!J:J,"Rad qilish sababini o'rganish")</f>
        <v>0</v>
      </c>
      <c r="P85" s="11">
        <f>+COUNTIFS('muddati otgan'!C:C,A85,'muddati otgan'!J:J,"Ko'chmas mulkni UZKAD ga migratsiya qilish")</f>
        <v>0</v>
      </c>
      <c r="Q85" s="11">
        <f>+COUNTIFS('muddati otgan'!C:C,A85,'muddati otgan'!J:J,"Migratisya qilingan obyekt holatini tekshirish")</f>
        <v>0</v>
      </c>
      <c r="R85" s="11">
        <f>+COUNTIFS('muddati otgan'!C:C,A85,'muddati otgan'!J:J,"Ko‘chmas mulkni tanlash")</f>
        <v>0</v>
      </c>
      <c r="S85" s="11">
        <f>+COUNTIFS('muddati otgan'!C:C,A85,'muddati otgan'!J:J,"Arizani ko'rib chiqish")</f>
        <v>0</v>
      </c>
      <c r="T85" s="11">
        <f>+COUNTIFS('muddati otgan'!C:C,A85,'muddati otgan'!J:J,"Kadastr muhandisini tanlash")</f>
        <v>0</v>
      </c>
      <c r="U85" s="11">
        <f>+COUNTIFS('muddati otgan'!C:C,A85,'muddati otgan'!J:J,"Ko'chmas mulk turini tanlahsh")</f>
        <v>0</v>
      </c>
      <c r="V85" s="11">
        <f>+COUNTIFS('muddati otgan'!C:C,A85,'muddati otgan'!AA:AA,"Rad qilish")</f>
        <v>0</v>
      </c>
      <c r="W85" s="11">
        <f>+COUNTIFS('muddati otgan'!C:C,A85,'muddati otgan'!J:J,"ijrochi tanlash")</f>
        <v>0</v>
      </c>
      <c r="X85" s="11">
        <f>+COUNTIFS('muddati otgan'!C:C,A85,'muddati otgan'!J:J,"Ko'chmas mulk turini tanlash")</f>
        <v>0</v>
      </c>
      <c r="Y85" s="11">
        <f t="shared" si="153"/>
        <v>0</v>
      </c>
      <c r="Z85" s="11">
        <f>+COUNTIFS('muddati otgan'!C:C,A85,'muddati otgan'!J:J,"Ijroga qabul qilish")</f>
        <v>0</v>
      </c>
      <c r="AA85" s="11">
        <f>+COUNTIFS('muddati otgan'!C:C,A85,'muddati otgan'!J:J,"Joyida o'rganish va ma'lumotlarni kiritish")</f>
        <v>0</v>
      </c>
      <c r="AB85" s="11">
        <f>+COUNTIFS('muddati otgan'!C:C,A85,'muddati otgan'!J:J,"Asosiy qismdan ajratish jarayonida")</f>
        <v>0</v>
      </c>
      <c r="AC85" s="11">
        <f>+COUNTIFS('muddati otgan'!C:C,A85,'muddati otgan'!J:J,"Umumiy foydalanishdagi obyekt yaratilish")</f>
        <v>0</v>
      </c>
      <c r="AD85" s="11">
        <f>+COUNTIFS('muddati otgan'!C:C,A85,'muddati otgan'!J:J,"Migratsiya qilinadigan kadastr raqamini kiritish")</f>
        <v>0</v>
      </c>
      <c r="AE85" s="11">
        <f>+COUNTIFS('muddati otgan'!C:C,A85,'muddati otgan'!J:J,"O'zida qolgan obyektni yaratish")</f>
        <v>0</v>
      </c>
      <c r="AF85" s="11">
        <f>+COUNTIFS('muddati otgan'!C:C,A85,'muddati otgan'!J:J,"O'lchov natijalarini kiritish")</f>
        <v>0</v>
      </c>
      <c r="AG85" s="11">
        <f>+COUNTIFS('muddati otgan'!C:C,A85,'muddati otgan'!J:J,"Topoxaritani tayyorlash (dwg, pdf)")</f>
        <v>0</v>
      </c>
      <c r="AH85" s="11">
        <f t="shared" si="154"/>
        <v>0</v>
      </c>
      <c r="AI85" s="11">
        <f>+COUNTIFS('muddati otgan'!C:C,A85,'muddati otgan'!J:J,"Yer uchastkasini yaratish")</f>
        <v>0</v>
      </c>
      <c r="AJ85" s="11">
        <f t="shared" si="155"/>
        <v>0</v>
      </c>
      <c r="AK85" s="11">
        <f>+COUNTIFS('muddati otgan'!C:C,A85,'muddati otgan'!J:J,"Kelishish (Boshqarma)")</f>
        <v>0</v>
      </c>
      <c r="AL85" s="11">
        <f t="shared" si="156"/>
        <v>0</v>
      </c>
      <c r="AM85" s="11">
        <f>+COUNTIFS('muddati otgan'!C:C,A85,'muddati otgan'!J:J,"Kelishish (DKP)")</f>
        <v>0</v>
      </c>
      <c r="AN85" s="11">
        <f>+COUNTIFS('muddati otgan'!C:C,A85,'muddati otgan'!J:J,"Kelishish")</f>
        <v>0</v>
      </c>
      <c r="AO85" s="11">
        <f>+COUNTIFS('muddati otgan'!C:C,A85,'muddati otgan'!J:J,"Kelishish (Registratsiya DKP)")</f>
        <v>0</v>
      </c>
      <c r="AP85" s="11">
        <f t="shared" si="157"/>
        <v>0</v>
      </c>
      <c r="AQ85" s="11">
        <f>+COUNTIFS('muddati otgan'!C:C,A85,'muddati otgan'!J:J,"Manzil biriktirish")</f>
        <v>0</v>
      </c>
      <c r="AR85" s="11">
        <f>+COUNTIFS('muddati otgan'!C:C,A85,'muddati otgan'!J:J,"Bino va inshootlarni yaratish")</f>
        <v>0</v>
      </c>
      <c r="AS85" s="11">
        <f>+COUNTIFS('muddati otgan'!C:C,A85,'muddati otgan'!J:J,"Dov daraxtlarni yaratish")</f>
        <v>0</v>
      </c>
      <c r="AT85" s="11">
        <f>+COUNTIFS('muddati otgan'!C:C,A85,'muddati otgan'!J:J,"Yer uchastkasini tahrirlash")</f>
        <v>0</v>
      </c>
      <c r="AU85" s="11">
        <f t="shared" si="158"/>
        <v>0</v>
      </c>
      <c r="AV85" s="11">
        <f>+COUNTIFS('muddati otgan'!C:C,A85,'muddati otgan'!J:J,"Yer toifasi va maqsadini kiritish")</f>
        <v>0</v>
      </c>
      <c r="AW85" s="11">
        <f>+COUNTIFS('muddati otgan'!C:C,A85,'muddati otgan'!J:J,"Auksion yer tekshirish")</f>
        <v>0</v>
      </c>
      <c r="AX85" s="11">
        <f>+COUNTIFS('muddati otgan'!C:C,A85,'muddati otgan'!J:J,"Yer turlarini kiritish")</f>
        <v>0</v>
      </c>
      <c r="AY85" s="11">
        <f>+COUNTIFS('muddati otgan'!C:C,A85,'muddati otgan'!J:J,"Ma'lumotlarni kiritish")</f>
        <v>0</v>
      </c>
      <c r="AZ85" s="11">
        <f>+COUNTIFS('muddati otgan'!C:C,A85,'muddati otgan'!J:J,"Yer tekshirish")</f>
        <v>0</v>
      </c>
      <c r="BA85" s="11">
        <f t="shared" si="159"/>
        <v>0</v>
      </c>
      <c r="BB85" s="11">
        <f>+COUNTIFS('muddati otgan'!C:C,A85,'muddati otgan'!J:J,"Bino va inshoot ma'lumotlarini to‘ldirish")</f>
        <v>0</v>
      </c>
      <c r="BC85" s="11">
        <f>+COUNTIFS('muddati otgan'!C:C,A85,'muddati otgan'!J:J,"Inventarizatsiya ma'lumotlarini to‘ldirish")</f>
        <v>0</v>
      </c>
      <c r="BD85" s="11">
        <f>+COUNTIFS('muddati otgan'!C:C,A85,'muddati otgan'!J:J,"Yer uchastkasiga huquqiy hujjatlarni kiritsh")</f>
        <v>0</v>
      </c>
      <c r="BE85" s="11">
        <f>+COUNTIFS('muddati otgan'!C:C,A85,'muddati otgan'!J:J,"Bino-inshootlarga huquqiy hujjatlarni kiritsh")</f>
        <v>0</v>
      </c>
      <c r="BF85" s="11">
        <f>+COUNTIFS('muddati otgan'!C:C,A85,'muddati otgan'!J:J,"Kadastr qiymatini hisoblash va kiritish")</f>
        <v>0</v>
      </c>
      <c r="BG85" s="11">
        <f>+COUNTIFS('muddati otgan'!C:C,A85,'muddati otgan'!J:J,"Kadastr raqam biriktirish")</f>
        <v>0</v>
      </c>
      <c r="BH85" s="11">
        <f>+COUNTIFS('muddati otgan'!C:C,A85,'muddati otgan'!J:J,"Kadastr yig'ma jildni tayyorlash")</f>
        <v>0</v>
      </c>
      <c r="BI85" s="11">
        <f>+COUNTIFS('muddati otgan'!C:C,A85,'muddati otgan'!J:J,"Huquqni yaratish")</f>
        <v>0</v>
      </c>
      <c r="BJ85" s="11">
        <f>+COUNTIFS('muddati otgan'!C:C,A85,'muddati otgan'!J:J,"Hujjatlarni o'rganish")</f>
        <v>0</v>
      </c>
      <c r="BK85" s="11">
        <f>+COUNTIFS('muddati otgan'!C:C,A85,'muddati otgan'!J:J,"Ma'lumotlarni tekshirish")</f>
        <v>0</v>
      </c>
      <c r="BL85" s="11">
        <f t="shared" si="160"/>
        <v>0</v>
      </c>
      <c r="BM85" s="11">
        <f>+COUNTIFS('muddati otgan'!C:C,A85,'muddati otgan'!J:J,"Tekshirish")</f>
        <v>0</v>
      </c>
      <c r="BN85" s="11">
        <f>+COUNTIFS('muddati otgan'!C:C,A85,'muddati otgan'!J:J,"Hujjatlarni tekshirish")</f>
        <v>0</v>
      </c>
      <c r="BO85" s="11">
        <f>+COUNTIFS('muddati otgan'!C:C,A85,'muddati otgan'!J:J,"Tasdiqlash")</f>
        <v>0</v>
      </c>
      <c r="BP85" s="11">
        <f>+COUNTIFS('muddati otgan'!C:C,A85,'muddati otgan'!J:J,"tekshirish/tasdiqlash")</f>
        <v>0</v>
      </c>
      <c r="BQ85" s="11">
        <f>+COUNTIFS('muddati otgan'!C:C,A85,'muddati otgan'!J:J,"Ma'lumotlarni tasdiqlash")</f>
        <v>0</v>
      </c>
      <c r="BR85" s="11">
        <f t="shared" si="161"/>
        <v>0</v>
      </c>
      <c r="BS85" s="11">
        <f>+COUNTIFS('muddati otgan'!C:C,A85,'muddati otgan'!J:J,"Ro'yxatdan o'tkazish ma'lumotlarini tekshirish")</f>
        <v>0</v>
      </c>
      <c r="BT85" s="11">
        <f>+COUNTIFS('muddati otgan'!C:C,A85,'muddati otgan'!J:J,"Kamchiliklar bo'yicha habarnoma yuborish va 3 kunga to'xtatish")</f>
        <v>0</v>
      </c>
      <c r="BU85" s="11">
        <f>+COUNTIFS('muddati otgan'!C:C,A85,'muddati otgan'!J:J,"Hisobga olish")</f>
        <v>0</v>
      </c>
      <c r="BV85" s="11">
        <f>+COUNTIFS('muddati otgan'!C:C,A85,'muddati otgan'!J:J,"Yer uchastkasiga huquq yaratish")</f>
        <v>0</v>
      </c>
      <c r="BW85" s="11">
        <f>+COUNTIFS('muddati otgan'!C:C,A85,'muddati otgan'!J:J,"Bino-inshootga huquq yaratish")</f>
        <v>0</v>
      </c>
      <c r="BX85" s="11">
        <f>+COUNTIFS('muddati otgan'!C:C,A85,'muddati otgan'!J:J,"Cheklov yaratish")</f>
        <v>0</v>
      </c>
      <c r="BY85" s="11">
        <f>+COUNTIFS('muddati otgan'!C:C,A85,'muddati otgan'!J:J,"Taqiq yaratish")</f>
        <v>0</v>
      </c>
      <c r="BZ85" s="11">
        <f t="shared" si="162"/>
        <v>0</v>
      </c>
      <c r="CA85" s="11">
        <f>+COUNTIFS('muddati otgan'!C:C,A85,'muddati otgan'!J:J,"Soliq maydonini tekshirish")</f>
        <v>0</v>
      </c>
      <c r="CB85" s="11">
        <f t="shared" si="163"/>
        <v>0</v>
      </c>
      <c r="CC85" s="11">
        <f>+COUNTIFS('muddati otgan'!C:C,A85,'muddati otgan'!J:J,"Kadastr yig'majildini shakllantirish")</f>
        <v>0</v>
      </c>
      <c r="CD85" s="11">
        <f t="shared" si="164"/>
        <v>0</v>
      </c>
      <c r="CE85" s="11">
        <f>+COUNTIFS('muddati otgan'!C:C,A85,'muddati otgan'!J:J,"Kadastr passportini shakllantirish")</f>
        <v>0</v>
      </c>
      <c r="CF85" s="11">
        <f>+COUNTIFS('muddati otgan'!C:C,A85,'muddati otgan'!J:J,"Yig'ma jildni tasdiqlash")</f>
        <v>0</v>
      </c>
      <c r="CG85" s="11">
        <f>+COUNTIFS('muddati otgan'!C:C,A85,'muddati otgan'!J:J,"To'lov yoki bepul tasdiqlash")</f>
        <v>0</v>
      </c>
      <c r="CH85" s="11">
        <f>+COUNTIFS('muddati otgan'!C:C,A85,'muddati otgan'!J:J,"Bog'liq arizani kutish")</f>
        <v>0</v>
      </c>
      <c r="CI85" s="11">
        <f>+COUNTIFS('muddati otgan'!C:C,A85,'muddati otgan'!J:J,"To'lovga chiqarish")</f>
        <v>0</v>
      </c>
      <c r="CJ85" s="11">
        <f>+COUNTIFS('muddati otgan'!C:C,A85,'muddati otgan'!J:J,"Hisobga qo'yish")</f>
        <v>0</v>
      </c>
      <c r="CK85" s="6">
        <f>+COUNTIFS('muddati otgan'!C:C,A85,'muddati otgan'!J:J,"To'lov kutilmoqda")</f>
        <v>0</v>
      </c>
      <c r="CL85" s="11">
        <f t="shared" si="165"/>
        <v>0</v>
      </c>
      <c r="CM85" s="11">
        <f>+COUNTIFS('muddati otgan'!C:C,A85,'muddati otgan'!AA:AA,"Arizani qabul qilish2")</f>
        <v>0</v>
      </c>
      <c r="CN85" s="11">
        <f>+COUNTIFS('muddati otgan'!C:C,A85,'muddati otgan'!J:J,"Huquqlarni tekshirish")</f>
        <v>0</v>
      </c>
      <c r="CO85" s="11">
        <f>+COUNTIFS('muddati otgan'!C:C,A85,'muddati otgan'!J:J,"Ko'chmas mulkni ro'yhatdan o'tkazishga qabul qilish")</f>
        <v>0</v>
      </c>
      <c r="CP85" s="11">
        <f>+COUNTIFS('muddati otgan'!C:C,A85,'muddati otgan'!J:J,"Ro'yxatdan o'tkazish")</f>
        <v>0</v>
      </c>
      <c r="CQ85" s="11">
        <f>+COUNTIFS('muddati otgan'!C:C,A85,'muddati otgan'!J:J,"Kadastr pasporti va ko'chirmani yuborish")</f>
        <v>0</v>
      </c>
      <c r="CR85" s="11">
        <f>+COUNTIFS('muddati otgan'!C:C,A85,'muddati otgan'!AA:AA,"Rad qilish2")</f>
        <v>0</v>
      </c>
      <c r="CS85" s="11">
        <f>+COUNTIFS('muddati otgan'!C:C,A85,'muddati otgan'!J:J,"Ko'chirmani yuborish")</f>
        <v>0</v>
      </c>
      <c r="CT85" s="11">
        <f>+COUNTIFS('muddati otgan'!C:C,A85,'muddati otgan'!J:J,"Ma‘lumotlarni tekshirish")</f>
        <v>0</v>
      </c>
      <c r="CU85" s="11">
        <f t="shared" si="166"/>
        <v>0</v>
      </c>
      <c r="CV85" s="11">
        <f>+COUNTIFS('muddati otgan'!C:C,A85,'muddati otgan'!J:J,"Kadastr yig'majildini chop etish va arxiv ishiga tikish")</f>
        <v>0</v>
      </c>
      <c r="CW85" s="11">
        <f t="shared" si="167"/>
        <v>0</v>
      </c>
      <c r="CX85" s="11">
        <f>+COUNTIFS('muddati otgan'!C:C,A85,'muddati otgan'!J:J,"Kadastr yig‘majildini qabul qilish, arizani yakunlash")</f>
        <v>0</v>
      </c>
      <c r="CY85" s="11">
        <f>+COUNTIFS('muddati otgan'!C:C,A85,'muddati otgan'!J:J,"Next Cloudga yuklash")</f>
        <v>0</v>
      </c>
      <c r="CZ85" s="6">
        <f>+COUNTIFS('muddati otgan'!C:C,A85,'muddati otgan'!J:J,"Kelishish kutilmoqda")</f>
        <v>0</v>
      </c>
      <c r="DA85" s="6">
        <f>+COUNTIFS('muddati otgan'!C:C,A85,'muddati otgan'!J:J,"Yakunlandi")</f>
        <v>1</v>
      </c>
      <c r="DB85" s="10">
        <f>+COUNTIFS('muddati otgan'!C:C,A85,'muddati otgan'!J:J,"Rad etildi")</f>
        <v>0</v>
      </c>
      <c r="DC85" s="100">
        <f t="shared" si="168"/>
        <v>0</v>
      </c>
      <c r="DD85" s="44">
        <f>COUNTIFS('jami 1-20 kunlik arizalar'!C:C,A:A,'jami 1-20 kunlik arizalar'!S:S,"1")</f>
        <v>0</v>
      </c>
      <c r="DE85" s="11">
        <f>COUNTIFS('jami 1-20 kunlik arizalar'!C:C,A:A,'jami 1-20 kunlik arizalar'!S:S,"2")</f>
        <v>0</v>
      </c>
      <c r="DF85" s="11">
        <f>COUNTIFS('jami 1-20 kunlik arizalar'!C:C,A:A,'jami 1-20 kunlik arizalar'!S:S,"3")</f>
        <v>0</v>
      </c>
      <c r="DG85" s="11">
        <f>COUNTIFS('jami 1-20 kunlik arizalar'!C:C,A:A,'jami 1-20 kunlik arizalar'!S:S,"4")</f>
        <v>0</v>
      </c>
      <c r="DH85" s="11">
        <f>COUNTIFS('jami 1-20 kunlik arizalar'!C:C,A:A,'jami 1-20 kunlik arizalar'!S:S,"5")</f>
        <v>0</v>
      </c>
      <c r="DI85" s="11">
        <f>SUM(COUNTIFS('jami 1-20 kunlik arizalar'!C:C,A:A, 'jami 1-20 kunlik arizalar'!S:S, {6,7,8,9,10}))</f>
        <v>7</v>
      </c>
      <c r="DJ85" s="12">
        <f>SUM(COUNTIFS('jami 1-20 kunlik arizalar'!C:C,A:A, 'jami 1-20 kunlik arizalar'!S:S, "&gt;10"))</f>
        <v>14</v>
      </c>
    </row>
    <row r="86" spans="1:114" ht="51.95" hidden="1" customHeight="1" outlineLevel="1" thickBot="1" x14ac:dyDescent="0.3">
      <c r="A86" s="92" t="s">
        <v>438</v>
      </c>
      <c r="B86" s="106" t="s">
        <v>958</v>
      </c>
      <c r="C86" s="88" t="s">
        <v>425</v>
      </c>
      <c r="D86" s="82">
        <f>+COUNTIFS('muddati otgan'!C:C,A86,'muddati otgan'!C:C,A86)</f>
        <v>4</v>
      </c>
      <c r="E86" s="21">
        <f>SUMIFS('muddati otgan'!$V:V,'muddati otgan'!$C:C,$A:A)</f>
        <v>2</v>
      </c>
      <c r="F86" s="21">
        <f>SUMIFS('muddati otgan'!$W:W,'muddati otgan'!$C:C,$A:A)</f>
        <v>0</v>
      </c>
      <c r="G86" s="25">
        <f>SUMIFS('muddati otgan'!$U:U,'muddati otgan'!$C:C,$A:A)</f>
        <v>2</v>
      </c>
      <c r="H86" s="22">
        <f>SUMIFS('muddati otgan'!$G:G,'muddati otgan'!$C:C,$A:A)</f>
        <v>4</v>
      </c>
      <c r="I86" s="23">
        <f>SUMIFS('muddati otgan'!$H:H,'muddati otgan'!$C:C,$A:A)</f>
        <v>0</v>
      </c>
      <c r="J86" s="46">
        <f t="shared" si="152"/>
        <v>0</v>
      </c>
      <c r="K86" s="22">
        <f>+COUNTIFS('muddati otgan'!C:C,A86,'muddati otgan'!AA:AA,"Arizani qabul qilish")</f>
        <v>0</v>
      </c>
      <c r="L86" s="22">
        <f>+COUNTIFS('muddati otgan'!C:C,A86,'muddati otgan'!J:J,"Arizani rad etish")</f>
        <v>0</v>
      </c>
      <c r="M86" s="22">
        <f>+COUNTIFS('muddati otgan'!C:C,A86,'muddati otgan'!J:J,"Arizani tasdiqlash")</f>
        <v>0</v>
      </c>
      <c r="N86" s="22">
        <f>+COUNTIFS('muddati otgan'!C:C,A86,'muddati otgan'!J:J,"Arizani yo'naltirish")</f>
        <v>0</v>
      </c>
      <c r="O86" s="22">
        <f>+COUNTIFS('muddati otgan'!C:C,A86,'muddati otgan'!J:J,"Rad qilish sababini o'rganish")</f>
        <v>0</v>
      </c>
      <c r="P86" s="22">
        <f>+COUNTIFS('muddati otgan'!C:C,A86,'muddati otgan'!J:J,"Ko'chmas mulkni UZKAD ga migratsiya qilish")</f>
        <v>0</v>
      </c>
      <c r="Q86" s="22">
        <f>+COUNTIFS('muddati otgan'!C:C,A86,'muddati otgan'!J:J,"Migratisya qilingan obyekt holatini tekshirish")</f>
        <v>0</v>
      </c>
      <c r="R86" s="22">
        <f>+COUNTIFS('muddati otgan'!C:C,A86,'muddati otgan'!J:J,"Ko‘chmas mulkni tanlash")</f>
        <v>0</v>
      </c>
      <c r="S86" s="22">
        <f>+COUNTIFS('muddati otgan'!C:C,A86,'muddati otgan'!J:J,"Arizani ko'rib chiqish")</f>
        <v>0</v>
      </c>
      <c r="T86" s="22">
        <f>+COUNTIFS('muddati otgan'!C:C,A86,'muddati otgan'!J:J,"Kadastr muhandisini tanlash")</f>
        <v>0</v>
      </c>
      <c r="U86" s="22">
        <f>+COUNTIFS('muddati otgan'!C:C,A86,'muddati otgan'!J:J,"Ko'chmas mulk turini tanlahsh")</f>
        <v>0</v>
      </c>
      <c r="V86" s="22">
        <f>+COUNTIFS('muddati otgan'!C:C,A86,'muddati otgan'!AA:AA,"Rad qilish")</f>
        <v>0</v>
      </c>
      <c r="W86" s="22">
        <f>+COUNTIFS('muddati otgan'!C:C,A86,'muddati otgan'!J:J,"ijrochi tanlash")</f>
        <v>0</v>
      </c>
      <c r="X86" s="22">
        <f>+COUNTIFS('muddati otgan'!C:C,A86,'muddati otgan'!J:J,"Ko'chmas mulk turini tanlash")</f>
        <v>0</v>
      </c>
      <c r="Y86" s="22">
        <f t="shared" si="153"/>
        <v>0</v>
      </c>
      <c r="Z86" s="22">
        <f>+COUNTIFS('muddati otgan'!C:C,A86,'muddati otgan'!J:J,"Ijroga qabul qilish")</f>
        <v>0</v>
      </c>
      <c r="AA86" s="22">
        <f>+COUNTIFS('muddati otgan'!C:C,A86,'muddati otgan'!J:J,"Joyida o'rganish va ma'lumotlarni kiritish")</f>
        <v>0</v>
      </c>
      <c r="AB86" s="22">
        <f>+COUNTIFS('muddati otgan'!C:C,A86,'muddati otgan'!J:J,"Asosiy qismdan ajratish jarayonida")</f>
        <v>0</v>
      </c>
      <c r="AC86" s="22">
        <f>+COUNTIFS('muddati otgan'!C:C,A86,'muddati otgan'!J:J,"Umumiy foydalanishdagi obyekt yaratilish")</f>
        <v>0</v>
      </c>
      <c r="AD86" s="22">
        <f>+COUNTIFS('muddati otgan'!C:C,A86,'muddati otgan'!J:J,"Migratsiya qilinadigan kadastr raqamini kiritish")</f>
        <v>0</v>
      </c>
      <c r="AE86" s="22">
        <f>+COUNTIFS('muddati otgan'!C:C,A86,'muddati otgan'!J:J,"O'zida qolgan obyektni yaratish")</f>
        <v>0</v>
      </c>
      <c r="AF86" s="22">
        <f>+COUNTIFS('muddati otgan'!C:C,A86,'muddati otgan'!J:J,"O'lchov natijalarini kiritish")</f>
        <v>0</v>
      </c>
      <c r="AG86" s="22">
        <f>+COUNTIFS('muddati otgan'!C:C,A86,'muddati otgan'!J:J,"Topoxaritani tayyorlash (dwg, pdf)")</f>
        <v>0</v>
      </c>
      <c r="AH86" s="22">
        <f t="shared" si="154"/>
        <v>0</v>
      </c>
      <c r="AI86" s="22">
        <f>+COUNTIFS('muddati otgan'!C:C,A86,'muddati otgan'!J:J,"Yer uchastkasini yaratish")</f>
        <v>0</v>
      </c>
      <c r="AJ86" s="22">
        <f t="shared" si="155"/>
        <v>0</v>
      </c>
      <c r="AK86" s="22">
        <f>+COUNTIFS('muddati otgan'!C:C,A86,'muddati otgan'!J:J,"Kelishish (Boshqarma)")</f>
        <v>0</v>
      </c>
      <c r="AL86" s="22">
        <f t="shared" si="156"/>
        <v>0</v>
      </c>
      <c r="AM86" s="22">
        <f>+COUNTIFS('muddati otgan'!C:C,A86,'muddati otgan'!J:J,"Kelishish (DKP)")</f>
        <v>0</v>
      </c>
      <c r="AN86" s="22">
        <f>+COUNTIFS('muddati otgan'!C:C,A86,'muddati otgan'!J:J,"Kelishish")</f>
        <v>0</v>
      </c>
      <c r="AO86" s="22">
        <f>+COUNTIFS('muddati otgan'!C:C,A86,'muddati otgan'!J:J,"Kelishish (Registratsiya DKP)")</f>
        <v>0</v>
      </c>
      <c r="AP86" s="22">
        <f t="shared" si="157"/>
        <v>0</v>
      </c>
      <c r="AQ86" s="22">
        <f>+COUNTIFS('muddati otgan'!C:C,A86,'muddati otgan'!J:J,"Manzil biriktirish")</f>
        <v>0</v>
      </c>
      <c r="AR86" s="22">
        <f>+COUNTIFS('muddati otgan'!C:C,A86,'muddati otgan'!J:J,"Bino va inshootlarni yaratish")</f>
        <v>0</v>
      </c>
      <c r="AS86" s="22">
        <f>+COUNTIFS('muddati otgan'!C:C,A86,'muddati otgan'!J:J,"Dov daraxtlarni yaratish")</f>
        <v>0</v>
      </c>
      <c r="AT86" s="22">
        <f>+COUNTIFS('muddati otgan'!C:C,A86,'muddati otgan'!J:J,"Yer uchastkasini tahrirlash")</f>
        <v>0</v>
      </c>
      <c r="AU86" s="22">
        <f t="shared" si="158"/>
        <v>0</v>
      </c>
      <c r="AV86" s="22">
        <f>+COUNTIFS('muddati otgan'!C:C,A86,'muddati otgan'!J:J,"Yer toifasi va maqsadini kiritish")</f>
        <v>0</v>
      </c>
      <c r="AW86" s="22">
        <f>+COUNTIFS('muddati otgan'!C:C,A86,'muddati otgan'!J:J,"Auksion yer tekshirish")</f>
        <v>0</v>
      </c>
      <c r="AX86" s="22">
        <f>+COUNTIFS('muddati otgan'!C:C,A86,'muddati otgan'!J:J,"Yer turlarini kiritish")</f>
        <v>0</v>
      </c>
      <c r="AY86" s="22">
        <f>+COUNTIFS('muddati otgan'!C:C,A86,'muddati otgan'!J:J,"Ma'lumotlarni kiritish")</f>
        <v>0</v>
      </c>
      <c r="AZ86" s="22">
        <f>+COUNTIFS('muddati otgan'!C:C,A86,'muddati otgan'!J:J,"Yer tekshirish")</f>
        <v>0</v>
      </c>
      <c r="BA86" s="22">
        <f t="shared" si="159"/>
        <v>0</v>
      </c>
      <c r="BB86" s="22">
        <f>+COUNTIFS('muddati otgan'!C:C,A86,'muddati otgan'!J:J,"Bino va inshoot ma'lumotlarini to‘ldirish")</f>
        <v>0</v>
      </c>
      <c r="BC86" s="22">
        <f>+COUNTIFS('muddati otgan'!C:C,A86,'muddati otgan'!J:J,"Inventarizatsiya ma'lumotlarini to‘ldirish")</f>
        <v>0</v>
      </c>
      <c r="BD86" s="22">
        <f>+COUNTIFS('muddati otgan'!C:C,A86,'muddati otgan'!J:J,"Yer uchastkasiga huquqiy hujjatlarni kiritsh")</f>
        <v>0</v>
      </c>
      <c r="BE86" s="22">
        <f>+COUNTIFS('muddati otgan'!C:C,A86,'muddati otgan'!J:J,"Bino-inshootlarga huquqiy hujjatlarni kiritsh")</f>
        <v>0</v>
      </c>
      <c r="BF86" s="22">
        <f>+COUNTIFS('muddati otgan'!C:C,A86,'muddati otgan'!J:J,"Kadastr qiymatini hisoblash va kiritish")</f>
        <v>0</v>
      </c>
      <c r="BG86" s="22">
        <f>+COUNTIFS('muddati otgan'!C:C,A86,'muddati otgan'!J:J,"Kadastr raqam biriktirish")</f>
        <v>0</v>
      </c>
      <c r="BH86" s="22">
        <f>+COUNTIFS('muddati otgan'!C:C,A86,'muddati otgan'!J:J,"Kadastr yig'ma jildni tayyorlash")</f>
        <v>0</v>
      </c>
      <c r="BI86" s="22">
        <f>+COUNTIFS('muddati otgan'!C:C,A86,'muddati otgan'!J:J,"Huquqni yaratish")</f>
        <v>0</v>
      </c>
      <c r="BJ86" s="22">
        <f>+COUNTIFS('muddati otgan'!C:C,A86,'muddati otgan'!J:J,"Hujjatlarni o'rganish")</f>
        <v>0</v>
      </c>
      <c r="BK86" s="22">
        <f>+COUNTIFS('muddati otgan'!C:C,A86,'muddati otgan'!J:J,"Ma'lumotlarni tekshirish")</f>
        <v>0</v>
      </c>
      <c r="BL86" s="22">
        <f t="shared" si="160"/>
        <v>0</v>
      </c>
      <c r="BM86" s="22">
        <f>+COUNTIFS('muddati otgan'!C:C,A86,'muddati otgan'!J:J,"Tekshirish")</f>
        <v>0</v>
      </c>
      <c r="BN86" s="22">
        <f>+COUNTIFS('muddati otgan'!C:C,A86,'muddati otgan'!J:J,"Hujjatlarni tekshirish")</f>
        <v>0</v>
      </c>
      <c r="BO86" s="22">
        <f>+COUNTIFS('muddati otgan'!C:C,A86,'muddati otgan'!J:J,"Tasdiqlash")</f>
        <v>0</v>
      </c>
      <c r="BP86" s="22">
        <f>+COUNTIFS('muddati otgan'!C:C,A86,'muddati otgan'!J:J,"tekshirish/tasdiqlash")</f>
        <v>0</v>
      </c>
      <c r="BQ86" s="22">
        <f>+COUNTIFS('muddati otgan'!C:C,A86,'muddati otgan'!J:J,"Ma'lumotlarni tasdiqlash")</f>
        <v>0</v>
      </c>
      <c r="BR86" s="22">
        <f t="shared" si="161"/>
        <v>2</v>
      </c>
      <c r="BS86" s="22">
        <f>+COUNTIFS('muddati otgan'!C:C,A86,'muddati otgan'!J:J,"Ro'yxatdan o'tkazish ma'lumotlarini tekshirish")</f>
        <v>2</v>
      </c>
      <c r="BT86" s="22">
        <f>+COUNTIFS('muddati otgan'!C:C,A86,'muddati otgan'!J:J,"Kamchiliklar bo'yicha habarnoma yuborish va 3 kunga to'xtatish")</f>
        <v>0</v>
      </c>
      <c r="BU86" s="22">
        <f>+COUNTIFS('muddati otgan'!C:C,A86,'muddati otgan'!J:J,"Hisobga olish")</f>
        <v>0</v>
      </c>
      <c r="BV86" s="22">
        <f>+COUNTIFS('muddati otgan'!C:C,A86,'muddati otgan'!J:J,"Yer uchastkasiga huquq yaratish")</f>
        <v>0</v>
      </c>
      <c r="BW86" s="22">
        <f>+COUNTIFS('muddati otgan'!C:C,A86,'muddati otgan'!J:J,"Bino-inshootga huquq yaratish")</f>
        <v>0</v>
      </c>
      <c r="BX86" s="22">
        <f>+COUNTIFS('muddati otgan'!C:C,A86,'muddati otgan'!J:J,"Cheklov yaratish")</f>
        <v>0</v>
      </c>
      <c r="BY86" s="22">
        <f>+COUNTIFS('muddati otgan'!C:C,A86,'muddati otgan'!J:J,"Taqiq yaratish")</f>
        <v>0</v>
      </c>
      <c r="BZ86" s="22">
        <f t="shared" si="162"/>
        <v>0</v>
      </c>
      <c r="CA86" s="22">
        <f>+COUNTIFS('muddati otgan'!C:C,A86,'muddati otgan'!J:J,"Soliq maydonini tekshirish")</f>
        <v>0</v>
      </c>
      <c r="CB86" s="22">
        <f t="shared" si="163"/>
        <v>0</v>
      </c>
      <c r="CC86" s="22">
        <f>+COUNTIFS('muddati otgan'!C:C,A86,'muddati otgan'!J:J,"Kadastr yig'majildini shakllantirish")</f>
        <v>0</v>
      </c>
      <c r="CD86" s="22">
        <f t="shared" si="164"/>
        <v>0</v>
      </c>
      <c r="CE86" s="22">
        <f>+COUNTIFS('muddati otgan'!C:C,A86,'muddati otgan'!J:J,"Kadastr passportini shakllantirish")</f>
        <v>0</v>
      </c>
      <c r="CF86" s="22">
        <f>+COUNTIFS('muddati otgan'!C:C,A86,'muddati otgan'!J:J,"Yig'ma jildni tasdiqlash")</f>
        <v>0</v>
      </c>
      <c r="CG86" s="22">
        <f>+COUNTIFS('muddati otgan'!C:C,A86,'muddati otgan'!J:J,"To'lov yoki bepul tasdiqlash")</f>
        <v>0</v>
      </c>
      <c r="CH86" s="22">
        <f>+COUNTIFS('muddati otgan'!C:C,A86,'muddati otgan'!J:J,"Bog'liq arizani kutish")</f>
        <v>0</v>
      </c>
      <c r="CI86" s="22">
        <f>+COUNTIFS('muddati otgan'!C:C,A86,'muddati otgan'!J:J,"To'lovga chiqarish")</f>
        <v>0</v>
      </c>
      <c r="CJ86" s="22">
        <f>+COUNTIFS('muddati otgan'!C:C,A86,'muddati otgan'!J:J,"Hisobga qo'yish")</f>
        <v>0</v>
      </c>
      <c r="CK86" s="8">
        <f>+COUNTIFS('muddati otgan'!C:C,A86,'muddati otgan'!J:J,"To'lov kutilmoqda")</f>
        <v>0</v>
      </c>
      <c r="CL86" s="22">
        <f t="shared" si="165"/>
        <v>0</v>
      </c>
      <c r="CM86" s="22">
        <f>+COUNTIFS('muddati otgan'!C:C,A86,'muddati otgan'!AA:AA,"Arizani qabul qilish2")</f>
        <v>0</v>
      </c>
      <c r="CN86" s="22">
        <f>+COUNTIFS('muddati otgan'!C:C,A86,'muddati otgan'!J:J,"Huquqlarni tekshirish")</f>
        <v>0</v>
      </c>
      <c r="CO86" s="22">
        <f>+COUNTIFS('muddati otgan'!C:C,A86,'muddati otgan'!J:J,"Ko'chmas mulkni ro'yhatdan o'tkazishga qabul qilish")</f>
        <v>0</v>
      </c>
      <c r="CP86" s="22">
        <f>+COUNTIFS('muddati otgan'!C:C,A86,'muddati otgan'!J:J,"Ro'yxatdan o'tkazish")</f>
        <v>0</v>
      </c>
      <c r="CQ86" s="22">
        <f>+COUNTIFS('muddati otgan'!C:C,A86,'muddati otgan'!J:J,"Kadastr pasporti va ko'chirmani yuborish")</f>
        <v>0</v>
      </c>
      <c r="CR86" s="22">
        <f>+COUNTIFS('muddati otgan'!C:C,A86,'muddati otgan'!AA:AA,"Rad qilish2")</f>
        <v>0</v>
      </c>
      <c r="CS86" s="22">
        <f>+COUNTIFS('muddati otgan'!C:C,A86,'muddati otgan'!J:J,"Ko'chirmani yuborish")</f>
        <v>0</v>
      </c>
      <c r="CT86" s="22">
        <f>+COUNTIFS('muddati otgan'!C:C,A86,'muddati otgan'!J:J,"Ma‘lumotlarni tekshirish")</f>
        <v>0</v>
      </c>
      <c r="CU86" s="22">
        <f t="shared" si="166"/>
        <v>0</v>
      </c>
      <c r="CV86" s="22">
        <f>+COUNTIFS('muddati otgan'!C:C,A86,'muddati otgan'!J:J,"Kadastr yig'majildini chop etish va arxiv ishiga tikish")</f>
        <v>0</v>
      </c>
      <c r="CW86" s="22">
        <f t="shared" si="167"/>
        <v>0</v>
      </c>
      <c r="CX86" s="22">
        <f>+COUNTIFS('muddati otgan'!C:C,A86,'muddati otgan'!J:J,"Kadastr yig‘majildini qabul qilish, arizani yakunlash")</f>
        <v>0</v>
      </c>
      <c r="CY86" s="22">
        <f>+COUNTIFS('muddati otgan'!C:C,A86,'muddati otgan'!J:J,"Next Cloudga yuklash")</f>
        <v>0</v>
      </c>
      <c r="CZ86" s="8">
        <f>+COUNTIFS('muddati otgan'!C:C,A86,'muddati otgan'!J:J,"Kelishish kutilmoqda")</f>
        <v>0</v>
      </c>
      <c r="DA86" s="8">
        <f>+COUNTIFS('muddati otgan'!C:C,A86,'muddati otgan'!J:J,"Yakunlandi")</f>
        <v>2</v>
      </c>
      <c r="DB86" s="21">
        <f>+COUNTIFS('muddati otgan'!C:C,A86,'muddati otgan'!J:J,"Rad etildi")</f>
        <v>0</v>
      </c>
      <c r="DC86" s="101">
        <f t="shared" si="168"/>
        <v>-2</v>
      </c>
      <c r="DD86" s="46">
        <f>COUNTIFS('jami 1-20 kunlik arizalar'!C:C,A:A,'jami 1-20 kunlik arizalar'!S:S,"1")</f>
        <v>0</v>
      </c>
      <c r="DE86" s="22">
        <f>COUNTIFS('jami 1-20 kunlik arizalar'!C:C,A:A,'jami 1-20 kunlik arizalar'!S:S,"2")</f>
        <v>0</v>
      </c>
      <c r="DF86" s="22">
        <f>COUNTIFS('jami 1-20 kunlik arizalar'!C:C,A:A,'jami 1-20 kunlik arizalar'!S:S,"3")</f>
        <v>2</v>
      </c>
      <c r="DG86" s="22">
        <f>COUNTIFS('jami 1-20 kunlik arizalar'!C:C,A:A,'jami 1-20 kunlik arizalar'!S:S,"4")</f>
        <v>3</v>
      </c>
      <c r="DH86" s="22">
        <f>COUNTIFS('jami 1-20 kunlik arizalar'!C:C,A:A,'jami 1-20 kunlik arizalar'!S:S,"5")</f>
        <v>5</v>
      </c>
      <c r="DI86" s="22">
        <f>SUM(COUNTIFS('jami 1-20 kunlik arizalar'!C:C,A:A, 'jami 1-20 kunlik arizalar'!S:S, {6,7,8,9,10}))</f>
        <v>13</v>
      </c>
      <c r="DJ86" s="23">
        <f>SUM(COUNTIFS('jami 1-20 kunlik arizalar'!C:C,A:A, 'jami 1-20 kunlik arizalar'!S:S, "&gt;10"))</f>
        <v>8</v>
      </c>
    </row>
    <row r="87" spans="1:114" ht="51.95" hidden="1" customHeight="1" outlineLevel="1" x14ac:dyDescent="0.25">
      <c r="A87" s="92" t="s">
        <v>454</v>
      </c>
      <c r="B87" s="107" t="s">
        <v>957</v>
      </c>
      <c r="C87" s="85" t="s">
        <v>797</v>
      </c>
      <c r="D87" s="80">
        <f>+COUNTIFS('muddati otgan'!C:C,A87,'muddati otgan'!C:C,A87)</f>
        <v>0</v>
      </c>
      <c r="E87" s="10">
        <f>SUMIFS('muddati otgan'!$V:V,'muddati otgan'!$C:C,$A:A)</f>
        <v>0</v>
      </c>
      <c r="F87" s="10">
        <f>SUMIFS('muddati otgan'!$W:W,'muddati otgan'!$C:C,$A:A)</f>
        <v>0</v>
      </c>
      <c r="G87" s="24">
        <f>SUMIFS('muddati otgan'!$U:U,'muddati otgan'!$C:C,$A:A)</f>
        <v>0</v>
      </c>
      <c r="H87" s="11">
        <f>SUMIFS('muddati otgan'!$G:G,'muddati otgan'!$C:C,$A:A)</f>
        <v>0</v>
      </c>
      <c r="I87" s="12">
        <f>SUMIFS('muddati otgan'!$H:H,'muddati otgan'!$C:C,$A:A)</f>
        <v>0</v>
      </c>
      <c r="J87" s="44">
        <f t="shared" ref="J87:J98" si="169">K87+P87+Q87+R87+S87+T87+U87+V87+W87+L87+O87+M87+N87+X87</f>
        <v>0</v>
      </c>
      <c r="K87" s="11">
        <f>+COUNTIFS('muddati otgan'!C:C,A87,'muddati otgan'!AA:AA,"Arizani qabul qilish")</f>
        <v>0</v>
      </c>
      <c r="L87" s="11">
        <f>+COUNTIFS('muddati otgan'!C:C,A87,'muddati otgan'!J:J,"Arizani rad etish")</f>
        <v>0</v>
      </c>
      <c r="M87" s="11">
        <f>+COUNTIFS('muddati otgan'!C:C,A87,'muddati otgan'!J:J,"Arizani tasdiqlash")</f>
        <v>0</v>
      </c>
      <c r="N87" s="11">
        <f>+COUNTIFS('muddati otgan'!C:C,A87,'muddati otgan'!J:J,"Arizani yo'naltirish")</f>
        <v>0</v>
      </c>
      <c r="O87" s="11">
        <f>+COUNTIFS('muddati otgan'!C:C,A87,'muddati otgan'!J:J,"Rad qilish sababini o'rganish")</f>
        <v>0</v>
      </c>
      <c r="P87" s="11">
        <f>+COUNTIFS('muddati otgan'!C:C,A87,'muddati otgan'!J:J,"Ko'chmas mulkni UZKAD ga migratsiya qilish")</f>
        <v>0</v>
      </c>
      <c r="Q87" s="11">
        <f>+COUNTIFS('muddati otgan'!C:C,A87,'muddati otgan'!J:J,"Migratisya qilingan obyekt holatini tekshirish")</f>
        <v>0</v>
      </c>
      <c r="R87" s="11">
        <f>+COUNTIFS('muddati otgan'!C:C,A87,'muddati otgan'!J:J,"Ko‘chmas mulkni tanlash")</f>
        <v>0</v>
      </c>
      <c r="S87" s="11">
        <f>+COUNTIFS('muddati otgan'!C:C,A87,'muddati otgan'!J:J,"Arizani ko'rib chiqish")</f>
        <v>0</v>
      </c>
      <c r="T87" s="11">
        <f>+COUNTIFS('muddati otgan'!C:C,A87,'muddati otgan'!J:J,"Kadastr muhandisini tanlash")</f>
        <v>0</v>
      </c>
      <c r="U87" s="11">
        <f>+COUNTIFS('muddati otgan'!C:C,A87,'muddati otgan'!J:J,"Ko'chmas mulk turini tanlahsh")</f>
        <v>0</v>
      </c>
      <c r="V87" s="11">
        <f>+COUNTIFS('muddati otgan'!C:C,A87,'muddati otgan'!AA:AA,"Rad qilish")</f>
        <v>0</v>
      </c>
      <c r="W87" s="11">
        <f>+COUNTIFS('muddati otgan'!C:C,A87,'muddati otgan'!J:J,"ijrochi tanlash")</f>
        <v>0</v>
      </c>
      <c r="X87" s="11">
        <f>+COUNTIFS('muddati otgan'!C:C,A87,'muddati otgan'!J:J,"Ko'chmas mulk turini tanlash")</f>
        <v>0</v>
      </c>
      <c r="Y87" s="11">
        <f t="shared" ref="Y87:Y98" si="170">Z87+AD87+AF87+AE87+AC87+AB87+AA87</f>
        <v>0</v>
      </c>
      <c r="Z87" s="11">
        <f>+COUNTIFS('muddati otgan'!C:C,A87,'muddati otgan'!J:J,"Ijroga qabul qilish")</f>
        <v>0</v>
      </c>
      <c r="AA87" s="11">
        <f>+COUNTIFS('muddati otgan'!C:C,A87,'muddati otgan'!J:J,"Joyida o'rganish va ma'lumotlarni kiritish")</f>
        <v>0</v>
      </c>
      <c r="AB87" s="11">
        <f>+COUNTIFS('muddati otgan'!C:C,A87,'muddati otgan'!J:J,"Asosiy qismdan ajratish jarayonida")</f>
        <v>0</v>
      </c>
      <c r="AC87" s="11">
        <f>+COUNTIFS('muddati otgan'!C:C,A87,'muddati otgan'!J:J,"Umumiy foydalanishdagi obyekt yaratilish")</f>
        <v>0</v>
      </c>
      <c r="AD87" s="11">
        <f>+COUNTIFS('muddati otgan'!C:C,A87,'muddati otgan'!J:J,"Migratsiya qilinadigan kadastr raqamini kiritish")</f>
        <v>0</v>
      </c>
      <c r="AE87" s="11">
        <f>+COUNTIFS('muddati otgan'!C:C,A87,'muddati otgan'!J:J,"O'zida qolgan obyektni yaratish")</f>
        <v>0</v>
      </c>
      <c r="AF87" s="11">
        <f>+COUNTIFS('muddati otgan'!C:C,A87,'muddati otgan'!J:J,"O'lchov natijalarini kiritish")</f>
        <v>0</v>
      </c>
      <c r="AG87" s="11">
        <f>+COUNTIFS('muddati otgan'!C:C,A87,'muddati otgan'!J:J,"Topoxaritani tayyorlash (dwg, pdf)")</f>
        <v>0</v>
      </c>
      <c r="AH87" s="11">
        <f t="shared" ref="AH87:AH98" si="171">AI87</f>
        <v>0</v>
      </c>
      <c r="AI87" s="11">
        <f>+COUNTIFS('muddati otgan'!C:C,A87,'muddati otgan'!J:J,"Yer uchastkasini yaratish")</f>
        <v>0</v>
      </c>
      <c r="AJ87" s="11">
        <f t="shared" ref="AJ87:AJ98" si="172">AK87</f>
        <v>0</v>
      </c>
      <c r="AK87" s="11">
        <f>+COUNTIFS('muddati otgan'!C:C,A87,'muddati otgan'!J:J,"Kelishish (Boshqarma)")</f>
        <v>0</v>
      </c>
      <c r="AL87" s="11">
        <f t="shared" ref="AL87:AL98" si="173">AM87+AN87+AO87</f>
        <v>0</v>
      </c>
      <c r="AM87" s="11">
        <f>+COUNTIFS('muddati otgan'!C:C,A87,'muddati otgan'!J:J,"Kelishish (DKP)")</f>
        <v>0</v>
      </c>
      <c r="AN87" s="11">
        <f>+COUNTIFS('muddati otgan'!C:C,A87,'muddati otgan'!J:J,"Kelishish")</f>
        <v>0</v>
      </c>
      <c r="AO87" s="11">
        <f>+COUNTIFS('muddati otgan'!C:C,A87,'muddati otgan'!J:J,"Kelishish (Registratsiya DKP)")</f>
        <v>0</v>
      </c>
      <c r="AP87" s="11">
        <f t="shared" ref="AP87:AP98" si="174">AQ87+AR87+AS87+AT87</f>
        <v>0</v>
      </c>
      <c r="AQ87" s="11">
        <f>+COUNTIFS('muddati otgan'!C:C,A87,'muddati otgan'!J:J,"Manzil biriktirish")</f>
        <v>0</v>
      </c>
      <c r="AR87" s="11">
        <f>+COUNTIFS('muddati otgan'!C:C,A87,'muddati otgan'!J:J,"Bino va inshootlarni yaratish")</f>
        <v>0</v>
      </c>
      <c r="AS87" s="11">
        <f>+COUNTIFS('muddati otgan'!C:C,A87,'muddati otgan'!J:J,"Dov daraxtlarni yaratish")</f>
        <v>0</v>
      </c>
      <c r="AT87" s="11">
        <f>+COUNTIFS('muddati otgan'!C:C,A87,'muddati otgan'!J:J,"Yer uchastkasini tahrirlash")</f>
        <v>0</v>
      </c>
      <c r="AU87" s="11">
        <f t="shared" ref="AU87:AU98" si="175">AV87+AW87+AX87+AY87+AZ87</f>
        <v>0</v>
      </c>
      <c r="AV87" s="11">
        <f>+COUNTIFS('muddati otgan'!C:C,A87,'muddati otgan'!J:J,"Yer toifasi va maqsadini kiritish")</f>
        <v>0</v>
      </c>
      <c r="AW87" s="11">
        <f>+COUNTIFS('muddati otgan'!C:C,A87,'muddati otgan'!J:J,"Auksion yer tekshirish")</f>
        <v>0</v>
      </c>
      <c r="AX87" s="11">
        <f>+COUNTIFS('muddati otgan'!C:C,A87,'muddati otgan'!J:J,"Yer turlarini kiritish")</f>
        <v>0</v>
      </c>
      <c r="AY87" s="11">
        <f>+COUNTIFS('muddati otgan'!C:C,A87,'muddati otgan'!J:J,"Ma'lumotlarni kiritish")</f>
        <v>0</v>
      </c>
      <c r="AZ87" s="11">
        <f>+COUNTIFS('muddati otgan'!C:C,A87,'muddati otgan'!J:J,"Yer tekshirish")</f>
        <v>0</v>
      </c>
      <c r="BA87" s="11">
        <f t="shared" ref="BA87:BA98" si="176">BB87+BC87+BD87+BE87+BF87+BG87+BH87+BI87+BJ87+BK87</f>
        <v>0</v>
      </c>
      <c r="BB87" s="11">
        <f>+COUNTIFS('muddati otgan'!C:C,A87,'muddati otgan'!J:J,"Bino va inshoot ma'lumotlarini to‘ldirish")</f>
        <v>0</v>
      </c>
      <c r="BC87" s="11">
        <f>+COUNTIFS('muddati otgan'!C:C,A87,'muddati otgan'!J:J,"Inventarizatsiya ma'lumotlarini to‘ldirish")</f>
        <v>0</v>
      </c>
      <c r="BD87" s="11">
        <f>+COUNTIFS('muddati otgan'!C:C,A87,'muddati otgan'!J:J,"Yer uchastkasiga huquqiy hujjatlarni kiritsh")</f>
        <v>0</v>
      </c>
      <c r="BE87" s="11">
        <f>+COUNTIFS('muddati otgan'!C:C,A87,'muddati otgan'!J:J,"Bino-inshootlarga huquqiy hujjatlarni kiritsh")</f>
        <v>0</v>
      </c>
      <c r="BF87" s="11">
        <f>+COUNTIFS('muddati otgan'!C:C,A87,'muddati otgan'!J:J,"Kadastr qiymatini hisoblash va kiritish")</f>
        <v>0</v>
      </c>
      <c r="BG87" s="11">
        <f>+COUNTIFS('muddati otgan'!C:C,A87,'muddati otgan'!J:J,"Kadastr raqam biriktirish")</f>
        <v>0</v>
      </c>
      <c r="BH87" s="11">
        <f>+COUNTIFS('muddati otgan'!C:C,A87,'muddati otgan'!J:J,"Kadastr yig'ma jildni tayyorlash")</f>
        <v>0</v>
      </c>
      <c r="BI87" s="11">
        <f>+COUNTIFS('muddati otgan'!C:C,A87,'muddati otgan'!J:J,"Huquqni yaratish")</f>
        <v>0</v>
      </c>
      <c r="BJ87" s="11">
        <f>+COUNTIFS('muddati otgan'!C:C,A87,'muddati otgan'!J:J,"Hujjatlarni o'rganish")</f>
        <v>0</v>
      </c>
      <c r="BK87" s="11">
        <f>+COUNTIFS('muddati otgan'!C:C,A87,'muddati otgan'!J:J,"Ma'lumotlarni tekshirish")</f>
        <v>0</v>
      </c>
      <c r="BL87" s="11">
        <f t="shared" ref="BL87:BL98" si="177">BM87+BN87+BP87+BO87+BQ87</f>
        <v>0</v>
      </c>
      <c r="BM87" s="11">
        <f>+COUNTIFS('muddati otgan'!C:C,A87,'muddati otgan'!J:J,"Tekshirish")</f>
        <v>0</v>
      </c>
      <c r="BN87" s="11">
        <f>+COUNTIFS('muddati otgan'!C:C,A87,'muddati otgan'!J:J,"Hujjatlarni tekshirish")</f>
        <v>0</v>
      </c>
      <c r="BO87" s="11">
        <f>+COUNTIFS('muddati otgan'!C:C,A87,'muddati otgan'!J:J,"Tasdiqlash")</f>
        <v>0</v>
      </c>
      <c r="BP87" s="11">
        <f>+COUNTIFS('muddati otgan'!C:C,A87,'muddati otgan'!J:J,"tekshirish/tasdiqlash")</f>
        <v>0</v>
      </c>
      <c r="BQ87" s="11">
        <f>+COUNTIFS('muddati otgan'!C:C,A87,'muddati otgan'!J:J,"Ma'lumotlarni tasdiqlash")</f>
        <v>0</v>
      </c>
      <c r="BR87" s="11">
        <f t="shared" ref="BR87:BR98" si="178">BS87+BU87+BV87+BW87+BX87+BY87-BT87</f>
        <v>0</v>
      </c>
      <c r="BS87" s="11">
        <f>+COUNTIFS('muddati otgan'!C:C,A87,'muddati otgan'!J:J,"Ro'yxatdan o'tkazish ma'lumotlarini tekshirish")</f>
        <v>0</v>
      </c>
      <c r="BT87" s="11">
        <f>+COUNTIFS('muddati otgan'!C:C,A87,'muddati otgan'!J:J,"Kamchiliklar bo'yicha habarnoma yuborish va 3 kunga to'xtatish")</f>
        <v>0</v>
      </c>
      <c r="BU87" s="11">
        <f>+COUNTIFS('muddati otgan'!C:C,A87,'muddati otgan'!J:J,"Hisobga olish")</f>
        <v>0</v>
      </c>
      <c r="BV87" s="11">
        <f>+COUNTIFS('muddati otgan'!C:C,A87,'muddati otgan'!J:J,"Yer uchastkasiga huquq yaratish")</f>
        <v>0</v>
      </c>
      <c r="BW87" s="11">
        <f>+COUNTIFS('muddati otgan'!C:C,A87,'muddati otgan'!J:J,"Bino-inshootga huquq yaratish")</f>
        <v>0</v>
      </c>
      <c r="BX87" s="11">
        <f>+COUNTIFS('muddati otgan'!C:C,A87,'muddati otgan'!J:J,"Cheklov yaratish")</f>
        <v>0</v>
      </c>
      <c r="BY87" s="11">
        <f>+COUNTIFS('muddati otgan'!C:C,A87,'muddati otgan'!J:J,"Taqiq yaratish")</f>
        <v>0</v>
      </c>
      <c r="BZ87" s="11">
        <f t="shared" ref="BZ87:BZ98" si="179">CA87</f>
        <v>0</v>
      </c>
      <c r="CA87" s="11">
        <f>+COUNTIFS('muddati otgan'!C:C,A87,'muddati otgan'!J:J,"Soliq maydonini tekshirish")</f>
        <v>0</v>
      </c>
      <c r="CB87" s="11">
        <f t="shared" ref="CB87:CB98" si="180">CC87</f>
        <v>0</v>
      </c>
      <c r="CC87" s="11">
        <f>+COUNTIFS('muddati otgan'!C:C,A87,'muddati otgan'!J:J,"Kadastr yig'majildini shakllantirish")</f>
        <v>0</v>
      </c>
      <c r="CD87" s="11">
        <f t="shared" ref="CD87:CD98" si="181">CE87+CF87+CG87+CI87+CJ87+CH87</f>
        <v>0</v>
      </c>
      <c r="CE87" s="11">
        <f>+COUNTIFS('muddati otgan'!C:C,A87,'muddati otgan'!J:J,"Kadastr passportini shakllantirish")</f>
        <v>0</v>
      </c>
      <c r="CF87" s="11">
        <f>+COUNTIFS('muddati otgan'!C:C,A87,'muddati otgan'!J:J,"Yig'ma jildni tasdiqlash")</f>
        <v>0</v>
      </c>
      <c r="CG87" s="11">
        <f>+COUNTIFS('muddati otgan'!C:C,A87,'muddati otgan'!J:J,"To'lov yoki bepul tasdiqlash")</f>
        <v>0</v>
      </c>
      <c r="CH87" s="11">
        <f>+COUNTIFS('muddati otgan'!C:C,A87,'muddati otgan'!J:J,"Bog'liq arizani kutish")</f>
        <v>0</v>
      </c>
      <c r="CI87" s="11">
        <f>+COUNTIFS('muddati otgan'!C:C,A87,'muddati otgan'!J:J,"To'lovga chiqarish")</f>
        <v>0</v>
      </c>
      <c r="CJ87" s="11">
        <f>+COUNTIFS('muddati otgan'!C:C,A87,'muddati otgan'!J:J,"Hisobga qo'yish")</f>
        <v>0</v>
      </c>
      <c r="CK87" s="6">
        <f>+COUNTIFS('muddati otgan'!C:C,A87,'muddati otgan'!J:J,"To'lov kutilmoqda")</f>
        <v>0</v>
      </c>
      <c r="CL87" s="11">
        <f t="shared" ref="CL87:CL98" si="182">CM87+CN87+CO87+CP87+CQ87+CR87+CS87+CT87</f>
        <v>0</v>
      </c>
      <c r="CM87" s="11">
        <f>+COUNTIFS('muddati otgan'!C:C,A87,'muddati otgan'!AA:AA,"Arizani qabul qilish2")</f>
        <v>0</v>
      </c>
      <c r="CN87" s="11">
        <f>+COUNTIFS('muddati otgan'!C:C,A87,'muddati otgan'!J:J,"Huquqlarni tekshirish")</f>
        <v>0</v>
      </c>
      <c r="CO87" s="11">
        <f>+COUNTIFS('muddati otgan'!C:C,A87,'muddati otgan'!J:J,"Ko'chmas mulkni ro'yhatdan o'tkazishga qabul qilish")</f>
        <v>0</v>
      </c>
      <c r="CP87" s="11">
        <f>+COUNTIFS('muddati otgan'!C:C,A87,'muddati otgan'!J:J,"Ro'yxatdan o'tkazish")</f>
        <v>0</v>
      </c>
      <c r="CQ87" s="11">
        <f>+COUNTIFS('muddati otgan'!C:C,A87,'muddati otgan'!J:J,"Kadastr pasporti va ko'chirmani yuborish")</f>
        <v>0</v>
      </c>
      <c r="CR87" s="11">
        <f>+COUNTIFS('muddati otgan'!C:C,A87,'muddati otgan'!AA:AA,"Rad qilish2")</f>
        <v>0</v>
      </c>
      <c r="CS87" s="11">
        <f>+COUNTIFS('muddati otgan'!C:C,A87,'muddati otgan'!J:J,"Ko'chirmani yuborish")</f>
        <v>0</v>
      </c>
      <c r="CT87" s="11">
        <f>+COUNTIFS('muddati otgan'!C:C,A87,'muddati otgan'!J:J,"Ma‘lumotlarni tekshirish")</f>
        <v>0</v>
      </c>
      <c r="CU87" s="11">
        <f t="shared" ref="CU87:CU98" si="183">CV87</f>
        <v>0</v>
      </c>
      <c r="CV87" s="11">
        <f>+COUNTIFS('muddati otgan'!C:C,A87,'muddati otgan'!J:J,"Kadastr yig'majildini chop etish va arxiv ishiga tikish")</f>
        <v>0</v>
      </c>
      <c r="CW87" s="11">
        <f t="shared" ref="CW87:CW98" si="184">CX87+CY87</f>
        <v>0</v>
      </c>
      <c r="CX87" s="11">
        <f>+COUNTIFS('muddati otgan'!C:C,A87,'muddati otgan'!J:J,"Kadastr yig‘majildini qabul qilish, arizani yakunlash")</f>
        <v>0</v>
      </c>
      <c r="CY87" s="11">
        <f>+COUNTIFS('muddati otgan'!C:C,A87,'muddati otgan'!J:J,"Next Cloudga yuklash")</f>
        <v>0</v>
      </c>
      <c r="CZ87" s="6">
        <f>+COUNTIFS('muddati otgan'!C:C,A87,'muddati otgan'!J:J,"Kelishish kutilmoqda")</f>
        <v>0</v>
      </c>
      <c r="DA87" s="6">
        <f>+COUNTIFS('muddati otgan'!C:C,A87,'muddati otgan'!J:J,"Yakunlandi")</f>
        <v>0</v>
      </c>
      <c r="DB87" s="10">
        <f>+COUNTIFS('muddati otgan'!C:C,A87,'muddati otgan'!J:J,"Rad etildi")</f>
        <v>0</v>
      </c>
      <c r="DC87" s="100">
        <f t="shared" ref="DC87:DC98" si="185">CK87+CZ87+DA87+DB87-D87</f>
        <v>0</v>
      </c>
      <c r="DD87" s="44">
        <f>COUNTIFS('jami 1-20 kunlik arizalar'!C:C,A:A,'jami 1-20 kunlik arizalar'!S:S,"1")</f>
        <v>0</v>
      </c>
      <c r="DE87" s="11">
        <f>COUNTIFS('jami 1-20 kunlik arizalar'!C:C,A:A,'jami 1-20 kunlik arizalar'!S:S,"2")</f>
        <v>0</v>
      </c>
      <c r="DF87" s="11">
        <f>COUNTIFS('jami 1-20 kunlik arizalar'!C:C,A:A,'jami 1-20 kunlik arizalar'!S:S,"3")</f>
        <v>0</v>
      </c>
      <c r="DG87" s="11">
        <f>COUNTIFS('jami 1-20 kunlik arizalar'!C:C,A:A,'jami 1-20 kunlik arizalar'!S:S,"4")</f>
        <v>0</v>
      </c>
      <c r="DH87" s="11">
        <f>COUNTIFS('jami 1-20 kunlik arizalar'!C:C,A:A,'jami 1-20 kunlik arizalar'!S:S,"5")</f>
        <v>0</v>
      </c>
      <c r="DI87" s="11">
        <f>SUM(COUNTIFS('jami 1-20 kunlik arizalar'!C:C,A:A, 'jami 1-20 kunlik arizalar'!S:S, {6,7,8,9,10}))</f>
        <v>0</v>
      </c>
      <c r="DJ87" s="12">
        <f>SUM(COUNTIFS('jami 1-20 kunlik arizalar'!C:C,A:A, 'jami 1-20 kunlik arizalar'!S:S, "&gt;10"))</f>
        <v>0</v>
      </c>
    </row>
    <row r="88" spans="1:114" ht="51.95" hidden="1" customHeight="1" outlineLevel="1" x14ac:dyDescent="0.25">
      <c r="A88" s="92" t="s">
        <v>489</v>
      </c>
      <c r="B88" s="107" t="s">
        <v>957</v>
      </c>
      <c r="C88" s="85" t="s">
        <v>798</v>
      </c>
      <c r="D88" s="80">
        <f>+COUNTIFS('muddati otgan'!C:C,A88,'muddati otgan'!C:C,A88)</f>
        <v>0</v>
      </c>
      <c r="E88" s="10">
        <f>SUMIFS('muddati otgan'!$V:V,'muddati otgan'!$C:C,$A:A)</f>
        <v>0</v>
      </c>
      <c r="F88" s="10">
        <f>SUMIFS('muddati otgan'!$W:W,'muddati otgan'!$C:C,$A:A)</f>
        <v>0</v>
      </c>
      <c r="G88" s="24">
        <f>SUMIFS('muddati otgan'!$U:U,'muddati otgan'!$C:C,$A:A)</f>
        <v>0</v>
      </c>
      <c r="H88" s="11">
        <f>SUMIFS('muddati otgan'!$G:G,'muddati otgan'!$C:C,$A:A)</f>
        <v>0</v>
      </c>
      <c r="I88" s="12">
        <f>SUMIFS('muddati otgan'!$H:H,'muddati otgan'!$C:C,$A:A)</f>
        <v>0</v>
      </c>
      <c r="J88" s="44">
        <f t="shared" si="169"/>
        <v>0</v>
      </c>
      <c r="K88" s="11">
        <f>+COUNTIFS('muddati otgan'!C:C,A88,'muddati otgan'!AA:AA,"Arizani qabul qilish")</f>
        <v>0</v>
      </c>
      <c r="L88" s="11">
        <f>+COUNTIFS('muddati otgan'!C:C,A88,'muddati otgan'!J:J,"Arizani rad etish")</f>
        <v>0</v>
      </c>
      <c r="M88" s="11">
        <f>+COUNTIFS('muddati otgan'!C:C,A88,'muddati otgan'!J:J,"Arizani tasdiqlash")</f>
        <v>0</v>
      </c>
      <c r="N88" s="11">
        <f>+COUNTIFS('muddati otgan'!C:C,A88,'muddati otgan'!J:J,"Arizani yo'naltirish")</f>
        <v>0</v>
      </c>
      <c r="O88" s="11">
        <f>+COUNTIFS('muddati otgan'!C:C,A88,'muddati otgan'!J:J,"Rad qilish sababini o'rganish")</f>
        <v>0</v>
      </c>
      <c r="P88" s="11">
        <f>+COUNTIFS('muddati otgan'!C:C,A88,'muddati otgan'!J:J,"Ko'chmas mulkni UZKAD ga migratsiya qilish")</f>
        <v>0</v>
      </c>
      <c r="Q88" s="11">
        <f>+COUNTIFS('muddati otgan'!C:C,A88,'muddati otgan'!J:J,"Migratisya qilingan obyekt holatini tekshirish")</f>
        <v>0</v>
      </c>
      <c r="R88" s="11">
        <f>+COUNTIFS('muddati otgan'!C:C,A88,'muddati otgan'!J:J,"Ko‘chmas mulkni tanlash")</f>
        <v>0</v>
      </c>
      <c r="S88" s="11">
        <f>+COUNTIFS('muddati otgan'!C:C,A88,'muddati otgan'!J:J,"Arizani ko'rib chiqish")</f>
        <v>0</v>
      </c>
      <c r="T88" s="11">
        <f>+COUNTIFS('muddati otgan'!C:C,A88,'muddati otgan'!J:J,"Kadastr muhandisini tanlash")</f>
        <v>0</v>
      </c>
      <c r="U88" s="11">
        <f>+COUNTIFS('muddati otgan'!C:C,A88,'muddati otgan'!J:J,"Ko'chmas mulk turini tanlahsh")</f>
        <v>0</v>
      </c>
      <c r="V88" s="11">
        <f>+COUNTIFS('muddati otgan'!C:C,A88,'muddati otgan'!AA:AA,"Rad qilish")</f>
        <v>0</v>
      </c>
      <c r="W88" s="11">
        <f>+COUNTIFS('muddati otgan'!C:C,A88,'muddati otgan'!J:J,"ijrochi tanlash")</f>
        <v>0</v>
      </c>
      <c r="X88" s="11">
        <f>+COUNTIFS('muddati otgan'!C:C,A88,'muddati otgan'!J:J,"Ko'chmas mulk turini tanlash")</f>
        <v>0</v>
      </c>
      <c r="Y88" s="11">
        <f t="shared" si="170"/>
        <v>0</v>
      </c>
      <c r="Z88" s="11">
        <f>+COUNTIFS('muddati otgan'!C:C,A88,'muddati otgan'!J:J,"Ijroga qabul qilish")</f>
        <v>0</v>
      </c>
      <c r="AA88" s="11">
        <f>+COUNTIFS('muddati otgan'!C:C,A88,'muddati otgan'!J:J,"Joyida o'rganish va ma'lumotlarni kiritish")</f>
        <v>0</v>
      </c>
      <c r="AB88" s="11">
        <f>+COUNTIFS('muddati otgan'!C:C,A88,'muddati otgan'!J:J,"Asosiy qismdan ajratish jarayonida")</f>
        <v>0</v>
      </c>
      <c r="AC88" s="11">
        <f>+COUNTIFS('muddati otgan'!C:C,A88,'muddati otgan'!J:J,"Umumiy foydalanishdagi obyekt yaratilish")</f>
        <v>0</v>
      </c>
      <c r="AD88" s="11">
        <f>+COUNTIFS('muddati otgan'!C:C,A88,'muddati otgan'!J:J,"Migratsiya qilinadigan kadastr raqamini kiritish")</f>
        <v>0</v>
      </c>
      <c r="AE88" s="11">
        <f>+COUNTIFS('muddati otgan'!C:C,A88,'muddati otgan'!J:J,"O'zida qolgan obyektni yaratish")</f>
        <v>0</v>
      </c>
      <c r="AF88" s="11">
        <f>+COUNTIFS('muddati otgan'!C:C,A88,'muddati otgan'!J:J,"O'lchov natijalarini kiritish")</f>
        <v>0</v>
      </c>
      <c r="AG88" s="11">
        <f>+COUNTIFS('muddati otgan'!C:C,A88,'muddati otgan'!J:J,"Topoxaritani tayyorlash (dwg, pdf)")</f>
        <v>0</v>
      </c>
      <c r="AH88" s="11">
        <f t="shared" si="171"/>
        <v>0</v>
      </c>
      <c r="AI88" s="11">
        <f>+COUNTIFS('muddati otgan'!C:C,A88,'muddati otgan'!J:J,"Yer uchastkasini yaratish")</f>
        <v>0</v>
      </c>
      <c r="AJ88" s="11">
        <f t="shared" si="172"/>
        <v>0</v>
      </c>
      <c r="AK88" s="11">
        <f>+COUNTIFS('muddati otgan'!C:C,A88,'muddati otgan'!J:J,"Kelishish (Boshqarma)")</f>
        <v>0</v>
      </c>
      <c r="AL88" s="11">
        <f t="shared" si="173"/>
        <v>0</v>
      </c>
      <c r="AM88" s="11">
        <f>+COUNTIFS('muddati otgan'!C:C,A88,'muddati otgan'!J:J,"Kelishish (DKP)")</f>
        <v>0</v>
      </c>
      <c r="AN88" s="11">
        <f>+COUNTIFS('muddati otgan'!C:C,A88,'muddati otgan'!J:J,"Kelishish")</f>
        <v>0</v>
      </c>
      <c r="AO88" s="11">
        <f>+COUNTIFS('muddati otgan'!C:C,A88,'muddati otgan'!J:J,"Kelishish (Registratsiya DKP)")</f>
        <v>0</v>
      </c>
      <c r="AP88" s="11">
        <f t="shared" si="174"/>
        <v>0</v>
      </c>
      <c r="AQ88" s="11">
        <f>+COUNTIFS('muddati otgan'!C:C,A88,'muddati otgan'!J:J,"Manzil biriktirish")</f>
        <v>0</v>
      </c>
      <c r="AR88" s="11">
        <f>+COUNTIFS('muddati otgan'!C:C,A88,'muddati otgan'!J:J,"Bino va inshootlarni yaratish")</f>
        <v>0</v>
      </c>
      <c r="AS88" s="11">
        <f>+COUNTIFS('muddati otgan'!C:C,A88,'muddati otgan'!J:J,"Dov daraxtlarni yaratish")</f>
        <v>0</v>
      </c>
      <c r="AT88" s="11">
        <f>+COUNTIFS('muddati otgan'!C:C,A88,'muddati otgan'!J:J,"Yer uchastkasini tahrirlash")</f>
        <v>0</v>
      </c>
      <c r="AU88" s="11">
        <f t="shared" si="175"/>
        <v>0</v>
      </c>
      <c r="AV88" s="11">
        <f>+COUNTIFS('muddati otgan'!C:C,A88,'muddati otgan'!J:J,"Yer toifasi va maqsadini kiritish")</f>
        <v>0</v>
      </c>
      <c r="AW88" s="11">
        <f>+COUNTIFS('muddati otgan'!C:C,A88,'muddati otgan'!J:J,"Auksion yer tekshirish")</f>
        <v>0</v>
      </c>
      <c r="AX88" s="11">
        <f>+COUNTIFS('muddati otgan'!C:C,A88,'muddati otgan'!J:J,"Yer turlarini kiritish")</f>
        <v>0</v>
      </c>
      <c r="AY88" s="11">
        <f>+COUNTIFS('muddati otgan'!C:C,A88,'muddati otgan'!J:J,"Ma'lumotlarni kiritish")</f>
        <v>0</v>
      </c>
      <c r="AZ88" s="11">
        <f>+COUNTIFS('muddati otgan'!C:C,A88,'muddati otgan'!J:J,"Yer tekshirish")</f>
        <v>0</v>
      </c>
      <c r="BA88" s="11">
        <f t="shared" si="176"/>
        <v>0</v>
      </c>
      <c r="BB88" s="11">
        <f>+COUNTIFS('muddati otgan'!C:C,A88,'muddati otgan'!J:J,"Bino va inshoot ma'lumotlarini to‘ldirish")</f>
        <v>0</v>
      </c>
      <c r="BC88" s="11">
        <f>+COUNTIFS('muddati otgan'!C:C,A88,'muddati otgan'!J:J,"Inventarizatsiya ma'lumotlarini to‘ldirish")</f>
        <v>0</v>
      </c>
      <c r="BD88" s="11">
        <f>+COUNTIFS('muddati otgan'!C:C,A88,'muddati otgan'!J:J,"Yer uchastkasiga huquqiy hujjatlarni kiritsh")</f>
        <v>0</v>
      </c>
      <c r="BE88" s="11">
        <f>+COUNTIFS('muddati otgan'!C:C,A88,'muddati otgan'!J:J,"Bino-inshootlarga huquqiy hujjatlarni kiritsh")</f>
        <v>0</v>
      </c>
      <c r="BF88" s="11">
        <f>+COUNTIFS('muddati otgan'!C:C,A88,'muddati otgan'!J:J,"Kadastr qiymatini hisoblash va kiritish")</f>
        <v>0</v>
      </c>
      <c r="BG88" s="11">
        <f>+COUNTIFS('muddati otgan'!C:C,A88,'muddati otgan'!J:J,"Kadastr raqam biriktirish")</f>
        <v>0</v>
      </c>
      <c r="BH88" s="11">
        <f>+COUNTIFS('muddati otgan'!C:C,A88,'muddati otgan'!J:J,"Kadastr yig'ma jildni tayyorlash")</f>
        <v>0</v>
      </c>
      <c r="BI88" s="11">
        <f>+COUNTIFS('muddati otgan'!C:C,A88,'muddati otgan'!J:J,"Huquqni yaratish")</f>
        <v>0</v>
      </c>
      <c r="BJ88" s="11">
        <f>+COUNTIFS('muddati otgan'!C:C,A88,'muddati otgan'!J:J,"Hujjatlarni o'rganish")</f>
        <v>0</v>
      </c>
      <c r="BK88" s="11">
        <f>+COUNTIFS('muddati otgan'!C:C,A88,'muddati otgan'!J:J,"Ma'lumotlarni tekshirish")</f>
        <v>0</v>
      </c>
      <c r="BL88" s="11">
        <f t="shared" si="177"/>
        <v>0</v>
      </c>
      <c r="BM88" s="11">
        <f>+COUNTIFS('muddati otgan'!C:C,A88,'muddati otgan'!J:J,"Tekshirish")</f>
        <v>0</v>
      </c>
      <c r="BN88" s="11">
        <f>+COUNTIFS('muddati otgan'!C:C,A88,'muddati otgan'!J:J,"Hujjatlarni tekshirish")</f>
        <v>0</v>
      </c>
      <c r="BO88" s="11">
        <f>+COUNTIFS('muddati otgan'!C:C,A88,'muddati otgan'!J:J,"Tasdiqlash")</f>
        <v>0</v>
      </c>
      <c r="BP88" s="11">
        <f>+COUNTIFS('muddati otgan'!C:C,A88,'muddati otgan'!J:J,"tekshirish/tasdiqlash")</f>
        <v>0</v>
      </c>
      <c r="BQ88" s="11">
        <f>+COUNTIFS('muddati otgan'!C:C,A88,'muddati otgan'!J:J,"Ma'lumotlarni tasdiqlash")</f>
        <v>0</v>
      </c>
      <c r="BR88" s="11">
        <f t="shared" si="178"/>
        <v>0</v>
      </c>
      <c r="BS88" s="11">
        <f>+COUNTIFS('muddati otgan'!C:C,A88,'muddati otgan'!J:J,"Ro'yxatdan o'tkazish ma'lumotlarini tekshirish")</f>
        <v>0</v>
      </c>
      <c r="BT88" s="11">
        <f>+COUNTIFS('muddati otgan'!C:C,A88,'muddati otgan'!J:J,"Kamchiliklar bo'yicha habarnoma yuborish va 3 kunga to'xtatish")</f>
        <v>0</v>
      </c>
      <c r="BU88" s="11">
        <f>+COUNTIFS('muddati otgan'!C:C,A88,'muddati otgan'!J:J,"Hisobga olish")</f>
        <v>0</v>
      </c>
      <c r="BV88" s="11">
        <f>+COUNTIFS('muddati otgan'!C:C,A88,'muddati otgan'!J:J,"Yer uchastkasiga huquq yaratish")</f>
        <v>0</v>
      </c>
      <c r="BW88" s="11">
        <f>+COUNTIFS('muddati otgan'!C:C,A88,'muddati otgan'!J:J,"Bino-inshootga huquq yaratish")</f>
        <v>0</v>
      </c>
      <c r="BX88" s="11">
        <f>+COUNTIFS('muddati otgan'!C:C,A88,'muddati otgan'!J:J,"Cheklov yaratish")</f>
        <v>0</v>
      </c>
      <c r="BY88" s="11">
        <f>+COUNTIFS('muddati otgan'!C:C,A88,'muddati otgan'!J:J,"Taqiq yaratish")</f>
        <v>0</v>
      </c>
      <c r="BZ88" s="11">
        <f t="shared" si="179"/>
        <v>0</v>
      </c>
      <c r="CA88" s="11">
        <f>+COUNTIFS('muddati otgan'!C:C,A88,'muddati otgan'!J:J,"Soliq maydonini tekshirish")</f>
        <v>0</v>
      </c>
      <c r="CB88" s="11">
        <f t="shared" si="180"/>
        <v>0</v>
      </c>
      <c r="CC88" s="11">
        <f>+COUNTIFS('muddati otgan'!C:C,A88,'muddati otgan'!J:J,"Kadastr yig'majildini shakllantirish")</f>
        <v>0</v>
      </c>
      <c r="CD88" s="11">
        <f t="shared" si="181"/>
        <v>0</v>
      </c>
      <c r="CE88" s="11">
        <f>+COUNTIFS('muddati otgan'!C:C,A88,'muddati otgan'!J:J,"Kadastr passportini shakllantirish")</f>
        <v>0</v>
      </c>
      <c r="CF88" s="11">
        <f>+COUNTIFS('muddati otgan'!C:C,A88,'muddati otgan'!J:J,"Yig'ma jildni tasdiqlash")</f>
        <v>0</v>
      </c>
      <c r="CG88" s="11">
        <f>+COUNTIFS('muddati otgan'!C:C,A88,'muddati otgan'!J:J,"To'lov yoki bepul tasdiqlash")</f>
        <v>0</v>
      </c>
      <c r="CH88" s="11">
        <f>+COUNTIFS('muddati otgan'!C:C,A88,'muddati otgan'!J:J,"Bog'liq arizani kutish")</f>
        <v>0</v>
      </c>
      <c r="CI88" s="11">
        <f>+COUNTIFS('muddati otgan'!C:C,A88,'muddati otgan'!J:J,"To'lovga chiqarish")</f>
        <v>0</v>
      </c>
      <c r="CJ88" s="11">
        <f>+COUNTIFS('muddati otgan'!C:C,A88,'muddati otgan'!J:J,"Hisobga qo'yish")</f>
        <v>0</v>
      </c>
      <c r="CK88" s="6">
        <f>+COUNTIFS('muddati otgan'!C:C,A88,'muddati otgan'!J:J,"To'lov kutilmoqda")</f>
        <v>0</v>
      </c>
      <c r="CL88" s="11">
        <f t="shared" si="182"/>
        <v>0</v>
      </c>
      <c r="CM88" s="11">
        <f>+COUNTIFS('muddati otgan'!C:C,A88,'muddati otgan'!AA:AA,"Arizani qabul qilish2")</f>
        <v>0</v>
      </c>
      <c r="CN88" s="11">
        <f>+COUNTIFS('muddati otgan'!C:C,A88,'muddati otgan'!J:J,"Huquqlarni tekshirish")</f>
        <v>0</v>
      </c>
      <c r="CO88" s="11">
        <f>+COUNTIFS('muddati otgan'!C:C,A88,'muddati otgan'!J:J,"Ko'chmas mulkni ro'yhatdan o'tkazishga qabul qilish")</f>
        <v>0</v>
      </c>
      <c r="CP88" s="11">
        <f>+COUNTIFS('muddati otgan'!C:C,A88,'muddati otgan'!J:J,"Ro'yxatdan o'tkazish")</f>
        <v>0</v>
      </c>
      <c r="CQ88" s="11">
        <f>+COUNTIFS('muddati otgan'!C:C,A88,'muddati otgan'!J:J,"Kadastr pasporti va ko'chirmani yuborish")</f>
        <v>0</v>
      </c>
      <c r="CR88" s="11">
        <f>+COUNTIFS('muddati otgan'!C:C,A88,'muddati otgan'!AA:AA,"Rad qilish2")</f>
        <v>0</v>
      </c>
      <c r="CS88" s="11">
        <f>+COUNTIFS('muddati otgan'!C:C,A88,'muddati otgan'!J:J,"Ko'chirmani yuborish")</f>
        <v>0</v>
      </c>
      <c r="CT88" s="11">
        <f>+COUNTIFS('muddati otgan'!C:C,A88,'muddati otgan'!J:J,"Ma‘lumotlarni tekshirish")</f>
        <v>0</v>
      </c>
      <c r="CU88" s="11">
        <f t="shared" si="183"/>
        <v>0</v>
      </c>
      <c r="CV88" s="11">
        <f>+COUNTIFS('muddati otgan'!C:C,A88,'muddati otgan'!J:J,"Kadastr yig'majildini chop etish va arxiv ishiga tikish")</f>
        <v>0</v>
      </c>
      <c r="CW88" s="11">
        <f t="shared" si="184"/>
        <v>0</v>
      </c>
      <c r="CX88" s="11">
        <f>+COUNTIFS('muddati otgan'!C:C,A88,'muddati otgan'!J:J,"Kadastr yig‘majildini qabul qilish, arizani yakunlash")</f>
        <v>0</v>
      </c>
      <c r="CY88" s="11">
        <f>+COUNTIFS('muddati otgan'!C:C,A88,'muddati otgan'!J:J,"Next Cloudga yuklash")</f>
        <v>0</v>
      </c>
      <c r="CZ88" s="6">
        <f>+COUNTIFS('muddati otgan'!C:C,A88,'muddati otgan'!J:J,"Kelishish kutilmoqda")</f>
        <v>0</v>
      </c>
      <c r="DA88" s="6">
        <f>+COUNTIFS('muddati otgan'!C:C,A88,'muddati otgan'!J:J,"Yakunlandi")</f>
        <v>0</v>
      </c>
      <c r="DB88" s="10">
        <f>+COUNTIFS('muddati otgan'!C:C,A88,'muddati otgan'!J:J,"Rad etildi")</f>
        <v>0</v>
      </c>
      <c r="DC88" s="100">
        <f t="shared" si="185"/>
        <v>0</v>
      </c>
      <c r="DD88" s="44">
        <f>COUNTIFS('jami 1-20 kunlik arizalar'!C:C,A:A,'jami 1-20 kunlik arizalar'!S:S,"1")</f>
        <v>0</v>
      </c>
      <c r="DE88" s="11">
        <f>COUNTIFS('jami 1-20 kunlik arizalar'!C:C,A:A,'jami 1-20 kunlik arizalar'!S:S,"2")</f>
        <v>0</v>
      </c>
      <c r="DF88" s="11">
        <f>COUNTIFS('jami 1-20 kunlik arizalar'!C:C,A:A,'jami 1-20 kunlik arizalar'!S:S,"3")</f>
        <v>0</v>
      </c>
      <c r="DG88" s="11">
        <f>COUNTIFS('jami 1-20 kunlik arizalar'!C:C,A:A,'jami 1-20 kunlik arizalar'!S:S,"4")</f>
        <v>0</v>
      </c>
      <c r="DH88" s="11">
        <f>COUNTIFS('jami 1-20 kunlik arizalar'!C:C,A:A,'jami 1-20 kunlik arizalar'!S:S,"5")</f>
        <v>0</v>
      </c>
      <c r="DI88" s="11">
        <f>SUM(COUNTIFS('jami 1-20 kunlik arizalar'!C:C,A:A, 'jami 1-20 kunlik arizalar'!S:S, {6,7,8,9,10}))</f>
        <v>0</v>
      </c>
      <c r="DJ88" s="12">
        <f>SUM(COUNTIFS('jami 1-20 kunlik arizalar'!C:C,A:A, 'jami 1-20 kunlik arizalar'!S:S, "&gt;10"))</f>
        <v>0</v>
      </c>
    </row>
    <row r="89" spans="1:114" ht="51.95" hidden="1" customHeight="1" outlineLevel="1" x14ac:dyDescent="0.25">
      <c r="A89" s="92" t="s">
        <v>641</v>
      </c>
      <c r="B89" s="107" t="s">
        <v>957</v>
      </c>
      <c r="C89" s="85" t="s">
        <v>799</v>
      </c>
      <c r="D89" s="80">
        <f>+COUNTIFS('muddati otgan'!C:C,A89,'muddati otgan'!C:C,A89)</f>
        <v>0</v>
      </c>
      <c r="E89" s="10">
        <f>SUMIFS('muddati otgan'!$V:V,'muddati otgan'!$C:C,$A:A)</f>
        <v>0</v>
      </c>
      <c r="F89" s="10">
        <f>SUMIFS('muddati otgan'!$W:W,'muddati otgan'!$C:C,$A:A)</f>
        <v>0</v>
      </c>
      <c r="G89" s="24">
        <f>SUMIFS('muddati otgan'!$U:U,'muddati otgan'!$C:C,$A:A)</f>
        <v>0</v>
      </c>
      <c r="H89" s="11">
        <f>SUMIFS('muddati otgan'!$G:G,'muddati otgan'!$C:C,$A:A)</f>
        <v>0</v>
      </c>
      <c r="I89" s="12">
        <f>SUMIFS('muddati otgan'!$H:H,'muddati otgan'!$C:C,$A:A)</f>
        <v>0</v>
      </c>
      <c r="J89" s="44">
        <f t="shared" si="169"/>
        <v>0</v>
      </c>
      <c r="K89" s="11">
        <f>+COUNTIFS('muddati otgan'!C:C,A89,'muddati otgan'!AA:AA,"Arizani qabul qilish")</f>
        <v>0</v>
      </c>
      <c r="L89" s="11">
        <f>+COUNTIFS('muddati otgan'!C:C,A89,'muddati otgan'!J:J,"Arizani rad etish")</f>
        <v>0</v>
      </c>
      <c r="M89" s="11">
        <f>+COUNTIFS('muddati otgan'!C:C,A89,'muddati otgan'!J:J,"Arizani tasdiqlash")</f>
        <v>0</v>
      </c>
      <c r="N89" s="11">
        <f>+COUNTIFS('muddati otgan'!C:C,A89,'muddati otgan'!J:J,"Arizani yo'naltirish")</f>
        <v>0</v>
      </c>
      <c r="O89" s="11">
        <f>+COUNTIFS('muddati otgan'!C:C,A89,'muddati otgan'!J:J,"Rad qilish sababini o'rganish")</f>
        <v>0</v>
      </c>
      <c r="P89" s="11">
        <f>+COUNTIFS('muddati otgan'!C:C,A89,'muddati otgan'!J:J,"Ko'chmas mulkni UZKAD ga migratsiya qilish")</f>
        <v>0</v>
      </c>
      <c r="Q89" s="11">
        <f>+COUNTIFS('muddati otgan'!C:C,A89,'muddati otgan'!J:J,"Migratisya qilingan obyekt holatini tekshirish")</f>
        <v>0</v>
      </c>
      <c r="R89" s="11">
        <f>+COUNTIFS('muddati otgan'!C:C,A89,'muddati otgan'!J:J,"Ko‘chmas mulkni tanlash")</f>
        <v>0</v>
      </c>
      <c r="S89" s="11">
        <f>+COUNTIFS('muddati otgan'!C:C,A89,'muddati otgan'!J:J,"Arizani ko'rib chiqish")</f>
        <v>0</v>
      </c>
      <c r="T89" s="11">
        <f>+COUNTIFS('muddati otgan'!C:C,A89,'muddati otgan'!J:J,"Kadastr muhandisini tanlash")</f>
        <v>0</v>
      </c>
      <c r="U89" s="11">
        <f>+COUNTIFS('muddati otgan'!C:C,A89,'muddati otgan'!J:J,"Ko'chmas mulk turini tanlahsh")</f>
        <v>0</v>
      </c>
      <c r="V89" s="11">
        <f>+COUNTIFS('muddati otgan'!C:C,A89,'muddati otgan'!AA:AA,"Rad qilish")</f>
        <v>0</v>
      </c>
      <c r="W89" s="11">
        <f>+COUNTIFS('muddati otgan'!C:C,A89,'muddati otgan'!J:J,"ijrochi tanlash")</f>
        <v>0</v>
      </c>
      <c r="X89" s="11">
        <f>+COUNTIFS('muddati otgan'!C:C,A89,'muddati otgan'!J:J,"Ko'chmas mulk turini tanlash")</f>
        <v>0</v>
      </c>
      <c r="Y89" s="11">
        <f t="shared" si="170"/>
        <v>0</v>
      </c>
      <c r="Z89" s="11">
        <f>+COUNTIFS('muddati otgan'!C:C,A89,'muddati otgan'!J:J,"Ijroga qabul qilish")</f>
        <v>0</v>
      </c>
      <c r="AA89" s="11">
        <f>+COUNTIFS('muddati otgan'!C:C,A89,'muddati otgan'!J:J,"Joyida o'rganish va ma'lumotlarni kiritish")</f>
        <v>0</v>
      </c>
      <c r="AB89" s="11">
        <f>+COUNTIFS('muddati otgan'!C:C,A89,'muddati otgan'!J:J,"Asosiy qismdan ajratish jarayonida")</f>
        <v>0</v>
      </c>
      <c r="AC89" s="11">
        <f>+COUNTIFS('muddati otgan'!C:C,A89,'muddati otgan'!J:J,"Umumiy foydalanishdagi obyekt yaratilish")</f>
        <v>0</v>
      </c>
      <c r="AD89" s="11">
        <f>+COUNTIFS('muddati otgan'!C:C,A89,'muddati otgan'!J:J,"Migratsiya qilinadigan kadastr raqamini kiritish")</f>
        <v>0</v>
      </c>
      <c r="AE89" s="11">
        <f>+COUNTIFS('muddati otgan'!C:C,A89,'muddati otgan'!J:J,"O'zida qolgan obyektni yaratish")</f>
        <v>0</v>
      </c>
      <c r="AF89" s="11">
        <f>+COUNTIFS('muddati otgan'!C:C,A89,'muddati otgan'!J:J,"O'lchov natijalarini kiritish")</f>
        <v>0</v>
      </c>
      <c r="AG89" s="11">
        <f>+COUNTIFS('muddati otgan'!C:C,A89,'muddati otgan'!J:J,"Topoxaritani tayyorlash (dwg, pdf)")</f>
        <v>0</v>
      </c>
      <c r="AH89" s="11">
        <f t="shared" si="171"/>
        <v>0</v>
      </c>
      <c r="AI89" s="11">
        <f>+COUNTIFS('muddati otgan'!C:C,A89,'muddati otgan'!J:J,"Yer uchastkasini yaratish")</f>
        <v>0</v>
      </c>
      <c r="AJ89" s="11">
        <f t="shared" si="172"/>
        <v>0</v>
      </c>
      <c r="AK89" s="11">
        <f>+COUNTIFS('muddati otgan'!C:C,A89,'muddati otgan'!J:J,"Kelishish (Boshqarma)")</f>
        <v>0</v>
      </c>
      <c r="AL89" s="11">
        <f t="shared" si="173"/>
        <v>0</v>
      </c>
      <c r="AM89" s="11">
        <f>+COUNTIFS('muddati otgan'!C:C,A89,'muddati otgan'!J:J,"Kelishish (DKP)")</f>
        <v>0</v>
      </c>
      <c r="AN89" s="11">
        <f>+COUNTIFS('muddati otgan'!C:C,A89,'muddati otgan'!J:J,"Kelishish")</f>
        <v>0</v>
      </c>
      <c r="AO89" s="11">
        <f>+COUNTIFS('muddati otgan'!C:C,A89,'muddati otgan'!J:J,"Kelishish (Registratsiya DKP)")</f>
        <v>0</v>
      </c>
      <c r="AP89" s="11">
        <f t="shared" si="174"/>
        <v>0</v>
      </c>
      <c r="AQ89" s="11">
        <f>+COUNTIFS('muddati otgan'!C:C,A89,'muddati otgan'!J:J,"Manzil biriktirish")</f>
        <v>0</v>
      </c>
      <c r="AR89" s="11">
        <f>+COUNTIFS('muddati otgan'!C:C,A89,'muddati otgan'!J:J,"Bino va inshootlarni yaratish")</f>
        <v>0</v>
      </c>
      <c r="AS89" s="11">
        <f>+COUNTIFS('muddati otgan'!C:C,A89,'muddati otgan'!J:J,"Dov daraxtlarni yaratish")</f>
        <v>0</v>
      </c>
      <c r="AT89" s="11">
        <f>+COUNTIFS('muddati otgan'!C:C,A89,'muddati otgan'!J:J,"Yer uchastkasini tahrirlash")</f>
        <v>0</v>
      </c>
      <c r="AU89" s="11">
        <f t="shared" si="175"/>
        <v>0</v>
      </c>
      <c r="AV89" s="11">
        <f>+COUNTIFS('muddati otgan'!C:C,A89,'muddati otgan'!J:J,"Yer toifasi va maqsadini kiritish")</f>
        <v>0</v>
      </c>
      <c r="AW89" s="11">
        <f>+COUNTIFS('muddati otgan'!C:C,A89,'muddati otgan'!J:J,"Auksion yer tekshirish")</f>
        <v>0</v>
      </c>
      <c r="AX89" s="11">
        <f>+COUNTIFS('muddati otgan'!C:C,A89,'muddati otgan'!J:J,"Yer turlarini kiritish")</f>
        <v>0</v>
      </c>
      <c r="AY89" s="11">
        <f>+COUNTIFS('muddati otgan'!C:C,A89,'muddati otgan'!J:J,"Ma'lumotlarni kiritish")</f>
        <v>0</v>
      </c>
      <c r="AZ89" s="11">
        <f>+COUNTIFS('muddati otgan'!C:C,A89,'muddati otgan'!J:J,"Yer tekshirish")</f>
        <v>0</v>
      </c>
      <c r="BA89" s="11">
        <f t="shared" si="176"/>
        <v>0</v>
      </c>
      <c r="BB89" s="11">
        <f>+COUNTIFS('muddati otgan'!C:C,A89,'muddati otgan'!J:J,"Bino va inshoot ma'lumotlarini to‘ldirish")</f>
        <v>0</v>
      </c>
      <c r="BC89" s="11">
        <f>+COUNTIFS('muddati otgan'!C:C,A89,'muddati otgan'!J:J,"Inventarizatsiya ma'lumotlarini to‘ldirish")</f>
        <v>0</v>
      </c>
      <c r="BD89" s="11">
        <f>+COUNTIFS('muddati otgan'!C:C,A89,'muddati otgan'!J:J,"Yer uchastkasiga huquqiy hujjatlarni kiritsh")</f>
        <v>0</v>
      </c>
      <c r="BE89" s="11">
        <f>+COUNTIFS('muddati otgan'!C:C,A89,'muddati otgan'!J:J,"Bino-inshootlarga huquqiy hujjatlarni kiritsh")</f>
        <v>0</v>
      </c>
      <c r="BF89" s="11">
        <f>+COUNTIFS('muddati otgan'!C:C,A89,'muddati otgan'!J:J,"Kadastr qiymatini hisoblash va kiritish")</f>
        <v>0</v>
      </c>
      <c r="BG89" s="11">
        <f>+COUNTIFS('muddati otgan'!C:C,A89,'muddati otgan'!J:J,"Kadastr raqam biriktirish")</f>
        <v>0</v>
      </c>
      <c r="BH89" s="11">
        <f>+COUNTIFS('muddati otgan'!C:C,A89,'muddati otgan'!J:J,"Kadastr yig'ma jildni tayyorlash")</f>
        <v>0</v>
      </c>
      <c r="BI89" s="11">
        <f>+COUNTIFS('muddati otgan'!C:C,A89,'muddati otgan'!J:J,"Huquqni yaratish")</f>
        <v>0</v>
      </c>
      <c r="BJ89" s="11">
        <f>+COUNTIFS('muddati otgan'!C:C,A89,'muddati otgan'!J:J,"Hujjatlarni o'rganish")</f>
        <v>0</v>
      </c>
      <c r="BK89" s="11">
        <f>+COUNTIFS('muddati otgan'!C:C,A89,'muddati otgan'!J:J,"Ma'lumotlarni tekshirish")</f>
        <v>0</v>
      </c>
      <c r="BL89" s="11">
        <f t="shared" si="177"/>
        <v>0</v>
      </c>
      <c r="BM89" s="11">
        <f>+COUNTIFS('muddati otgan'!C:C,A89,'muddati otgan'!J:J,"Tekshirish")</f>
        <v>0</v>
      </c>
      <c r="BN89" s="11">
        <f>+COUNTIFS('muddati otgan'!C:C,A89,'muddati otgan'!J:J,"Hujjatlarni tekshirish")</f>
        <v>0</v>
      </c>
      <c r="BO89" s="11">
        <f>+COUNTIFS('muddati otgan'!C:C,A89,'muddati otgan'!J:J,"Tasdiqlash")</f>
        <v>0</v>
      </c>
      <c r="BP89" s="11">
        <f>+COUNTIFS('muddati otgan'!C:C,A89,'muddati otgan'!J:J,"tekshirish/tasdiqlash")</f>
        <v>0</v>
      </c>
      <c r="BQ89" s="11">
        <f>+COUNTIFS('muddati otgan'!C:C,A89,'muddati otgan'!J:J,"Ma'lumotlarni tasdiqlash")</f>
        <v>0</v>
      </c>
      <c r="BR89" s="11">
        <f t="shared" si="178"/>
        <v>0</v>
      </c>
      <c r="BS89" s="11">
        <f>+COUNTIFS('muddati otgan'!C:C,A89,'muddati otgan'!J:J,"Ro'yxatdan o'tkazish ma'lumotlarini tekshirish")</f>
        <v>0</v>
      </c>
      <c r="BT89" s="11">
        <f>+COUNTIFS('muddati otgan'!C:C,A89,'muddati otgan'!J:J,"Kamchiliklar bo'yicha habarnoma yuborish va 3 kunga to'xtatish")</f>
        <v>0</v>
      </c>
      <c r="BU89" s="11">
        <f>+COUNTIFS('muddati otgan'!C:C,A89,'muddati otgan'!J:J,"Hisobga olish")</f>
        <v>0</v>
      </c>
      <c r="BV89" s="11">
        <f>+COUNTIFS('muddati otgan'!C:C,A89,'muddati otgan'!J:J,"Yer uchastkasiga huquq yaratish")</f>
        <v>0</v>
      </c>
      <c r="BW89" s="11">
        <f>+COUNTIFS('muddati otgan'!C:C,A89,'muddati otgan'!J:J,"Bino-inshootga huquq yaratish")</f>
        <v>0</v>
      </c>
      <c r="BX89" s="11">
        <f>+COUNTIFS('muddati otgan'!C:C,A89,'muddati otgan'!J:J,"Cheklov yaratish")</f>
        <v>0</v>
      </c>
      <c r="BY89" s="11">
        <f>+COUNTIFS('muddati otgan'!C:C,A89,'muddati otgan'!J:J,"Taqiq yaratish")</f>
        <v>0</v>
      </c>
      <c r="BZ89" s="11">
        <f t="shared" si="179"/>
        <v>0</v>
      </c>
      <c r="CA89" s="11">
        <f>+COUNTIFS('muddati otgan'!C:C,A89,'muddati otgan'!J:J,"Soliq maydonini tekshirish")</f>
        <v>0</v>
      </c>
      <c r="CB89" s="11">
        <f t="shared" si="180"/>
        <v>0</v>
      </c>
      <c r="CC89" s="11">
        <f>+COUNTIFS('muddati otgan'!C:C,A89,'muddati otgan'!J:J,"Kadastr yig'majildini shakllantirish")</f>
        <v>0</v>
      </c>
      <c r="CD89" s="11">
        <f t="shared" si="181"/>
        <v>0</v>
      </c>
      <c r="CE89" s="11">
        <f>+COUNTIFS('muddati otgan'!C:C,A89,'muddati otgan'!J:J,"Kadastr passportini shakllantirish")</f>
        <v>0</v>
      </c>
      <c r="CF89" s="11">
        <f>+COUNTIFS('muddati otgan'!C:C,A89,'muddati otgan'!J:J,"Yig'ma jildni tasdiqlash")</f>
        <v>0</v>
      </c>
      <c r="CG89" s="11">
        <f>+COUNTIFS('muddati otgan'!C:C,A89,'muddati otgan'!J:J,"To'lov yoki bepul tasdiqlash")</f>
        <v>0</v>
      </c>
      <c r="CH89" s="11">
        <f>+COUNTIFS('muddati otgan'!C:C,A89,'muddati otgan'!J:J,"Bog'liq arizani kutish")</f>
        <v>0</v>
      </c>
      <c r="CI89" s="11">
        <f>+COUNTIFS('muddati otgan'!C:C,A89,'muddati otgan'!J:J,"To'lovga chiqarish")</f>
        <v>0</v>
      </c>
      <c r="CJ89" s="11">
        <f>+COUNTIFS('muddati otgan'!C:C,A89,'muddati otgan'!J:J,"Hisobga qo'yish")</f>
        <v>0</v>
      </c>
      <c r="CK89" s="6">
        <f>+COUNTIFS('muddati otgan'!C:C,A89,'muddati otgan'!J:J,"To'lov kutilmoqda")</f>
        <v>0</v>
      </c>
      <c r="CL89" s="11">
        <f t="shared" si="182"/>
        <v>0</v>
      </c>
      <c r="CM89" s="11">
        <f>+COUNTIFS('muddati otgan'!C:C,A89,'muddati otgan'!AA:AA,"Arizani qabul qilish2")</f>
        <v>0</v>
      </c>
      <c r="CN89" s="11">
        <f>+COUNTIFS('muddati otgan'!C:C,A89,'muddati otgan'!J:J,"Huquqlarni tekshirish")</f>
        <v>0</v>
      </c>
      <c r="CO89" s="11">
        <f>+COUNTIFS('muddati otgan'!C:C,A89,'muddati otgan'!J:J,"Ko'chmas mulkni ro'yhatdan o'tkazishga qabul qilish")</f>
        <v>0</v>
      </c>
      <c r="CP89" s="11">
        <f>+COUNTIFS('muddati otgan'!C:C,A89,'muddati otgan'!J:J,"Ro'yxatdan o'tkazish")</f>
        <v>0</v>
      </c>
      <c r="CQ89" s="11">
        <f>+COUNTIFS('muddati otgan'!C:C,A89,'muddati otgan'!J:J,"Kadastr pasporti va ko'chirmani yuborish")</f>
        <v>0</v>
      </c>
      <c r="CR89" s="11">
        <f>+COUNTIFS('muddati otgan'!C:C,A89,'muddati otgan'!AA:AA,"Rad qilish2")</f>
        <v>0</v>
      </c>
      <c r="CS89" s="11">
        <f>+COUNTIFS('muddati otgan'!C:C,A89,'muddati otgan'!J:J,"Ko'chirmani yuborish")</f>
        <v>0</v>
      </c>
      <c r="CT89" s="11">
        <f>+COUNTIFS('muddati otgan'!C:C,A89,'muddati otgan'!J:J,"Ma‘lumotlarni tekshirish")</f>
        <v>0</v>
      </c>
      <c r="CU89" s="11">
        <f t="shared" si="183"/>
        <v>0</v>
      </c>
      <c r="CV89" s="11">
        <f>+COUNTIFS('muddati otgan'!C:C,A89,'muddati otgan'!J:J,"Kadastr yig'majildini chop etish va arxiv ishiga tikish")</f>
        <v>0</v>
      </c>
      <c r="CW89" s="11">
        <f t="shared" si="184"/>
        <v>0</v>
      </c>
      <c r="CX89" s="11">
        <f>+COUNTIFS('muddati otgan'!C:C,A89,'muddati otgan'!J:J,"Kadastr yig‘majildini qabul qilish, arizani yakunlash")</f>
        <v>0</v>
      </c>
      <c r="CY89" s="11">
        <f>+COUNTIFS('muddati otgan'!C:C,A89,'muddati otgan'!J:J,"Next Cloudga yuklash")</f>
        <v>0</v>
      </c>
      <c r="CZ89" s="6">
        <f>+COUNTIFS('muddati otgan'!C:C,A89,'muddati otgan'!J:J,"Kelishish kutilmoqda")</f>
        <v>0</v>
      </c>
      <c r="DA89" s="6">
        <f>+COUNTIFS('muddati otgan'!C:C,A89,'muddati otgan'!J:J,"Yakunlandi")</f>
        <v>0</v>
      </c>
      <c r="DB89" s="10">
        <f>+COUNTIFS('muddati otgan'!C:C,A89,'muddati otgan'!J:J,"Rad etildi")</f>
        <v>0</v>
      </c>
      <c r="DC89" s="100">
        <f t="shared" si="185"/>
        <v>0</v>
      </c>
      <c r="DD89" s="44">
        <f>COUNTIFS('jami 1-20 kunlik arizalar'!C:C,A:A,'jami 1-20 kunlik arizalar'!S:S,"1")</f>
        <v>0</v>
      </c>
      <c r="DE89" s="11">
        <f>COUNTIFS('jami 1-20 kunlik arizalar'!C:C,A:A,'jami 1-20 kunlik arizalar'!S:S,"2")</f>
        <v>0</v>
      </c>
      <c r="DF89" s="11">
        <f>COUNTIFS('jami 1-20 kunlik arizalar'!C:C,A:A,'jami 1-20 kunlik arizalar'!S:S,"3")</f>
        <v>0</v>
      </c>
      <c r="DG89" s="11">
        <f>COUNTIFS('jami 1-20 kunlik arizalar'!C:C,A:A,'jami 1-20 kunlik arizalar'!S:S,"4")</f>
        <v>0</v>
      </c>
      <c r="DH89" s="11">
        <f>COUNTIFS('jami 1-20 kunlik arizalar'!C:C,A:A,'jami 1-20 kunlik arizalar'!S:S,"5")</f>
        <v>0</v>
      </c>
      <c r="DI89" s="11">
        <f>SUM(COUNTIFS('jami 1-20 kunlik arizalar'!C:C,A:A, 'jami 1-20 kunlik arizalar'!S:S, {6,7,8,9,10}))</f>
        <v>1</v>
      </c>
      <c r="DJ89" s="12">
        <f>SUM(COUNTIFS('jami 1-20 kunlik arizalar'!C:C,A:A, 'jami 1-20 kunlik arizalar'!S:S, "&gt;10"))</f>
        <v>6</v>
      </c>
    </row>
    <row r="90" spans="1:114" ht="51.95" hidden="1" customHeight="1" outlineLevel="1" x14ac:dyDescent="0.25">
      <c r="A90" s="92" t="s">
        <v>542</v>
      </c>
      <c r="B90" s="107" t="s">
        <v>957</v>
      </c>
      <c r="C90" s="85" t="s">
        <v>800</v>
      </c>
      <c r="D90" s="80">
        <f>+COUNTIFS('muddati otgan'!C:C,A90,'muddati otgan'!C:C,A90)</f>
        <v>3</v>
      </c>
      <c r="E90" s="10">
        <f>SUMIFS('muddati otgan'!$V:V,'muddati otgan'!$C:C,$A:A)</f>
        <v>2</v>
      </c>
      <c r="F90" s="10">
        <f>SUMIFS('muddati otgan'!$W:W,'muddati otgan'!$C:C,$A:A)</f>
        <v>1</v>
      </c>
      <c r="G90" s="24">
        <f>SUMIFS('muddati otgan'!$U:U,'muddati otgan'!$C:C,$A:A)</f>
        <v>0</v>
      </c>
      <c r="H90" s="11">
        <f>SUMIFS('muddati otgan'!$G:G,'muddati otgan'!$C:C,$A:A)</f>
        <v>3</v>
      </c>
      <c r="I90" s="12">
        <f>SUMIFS('muddati otgan'!$H:H,'muddati otgan'!$C:C,$A:A)</f>
        <v>0</v>
      </c>
      <c r="J90" s="44">
        <f t="shared" si="169"/>
        <v>0</v>
      </c>
      <c r="K90" s="11">
        <f>+COUNTIFS('muddati otgan'!C:C,A90,'muddati otgan'!AA:AA,"Arizani qabul qilish")</f>
        <v>0</v>
      </c>
      <c r="L90" s="11">
        <f>+COUNTIFS('muddati otgan'!C:C,A90,'muddati otgan'!J:J,"Arizani rad etish")</f>
        <v>0</v>
      </c>
      <c r="M90" s="11">
        <f>+COUNTIFS('muddati otgan'!C:C,A90,'muddati otgan'!J:J,"Arizani tasdiqlash")</f>
        <v>0</v>
      </c>
      <c r="N90" s="11">
        <f>+COUNTIFS('muddati otgan'!C:C,A90,'muddati otgan'!J:J,"Arizani yo'naltirish")</f>
        <v>0</v>
      </c>
      <c r="O90" s="11">
        <f>+COUNTIFS('muddati otgan'!C:C,A90,'muddati otgan'!J:J,"Rad qilish sababini o'rganish")</f>
        <v>0</v>
      </c>
      <c r="P90" s="11">
        <f>+COUNTIFS('muddati otgan'!C:C,A90,'muddati otgan'!J:J,"Ko'chmas mulkni UZKAD ga migratsiya qilish")</f>
        <v>0</v>
      </c>
      <c r="Q90" s="11">
        <f>+COUNTIFS('muddati otgan'!C:C,A90,'muddati otgan'!J:J,"Migratisya qilingan obyekt holatini tekshirish")</f>
        <v>0</v>
      </c>
      <c r="R90" s="11">
        <f>+COUNTIFS('muddati otgan'!C:C,A90,'muddati otgan'!J:J,"Ko‘chmas mulkni tanlash")</f>
        <v>0</v>
      </c>
      <c r="S90" s="11">
        <f>+COUNTIFS('muddati otgan'!C:C,A90,'muddati otgan'!J:J,"Arizani ko'rib chiqish")</f>
        <v>0</v>
      </c>
      <c r="T90" s="11">
        <f>+COUNTIFS('muddati otgan'!C:C,A90,'muddati otgan'!J:J,"Kadastr muhandisini tanlash")</f>
        <v>0</v>
      </c>
      <c r="U90" s="11">
        <f>+COUNTIFS('muddati otgan'!C:C,A90,'muddati otgan'!J:J,"Ko'chmas mulk turini tanlahsh")</f>
        <v>0</v>
      </c>
      <c r="V90" s="11">
        <f>+COUNTIFS('muddati otgan'!C:C,A90,'muddati otgan'!AA:AA,"Rad qilish")</f>
        <v>0</v>
      </c>
      <c r="W90" s="11">
        <f>+COUNTIFS('muddati otgan'!C:C,A90,'muddati otgan'!J:J,"ijrochi tanlash")</f>
        <v>0</v>
      </c>
      <c r="X90" s="11">
        <f>+COUNTIFS('muddati otgan'!C:C,A90,'muddati otgan'!J:J,"Ko'chmas mulk turini tanlash")</f>
        <v>0</v>
      </c>
      <c r="Y90" s="11">
        <f t="shared" si="170"/>
        <v>0</v>
      </c>
      <c r="Z90" s="11">
        <f>+COUNTIFS('muddati otgan'!C:C,A90,'muddati otgan'!J:J,"Ijroga qabul qilish")</f>
        <v>0</v>
      </c>
      <c r="AA90" s="11">
        <f>+COUNTIFS('muddati otgan'!C:C,A90,'muddati otgan'!J:J,"Joyida o'rganish va ma'lumotlarni kiritish")</f>
        <v>0</v>
      </c>
      <c r="AB90" s="11">
        <f>+COUNTIFS('muddati otgan'!C:C,A90,'muddati otgan'!J:J,"Asosiy qismdan ajratish jarayonida")</f>
        <v>0</v>
      </c>
      <c r="AC90" s="11">
        <f>+COUNTIFS('muddati otgan'!C:C,A90,'muddati otgan'!J:J,"Umumiy foydalanishdagi obyekt yaratilish")</f>
        <v>0</v>
      </c>
      <c r="AD90" s="11">
        <f>+COUNTIFS('muddati otgan'!C:C,A90,'muddati otgan'!J:J,"Migratsiya qilinadigan kadastr raqamini kiritish")</f>
        <v>0</v>
      </c>
      <c r="AE90" s="11">
        <f>+COUNTIFS('muddati otgan'!C:C,A90,'muddati otgan'!J:J,"O'zida qolgan obyektni yaratish")</f>
        <v>0</v>
      </c>
      <c r="AF90" s="11">
        <f>+COUNTIFS('muddati otgan'!C:C,A90,'muddati otgan'!J:J,"O'lchov natijalarini kiritish")</f>
        <v>0</v>
      </c>
      <c r="AG90" s="11">
        <f>+COUNTIFS('muddati otgan'!C:C,A90,'muddati otgan'!J:J,"Topoxaritani tayyorlash (dwg, pdf)")</f>
        <v>0</v>
      </c>
      <c r="AH90" s="11">
        <f t="shared" si="171"/>
        <v>1</v>
      </c>
      <c r="AI90" s="11">
        <f>+COUNTIFS('muddati otgan'!C:C,A90,'muddati otgan'!J:J,"Yer uchastkasini yaratish")</f>
        <v>1</v>
      </c>
      <c r="AJ90" s="11">
        <f t="shared" si="172"/>
        <v>0</v>
      </c>
      <c r="AK90" s="11">
        <f>+COUNTIFS('muddati otgan'!C:C,A90,'muddati otgan'!J:J,"Kelishish (Boshqarma)")</f>
        <v>0</v>
      </c>
      <c r="AL90" s="11">
        <f t="shared" si="173"/>
        <v>0</v>
      </c>
      <c r="AM90" s="11">
        <f>+COUNTIFS('muddati otgan'!C:C,A90,'muddati otgan'!J:J,"Kelishish (DKP)")</f>
        <v>0</v>
      </c>
      <c r="AN90" s="11">
        <f>+COUNTIFS('muddati otgan'!C:C,A90,'muddati otgan'!J:J,"Kelishish")</f>
        <v>0</v>
      </c>
      <c r="AO90" s="11">
        <f>+COUNTIFS('muddati otgan'!C:C,A90,'muddati otgan'!J:J,"Kelishish (Registratsiya DKP)")</f>
        <v>0</v>
      </c>
      <c r="AP90" s="11">
        <f t="shared" si="174"/>
        <v>0</v>
      </c>
      <c r="AQ90" s="11">
        <f>+COUNTIFS('muddati otgan'!C:C,A90,'muddati otgan'!J:J,"Manzil biriktirish")</f>
        <v>0</v>
      </c>
      <c r="AR90" s="11">
        <f>+COUNTIFS('muddati otgan'!C:C,A90,'muddati otgan'!J:J,"Bino va inshootlarni yaratish")</f>
        <v>0</v>
      </c>
      <c r="AS90" s="11">
        <f>+COUNTIFS('muddati otgan'!C:C,A90,'muddati otgan'!J:J,"Dov daraxtlarni yaratish")</f>
        <v>0</v>
      </c>
      <c r="AT90" s="11">
        <f>+COUNTIFS('muddati otgan'!C:C,A90,'muddati otgan'!J:J,"Yer uchastkasini tahrirlash")</f>
        <v>0</v>
      </c>
      <c r="AU90" s="11">
        <f t="shared" si="175"/>
        <v>0</v>
      </c>
      <c r="AV90" s="11">
        <f>+COUNTIFS('muddati otgan'!C:C,A90,'muddati otgan'!J:J,"Yer toifasi va maqsadini kiritish")</f>
        <v>0</v>
      </c>
      <c r="AW90" s="11">
        <f>+COUNTIFS('muddati otgan'!C:C,A90,'muddati otgan'!J:J,"Auksion yer tekshirish")</f>
        <v>0</v>
      </c>
      <c r="AX90" s="11">
        <f>+COUNTIFS('muddati otgan'!C:C,A90,'muddati otgan'!J:J,"Yer turlarini kiritish")</f>
        <v>0</v>
      </c>
      <c r="AY90" s="11">
        <f>+COUNTIFS('muddati otgan'!C:C,A90,'muddati otgan'!J:J,"Ma'lumotlarni kiritish")</f>
        <v>0</v>
      </c>
      <c r="AZ90" s="11">
        <f>+COUNTIFS('muddati otgan'!C:C,A90,'muddati otgan'!J:J,"Yer tekshirish")</f>
        <v>0</v>
      </c>
      <c r="BA90" s="11">
        <f t="shared" si="176"/>
        <v>0</v>
      </c>
      <c r="BB90" s="11">
        <f>+COUNTIFS('muddati otgan'!C:C,A90,'muddati otgan'!J:J,"Bino va inshoot ma'lumotlarini to‘ldirish")</f>
        <v>0</v>
      </c>
      <c r="BC90" s="11">
        <f>+COUNTIFS('muddati otgan'!C:C,A90,'muddati otgan'!J:J,"Inventarizatsiya ma'lumotlarini to‘ldirish")</f>
        <v>0</v>
      </c>
      <c r="BD90" s="11">
        <f>+COUNTIFS('muddati otgan'!C:C,A90,'muddati otgan'!J:J,"Yer uchastkasiga huquqiy hujjatlarni kiritsh")</f>
        <v>0</v>
      </c>
      <c r="BE90" s="11">
        <f>+COUNTIFS('muddati otgan'!C:C,A90,'muddati otgan'!J:J,"Bino-inshootlarga huquqiy hujjatlarni kiritsh")</f>
        <v>0</v>
      </c>
      <c r="BF90" s="11">
        <f>+COUNTIFS('muddati otgan'!C:C,A90,'muddati otgan'!J:J,"Kadastr qiymatini hisoblash va kiritish")</f>
        <v>0</v>
      </c>
      <c r="BG90" s="11">
        <f>+COUNTIFS('muddati otgan'!C:C,A90,'muddati otgan'!J:J,"Kadastr raqam biriktirish")</f>
        <v>0</v>
      </c>
      <c r="BH90" s="11">
        <f>+COUNTIFS('muddati otgan'!C:C,A90,'muddati otgan'!J:J,"Kadastr yig'ma jildni tayyorlash")</f>
        <v>0</v>
      </c>
      <c r="BI90" s="11">
        <f>+COUNTIFS('muddati otgan'!C:C,A90,'muddati otgan'!J:J,"Huquqni yaratish")</f>
        <v>0</v>
      </c>
      <c r="BJ90" s="11">
        <f>+COUNTIFS('muddati otgan'!C:C,A90,'muddati otgan'!J:J,"Hujjatlarni o'rganish")</f>
        <v>0</v>
      </c>
      <c r="BK90" s="11">
        <f>+COUNTIFS('muddati otgan'!C:C,A90,'muddati otgan'!J:J,"Ma'lumotlarni tekshirish")</f>
        <v>0</v>
      </c>
      <c r="BL90" s="11">
        <f t="shared" si="177"/>
        <v>0</v>
      </c>
      <c r="BM90" s="11">
        <f>+COUNTIFS('muddati otgan'!C:C,A90,'muddati otgan'!J:J,"Tekshirish")</f>
        <v>0</v>
      </c>
      <c r="BN90" s="11">
        <f>+COUNTIFS('muddati otgan'!C:C,A90,'muddati otgan'!J:J,"Hujjatlarni tekshirish")</f>
        <v>0</v>
      </c>
      <c r="BO90" s="11">
        <f>+COUNTIFS('muddati otgan'!C:C,A90,'muddati otgan'!J:J,"Tasdiqlash")</f>
        <v>0</v>
      </c>
      <c r="BP90" s="11">
        <f>+COUNTIFS('muddati otgan'!C:C,A90,'muddati otgan'!J:J,"tekshirish/tasdiqlash")</f>
        <v>0</v>
      </c>
      <c r="BQ90" s="11">
        <f>+COUNTIFS('muddati otgan'!C:C,A90,'muddati otgan'!J:J,"Ma'lumotlarni tasdiqlash")</f>
        <v>0</v>
      </c>
      <c r="BR90" s="11">
        <f t="shared" si="178"/>
        <v>0</v>
      </c>
      <c r="BS90" s="11">
        <f>+COUNTIFS('muddati otgan'!C:C,A90,'muddati otgan'!J:J,"Ro'yxatdan o'tkazish ma'lumotlarini tekshirish")</f>
        <v>0</v>
      </c>
      <c r="BT90" s="11">
        <f>+COUNTIFS('muddati otgan'!C:C,A90,'muddati otgan'!J:J,"Kamchiliklar bo'yicha habarnoma yuborish va 3 kunga to'xtatish")</f>
        <v>0</v>
      </c>
      <c r="BU90" s="11">
        <f>+COUNTIFS('muddati otgan'!C:C,A90,'muddati otgan'!J:J,"Hisobga olish")</f>
        <v>0</v>
      </c>
      <c r="BV90" s="11">
        <f>+COUNTIFS('muddati otgan'!C:C,A90,'muddati otgan'!J:J,"Yer uchastkasiga huquq yaratish")</f>
        <v>0</v>
      </c>
      <c r="BW90" s="11">
        <f>+COUNTIFS('muddati otgan'!C:C,A90,'muddati otgan'!J:J,"Bino-inshootga huquq yaratish")</f>
        <v>0</v>
      </c>
      <c r="BX90" s="11">
        <f>+COUNTIFS('muddati otgan'!C:C,A90,'muddati otgan'!J:J,"Cheklov yaratish")</f>
        <v>0</v>
      </c>
      <c r="BY90" s="11">
        <f>+COUNTIFS('muddati otgan'!C:C,A90,'muddati otgan'!J:J,"Taqiq yaratish")</f>
        <v>0</v>
      </c>
      <c r="BZ90" s="11">
        <f t="shared" si="179"/>
        <v>0</v>
      </c>
      <c r="CA90" s="11">
        <f>+COUNTIFS('muddati otgan'!C:C,A90,'muddati otgan'!J:J,"Soliq maydonini tekshirish")</f>
        <v>0</v>
      </c>
      <c r="CB90" s="11">
        <f t="shared" si="180"/>
        <v>0</v>
      </c>
      <c r="CC90" s="11">
        <f>+COUNTIFS('muddati otgan'!C:C,A90,'muddati otgan'!J:J,"Kadastr yig'majildini shakllantirish")</f>
        <v>0</v>
      </c>
      <c r="CD90" s="11">
        <f t="shared" si="181"/>
        <v>0</v>
      </c>
      <c r="CE90" s="11">
        <f>+COUNTIFS('muddati otgan'!C:C,A90,'muddati otgan'!J:J,"Kadastr passportini shakllantirish")</f>
        <v>0</v>
      </c>
      <c r="CF90" s="11">
        <f>+COUNTIFS('muddati otgan'!C:C,A90,'muddati otgan'!J:J,"Yig'ma jildni tasdiqlash")</f>
        <v>0</v>
      </c>
      <c r="CG90" s="11">
        <f>+COUNTIFS('muddati otgan'!C:C,A90,'muddati otgan'!J:J,"To'lov yoki bepul tasdiqlash")</f>
        <v>0</v>
      </c>
      <c r="CH90" s="11">
        <f>+COUNTIFS('muddati otgan'!C:C,A90,'muddati otgan'!J:J,"Bog'liq arizani kutish")</f>
        <v>0</v>
      </c>
      <c r="CI90" s="11">
        <f>+COUNTIFS('muddati otgan'!C:C,A90,'muddati otgan'!J:J,"To'lovga chiqarish")</f>
        <v>0</v>
      </c>
      <c r="CJ90" s="11">
        <f>+COUNTIFS('muddati otgan'!C:C,A90,'muddati otgan'!J:J,"Hisobga qo'yish")</f>
        <v>0</v>
      </c>
      <c r="CK90" s="6">
        <f>+COUNTIFS('muddati otgan'!C:C,A90,'muddati otgan'!J:J,"To'lov kutilmoqda")</f>
        <v>0</v>
      </c>
      <c r="CL90" s="11">
        <f t="shared" si="182"/>
        <v>1</v>
      </c>
      <c r="CM90" s="11">
        <f>+COUNTIFS('muddati otgan'!C:C,A90,'muddati otgan'!AA:AA,"Arizani qabul qilish2")</f>
        <v>0</v>
      </c>
      <c r="CN90" s="11">
        <f>+COUNTIFS('muddati otgan'!C:C,A90,'muddati otgan'!J:J,"Huquqlarni tekshirish")</f>
        <v>0</v>
      </c>
      <c r="CO90" s="11">
        <f>+COUNTIFS('muddati otgan'!C:C,A90,'muddati otgan'!J:J,"Ko'chmas mulkni ro'yhatdan o'tkazishga qabul qilish")</f>
        <v>0</v>
      </c>
      <c r="CP90" s="11">
        <f>+COUNTIFS('muddati otgan'!C:C,A90,'muddati otgan'!J:J,"Ro'yxatdan o'tkazish")</f>
        <v>1</v>
      </c>
      <c r="CQ90" s="11">
        <f>+COUNTIFS('muddati otgan'!C:C,A90,'muddati otgan'!J:J,"Kadastr pasporti va ko'chirmani yuborish")</f>
        <v>0</v>
      </c>
      <c r="CR90" s="11">
        <f>+COUNTIFS('muddati otgan'!C:C,A90,'muddati otgan'!AA:AA,"Rad qilish2")</f>
        <v>0</v>
      </c>
      <c r="CS90" s="11">
        <f>+COUNTIFS('muddati otgan'!C:C,A90,'muddati otgan'!J:J,"Ko'chirmani yuborish")</f>
        <v>0</v>
      </c>
      <c r="CT90" s="11">
        <f>+COUNTIFS('muddati otgan'!C:C,A90,'muddati otgan'!J:J,"Ma‘lumotlarni tekshirish")</f>
        <v>0</v>
      </c>
      <c r="CU90" s="11">
        <f t="shared" si="183"/>
        <v>1</v>
      </c>
      <c r="CV90" s="11">
        <f>+COUNTIFS('muddati otgan'!C:C,A90,'muddati otgan'!J:J,"Kadastr yig'majildini chop etish va arxiv ishiga tikish")</f>
        <v>1</v>
      </c>
      <c r="CW90" s="11">
        <f t="shared" si="184"/>
        <v>0</v>
      </c>
      <c r="CX90" s="11">
        <f>+COUNTIFS('muddati otgan'!C:C,A90,'muddati otgan'!J:J,"Kadastr yig‘majildini qabul qilish, arizani yakunlash")</f>
        <v>0</v>
      </c>
      <c r="CY90" s="11">
        <f>+COUNTIFS('muddati otgan'!C:C,A90,'muddati otgan'!J:J,"Next Cloudga yuklash")</f>
        <v>0</v>
      </c>
      <c r="CZ90" s="6">
        <f>+COUNTIFS('muddati otgan'!C:C,A90,'muddati otgan'!J:J,"Kelishish kutilmoqda")</f>
        <v>0</v>
      </c>
      <c r="DA90" s="6">
        <f>+COUNTIFS('muddati otgan'!C:C,A90,'muddati otgan'!J:J,"Yakunlandi")</f>
        <v>0</v>
      </c>
      <c r="DB90" s="10">
        <f>+COUNTIFS('muddati otgan'!C:C,A90,'muddati otgan'!J:J,"Rad etildi")</f>
        <v>0</v>
      </c>
      <c r="DC90" s="100">
        <f t="shared" si="185"/>
        <v>-3</v>
      </c>
      <c r="DD90" s="44">
        <f>COUNTIFS('jami 1-20 kunlik arizalar'!C:C,A:A,'jami 1-20 kunlik arizalar'!S:S,"1")</f>
        <v>0</v>
      </c>
      <c r="DE90" s="11">
        <f>COUNTIFS('jami 1-20 kunlik arizalar'!C:C,A:A,'jami 1-20 kunlik arizalar'!S:S,"2")</f>
        <v>0</v>
      </c>
      <c r="DF90" s="11">
        <f>COUNTIFS('jami 1-20 kunlik arizalar'!C:C,A:A,'jami 1-20 kunlik arizalar'!S:S,"3")</f>
        <v>1</v>
      </c>
      <c r="DG90" s="11">
        <f>COUNTIFS('jami 1-20 kunlik arizalar'!C:C,A:A,'jami 1-20 kunlik arizalar'!S:S,"4")</f>
        <v>2</v>
      </c>
      <c r="DH90" s="11">
        <f>COUNTIFS('jami 1-20 kunlik arizalar'!C:C,A:A,'jami 1-20 kunlik arizalar'!S:S,"5")</f>
        <v>1</v>
      </c>
      <c r="DI90" s="11">
        <f>SUM(COUNTIFS('jami 1-20 kunlik arizalar'!C:C,A:A, 'jami 1-20 kunlik arizalar'!S:S, {6,7,8,9,10}))</f>
        <v>12</v>
      </c>
      <c r="DJ90" s="12">
        <f>SUM(COUNTIFS('jami 1-20 kunlik arizalar'!C:C,A:A, 'jami 1-20 kunlik arizalar'!S:S, "&gt;10"))</f>
        <v>11</v>
      </c>
    </row>
    <row r="91" spans="1:114" ht="51.95" hidden="1" customHeight="1" outlineLevel="1" x14ac:dyDescent="0.25">
      <c r="A91" s="92" t="s">
        <v>640</v>
      </c>
      <c r="B91" s="107" t="s">
        <v>957</v>
      </c>
      <c r="C91" s="85" t="s">
        <v>801</v>
      </c>
      <c r="D91" s="80">
        <f>+COUNTIFS('muddati otgan'!C:C,A91,'muddati otgan'!C:C,A91)</f>
        <v>3</v>
      </c>
      <c r="E91" s="10">
        <f>SUMIFS('muddati otgan'!$V:V,'muddati otgan'!$C:C,$A:A)</f>
        <v>1</v>
      </c>
      <c r="F91" s="10">
        <f>SUMIFS('muddati otgan'!$W:W,'muddati otgan'!$C:C,$A:A)</f>
        <v>0</v>
      </c>
      <c r="G91" s="24">
        <f>SUMIFS('muddati otgan'!$U:U,'muddati otgan'!$C:C,$A:A)</f>
        <v>2</v>
      </c>
      <c r="H91" s="11">
        <f>SUMIFS('muddati otgan'!$G:G,'muddati otgan'!$C:C,$A:A)</f>
        <v>0</v>
      </c>
      <c r="I91" s="12">
        <f>SUMIFS('muddati otgan'!$H:H,'muddati otgan'!$C:C,$A:A)</f>
        <v>3</v>
      </c>
      <c r="J91" s="44">
        <f t="shared" si="169"/>
        <v>0</v>
      </c>
      <c r="K91" s="11">
        <f>+COUNTIFS('muddati otgan'!C:C,A91,'muddati otgan'!AA:AA,"Arizani qabul qilish")</f>
        <v>0</v>
      </c>
      <c r="L91" s="11">
        <f>+COUNTIFS('muddati otgan'!C:C,A91,'muddati otgan'!J:J,"Arizani rad etish")</f>
        <v>0</v>
      </c>
      <c r="M91" s="11">
        <f>+COUNTIFS('muddati otgan'!C:C,A91,'muddati otgan'!J:J,"Arizani tasdiqlash")</f>
        <v>0</v>
      </c>
      <c r="N91" s="11">
        <f>+COUNTIFS('muddati otgan'!C:C,A91,'muddati otgan'!J:J,"Arizani yo'naltirish")</f>
        <v>0</v>
      </c>
      <c r="O91" s="11">
        <f>+COUNTIFS('muddati otgan'!C:C,A91,'muddati otgan'!J:J,"Rad qilish sababini o'rganish")</f>
        <v>0</v>
      </c>
      <c r="P91" s="11">
        <f>+COUNTIFS('muddati otgan'!C:C,A91,'muddati otgan'!J:J,"Ko'chmas mulkni UZKAD ga migratsiya qilish")</f>
        <v>0</v>
      </c>
      <c r="Q91" s="11">
        <f>+COUNTIFS('muddati otgan'!C:C,A91,'muddati otgan'!J:J,"Migratisya qilingan obyekt holatini tekshirish")</f>
        <v>0</v>
      </c>
      <c r="R91" s="11">
        <f>+COUNTIFS('muddati otgan'!C:C,A91,'muddati otgan'!J:J,"Ko‘chmas mulkni tanlash")</f>
        <v>0</v>
      </c>
      <c r="S91" s="11">
        <f>+COUNTIFS('muddati otgan'!C:C,A91,'muddati otgan'!J:J,"Arizani ko'rib chiqish")</f>
        <v>0</v>
      </c>
      <c r="T91" s="11">
        <f>+COUNTIFS('muddati otgan'!C:C,A91,'muddati otgan'!J:J,"Kadastr muhandisini tanlash")</f>
        <v>0</v>
      </c>
      <c r="U91" s="11">
        <f>+COUNTIFS('muddati otgan'!C:C,A91,'muddati otgan'!J:J,"Ko'chmas mulk turini tanlahsh")</f>
        <v>0</v>
      </c>
      <c r="V91" s="11">
        <f>+COUNTIFS('muddati otgan'!C:C,A91,'muddati otgan'!AA:AA,"Rad qilish")</f>
        <v>0</v>
      </c>
      <c r="W91" s="11">
        <f>+COUNTIFS('muddati otgan'!C:C,A91,'muddati otgan'!J:J,"ijrochi tanlash")</f>
        <v>0</v>
      </c>
      <c r="X91" s="11">
        <f>+COUNTIFS('muddati otgan'!C:C,A91,'muddati otgan'!J:J,"Ko'chmas mulk turini tanlash")</f>
        <v>0</v>
      </c>
      <c r="Y91" s="11">
        <f t="shared" si="170"/>
        <v>0</v>
      </c>
      <c r="Z91" s="11">
        <f>+COUNTIFS('muddati otgan'!C:C,A91,'muddati otgan'!J:J,"Ijroga qabul qilish")</f>
        <v>0</v>
      </c>
      <c r="AA91" s="11">
        <f>+COUNTIFS('muddati otgan'!C:C,A91,'muddati otgan'!J:J,"Joyida o'rganish va ma'lumotlarni kiritish")</f>
        <v>0</v>
      </c>
      <c r="AB91" s="11">
        <f>+COUNTIFS('muddati otgan'!C:C,A91,'muddati otgan'!J:J,"Asosiy qismdan ajratish jarayonida")</f>
        <v>0</v>
      </c>
      <c r="AC91" s="11">
        <f>+COUNTIFS('muddati otgan'!C:C,A91,'muddati otgan'!J:J,"Umumiy foydalanishdagi obyekt yaratilish")</f>
        <v>0</v>
      </c>
      <c r="AD91" s="11">
        <f>+COUNTIFS('muddati otgan'!C:C,A91,'muddati otgan'!J:J,"Migratsiya qilinadigan kadastr raqamini kiritish")</f>
        <v>0</v>
      </c>
      <c r="AE91" s="11">
        <f>+COUNTIFS('muddati otgan'!C:C,A91,'muddati otgan'!J:J,"O'zida qolgan obyektni yaratish")</f>
        <v>0</v>
      </c>
      <c r="AF91" s="11">
        <f>+COUNTIFS('muddati otgan'!C:C,A91,'muddati otgan'!J:J,"O'lchov natijalarini kiritish")</f>
        <v>0</v>
      </c>
      <c r="AG91" s="11">
        <f>+COUNTIFS('muddati otgan'!C:C,A91,'muddati otgan'!J:J,"Topoxaritani tayyorlash (dwg, pdf)")</f>
        <v>0</v>
      </c>
      <c r="AH91" s="11">
        <f t="shared" si="171"/>
        <v>0</v>
      </c>
      <c r="AI91" s="11">
        <f>+COUNTIFS('muddati otgan'!C:C,A91,'muddati otgan'!J:J,"Yer uchastkasini yaratish")</f>
        <v>0</v>
      </c>
      <c r="AJ91" s="11">
        <f t="shared" si="172"/>
        <v>0</v>
      </c>
      <c r="AK91" s="11">
        <f>+COUNTIFS('muddati otgan'!C:C,A91,'muddati otgan'!J:J,"Kelishish (Boshqarma)")</f>
        <v>0</v>
      </c>
      <c r="AL91" s="11">
        <f t="shared" si="173"/>
        <v>0</v>
      </c>
      <c r="AM91" s="11">
        <f>+COUNTIFS('muddati otgan'!C:C,A91,'muddati otgan'!J:J,"Kelishish (DKP)")</f>
        <v>0</v>
      </c>
      <c r="AN91" s="11">
        <f>+COUNTIFS('muddati otgan'!C:C,A91,'muddati otgan'!J:J,"Kelishish")</f>
        <v>0</v>
      </c>
      <c r="AO91" s="11">
        <f>+COUNTIFS('muddati otgan'!C:C,A91,'muddati otgan'!J:J,"Kelishish (Registratsiya DKP)")</f>
        <v>0</v>
      </c>
      <c r="AP91" s="11">
        <f t="shared" si="174"/>
        <v>0</v>
      </c>
      <c r="AQ91" s="11">
        <f>+COUNTIFS('muddati otgan'!C:C,A91,'muddati otgan'!J:J,"Manzil biriktirish")</f>
        <v>0</v>
      </c>
      <c r="AR91" s="11">
        <f>+COUNTIFS('muddati otgan'!C:C,A91,'muddati otgan'!J:J,"Bino va inshootlarni yaratish")</f>
        <v>0</v>
      </c>
      <c r="AS91" s="11">
        <f>+COUNTIFS('muddati otgan'!C:C,A91,'muddati otgan'!J:J,"Dov daraxtlarni yaratish")</f>
        <v>0</v>
      </c>
      <c r="AT91" s="11">
        <f>+COUNTIFS('muddati otgan'!C:C,A91,'muddati otgan'!J:J,"Yer uchastkasini tahrirlash")</f>
        <v>0</v>
      </c>
      <c r="AU91" s="11">
        <f t="shared" si="175"/>
        <v>0</v>
      </c>
      <c r="AV91" s="11">
        <f>+COUNTIFS('muddati otgan'!C:C,A91,'muddati otgan'!J:J,"Yer toifasi va maqsadini kiritish")</f>
        <v>0</v>
      </c>
      <c r="AW91" s="11">
        <f>+COUNTIFS('muddati otgan'!C:C,A91,'muddati otgan'!J:J,"Auksion yer tekshirish")</f>
        <v>0</v>
      </c>
      <c r="AX91" s="11">
        <f>+COUNTIFS('muddati otgan'!C:C,A91,'muddati otgan'!J:J,"Yer turlarini kiritish")</f>
        <v>0</v>
      </c>
      <c r="AY91" s="11">
        <f>+COUNTIFS('muddati otgan'!C:C,A91,'muddati otgan'!J:J,"Ma'lumotlarni kiritish")</f>
        <v>0</v>
      </c>
      <c r="AZ91" s="11">
        <f>+COUNTIFS('muddati otgan'!C:C,A91,'muddati otgan'!J:J,"Yer tekshirish")</f>
        <v>0</v>
      </c>
      <c r="BA91" s="11">
        <f t="shared" si="176"/>
        <v>0</v>
      </c>
      <c r="BB91" s="11">
        <f>+COUNTIFS('muddati otgan'!C:C,A91,'muddati otgan'!J:J,"Bino va inshoot ma'lumotlarini to‘ldirish")</f>
        <v>0</v>
      </c>
      <c r="BC91" s="11">
        <f>+COUNTIFS('muddati otgan'!C:C,A91,'muddati otgan'!J:J,"Inventarizatsiya ma'lumotlarini to‘ldirish")</f>
        <v>0</v>
      </c>
      <c r="BD91" s="11">
        <f>+COUNTIFS('muddati otgan'!C:C,A91,'muddati otgan'!J:J,"Yer uchastkasiga huquqiy hujjatlarni kiritsh")</f>
        <v>0</v>
      </c>
      <c r="BE91" s="11">
        <f>+COUNTIFS('muddati otgan'!C:C,A91,'muddati otgan'!J:J,"Bino-inshootlarga huquqiy hujjatlarni kiritsh")</f>
        <v>0</v>
      </c>
      <c r="BF91" s="11">
        <f>+COUNTIFS('muddati otgan'!C:C,A91,'muddati otgan'!J:J,"Kadastr qiymatini hisoblash va kiritish")</f>
        <v>0</v>
      </c>
      <c r="BG91" s="11">
        <f>+COUNTIFS('muddati otgan'!C:C,A91,'muddati otgan'!J:J,"Kadastr raqam biriktirish")</f>
        <v>0</v>
      </c>
      <c r="BH91" s="11">
        <f>+COUNTIFS('muddati otgan'!C:C,A91,'muddati otgan'!J:J,"Kadastr yig'ma jildni tayyorlash")</f>
        <v>0</v>
      </c>
      <c r="BI91" s="11">
        <f>+COUNTIFS('muddati otgan'!C:C,A91,'muddati otgan'!J:J,"Huquqni yaratish")</f>
        <v>0</v>
      </c>
      <c r="BJ91" s="11">
        <f>+COUNTIFS('muddati otgan'!C:C,A91,'muddati otgan'!J:J,"Hujjatlarni o'rganish")</f>
        <v>0</v>
      </c>
      <c r="BK91" s="11">
        <f>+COUNTIFS('muddati otgan'!C:C,A91,'muddati otgan'!J:J,"Ma'lumotlarni tekshirish")</f>
        <v>0</v>
      </c>
      <c r="BL91" s="11">
        <f t="shared" si="177"/>
        <v>0</v>
      </c>
      <c r="BM91" s="11">
        <f>+COUNTIFS('muddati otgan'!C:C,A91,'muddati otgan'!J:J,"Tekshirish")</f>
        <v>0</v>
      </c>
      <c r="BN91" s="11">
        <f>+COUNTIFS('muddati otgan'!C:C,A91,'muddati otgan'!J:J,"Hujjatlarni tekshirish")</f>
        <v>0</v>
      </c>
      <c r="BO91" s="11">
        <f>+COUNTIFS('muddati otgan'!C:C,A91,'muddati otgan'!J:J,"Tasdiqlash")</f>
        <v>0</v>
      </c>
      <c r="BP91" s="11">
        <f>+COUNTIFS('muddati otgan'!C:C,A91,'muddati otgan'!J:J,"tekshirish/tasdiqlash")</f>
        <v>0</v>
      </c>
      <c r="BQ91" s="11">
        <f>+COUNTIFS('muddati otgan'!C:C,A91,'muddati otgan'!J:J,"Ma'lumotlarni tasdiqlash")</f>
        <v>0</v>
      </c>
      <c r="BR91" s="11">
        <f t="shared" si="178"/>
        <v>1</v>
      </c>
      <c r="BS91" s="11">
        <f>+COUNTIFS('muddati otgan'!C:C,A91,'muddati otgan'!J:J,"Ro'yxatdan o'tkazish ma'lumotlarini tekshirish")</f>
        <v>1</v>
      </c>
      <c r="BT91" s="11">
        <f>+COUNTIFS('muddati otgan'!C:C,A91,'muddati otgan'!J:J,"Kamchiliklar bo'yicha habarnoma yuborish va 3 kunga to'xtatish")</f>
        <v>0</v>
      </c>
      <c r="BU91" s="11">
        <f>+COUNTIFS('muddati otgan'!C:C,A91,'muddati otgan'!J:J,"Hisobga olish")</f>
        <v>0</v>
      </c>
      <c r="BV91" s="11">
        <f>+COUNTIFS('muddati otgan'!C:C,A91,'muddati otgan'!J:J,"Yer uchastkasiga huquq yaratish")</f>
        <v>0</v>
      </c>
      <c r="BW91" s="11">
        <f>+COUNTIFS('muddati otgan'!C:C,A91,'muddati otgan'!J:J,"Bino-inshootga huquq yaratish")</f>
        <v>0</v>
      </c>
      <c r="BX91" s="11">
        <f>+COUNTIFS('muddati otgan'!C:C,A91,'muddati otgan'!J:J,"Cheklov yaratish")</f>
        <v>0</v>
      </c>
      <c r="BY91" s="11">
        <f>+COUNTIFS('muddati otgan'!C:C,A91,'muddati otgan'!J:J,"Taqiq yaratish")</f>
        <v>0</v>
      </c>
      <c r="BZ91" s="11">
        <f t="shared" si="179"/>
        <v>0</v>
      </c>
      <c r="CA91" s="11">
        <f>+COUNTIFS('muddati otgan'!C:C,A91,'muddati otgan'!J:J,"Soliq maydonini tekshirish")</f>
        <v>0</v>
      </c>
      <c r="CB91" s="11">
        <f t="shared" si="180"/>
        <v>0</v>
      </c>
      <c r="CC91" s="11">
        <f>+COUNTIFS('muddati otgan'!C:C,A91,'muddati otgan'!J:J,"Kadastr yig'majildini shakllantirish")</f>
        <v>0</v>
      </c>
      <c r="CD91" s="11">
        <f t="shared" si="181"/>
        <v>2</v>
      </c>
      <c r="CE91" s="11">
        <f>+COUNTIFS('muddati otgan'!C:C,A91,'muddati otgan'!J:J,"Kadastr passportini shakllantirish")</f>
        <v>1</v>
      </c>
      <c r="CF91" s="11">
        <f>+COUNTIFS('muddati otgan'!C:C,A91,'muddati otgan'!J:J,"Yig'ma jildni tasdiqlash")</f>
        <v>0</v>
      </c>
      <c r="CG91" s="11">
        <f>+COUNTIFS('muddati otgan'!C:C,A91,'muddati otgan'!J:J,"To'lov yoki bepul tasdiqlash")</f>
        <v>0</v>
      </c>
      <c r="CH91" s="11">
        <f>+COUNTIFS('muddati otgan'!C:C,A91,'muddati otgan'!J:J,"Bog'liq arizani kutish")</f>
        <v>1</v>
      </c>
      <c r="CI91" s="11">
        <f>+COUNTIFS('muddati otgan'!C:C,A91,'muddati otgan'!J:J,"To'lovga chiqarish")</f>
        <v>0</v>
      </c>
      <c r="CJ91" s="11">
        <f>+COUNTIFS('muddati otgan'!C:C,A91,'muddati otgan'!J:J,"Hisobga qo'yish")</f>
        <v>0</v>
      </c>
      <c r="CK91" s="6">
        <f>+COUNTIFS('muddati otgan'!C:C,A91,'muddati otgan'!J:J,"To'lov kutilmoqda")</f>
        <v>0</v>
      </c>
      <c r="CL91" s="11">
        <f t="shared" si="182"/>
        <v>0</v>
      </c>
      <c r="CM91" s="11">
        <f>+COUNTIFS('muddati otgan'!C:C,A91,'muddati otgan'!AA:AA,"Arizani qabul qilish2")</f>
        <v>0</v>
      </c>
      <c r="CN91" s="11">
        <f>+COUNTIFS('muddati otgan'!C:C,A91,'muddati otgan'!J:J,"Huquqlarni tekshirish")</f>
        <v>0</v>
      </c>
      <c r="CO91" s="11">
        <f>+COUNTIFS('muddati otgan'!C:C,A91,'muddati otgan'!J:J,"Ko'chmas mulkni ro'yhatdan o'tkazishga qabul qilish")</f>
        <v>0</v>
      </c>
      <c r="CP91" s="11">
        <f>+COUNTIFS('muddati otgan'!C:C,A91,'muddati otgan'!J:J,"Ro'yxatdan o'tkazish")</f>
        <v>0</v>
      </c>
      <c r="CQ91" s="11">
        <f>+COUNTIFS('muddati otgan'!C:C,A91,'muddati otgan'!J:J,"Kadastr pasporti va ko'chirmani yuborish")</f>
        <v>0</v>
      </c>
      <c r="CR91" s="11">
        <f>+COUNTIFS('muddati otgan'!C:C,A91,'muddati otgan'!AA:AA,"Rad qilish2")</f>
        <v>0</v>
      </c>
      <c r="CS91" s="11">
        <f>+COUNTIFS('muddati otgan'!C:C,A91,'muddati otgan'!J:J,"Ko'chirmani yuborish")</f>
        <v>0</v>
      </c>
      <c r="CT91" s="11">
        <f>+COUNTIFS('muddati otgan'!C:C,A91,'muddati otgan'!J:J,"Ma‘lumotlarni tekshirish")</f>
        <v>0</v>
      </c>
      <c r="CU91" s="11">
        <f t="shared" si="183"/>
        <v>0</v>
      </c>
      <c r="CV91" s="11">
        <f>+COUNTIFS('muddati otgan'!C:C,A91,'muddati otgan'!J:J,"Kadastr yig'majildini chop etish va arxiv ishiga tikish")</f>
        <v>0</v>
      </c>
      <c r="CW91" s="11">
        <f t="shared" si="184"/>
        <v>0</v>
      </c>
      <c r="CX91" s="11">
        <f>+COUNTIFS('muddati otgan'!C:C,A91,'muddati otgan'!J:J,"Kadastr yig‘majildini qabul qilish, arizani yakunlash")</f>
        <v>0</v>
      </c>
      <c r="CY91" s="11">
        <f>+COUNTIFS('muddati otgan'!C:C,A91,'muddati otgan'!J:J,"Next Cloudga yuklash")</f>
        <v>0</v>
      </c>
      <c r="CZ91" s="6">
        <f>+COUNTIFS('muddati otgan'!C:C,A91,'muddati otgan'!J:J,"Kelishish kutilmoqda")</f>
        <v>0</v>
      </c>
      <c r="DA91" s="6">
        <f>+COUNTIFS('muddati otgan'!C:C,A91,'muddati otgan'!J:J,"Yakunlandi")</f>
        <v>0</v>
      </c>
      <c r="DB91" s="10">
        <f>+COUNTIFS('muddati otgan'!C:C,A91,'muddati otgan'!J:J,"Rad etildi")</f>
        <v>0</v>
      </c>
      <c r="DC91" s="100">
        <f t="shared" si="185"/>
        <v>-3</v>
      </c>
      <c r="DD91" s="44">
        <f>COUNTIFS('jami 1-20 kunlik arizalar'!C:C,A:A,'jami 1-20 kunlik arizalar'!S:S,"1")</f>
        <v>0</v>
      </c>
      <c r="DE91" s="11">
        <f>COUNTIFS('jami 1-20 kunlik arizalar'!C:C,A:A,'jami 1-20 kunlik arizalar'!S:S,"2")</f>
        <v>0</v>
      </c>
      <c r="DF91" s="11">
        <f>COUNTIFS('jami 1-20 kunlik arizalar'!C:C,A:A,'jami 1-20 kunlik arizalar'!S:S,"3")</f>
        <v>2</v>
      </c>
      <c r="DG91" s="11">
        <f>COUNTIFS('jami 1-20 kunlik arizalar'!C:C,A:A,'jami 1-20 kunlik arizalar'!S:S,"4")</f>
        <v>3</v>
      </c>
      <c r="DH91" s="11">
        <f>COUNTIFS('jami 1-20 kunlik arizalar'!C:C,A:A,'jami 1-20 kunlik arizalar'!S:S,"5")</f>
        <v>1</v>
      </c>
      <c r="DI91" s="11">
        <f>SUM(COUNTIFS('jami 1-20 kunlik arizalar'!C:C,A:A, 'jami 1-20 kunlik arizalar'!S:S, {6,7,8,9,10}))</f>
        <v>4</v>
      </c>
      <c r="DJ91" s="12">
        <f>SUM(COUNTIFS('jami 1-20 kunlik arizalar'!C:C,A:A, 'jami 1-20 kunlik arizalar'!S:S, "&gt;10"))</f>
        <v>5</v>
      </c>
    </row>
    <row r="92" spans="1:114" ht="51.95" hidden="1" customHeight="1" outlineLevel="1" x14ac:dyDescent="0.25">
      <c r="A92" s="92" t="s">
        <v>633</v>
      </c>
      <c r="B92" s="107" t="s">
        <v>957</v>
      </c>
      <c r="C92" s="85" t="s">
        <v>802</v>
      </c>
      <c r="D92" s="80">
        <f>+COUNTIFS('muddati otgan'!C:C,A92,'muddati otgan'!C:C,A92)</f>
        <v>2</v>
      </c>
      <c r="E92" s="10">
        <f>SUMIFS('muddati otgan'!$V:V,'muddati otgan'!$C:C,$A:A)</f>
        <v>1</v>
      </c>
      <c r="F92" s="10">
        <f>SUMIFS('muddati otgan'!$W:W,'muddati otgan'!$C:C,$A:A)</f>
        <v>1</v>
      </c>
      <c r="G92" s="24">
        <f>SUMIFS('muddati otgan'!$U:U,'muddati otgan'!$C:C,$A:A)</f>
        <v>0</v>
      </c>
      <c r="H92" s="11">
        <f>SUMIFS('muddati otgan'!$G:G,'muddati otgan'!$C:C,$A:A)</f>
        <v>0</v>
      </c>
      <c r="I92" s="12">
        <f>SUMIFS('muddati otgan'!$H:H,'muddati otgan'!$C:C,$A:A)</f>
        <v>2</v>
      </c>
      <c r="J92" s="44">
        <f t="shared" si="169"/>
        <v>0</v>
      </c>
      <c r="K92" s="11">
        <f>+COUNTIFS('muddati otgan'!C:C,A92,'muddati otgan'!AA:AA,"Arizani qabul qilish")</f>
        <v>0</v>
      </c>
      <c r="L92" s="11">
        <f>+COUNTIFS('muddati otgan'!C:C,A92,'muddati otgan'!J:J,"Arizani rad etish")</f>
        <v>0</v>
      </c>
      <c r="M92" s="11">
        <f>+COUNTIFS('muddati otgan'!C:C,A92,'muddati otgan'!J:J,"Arizani tasdiqlash")</f>
        <v>0</v>
      </c>
      <c r="N92" s="11">
        <f>+COUNTIFS('muddati otgan'!C:C,A92,'muddati otgan'!J:J,"Arizani yo'naltirish")</f>
        <v>0</v>
      </c>
      <c r="O92" s="11">
        <f>+COUNTIFS('muddati otgan'!C:C,A92,'muddati otgan'!J:J,"Rad qilish sababini o'rganish")</f>
        <v>0</v>
      </c>
      <c r="P92" s="11">
        <f>+COUNTIFS('muddati otgan'!C:C,A92,'muddati otgan'!J:J,"Ko'chmas mulkni UZKAD ga migratsiya qilish")</f>
        <v>0</v>
      </c>
      <c r="Q92" s="11">
        <f>+COUNTIFS('muddati otgan'!C:C,A92,'muddati otgan'!J:J,"Migratisya qilingan obyekt holatini tekshirish")</f>
        <v>0</v>
      </c>
      <c r="R92" s="11">
        <f>+COUNTIFS('muddati otgan'!C:C,A92,'muddati otgan'!J:J,"Ko‘chmas mulkni tanlash")</f>
        <v>0</v>
      </c>
      <c r="S92" s="11">
        <f>+COUNTIFS('muddati otgan'!C:C,A92,'muddati otgan'!J:J,"Arizani ko'rib chiqish")</f>
        <v>0</v>
      </c>
      <c r="T92" s="11">
        <f>+COUNTIFS('muddati otgan'!C:C,A92,'muddati otgan'!J:J,"Kadastr muhandisini tanlash")</f>
        <v>0</v>
      </c>
      <c r="U92" s="11">
        <f>+COUNTIFS('muddati otgan'!C:C,A92,'muddati otgan'!J:J,"Ko'chmas mulk turini tanlahsh")</f>
        <v>0</v>
      </c>
      <c r="V92" s="11">
        <f>+COUNTIFS('muddati otgan'!C:C,A92,'muddati otgan'!AA:AA,"Rad qilish")</f>
        <v>0</v>
      </c>
      <c r="W92" s="11">
        <f>+COUNTIFS('muddati otgan'!C:C,A92,'muddati otgan'!J:J,"ijrochi tanlash")</f>
        <v>0</v>
      </c>
      <c r="X92" s="11">
        <f>+COUNTIFS('muddati otgan'!C:C,A92,'muddati otgan'!J:J,"Ko'chmas mulk turini tanlash")</f>
        <v>0</v>
      </c>
      <c r="Y92" s="11">
        <f t="shared" si="170"/>
        <v>0</v>
      </c>
      <c r="Z92" s="11">
        <f>+COUNTIFS('muddati otgan'!C:C,A92,'muddati otgan'!J:J,"Ijroga qabul qilish")</f>
        <v>0</v>
      </c>
      <c r="AA92" s="11">
        <f>+COUNTIFS('muddati otgan'!C:C,A92,'muddati otgan'!J:J,"Joyida o'rganish va ma'lumotlarni kiritish")</f>
        <v>0</v>
      </c>
      <c r="AB92" s="11">
        <f>+COUNTIFS('muddati otgan'!C:C,A92,'muddati otgan'!J:J,"Asosiy qismdan ajratish jarayonida")</f>
        <v>0</v>
      </c>
      <c r="AC92" s="11">
        <f>+COUNTIFS('muddati otgan'!C:C,A92,'muddati otgan'!J:J,"Umumiy foydalanishdagi obyekt yaratilish")</f>
        <v>0</v>
      </c>
      <c r="AD92" s="11">
        <f>+COUNTIFS('muddati otgan'!C:C,A92,'muddati otgan'!J:J,"Migratsiya qilinadigan kadastr raqamini kiritish")</f>
        <v>0</v>
      </c>
      <c r="AE92" s="11">
        <f>+COUNTIFS('muddati otgan'!C:C,A92,'muddati otgan'!J:J,"O'zida qolgan obyektni yaratish")</f>
        <v>0</v>
      </c>
      <c r="AF92" s="11">
        <f>+COUNTIFS('muddati otgan'!C:C,A92,'muddati otgan'!J:J,"O'lchov natijalarini kiritish")</f>
        <v>0</v>
      </c>
      <c r="AG92" s="11">
        <f>+COUNTIFS('muddati otgan'!C:C,A92,'muddati otgan'!J:J,"Topoxaritani tayyorlash (dwg, pdf)")</f>
        <v>0</v>
      </c>
      <c r="AH92" s="11">
        <f t="shared" si="171"/>
        <v>0</v>
      </c>
      <c r="AI92" s="11">
        <f>+COUNTIFS('muddati otgan'!C:C,A92,'muddati otgan'!J:J,"Yer uchastkasini yaratish")</f>
        <v>0</v>
      </c>
      <c r="AJ92" s="11">
        <f t="shared" si="172"/>
        <v>0</v>
      </c>
      <c r="AK92" s="11">
        <f>+COUNTIFS('muddati otgan'!C:C,A92,'muddati otgan'!J:J,"Kelishish (Boshqarma)")</f>
        <v>0</v>
      </c>
      <c r="AL92" s="11">
        <f t="shared" si="173"/>
        <v>0</v>
      </c>
      <c r="AM92" s="11">
        <f>+COUNTIFS('muddati otgan'!C:C,A92,'muddati otgan'!J:J,"Kelishish (DKP)")</f>
        <v>0</v>
      </c>
      <c r="AN92" s="11">
        <f>+COUNTIFS('muddati otgan'!C:C,A92,'muddati otgan'!J:J,"Kelishish")</f>
        <v>0</v>
      </c>
      <c r="AO92" s="11">
        <f>+COUNTIFS('muddati otgan'!C:C,A92,'muddati otgan'!J:J,"Kelishish (Registratsiya DKP)")</f>
        <v>0</v>
      </c>
      <c r="AP92" s="11">
        <f t="shared" si="174"/>
        <v>0</v>
      </c>
      <c r="AQ92" s="11">
        <f>+COUNTIFS('muddati otgan'!C:C,A92,'muddati otgan'!J:J,"Manzil biriktirish")</f>
        <v>0</v>
      </c>
      <c r="AR92" s="11">
        <f>+COUNTIFS('muddati otgan'!C:C,A92,'muddati otgan'!J:J,"Bino va inshootlarni yaratish")</f>
        <v>0</v>
      </c>
      <c r="AS92" s="11">
        <f>+COUNTIFS('muddati otgan'!C:C,A92,'muddati otgan'!J:J,"Dov daraxtlarni yaratish")</f>
        <v>0</v>
      </c>
      <c r="AT92" s="11">
        <f>+COUNTIFS('muddati otgan'!C:C,A92,'muddati otgan'!J:J,"Yer uchastkasini tahrirlash")</f>
        <v>0</v>
      </c>
      <c r="AU92" s="11">
        <f t="shared" si="175"/>
        <v>0</v>
      </c>
      <c r="AV92" s="11">
        <f>+COUNTIFS('muddati otgan'!C:C,A92,'muddati otgan'!J:J,"Yer toifasi va maqsadini kiritish")</f>
        <v>0</v>
      </c>
      <c r="AW92" s="11">
        <f>+COUNTIFS('muddati otgan'!C:C,A92,'muddati otgan'!J:J,"Auksion yer tekshirish")</f>
        <v>0</v>
      </c>
      <c r="AX92" s="11">
        <f>+COUNTIFS('muddati otgan'!C:C,A92,'muddati otgan'!J:J,"Yer turlarini kiritish")</f>
        <v>0</v>
      </c>
      <c r="AY92" s="11">
        <f>+COUNTIFS('muddati otgan'!C:C,A92,'muddati otgan'!J:J,"Ma'lumotlarni kiritish")</f>
        <v>0</v>
      </c>
      <c r="AZ92" s="11">
        <f>+COUNTIFS('muddati otgan'!C:C,A92,'muddati otgan'!J:J,"Yer tekshirish")</f>
        <v>0</v>
      </c>
      <c r="BA92" s="11">
        <f t="shared" si="176"/>
        <v>0</v>
      </c>
      <c r="BB92" s="11">
        <f>+COUNTIFS('muddati otgan'!C:C,A92,'muddati otgan'!J:J,"Bino va inshoot ma'lumotlarini to‘ldirish")</f>
        <v>0</v>
      </c>
      <c r="BC92" s="11">
        <f>+COUNTIFS('muddati otgan'!C:C,A92,'muddati otgan'!J:J,"Inventarizatsiya ma'lumotlarini to‘ldirish")</f>
        <v>0</v>
      </c>
      <c r="BD92" s="11">
        <f>+COUNTIFS('muddati otgan'!C:C,A92,'muddati otgan'!J:J,"Yer uchastkasiga huquqiy hujjatlarni kiritsh")</f>
        <v>0</v>
      </c>
      <c r="BE92" s="11">
        <f>+COUNTIFS('muddati otgan'!C:C,A92,'muddati otgan'!J:J,"Bino-inshootlarga huquqiy hujjatlarni kiritsh")</f>
        <v>0</v>
      </c>
      <c r="BF92" s="11">
        <f>+COUNTIFS('muddati otgan'!C:C,A92,'muddati otgan'!J:J,"Kadastr qiymatini hisoblash va kiritish")</f>
        <v>0</v>
      </c>
      <c r="BG92" s="11">
        <f>+COUNTIFS('muddati otgan'!C:C,A92,'muddati otgan'!J:J,"Kadastr raqam biriktirish")</f>
        <v>0</v>
      </c>
      <c r="BH92" s="11">
        <f>+COUNTIFS('muddati otgan'!C:C,A92,'muddati otgan'!J:J,"Kadastr yig'ma jildni tayyorlash")</f>
        <v>0</v>
      </c>
      <c r="BI92" s="11">
        <f>+COUNTIFS('muddati otgan'!C:C,A92,'muddati otgan'!J:J,"Huquqni yaratish")</f>
        <v>0</v>
      </c>
      <c r="BJ92" s="11">
        <f>+COUNTIFS('muddati otgan'!C:C,A92,'muddati otgan'!J:J,"Hujjatlarni o'rganish")</f>
        <v>0</v>
      </c>
      <c r="BK92" s="11">
        <f>+COUNTIFS('muddati otgan'!C:C,A92,'muddati otgan'!J:J,"Ma'lumotlarni tekshirish")</f>
        <v>0</v>
      </c>
      <c r="BL92" s="11">
        <f t="shared" si="177"/>
        <v>1</v>
      </c>
      <c r="BM92" s="11">
        <f>+COUNTIFS('muddati otgan'!C:C,A92,'muddati otgan'!J:J,"Tekshirish")</f>
        <v>1</v>
      </c>
      <c r="BN92" s="11">
        <f>+COUNTIFS('muddati otgan'!C:C,A92,'muddati otgan'!J:J,"Hujjatlarni tekshirish")</f>
        <v>0</v>
      </c>
      <c r="BO92" s="11">
        <f>+COUNTIFS('muddati otgan'!C:C,A92,'muddati otgan'!J:J,"Tasdiqlash")</f>
        <v>0</v>
      </c>
      <c r="BP92" s="11">
        <f>+COUNTIFS('muddati otgan'!C:C,A92,'muddati otgan'!J:J,"tekshirish/tasdiqlash")</f>
        <v>0</v>
      </c>
      <c r="BQ92" s="11">
        <f>+COUNTIFS('muddati otgan'!C:C,A92,'muddati otgan'!J:J,"Ma'lumotlarni tasdiqlash")</f>
        <v>0</v>
      </c>
      <c r="BR92" s="11">
        <f t="shared" si="178"/>
        <v>0</v>
      </c>
      <c r="BS92" s="11">
        <f>+COUNTIFS('muddati otgan'!C:C,A92,'muddati otgan'!J:J,"Ro'yxatdan o'tkazish ma'lumotlarini tekshirish")</f>
        <v>0</v>
      </c>
      <c r="BT92" s="11">
        <f>+COUNTIFS('muddati otgan'!C:C,A92,'muddati otgan'!J:J,"Kamchiliklar bo'yicha habarnoma yuborish va 3 kunga to'xtatish")</f>
        <v>0</v>
      </c>
      <c r="BU92" s="11">
        <f>+COUNTIFS('muddati otgan'!C:C,A92,'muddati otgan'!J:J,"Hisobga olish")</f>
        <v>0</v>
      </c>
      <c r="BV92" s="11">
        <f>+COUNTIFS('muddati otgan'!C:C,A92,'muddati otgan'!J:J,"Yer uchastkasiga huquq yaratish")</f>
        <v>0</v>
      </c>
      <c r="BW92" s="11">
        <f>+COUNTIFS('muddati otgan'!C:C,A92,'muddati otgan'!J:J,"Bino-inshootga huquq yaratish")</f>
        <v>0</v>
      </c>
      <c r="BX92" s="11">
        <f>+COUNTIFS('muddati otgan'!C:C,A92,'muddati otgan'!J:J,"Cheklov yaratish")</f>
        <v>0</v>
      </c>
      <c r="BY92" s="11">
        <f>+COUNTIFS('muddati otgan'!C:C,A92,'muddati otgan'!J:J,"Taqiq yaratish")</f>
        <v>0</v>
      </c>
      <c r="BZ92" s="11">
        <f t="shared" si="179"/>
        <v>0</v>
      </c>
      <c r="CA92" s="11">
        <f>+COUNTIFS('muddati otgan'!C:C,A92,'muddati otgan'!J:J,"Soliq maydonini tekshirish")</f>
        <v>0</v>
      </c>
      <c r="CB92" s="11">
        <f t="shared" si="180"/>
        <v>0</v>
      </c>
      <c r="CC92" s="11">
        <f>+COUNTIFS('muddati otgan'!C:C,A92,'muddati otgan'!J:J,"Kadastr yig'majildini shakllantirish")</f>
        <v>0</v>
      </c>
      <c r="CD92" s="11">
        <f t="shared" si="181"/>
        <v>0</v>
      </c>
      <c r="CE92" s="11">
        <f>+COUNTIFS('muddati otgan'!C:C,A92,'muddati otgan'!J:J,"Kadastr passportini shakllantirish")</f>
        <v>0</v>
      </c>
      <c r="CF92" s="11">
        <f>+COUNTIFS('muddati otgan'!C:C,A92,'muddati otgan'!J:J,"Yig'ma jildni tasdiqlash")</f>
        <v>0</v>
      </c>
      <c r="CG92" s="11">
        <f>+COUNTIFS('muddati otgan'!C:C,A92,'muddati otgan'!J:J,"To'lov yoki bepul tasdiqlash")</f>
        <v>0</v>
      </c>
      <c r="CH92" s="11">
        <f>+COUNTIFS('muddati otgan'!C:C,A92,'muddati otgan'!J:J,"Bog'liq arizani kutish")</f>
        <v>0</v>
      </c>
      <c r="CI92" s="11">
        <f>+COUNTIFS('muddati otgan'!C:C,A92,'muddati otgan'!J:J,"To'lovga chiqarish")</f>
        <v>0</v>
      </c>
      <c r="CJ92" s="11">
        <f>+COUNTIFS('muddati otgan'!C:C,A92,'muddati otgan'!J:J,"Hisobga qo'yish")</f>
        <v>0</v>
      </c>
      <c r="CK92" s="6">
        <f>+COUNTIFS('muddati otgan'!C:C,A92,'muddati otgan'!J:J,"To'lov kutilmoqda")</f>
        <v>0</v>
      </c>
      <c r="CL92" s="11">
        <f t="shared" si="182"/>
        <v>0</v>
      </c>
      <c r="CM92" s="11">
        <f>+COUNTIFS('muddati otgan'!C:C,A92,'muddati otgan'!AA:AA,"Arizani qabul qilish2")</f>
        <v>0</v>
      </c>
      <c r="CN92" s="11">
        <f>+COUNTIFS('muddati otgan'!C:C,A92,'muddati otgan'!J:J,"Huquqlarni tekshirish")</f>
        <v>0</v>
      </c>
      <c r="CO92" s="11">
        <f>+COUNTIFS('muddati otgan'!C:C,A92,'muddati otgan'!J:J,"Ko'chmas mulkni ro'yhatdan o'tkazishga qabul qilish")</f>
        <v>0</v>
      </c>
      <c r="CP92" s="11">
        <f>+COUNTIFS('muddati otgan'!C:C,A92,'muddati otgan'!J:J,"Ro'yxatdan o'tkazish")</f>
        <v>0</v>
      </c>
      <c r="CQ92" s="11">
        <f>+COUNTIFS('muddati otgan'!C:C,A92,'muddati otgan'!J:J,"Kadastr pasporti va ko'chirmani yuborish")</f>
        <v>0</v>
      </c>
      <c r="CR92" s="11">
        <f>+COUNTIFS('muddati otgan'!C:C,A92,'muddati otgan'!AA:AA,"Rad qilish2")</f>
        <v>0</v>
      </c>
      <c r="CS92" s="11">
        <f>+COUNTIFS('muddati otgan'!C:C,A92,'muddati otgan'!J:J,"Ko'chirmani yuborish")</f>
        <v>0</v>
      </c>
      <c r="CT92" s="11">
        <f>+COUNTIFS('muddati otgan'!C:C,A92,'muddati otgan'!J:J,"Ma‘lumotlarni tekshirish")</f>
        <v>0</v>
      </c>
      <c r="CU92" s="11">
        <f t="shared" si="183"/>
        <v>0</v>
      </c>
      <c r="CV92" s="11">
        <f>+COUNTIFS('muddati otgan'!C:C,A92,'muddati otgan'!J:J,"Kadastr yig'majildini chop etish va arxiv ishiga tikish")</f>
        <v>0</v>
      </c>
      <c r="CW92" s="11">
        <f t="shared" si="184"/>
        <v>0</v>
      </c>
      <c r="CX92" s="11">
        <f>+COUNTIFS('muddati otgan'!C:C,A92,'muddati otgan'!J:J,"Kadastr yig‘majildini qabul qilish, arizani yakunlash")</f>
        <v>0</v>
      </c>
      <c r="CY92" s="11">
        <f>+COUNTIFS('muddati otgan'!C:C,A92,'muddati otgan'!J:J,"Next Cloudga yuklash")</f>
        <v>0</v>
      </c>
      <c r="CZ92" s="6">
        <f>+COUNTIFS('muddati otgan'!C:C,A92,'muddati otgan'!J:J,"Kelishish kutilmoqda")</f>
        <v>0</v>
      </c>
      <c r="DA92" s="6">
        <f>+COUNTIFS('muddati otgan'!C:C,A92,'muddati otgan'!J:J,"Yakunlandi")</f>
        <v>1</v>
      </c>
      <c r="DB92" s="10">
        <f>+COUNTIFS('muddati otgan'!C:C,A92,'muddati otgan'!J:J,"Rad etildi")</f>
        <v>0</v>
      </c>
      <c r="DC92" s="100">
        <f t="shared" si="185"/>
        <v>-1</v>
      </c>
      <c r="DD92" s="44">
        <f>COUNTIFS('jami 1-20 kunlik arizalar'!C:C,A:A,'jami 1-20 kunlik arizalar'!S:S,"1")</f>
        <v>0</v>
      </c>
      <c r="DE92" s="11">
        <f>COUNTIFS('jami 1-20 kunlik arizalar'!C:C,A:A,'jami 1-20 kunlik arizalar'!S:S,"2")</f>
        <v>0</v>
      </c>
      <c r="DF92" s="11">
        <f>COUNTIFS('jami 1-20 kunlik arizalar'!C:C,A:A,'jami 1-20 kunlik arizalar'!S:S,"3")</f>
        <v>0</v>
      </c>
      <c r="DG92" s="11">
        <f>COUNTIFS('jami 1-20 kunlik arizalar'!C:C,A:A,'jami 1-20 kunlik arizalar'!S:S,"4")</f>
        <v>0</v>
      </c>
      <c r="DH92" s="11">
        <f>COUNTIFS('jami 1-20 kunlik arizalar'!C:C,A:A,'jami 1-20 kunlik arizalar'!S:S,"5")</f>
        <v>0</v>
      </c>
      <c r="DI92" s="11">
        <f>SUM(COUNTIFS('jami 1-20 kunlik arizalar'!C:C,A:A, 'jami 1-20 kunlik arizalar'!S:S, {6,7,8,9,10}))</f>
        <v>2</v>
      </c>
      <c r="DJ92" s="12">
        <f>SUM(COUNTIFS('jami 1-20 kunlik arizalar'!C:C,A:A, 'jami 1-20 kunlik arizalar'!S:S, "&gt;10"))</f>
        <v>6</v>
      </c>
    </row>
    <row r="93" spans="1:114" ht="51.95" hidden="1" customHeight="1" outlineLevel="1" x14ac:dyDescent="0.25">
      <c r="A93" s="92" t="s">
        <v>619</v>
      </c>
      <c r="B93" s="107" t="s">
        <v>957</v>
      </c>
      <c r="C93" s="85" t="s">
        <v>803</v>
      </c>
      <c r="D93" s="80">
        <f>+COUNTIFS('muddati otgan'!C:C,A93,'muddati otgan'!C:C,A93)</f>
        <v>0</v>
      </c>
      <c r="E93" s="10">
        <f>SUMIFS('muddati otgan'!$V:V,'muddati otgan'!$C:C,$A:A)</f>
        <v>0</v>
      </c>
      <c r="F93" s="10">
        <f>SUMIFS('muddati otgan'!$W:W,'muddati otgan'!$C:C,$A:A)</f>
        <v>0</v>
      </c>
      <c r="G93" s="24">
        <f>SUMIFS('muddati otgan'!$U:U,'muddati otgan'!$C:C,$A:A)</f>
        <v>0</v>
      </c>
      <c r="H93" s="11">
        <f>SUMIFS('muddati otgan'!$G:G,'muddati otgan'!$C:C,$A:A)</f>
        <v>0</v>
      </c>
      <c r="I93" s="12">
        <f>SUMIFS('muddati otgan'!$H:H,'muddati otgan'!$C:C,$A:A)</f>
        <v>0</v>
      </c>
      <c r="J93" s="44">
        <f t="shared" si="169"/>
        <v>0</v>
      </c>
      <c r="K93" s="11">
        <f>+COUNTIFS('muddati otgan'!C:C,A93,'muddati otgan'!AA:AA,"Arizani qabul qilish")</f>
        <v>0</v>
      </c>
      <c r="L93" s="11">
        <f>+COUNTIFS('muddati otgan'!C:C,A93,'muddati otgan'!J:J,"Arizani rad etish")</f>
        <v>0</v>
      </c>
      <c r="M93" s="11">
        <f>+COUNTIFS('muddati otgan'!C:C,A93,'muddati otgan'!J:J,"Arizani tasdiqlash")</f>
        <v>0</v>
      </c>
      <c r="N93" s="11">
        <f>+COUNTIFS('muddati otgan'!C:C,A93,'muddati otgan'!J:J,"Arizani yo'naltirish")</f>
        <v>0</v>
      </c>
      <c r="O93" s="11">
        <f>+COUNTIFS('muddati otgan'!C:C,A93,'muddati otgan'!J:J,"Rad qilish sababini o'rganish")</f>
        <v>0</v>
      </c>
      <c r="P93" s="11">
        <f>+COUNTIFS('muddati otgan'!C:C,A93,'muddati otgan'!J:J,"Ko'chmas mulkni UZKAD ga migratsiya qilish")</f>
        <v>0</v>
      </c>
      <c r="Q93" s="11">
        <f>+COUNTIFS('muddati otgan'!C:C,A93,'muddati otgan'!J:J,"Migratisya qilingan obyekt holatini tekshirish")</f>
        <v>0</v>
      </c>
      <c r="R93" s="11">
        <f>+COUNTIFS('muddati otgan'!C:C,A93,'muddati otgan'!J:J,"Ko‘chmas mulkni tanlash")</f>
        <v>0</v>
      </c>
      <c r="S93" s="11">
        <f>+COUNTIFS('muddati otgan'!C:C,A93,'muddati otgan'!J:J,"Arizani ko'rib chiqish")</f>
        <v>0</v>
      </c>
      <c r="T93" s="11">
        <f>+COUNTIFS('muddati otgan'!C:C,A93,'muddati otgan'!J:J,"Kadastr muhandisini tanlash")</f>
        <v>0</v>
      </c>
      <c r="U93" s="11">
        <f>+COUNTIFS('muddati otgan'!C:C,A93,'muddati otgan'!J:J,"Ko'chmas mulk turini tanlahsh")</f>
        <v>0</v>
      </c>
      <c r="V93" s="11">
        <f>+COUNTIFS('muddati otgan'!C:C,A93,'muddati otgan'!AA:AA,"Rad qilish")</f>
        <v>0</v>
      </c>
      <c r="W93" s="11">
        <f>+COUNTIFS('muddati otgan'!C:C,A93,'muddati otgan'!J:J,"ijrochi tanlash")</f>
        <v>0</v>
      </c>
      <c r="X93" s="11">
        <f>+COUNTIFS('muddati otgan'!C:C,A93,'muddati otgan'!J:J,"Ko'chmas mulk turini tanlash")</f>
        <v>0</v>
      </c>
      <c r="Y93" s="11">
        <f t="shared" si="170"/>
        <v>0</v>
      </c>
      <c r="Z93" s="11">
        <f>+COUNTIFS('muddati otgan'!C:C,A93,'muddati otgan'!J:J,"Ijroga qabul qilish")</f>
        <v>0</v>
      </c>
      <c r="AA93" s="11">
        <f>+COUNTIFS('muddati otgan'!C:C,A93,'muddati otgan'!J:J,"Joyida o'rganish va ma'lumotlarni kiritish")</f>
        <v>0</v>
      </c>
      <c r="AB93" s="11">
        <f>+COUNTIFS('muddati otgan'!C:C,A93,'muddati otgan'!J:J,"Asosiy qismdan ajratish jarayonida")</f>
        <v>0</v>
      </c>
      <c r="AC93" s="11">
        <f>+COUNTIFS('muddati otgan'!C:C,A93,'muddati otgan'!J:J,"Umumiy foydalanishdagi obyekt yaratilish")</f>
        <v>0</v>
      </c>
      <c r="AD93" s="11">
        <f>+COUNTIFS('muddati otgan'!C:C,A93,'muddati otgan'!J:J,"Migratsiya qilinadigan kadastr raqamini kiritish")</f>
        <v>0</v>
      </c>
      <c r="AE93" s="11">
        <f>+COUNTIFS('muddati otgan'!C:C,A93,'muddati otgan'!J:J,"O'zida qolgan obyektni yaratish")</f>
        <v>0</v>
      </c>
      <c r="AF93" s="11">
        <f>+COUNTIFS('muddati otgan'!C:C,A93,'muddati otgan'!J:J,"O'lchov natijalarini kiritish")</f>
        <v>0</v>
      </c>
      <c r="AG93" s="11">
        <f>+COUNTIFS('muddati otgan'!C:C,A93,'muddati otgan'!J:J,"Topoxaritani tayyorlash (dwg, pdf)")</f>
        <v>0</v>
      </c>
      <c r="AH93" s="11">
        <f t="shared" si="171"/>
        <v>0</v>
      </c>
      <c r="AI93" s="11">
        <f>+COUNTIFS('muddati otgan'!C:C,A93,'muddati otgan'!J:J,"Yer uchastkasini yaratish")</f>
        <v>0</v>
      </c>
      <c r="AJ93" s="11">
        <f t="shared" si="172"/>
        <v>0</v>
      </c>
      <c r="AK93" s="11">
        <f>+COUNTIFS('muddati otgan'!C:C,A93,'muddati otgan'!J:J,"Kelishish (Boshqarma)")</f>
        <v>0</v>
      </c>
      <c r="AL93" s="11">
        <f t="shared" si="173"/>
        <v>0</v>
      </c>
      <c r="AM93" s="11">
        <f>+COUNTIFS('muddati otgan'!C:C,A93,'muddati otgan'!J:J,"Kelishish (DKP)")</f>
        <v>0</v>
      </c>
      <c r="AN93" s="11">
        <f>+COUNTIFS('muddati otgan'!C:C,A93,'muddati otgan'!J:J,"Kelishish")</f>
        <v>0</v>
      </c>
      <c r="AO93" s="11">
        <f>+COUNTIFS('muddati otgan'!C:C,A93,'muddati otgan'!J:J,"Kelishish (Registratsiya DKP)")</f>
        <v>0</v>
      </c>
      <c r="AP93" s="11">
        <f t="shared" si="174"/>
        <v>0</v>
      </c>
      <c r="AQ93" s="11">
        <f>+COUNTIFS('muddati otgan'!C:C,A93,'muddati otgan'!J:J,"Manzil biriktirish")</f>
        <v>0</v>
      </c>
      <c r="AR93" s="11">
        <f>+COUNTIFS('muddati otgan'!C:C,A93,'muddati otgan'!J:J,"Bino va inshootlarni yaratish")</f>
        <v>0</v>
      </c>
      <c r="AS93" s="11">
        <f>+COUNTIFS('muddati otgan'!C:C,A93,'muddati otgan'!J:J,"Dov daraxtlarni yaratish")</f>
        <v>0</v>
      </c>
      <c r="AT93" s="11">
        <f>+COUNTIFS('muddati otgan'!C:C,A93,'muddati otgan'!J:J,"Yer uchastkasini tahrirlash")</f>
        <v>0</v>
      </c>
      <c r="AU93" s="11">
        <f t="shared" si="175"/>
        <v>0</v>
      </c>
      <c r="AV93" s="11">
        <f>+COUNTIFS('muddati otgan'!C:C,A93,'muddati otgan'!J:J,"Yer toifasi va maqsadini kiritish")</f>
        <v>0</v>
      </c>
      <c r="AW93" s="11">
        <f>+COUNTIFS('muddati otgan'!C:C,A93,'muddati otgan'!J:J,"Auksion yer tekshirish")</f>
        <v>0</v>
      </c>
      <c r="AX93" s="11">
        <f>+COUNTIFS('muddati otgan'!C:C,A93,'muddati otgan'!J:J,"Yer turlarini kiritish")</f>
        <v>0</v>
      </c>
      <c r="AY93" s="11">
        <f>+COUNTIFS('muddati otgan'!C:C,A93,'muddati otgan'!J:J,"Ma'lumotlarni kiritish")</f>
        <v>0</v>
      </c>
      <c r="AZ93" s="11">
        <f>+COUNTIFS('muddati otgan'!C:C,A93,'muddati otgan'!J:J,"Yer tekshirish")</f>
        <v>0</v>
      </c>
      <c r="BA93" s="11">
        <f t="shared" si="176"/>
        <v>0</v>
      </c>
      <c r="BB93" s="11">
        <f>+COUNTIFS('muddati otgan'!C:C,A93,'muddati otgan'!J:J,"Bino va inshoot ma'lumotlarini to‘ldirish")</f>
        <v>0</v>
      </c>
      <c r="BC93" s="11">
        <f>+COUNTIFS('muddati otgan'!C:C,A93,'muddati otgan'!J:J,"Inventarizatsiya ma'lumotlarini to‘ldirish")</f>
        <v>0</v>
      </c>
      <c r="BD93" s="11">
        <f>+COUNTIFS('muddati otgan'!C:C,A93,'muddati otgan'!J:J,"Yer uchastkasiga huquqiy hujjatlarni kiritsh")</f>
        <v>0</v>
      </c>
      <c r="BE93" s="11">
        <f>+COUNTIFS('muddati otgan'!C:C,A93,'muddati otgan'!J:J,"Bino-inshootlarga huquqiy hujjatlarni kiritsh")</f>
        <v>0</v>
      </c>
      <c r="BF93" s="11">
        <f>+COUNTIFS('muddati otgan'!C:C,A93,'muddati otgan'!J:J,"Kadastr qiymatini hisoblash va kiritish")</f>
        <v>0</v>
      </c>
      <c r="BG93" s="11">
        <f>+COUNTIFS('muddati otgan'!C:C,A93,'muddati otgan'!J:J,"Kadastr raqam biriktirish")</f>
        <v>0</v>
      </c>
      <c r="BH93" s="11">
        <f>+COUNTIFS('muddati otgan'!C:C,A93,'muddati otgan'!J:J,"Kadastr yig'ma jildni tayyorlash")</f>
        <v>0</v>
      </c>
      <c r="BI93" s="11">
        <f>+COUNTIFS('muddati otgan'!C:C,A93,'muddati otgan'!J:J,"Huquqni yaratish")</f>
        <v>0</v>
      </c>
      <c r="BJ93" s="11">
        <f>+COUNTIFS('muddati otgan'!C:C,A93,'muddati otgan'!J:J,"Hujjatlarni o'rganish")</f>
        <v>0</v>
      </c>
      <c r="BK93" s="11">
        <f>+COUNTIFS('muddati otgan'!C:C,A93,'muddati otgan'!J:J,"Ma'lumotlarni tekshirish")</f>
        <v>0</v>
      </c>
      <c r="BL93" s="11">
        <f t="shared" si="177"/>
        <v>0</v>
      </c>
      <c r="BM93" s="11">
        <f>+COUNTIFS('muddati otgan'!C:C,A93,'muddati otgan'!J:J,"Tekshirish")</f>
        <v>0</v>
      </c>
      <c r="BN93" s="11">
        <f>+COUNTIFS('muddati otgan'!C:C,A93,'muddati otgan'!J:J,"Hujjatlarni tekshirish")</f>
        <v>0</v>
      </c>
      <c r="BO93" s="11">
        <f>+COUNTIFS('muddati otgan'!C:C,A93,'muddati otgan'!J:J,"Tasdiqlash")</f>
        <v>0</v>
      </c>
      <c r="BP93" s="11">
        <f>+COUNTIFS('muddati otgan'!C:C,A93,'muddati otgan'!J:J,"tekshirish/tasdiqlash")</f>
        <v>0</v>
      </c>
      <c r="BQ93" s="11">
        <f>+COUNTIFS('muddati otgan'!C:C,A93,'muddati otgan'!J:J,"Ma'lumotlarni tasdiqlash")</f>
        <v>0</v>
      </c>
      <c r="BR93" s="11">
        <f t="shared" si="178"/>
        <v>0</v>
      </c>
      <c r="BS93" s="11">
        <f>+COUNTIFS('muddati otgan'!C:C,A93,'muddati otgan'!J:J,"Ro'yxatdan o'tkazish ma'lumotlarini tekshirish")</f>
        <v>0</v>
      </c>
      <c r="BT93" s="11">
        <f>+COUNTIFS('muddati otgan'!C:C,A93,'muddati otgan'!J:J,"Kamchiliklar bo'yicha habarnoma yuborish va 3 kunga to'xtatish")</f>
        <v>0</v>
      </c>
      <c r="BU93" s="11">
        <f>+COUNTIFS('muddati otgan'!C:C,A93,'muddati otgan'!J:J,"Hisobga olish")</f>
        <v>0</v>
      </c>
      <c r="BV93" s="11">
        <f>+COUNTIFS('muddati otgan'!C:C,A93,'muddati otgan'!J:J,"Yer uchastkasiga huquq yaratish")</f>
        <v>0</v>
      </c>
      <c r="BW93" s="11">
        <f>+COUNTIFS('muddati otgan'!C:C,A93,'muddati otgan'!J:J,"Bino-inshootga huquq yaratish")</f>
        <v>0</v>
      </c>
      <c r="BX93" s="11">
        <f>+COUNTIFS('muddati otgan'!C:C,A93,'muddati otgan'!J:J,"Cheklov yaratish")</f>
        <v>0</v>
      </c>
      <c r="BY93" s="11">
        <f>+COUNTIFS('muddati otgan'!C:C,A93,'muddati otgan'!J:J,"Taqiq yaratish")</f>
        <v>0</v>
      </c>
      <c r="BZ93" s="11">
        <f t="shared" si="179"/>
        <v>0</v>
      </c>
      <c r="CA93" s="11">
        <f>+COUNTIFS('muddati otgan'!C:C,A93,'muddati otgan'!J:J,"Soliq maydonini tekshirish")</f>
        <v>0</v>
      </c>
      <c r="CB93" s="11">
        <f t="shared" si="180"/>
        <v>0</v>
      </c>
      <c r="CC93" s="11">
        <f>+COUNTIFS('muddati otgan'!C:C,A93,'muddati otgan'!J:J,"Kadastr yig'majildini shakllantirish")</f>
        <v>0</v>
      </c>
      <c r="CD93" s="11">
        <f t="shared" si="181"/>
        <v>0</v>
      </c>
      <c r="CE93" s="11">
        <f>+COUNTIFS('muddati otgan'!C:C,A93,'muddati otgan'!J:J,"Kadastr passportini shakllantirish")</f>
        <v>0</v>
      </c>
      <c r="CF93" s="11">
        <f>+COUNTIFS('muddati otgan'!C:C,A93,'muddati otgan'!J:J,"Yig'ma jildni tasdiqlash")</f>
        <v>0</v>
      </c>
      <c r="CG93" s="11">
        <f>+COUNTIFS('muddati otgan'!C:C,A93,'muddati otgan'!J:J,"To'lov yoki bepul tasdiqlash")</f>
        <v>0</v>
      </c>
      <c r="CH93" s="11">
        <f>+COUNTIFS('muddati otgan'!C:C,A93,'muddati otgan'!J:J,"Bog'liq arizani kutish")</f>
        <v>0</v>
      </c>
      <c r="CI93" s="11">
        <f>+COUNTIFS('muddati otgan'!C:C,A93,'muddati otgan'!J:J,"To'lovga chiqarish")</f>
        <v>0</v>
      </c>
      <c r="CJ93" s="11">
        <f>+COUNTIFS('muddati otgan'!C:C,A93,'muddati otgan'!J:J,"Hisobga qo'yish")</f>
        <v>0</v>
      </c>
      <c r="CK93" s="6">
        <f>+COUNTIFS('muddati otgan'!C:C,A93,'muddati otgan'!J:J,"To'lov kutilmoqda")</f>
        <v>0</v>
      </c>
      <c r="CL93" s="11">
        <f t="shared" si="182"/>
        <v>0</v>
      </c>
      <c r="CM93" s="11">
        <f>+COUNTIFS('muddati otgan'!C:C,A93,'muddati otgan'!AA:AA,"Arizani qabul qilish2")</f>
        <v>0</v>
      </c>
      <c r="CN93" s="11">
        <f>+COUNTIFS('muddati otgan'!C:C,A93,'muddati otgan'!J:J,"Huquqlarni tekshirish")</f>
        <v>0</v>
      </c>
      <c r="CO93" s="11">
        <f>+COUNTIFS('muddati otgan'!C:C,A93,'muddati otgan'!J:J,"Ko'chmas mulkni ro'yhatdan o'tkazishga qabul qilish")</f>
        <v>0</v>
      </c>
      <c r="CP93" s="11">
        <f>+COUNTIFS('muddati otgan'!C:C,A93,'muddati otgan'!J:J,"Ro'yxatdan o'tkazish")</f>
        <v>0</v>
      </c>
      <c r="CQ93" s="11">
        <f>+COUNTIFS('muddati otgan'!C:C,A93,'muddati otgan'!J:J,"Kadastr pasporti va ko'chirmani yuborish")</f>
        <v>0</v>
      </c>
      <c r="CR93" s="11">
        <f>+COUNTIFS('muddati otgan'!C:C,A93,'muddati otgan'!AA:AA,"Rad qilish2")</f>
        <v>0</v>
      </c>
      <c r="CS93" s="11">
        <f>+COUNTIFS('muddati otgan'!C:C,A93,'muddati otgan'!J:J,"Ko'chirmani yuborish")</f>
        <v>0</v>
      </c>
      <c r="CT93" s="11">
        <f>+COUNTIFS('muddati otgan'!C:C,A93,'muddati otgan'!J:J,"Ma‘lumotlarni tekshirish")</f>
        <v>0</v>
      </c>
      <c r="CU93" s="11">
        <f t="shared" si="183"/>
        <v>0</v>
      </c>
      <c r="CV93" s="11">
        <f>+COUNTIFS('muddati otgan'!C:C,A93,'muddati otgan'!J:J,"Kadastr yig'majildini chop etish va arxiv ishiga tikish")</f>
        <v>0</v>
      </c>
      <c r="CW93" s="11">
        <f t="shared" si="184"/>
        <v>0</v>
      </c>
      <c r="CX93" s="11">
        <f>+COUNTIFS('muddati otgan'!C:C,A93,'muddati otgan'!J:J,"Kadastr yig‘majildini qabul qilish, arizani yakunlash")</f>
        <v>0</v>
      </c>
      <c r="CY93" s="11">
        <f>+COUNTIFS('muddati otgan'!C:C,A93,'muddati otgan'!J:J,"Next Cloudga yuklash")</f>
        <v>0</v>
      </c>
      <c r="CZ93" s="6">
        <f>+COUNTIFS('muddati otgan'!C:C,A93,'muddati otgan'!J:J,"Kelishish kutilmoqda")</f>
        <v>0</v>
      </c>
      <c r="DA93" s="6">
        <f>+COUNTIFS('muddati otgan'!C:C,A93,'muddati otgan'!J:J,"Yakunlandi")</f>
        <v>0</v>
      </c>
      <c r="DB93" s="10">
        <f>+COUNTIFS('muddati otgan'!C:C,A93,'muddati otgan'!J:J,"Rad etildi")</f>
        <v>0</v>
      </c>
      <c r="DC93" s="100">
        <f t="shared" si="185"/>
        <v>0</v>
      </c>
      <c r="DD93" s="44">
        <f>COUNTIFS('jami 1-20 kunlik arizalar'!C:C,A:A,'jami 1-20 kunlik arizalar'!S:S,"1")</f>
        <v>0</v>
      </c>
      <c r="DE93" s="11">
        <f>COUNTIFS('jami 1-20 kunlik arizalar'!C:C,A:A,'jami 1-20 kunlik arizalar'!S:S,"2")</f>
        <v>0</v>
      </c>
      <c r="DF93" s="11">
        <f>COUNTIFS('jami 1-20 kunlik arizalar'!C:C,A:A,'jami 1-20 kunlik arizalar'!S:S,"3")</f>
        <v>0</v>
      </c>
      <c r="DG93" s="11">
        <f>COUNTIFS('jami 1-20 kunlik arizalar'!C:C,A:A,'jami 1-20 kunlik arizalar'!S:S,"4")</f>
        <v>0</v>
      </c>
      <c r="DH93" s="11">
        <f>COUNTIFS('jami 1-20 kunlik arizalar'!C:C,A:A,'jami 1-20 kunlik arizalar'!S:S,"5")</f>
        <v>0</v>
      </c>
      <c r="DI93" s="11">
        <f>SUM(COUNTIFS('jami 1-20 kunlik arizalar'!C:C,A:A, 'jami 1-20 kunlik arizalar'!S:S, {6,7,8,9,10}))</f>
        <v>0</v>
      </c>
      <c r="DJ93" s="12">
        <f>SUM(COUNTIFS('jami 1-20 kunlik arizalar'!C:C,A:A, 'jami 1-20 kunlik arizalar'!S:S, "&gt;10"))</f>
        <v>0</v>
      </c>
    </row>
    <row r="94" spans="1:114" ht="51.95" hidden="1" customHeight="1" outlineLevel="1" x14ac:dyDescent="0.25">
      <c r="A94" s="92" t="s">
        <v>601</v>
      </c>
      <c r="B94" s="107" t="s">
        <v>957</v>
      </c>
      <c r="C94" s="85" t="s">
        <v>804</v>
      </c>
      <c r="D94" s="80">
        <f>+COUNTIFS('muddati otgan'!C:C,A94,'muddati otgan'!C:C,A94)</f>
        <v>0</v>
      </c>
      <c r="E94" s="10">
        <f>SUMIFS('muddati otgan'!$V:V,'muddati otgan'!$C:C,$A:A)</f>
        <v>0</v>
      </c>
      <c r="F94" s="10">
        <f>SUMIFS('muddati otgan'!$W:W,'muddati otgan'!$C:C,$A:A)</f>
        <v>0</v>
      </c>
      <c r="G94" s="24">
        <f>SUMIFS('muddati otgan'!$U:U,'muddati otgan'!$C:C,$A:A)</f>
        <v>0</v>
      </c>
      <c r="H94" s="11">
        <f>SUMIFS('muddati otgan'!$G:G,'muddati otgan'!$C:C,$A:A)</f>
        <v>0</v>
      </c>
      <c r="I94" s="12">
        <f>SUMIFS('muddati otgan'!$H:H,'muddati otgan'!$C:C,$A:A)</f>
        <v>0</v>
      </c>
      <c r="J94" s="44">
        <f t="shared" si="169"/>
        <v>0</v>
      </c>
      <c r="K94" s="11">
        <f>+COUNTIFS('muddati otgan'!C:C,A94,'muddati otgan'!AA:AA,"Arizani qabul qilish")</f>
        <v>0</v>
      </c>
      <c r="L94" s="11">
        <f>+COUNTIFS('muddati otgan'!C:C,A94,'muddati otgan'!J:J,"Arizani rad etish")</f>
        <v>0</v>
      </c>
      <c r="M94" s="11">
        <f>+COUNTIFS('muddati otgan'!C:C,A94,'muddati otgan'!J:J,"Arizani tasdiqlash")</f>
        <v>0</v>
      </c>
      <c r="N94" s="11">
        <f>+COUNTIFS('muddati otgan'!C:C,A94,'muddati otgan'!J:J,"Arizani yo'naltirish")</f>
        <v>0</v>
      </c>
      <c r="O94" s="11">
        <f>+COUNTIFS('muddati otgan'!C:C,A94,'muddati otgan'!J:J,"Rad qilish sababini o'rganish")</f>
        <v>0</v>
      </c>
      <c r="P94" s="11">
        <f>+COUNTIFS('muddati otgan'!C:C,A94,'muddati otgan'!J:J,"Ko'chmas mulkni UZKAD ga migratsiya qilish")</f>
        <v>0</v>
      </c>
      <c r="Q94" s="11">
        <f>+COUNTIFS('muddati otgan'!C:C,A94,'muddati otgan'!J:J,"Migratisya qilingan obyekt holatini tekshirish")</f>
        <v>0</v>
      </c>
      <c r="R94" s="11">
        <f>+COUNTIFS('muddati otgan'!C:C,A94,'muddati otgan'!J:J,"Ko‘chmas mulkni tanlash")</f>
        <v>0</v>
      </c>
      <c r="S94" s="11">
        <f>+COUNTIFS('muddati otgan'!C:C,A94,'muddati otgan'!J:J,"Arizani ko'rib chiqish")</f>
        <v>0</v>
      </c>
      <c r="T94" s="11">
        <f>+COUNTIFS('muddati otgan'!C:C,A94,'muddati otgan'!J:J,"Kadastr muhandisini tanlash")</f>
        <v>0</v>
      </c>
      <c r="U94" s="11">
        <f>+COUNTIFS('muddati otgan'!C:C,A94,'muddati otgan'!J:J,"Ko'chmas mulk turini tanlahsh")</f>
        <v>0</v>
      </c>
      <c r="V94" s="11">
        <f>+COUNTIFS('muddati otgan'!C:C,A94,'muddati otgan'!AA:AA,"Rad qilish")</f>
        <v>0</v>
      </c>
      <c r="W94" s="11">
        <f>+COUNTIFS('muddati otgan'!C:C,A94,'muddati otgan'!J:J,"ijrochi tanlash")</f>
        <v>0</v>
      </c>
      <c r="X94" s="11">
        <f>+COUNTIFS('muddati otgan'!C:C,A94,'muddati otgan'!J:J,"Ko'chmas mulk turini tanlash")</f>
        <v>0</v>
      </c>
      <c r="Y94" s="11">
        <f t="shared" si="170"/>
        <v>0</v>
      </c>
      <c r="Z94" s="11">
        <f>+COUNTIFS('muddati otgan'!C:C,A94,'muddati otgan'!J:J,"Ijroga qabul qilish")</f>
        <v>0</v>
      </c>
      <c r="AA94" s="11">
        <f>+COUNTIFS('muddati otgan'!C:C,A94,'muddati otgan'!J:J,"Joyida o'rganish va ma'lumotlarni kiritish")</f>
        <v>0</v>
      </c>
      <c r="AB94" s="11">
        <f>+COUNTIFS('muddati otgan'!C:C,A94,'muddati otgan'!J:J,"Asosiy qismdan ajratish jarayonida")</f>
        <v>0</v>
      </c>
      <c r="AC94" s="11">
        <f>+COUNTIFS('muddati otgan'!C:C,A94,'muddati otgan'!J:J,"Umumiy foydalanishdagi obyekt yaratilish")</f>
        <v>0</v>
      </c>
      <c r="AD94" s="11">
        <f>+COUNTIFS('muddati otgan'!C:C,A94,'muddati otgan'!J:J,"Migratsiya qilinadigan kadastr raqamini kiritish")</f>
        <v>0</v>
      </c>
      <c r="AE94" s="11">
        <f>+COUNTIFS('muddati otgan'!C:C,A94,'muddati otgan'!J:J,"O'zida qolgan obyektni yaratish")</f>
        <v>0</v>
      </c>
      <c r="AF94" s="11">
        <f>+COUNTIFS('muddati otgan'!C:C,A94,'muddati otgan'!J:J,"O'lchov natijalarini kiritish")</f>
        <v>0</v>
      </c>
      <c r="AG94" s="11">
        <f>+COUNTIFS('muddati otgan'!C:C,A94,'muddati otgan'!J:J,"Topoxaritani tayyorlash (dwg, pdf)")</f>
        <v>0</v>
      </c>
      <c r="AH94" s="11">
        <f t="shared" si="171"/>
        <v>0</v>
      </c>
      <c r="AI94" s="11">
        <f>+COUNTIFS('muddati otgan'!C:C,A94,'muddati otgan'!J:J,"Yer uchastkasini yaratish")</f>
        <v>0</v>
      </c>
      <c r="AJ94" s="11">
        <f t="shared" si="172"/>
        <v>0</v>
      </c>
      <c r="AK94" s="11">
        <f>+COUNTIFS('muddati otgan'!C:C,A94,'muddati otgan'!J:J,"Kelishish (Boshqarma)")</f>
        <v>0</v>
      </c>
      <c r="AL94" s="11">
        <f t="shared" si="173"/>
        <v>0</v>
      </c>
      <c r="AM94" s="11">
        <f>+COUNTIFS('muddati otgan'!C:C,A94,'muddati otgan'!J:J,"Kelishish (DKP)")</f>
        <v>0</v>
      </c>
      <c r="AN94" s="11">
        <f>+COUNTIFS('muddati otgan'!C:C,A94,'muddati otgan'!J:J,"Kelishish")</f>
        <v>0</v>
      </c>
      <c r="AO94" s="11">
        <f>+COUNTIFS('muddati otgan'!C:C,A94,'muddati otgan'!J:J,"Kelishish (Registratsiya DKP)")</f>
        <v>0</v>
      </c>
      <c r="AP94" s="11">
        <f t="shared" si="174"/>
        <v>0</v>
      </c>
      <c r="AQ94" s="11">
        <f>+COUNTIFS('muddati otgan'!C:C,A94,'muddati otgan'!J:J,"Manzil biriktirish")</f>
        <v>0</v>
      </c>
      <c r="AR94" s="11">
        <f>+COUNTIFS('muddati otgan'!C:C,A94,'muddati otgan'!J:J,"Bino va inshootlarni yaratish")</f>
        <v>0</v>
      </c>
      <c r="AS94" s="11">
        <f>+COUNTIFS('muddati otgan'!C:C,A94,'muddati otgan'!J:J,"Dov daraxtlarni yaratish")</f>
        <v>0</v>
      </c>
      <c r="AT94" s="11">
        <f>+COUNTIFS('muddati otgan'!C:C,A94,'muddati otgan'!J:J,"Yer uchastkasini tahrirlash")</f>
        <v>0</v>
      </c>
      <c r="AU94" s="11">
        <f t="shared" si="175"/>
        <v>0</v>
      </c>
      <c r="AV94" s="11">
        <f>+COUNTIFS('muddati otgan'!C:C,A94,'muddati otgan'!J:J,"Yer toifasi va maqsadini kiritish")</f>
        <v>0</v>
      </c>
      <c r="AW94" s="11">
        <f>+COUNTIFS('muddati otgan'!C:C,A94,'muddati otgan'!J:J,"Auksion yer tekshirish")</f>
        <v>0</v>
      </c>
      <c r="AX94" s="11">
        <f>+COUNTIFS('muddati otgan'!C:C,A94,'muddati otgan'!J:J,"Yer turlarini kiritish")</f>
        <v>0</v>
      </c>
      <c r="AY94" s="11">
        <f>+COUNTIFS('muddati otgan'!C:C,A94,'muddati otgan'!J:J,"Ma'lumotlarni kiritish")</f>
        <v>0</v>
      </c>
      <c r="AZ94" s="11">
        <f>+COUNTIFS('muddati otgan'!C:C,A94,'muddati otgan'!J:J,"Yer tekshirish")</f>
        <v>0</v>
      </c>
      <c r="BA94" s="11">
        <f t="shared" si="176"/>
        <v>0</v>
      </c>
      <c r="BB94" s="11">
        <f>+COUNTIFS('muddati otgan'!C:C,A94,'muddati otgan'!J:J,"Bino va inshoot ma'lumotlarini to‘ldirish")</f>
        <v>0</v>
      </c>
      <c r="BC94" s="11">
        <f>+COUNTIFS('muddati otgan'!C:C,A94,'muddati otgan'!J:J,"Inventarizatsiya ma'lumotlarini to‘ldirish")</f>
        <v>0</v>
      </c>
      <c r="BD94" s="11">
        <f>+COUNTIFS('muddati otgan'!C:C,A94,'muddati otgan'!J:J,"Yer uchastkasiga huquqiy hujjatlarni kiritsh")</f>
        <v>0</v>
      </c>
      <c r="BE94" s="11">
        <f>+COUNTIFS('muddati otgan'!C:C,A94,'muddati otgan'!J:J,"Bino-inshootlarga huquqiy hujjatlarni kiritsh")</f>
        <v>0</v>
      </c>
      <c r="BF94" s="11">
        <f>+COUNTIFS('muddati otgan'!C:C,A94,'muddati otgan'!J:J,"Kadastr qiymatini hisoblash va kiritish")</f>
        <v>0</v>
      </c>
      <c r="BG94" s="11">
        <f>+COUNTIFS('muddati otgan'!C:C,A94,'muddati otgan'!J:J,"Kadastr raqam biriktirish")</f>
        <v>0</v>
      </c>
      <c r="BH94" s="11">
        <f>+COUNTIFS('muddati otgan'!C:C,A94,'muddati otgan'!J:J,"Kadastr yig'ma jildni tayyorlash")</f>
        <v>0</v>
      </c>
      <c r="BI94" s="11">
        <f>+COUNTIFS('muddati otgan'!C:C,A94,'muddati otgan'!J:J,"Huquqni yaratish")</f>
        <v>0</v>
      </c>
      <c r="BJ94" s="11">
        <f>+COUNTIFS('muddati otgan'!C:C,A94,'muddati otgan'!J:J,"Hujjatlarni o'rganish")</f>
        <v>0</v>
      </c>
      <c r="BK94" s="11">
        <f>+COUNTIFS('muddati otgan'!C:C,A94,'muddati otgan'!J:J,"Ma'lumotlarni tekshirish")</f>
        <v>0</v>
      </c>
      <c r="BL94" s="11">
        <f t="shared" si="177"/>
        <v>0</v>
      </c>
      <c r="BM94" s="11">
        <f>+COUNTIFS('muddati otgan'!C:C,A94,'muddati otgan'!J:J,"Tekshirish")</f>
        <v>0</v>
      </c>
      <c r="BN94" s="11">
        <f>+COUNTIFS('muddati otgan'!C:C,A94,'muddati otgan'!J:J,"Hujjatlarni tekshirish")</f>
        <v>0</v>
      </c>
      <c r="BO94" s="11">
        <f>+COUNTIFS('muddati otgan'!C:C,A94,'muddati otgan'!J:J,"Tasdiqlash")</f>
        <v>0</v>
      </c>
      <c r="BP94" s="11">
        <f>+COUNTIFS('muddati otgan'!C:C,A94,'muddati otgan'!J:J,"tekshirish/tasdiqlash")</f>
        <v>0</v>
      </c>
      <c r="BQ94" s="11">
        <f>+COUNTIFS('muddati otgan'!C:C,A94,'muddati otgan'!J:J,"Ma'lumotlarni tasdiqlash")</f>
        <v>0</v>
      </c>
      <c r="BR94" s="11">
        <f t="shared" si="178"/>
        <v>0</v>
      </c>
      <c r="BS94" s="11">
        <f>+COUNTIFS('muddati otgan'!C:C,A94,'muddati otgan'!J:J,"Ro'yxatdan o'tkazish ma'lumotlarini tekshirish")</f>
        <v>0</v>
      </c>
      <c r="BT94" s="11">
        <f>+COUNTIFS('muddati otgan'!C:C,A94,'muddati otgan'!J:J,"Kamchiliklar bo'yicha habarnoma yuborish va 3 kunga to'xtatish")</f>
        <v>0</v>
      </c>
      <c r="BU94" s="11">
        <f>+COUNTIFS('muddati otgan'!C:C,A94,'muddati otgan'!J:J,"Hisobga olish")</f>
        <v>0</v>
      </c>
      <c r="BV94" s="11">
        <f>+COUNTIFS('muddati otgan'!C:C,A94,'muddati otgan'!J:J,"Yer uchastkasiga huquq yaratish")</f>
        <v>0</v>
      </c>
      <c r="BW94" s="11">
        <f>+COUNTIFS('muddati otgan'!C:C,A94,'muddati otgan'!J:J,"Bino-inshootga huquq yaratish")</f>
        <v>0</v>
      </c>
      <c r="BX94" s="11">
        <f>+COUNTIFS('muddati otgan'!C:C,A94,'muddati otgan'!J:J,"Cheklov yaratish")</f>
        <v>0</v>
      </c>
      <c r="BY94" s="11">
        <f>+COUNTIFS('muddati otgan'!C:C,A94,'muddati otgan'!J:J,"Taqiq yaratish")</f>
        <v>0</v>
      </c>
      <c r="BZ94" s="11">
        <f t="shared" si="179"/>
        <v>0</v>
      </c>
      <c r="CA94" s="11">
        <f>+COUNTIFS('muddati otgan'!C:C,A94,'muddati otgan'!J:J,"Soliq maydonini tekshirish")</f>
        <v>0</v>
      </c>
      <c r="CB94" s="11">
        <f t="shared" si="180"/>
        <v>0</v>
      </c>
      <c r="CC94" s="11">
        <f>+COUNTIFS('muddati otgan'!C:C,A94,'muddati otgan'!J:J,"Kadastr yig'majildini shakllantirish")</f>
        <v>0</v>
      </c>
      <c r="CD94" s="11">
        <f t="shared" si="181"/>
        <v>0</v>
      </c>
      <c r="CE94" s="11">
        <f>+COUNTIFS('muddati otgan'!C:C,A94,'muddati otgan'!J:J,"Kadastr passportini shakllantirish")</f>
        <v>0</v>
      </c>
      <c r="CF94" s="11">
        <f>+COUNTIFS('muddati otgan'!C:C,A94,'muddati otgan'!J:J,"Yig'ma jildni tasdiqlash")</f>
        <v>0</v>
      </c>
      <c r="CG94" s="11">
        <f>+COUNTIFS('muddati otgan'!C:C,A94,'muddati otgan'!J:J,"To'lov yoki bepul tasdiqlash")</f>
        <v>0</v>
      </c>
      <c r="CH94" s="11">
        <f>+COUNTIFS('muddati otgan'!C:C,A94,'muddati otgan'!J:J,"Bog'liq arizani kutish")</f>
        <v>0</v>
      </c>
      <c r="CI94" s="11">
        <f>+COUNTIFS('muddati otgan'!C:C,A94,'muddati otgan'!J:J,"To'lovga chiqarish")</f>
        <v>0</v>
      </c>
      <c r="CJ94" s="11">
        <f>+COUNTIFS('muddati otgan'!C:C,A94,'muddati otgan'!J:J,"Hisobga qo'yish")</f>
        <v>0</v>
      </c>
      <c r="CK94" s="6">
        <f>+COUNTIFS('muddati otgan'!C:C,A94,'muddati otgan'!J:J,"To'lov kutilmoqda")</f>
        <v>0</v>
      </c>
      <c r="CL94" s="11">
        <f t="shared" si="182"/>
        <v>0</v>
      </c>
      <c r="CM94" s="11">
        <f>+COUNTIFS('muddati otgan'!C:C,A94,'muddati otgan'!AA:AA,"Arizani qabul qilish2")</f>
        <v>0</v>
      </c>
      <c r="CN94" s="11">
        <f>+COUNTIFS('muddati otgan'!C:C,A94,'muddati otgan'!J:J,"Huquqlarni tekshirish")</f>
        <v>0</v>
      </c>
      <c r="CO94" s="11">
        <f>+COUNTIFS('muddati otgan'!C:C,A94,'muddati otgan'!J:J,"Ko'chmas mulkni ro'yhatdan o'tkazishga qabul qilish")</f>
        <v>0</v>
      </c>
      <c r="CP94" s="11">
        <f>+COUNTIFS('muddati otgan'!C:C,A94,'muddati otgan'!J:J,"Ro'yxatdan o'tkazish")</f>
        <v>0</v>
      </c>
      <c r="CQ94" s="11">
        <f>+COUNTIFS('muddati otgan'!C:C,A94,'muddati otgan'!J:J,"Kadastr pasporti va ko'chirmani yuborish")</f>
        <v>0</v>
      </c>
      <c r="CR94" s="11">
        <f>+COUNTIFS('muddati otgan'!C:C,A94,'muddati otgan'!AA:AA,"Rad qilish2")</f>
        <v>0</v>
      </c>
      <c r="CS94" s="11">
        <f>+COUNTIFS('muddati otgan'!C:C,A94,'muddati otgan'!J:J,"Ko'chirmani yuborish")</f>
        <v>0</v>
      </c>
      <c r="CT94" s="11">
        <f>+COUNTIFS('muddati otgan'!C:C,A94,'muddati otgan'!J:J,"Ma‘lumotlarni tekshirish")</f>
        <v>0</v>
      </c>
      <c r="CU94" s="11">
        <f t="shared" si="183"/>
        <v>0</v>
      </c>
      <c r="CV94" s="11">
        <f>+COUNTIFS('muddati otgan'!C:C,A94,'muddati otgan'!J:J,"Kadastr yig'majildini chop etish va arxiv ishiga tikish")</f>
        <v>0</v>
      </c>
      <c r="CW94" s="11">
        <f t="shared" si="184"/>
        <v>0</v>
      </c>
      <c r="CX94" s="11">
        <f>+COUNTIFS('muddati otgan'!C:C,A94,'muddati otgan'!J:J,"Kadastr yig‘majildini qabul qilish, arizani yakunlash")</f>
        <v>0</v>
      </c>
      <c r="CY94" s="11">
        <f>+COUNTIFS('muddati otgan'!C:C,A94,'muddati otgan'!J:J,"Next Cloudga yuklash")</f>
        <v>0</v>
      </c>
      <c r="CZ94" s="6">
        <f>+COUNTIFS('muddati otgan'!C:C,A94,'muddati otgan'!J:J,"Kelishish kutilmoqda")</f>
        <v>0</v>
      </c>
      <c r="DA94" s="6">
        <f>+COUNTIFS('muddati otgan'!C:C,A94,'muddati otgan'!J:J,"Yakunlandi")</f>
        <v>0</v>
      </c>
      <c r="DB94" s="10">
        <f>+COUNTIFS('muddati otgan'!C:C,A94,'muddati otgan'!J:J,"Rad etildi")</f>
        <v>0</v>
      </c>
      <c r="DC94" s="100">
        <f t="shared" si="185"/>
        <v>0</v>
      </c>
      <c r="DD94" s="44">
        <f>COUNTIFS('jami 1-20 kunlik arizalar'!C:C,A:A,'jami 1-20 kunlik arizalar'!S:S,"1")</f>
        <v>0</v>
      </c>
      <c r="DE94" s="11">
        <f>COUNTIFS('jami 1-20 kunlik arizalar'!C:C,A:A,'jami 1-20 kunlik arizalar'!S:S,"2")</f>
        <v>0</v>
      </c>
      <c r="DF94" s="11">
        <f>COUNTIFS('jami 1-20 kunlik arizalar'!C:C,A:A,'jami 1-20 kunlik arizalar'!S:S,"3")</f>
        <v>0</v>
      </c>
      <c r="DG94" s="11">
        <f>COUNTIFS('jami 1-20 kunlik arizalar'!C:C,A:A,'jami 1-20 kunlik arizalar'!S:S,"4")</f>
        <v>0</v>
      </c>
      <c r="DH94" s="11">
        <f>COUNTIFS('jami 1-20 kunlik arizalar'!C:C,A:A,'jami 1-20 kunlik arizalar'!S:S,"5")</f>
        <v>0</v>
      </c>
      <c r="DI94" s="11">
        <f>SUM(COUNTIFS('jami 1-20 kunlik arizalar'!C:C,A:A, 'jami 1-20 kunlik arizalar'!S:S, {6,7,8,9,10}))</f>
        <v>0</v>
      </c>
      <c r="DJ94" s="12">
        <f>SUM(COUNTIFS('jami 1-20 kunlik arizalar'!C:C,A:A, 'jami 1-20 kunlik arizalar'!S:S, "&gt;10"))</f>
        <v>0</v>
      </c>
    </row>
    <row r="95" spans="1:114" ht="51.95" hidden="1" customHeight="1" outlineLevel="1" x14ac:dyDescent="0.25">
      <c r="A95" s="30" t="s">
        <v>969</v>
      </c>
      <c r="B95" s="107" t="s">
        <v>957</v>
      </c>
      <c r="C95" s="85" t="s">
        <v>970</v>
      </c>
      <c r="D95" s="80">
        <f>+COUNTIFS('muddati otgan'!C:C,A95,'muddati otgan'!C:C,A95)</f>
        <v>0</v>
      </c>
      <c r="E95" s="10">
        <f>SUMIFS('muddati otgan'!$V:V,'muddati otgan'!$C:C,$A:A)</f>
        <v>0</v>
      </c>
      <c r="F95" s="10">
        <f>SUMIFS('muddati otgan'!$W:W,'muddati otgan'!$C:C,$A:A)</f>
        <v>0</v>
      </c>
      <c r="G95" s="24">
        <f>SUMIFS('muddati otgan'!$U:U,'muddati otgan'!$C:C,$A:A)</f>
        <v>0</v>
      </c>
      <c r="H95" s="11">
        <f>SUMIFS('muddati otgan'!$G:G,'muddati otgan'!$C:C,$A:A)</f>
        <v>0</v>
      </c>
      <c r="I95" s="12">
        <f>SUMIFS('muddati otgan'!$H:H,'muddati otgan'!$C:C,$A:A)</f>
        <v>0</v>
      </c>
      <c r="J95" s="44">
        <f t="shared" ref="J95" si="186">K95+P95+Q95+R95+S95+T95+U95+V95+W95+L95+O95+M95+N95+X95</f>
        <v>0</v>
      </c>
      <c r="K95" s="11">
        <f>+COUNTIFS('muddati otgan'!C:C,A95,'muddati otgan'!AA:AA,"Arizani qabul qilish")</f>
        <v>0</v>
      </c>
      <c r="L95" s="11">
        <f>+COUNTIFS('muddati otgan'!C:C,A95,'muddati otgan'!J:J,"Arizani rad etish")</f>
        <v>0</v>
      </c>
      <c r="M95" s="11">
        <f>+COUNTIFS('muddati otgan'!C:C,A95,'muddati otgan'!J:J,"Arizani tasdiqlash")</f>
        <v>0</v>
      </c>
      <c r="N95" s="11">
        <f>+COUNTIFS('muddati otgan'!C:C,A95,'muddati otgan'!J:J,"Arizani yo'naltirish")</f>
        <v>0</v>
      </c>
      <c r="O95" s="11">
        <f>+COUNTIFS('muddati otgan'!C:C,A95,'muddati otgan'!J:J,"Rad qilish sababini o'rganish")</f>
        <v>0</v>
      </c>
      <c r="P95" s="11">
        <f>+COUNTIFS('muddati otgan'!C:C,A95,'muddati otgan'!J:J,"Ko'chmas mulkni UZKAD ga migratsiya qilish")</f>
        <v>0</v>
      </c>
      <c r="Q95" s="11">
        <f>+COUNTIFS('muddati otgan'!C:C,A95,'muddati otgan'!J:J,"Migratisya qilingan obyekt holatini tekshirish")</f>
        <v>0</v>
      </c>
      <c r="R95" s="11">
        <f>+COUNTIFS('muddati otgan'!C:C,A95,'muddati otgan'!J:J,"Ko‘chmas mulkni tanlash")</f>
        <v>0</v>
      </c>
      <c r="S95" s="11">
        <f>+COUNTIFS('muddati otgan'!C:C,A95,'muddati otgan'!J:J,"Arizani ko'rib chiqish")</f>
        <v>0</v>
      </c>
      <c r="T95" s="11">
        <f>+COUNTIFS('muddati otgan'!C:C,A95,'muddati otgan'!J:J,"Kadastr muhandisini tanlash")</f>
        <v>0</v>
      </c>
      <c r="U95" s="11">
        <f>+COUNTIFS('muddati otgan'!C:C,A95,'muddati otgan'!J:J,"Ko'chmas mulk turini tanlahsh")</f>
        <v>0</v>
      </c>
      <c r="V95" s="11">
        <f>+COUNTIFS('muddati otgan'!C:C,A95,'muddati otgan'!AA:AA,"Rad qilish")</f>
        <v>0</v>
      </c>
      <c r="W95" s="11">
        <f>+COUNTIFS('muddati otgan'!C:C,A95,'muddati otgan'!J:J,"ijrochi tanlash")</f>
        <v>0</v>
      </c>
      <c r="X95" s="11">
        <f>+COUNTIFS('muddati otgan'!C:C,A95,'muddati otgan'!J:J,"Ko'chmas mulk turini tanlash")</f>
        <v>0</v>
      </c>
      <c r="Y95" s="11">
        <f t="shared" ref="Y95" si="187">Z95+AD95+AF95+AE95+AC95+AB95+AA95</f>
        <v>0</v>
      </c>
      <c r="Z95" s="11">
        <f>+COUNTIFS('muddati otgan'!C:C,A95,'muddati otgan'!J:J,"Ijroga qabul qilish")</f>
        <v>0</v>
      </c>
      <c r="AA95" s="11">
        <f>+COUNTIFS('muddati otgan'!C:C,A95,'muddati otgan'!J:J,"Joyida o'rganish va ma'lumotlarni kiritish")</f>
        <v>0</v>
      </c>
      <c r="AB95" s="11">
        <f>+COUNTIFS('muddati otgan'!C:C,A95,'muddati otgan'!J:J,"Asosiy qismdan ajratish jarayonida")</f>
        <v>0</v>
      </c>
      <c r="AC95" s="11">
        <f>+COUNTIFS('muddati otgan'!C:C,A95,'muddati otgan'!J:J,"Umumiy foydalanishdagi obyekt yaratilish")</f>
        <v>0</v>
      </c>
      <c r="AD95" s="11">
        <f>+COUNTIFS('muddati otgan'!C:C,A95,'muddati otgan'!J:J,"Migratsiya qilinadigan kadastr raqamini kiritish")</f>
        <v>0</v>
      </c>
      <c r="AE95" s="11">
        <f>+COUNTIFS('muddati otgan'!C:C,A95,'muddati otgan'!J:J,"O'zida qolgan obyektni yaratish")</f>
        <v>0</v>
      </c>
      <c r="AF95" s="11">
        <f>+COUNTIFS('muddati otgan'!C:C,A95,'muddati otgan'!J:J,"O'lchov natijalarini kiritish")</f>
        <v>0</v>
      </c>
      <c r="AG95" s="11">
        <f>+COUNTIFS('muddati otgan'!C:C,A95,'muddati otgan'!J:J,"Topoxaritani tayyorlash (dwg, pdf)")</f>
        <v>0</v>
      </c>
      <c r="AH95" s="11">
        <f t="shared" ref="AH95" si="188">AI95</f>
        <v>0</v>
      </c>
      <c r="AI95" s="11">
        <f>+COUNTIFS('muddati otgan'!C:C,A95,'muddati otgan'!J:J,"Yer uchastkasini yaratish")</f>
        <v>0</v>
      </c>
      <c r="AJ95" s="11">
        <f t="shared" ref="AJ95" si="189">AK95</f>
        <v>0</v>
      </c>
      <c r="AK95" s="11">
        <f>+COUNTIFS('muddati otgan'!C:C,A95,'muddati otgan'!J:J,"Kelishish (Boshqarma)")</f>
        <v>0</v>
      </c>
      <c r="AL95" s="11">
        <f t="shared" ref="AL95" si="190">AM95+AN95+AO95</f>
        <v>0</v>
      </c>
      <c r="AM95" s="11">
        <f>+COUNTIFS('muddati otgan'!C:C,A95,'muddati otgan'!J:J,"Kelishish (DKP)")</f>
        <v>0</v>
      </c>
      <c r="AN95" s="11">
        <f>+COUNTIFS('muddati otgan'!C:C,A95,'muddati otgan'!J:J,"Kelishish")</f>
        <v>0</v>
      </c>
      <c r="AO95" s="11">
        <f>+COUNTIFS('muddati otgan'!C:C,A95,'muddati otgan'!J:J,"Kelishish (Registratsiya DKP)")</f>
        <v>0</v>
      </c>
      <c r="AP95" s="11">
        <f t="shared" ref="AP95" si="191">AQ95+AR95+AS95+AT95</f>
        <v>0</v>
      </c>
      <c r="AQ95" s="11">
        <f>+COUNTIFS('muddati otgan'!C:C,A95,'muddati otgan'!J:J,"Manzil biriktirish")</f>
        <v>0</v>
      </c>
      <c r="AR95" s="11">
        <f>+COUNTIFS('muddati otgan'!C:C,A95,'muddati otgan'!J:J,"Bino va inshootlarni yaratish")</f>
        <v>0</v>
      </c>
      <c r="AS95" s="11">
        <f>+COUNTIFS('muddati otgan'!C:C,A95,'muddati otgan'!J:J,"Dov daraxtlarni yaratish")</f>
        <v>0</v>
      </c>
      <c r="AT95" s="11">
        <f>+COUNTIFS('muddati otgan'!C:C,A95,'muddati otgan'!J:J,"Yer uchastkasini tahrirlash")</f>
        <v>0</v>
      </c>
      <c r="AU95" s="11">
        <f t="shared" ref="AU95" si="192">AV95+AW95+AX95+AY95+AZ95</f>
        <v>0</v>
      </c>
      <c r="AV95" s="11">
        <f>+COUNTIFS('muddati otgan'!C:C,A95,'muddati otgan'!J:J,"Yer toifasi va maqsadini kiritish")</f>
        <v>0</v>
      </c>
      <c r="AW95" s="11">
        <f>+COUNTIFS('muddati otgan'!C:C,A95,'muddati otgan'!J:J,"Auksion yer tekshirish")</f>
        <v>0</v>
      </c>
      <c r="AX95" s="11">
        <f>+COUNTIFS('muddati otgan'!C:C,A95,'muddati otgan'!J:J,"Yer turlarini kiritish")</f>
        <v>0</v>
      </c>
      <c r="AY95" s="11">
        <f>+COUNTIFS('muddati otgan'!C:C,A95,'muddati otgan'!J:J,"Ma'lumotlarni kiritish")</f>
        <v>0</v>
      </c>
      <c r="AZ95" s="11">
        <f>+COUNTIFS('muddati otgan'!C:C,A95,'muddati otgan'!J:J,"Yer tekshirish")</f>
        <v>0</v>
      </c>
      <c r="BA95" s="11">
        <f t="shared" ref="BA95" si="193">BB95+BC95+BD95+BE95+BF95+BG95+BH95+BI95+BJ95+BK95</f>
        <v>0</v>
      </c>
      <c r="BB95" s="11">
        <f>+COUNTIFS('muddati otgan'!C:C,A95,'muddati otgan'!J:J,"Bino va inshoot ma'lumotlarini to‘ldirish")</f>
        <v>0</v>
      </c>
      <c r="BC95" s="11">
        <f>+COUNTIFS('muddati otgan'!C:C,A95,'muddati otgan'!J:J,"Inventarizatsiya ma'lumotlarini to‘ldirish")</f>
        <v>0</v>
      </c>
      <c r="BD95" s="11">
        <f>+COUNTIFS('muddati otgan'!C:C,A95,'muddati otgan'!J:J,"Yer uchastkasiga huquqiy hujjatlarni kiritsh")</f>
        <v>0</v>
      </c>
      <c r="BE95" s="11">
        <f>+COUNTIFS('muddati otgan'!C:C,A95,'muddati otgan'!J:J,"Bino-inshootlarga huquqiy hujjatlarni kiritsh")</f>
        <v>0</v>
      </c>
      <c r="BF95" s="11">
        <f>+COUNTIFS('muddati otgan'!C:C,A95,'muddati otgan'!J:J,"Kadastr qiymatini hisoblash va kiritish")</f>
        <v>0</v>
      </c>
      <c r="BG95" s="11">
        <f>+COUNTIFS('muddati otgan'!C:C,A95,'muddati otgan'!J:J,"Kadastr raqam biriktirish")</f>
        <v>0</v>
      </c>
      <c r="BH95" s="11">
        <f>+COUNTIFS('muddati otgan'!C:C,A95,'muddati otgan'!J:J,"Kadastr yig'ma jildni tayyorlash")</f>
        <v>0</v>
      </c>
      <c r="BI95" s="11">
        <f>+COUNTIFS('muddati otgan'!C:C,A95,'muddati otgan'!J:J,"Huquqni yaratish")</f>
        <v>0</v>
      </c>
      <c r="BJ95" s="11">
        <f>+COUNTIFS('muddati otgan'!C:C,A95,'muddati otgan'!J:J,"Hujjatlarni o'rganish")</f>
        <v>0</v>
      </c>
      <c r="BK95" s="11">
        <f>+COUNTIFS('muddati otgan'!C:C,A95,'muddati otgan'!J:J,"Ma'lumotlarni tekshirish")</f>
        <v>0</v>
      </c>
      <c r="BL95" s="11">
        <f t="shared" ref="BL95" si="194">BM95+BN95+BP95+BO95+BQ95</f>
        <v>0</v>
      </c>
      <c r="BM95" s="11">
        <f>+COUNTIFS('muddati otgan'!C:C,A95,'muddati otgan'!J:J,"Tekshirish")</f>
        <v>0</v>
      </c>
      <c r="BN95" s="11">
        <f>+COUNTIFS('muddati otgan'!C:C,A95,'muddati otgan'!J:J,"Hujjatlarni tekshirish")</f>
        <v>0</v>
      </c>
      <c r="BO95" s="11">
        <f>+COUNTIFS('muddati otgan'!C:C,A95,'muddati otgan'!J:J,"Tasdiqlash")</f>
        <v>0</v>
      </c>
      <c r="BP95" s="11">
        <f>+COUNTIFS('muddati otgan'!C:C,A95,'muddati otgan'!J:J,"tekshirish/tasdiqlash")</f>
        <v>0</v>
      </c>
      <c r="BQ95" s="11">
        <f>+COUNTIFS('muddati otgan'!C:C,A95,'muddati otgan'!J:J,"Ma'lumotlarni tasdiqlash")</f>
        <v>0</v>
      </c>
      <c r="BR95" s="11">
        <f t="shared" ref="BR95" si="195">BS95+BU95+BV95+BW95+BX95+BY95-BT95</f>
        <v>0</v>
      </c>
      <c r="BS95" s="11">
        <f>+COUNTIFS('muddati otgan'!C:C,A95,'muddati otgan'!J:J,"Ro'yxatdan o'tkazish ma'lumotlarini tekshirish")</f>
        <v>0</v>
      </c>
      <c r="BT95" s="11">
        <f>+COUNTIFS('muddati otgan'!C:C,A95,'muddati otgan'!J:J,"Kamchiliklar bo'yicha habarnoma yuborish va 3 kunga to'xtatish")</f>
        <v>0</v>
      </c>
      <c r="BU95" s="11">
        <f>+COUNTIFS('muddati otgan'!C:C,A95,'muddati otgan'!J:J,"Hisobga olish")</f>
        <v>0</v>
      </c>
      <c r="BV95" s="11">
        <f>+COUNTIFS('muddati otgan'!C:C,A95,'muddati otgan'!J:J,"Yer uchastkasiga huquq yaratish")</f>
        <v>0</v>
      </c>
      <c r="BW95" s="11">
        <f>+COUNTIFS('muddati otgan'!C:C,A95,'muddati otgan'!J:J,"Bino-inshootga huquq yaratish")</f>
        <v>0</v>
      </c>
      <c r="BX95" s="11">
        <f>+COUNTIFS('muddati otgan'!C:C,A95,'muddati otgan'!J:J,"Cheklov yaratish")</f>
        <v>0</v>
      </c>
      <c r="BY95" s="11">
        <f>+COUNTIFS('muddati otgan'!C:C,A95,'muddati otgan'!J:J,"Taqiq yaratish")</f>
        <v>0</v>
      </c>
      <c r="BZ95" s="11">
        <f t="shared" ref="BZ95" si="196">CA95</f>
        <v>0</v>
      </c>
      <c r="CA95" s="11">
        <f>+COUNTIFS('muddati otgan'!C:C,A95,'muddati otgan'!J:J,"Soliq maydonini tekshirish")</f>
        <v>0</v>
      </c>
      <c r="CB95" s="11">
        <f t="shared" ref="CB95" si="197">CC95</f>
        <v>0</v>
      </c>
      <c r="CC95" s="11">
        <f>+COUNTIFS('muddati otgan'!C:C,A95,'muddati otgan'!J:J,"Kadastr yig'majildini shakllantirish")</f>
        <v>0</v>
      </c>
      <c r="CD95" s="11">
        <f t="shared" ref="CD95" si="198">CE95+CF95+CG95+CI95+CJ95+CH95</f>
        <v>0</v>
      </c>
      <c r="CE95" s="11">
        <f>+COUNTIFS('muddati otgan'!C:C,A95,'muddati otgan'!J:J,"Kadastr passportini shakllantirish")</f>
        <v>0</v>
      </c>
      <c r="CF95" s="11">
        <f>+COUNTIFS('muddati otgan'!C:C,A95,'muddati otgan'!J:J,"Yig'ma jildni tasdiqlash")</f>
        <v>0</v>
      </c>
      <c r="CG95" s="11">
        <f>+COUNTIFS('muddati otgan'!C:C,A95,'muddati otgan'!J:J,"To'lov yoki bepul tasdiqlash")</f>
        <v>0</v>
      </c>
      <c r="CH95" s="11">
        <f>+COUNTIFS('muddati otgan'!C:C,A95,'muddati otgan'!J:J,"Bog'liq arizani kutish")</f>
        <v>0</v>
      </c>
      <c r="CI95" s="11">
        <f>+COUNTIFS('muddati otgan'!C:C,A95,'muddati otgan'!J:J,"To'lovga chiqarish")</f>
        <v>0</v>
      </c>
      <c r="CJ95" s="11">
        <f>+COUNTIFS('muddati otgan'!C:C,A95,'muddati otgan'!J:J,"Hisobga qo'yish")</f>
        <v>0</v>
      </c>
      <c r="CK95" s="6">
        <f>+COUNTIFS('muddati otgan'!C:C,A95,'muddati otgan'!J:J,"To'lov kutilmoqda")</f>
        <v>0</v>
      </c>
      <c r="CL95" s="11">
        <f t="shared" ref="CL95" si="199">CM95+CN95+CO95+CP95+CQ95+CR95+CS95+CT95</f>
        <v>0</v>
      </c>
      <c r="CM95" s="11">
        <f>+COUNTIFS('muddati otgan'!C:C,A95,'muddati otgan'!AA:AA,"Arizani qabul qilish2")</f>
        <v>0</v>
      </c>
      <c r="CN95" s="11">
        <f>+COUNTIFS('muddati otgan'!C:C,A95,'muddati otgan'!J:J,"Huquqlarni tekshirish")</f>
        <v>0</v>
      </c>
      <c r="CO95" s="11">
        <f>+COUNTIFS('muddati otgan'!C:C,A95,'muddati otgan'!J:J,"Ko'chmas mulkni ro'yhatdan o'tkazishga qabul qilish")</f>
        <v>0</v>
      </c>
      <c r="CP95" s="11">
        <f>+COUNTIFS('muddati otgan'!C:C,A95,'muddati otgan'!J:J,"Ro'yxatdan o'tkazish")</f>
        <v>0</v>
      </c>
      <c r="CQ95" s="11">
        <f>+COUNTIFS('muddati otgan'!C:C,A95,'muddati otgan'!J:J,"Kadastr pasporti va ko'chirmani yuborish")</f>
        <v>0</v>
      </c>
      <c r="CR95" s="11">
        <f>+COUNTIFS('muddati otgan'!C:C,A95,'muddati otgan'!AA:AA,"Rad qilish2")</f>
        <v>0</v>
      </c>
      <c r="CS95" s="11">
        <f>+COUNTIFS('muddati otgan'!C:C,A95,'muddati otgan'!J:J,"Ko'chirmani yuborish")</f>
        <v>0</v>
      </c>
      <c r="CT95" s="11">
        <f>+COUNTIFS('muddati otgan'!C:C,A95,'muddati otgan'!J:J,"Ma‘lumotlarni tekshirish")</f>
        <v>0</v>
      </c>
      <c r="CU95" s="11">
        <f t="shared" ref="CU95" si="200">CV95</f>
        <v>0</v>
      </c>
      <c r="CV95" s="11">
        <f>+COUNTIFS('muddati otgan'!C:C,A95,'muddati otgan'!J:J,"Kadastr yig'majildini chop etish va arxiv ishiga tikish")</f>
        <v>0</v>
      </c>
      <c r="CW95" s="11">
        <f t="shared" ref="CW95" si="201">CX95+CY95</f>
        <v>0</v>
      </c>
      <c r="CX95" s="11">
        <f>+COUNTIFS('muddati otgan'!C:C,A95,'muddati otgan'!J:J,"Kadastr yig‘majildini qabul qilish, arizani yakunlash")</f>
        <v>0</v>
      </c>
      <c r="CY95" s="11">
        <f>+COUNTIFS('muddati otgan'!C:C,A95,'muddati otgan'!J:J,"Next Cloudga yuklash")</f>
        <v>0</v>
      </c>
      <c r="CZ95" s="6">
        <f>+COUNTIFS('muddati otgan'!C:C,A95,'muddati otgan'!J:J,"Kelishish kutilmoqda")</f>
        <v>0</v>
      </c>
      <c r="DA95" s="6">
        <f>+COUNTIFS('muddati otgan'!C:C,A95,'muddati otgan'!J:J,"Yakunlandi")</f>
        <v>0</v>
      </c>
      <c r="DB95" s="10">
        <f>+COUNTIFS('muddati otgan'!C:C,A95,'muddati otgan'!J:J,"Rad etildi")</f>
        <v>0</v>
      </c>
      <c r="DC95" s="100">
        <f t="shared" ref="DC95" si="202">CK95+CZ95+DA95+DB95-D95</f>
        <v>0</v>
      </c>
      <c r="DD95" s="44">
        <f>COUNTIFS('jami 1-20 kunlik arizalar'!C:C,A:A,'jami 1-20 kunlik arizalar'!S:S,"1")</f>
        <v>0</v>
      </c>
      <c r="DE95" s="11">
        <f>COUNTIFS('jami 1-20 kunlik arizalar'!C:C,A:A,'jami 1-20 kunlik arizalar'!S:S,"2")</f>
        <v>0</v>
      </c>
      <c r="DF95" s="11">
        <f>COUNTIFS('jami 1-20 kunlik arizalar'!C:C,A:A,'jami 1-20 kunlik arizalar'!S:S,"3")</f>
        <v>1</v>
      </c>
      <c r="DG95" s="11">
        <f>COUNTIFS('jami 1-20 kunlik arizalar'!C:C,A:A,'jami 1-20 kunlik arizalar'!S:S,"4")</f>
        <v>0</v>
      </c>
      <c r="DH95" s="11">
        <f>COUNTIFS('jami 1-20 kunlik arizalar'!C:C,A:A,'jami 1-20 kunlik arizalar'!S:S,"5")</f>
        <v>0</v>
      </c>
      <c r="DI95" s="11">
        <f>SUM(COUNTIFS('jami 1-20 kunlik arizalar'!C:C,A:A, 'jami 1-20 kunlik arizalar'!S:S, {6,7,8,9,10}))</f>
        <v>5</v>
      </c>
      <c r="DJ95" s="12">
        <f>SUM(COUNTIFS('jami 1-20 kunlik arizalar'!C:C,A:A, 'jami 1-20 kunlik arizalar'!S:S, "&gt;10"))</f>
        <v>6</v>
      </c>
    </row>
    <row r="96" spans="1:114" ht="51.95" hidden="1" customHeight="1" outlineLevel="1" x14ac:dyDescent="0.25">
      <c r="A96" s="98">
        <v>51003005980014</v>
      </c>
      <c r="B96" s="107" t="s">
        <v>957</v>
      </c>
      <c r="C96" s="85" t="s">
        <v>953</v>
      </c>
      <c r="D96" s="80">
        <f>+COUNTIFS('muddati otgan'!C:C,A96,'muddati otgan'!C:C,A96)</f>
        <v>0</v>
      </c>
      <c r="E96" s="10">
        <f>SUMIFS('muddati otgan'!$V:V,'muddati otgan'!$C:C,$A:A)</f>
        <v>0</v>
      </c>
      <c r="F96" s="10">
        <f>SUMIFS('muddati otgan'!$W:W,'muddati otgan'!$C:C,$A:A)</f>
        <v>0</v>
      </c>
      <c r="G96" s="24">
        <f>SUMIFS('muddati otgan'!$U:U,'muddati otgan'!$C:C,$A:A)</f>
        <v>0</v>
      </c>
      <c r="H96" s="11">
        <f>SUMIFS('muddati otgan'!$G:G,'muddati otgan'!$C:C,$A:A)</f>
        <v>0</v>
      </c>
      <c r="I96" s="12">
        <f>SUMIFS('muddati otgan'!$H:H,'muddati otgan'!$C:C,$A:A)</f>
        <v>0</v>
      </c>
      <c r="J96" s="44">
        <f t="shared" ref="J96" si="203">K96+P96+Q96+R96+S96+T96+U96+V96+W96+L96+O96+M96+N96+X96</f>
        <v>0</v>
      </c>
      <c r="K96" s="11">
        <f>+COUNTIFS('muddati otgan'!C:C,A96,'muddati otgan'!AA:AA,"Arizani qabul qilish")</f>
        <v>0</v>
      </c>
      <c r="L96" s="11">
        <f>+COUNTIFS('muddati otgan'!C:C,A96,'muddati otgan'!J:J,"Arizani rad etish")</f>
        <v>0</v>
      </c>
      <c r="M96" s="11">
        <f>+COUNTIFS('muddati otgan'!C:C,A96,'muddati otgan'!J:J,"Arizani tasdiqlash")</f>
        <v>0</v>
      </c>
      <c r="N96" s="11">
        <f>+COUNTIFS('muddati otgan'!C:C,A96,'muddati otgan'!J:J,"Arizani yo'naltirish")</f>
        <v>0</v>
      </c>
      <c r="O96" s="11">
        <f>+COUNTIFS('muddati otgan'!C:C,A96,'muddati otgan'!J:J,"Rad qilish sababini o'rganish")</f>
        <v>0</v>
      </c>
      <c r="P96" s="11">
        <f>+COUNTIFS('muddati otgan'!C:C,A96,'muddati otgan'!J:J,"Ko'chmas mulkni UZKAD ga migratsiya qilish")</f>
        <v>0</v>
      </c>
      <c r="Q96" s="11">
        <f>+COUNTIFS('muddati otgan'!C:C,A96,'muddati otgan'!J:J,"Migratisya qilingan obyekt holatini tekshirish")</f>
        <v>0</v>
      </c>
      <c r="R96" s="11">
        <f>+COUNTIFS('muddati otgan'!C:C,A96,'muddati otgan'!J:J,"Ko‘chmas mulkni tanlash")</f>
        <v>0</v>
      </c>
      <c r="S96" s="11">
        <f>+COUNTIFS('muddati otgan'!C:C,A96,'muddati otgan'!J:J,"Arizani ko'rib chiqish")</f>
        <v>0</v>
      </c>
      <c r="T96" s="11">
        <f>+COUNTIFS('muddati otgan'!C:C,A96,'muddati otgan'!J:J,"Kadastr muhandisini tanlash")</f>
        <v>0</v>
      </c>
      <c r="U96" s="11">
        <f>+COUNTIFS('muddati otgan'!C:C,A96,'muddati otgan'!J:J,"Ko'chmas mulk turini tanlahsh")</f>
        <v>0</v>
      </c>
      <c r="V96" s="11">
        <f>+COUNTIFS('muddati otgan'!C:C,A96,'muddati otgan'!AA:AA,"Rad qilish")</f>
        <v>0</v>
      </c>
      <c r="W96" s="11">
        <f>+COUNTIFS('muddati otgan'!C:C,A96,'muddati otgan'!J:J,"ijrochi tanlash")</f>
        <v>0</v>
      </c>
      <c r="X96" s="11">
        <f>+COUNTIFS('muddati otgan'!C:C,A96,'muddati otgan'!J:J,"Ko'chmas mulk turini tanlash")</f>
        <v>0</v>
      </c>
      <c r="Y96" s="11">
        <f t="shared" ref="Y96" si="204">Z96+AD96+AF96+AE96+AC96+AB96+AA96</f>
        <v>0</v>
      </c>
      <c r="Z96" s="11">
        <f>+COUNTIFS('muddati otgan'!C:C,A96,'muddati otgan'!J:J,"Ijroga qabul qilish")</f>
        <v>0</v>
      </c>
      <c r="AA96" s="11">
        <f>+COUNTIFS('muddati otgan'!C:C,A96,'muddati otgan'!J:J,"Joyida o'rganish va ma'lumotlarni kiritish")</f>
        <v>0</v>
      </c>
      <c r="AB96" s="11">
        <f>+COUNTIFS('muddati otgan'!C:C,A96,'muddati otgan'!J:J,"Asosiy qismdan ajratish jarayonida")</f>
        <v>0</v>
      </c>
      <c r="AC96" s="11">
        <f>+COUNTIFS('muddati otgan'!C:C,A96,'muddati otgan'!J:J,"Umumiy foydalanishdagi obyekt yaratilish")</f>
        <v>0</v>
      </c>
      <c r="AD96" s="11">
        <f>+COUNTIFS('muddati otgan'!C:C,A96,'muddati otgan'!J:J,"Migratsiya qilinadigan kadastr raqamini kiritish")</f>
        <v>0</v>
      </c>
      <c r="AE96" s="11">
        <f>+COUNTIFS('muddati otgan'!C:C,A96,'muddati otgan'!J:J,"O'zida qolgan obyektni yaratish")</f>
        <v>0</v>
      </c>
      <c r="AF96" s="11">
        <f>+COUNTIFS('muddati otgan'!C:C,A96,'muddati otgan'!J:J,"O'lchov natijalarini kiritish")</f>
        <v>0</v>
      </c>
      <c r="AG96" s="11">
        <f>+COUNTIFS('muddati otgan'!C:C,A96,'muddati otgan'!J:J,"Topoxaritani tayyorlash (dwg, pdf)")</f>
        <v>0</v>
      </c>
      <c r="AH96" s="11">
        <f t="shared" ref="AH96" si="205">AI96</f>
        <v>0</v>
      </c>
      <c r="AI96" s="11">
        <f>+COUNTIFS('muddati otgan'!C:C,A96,'muddati otgan'!J:J,"Yer uchastkasini yaratish")</f>
        <v>0</v>
      </c>
      <c r="AJ96" s="11">
        <f t="shared" ref="AJ96" si="206">AK96</f>
        <v>0</v>
      </c>
      <c r="AK96" s="11">
        <f>+COUNTIFS('muddati otgan'!C:C,A96,'muddati otgan'!J:J,"Kelishish (Boshqarma)")</f>
        <v>0</v>
      </c>
      <c r="AL96" s="11">
        <f t="shared" ref="AL96" si="207">AM96+AN96+AO96</f>
        <v>0</v>
      </c>
      <c r="AM96" s="11">
        <f>+COUNTIFS('muddati otgan'!C:C,A96,'muddati otgan'!J:J,"Kelishish (DKP)")</f>
        <v>0</v>
      </c>
      <c r="AN96" s="11">
        <f>+COUNTIFS('muddati otgan'!C:C,A96,'muddati otgan'!J:J,"Kelishish")</f>
        <v>0</v>
      </c>
      <c r="AO96" s="11">
        <f>+COUNTIFS('muddati otgan'!C:C,A96,'muddati otgan'!J:J,"Kelishish (Registratsiya DKP)")</f>
        <v>0</v>
      </c>
      <c r="AP96" s="11">
        <f t="shared" ref="AP96" si="208">AQ96+AR96+AS96+AT96</f>
        <v>0</v>
      </c>
      <c r="AQ96" s="11">
        <f>+COUNTIFS('muddati otgan'!C:C,A96,'muddati otgan'!J:J,"Manzil biriktirish")</f>
        <v>0</v>
      </c>
      <c r="AR96" s="11">
        <f>+COUNTIFS('muddati otgan'!C:C,A96,'muddati otgan'!J:J,"Bino va inshootlarni yaratish")</f>
        <v>0</v>
      </c>
      <c r="AS96" s="11">
        <f>+COUNTIFS('muddati otgan'!C:C,A96,'muddati otgan'!J:J,"Dov daraxtlarni yaratish")</f>
        <v>0</v>
      </c>
      <c r="AT96" s="11">
        <f>+COUNTIFS('muddati otgan'!C:C,A96,'muddati otgan'!J:J,"Yer uchastkasini tahrirlash")</f>
        <v>0</v>
      </c>
      <c r="AU96" s="11">
        <f t="shared" ref="AU96" si="209">AV96+AW96+AX96+AY96+AZ96</f>
        <v>0</v>
      </c>
      <c r="AV96" s="11">
        <f>+COUNTIFS('muddati otgan'!C:C,A96,'muddati otgan'!J:J,"Yer toifasi va maqsadini kiritish")</f>
        <v>0</v>
      </c>
      <c r="AW96" s="11">
        <f>+COUNTIFS('muddati otgan'!C:C,A96,'muddati otgan'!J:J,"Auksion yer tekshirish")</f>
        <v>0</v>
      </c>
      <c r="AX96" s="11">
        <f>+COUNTIFS('muddati otgan'!C:C,A96,'muddati otgan'!J:J,"Yer turlarini kiritish")</f>
        <v>0</v>
      </c>
      <c r="AY96" s="11">
        <f>+COUNTIFS('muddati otgan'!C:C,A96,'muddati otgan'!J:J,"Ma'lumotlarni kiritish")</f>
        <v>0</v>
      </c>
      <c r="AZ96" s="11">
        <f>+COUNTIFS('muddati otgan'!C:C,A96,'muddati otgan'!J:J,"Yer tekshirish")</f>
        <v>0</v>
      </c>
      <c r="BA96" s="11">
        <f t="shared" ref="BA96" si="210">BB96+BC96+BD96+BE96+BF96+BG96+BH96+BI96+BJ96+BK96</f>
        <v>0</v>
      </c>
      <c r="BB96" s="11">
        <f>+COUNTIFS('muddati otgan'!C:C,A96,'muddati otgan'!J:J,"Bino va inshoot ma'lumotlarini to‘ldirish")</f>
        <v>0</v>
      </c>
      <c r="BC96" s="11">
        <f>+COUNTIFS('muddati otgan'!C:C,A96,'muddati otgan'!J:J,"Inventarizatsiya ma'lumotlarini to‘ldirish")</f>
        <v>0</v>
      </c>
      <c r="BD96" s="11">
        <f>+COUNTIFS('muddati otgan'!C:C,A96,'muddati otgan'!J:J,"Yer uchastkasiga huquqiy hujjatlarni kiritsh")</f>
        <v>0</v>
      </c>
      <c r="BE96" s="11">
        <f>+COUNTIFS('muddati otgan'!C:C,A96,'muddati otgan'!J:J,"Bino-inshootlarga huquqiy hujjatlarni kiritsh")</f>
        <v>0</v>
      </c>
      <c r="BF96" s="11">
        <f>+COUNTIFS('muddati otgan'!C:C,A96,'muddati otgan'!J:J,"Kadastr qiymatini hisoblash va kiritish")</f>
        <v>0</v>
      </c>
      <c r="BG96" s="11">
        <f>+COUNTIFS('muddati otgan'!C:C,A96,'muddati otgan'!J:J,"Kadastr raqam biriktirish")</f>
        <v>0</v>
      </c>
      <c r="BH96" s="11">
        <f>+COUNTIFS('muddati otgan'!C:C,A96,'muddati otgan'!J:J,"Kadastr yig'ma jildni tayyorlash")</f>
        <v>0</v>
      </c>
      <c r="BI96" s="11">
        <f>+COUNTIFS('muddati otgan'!C:C,A96,'muddati otgan'!J:J,"Huquqni yaratish")</f>
        <v>0</v>
      </c>
      <c r="BJ96" s="11">
        <f>+COUNTIFS('muddati otgan'!C:C,A96,'muddati otgan'!J:J,"Hujjatlarni o'rganish")</f>
        <v>0</v>
      </c>
      <c r="BK96" s="11">
        <f>+COUNTIFS('muddati otgan'!C:C,A96,'muddati otgan'!J:J,"Ma'lumotlarni tekshirish")</f>
        <v>0</v>
      </c>
      <c r="BL96" s="11">
        <f t="shared" ref="BL96" si="211">BM96+BN96+BP96+BO96+BQ96</f>
        <v>0</v>
      </c>
      <c r="BM96" s="11">
        <f>+COUNTIFS('muddati otgan'!C:C,A96,'muddati otgan'!J:J,"Tekshirish")</f>
        <v>0</v>
      </c>
      <c r="BN96" s="11">
        <f>+COUNTIFS('muddati otgan'!C:C,A96,'muddati otgan'!J:J,"Hujjatlarni tekshirish")</f>
        <v>0</v>
      </c>
      <c r="BO96" s="11">
        <f>+COUNTIFS('muddati otgan'!C:C,A96,'muddati otgan'!J:J,"Tasdiqlash")</f>
        <v>0</v>
      </c>
      <c r="BP96" s="11">
        <f>+COUNTIFS('muddati otgan'!C:C,A96,'muddati otgan'!J:J,"tekshirish/tasdiqlash")</f>
        <v>0</v>
      </c>
      <c r="BQ96" s="11">
        <f>+COUNTIFS('muddati otgan'!C:C,A96,'muddati otgan'!J:J,"Ma'lumotlarni tasdiqlash")</f>
        <v>0</v>
      </c>
      <c r="BR96" s="11">
        <f t="shared" ref="BR96" si="212">BS96+BU96+BV96+BW96+BX96+BY96-BT96</f>
        <v>0</v>
      </c>
      <c r="BS96" s="11">
        <f>+COUNTIFS('muddati otgan'!C:C,A96,'muddati otgan'!J:J,"Ro'yxatdan o'tkazish ma'lumotlarini tekshirish")</f>
        <v>0</v>
      </c>
      <c r="BT96" s="11">
        <f>+COUNTIFS('muddati otgan'!C:C,A96,'muddati otgan'!J:J,"Kamchiliklar bo'yicha habarnoma yuborish va 3 kunga to'xtatish")</f>
        <v>0</v>
      </c>
      <c r="BU96" s="11">
        <f>+COUNTIFS('muddati otgan'!C:C,A96,'muddati otgan'!J:J,"Hisobga olish")</f>
        <v>0</v>
      </c>
      <c r="BV96" s="11">
        <f>+COUNTIFS('muddati otgan'!C:C,A96,'muddati otgan'!J:J,"Yer uchastkasiga huquq yaratish")</f>
        <v>0</v>
      </c>
      <c r="BW96" s="11">
        <f>+COUNTIFS('muddati otgan'!C:C,A96,'muddati otgan'!J:J,"Bino-inshootga huquq yaratish")</f>
        <v>0</v>
      </c>
      <c r="BX96" s="11">
        <f>+COUNTIFS('muddati otgan'!C:C,A96,'muddati otgan'!J:J,"Cheklov yaratish")</f>
        <v>0</v>
      </c>
      <c r="BY96" s="11">
        <f>+COUNTIFS('muddati otgan'!C:C,A96,'muddati otgan'!J:J,"Taqiq yaratish")</f>
        <v>0</v>
      </c>
      <c r="BZ96" s="11">
        <f t="shared" ref="BZ96" si="213">CA96</f>
        <v>0</v>
      </c>
      <c r="CA96" s="11">
        <f>+COUNTIFS('muddati otgan'!C:C,A96,'muddati otgan'!J:J,"Soliq maydonini tekshirish")</f>
        <v>0</v>
      </c>
      <c r="CB96" s="11">
        <f t="shared" ref="CB96" si="214">CC96</f>
        <v>0</v>
      </c>
      <c r="CC96" s="11">
        <f>+COUNTIFS('muddati otgan'!C:C,A96,'muddati otgan'!J:J,"Kadastr yig'majildini shakllantirish")</f>
        <v>0</v>
      </c>
      <c r="CD96" s="11">
        <f t="shared" ref="CD96" si="215">CE96+CF96+CG96+CI96+CJ96+CH96</f>
        <v>0</v>
      </c>
      <c r="CE96" s="11">
        <f>+COUNTIFS('muddati otgan'!C:C,A96,'muddati otgan'!J:J,"Kadastr passportini shakllantirish")</f>
        <v>0</v>
      </c>
      <c r="CF96" s="11">
        <f>+COUNTIFS('muddati otgan'!C:C,A96,'muddati otgan'!J:J,"Yig'ma jildni tasdiqlash")</f>
        <v>0</v>
      </c>
      <c r="CG96" s="11">
        <f>+COUNTIFS('muddati otgan'!C:C,A96,'muddati otgan'!J:J,"To'lov yoki bepul tasdiqlash")</f>
        <v>0</v>
      </c>
      <c r="CH96" s="11">
        <f>+COUNTIFS('muddati otgan'!C:C,A96,'muddati otgan'!J:J,"Bog'liq arizani kutish")</f>
        <v>0</v>
      </c>
      <c r="CI96" s="11">
        <f>+COUNTIFS('muddati otgan'!C:C,A96,'muddati otgan'!J:J,"To'lovga chiqarish")</f>
        <v>0</v>
      </c>
      <c r="CJ96" s="11">
        <f>+COUNTIFS('muddati otgan'!C:C,A96,'muddati otgan'!J:J,"Hisobga qo'yish")</f>
        <v>0</v>
      </c>
      <c r="CK96" s="6">
        <f>+COUNTIFS('muddati otgan'!C:C,A96,'muddati otgan'!J:J,"To'lov kutilmoqda")</f>
        <v>0</v>
      </c>
      <c r="CL96" s="11">
        <f t="shared" ref="CL96" si="216">CM96+CN96+CO96+CP96+CQ96+CR96+CS96+CT96</f>
        <v>0</v>
      </c>
      <c r="CM96" s="11">
        <f>+COUNTIFS('muddati otgan'!C:C,A96,'muddati otgan'!AA:AA,"Arizani qabul qilish2")</f>
        <v>0</v>
      </c>
      <c r="CN96" s="11">
        <f>+COUNTIFS('muddati otgan'!C:C,A96,'muddati otgan'!J:J,"Huquqlarni tekshirish")</f>
        <v>0</v>
      </c>
      <c r="CO96" s="11">
        <f>+COUNTIFS('muddati otgan'!C:C,A96,'muddati otgan'!J:J,"Ko'chmas mulkni ro'yhatdan o'tkazishga qabul qilish")</f>
        <v>0</v>
      </c>
      <c r="CP96" s="11">
        <f>+COUNTIFS('muddati otgan'!C:C,A96,'muddati otgan'!J:J,"Ro'yxatdan o'tkazish")</f>
        <v>0</v>
      </c>
      <c r="CQ96" s="11">
        <f>+COUNTIFS('muddati otgan'!C:C,A96,'muddati otgan'!J:J,"Kadastr pasporti va ko'chirmani yuborish")</f>
        <v>0</v>
      </c>
      <c r="CR96" s="11">
        <f>+COUNTIFS('muddati otgan'!C:C,A96,'muddati otgan'!AA:AA,"Rad qilish2")</f>
        <v>0</v>
      </c>
      <c r="CS96" s="11">
        <f>+COUNTIFS('muddati otgan'!C:C,A96,'muddati otgan'!J:J,"Ko'chirmani yuborish")</f>
        <v>0</v>
      </c>
      <c r="CT96" s="11">
        <f>+COUNTIFS('muddati otgan'!C:C,A96,'muddati otgan'!J:J,"Ma‘lumotlarni tekshirish")</f>
        <v>0</v>
      </c>
      <c r="CU96" s="11">
        <f t="shared" ref="CU96" si="217">CV96</f>
        <v>0</v>
      </c>
      <c r="CV96" s="11">
        <f>+COUNTIFS('muddati otgan'!C:C,A96,'muddati otgan'!J:J,"Kadastr yig'majildini chop etish va arxiv ishiga tikish")</f>
        <v>0</v>
      </c>
      <c r="CW96" s="11">
        <f t="shared" ref="CW96" si="218">CX96+CY96</f>
        <v>0</v>
      </c>
      <c r="CX96" s="11">
        <f>+COUNTIFS('muddati otgan'!C:C,A96,'muddati otgan'!J:J,"Kadastr yig‘majildini qabul qilish, arizani yakunlash")</f>
        <v>0</v>
      </c>
      <c r="CY96" s="11">
        <f>+COUNTIFS('muddati otgan'!C:C,A96,'muddati otgan'!J:J,"Next Cloudga yuklash")</f>
        <v>0</v>
      </c>
      <c r="CZ96" s="6">
        <f>+COUNTIFS('muddati otgan'!C:C,A96,'muddati otgan'!J:J,"Kelishish kutilmoqda")</f>
        <v>0</v>
      </c>
      <c r="DA96" s="6">
        <f>+COUNTIFS('muddati otgan'!C:C,A96,'muddati otgan'!J:J,"Yakunlandi")</f>
        <v>0</v>
      </c>
      <c r="DB96" s="10">
        <f>+COUNTIFS('muddati otgan'!C:C,A96,'muddati otgan'!J:J,"Rad etildi")</f>
        <v>0</v>
      </c>
      <c r="DC96" s="100">
        <f t="shared" ref="DC96" si="219">CK96+CZ96+DA96+DB96-D96</f>
        <v>0</v>
      </c>
      <c r="DD96" s="44">
        <f>COUNTIFS('jami 1-20 kunlik arizalar'!C:C,A:A,'jami 1-20 kunlik arizalar'!S:S,"1")</f>
        <v>0</v>
      </c>
      <c r="DE96" s="11">
        <f>COUNTIFS('jami 1-20 kunlik arizalar'!C:C,A:A,'jami 1-20 kunlik arizalar'!S:S,"2")</f>
        <v>0</v>
      </c>
      <c r="DF96" s="11">
        <f>COUNTIFS('jami 1-20 kunlik arizalar'!C:C,A:A,'jami 1-20 kunlik arizalar'!S:S,"3")</f>
        <v>0</v>
      </c>
      <c r="DG96" s="11">
        <f>COUNTIFS('jami 1-20 kunlik arizalar'!C:C,A:A,'jami 1-20 kunlik arizalar'!S:S,"4")</f>
        <v>2</v>
      </c>
      <c r="DH96" s="11">
        <f>COUNTIFS('jami 1-20 kunlik arizalar'!C:C,A:A,'jami 1-20 kunlik arizalar'!S:S,"5")</f>
        <v>0</v>
      </c>
      <c r="DI96" s="11">
        <f>SUM(COUNTIFS('jami 1-20 kunlik arizalar'!C:C,A:A, 'jami 1-20 kunlik arizalar'!S:S, {6,7,8,9,10}))</f>
        <v>0</v>
      </c>
      <c r="DJ96" s="12">
        <f>SUM(COUNTIFS('jami 1-20 kunlik arizalar'!C:C,A:A, 'jami 1-20 kunlik arizalar'!S:S, "&gt;10"))</f>
        <v>2</v>
      </c>
    </row>
    <row r="97" spans="1:115" ht="51.95" hidden="1" customHeight="1" outlineLevel="1" x14ac:dyDescent="0.25">
      <c r="A97" s="92" t="s">
        <v>630</v>
      </c>
      <c r="B97" s="107" t="s">
        <v>957</v>
      </c>
      <c r="C97" s="85" t="s">
        <v>805</v>
      </c>
      <c r="D97" s="80">
        <f>+COUNTIFS('muddati otgan'!C:C,A97,'muddati otgan'!C:C,A97)</f>
        <v>1</v>
      </c>
      <c r="E97" s="10">
        <f>SUMIFS('muddati otgan'!$V:V,'muddati otgan'!$C:C,$A:A)</f>
        <v>0</v>
      </c>
      <c r="F97" s="10">
        <f>SUMIFS('muddati otgan'!$W:W,'muddati otgan'!$C:C,$A:A)</f>
        <v>0</v>
      </c>
      <c r="G97" s="24">
        <f>SUMIFS('muddati otgan'!$U:U,'muddati otgan'!$C:C,$A:A)</f>
        <v>1</v>
      </c>
      <c r="H97" s="11">
        <f>SUMIFS('muddati otgan'!$G:G,'muddati otgan'!$C:C,$A:A)</f>
        <v>0</v>
      </c>
      <c r="I97" s="12">
        <f>SUMIFS('muddati otgan'!$H:H,'muddati otgan'!$C:C,$A:A)</f>
        <v>1</v>
      </c>
      <c r="J97" s="44">
        <f t="shared" si="169"/>
        <v>0</v>
      </c>
      <c r="K97" s="11">
        <f>+COUNTIFS('muddati otgan'!C:C,A97,'muddati otgan'!AA:AA,"Arizani qabul qilish")</f>
        <v>0</v>
      </c>
      <c r="L97" s="11">
        <f>+COUNTIFS('muddati otgan'!C:C,A97,'muddati otgan'!J:J,"Arizani rad etish")</f>
        <v>0</v>
      </c>
      <c r="M97" s="11">
        <f>+COUNTIFS('muddati otgan'!C:C,A97,'muddati otgan'!J:J,"Arizani tasdiqlash")</f>
        <v>0</v>
      </c>
      <c r="N97" s="11">
        <f>+COUNTIFS('muddati otgan'!C:C,A97,'muddati otgan'!J:J,"Arizani yo'naltirish")</f>
        <v>0</v>
      </c>
      <c r="O97" s="11">
        <f>+COUNTIFS('muddati otgan'!C:C,A97,'muddati otgan'!J:J,"Rad qilish sababini o'rganish")</f>
        <v>0</v>
      </c>
      <c r="P97" s="11">
        <f>+COUNTIFS('muddati otgan'!C:C,A97,'muddati otgan'!J:J,"Ko'chmas mulkni UZKAD ga migratsiya qilish")</f>
        <v>0</v>
      </c>
      <c r="Q97" s="11">
        <f>+COUNTIFS('muddati otgan'!C:C,A97,'muddati otgan'!J:J,"Migratisya qilingan obyekt holatini tekshirish")</f>
        <v>0</v>
      </c>
      <c r="R97" s="11">
        <f>+COUNTIFS('muddati otgan'!C:C,A97,'muddati otgan'!J:J,"Ko‘chmas mulkni tanlash")</f>
        <v>0</v>
      </c>
      <c r="S97" s="11">
        <f>+COUNTIFS('muddati otgan'!C:C,A97,'muddati otgan'!J:J,"Arizani ko'rib chiqish")</f>
        <v>0</v>
      </c>
      <c r="T97" s="11">
        <f>+COUNTIFS('muddati otgan'!C:C,A97,'muddati otgan'!J:J,"Kadastr muhandisini tanlash")</f>
        <v>0</v>
      </c>
      <c r="U97" s="11">
        <f>+COUNTIFS('muddati otgan'!C:C,A97,'muddati otgan'!J:J,"Ko'chmas mulk turini tanlahsh")</f>
        <v>0</v>
      </c>
      <c r="V97" s="11">
        <f>+COUNTIFS('muddati otgan'!C:C,A97,'muddati otgan'!AA:AA,"Rad qilish")</f>
        <v>0</v>
      </c>
      <c r="W97" s="11">
        <f>+COUNTIFS('muddati otgan'!C:C,A97,'muddati otgan'!J:J,"ijrochi tanlash")</f>
        <v>0</v>
      </c>
      <c r="X97" s="11">
        <f>+COUNTIFS('muddati otgan'!C:C,A97,'muddati otgan'!J:J,"Ko'chmas mulk turini tanlash")</f>
        <v>0</v>
      </c>
      <c r="Y97" s="11">
        <f t="shared" si="170"/>
        <v>0</v>
      </c>
      <c r="Z97" s="11">
        <f>+COUNTIFS('muddati otgan'!C:C,A97,'muddati otgan'!J:J,"Ijroga qabul qilish")</f>
        <v>0</v>
      </c>
      <c r="AA97" s="11">
        <f>+COUNTIFS('muddati otgan'!C:C,A97,'muddati otgan'!J:J,"Joyida o'rganish va ma'lumotlarni kiritish")</f>
        <v>0</v>
      </c>
      <c r="AB97" s="11">
        <f>+COUNTIFS('muddati otgan'!C:C,A97,'muddati otgan'!J:J,"Asosiy qismdan ajratish jarayonida")</f>
        <v>0</v>
      </c>
      <c r="AC97" s="11">
        <f>+COUNTIFS('muddati otgan'!C:C,A97,'muddati otgan'!J:J,"Umumiy foydalanishdagi obyekt yaratilish")</f>
        <v>0</v>
      </c>
      <c r="AD97" s="11">
        <f>+COUNTIFS('muddati otgan'!C:C,A97,'muddati otgan'!J:J,"Migratsiya qilinadigan kadastr raqamini kiritish")</f>
        <v>0</v>
      </c>
      <c r="AE97" s="11">
        <f>+COUNTIFS('muddati otgan'!C:C,A97,'muddati otgan'!J:J,"O'zida qolgan obyektni yaratish")</f>
        <v>0</v>
      </c>
      <c r="AF97" s="11">
        <f>+COUNTIFS('muddati otgan'!C:C,A97,'muddati otgan'!J:J,"O'lchov natijalarini kiritish")</f>
        <v>0</v>
      </c>
      <c r="AG97" s="11">
        <f>+COUNTIFS('muddati otgan'!C:C,A97,'muddati otgan'!J:J,"Topoxaritani tayyorlash (dwg, pdf)")</f>
        <v>0</v>
      </c>
      <c r="AH97" s="11">
        <f t="shared" si="171"/>
        <v>0</v>
      </c>
      <c r="AI97" s="11">
        <f>+COUNTIFS('muddati otgan'!C:C,A97,'muddati otgan'!J:J,"Yer uchastkasini yaratish")</f>
        <v>0</v>
      </c>
      <c r="AJ97" s="11">
        <f t="shared" si="172"/>
        <v>0</v>
      </c>
      <c r="AK97" s="11">
        <f>+COUNTIFS('muddati otgan'!C:C,A97,'muddati otgan'!J:J,"Kelishish (Boshqarma)")</f>
        <v>0</v>
      </c>
      <c r="AL97" s="11">
        <f t="shared" si="173"/>
        <v>0</v>
      </c>
      <c r="AM97" s="11">
        <f>+COUNTIFS('muddati otgan'!C:C,A97,'muddati otgan'!J:J,"Kelishish (DKP)")</f>
        <v>0</v>
      </c>
      <c r="AN97" s="11">
        <f>+COUNTIFS('muddati otgan'!C:C,A97,'muddati otgan'!J:J,"Kelishish")</f>
        <v>0</v>
      </c>
      <c r="AO97" s="11">
        <f>+COUNTIFS('muddati otgan'!C:C,A97,'muddati otgan'!J:J,"Kelishish (Registratsiya DKP)")</f>
        <v>0</v>
      </c>
      <c r="AP97" s="11">
        <f t="shared" si="174"/>
        <v>0</v>
      </c>
      <c r="AQ97" s="11">
        <f>+COUNTIFS('muddati otgan'!C:C,A97,'muddati otgan'!J:J,"Manzil biriktirish")</f>
        <v>0</v>
      </c>
      <c r="AR97" s="11">
        <f>+COUNTIFS('muddati otgan'!C:C,A97,'muddati otgan'!J:J,"Bino va inshootlarni yaratish")</f>
        <v>0</v>
      </c>
      <c r="AS97" s="11">
        <f>+COUNTIFS('muddati otgan'!C:C,A97,'muddati otgan'!J:J,"Dov daraxtlarni yaratish")</f>
        <v>0</v>
      </c>
      <c r="AT97" s="11">
        <f>+COUNTIFS('muddati otgan'!C:C,A97,'muddati otgan'!J:J,"Yer uchastkasini tahrirlash")</f>
        <v>0</v>
      </c>
      <c r="AU97" s="11">
        <f t="shared" si="175"/>
        <v>0</v>
      </c>
      <c r="AV97" s="11">
        <f>+COUNTIFS('muddati otgan'!C:C,A97,'muddati otgan'!J:J,"Yer toifasi va maqsadini kiritish")</f>
        <v>0</v>
      </c>
      <c r="AW97" s="11">
        <f>+COUNTIFS('muddati otgan'!C:C,A97,'muddati otgan'!J:J,"Auksion yer tekshirish")</f>
        <v>0</v>
      </c>
      <c r="AX97" s="11">
        <f>+COUNTIFS('muddati otgan'!C:C,A97,'muddati otgan'!J:J,"Yer turlarini kiritish")</f>
        <v>0</v>
      </c>
      <c r="AY97" s="11">
        <f>+COUNTIFS('muddati otgan'!C:C,A97,'muddati otgan'!J:J,"Ma'lumotlarni kiritish")</f>
        <v>0</v>
      </c>
      <c r="AZ97" s="11">
        <f>+COUNTIFS('muddati otgan'!C:C,A97,'muddati otgan'!J:J,"Yer tekshirish")</f>
        <v>0</v>
      </c>
      <c r="BA97" s="11">
        <f t="shared" si="176"/>
        <v>0</v>
      </c>
      <c r="BB97" s="11">
        <f>+COUNTIFS('muddati otgan'!C:C,A97,'muddati otgan'!J:J,"Bino va inshoot ma'lumotlarini to‘ldirish")</f>
        <v>0</v>
      </c>
      <c r="BC97" s="11">
        <f>+COUNTIFS('muddati otgan'!C:C,A97,'muddati otgan'!J:J,"Inventarizatsiya ma'lumotlarini to‘ldirish")</f>
        <v>0</v>
      </c>
      <c r="BD97" s="11">
        <f>+COUNTIFS('muddati otgan'!C:C,A97,'muddati otgan'!J:J,"Yer uchastkasiga huquqiy hujjatlarni kiritsh")</f>
        <v>0</v>
      </c>
      <c r="BE97" s="11">
        <f>+COUNTIFS('muddati otgan'!C:C,A97,'muddati otgan'!J:J,"Bino-inshootlarga huquqiy hujjatlarni kiritsh")</f>
        <v>0</v>
      </c>
      <c r="BF97" s="11">
        <f>+COUNTIFS('muddati otgan'!C:C,A97,'muddati otgan'!J:J,"Kadastr qiymatini hisoblash va kiritish")</f>
        <v>0</v>
      </c>
      <c r="BG97" s="11">
        <f>+COUNTIFS('muddati otgan'!C:C,A97,'muddati otgan'!J:J,"Kadastr raqam biriktirish")</f>
        <v>0</v>
      </c>
      <c r="BH97" s="11">
        <f>+COUNTIFS('muddati otgan'!C:C,A97,'muddati otgan'!J:J,"Kadastr yig'ma jildni tayyorlash")</f>
        <v>0</v>
      </c>
      <c r="BI97" s="11">
        <f>+COUNTIFS('muddati otgan'!C:C,A97,'muddati otgan'!J:J,"Huquqni yaratish")</f>
        <v>0</v>
      </c>
      <c r="BJ97" s="11">
        <f>+COUNTIFS('muddati otgan'!C:C,A97,'muddati otgan'!J:J,"Hujjatlarni o'rganish")</f>
        <v>0</v>
      </c>
      <c r="BK97" s="11">
        <f>+COUNTIFS('muddati otgan'!C:C,A97,'muddati otgan'!J:J,"Ma'lumotlarni tekshirish")</f>
        <v>0</v>
      </c>
      <c r="BL97" s="11">
        <f t="shared" si="177"/>
        <v>0</v>
      </c>
      <c r="BM97" s="11">
        <f>+COUNTIFS('muddati otgan'!C:C,A97,'muddati otgan'!J:J,"Tekshirish")</f>
        <v>0</v>
      </c>
      <c r="BN97" s="11">
        <f>+COUNTIFS('muddati otgan'!C:C,A97,'muddati otgan'!J:J,"Hujjatlarni tekshirish")</f>
        <v>0</v>
      </c>
      <c r="BO97" s="11">
        <f>+COUNTIFS('muddati otgan'!C:C,A97,'muddati otgan'!J:J,"Tasdiqlash")</f>
        <v>0</v>
      </c>
      <c r="BP97" s="11">
        <f>+COUNTIFS('muddati otgan'!C:C,A97,'muddati otgan'!J:J,"tekshirish/tasdiqlash")</f>
        <v>0</v>
      </c>
      <c r="BQ97" s="11">
        <f>+COUNTIFS('muddati otgan'!C:C,A97,'muddati otgan'!J:J,"Ma'lumotlarni tasdiqlash")</f>
        <v>0</v>
      </c>
      <c r="BR97" s="11">
        <f t="shared" si="178"/>
        <v>0</v>
      </c>
      <c r="BS97" s="11">
        <f>+COUNTIFS('muddati otgan'!C:C,A97,'muddati otgan'!J:J,"Ro'yxatdan o'tkazish ma'lumotlarini tekshirish")</f>
        <v>0</v>
      </c>
      <c r="BT97" s="11">
        <f>+COUNTIFS('muddati otgan'!C:C,A97,'muddati otgan'!J:J,"Kamchiliklar bo'yicha habarnoma yuborish va 3 kunga to'xtatish")</f>
        <v>0</v>
      </c>
      <c r="BU97" s="11">
        <f>+COUNTIFS('muddati otgan'!C:C,A97,'muddati otgan'!J:J,"Hisobga olish")</f>
        <v>0</v>
      </c>
      <c r="BV97" s="11">
        <f>+COUNTIFS('muddati otgan'!C:C,A97,'muddati otgan'!J:J,"Yer uchastkasiga huquq yaratish")</f>
        <v>0</v>
      </c>
      <c r="BW97" s="11">
        <f>+COUNTIFS('muddati otgan'!C:C,A97,'muddati otgan'!J:J,"Bino-inshootga huquq yaratish")</f>
        <v>0</v>
      </c>
      <c r="BX97" s="11">
        <f>+COUNTIFS('muddati otgan'!C:C,A97,'muddati otgan'!J:J,"Cheklov yaratish")</f>
        <v>0</v>
      </c>
      <c r="BY97" s="11">
        <f>+COUNTIFS('muddati otgan'!C:C,A97,'muddati otgan'!J:J,"Taqiq yaratish")</f>
        <v>0</v>
      </c>
      <c r="BZ97" s="11">
        <f t="shared" si="179"/>
        <v>0</v>
      </c>
      <c r="CA97" s="11">
        <f>+COUNTIFS('muddati otgan'!C:C,A97,'muddati otgan'!J:J,"Soliq maydonini tekshirish")</f>
        <v>0</v>
      </c>
      <c r="CB97" s="11">
        <f t="shared" si="180"/>
        <v>0</v>
      </c>
      <c r="CC97" s="11">
        <f>+COUNTIFS('muddati otgan'!C:C,A97,'muddati otgan'!J:J,"Kadastr yig'majildini shakllantirish")</f>
        <v>0</v>
      </c>
      <c r="CD97" s="11">
        <f t="shared" si="181"/>
        <v>0</v>
      </c>
      <c r="CE97" s="11">
        <f>+COUNTIFS('muddati otgan'!C:C,A97,'muddati otgan'!J:J,"Kadastr passportini shakllantirish")</f>
        <v>0</v>
      </c>
      <c r="CF97" s="11">
        <f>+COUNTIFS('muddati otgan'!C:C,A97,'muddati otgan'!J:J,"Yig'ma jildni tasdiqlash")</f>
        <v>0</v>
      </c>
      <c r="CG97" s="11">
        <f>+COUNTIFS('muddati otgan'!C:C,A97,'muddati otgan'!J:J,"To'lov yoki bepul tasdiqlash")</f>
        <v>0</v>
      </c>
      <c r="CH97" s="11">
        <f>+COUNTIFS('muddati otgan'!C:C,A97,'muddati otgan'!J:J,"Bog'liq arizani kutish")</f>
        <v>0</v>
      </c>
      <c r="CI97" s="11">
        <f>+COUNTIFS('muddati otgan'!C:C,A97,'muddati otgan'!J:J,"To'lovga chiqarish")</f>
        <v>0</v>
      </c>
      <c r="CJ97" s="11">
        <f>+COUNTIFS('muddati otgan'!C:C,A97,'muddati otgan'!J:J,"Hisobga qo'yish")</f>
        <v>0</v>
      </c>
      <c r="CK97" s="6">
        <f>+COUNTIFS('muddati otgan'!C:C,A97,'muddati otgan'!J:J,"To'lov kutilmoqda")</f>
        <v>0</v>
      </c>
      <c r="CL97" s="11">
        <f t="shared" si="182"/>
        <v>0</v>
      </c>
      <c r="CM97" s="11">
        <f>+COUNTIFS('muddati otgan'!C:C,A97,'muddati otgan'!AA:AA,"Arizani qabul qilish2")</f>
        <v>0</v>
      </c>
      <c r="CN97" s="11">
        <f>+COUNTIFS('muddati otgan'!C:C,A97,'muddati otgan'!J:J,"Huquqlarni tekshirish")</f>
        <v>0</v>
      </c>
      <c r="CO97" s="11">
        <f>+COUNTIFS('muddati otgan'!C:C,A97,'muddati otgan'!J:J,"Ko'chmas mulkni ro'yhatdan o'tkazishga qabul qilish")</f>
        <v>0</v>
      </c>
      <c r="CP97" s="11">
        <f>+COUNTIFS('muddati otgan'!C:C,A97,'muddati otgan'!J:J,"Ro'yxatdan o'tkazish")</f>
        <v>0</v>
      </c>
      <c r="CQ97" s="11">
        <f>+COUNTIFS('muddati otgan'!C:C,A97,'muddati otgan'!J:J,"Kadastr pasporti va ko'chirmani yuborish")</f>
        <v>0</v>
      </c>
      <c r="CR97" s="11">
        <f>+COUNTIFS('muddati otgan'!C:C,A97,'muddati otgan'!AA:AA,"Rad qilish2")</f>
        <v>0</v>
      </c>
      <c r="CS97" s="11">
        <f>+COUNTIFS('muddati otgan'!C:C,A97,'muddati otgan'!J:J,"Ko'chirmani yuborish")</f>
        <v>0</v>
      </c>
      <c r="CT97" s="11">
        <f>+COUNTIFS('muddati otgan'!C:C,A97,'muddati otgan'!J:J,"Ma‘lumotlarni tekshirish")</f>
        <v>0</v>
      </c>
      <c r="CU97" s="11">
        <f t="shared" si="183"/>
        <v>0</v>
      </c>
      <c r="CV97" s="11">
        <f>+COUNTIFS('muddati otgan'!C:C,A97,'muddati otgan'!J:J,"Kadastr yig'majildini chop etish va arxiv ishiga tikish")</f>
        <v>0</v>
      </c>
      <c r="CW97" s="11">
        <f t="shared" si="184"/>
        <v>0</v>
      </c>
      <c r="CX97" s="11">
        <f>+COUNTIFS('muddati otgan'!C:C,A97,'muddati otgan'!J:J,"Kadastr yig‘majildini qabul qilish, arizani yakunlash")</f>
        <v>0</v>
      </c>
      <c r="CY97" s="11">
        <f>+COUNTIFS('muddati otgan'!C:C,A97,'muddati otgan'!J:J,"Next Cloudga yuklash")</f>
        <v>0</v>
      </c>
      <c r="CZ97" s="6">
        <f>+COUNTIFS('muddati otgan'!C:C,A97,'muddati otgan'!J:J,"Kelishish kutilmoqda")</f>
        <v>0</v>
      </c>
      <c r="DA97" s="6">
        <f>+COUNTIFS('muddati otgan'!C:C,A97,'muddati otgan'!J:J,"Yakunlandi")</f>
        <v>1</v>
      </c>
      <c r="DB97" s="10">
        <f>+COUNTIFS('muddati otgan'!C:C,A97,'muddati otgan'!J:J,"Rad etildi")</f>
        <v>0</v>
      </c>
      <c r="DC97" s="100">
        <f t="shared" si="185"/>
        <v>0</v>
      </c>
      <c r="DD97" s="44">
        <f>COUNTIFS('jami 1-20 kunlik arizalar'!C:C,A:A,'jami 1-20 kunlik arizalar'!S:S,"1")</f>
        <v>0</v>
      </c>
      <c r="DE97" s="11">
        <f>COUNTIFS('jami 1-20 kunlik arizalar'!C:C,A:A,'jami 1-20 kunlik arizalar'!S:S,"2")</f>
        <v>0</v>
      </c>
      <c r="DF97" s="11">
        <f>COUNTIFS('jami 1-20 kunlik arizalar'!C:C,A:A,'jami 1-20 kunlik arizalar'!S:S,"3")</f>
        <v>1</v>
      </c>
      <c r="DG97" s="11">
        <f>COUNTIFS('jami 1-20 kunlik arizalar'!C:C,A:A,'jami 1-20 kunlik arizalar'!S:S,"4")</f>
        <v>0</v>
      </c>
      <c r="DH97" s="11">
        <f>COUNTIFS('jami 1-20 kunlik arizalar'!C:C,A:A,'jami 1-20 kunlik arizalar'!S:S,"5")</f>
        <v>1</v>
      </c>
      <c r="DI97" s="11">
        <f>SUM(COUNTIFS('jami 1-20 kunlik arizalar'!C:C,A:A, 'jami 1-20 kunlik arizalar'!S:S, {6,7,8,9,10}))</f>
        <v>9</v>
      </c>
      <c r="DJ97" s="12">
        <f>SUM(COUNTIFS('jami 1-20 kunlik arizalar'!C:C,A:A, 'jami 1-20 kunlik arizalar'!S:S, "&gt;10"))</f>
        <v>7</v>
      </c>
    </row>
    <row r="98" spans="1:115" ht="51.95" hidden="1" customHeight="1" outlineLevel="1" thickBot="1" x14ac:dyDescent="0.3">
      <c r="A98" s="92" t="s">
        <v>639</v>
      </c>
      <c r="B98" s="107" t="s">
        <v>957</v>
      </c>
      <c r="C98" s="88" t="s">
        <v>806</v>
      </c>
      <c r="D98" s="82">
        <f>+COUNTIFS('muddati otgan'!C:C,A98,'muddati otgan'!C:C,A98)</f>
        <v>0</v>
      </c>
      <c r="E98" s="21">
        <f>SUMIFS('muddati otgan'!$V:V,'muddati otgan'!$C:C,$A:A)</f>
        <v>0</v>
      </c>
      <c r="F98" s="21">
        <f>SUMIFS('muddati otgan'!$W:W,'muddati otgan'!$C:C,$A:A)</f>
        <v>0</v>
      </c>
      <c r="G98" s="25">
        <f>SUMIFS('muddati otgan'!$U:U,'muddati otgan'!$C:C,$A:A)</f>
        <v>0</v>
      </c>
      <c r="H98" s="22">
        <f>SUMIFS('muddati otgan'!$G:G,'muddati otgan'!$C:C,$A:A)</f>
        <v>0</v>
      </c>
      <c r="I98" s="23">
        <f>SUMIFS('muddati otgan'!$H:H,'muddati otgan'!$C:C,$A:A)</f>
        <v>0</v>
      </c>
      <c r="J98" s="46">
        <f t="shared" si="169"/>
        <v>0</v>
      </c>
      <c r="K98" s="22">
        <f>+COUNTIFS('muddati otgan'!C:C,A98,'muddati otgan'!AA:AA,"Arizani qabul qilish")</f>
        <v>0</v>
      </c>
      <c r="L98" s="22">
        <f>+COUNTIFS('muddati otgan'!C:C,A98,'muddati otgan'!J:J,"Arizani rad etish")</f>
        <v>0</v>
      </c>
      <c r="M98" s="22">
        <f>+COUNTIFS('muddati otgan'!C:C,A98,'muddati otgan'!J:J,"Arizani tasdiqlash")</f>
        <v>0</v>
      </c>
      <c r="N98" s="22">
        <f>+COUNTIFS('muddati otgan'!C:C,A98,'muddati otgan'!J:J,"Arizani yo'naltirish")</f>
        <v>0</v>
      </c>
      <c r="O98" s="22">
        <f>+COUNTIFS('muddati otgan'!C:C,A98,'muddati otgan'!J:J,"Rad qilish sababini o'rganish")</f>
        <v>0</v>
      </c>
      <c r="P98" s="22">
        <f>+COUNTIFS('muddati otgan'!C:C,A98,'muddati otgan'!J:J,"Ko'chmas mulkni UZKAD ga migratsiya qilish")</f>
        <v>0</v>
      </c>
      <c r="Q98" s="22">
        <f>+COUNTIFS('muddati otgan'!C:C,A98,'muddati otgan'!J:J,"Migratisya qilingan obyekt holatini tekshirish")</f>
        <v>0</v>
      </c>
      <c r="R98" s="22">
        <f>+COUNTIFS('muddati otgan'!C:C,A98,'muddati otgan'!J:J,"Ko‘chmas mulkni tanlash")</f>
        <v>0</v>
      </c>
      <c r="S98" s="22">
        <f>+COUNTIFS('muddati otgan'!C:C,A98,'muddati otgan'!J:J,"Arizani ko'rib chiqish")</f>
        <v>0</v>
      </c>
      <c r="T98" s="22">
        <f>+COUNTIFS('muddati otgan'!C:C,A98,'muddati otgan'!J:J,"Kadastr muhandisini tanlash")</f>
        <v>0</v>
      </c>
      <c r="U98" s="22">
        <f>+COUNTIFS('muddati otgan'!C:C,A98,'muddati otgan'!J:J,"Ko'chmas mulk turini tanlahsh")</f>
        <v>0</v>
      </c>
      <c r="V98" s="22">
        <f>+COUNTIFS('muddati otgan'!C:C,A98,'muddati otgan'!AA:AA,"Rad qilish")</f>
        <v>0</v>
      </c>
      <c r="W98" s="22">
        <f>+COUNTIFS('muddati otgan'!C:C,A98,'muddati otgan'!J:J,"ijrochi tanlash")</f>
        <v>0</v>
      </c>
      <c r="X98" s="22">
        <f>+COUNTIFS('muddati otgan'!C:C,A98,'muddati otgan'!J:J,"Ko'chmas mulk turini tanlash")</f>
        <v>0</v>
      </c>
      <c r="Y98" s="22">
        <f t="shared" si="170"/>
        <v>0</v>
      </c>
      <c r="Z98" s="22">
        <f>+COUNTIFS('muddati otgan'!C:C,A98,'muddati otgan'!J:J,"Ijroga qabul qilish")</f>
        <v>0</v>
      </c>
      <c r="AA98" s="22">
        <f>+COUNTIFS('muddati otgan'!C:C,A98,'muddati otgan'!J:J,"Joyida o'rganish va ma'lumotlarni kiritish")</f>
        <v>0</v>
      </c>
      <c r="AB98" s="22">
        <f>+COUNTIFS('muddati otgan'!C:C,A98,'muddati otgan'!J:J,"Asosiy qismdan ajratish jarayonida")</f>
        <v>0</v>
      </c>
      <c r="AC98" s="22">
        <f>+COUNTIFS('muddati otgan'!C:C,A98,'muddati otgan'!J:J,"Umumiy foydalanishdagi obyekt yaratilish")</f>
        <v>0</v>
      </c>
      <c r="AD98" s="22">
        <f>+COUNTIFS('muddati otgan'!C:C,A98,'muddati otgan'!J:J,"Migratsiya qilinadigan kadastr raqamini kiritish")</f>
        <v>0</v>
      </c>
      <c r="AE98" s="22">
        <f>+COUNTIFS('muddati otgan'!C:C,A98,'muddati otgan'!J:J,"O'zida qolgan obyektni yaratish")</f>
        <v>0</v>
      </c>
      <c r="AF98" s="22">
        <f>+COUNTIFS('muddati otgan'!C:C,A98,'muddati otgan'!J:J,"O'lchov natijalarini kiritish")</f>
        <v>0</v>
      </c>
      <c r="AG98" s="22">
        <f>+COUNTIFS('muddati otgan'!C:C,A98,'muddati otgan'!J:J,"Topoxaritani tayyorlash (dwg, pdf)")</f>
        <v>0</v>
      </c>
      <c r="AH98" s="22">
        <f t="shared" si="171"/>
        <v>0</v>
      </c>
      <c r="AI98" s="22">
        <f>+COUNTIFS('muddati otgan'!C:C,A98,'muddati otgan'!J:J,"Yer uchastkasini yaratish")</f>
        <v>0</v>
      </c>
      <c r="AJ98" s="22">
        <f t="shared" si="172"/>
        <v>0</v>
      </c>
      <c r="AK98" s="22">
        <f>+COUNTIFS('muddati otgan'!C:C,A98,'muddati otgan'!J:J,"Kelishish (Boshqarma)")</f>
        <v>0</v>
      </c>
      <c r="AL98" s="22">
        <f t="shared" si="173"/>
        <v>0</v>
      </c>
      <c r="AM98" s="22">
        <f>+COUNTIFS('muddati otgan'!C:C,A98,'muddati otgan'!J:J,"Kelishish (DKP)")</f>
        <v>0</v>
      </c>
      <c r="AN98" s="22">
        <f>+COUNTIFS('muddati otgan'!C:C,A98,'muddati otgan'!J:J,"Kelishish")</f>
        <v>0</v>
      </c>
      <c r="AO98" s="22">
        <f>+COUNTIFS('muddati otgan'!C:C,A98,'muddati otgan'!J:J,"Kelishish (Registratsiya DKP)")</f>
        <v>0</v>
      </c>
      <c r="AP98" s="22">
        <f t="shared" si="174"/>
        <v>0</v>
      </c>
      <c r="AQ98" s="22">
        <f>+COUNTIFS('muddati otgan'!C:C,A98,'muddati otgan'!J:J,"Manzil biriktirish")</f>
        <v>0</v>
      </c>
      <c r="AR98" s="22">
        <f>+COUNTIFS('muddati otgan'!C:C,A98,'muddati otgan'!J:J,"Bino va inshootlarni yaratish")</f>
        <v>0</v>
      </c>
      <c r="AS98" s="22">
        <f>+COUNTIFS('muddati otgan'!C:C,A98,'muddati otgan'!J:J,"Dov daraxtlarni yaratish")</f>
        <v>0</v>
      </c>
      <c r="AT98" s="22">
        <f>+COUNTIFS('muddati otgan'!C:C,A98,'muddati otgan'!J:J,"Yer uchastkasini tahrirlash")</f>
        <v>0</v>
      </c>
      <c r="AU98" s="22">
        <f t="shared" si="175"/>
        <v>0</v>
      </c>
      <c r="AV98" s="22">
        <f>+COUNTIFS('muddati otgan'!C:C,A98,'muddati otgan'!J:J,"Yer toifasi va maqsadini kiritish")</f>
        <v>0</v>
      </c>
      <c r="AW98" s="22">
        <f>+COUNTIFS('muddati otgan'!C:C,A98,'muddati otgan'!J:J,"Auksion yer tekshirish")</f>
        <v>0</v>
      </c>
      <c r="AX98" s="22">
        <f>+COUNTIFS('muddati otgan'!C:C,A98,'muddati otgan'!J:J,"Yer turlarini kiritish")</f>
        <v>0</v>
      </c>
      <c r="AY98" s="22">
        <f>+COUNTIFS('muddati otgan'!C:C,A98,'muddati otgan'!J:J,"Ma'lumotlarni kiritish")</f>
        <v>0</v>
      </c>
      <c r="AZ98" s="22">
        <f>+COUNTIFS('muddati otgan'!C:C,A98,'muddati otgan'!J:J,"Yer tekshirish")</f>
        <v>0</v>
      </c>
      <c r="BA98" s="22">
        <f t="shared" si="176"/>
        <v>0</v>
      </c>
      <c r="BB98" s="22">
        <f>+COUNTIFS('muddati otgan'!C:C,A98,'muddati otgan'!J:J,"Bino va inshoot ma'lumotlarini to‘ldirish")</f>
        <v>0</v>
      </c>
      <c r="BC98" s="22">
        <f>+COUNTIFS('muddati otgan'!C:C,A98,'muddati otgan'!J:J,"Inventarizatsiya ma'lumotlarini to‘ldirish")</f>
        <v>0</v>
      </c>
      <c r="BD98" s="22">
        <f>+COUNTIFS('muddati otgan'!C:C,A98,'muddati otgan'!J:J,"Yer uchastkasiga huquqiy hujjatlarni kiritsh")</f>
        <v>0</v>
      </c>
      <c r="BE98" s="22">
        <f>+COUNTIFS('muddati otgan'!C:C,A98,'muddati otgan'!J:J,"Bino-inshootlarga huquqiy hujjatlarni kiritsh")</f>
        <v>0</v>
      </c>
      <c r="BF98" s="22">
        <f>+COUNTIFS('muddati otgan'!C:C,A98,'muddati otgan'!J:J,"Kadastr qiymatini hisoblash va kiritish")</f>
        <v>0</v>
      </c>
      <c r="BG98" s="22">
        <f>+COUNTIFS('muddati otgan'!C:C,A98,'muddati otgan'!J:J,"Kadastr raqam biriktirish")</f>
        <v>0</v>
      </c>
      <c r="BH98" s="22">
        <f>+COUNTIFS('muddati otgan'!C:C,A98,'muddati otgan'!J:J,"Kadastr yig'ma jildni tayyorlash")</f>
        <v>0</v>
      </c>
      <c r="BI98" s="22">
        <f>+COUNTIFS('muddati otgan'!C:C,A98,'muddati otgan'!J:J,"Huquqni yaratish")</f>
        <v>0</v>
      </c>
      <c r="BJ98" s="22">
        <f>+COUNTIFS('muddati otgan'!C:C,A98,'muddati otgan'!J:J,"Hujjatlarni o'rganish")</f>
        <v>0</v>
      </c>
      <c r="BK98" s="22">
        <f>+COUNTIFS('muddati otgan'!C:C,A98,'muddati otgan'!J:J,"Ma'lumotlarni tekshirish")</f>
        <v>0</v>
      </c>
      <c r="BL98" s="22">
        <f t="shared" si="177"/>
        <v>0</v>
      </c>
      <c r="BM98" s="22">
        <f>+COUNTIFS('muddati otgan'!C:C,A98,'muddati otgan'!J:J,"Tekshirish")</f>
        <v>0</v>
      </c>
      <c r="BN98" s="22">
        <f>+COUNTIFS('muddati otgan'!C:C,A98,'muddati otgan'!J:J,"Hujjatlarni tekshirish")</f>
        <v>0</v>
      </c>
      <c r="BO98" s="22">
        <f>+COUNTIFS('muddati otgan'!C:C,A98,'muddati otgan'!J:J,"Tasdiqlash")</f>
        <v>0</v>
      </c>
      <c r="BP98" s="22">
        <f>+COUNTIFS('muddati otgan'!C:C,A98,'muddati otgan'!J:J,"tekshirish/tasdiqlash")</f>
        <v>0</v>
      </c>
      <c r="BQ98" s="22">
        <f>+COUNTIFS('muddati otgan'!C:C,A98,'muddati otgan'!J:J,"Ma'lumotlarni tasdiqlash")</f>
        <v>0</v>
      </c>
      <c r="BR98" s="22">
        <f t="shared" si="178"/>
        <v>0</v>
      </c>
      <c r="BS98" s="22">
        <f>+COUNTIFS('muddati otgan'!C:C,A98,'muddati otgan'!J:J,"Ro'yxatdan o'tkazish ma'lumotlarini tekshirish")</f>
        <v>0</v>
      </c>
      <c r="BT98" s="22">
        <f>+COUNTIFS('muddati otgan'!C:C,A98,'muddati otgan'!J:J,"Kamchiliklar bo'yicha habarnoma yuborish va 3 kunga to'xtatish")</f>
        <v>0</v>
      </c>
      <c r="BU98" s="22">
        <f>+COUNTIFS('muddati otgan'!C:C,A98,'muddati otgan'!J:J,"Hisobga olish")</f>
        <v>0</v>
      </c>
      <c r="BV98" s="22">
        <f>+COUNTIFS('muddati otgan'!C:C,A98,'muddati otgan'!J:J,"Yer uchastkasiga huquq yaratish")</f>
        <v>0</v>
      </c>
      <c r="BW98" s="22">
        <f>+COUNTIFS('muddati otgan'!C:C,A98,'muddati otgan'!J:J,"Bino-inshootga huquq yaratish")</f>
        <v>0</v>
      </c>
      <c r="BX98" s="22">
        <f>+COUNTIFS('muddati otgan'!C:C,A98,'muddati otgan'!J:J,"Cheklov yaratish")</f>
        <v>0</v>
      </c>
      <c r="BY98" s="22">
        <f>+COUNTIFS('muddati otgan'!C:C,A98,'muddati otgan'!J:J,"Taqiq yaratish")</f>
        <v>0</v>
      </c>
      <c r="BZ98" s="22">
        <f t="shared" si="179"/>
        <v>0</v>
      </c>
      <c r="CA98" s="22">
        <f>+COUNTIFS('muddati otgan'!C:C,A98,'muddati otgan'!J:J,"Soliq maydonini tekshirish")</f>
        <v>0</v>
      </c>
      <c r="CB98" s="22">
        <f t="shared" si="180"/>
        <v>0</v>
      </c>
      <c r="CC98" s="22">
        <f>+COUNTIFS('muddati otgan'!C:C,A98,'muddati otgan'!J:J,"Kadastr yig'majildini shakllantirish")</f>
        <v>0</v>
      </c>
      <c r="CD98" s="22">
        <f t="shared" si="181"/>
        <v>0</v>
      </c>
      <c r="CE98" s="22">
        <f>+COUNTIFS('muddati otgan'!C:C,A98,'muddati otgan'!J:J,"Kadastr passportini shakllantirish")</f>
        <v>0</v>
      </c>
      <c r="CF98" s="22">
        <f>+COUNTIFS('muddati otgan'!C:C,A98,'muddati otgan'!J:J,"Yig'ma jildni tasdiqlash")</f>
        <v>0</v>
      </c>
      <c r="CG98" s="22">
        <f>+COUNTIFS('muddati otgan'!C:C,A98,'muddati otgan'!J:J,"To'lov yoki bepul tasdiqlash")</f>
        <v>0</v>
      </c>
      <c r="CH98" s="22">
        <f>+COUNTIFS('muddati otgan'!C:C,A98,'muddati otgan'!J:J,"Bog'liq arizani kutish")</f>
        <v>0</v>
      </c>
      <c r="CI98" s="22">
        <f>+COUNTIFS('muddati otgan'!C:C,A98,'muddati otgan'!J:J,"To'lovga chiqarish")</f>
        <v>0</v>
      </c>
      <c r="CJ98" s="22">
        <f>+COUNTIFS('muddati otgan'!C:C,A98,'muddati otgan'!J:J,"Hisobga qo'yish")</f>
        <v>0</v>
      </c>
      <c r="CK98" s="8">
        <f>+COUNTIFS('muddati otgan'!C:C,A98,'muddati otgan'!J:J,"To'lov kutilmoqda")</f>
        <v>0</v>
      </c>
      <c r="CL98" s="22">
        <f t="shared" si="182"/>
        <v>0</v>
      </c>
      <c r="CM98" s="22">
        <f>+COUNTIFS('muddati otgan'!C:C,A98,'muddati otgan'!AA:AA,"Arizani qabul qilish2")</f>
        <v>0</v>
      </c>
      <c r="CN98" s="22">
        <f>+COUNTIFS('muddati otgan'!C:C,A98,'muddati otgan'!J:J,"Huquqlarni tekshirish")</f>
        <v>0</v>
      </c>
      <c r="CO98" s="22">
        <f>+COUNTIFS('muddati otgan'!C:C,A98,'muddati otgan'!J:J,"Ko'chmas mulkni ro'yhatdan o'tkazishga qabul qilish")</f>
        <v>0</v>
      </c>
      <c r="CP98" s="22">
        <f>+COUNTIFS('muddati otgan'!C:C,A98,'muddati otgan'!J:J,"Ro'yxatdan o'tkazish")</f>
        <v>0</v>
      </c>
      <c r="CQ98" s="22">
        <f>+COUNTIFS('muddati otgan'!C:C,A98,'muddati otgan'!J:J,"Kadastr pasporti va ko'chirmani yuborish")</f>
        <v>0</v>
      </c>
      <c r="CR98" s="22">
        <f>+COUNTIFS('muddati otgan'!C:C,A98,'muddati otgan'!AA:AA,"Rad qilish2")</f>
        <v>0</v>
      </c>
      <c r="CS98" s="22">
        <f>+COUNTIFS('muddati otgan'!C:C,A98,'muddati otgan'!J:J,"Ko'chirmani yuborish")</f>
        <v>0</v>
      </c>
      <c r="CT98" s="22">
        <f>+COUNTIFS('muddati otgan'!C:C,A98,'muddati otgan'!J:J,"Ma‘lumotlarni tekshirish")</f>
        <v>0</v>
      </c>
      <c r="CU98" s="22">
        <f t="shared" si="183"/>
        <v>0</v>
      </c>
      <c r="CV98" s="22">
        <f>+COUNTIFS('muddati otgan'!C:C,A98,'muddati otgan'!J:J,"Kadastr yig'majildini chop etish va arxiv ishiga tikish")</f>
        <v>0</v>
      </c>
      <c r="CW98" s="22">
        <f t="shared" si="184"/>
        <v>0</v>
      </c>
      <c r="CX98" s="22">
        <f>+COUNTIFS('muddati otgan'!C:C,A98,'muddati otgan'!J:J,"Kadastr yig‘majildini qabul qilish, arizani yakunlash")</f>
        <v>0</v>
      </c>
      <c r="CY98" s="22">
        <f>+COUNTIFS('muddati otgan'!C:C,A98,'muddati otgan'!J:J,"Next Cloudga yuklash")</f>
        <v>0</v>
      </c>
      <c r="CZ98" s="8">
        <f>+COUNTIFS('muddati otgan'!C:C,A98,'muddati otgan'!J:J,"Kelishish kutilmoqda")</f>
        <v>0</v>
      </c>
      <c r="DA98" s="8">
        <f>+COUNTIFS('muddati otgan'!C:C,A98,'muddati otgan'!J:J,"Yakunlandi")</f>
        <v>0</v>
      </c>
      <c r="DB98" s="21">
        <f>+COUNTIFS('muddati otgan'!C:C,A98,'muddati otgan'!J:J,"Rad etildi")</f>
        <v>0</v>
      </c>
      <c r="DC98" s="101">
        <f t="shared" si="185"/>
        <v>0</v>
      </c>
      <c r="DD98" s="46">
        <f>COUNTIFS('jami 1-20 kunlik arizalar'!C:C,A:A,'jami 1-20 kunlik arizalar'!S:S,"1")</f>
        <v>0</v>
      </c>
      <c r="DE98" s="22">
        <f>COUNTIFS('jami 1-20 kunlik arizalar'!C:C,A:A,'jami 1-20 kunlik arizalar'!S:S,"2")</f>
        <v>0</v>
      </c>
      <c r="DF98" s="22">
        <f>COUNTIFS('jami 1-20 kunlik arizalar'!C:C,A:A,'jami 1-20 kunlik arizalar'!S:S,"3")</f>
        <v>2</v>
      </c>
      <c r="DG98" s="22">
        <f>COUNTIFS('jami 1-20 kunlik arizalar'!C:C,A:A,'jami 1-20 kunlik arizalar'!S:S,"4")</f>
        <v>1</v>
      </c>
      <c r="DH98" s="22">
        <f>COUNTIFS('jami 1-20 kunlik arizalar'!C:C,A:A,'jami 1-20 kunlik arizalar'!S:S,"5")</f>
        <v>2</v>
      </c>
      <c r="DI98" s="22">
        <f>SUM(COUNTIFS('jami 1-20 kunlik arizalar'!C:C,A:A, 'jami 1-20 kunlik arizalar'!S:S, {6,7,8,9,10}))</f>
        <v>10</v>
      </c>
      <c r="DJ98" s="23">
        <f>SUM(COUNTIFS('jami 1-20 kunlik arizalar'!C:C,A:A, 'jami 1-20 kunlik arizalar'!S:S, "&gt;10"))</f>
        <v>9</v>
      </c>
    </row>
    <row r="99" spans="1:115" ht="57.95" hidden="1" customHeight="1" outlineLevel="1" thickBot="1" x14ac:dyDescent="0.3">
      <c r="A99" s="96" t="e">
        <f>+COUNTIFS('muddati otgan'!B:B,A49,'muddati otgan'!B:B,A49)-#REF!-#REF!-SUM(D50:D73)</f>
        <v>#REF!</v>
      </c>
      <c r="B99" s="77"/>
      <c r="C99" s="86" t="s">
        <v>930</v>
      </c>
      <c r="D99" s="81">
        <f>+D49-(SUM(D50:D98))</f>
        <v>-1</v>
      </c>
      <c r="E99" s="21"/>
      <c r="F99" s="21"/>
      <c r="G99" s="21"/>
      <c r="H99" s="41"/>
      <c r="I99" s="42"/>
      <c r="J99" s="45"/>
      <c r="K99" s="22"/>
      <c r="L99" s="22"/>
      <c r="M99" s="22"/>
      <c r="N99" s="22"/>
      <c r="O99" s="22"/>
      <c r="P99" s="22"/>
      <c r="Q99" s="22"/>
      <c r="R99" s="22"/>
      <c r="S99" s="22"/>
      <c r="T99" s="22"/>
      <c r="U99" s="22"/>
      <c r="V99" s="22"/>
      <c r="W99" s="22"/>
      <c r="X99" s="22"/>
      <c r="Y99" s="11">
        <f t="shared" ref="Y99" si="220">Z99+AD99+AF99+AE99+AC99+AB99+AA99</f>
        <v>0</v>
      </c>
      <c r="Z99" s="11">
        <f>+COUNTIFS('muddati otgan'!C:C,A99,'muddati otgan'!J:J,"Ijroga qabul qilish")</f>
        <v>0</v>
      </c>
      <c r="AA99" s="11">
        <f>+COUNTIFS('muddati otgan'!C:C,A99,'muddati otgan'!J:J,"Joyida o'rganish va ma'lumotlarni kiritish")</f>
        <v>0</v>
      </c>
      <c r="AB99" s="11">
        <f>+COUNTIFS('muddati otgan'!C:C,A99,'muddati otgan'!J:J,"Asosiy qismdan ajratish jarayonida")</f>
        <v>0</v>
      </c>
      <c r="AC99" s="11">
        <f>+COUNTIFS('muddati otgan'!C:C,A99,'muddati otgan'!J:J,"Umumiy foydalanishdagi obyekt yaratilish")</f>
        <v>0</v>
      </c>
      <c r="AD99" s="11">
        <f>+COUNTIFS('muddati otgan'!C:C,A99,'muddati otgan'!J:J,"Migratsiya qilinadigan kadastr raqamini kiritish")</f>
        <v>0</v>
      </c>
      <c r="AE99" s="11">
        <f>+COUNTIFS('muddati otgan'!C:C,A99,'muddati otgan'!J:J,"O'zida qolgan obyektni yaratish")</f>
        <v>0</v>
      </c>
      <c r="AF99" s="11">
        <f>+COUNTIFS('muddati otgan'!C:C,A99,'muddati otgan'!J:J,"O'lchov natijalarini kiritish")</f>
        <v>0</v>
      </c>
      <c r="AG99" s="11">
        <f>+COUNTIFS('muddati otgan'!C:C,A99,'muddati otgan'!J:J,"Topoxaritani tayyorlash (dwg, pdf)")</f>
        <v>0</v>
      </c>
      <c r="AH99" s="11">
        <f t="shared" ref="AH99" si="221">AI99</f>
        <v>0</v>
      </c>
      <c r="AI99" s="11">
        <f>+COUNTIFS('muddati otgan'!C:C,A99,'muddati otgan'!J:J,"Yer uchastkasini yaratish")</f>
        <v>0</v>
      </c>
      <c r="AJ99" s="11">
        <f t="shared" ref="AJ99" si="222">AK99</f>
        <v>0</v>
      </c>
      <c r="AK99" s="11">
        <f>+COUNTIFS('muddati otgan'!C:C,A99,'muddati otgan'!J:J,"Kelishish (Boshqarma)")</f>
        <v>0</v>
      </c>
      <c r="AL99" s="11">
        <f t="shared" ref="AL99" si="223">AM99+AN99+AO99</f>
        <v>0</v>
      </c>
      <c r="AM99" s="11">
        <f>+COUNTIFS('muddati otgan'!C:C,A99,'muddati otgan'!J:J,"Kelishish (DKP)")</f>
        <v>0</v>
      </c>
      <c r="AN99" s="11">
        <f>+COUNTIFS('muddati otgan'!C:C,A99,'muddati otgan'!J:J,"Kelishish")</f>
        <v>0</v>
      </c>
      <c r="AO99" s="11">
        <f>+COUNTIFS('muddati otgan'!C:C,A99,'muddati otgan'!J:J,"Kelishish (Registratsiya DKP)")</f>
        <v>0</v>
      </c>
      <c r="AP99" s="11">
        <f t="shared" ref="AP99" si="224">AQ99+AR99+AS99+AT99</f>
        <v>0</v>
      </c>
      <c r="AQ99" s="11">
        <f>+COUNTIFS('muddati otgan'!C:C,A99,'muddati otgan'!J:J,"Manzil biriktirish")</f>
        <v>0</v>
      </c>
      <c r="AR99" s="11">
        <f>+COUNTIFS('muddati otgan'!C:C,A99,'muddati otgan'!J:J,"Bino va inshootlarni yaratish")</f>
        <v>0</v>
      </c>
      <c r="AS99" s="11">
        <f>+COUNTIFS('muddati otgan'!C:C,A99,'muddati otgan'!J:J,"Dov daraxtlarni yaratish")</f>
        <v>0</v>
      </c>
      <c r="AT99" s="11">
        <f>+COUNTIFS('muddati otgan'!C:C,A99,'muddati otgan'!J:J,"Yer uchastkasini tahrirlash")</f>
        <v>0</v>
      </c>
      <c r="AU99" s="11">
        <f t="shared" ref="AU99" si="225">AV99+AW99+AX99+AY99+AZ99</f>
        <v>0</v>
      </c>
      <c r="AV99" s="11">
        <f>+COUNTIFS('muddati otgan'!C:C,A99,'muddati otgan'!J:J,"Yer toifasi va maqsadini kiritish")</f>
        <v>0</v>
      </c>
      <c r="AW99" s="11">
        <f>+COUNTIFS('muddati otgan'!C:C,A99,'muddati otgan'!J:J,"Auksion yer tekshirish")</f>
        <v>0</v>
      </c>
      <c r="AX99" s="11">
        <f>+COUNTIFS('muddati otgan'!C:C,A99,'muddati otgan'!J:J,"Yer turlarini kiritish")</f>
        <v>0</v>
      </c>
      <c r="AY99" s="11">
        <f>+COUNTIFS('muddati otgan'!C:C,A99,'muddati otgan'!J:J,"Ma'lumotlarni kiritish")</f>
        <v>0</v>
      </c>
      <c r="AZ99" s="11">
        <f>+COUNTIFS('muddati otgan'!C:C,A99,'muddati otgan'!J:J,"Yer tekshirish")</f>
        <v>0</v>
      </c>
      <c r="BA99" s="11">
        <f t="shared" ref="BA99" si="226">BB99+BC99+BD99+BE99+BF99+BG99+BH99+BI99+BJ99+BK99</f>
        <v>0</v>
      </c>
      <c r="BB99" s="11">
        <f>+COUNTIFS('muddati otgan'!C:C,A99,'muddati otgan'!J:J,"Bino va inshoot ma'lumotlarini to‘ldirish")</f>
        <v>0</v>
      </c>
      <c r="BC99" s="11">
        <f>+COUNTIFS('muddati otgan'!C:C,A99,'muddati otgan'!J:J,"Inventarizatsiya ma'lumotlarini to‘ldirish")</f>
        <v>0</v>
      </c>
      <c r="BD99" s="11">
        <f>+COUNTIFS('muddati otgan'!C:C,A99,'muddati otgan'!J:J,"Yer uchastkasiga huquqiy hujjatlarni kiritsh")</f>
        <v>0</v>
      </c>
      <c r="BE99" s="11">
        <f>+COUNTIFS('muddati otgan'!C:C,A99,'muddati otgan'!J:J,"Bino-inshootlarga huquqiy hujjatlarni kiritsh")</f>
        <v>0</v>
      </c>
      <c r="BF99" s="11">
        <f>+COUNTIFS('muddati otgan'!C:C,A99,'muddati otgan'!J:J,"Kadastr qiymatini hisoblash va kiritish")</f>
        <v>0</v>
      </c>
      <c r="BG99" s="11">
        <f>+COUNTIFS('muddati otgan'!C:C,A99,'muddati otgan'!J:J,"Kadastr raqam biriktirish")</f>
        <v>0</v>
      </c>
      <c r="BH99" s="11">
        <f>+COUNTIFS('muddati otgan'!C:C,A99,'muddati otgan'!J:J,"Kadastr yig'ma jildni tayyorlash")</f>
        <v>0</v>
      </c>
      <c r="BI99" s="11">
        <f>+COUNTIFS('muddati otgan'!C:C,A99,'muddati otgan'!J:J,"Huquqni yaratish")</f>
        <v>0</v>
      </c>
      <c r="BJ99" s="11">
        <f>+COUNTIFS('muddati otgan'!C:C,A99,'muddati otgan'!J:J,"Hujjatlarni o'rganish")</f>
        <v>0</v>
      </c>
      <c r="BK99" s="11">
        <f>+COUNTIFS('muddati otgan'!C:C,A99,'muddati otgan'!J:J,"Ma'lumotlarni tekshirish")</f>
        <v>0</v>
      </c>
      <c r="BL99" s="11">
        <f t="shared" ref="BL99" si="227">BM99+BN99+BP99+BO99+BQ99</f>
        <v>0</v>
      </c>
      <c r="BM99" s="11">
        <f>+COUNTIFS('muddati otgan'!C:C,A99,'muddati otgan'!J:J,"Tekshirish")</f>
        <v>0</v>
      </c>
      <c r="BN99" s="11">
        <f>+COUNTIFS('muddati otgan'!C:C,A99,'muddati otgan'!J:J,"Hujjatlarni tekshirish")</f>
        <v>0</v>
      </c>
      <c r="BO99" s="11">
        <f>+COUNTIFS('muddati otgan'!C:C,A99,'muddati otgan'!J:J,"Tasdiqlash")</f>
        <v>0</v>
      </c>
      <c r="BP99" s="11">
        <f>+COUNTIFS('muddati otgan'!C:C,A99,'muddati otgan'!J:J,"tekshirish/tasdiqlash")</f>
        <v>0</v>
      </c>
      <c r="BQ99" s="11">
        <f>+COUNTIFS('muddati otgan'!C:C,A99,'muddati otgan'!J:J,"Ma'lumotlarni tasdiqlash")</f>
        <v>0</v>
      </c>
      <c r="BR99" s="11">
        <f t="shared" ref="BR99" si="228">BS99+BU99+BV99+BW99+BX99+BY99-BT99</f>
        <v>0</v>
      </c>
      <c r="BS99" s="11">
        <f>+COUNTIFS('muddati otgan'!C:C,A99,'muddati otgan'!J:J,"Ro'yxatdan o'tkazish ma'lumotlarini tekshirish")</f>
        <v>0</v>
      </c>
      <c r="BT99" s="11">
        <f>+COUNTIFS('muddati otgan'!C:C,A99,'muddati otgan'!J:J,"Kamchiliklar bo'yicha habarnoma yuborish va 3 kunga to'xtatish")</f>
        <v>0</v>
      </c>
      <c r="BU99" s="11">
        <f>+COUNTIFS('muddati otgan'!C:C,A99,'muddati otgan'!J:J,"Hisobga olish")</f>
        <v>0</v>
      </c>
      <c r="BV99" s="11">
        <f>+COUNTIFS('muddati otgan'!C:C,A99,'muddati otgan'!J:J,"Yer uchastkasiga huquq yaratish")</f>
        <v>0</v>
      </c>
      <c r="BW99" s="11">
        <f>+COUNTIFS('muddati otgan'!C:C,A99,'muddati otgan'!J:J,"Bino-inshootga huquq yaratish")</f>
        <v>0</v>
      </c>
      <c r="BX99" s="11">
        <f>+COUNTIFS('muddati otgan'!C:C,A99,'muddati otgan'!J:J,"Cheklov yaratish")</f>
        <v>0</v>
      </c>
      <c r="BY99" s="11">
        <f>+COUNTIFS('muddati otgan'!C:C,A99,'muddati otgan'!J:J,"Taqiq yaratish")</f>
        <v>0</v>
      </c>
      <c r="BZ99" s="11">
        <f t="shared" ref="BZ99" si="229">CA99</f>
        <v>0</v>
      </c>
      <c r="CA99" s="11">
        <f>+COUNTIFS('muddati otgan'!C:C,A99,'muddati otgan'!J:J,"Soliq maydonini tekshirish")</f>
        <v>0</v>
      </c>
      <c r="CB99" s="11">
        <f t="shared" ref="CB99" si="230">CC99</f>
        <v>0</v>
      </c>
      <c r="CC99" s="11">
        <f>+COUNTIFS('muddati otgan'!C:C,A99,'muddati otgan'!J:J,"Kadastr yig'majildini shakllantirish")</f>
        <v>0</v>
      </c>
      <c r="CD99" s="11">
        <f t="shared" ref="CD99" si="231">CE99+CF99+CG99+CI99+CJ99+CH99</f>
        <v>0</v>
      </c>
      <c r="CE99" s="11">
        <f>+COUNTIFS('muddati otgan'!C:C,A99,'muddati otgan'!J:J,"Kadastr passportini shakllantirish")</f>
        <v>0</v>
      </c>
      <c r="CF99" s="11">
        <f>+COUNTIFS('muddati otgan'!C:C,A99,'muddati otgan'!J:J,"Yig'ma jildni tasdiqlash")</f>
        <v>0</v>
      </c>
      <c r="CG99" s="11">
        <f>+COUNTIFS('muddati otgan'!C:C,A99,'muddati otgan'!J:J,"To'lov yoki bepul tasdiqlash")</f>
        <v>0</v>
      </c>
      <c r="CH99" s="11">
        <f>+COUNTIFS('muddati otgan'!C:C,A99,'muddati otgan'!J:J,"Bog'liq arizani kutish")</f>
        <v>0</v>
      </c>
      <c r="CI99" s="11">
        <f>+COUNTIFS('muddati otgan'!C:C,A99,'muddati otgan'!J:J,"To'lovga chiqarish")</f>
        <v>0</v>
      </c>
      <c r="CJ99" s="11">
        <f>+COUNTIFS('muddati otgan'!C:C,A99,'muddati otgan'!J:J,"Hisobga qo'yish")</f>
        <v>0</v>
      </c>
      <c r="CK99" s="6">
        <f>+COUNTIFS('muddati otgan'!C:C,A99,'muddati otgan'!J:J,"To'lov kutilmoqda")</f>
        <v>0</v>
      </c>
      <c r="CL99" s="11">
        <f t="shared" ref="CL99" si="232">CM99+CN99+CO99+CP99+CQ99+CR99+CS99+CT99</f>
        <v>0</v>
      </c>
      <c r="CM99" s="11">
        <f>+COUNTIFS('muddati otgan'!C:C,A99,'muddati otgan'!AA:AA,"Arizani qabul qilish2")</f>
        <v>0</v>
      </c>
      <c r="CN99" s="11">
        <f>+COUNTIFS('muddati otgan'!C:C,A99,'muddati otgan'!J:J,"Huquqlarni tekshirish")</f>
        <v>0</v>
      </c>
      <c r="CO99" s="11">
        <f>+COUNTIFS('muddati otgan'!C:C,A99,'muddati otgan'!J:J,"Ko'chmas mulkni ro'yhatdan o'tkazishga qabul qilish")</f>
        <v>0</v>
      </c>
      <c r="CP99" s="11">
        <f>+COUNTIFS('muddati otgan'!C:C,A99,'muddati otgan'!J:J,"Ro'yxatdan o'tkazish")</f>
        <v>0</v>
      </c>
      <c r="CQ99" s="11">
        <f>+COUNTIFS('muddati otgan'!C:C,A99,'muddati otgan'!J:J,"Kadastr pasporti va ko'chirmani yuborish")</f>
        <v>0</v>
      </c>
      <c r="CR99" s="11">
        <f>+COUNTIFS('muddati otgan'!C:C,A99,'muddati otgan'!AA:AA,"Rad qilish2")</f>
        <v>0</v>
      </c>
      <c r="CS99" s="11">
        <f>+COUNTIFS('muddati otgan'!C:C,A99,'muddati otgan'!J:J,"Ko'chirmani yuborish")</f>
        <v>0</v>
      </c>
      <c r="CT99" s="11">
        <f>+COUNTIFS('muddati otgan'!C:C,A99,'muddati otgan'!J:J,"Ma‘lumotlarni tekshirish")</f>
        <v>0</v>
      </c>
      <c r="CU99" s="11">
        <f t="shared" ref="CU99" si="233">CV99</f>
        <v>0</v>
      </c>
      <c r="CV99" s="11">
        <f>+COUNTIFS('muddati otgan'!C:C,A99,'muddati otgan'!J:J,"Kadastr yig'majildini chop etish va arxiv ishiga tikish")</f>
        <v>0</v>
      </c>
      <c r="CW99" s="11">
        <f t="shared" ref="CW99" si="234">CX99+CY99</f>
        <v>0</v>
      </c>
      <c r="CX99" s="11">
        <f>+COUNTIFS('muddati otgan'!C:C,A99,'muddati otgan'!J:J,"Kadastr yig‘majildini qabul qilish, arizani yakunlash")</f>
        <v>0</v>
      </c>
      <c r="CY99" s="11">
        <f>+COUNTIFS('muddati otgan'!C:C,A99,'muddati otgan'!J:J,"Next Cloudga yuklash")</f>
        <v>0</v>
      </c>
      <c r="CZ99" s="6">
        <f>+COUNTIFS('muddati otgan'!C:C,A99,'muddati otgan'!J:J,"Kelishish kutilmoqda")</f>
        <v>0</v>
      </c>
      <c r="DA99" s="6">
        <f>+COUNTIFS('muddati otgan'!C:C,A99,'muddati otgan'!J:J,"Yakunlandi")</f>
        <v>0</v>
      </c>
      <c r="DB99" s="10">
        <f>+COUNTIFS('muddati otgan'!C:C,A99,'muddati otgan'!J:J,"Rad etildi")</f>
        <v>0</v>
      </c>
      <c r="DC99" s="100">
        <f t="shared" ref="DC99" si="235">CK99+CZ99+DA99+DB99-D99</f>
        <v>1</v>
      </c>
      <c r="DD99" s="45">
        <f t="shared" ref="DD99:DJ99" si="236">+DD49-(SUM(DD50:DD98))</f>
        <v>0</v>
      </c>
      <c r="DE99" s="41">
        <f t="shared" si="236"/>
        <v>0</v>
      </c>
      <c r="DF99" s="41">
        <f t="shared" si="236"/>
        <v>0</v>
      </c>
      <c r="DG99" s="41">
        <f t="shared" si="236"/>
        <v>-5</v>
      </c>
      <c r="DH99" s="41">
        <f t="shared" si="236"/>
        <v>-3</v>
      </c>
      <c r="DI99" s="41">
        <f t="shared" si="236"/>
        <v>-1</v>
      </c>
      <c r="DJ99" s="42">
        <f t="shared" si="236"/>
        <v>6</v>
      </c>
    </row>
    <row r="100" spans="1:115" s="29" customFormat="1" ht="57.95" customHeight="1" collapsed="1" thickBot="1" x14ac:dyDescent="0.3">
      <c r="A100" s="91" t="s">
        <v>76</v>
      </c>
      <c r="B100" s="137">
        <v>5</v>
      </c>
      <c r="C100" s="138" t="s">
        <v>65</v>
      </c>
      <c r="D100" s="139">
        <f>+COUNTIFS('muddati otgan'!B:B,A100,'muddati otgan'!B:B,"NORT")</f>
        <v>2</v>
      </c>
      <c r="E100" s="104">
        <f>SUMIFS('muddati otgan'!$V:V,'muddati otgan'!$B:B,$A:A)</f>
        <v>1</v>
      </c>
      <c r="F100" s="104">
        <f>SUMIFS('muddati otgan'!$W:W,'muddati otgan'!$B:B,$A:A)</f>
        <v>0</v>
      </c>
      <c r="G100" s="140">
        <f>SUMIFS('muddati otgan'!$U:U,'muddati otgan'!$B:B,$A:A)</f>
        <v>1</v>
      </c>
      <c r="H100" s="67">
        <f>SUMIFS('muddati otgan'!$G:G,'muddati otgan'!$B:B,$A:A)</f>
        <v>2</v>
      </c>
      <c r="I100" s="141">
        <f>SUMIFS('muddati otgan'!$H:H,'muddati otgan'!$B:B,$A:A)</f>
        <v>0</v>
      </c>
      <c r="J100" s="142">
        <f t="shared" si="23"/>
        <v>0</v>
      </c>
      <c r="K100" s="67">
        <f>+COUNTIFS('muddati otgan'!B:B,A100,'muddati otgan'!AA:AA,"Arizani qabul qilish")</f>
        <v>0</v>
      </c>
      <c r="L100" s="67">
        <f>+COUNTIFS('muddati otgan'!B:B,A100,'muddati otgan'!J:J,"Arizani rad etish")</f>
        <v>0</v>
      </c>
      <c r="M100" s="67">
        <f>+COUNTIFS('muddati otgan'!B:B,A100,'muddati otgan'!J:J,"Arizani tasdiqlash")</f>
        <v>0</v>
      </c>
      <c r="N100" s="67">
        <f>+COUNTIFS('muddati otgan'!B:B,A100,'muddati otgan'!J:J,"Arizani yo'naltirish")</f>
        <v>0</v>
      </c>
      <c r="O100" s="67">
        <f>+COUNTIFS('muddati otgan'!B:B,A100,'muddati otgan'!J:J,"Rad qilish sababini o'rganish")</f>
        <v>0</v>
      </c>
      <c r="P100" s="67">
        <f>+COUNTIFS('muddati otgan'!B:B,A100,'muddati otgan'!J:J,"Ko'chmas mulkni UZKAD ga migratsiya qilish")</f>
        <v>0</v>
      </c>
      <c r="Q100" s="67">
        <f>+COUNTIFS('muddati otgan'!B:B,A100,'muddati otgan'!J:J,"Migratisya qilingan obyekt holatini tekshirish")</f>
        <v>0</v>
      </c>
      <c r="R100" s="67">
        <f>+COUNTIFS('muddati otgan'!B:B,A100,'muddati otgan'!J:J,"Ko‘chmas mulkni tanlash")</f>
        <v>0</v>
      </c>
      <c r="S100" s="67">
        <f>+COUNTIFS('muddati otgan'!B:B,A100,'muddati otgan'!J:J,"Arizani ko'rib chiqish")</f>
        <v>0</v>
      </c>
      <c r="T100" s="67">
        <f>+COUNTIFS('muddati otgan'!B:B,A100,'muddati otgan'!J:J,"Kadastr muhandisini tanlash")</f>
        <v>0</v>
      </c>
      <c r="U100" s="67">
        <f>+COUNTIFS('muddati otgan'!B:B,A100,'muddati otgan'!J:J,"Ko'chmas mulk turini tanlahsh")</f>
        <v>0</v>
      </c>
      <c r="V100" s="67">
        <f>+COUNTIFS('muddati otgan'!B:B,A100,'muddati otgan'!AA:AA,"Rad qilish")</f>
        <v>0</v>
      </c>
      <c r="W100" s="67">
        <f>+COUNTIFS('muddati otgan'!B:B,A100,'muddati otgan'!J:J,"ijrochi tanlash")</f>
        <v>0</v>
      </c>
      <c r="X100" s="67">
        <f>+COUNTIFS('muddati otgan'!B:B,A100,'muddati otgan'!J:J,"Ko'chmas mulk turini tanlash")</f>
        <v>0</v>
      </c>
      <c r="Y100" s="67">
        <f t="shared" si="24"/>
        <v>0</v>
      </c>
      <c r="Z100" s="67">
        <f>+COUNTIFS('muddati otgan'!B:B,A100,'muddati otgan'!J:J,"Ijroga qabul qilish")</f>
        <v>0</v>
      </c>
      <c r="AA100" s="67">
        <f>+COUNTIFS('muddati otgan'!B:B,A100,'muddati otgan'!J:J,"Joyida o'rganish va ma'lumotlarni kiritish")</f>
        <v>0</v>
      </c>
      <c r="AB100" s="67">
        <f>+COUNTIFS('muddati otgan'!B:B,A100,'muddati otgan'!J:J,"Asosiy qismdan ajratish jarayonida")</f>
        <v>0</v>
      </c>
      <c r="AC100" s="67">
        <f>+COUNTIFS('muddati otgan'!B:B,A100,'muddati otgan'!J:J,"Umumiy foydalanishdagi obyekt yaratilish")</f>
        <v>0</v>
      </c>
      <c r="AD100" s="67">
        <f>+COUNTIFS('muddati otgan'!B:B,A100,'muddati otgan'!J:J,"Migratsiya qilinadigan kadastr raqamini kiritish")</f>
        <v>0</v>
      </c>
      <c r="AE100" s="67">
        <f>+COUNTIFS('muddati otgan'!B:B,A100,'muddati otgan'!J:J,"O'zida qolgan obyektni yaratish")</f>
        <v>0</v>
      </c>
      <c r="AF100" s="67">
        <f>+COUNTIFS('muddati otgan'!B:B,A100,'muddati otgan'!J:J,"O'lchov natijalarini kiritish")</f>
        <v>0</v>
      </c>
      <c r="AG100" s="67">
        <f>+COUNTIFS('muddati otgan'!B:B,A100,'muddati otgan'!J:J,"Topoxaritani tayyorlash (dwg, pdf)")</f>
        <v>0</v>
      </c>
      <c r="AH100" s="67">
        <f t="shared" si="25"/>
        <v>0</v>
      </c>
      <c r="AI100" s="67">
        <f>+COUNTIFS('muddati otgan'!B:B,A100,'muddati otgan'!J:J,"Yer uchastkasini yaratish")</f>
        <v>0</v>
      </c>
      <c r="AJ100" s="67">
        <f t="shared" si="26"/>
        <v>0</v>
      </c>
      <c r="AK100" s="67">
        <f>+COUNTIFS('muddati otgan'!B:B,A100,'muddati otgan'!J:J,"Kelishish (Boshqarma)")</f>
        <v>0</v>
      </c>
      <c r="AL100" s="67">
        <f t="shared" si="27"/>
        <v>0</v>
      </c>
      <c r="AM100" s="67">
        <f>+COUNTIFS('muddati otgan'!B:B,A100,'muddati otgan'!J:J,"Kelishish (DKP)")</f>
        <v>0</v>
      </c>
      <c r="AN100" s="67">
        <f>+COUNTIFS('muddati otgan'!B:B,A100,'muddati otgan'!J:J,"Kelishish")</f>
        <v>0</v>
      </c>
      <c r="AO100" s="67">
        <f>+COUNTIFS('muddati otgan'!B:B,A100,'muddati otgan'!J:J,"Kelishish (Registratsiya DKP)")</f>
        <v>0</v>
      </c>
      <c r="AP100" s="67">
        <f t="shared" si="28"/>
        <v>0</v>
      </c>
      <c r="AQ100" s="67">
        <f>+COUNTIFS('muddati otgan'!B:B,A100,'muddati otgan'!J:J,"Manzil biriktirish")</f>
        <v>0</v>
      </c>
      <c r="AR100" s="67">
        <f>+COUNTIFS('muddati otgan'!B:B,A100,'muddati otgan'!J:J,"Bino va inshootlarni yaratish")</f>
        <v>0</v>
      </c>
      <c r="AS100" s="67">
        <f>+COUNTIFS('muddati otgan'!B:B,A100,'muddati otgan'!J:J,"Dov daraxtlarni yaratish")</f>
        <v>0</v>
      </c>
      <c r="AT100" s="67">
        <f>+COUNTIFS('muddati otgan'!B:B,A100,'muddati otgan'!J:J,"Yer uchastkasini tahrirlash")</f>
        <v>0</v>
      </c>
      <c r="AU100" s="67">
        <f t="shared" si="29"/>
        <v>0</v>
      </c>
      <c r="AV100" s="67">
        <f>+COUNTIFS('muddati otgan'!B:B,A100,'muddati otgan'!J:J,"Yer toifasi va maqsadini kiritish")</f>
        <v>0</v>
      </c>
      <c r="AW100" s="67">
        <f>+COUNTIFS('muddati otgan'!B:B,A100,'muddati otgan'!J:J,"Auksion yer tekshirish")</f>
        <v>0</v>
      </c>
      <c r="AX100" s="67">
        <f>+COUNTIFS('muddati otgan'!B:B,A100,'muddati otgan'!J:J,"Yer turlarini kiritish")</f>
        <v>0</v>
      </c>
      <c r="AY100" s="67">
        <f>+COUNTIFS('muddati otgan'!B:B,A100,'muddati otgan'!J:J,"Ma'lumotlarni kiritish")</f>
        <v>0</v>
      </c>
      <c r="AZ100" s="67">
        <f>+COUNTIFS('muddati otgan'!B:B,A100,'muddati otgan'!J:J,"Yer tekshirish")</f>
        <v>0</v>
      </c>
      <c r="BA100" s="67">
        <f t="shared" si="30"/>
        <v>0</v>
      </c>
      <c r="BB100" s="67">
        <f>+COUNTIFS('muddati otgan'!B:B,A100,'muddati otgan'!J:J,"Bino va inshoot ma'lumotlarini to‘ldirish")</f>
        <v>0</v>
      </c>
      <c r="BC100" s="67">
        <f>+COUNTIFS('muddati otgan'!B:B,A100,'muddati otgan'!J:J,"Inventarizatsiya ma'lumotlarini to‘ldirish")</f>
        <v>0</v>
      </c>
      <c r="BD100" s="67">
        <f>+COUNTIFS('muddati otgan'!B:B,A100,'muddati otgan'!J:J,"Yer uchastkasiga huquqiy hujjatlarni kiritsh")</f>
        <v>0</v>
      </c>
      <c r="BE100" s="67">
        <f>+COUNTIFS('muddati otgan'!B:B,A100,'muddati otgan'!J:J,"Bino-inshootlarga huquqiy hujjatlarni kiritsh")</f>
        <v>0</v>
      </c>
      <c r="BF100" s="67">
        <f>+COUNTIFS('muddati otgan'!B:B,A100,'muddati otgan'!J:J,"Kadastr qiymatini hisoblash va kiritish")</f>
        <v>0</v>
      </c>
      <c r="BG100" s="67">
        <f>+COUNTIFS('muddati otgan'!B:B,A100,'muddati otgan'!J:J,"Kadastr raqam biriktirish")</f>
        <v>0</v>
      </c>
      <c r="BH100" s="67">
        <f>+COUNTIFS('muddati otgan'!B:B,A100,'muddati otgan'!J:J,"Kadastr yig'ma jildni tayyorlash")</f>
        <v>0</v>
      </c>
      <c r="BI100" s="67">
        <f>+COUNTIFS('muddati otgan'!B:B,A100,'muddati otgan'!J:J,"Huquqni yaratish")</f>
        <v>0</v>
      </c>
      <c r="BJ100" s="67">
        <f>+COUNTIFS('muddati otgan'!B:B,A100,'muddati otgan'!J:J,"Hujjatlarni o'rganish")</f>
        <v>0</v>
      </c>
      <c r="BK100" s="67">
        <f>+COUNTIFS('muddati otgan'!B:B,A100,'muddati otgan'!J:J,"Ma'lumotlarni tekshirish")</f>
        <v>0</v>
      </c>
      <c r="BL100" s="67">
        <f t="shared" si="31"/>
        <v>0</v>
      </c>
      <c r="BM100" s="67">
        <f>+COUNTIFS('muddati otgan'!B:B,A100,'muddati otgan'!J:J,"Tekshirish")</f>
        <v>0</v>
      </c>
      <c r="BN100" s="67">
        <f>+COUNTIFS('muddati otgan'!B:B,A100,'muddati otgan'!J:J,"Hujjatlarni tekshirish")</f>
        <v>0</v>
      </c>
      <c r="BO100" s="67"/>
      <c r="BP100" s="67">
        <f>+COUNTIFS('muddati otgan'!B:B,A100,'muddati otgan'!J:J,"tekshirish/tasdiqlash")</f>
        <v>0</v>
      </c>
      <c r="BQ100" s="67">
        <f>+COUNTIFS('muddati otgan'!B:B,A100,'muddati otgan'!J:J,"Ma'lumotlarni tasdiqlash")</f>
        <v>0</v>
      </c>
      <c r="BR100" s="67">
        <f t="shared" si="32"/>
        <v>0</v>
      </c>
      <c r="BS100" s="67">
        <f>+COUNTIFS('muddati otgan'!B:B,A100,'muddati otgan'!J:J,"Ro'yxatdan o'tkazish ma'lumotlarini tekshirish")</f>
        <v>0</v>
      </c>
      <c r="BT100" s="67">
        <f>+COUNTIFS('muddati otgan'!B:B,A100,'muddati otgan'!J:J,"Kamchiliklar bo'yicha habarnoma yuborish va 3 kunga to'xtatish")</f>
        <v>0</v>
      </c>
      <c r="BU100" s="67">
        <f>+COUNTIFS('muddati otgan'!B:B,A100,'muddati otgan'!J:J,"Hisobga olish")</f>
        <v>0</v>
      </c>
      <c r="BV100" s="67">
        <f>+COUNTIFS('muddati otgan'!B:B,A100,'muddati otgan'!J:J,"Yer uchastkasiga huquq yaratish")</f>
        <v>0</v>
      </c>
      <c r="BW100" s="67">
        <f>+COUNTIFS('muddati otgan'!B:B,A100,'muddati otgan'!J:J,"Bino-inshootga huquq yaratish")</f>
        <v>0</v>
      </c>
      <c r="BX100" s="67">
        <f>+COUNTIFS('muddati otgan'!B:B,A100,'muddati otgan'!J:J,"Cheklov yaratish")</f>
        <v>0</v>
      </c>
      <c r="BY100" s="67">
        <f>+COUNTIFS('muddati otgan'!B:B,A100,'muddati otgan'!J:J,"Taqiq yaratish")</f>
        <v>0</v>
      </c>
      <c r="BZ100" s="67">
        <f t="shared" si="33"/>
        <v>0</v>
      </c>
      <c r="CA100" s="67">
        <f>+COUNTIFS('muddati otgan'!B:B,A100,'muddati otgan'!J:J,"Soliq maydonini tekshirish")</f>
        <v>0</v>
      </c>
      <c r="CB100" s="67">
        <f t="shared" si="34"/>
        <v>0</v>
      </c>
      <c r="CC100" s="67">
        <f>+COUNTIFS('muddati otgan'!B:B,A100,'muddati otgan'!J:J,"Kadastr yig'majildini shakllantirish")</f>
        <v>0</v>
      </c>
      <c r="CD100" s="67">
        <f t="shared" si="35"/>
        <v>0</v>
      </c>
      <c r="CE100" s="67">
        <f>+COUNTIFS('muddati otgan'!B:B,A100,'muddati otgan'!J:J,"Kadastr passportini shakllantirish")</f>
        <v>0</v>
      </c>
      <c r="CF100" s="67">
        <f>+COUNTIFS('muddati otgan'!B:B,A100,'muddati otgan'!J:J,"Yig'ma jildni tasdiqlash")</f>
        <v>0</v>
      </c>
      <c r="CG100" s="67">
        <f>+COUNTIFS('muddati otgan'!B:B,A100,'muddati otgan'!J:J,"To'lov yoki bepul tasdiqlash")</f>
        <v>0</v>
      </c>
      <c r="CH100" s="67">
        <f>+COUNTIFS('muddati otgan'!B:B,A100,'muddati otgan'!J:J,"Bog'liq arizani kutish")</f>
        <v>0</v>
      </c>
      <c r="CI100" s="67">
        <f>+COUNTIFS('muddati otgan'!B:B,A100,'muddati otgan'!J:J,"To'lovga chiqarish")</f>
        <v>0</v>
      </c>
      <c r="CJ100" s="67">
        <f>+COUNTIFS('muddati otgan'!B:B,A100,'muddati otgan'!J:J,"Hisobga qo'yish")</f>
        <v>0</v>
      </c>
      <c r="CK100" s="67">
        <f>+COUNTIFS('muddati otgan'!B:B,A100,'muddati otgan'!J:J,"To'lov kutilmoqda")</f>
        <v>1</v>
      </c>
      <c r="CL100" s="67">
        <f t="shared" si="36"/>
        <v>0</v>
      </c>
      <c r="CM100" s="67">
        <f>+COUNTIFS('muddati otgan'!B:B,A100,'muddati otgan'!AA:AA,"Arizani qabul qilish2")</f>
        <v>0</v>
      </c>
      <c r="CN100" s="67">
        <f>+COUNTIFS('muddati otgan'!B:B,A100,'muddati otgan'!J:J,"Huquqlarni tekshirish")</f>
        <v>0</v>
      </c>
      <c r="CO100" s="67">
        <f>+COUNTIFS('muddati otgan'!B:B,A100,'muddati otgan'!J:J,"Ko'chmas mulkni ro'yhatdan o'tkazishga qabul qilish")</f>
        <v>0</v>
      </c>
      <c r="CP100" s="67">
        <f>+COUNTIFS('muddati otgan'!B:B,A100,'muddati otgan'!J:J,"Ro'yxatdan o'tkazish")</f>
        <v>0</v>
      </c>
      <c r="CQ100" s="67">
        <f>+COUNTIFS('muddati otgan'!B:B,A100,'muddati otgan'!J:J,"Kadastr pasporti va ko'chirmani yuborish")</f>
        <v>0</v>
      </c>
      <c r="CR100" s="67">
        <f>+COUNTIFS('muddati otgan'!B:B,A100,'muddati otgan'!AA:AA,"Rad qilish2")</f>
        <v>0</v>
      </c>
      <c r="CS100" s="67">
        <f>+COUNTIFS('muddati otgan'!B:B,A100,'muddati otgan'!J:J,"Ko'chirmani yuborish")</f>
        <v>0</v>
      </c>
      <c r="CT100" s="67">
        <f>+COUNTIFS('muddati otgan'!B:B,A100,'muddati otgan'!J:J,"Ma‘lumotlarni tekshirish")</f>
        <v>0</v>
      </c>
      <c r="CU100" s="67">
        <f t="shared" si="37"/>
        <v>0</v>
      </c>
      <c r="CV100" s="67">
        <f>+COUNTIFS('muddati otgan'!B:B,A100,'muddati otgan'!J:J,"Kadastr yig'majildini chop etish va arxiv ishiga tikish")</f>
        <v>0</v>
      </c>
      <c r="CW100" s="67">
        <f t="shared" si="38"/>
        <v>0</v>
      </c>
      <c r="CX100" s="67">
        <f>+COUNTIFS('muddati otgan'!B:B,A100,'muddati otgan'!J:J,"Kadastr yig‘majildini qabul qilish, arizani yakunlash")</f>
        <v>0</v>
      </c>
      <c r="CY100" s="67">
        <f>+COUNTIFS('muddati otgan'!B:B,A100,'muddati otgan'!J:J,"Next Cloudga yuklash")</f>
        <v>0</v>
      </c>
      <c r="CZ100" s="67">
        <f>+COUNTIFS('muddati otgan'!B:B,A100,'muddati otgan'!J:J,"Kelishish kutilmoqda")</f>
        <v>0</v>
      </c>
      <c r="DA100" s="67">
        <f>+COUNTIFS('muddati otgan'!B:B,A100,'muddati otgan'!J:J,"Yakunlandi")</f>
        <v>1</v>
      </c>
      <c r="DB100" s="104">
        <f>+COUNTIFS('muddati otgan'!B:B,A100,'muddati otgan'!J:J,"Rad etildi")</f>
        <v>0</v>
      </c>
      <c r="DC100" s="143">
        <f t="shared" si="5"/>
        <v>0</v>
      </c>
      <c r="DD100" s="43">
        <f>COUNTIFS('jami 1-20 kunlik arizalar'!B:B,A:A,'jami 1-20 kunlik arizalar'!S:S,"1")</f>
        <v>0</v>
      </c>
      <c r="DE100" s="39">
        <f>COUNTIFS('jami 1-20 kunlik arizalar'!B:B,A:A,'jami 1-20 kunlik arizalar'!S:S,"2")</f>
        <v>0</v>
      </c>
      <c r="DF100" s="39">
        <f>COUNTIFS('jami 1-20 kunlik arizalar'!B:B,A:A,'jami 1-20 kunlik arizalar'!S:S,"3")</f>
        <v>4</v>
      </c>
      <c r="DG100" s="39">
        <f>COUNTIFS('jami 1-20 kunlik arizalar'!B:B,A:A,'jami 1-20 kunlik arizalar'!S:S,"4")</f>
        <v>8</v>
      </c>
      <c r="DH100" s="39">
        <f>COUNTIFS('jami 1-20 kunlik arizalar'!B:B,A:A,'jami 1-20 kunlik arizalar'!S:S,"5")</f>
        <v>11</v>
      </c>
      <c r="DI100" s="39">
        <f>SUM(COUNTIFS('jami 1-20 kunlik arizalar'!B:B,A:A, 'jami 1-20 kunlik arizalar'!S:S, {6,7,8,9,10}))</f>
        <v>32</v>
      </c>
      <c r="DJ100" s="40">
        <f>SUMPRODUCT(('jami 1-20 kunlik arizalar'!B:B=A100)*('jami 1-20 kunlik arizalar'!S:S&gt;10))</f>
        <v>28</v>
      </c>
      <c r="DK100" s="34"/>
    </row>
    <row r="101" spans="1:115" ht="32.1" hidden="1" customHeight="1" outlineLevel="1" x14ac:dyDescent="0.25">
      <c r="A101" s="92" t="s">
        <v>664</v>
      </c>
      <c r="B101" s="74"/>
      <c r="C101" s="85" t="s">
        <v>807</v>
      </c>
      <c r="D101" s="80">
        <f>+COUNTIFS('muddati otgan'!C:C,A101,'muddati otgan'!C:C,A101)</f>
        <v>0</v>
      </c>
      <c r="E101" s="10">
        <f>SUMIFS('muddati otgan'!$V:V,'muddati otgan'!$C:C,$A:A)</f>
        <v>0</v>
      </c>
      <c r="F101" s="10">
        <f>SUMIFS('muddati otgan'!$W:W,'muddati otgan'!$C:C,$A:A)</f>
        <v>0</v>
      </c>
      <c r="G101" s="24">
        <f>SUMIFS('muddati otgan'!$U:U,'muddati otgan'!$C:C,$A:A)</f>
        <v>0</v>
      </c>
      <c r="H101" s="11">
        <f>SUMIFS('muddati otgan'!$G:G,'muddati otgan'!$C:C,$A:A)</f>
        <v>0</v>
      </c>
      <c r="I101" s="12">
        <f>SUMIFS('muddati otgan'!$H:H,'muddati otgan'!$C:C,$A:A)</f>
        <v>0</v>
      </c>
      <c r="J101" s="44">
        <f t="shared" si="23"/>
        <v>0</v>
      </c>
      <c r="K101" s="11">
        <f>+COUNTIFS('muddati otgan'!C:C,A101,'muddati otgan'!AA:AA,"Arizani qabul qilish")</f>
        <v>0</v>
      </c>
      <c r="L101" s="11">
        <f>+COUNTIFS('muddati otgan'!C:C,A101,'muddati otgan'!J:J,"Arizani rad etish")</f>
        <v>0</v>
      </c>
      <c r="M101" s="11">
        <f>+COUNTIFS('muddati otgan'!C:C,A101,'muddati otgan'!J:J,"Arizani tasdiqlash")</f>
        <v>0</v>
      </c>
      <c r="N101" s="11">
        <f>+COUNTIFS('muddati otgan'!C:C,A101,'muddati otgan'!J:J,"Arizani yo'naltirish")</f>
        <v>0</v>
      </c>
      <c r="O101" s="11">
        <f>+COUNTIFS('muddati otgan'!C:C,A101,'muddati otgan'!J:J,"Rad qilish sababini o'rganish")</f>
        <v>0</v>
      </c>
      <c r="P101" s="11">
        <f>+COUNTIFS('muddati otgan'!C:C,A101,'muddati otgan'!J:J,"Ko'chmas mulkni UZKAD ga migratsiya qilish")</f>
        <v>0</v>
      </c>
      <c r="Q101" s="11">
        <f>+COUNTIFS('muddati otgan'!C:C,A101,'muddati otgan'!J:J,"Migratisya qilingan obyekt holatini tekshirish")</f>
        <v>0</v>
      </c>
      <c r="R101" s="11">
        <f>+COUNTIFS('muddati otgan'!C:C,A101,'muddati otgan'!J:J,"Ko‘chmas mulkni tanlash")</f>
        <v>0</v>
      </c>
      <c r="S101" s="11">
        <f>+COUNTIFS('muddati otgan'!C:C,A101,'muddati otgan'!J:J,"Arizani ko'rib chiqish")</f>
        <v>0</v>
      </c>
      <c r="T101" s="11">
        <f>+COUNTIFS('muddati otgan'!C:C,A101,'muddati otgan'!J:J,"Kadastr muhandisini tanlash")</f>
        <v>0</v>
      </c>
      <c r="U101" s="11">
        <f>+COUNTIFS('muddati otgan'!C:C,A101,'muddati otgan'!J:J,"Ko'chmas mulk turini tanlahsh")</f>
        <v>0</v>
      </c>
      <c r="V101" s="11">
        <f>+COUNTIFS('muddati otgan'!C:C,A101,'muddati otgan'!AA:AA,"Rad qilish")</f>
        <v>0</v>
      </c>
      <c r="W101" s="11">
        <f>+COUNTIFS('muddati otgan'!C:C,A101,'muddati otgan'!J:J,"ijrochi tanlash")</f>
        <v>0</v>
      </c>
      <c r="X101" s="11">
        <f>+COUNTIFS('muddati otgan'!C:C,A101,'muddati otgan'!J:J,"Ko'chmas mulk turini tanlash")</f>
        <v>0</v>
      </c>
      <c r="Y101" s="11">
        <f t="shared" si="24"/>
        <v>0</v>
      </c>
      <c r="Z101" s="11">
        <f>+COUNTIFS('muddati otgan'!C:C,A101,'muddati otgan'!J:J,"Ijroga qabul qilish")</f>
        <v>0</v>
      </c>
      <c r="AA101" s="11">
        <f>+COUNTIFS('muddati otgan'!C:C,A101,'muddati otgan'!J:J,"Joyida o'rganish va ma'lumotlarni kiritish")</f>
        <v>0</v>
      </c>
      <c r="AB101" s="11">
        <f>+COUNTIFS('muddati otgan'!C:C,A101,'muddati otgan'!J:J,"Asosiy qismdan ajratish jarayonida")</f>
        <v>0</v>
      </c>
      <c r="AC101" s="11">
        <f>+COUNTIFS('muddati otgan'!C:C,A101,'muddati otgan'!J:J,"Umumiy foydalanishdagi obyekt yaratilish")</f>
        <v>0</v>
      </c>
      <c r="AD101" s="11">
        <f>+COUNTIFS('muddati otgan'!C:C,A101,'muddati otgan'!J:J,"Migratsiya qilinadigan kadastr raqamini kiritish")</f>
        <v>0</v>
      </c>
      <c r="AE101" s="11">
        <f>+COUNTIFS('muddati otgan'!C:C,A101,'muddati otgan'!J:J,"O'zida qolgan obyektni yaratish")</f>
        <v>0</v>
      </c>
      <c r="AF101" s="11">
        <f>+COUNTIFS('muddati otgan'!C:C,A101,'muddati otgan'!J:J,"O'lchov natijalarini kiritish")</f>
        <v>0</v>
      </c>
      <c r="AG101" s="11">
        <f>+COUNTIFS('muddati otgan'!C:C,A101,'muddati otgan'!J:J,"Topoxaritani tayyorlash (dwg, pdf)")</f>
        <v>0</v>
      </c>
      <c r="AH101" s="11">
        <f t="shared" si="25"/>
        <v>0</v>
      </c>
      <c r="AI101" s="11">
        <f>+COUNTIFS('muddati otgan'!C:C,A101,'muddati otgan'!J:J,"Yer uchastkasini yaratish")</f>
        <v>0</v>
      </c>
      <c r="AJ101" s="11">
        <f t="shared" si="26"/>
        <v>0</v>
      </c>
      <c r="AK101" s="11">
        <f>+COUNTIFS('muddati otgan'!C:C,A101,'muddati otgan'!J:J,"Kelishish (Boshqarma)")</f>
        <v>0</v>
      </c>
      <c r="AL101" s="11">
        <f t="shared" si="27"/>
        <v>0</v>
      </c>
      <c r="AM101" s="11">
        <f>+COUNTIFS('muddati otgan'!C:C,A101,'muddati otgan'!J:J,"Kelishish (DKP)")</f>
        <v>0</v>
      </c>
      <c r="AN101" s="11">
        <f>+COUNTIFS('muddati otgan'!C:C,A101,'muddati otgan'!J:J,"Kelishish")</f>
        <v>0</v>
      </c>
      <c r="AO101" s="11">
        <f>+COUNTIFS('muddati otgan'!C:C,A101,'muddati otgan'!J:J,"Kelishish (Registratsiya DKP)")</f>
        <v>0</v>
      </c>
      <c r="AP101" s="11">
        <f t="shared" si="28"/>
        <v>0</v>
      </c>
      <c r="AQ101" s="11">
        <f>+COUNTIFS('muddati otgan'!C:C,A101,'muddati otgan'!J:J,"Manzil biriktirish")</f>
        <v>0</v>
      </c>
      <c r="AR101" s="11">
        <f>+COUNTIFS('muddati otgan'!C:C,A101,'muddati otgan'!J:J,"Bino va inshootlarni yaratish")</f>
        <v>0</v>
      </c>
      <c r="AS101" s="11">
        <f>+COUNTIFS('muddati otgan'!C:C,A101,'muddati otgan'!J:J,"Dov daraxtlarni yaratish")</f>
        <v>0</v>
      </c>
      <c r="AT101" s="11">
        <f>+COUNTIFS('muddati otgan'!C:C,A101,'muddati otgan'!J:J,"Yer uchastkasini tahrirlash")</f>
        <v>0</v>
      </c>
      <c r="AU101" s="11">
        <f t="shared" si="29"/>
        <v>0</v>
      </c>
      <c r="AV101" s="11">
        <f>+COUNTIFS('muddati otgan'!C:C,A101,'muddati otgan'!J:J,"Yer toifasi va maqsadini kiritish")</f>
        <v>0</v>
      </c>
      <c r="AW101" s="11">
        <f>+COUNTIFS('muddati otgan'!C:C,A101,'muddati otgan'!J:J,"Auksion yer tekshirish")</f>
        <v>0</v>
      </c>
      <c r="AX101" s="11">
        <f>+COUNTIFS('muddati otgan'!C:C,A101,'muddati otgan'!J:J,"Yer turlarini kiritish")</f>
        <v>0</v>
      </c>
      <c r="AY101" s="11">
        <f>+COUNTIFS('muddati otgan'!C:C,A101,'muddati otgan'!J:J,"Ma'lumotlarni kiritish")</f>
        <v>0</v>
      </c>
      <c r="AZ101" s="11">
        <f>+COUNTIFS('muddati otgan'!C:C,A101,'muddati otgan'!J:J,"Yer tekshirish")</f>
        <v>0</v>
      </c>
      <c r="BA101" s="11">
        <f t="shared" si="30"/>
        <v>0</v>
      </c>
      <c r="BB101" s="11">
        <f>+COUNTIFS('muddati otgan'!C:C,A101,'muddati otgan'!J:J,"Bino va inshoot ma'lumotlarini to‘ldirish")</f>
        <v>0</v>
      </c>
      <c r="BC101" s="11">
        <f>+COUNTIFS('muddati otgan'!C:C,A101,'muddati otgan'!J:J,"Inventarizatsiya ma'lumotlarini to‘ldirish")</f>
        <v>0</v>
      </c>
      <c r="BD101" s="11">
        <f>+COUNTIFS('muddati otgan'!C:C,A101,'muddati otgan'!J:J,"Yer uchastkasiga huquqiy hujjatlarni kiritsh")</f>
        <v>0</v>
      </c>
      <c r="BE101" s="11">
        <f>+COUNTIFS('muddati otgan'!C:C,A101,'muddati otgan'!J:J,"Bino-inshootlarga huquqiy hujjatlarni kiritsh")</f>
        <v>0</v>
      </c>
      <c r="BF101" s="11">
        <f>+COUNTIFS('muddati otgan'!C:C,A101,'muddati otgan'!J:J,"Kadastr qiymatini hisoblash va kiritish")</f>
        <v>0</v>
      </c>
      <c r="BG101" s="11">
        <f>+COUNTIFS('muddati otgan'!C:C,A101,'muddati otgan'!J:J,"Kadastr raqam biriktirish")</f>
        <v>0</v>
      </c>
      <c r="BH101" s="11">
        <f>+COUNTIFS('muddati otgan'!C:C,A101,'muddati otgan'!J:J,"Kadastr yig'ma jildni tayyorlash")</f>
        <v>0</v>
      </c>
      <c r="BI101" s="11">
        <f>+COUNTIFS('muddati otgan'!C:C,A101,'muddati otgan'!J:J,"Huquqni yaratish")</f>
        <v>0</v>
      </c>
      <c r="BJ101" s="11">
        <f>+COUNTIFS('muddati otgan'!C:C,A101,'muddati otgan'!J:J,"Hujjatlarni o'rganish")</f>
        <v>0</v>
      </c>
      <c r="BK101" s="11">
        <f>+COUNTIFS('muddati otgan'!C:C,A101,'muddati otgan'!J:J,"Ma'lumotlarni tekshirish")</f>
        <v>0</v>
      </c>
      <c r="BL101" s="11">
        <f t="shared" si="31"/>
        <v>0</v>
      </c>
      <c r="BM101" s="11">
        <f>+COUNTIFS('muddati otgan'!C:C,A101,'muddati otgan'!J:J,"Tekshirish")</f>
        <v>0</v>
      </c>
      <c r="BN101" s="11">
        <f>+COUNTIFS('muddati otgan'!C:C,A101,'muddati otgan'!J:J,"Hujjatlarni tekshirish")</f>
        <v>0</v>
      </c>
      <c r="BO101" s="11">
        <f>+COUNTIFS('muddati otgan'!C:C,A101,'muddati otgan'!J:J,"Tasdiqlash")</f>
        <v>0</v>
      </c>
      <c r="BP101" s="11">
        <f>+COUNTIFS('muddati otgan'!C:C,A101,'muddati otgan'!J:J,"tekshirish/tasdiqlash")</f>
        <v>0</v>
      </c>
      <c r="BQ101" s="11">
        <f>+COUNTIFS('muddati otgan'!C:C,A101,'muddati otgan'!J:J,"Ma'lumotlarni tasdiqlash")</f>
        <v>0</v>
      </c>
      <c r="BR101" s="11">
        <f t="shared" si="32"/>
        <v>0</v>
      </c>
      <c r="BS101" s="11">
        <f>+COUNTIFS('muddati otgan'!C:C,A101,'muddati otgan'!J:J,"Ro'yxatdan o'tkazish ma'lumotlarini tekshirish")</f>
        <v>0</v>
      </c>
      <c r="BT101" s="11">
        <f>+COUNTIFS('muddati otgan'!C:C,A101,'muddati otgan'!J:J,"Kamchiliklar bo'yicha habarnoma yuborish va 3 kunga to'xtatish")</f>
        <v>0</v>
      </c>
      <c r="BU101" s="11">
        <f>+COUNTIFS('muddati otgan'!C:C,A101,'muddati otgan'!J:J,"Hisobga olish")</f>
        <v>0</v>
      </c>
      <c r="BV101" s="11">
        <f>+COUNTIFS('muddati otgan'!C:C,A101,'muddati otgan'!J:J,"Yer uchastkasiga huquq yaratish")</f>
        <v>0</v>
      </c>
      <c r="BW101" s="11">
        <f>+COUNTIFS('muddati otgan'!C:C,A101,'muddati otgan'!J:J,"Bino-inshootga huquq yaratish")</f>
        <v>0</v>
      </c>
      <c r="BX101" s="11">
        <f>+COUNTIFS('muddati otgan'!C:C,A101,'muddati otgan'!J:J,"Cheklov yaratish")</f>
        <v>0</v>
      </c>
      <c r="BY101" s="11">
        <f>+COUNTIFS('muddati otgan'!C:C,A101,'muddati otgan'!J:J,"Taqiq yaratish")</f>
        <v>0</v>
      </c>
      <c r="BZ101" s="11">
        <f t="shared" si="33"/>
        <v>0</v>
      </c>
      <c r="CA101" s="11">
        <f>+COUNTIFS('muddati otgan'!C:C,A101,'muddati otgan'!J:J,"Soliq maydonini tekshirish")</f>
        <v>0</v>
      </c>
      <c r="CB101" s="11">
        <f t="shared" si="34"/>
        <v>0</v>
      </c>
      <c r="CC101" s="11">
        <f>+COUNTIFS('muddati otgan'!C:C,A101,'muddati otgan'!J:J,"Kadastr yig'majildini shakllantirish")</f>
        <v>0</v>
      </c>
      <c r="CD101" s="11">
        <f t="shared" si="35"/>
        <v>0</v>
      </c>
      <c r="CE101" s="11">
        <f>+COUNTIFS('muddati otgan'!C:C,A101,'muddati otgan'!J:J,"Kadastr passportini shakllantirish")</f>
        <v>0</v>
      </c>
      <c r="CF101" s="11">
        <f>+COUNTIFS('muddati otgan'!C:C,A101,'muddati otgan'!J:J,"Yig'ma jildni tasdiqlash")</f>
        <v>0</v>
      </c>
      <c r="CG101" s="11">
        <f>+COUNTIFS('muddati otgan'!C:C,A101,'muddati otgan'!J:J,"To'lov yoki bepul tasdiqlash")</f>
        <v>0</v>
      </c>
      <c r="CH101" s="11">
        <f>+COUNTIFS('muddati otgan'!C:C,A101,'muddati otgan'!J:J,"Bog'liq arizani kutish")</f>
        <v>0</v>
      </c>
      <c r="CI101" s="11">
        <f>+COUNTIFS('muddati otgan'!C:C,A101,'muddati otgan'!J:J,"To'lovga chiqarish")</f>
        <v>0</v>
      </c>
      <c r="CJ101" s="11">
        <f>+COUNTIFS('muddati otgan'!C:C,A101,'muddati otgan'!J:J,"Hisobga qo'yish")</f>
        <v>0</v>
      </c>
      <c r="CK101" s="6">
        <f>+COUNTIFS('muddati otgan'!C:C,A101,'muddati otgan'!J:J,"To'lov kutilmoqda")</f>
        <v>0</v>
      </c>
      <c r="CL101" s="11">
        <f t="shared" si="36"/>
        <v>0</v>
      </c>
      <c r="CM101" s="11">
        <f>+COUNTIFS('muddati otgan'!C:C,A101,'muddati otgan'!AA:AA,"Arizani qabul qilish2")</f>
        <v>0</v>
      </c>
      <c r="CN101" s="11">
        <f>+COUNTIFS('muddati otgan'!C:C,A101,'muddati otgan'!J:J,"Huquqlarni tekshirish")</f>
        <v>0</v>
      </c>
      <c r="CO101" s="11">
        <f>+COUNTIFS('muddati otgan'!C:C,A101,'muddati otgan'!J:J,"Ko'chmas mulkni ro'yhatdan o'tkazishga qabul qilish")</f>
        <v>0</v>
      </c>
      <c r="CP101" s="11">
        <f>+COUNTIFS('muddati otgan'!C:C,A101,'muddati otgan'!J:J,"Ro'yxatdan o'tkazish")</f>
        <v>0</v>
      </c>
      <c r="CQ101" s="11">
        <f>+COUNTIFS('muddati otgan'!C:C,A101,'muddati otgan'!J:J,"Kadastr pasporti va ko'chirmani yuborish")</f>
        <v>0</v>
      </c>
      <c r="CR101" s="11">
        <f>+COUNTIFS('muddati otgan'!C:C,A101,'muddati otgan'!AA:AA,"Rad qilish2")</f>
        <v>0</v>
      </c>
      <c r="CS101" s="11">
        <f>+COUNTIFS('muddati otgan'!C:C,A101,'muddati otgan'!J:J,"Ko'chirmani yuborish")</f>
        <v>0</v>
      </c>
      <c r="CT101" s="11">
        <f>+COUNTIFS('muddati otgan'!C:C,A101,'muddati otgan'!J:J,"Ma‘lumotlarni tekshirish")</f>
        <v>0</v>
      </c>
      <c r="CU101" s="11">
        <f t="shared" si="37"/>
        <v>0</v>
      </c>
      <c r="CV101" s="11">
        <f>+COUNTIFS('muddati otgan'!C:C,A101,'muddati otgan'!J:J,"Kadastr yig'majildini chop etish va arxiv ishiga tikish")</f>
        <v>0</v>
      </c>
      <c r="CW101" s="11">
        <f t="shared" si="38"/>
        <v>0</v>
      </c>
      <c r="CX101" s="11">
        <f>+COUNTIFS('muddati otgan'!C:C,A101,'muddati otgan'!J:J,"Kadastr yig‘majildini qabul qilish, arizani yakunlash")</f>
        <v>0</v>
      </c>
      <c r="CY101" s="11">
        <f>+COUNTIFS('muddati otgan'!C:C,A101,'muddati otgan'!J:J,"Next Cloudga yuklash")</f>
        <v>0</v>
      </c>
      <c r="CZ101" s="6">
        <f>+COUNTIFS('muddati otgan'!C:C,A101,'muddati otgan'!J:J,"Kelishish kutilmoqda")</f>
        <v>0</v>
      </c>
      <c r="DA101" s="6">
        <f>+COUNTIFS('muddati otgan'!C:C,A101,'muddati otgan'!J:J,"Yakunlandi")</f>
        <v>0</v>
      </c>
      <c r="DB101" s="10">
        <f>+COUNTIFS('muddati otgan'!C:C,A101,'muddati otgan'!J:J,"Rad etildi")</f>
        <v>0</v>
      </c>
      <c r="DC101" s="100">
        <f t="shared" si="5"/>
        <v>0</v>
      </c>
      <c r="DD101" s="44">
        <f>COUNTIFS('jami 1-20 kunlik arizalar'!C:C,A:A,'jami 1-20 kunlik arizalar'!S:S,"1")</f>
        <v>0</v>
      </c>
      <c r="DE101" s="11">
        <f>COUNTIFS('jami 1-20 kunlik arizalar'!C:C,A:A,'jami 1-20 kunlik arizalar'!S:S,"2")</f>
        <v>0</v>
      </c>
      <c r="DF101" s="11">
        <f>COUNTIFS('jami 1-20 kunlik arizalar'!C:C,A:A,'jami 1-20 kunlik arizalar'!S:S,"3")</f>
        <v>0</v>
      </c>
      <c r="DG101" s="11">
        <f>COUNTIFS('jami 1-20 kunlik arizalar'!C:C,A:A,'jami 1-20 kunlik arizalar'!S:S,"4")</f>
        <v>1</v>
      </c>
      <c r="DH101" s="11">
        <f>COUNTIFS('jami 1-20 kunlik arizalar'!C:C,A:A,'jami 1-20 kunlik arizalar'!S:S,"5")</f>
        <v>0</v>
      </c>
      <c r="DI101" s="11">
        <f>SUM(COUNTIFS('jami 1-20 kunlik arizalar'!C:C,A:A, 'jami 1-20 kunlik arizalar'!S:S, {6,7,8,9,10}))</f>
        <v>3</v>
      </c>
      <c r="DJ101" s="12">
        <f>SUM(COUNTIFS('jami 1-20 kunlik arizalar'!C:C,A:A, 'jami 1-20 kunlik arizalar'!S:S, "&gt;10"))</f>
        <v>4</v>
      </c>
    </row>
    <row r="102" spans="1:115" ht="32.1" hidden="1" customHeight="1" outlineLevel="1" x14ac:dyDescent="0.25">
      <c r="A102" s="92" t="s">
        <v>659</v>
      </c>
      <c r="B102" s="74"/>
      <c r="C102" s="85" t="s">
        <v>808</v>
      </c>
      <c r="D102" s="80">
        <f>+COUNTIFS('muddati otgan'!C:C,A102,'muddati otgan'!C:C,A102)</f>
        <v>0</v>
      </c>
      <c r="E102" s="10">
        <f>SUMIFS('muddati otgan'!$V:V,'muddati otgan'!$C:C,$A:A)</f>
        <v>0</v>
      </c>
      <c r="F102" s="10">
        <f>SUMIFS('muddati otgan'!$W:W,'muddati otgan'!$C:C,$A:A)</f>
        <v>0</v>
      </c>
      <c r="G102" s="24">
        <f>SUMIFS('muddati otgan'!$U:U,'muddati otgan'!$C:C,$A:A)</f>
        <v>0</v>
      </c>
      <c r="H102" s="11">
        <f>SUMIFS('muddati otgan'!$G:G,'muddati otgan'!$C:C,$A:A)</f>
        <v>0</v>
      </c>
      <c r="I102" s="12">
        <f>SUMIFS('muddati otgan'!$H:H,'muddati otgan'!$C:C,$A:A)</f>
        <v>0</v>
      </c>
      <c r="J102" s="44">
        <f t="shared" si="23"/>
        <v>0</v>
      </c>
      <c r="K102" s="11">
        <f>+COUNTIFS('muddati otgan'!C:C,A102,'muddati otgan'!AA:AA,"Arizani qabul qilish")</f>
        <v>0</v>
      </c>
      <c r="L102" s="11">
        <f>+COUNTIFS('muddati otgan'!C:C,A102,'muddati otgan'!J:J,"Arizani rad etish")</f>
        <v>0</v>
      </c>
      <c r="M102" s="11">
        <f>+COUNTIFS('muddati otgan'!C:C,A102,'muddati otgan'!J:J,"Arizani tasdiqlash")</f>
        <v>0</v>
      </c>
      <c r="N102" s="11">
        <f>+COUNTIFS('muddati otgan'!C:C,A102,'muddati otgan'!J:J,"Arizani yo'naltirish")</f>
        <v>0</v>
      </c>
      <c r="O102" s="11">
        <f>+COUNTIFS('muddati otgan'!C:C,A102,'muddati otgan'!J:J,"Rad qilish sababini o'rganish")</f>
        <v>0</v>
      </c>
      <c r="P102" s="11">
        <f>+COUNTIFS('muddati otgan'!C:C,A102,'muddati otgan'!J:J,"Ko'chmas mulkni UZKAD ga migratsiya qilish")</f>
        <v>0</v>
      </c>
      <c r="Q102" s="11">
        <f>+COUNTIFS('muddati otgan'!C:C,A102,'muddati otgan'!J:J,"Migratisya qilingan obyekt holatini tekshirish")</f>
        <v>0</v>
      </c>
      <c r="R102" s="11">
        <f>+COUNTIFS('muddati otgan'!C:C,A102,'muddati otgan'!J:J,"Ko‘chmas mulkni tanlash")</f>
        <v>0</v>
      </c>
      <c r="S102" s="11">
        <f>+COUNTIFS('muddati otgan'!C:C,A102,'muddati otgan'!J:J,"Arizani ko'rib chiqish")</f>
        <v>0</v>
      </c>
      <c r="T102" s="11">
        <f>+COUNTIFS('muddati otgan'!C:C,A102,'muddati otgan'!J:J,"Kadastr muhandisini tanlash")</f>
        <v>0</v>
      </c>
      <c r="U102" s="11">
        <f>+COUNTIFS('muddati otgan'!C:C,A102,'muddati otgan'!J:J,"Ko'chmas mulk turini tanlahsh")</f>
        <v>0</v>
      </c>
      <c r="V102" s="11">
        <f>+COUNTIFS('muddati otgan'!C:C,A102,'muddati otgan'!AA:AA,"Rad qilish")</f>
        <v>0</v>
      </c>
      <c r="W102" s="11">
        <f>+COUNTIFS('muddati otgan'!C:C,A102,'muddati otgan'!J:J,"ijrochi tanlash")</f>
        <v>0</v>
      </c>
      <c r="X102" s="11">
        <f>+COUNTIFS('muddati otgan'!C:C,A102,'muddati otgan'!J:J,"Ko'chmas mulk turini tanlash")</f>
        <v>0</v>
      </c>
      <c r="Y102" s="11">
        <f t="shared" si="24"/>
        <v>0</v>
      </c>
      <c r="Z102" s="11">
        <f>+COUNTIFS('muddati otgan'!C:C,A102,'muddati otgan'!J:J,"Ijroga qabul qilish")</f>
        <v>0</v>
      </c>
      <c r="AA102" s="11">
        <f>+COUNTIFS('muddati otgan'!C:C,A102,'muddati otgan'!J:J,"Joyida o'rganish va ma'lumotlarni kiritish")</f>
        <v>0</v>
      </c>
      <c r="AB102" s="11">
        <f>+COUNTIFS('muddati otgan'!C:C,A102,'muddati otgan'!J:J,"Asosiy qismdan ajratish jarayonida")</f>
        <v>0</v>
      </c>
      <c r="AC102" s="11">
        <f>+COUNTIFS('muddati otgan'!C:C,A102,'muddati otgan'!J:J,"Umumiy foydalanishdagi obyekt yaratilish")</f>
        <v>0</v>
      </c>
      <c r="AD102" s="11">
        <f>+COUNTIFS('muddati otgan'!C:C,A102,'muddati otgan'!J:J,"Migratsiya qilinadigan kadastr raqamini kiritish")</f>
        <v>0</v>
      </c>
      <c r="AE102" s="11">
        <f>+COUNTIFS('muddati otgan'!C:C,A102,'muddati otgan'!J:J,"O'zida qolgan obyektni yaratish")</f>
        <v>0</v>
      </c>
      <c r="AF102" s="11">
        <f>+COUNTIFS('muddati otgan'!C:C,A102,'muddati otgan'!J:J,"O'lchov natijalarini kiritish")</f>
        <v>0</v>
      </c>
      <c r="AG102" s="11">
        <f>+COUNTIFS('muddati otgan'!C:C,A102,'muddati otgan'!J:J,"Topoxaritani tayyorlash (dwg, pdf)")</f>
        <v>0</v>
      </c>
      <c r="AH102" s="11">
        <f t="shared" si="25"/>
        <v>0</v>
      </c>
      <c r="AI102" s="11">
        <f>+COUNTIFS('muddati otgan'!C:C,A102,'muddati otgan'!J:J,"Yer uchastkasini yaratish")</f>
        <v>0</v>
      </c>
      <c r="AJ102" s="11">
        <f t="shared" si="26"/>
        <v>0</v>
      </c>
      <c r="AK102" s="11">
        <f>+COUNTIFS('muddati otgan'!C:C,A102,'muddati otgan'!J:J,"Kelishish (Boshqarma)")</f>
        <v>0</v>
      </c>
      <c r="AL102" s="11">
        <f t="shared" si="27"/>
        <v>0</v>
      </c>
      <c r="AM102" s="11">
        <f>+COUNTIFS('muddati otgan'!C:C,A102,'muddati otgan'!J:J,"Kelishish (DKP)")</f>
        <v>0</v>
      </c>
      <c r="AN102" s="11">
        <f>+COUNTIFS('muddati otgan'!C:C,A102,'muddati otgan'!J:J,"Kelishish")</f>
        <v>0</v>
      </c>
      <c r="AO102" s="11">
        <f>+COUNTIFS('muddati otgan'!C:C,A102,'muddati otgan'!J:J,"Kelishish (Registratsiya DKP)")</f>
        <v>0</v>
      </c>
      <c r="AP102" s="11">
        <f t="shared" si="28"/>
        <v>0</v>
      </c>
      <c r="AQ102" s="11">
        <f>+COUNTIFS('muddati otgan'!C:C,A102,'muddati otgan'!J:J,"Manzil biriktirish")</f>
        <v>0</v>
      </c>
      <c r="AR102" s="11">
        <f>+COUNTIFS('muddati otgan'!C:C,A102,'muddati otgan'!J:J,"Bino va inshootlarni yaratish")</f>
        <v>0</v>
      </c>
      <c r="AS102" s="11">
        <f>+COUNTIFS('muddati otgan'!C:C,A102,'muddati otgan'!J:J,"Dov daraxtlarni yaratish")</f>
        <v>0</v>
      </c>
      <c r="AT102" s="11">
        <f>+COUNTIFS('muddati otgan'!C:C,A102,'muddati otgan'!J:J,"Yer uchastkasini tahrirlash")</f>
        <v>0</v>
      </c>
      <c r="AU102" s="11">
        <f t="shared" si="29"/>
        <v>0</v>
      </c>
      <c r="AV102" s="11">
        <f>+COUNTIFS('muddati otgan'!C:C,A102,'muddati otgan'!J:J,"Yer toifasi va maqsadini kiritish")</f>
        <v>0</v>
      </c>
      <c r="AW102" s="11">
        <f>+COUNTIFS('muddati otgan'!C:C,A102,'muddati otgan'!J:J,"Auksion yer tekshirish")</f>
        <v>0</v>
      </c>
      <c r="AX102" s="11">
        <f>+COUNTIFS('muddati otgan'!C:C,A102,'muddati otgan'!J:J,"Yer turlarini kiritish")</f>
        <v>0</v>
      </c>
      <c r="AY102" s="11">
        <f>+COUNTIFS('muddati otgan'!C:C,A102,'muddati otgan'!J:J,"Ma'lumotlarni kiritish")</f>
        <v>0</v>
      </c>
      <c r="AZ102" s="11">
        <f>+COUNTIFS('muddati otgan'!C:C,A102,'muddati otgan'!J:J,"Yer tekshirish")</f>
        <v>0</v>
      </c>
      <c r="BA102" s="11">
        <f t="shared" si="30"/>
        <v>0</v>
      </c>
      <c r="BB102" s="11">
        <f>+COUNTIFS('muddati otgan'!C:C,A102,'muddati otgan'!J:J,"Bino va inshoot ma'lumotlarini to‘ldirish")</f>
        <v>0</v>
      </c>
      <c r="BC102" s="11">
        <f>+COUNTIFS('muddati otgan'!C:C,A102,'muddati otgan'!J:J,"Inventarizatsiya ma'lumotlarini to‘ldirish")</f>
        <v>0</v>
      </c>
      <c r="BD102" s="11">
        <f>+COUNTIFS('muddati otgan'!C:C,A102,'muddati otgan'!J:J,"Yer uchastkasiga huquqiy hujjatlarni kiritsh")</f>
        <v>0</v>
      </c>
      <c r="BE102" s="11">
        <f>+COUNTIFS('muddati otgan'!C:C,A102,'muddati otgan'!J:J,"Bino-inshootlarga huquqiy hujjatlarni kiritsh")</f>
        <v>0</v>
      </c>
      <c r="BF102" s="11">
        <f>+COUNTIFS('muddati otgan'!C:C,A102,'muddati otgan'!J:J,"Kadastr qiymatini hisoblash va kiritish")</f>
        <v>0</v>
      </c>
      <c r="BG102" s="11">
        <f>+COUNTIFS('muddati otgan'!C:C,A102,'muddati otgan'!J:J,"Kadastr raqam biriktirish")</f>
        <v>0</v>
      </c>
      <c r="BH102" s="11">
        <f>+COUNTIFS('muddati otgan'!C:C,A102,'muddati otgan'!J:J,"Kadastr yig'ma jildni tayyorlash")</f>
        <v>0</v>
      </c>
      <c r="BI102" s="11">
        <f>+COUNTIFS('muddati otgan'!C:C,A102,'muddati otgan'!J:J,"Huquqni yaratish")</f>
        <v>0</v>
      </c>
      <c r="BJ102" s="11">
        <f>+COUNTIFS('muddati otgan'!C:C,A102,'muddati otgan'!J:J,"Hujjatlarni o'rganish")</f>
        <v>0</v>
      </c>
      <c r="BK102" s="11">
        <f>+COUNTIFS('muddati otgan'!C:C,A102,'muddati otgan'!J:J,"Ma'lumotlarni tekshirish")</f>
        <v>0</v>
      </c>
      <c r="BL102" s="11">
        <f t="shared" si="31"/>
        <v>0</v>
      </c>
      <c r="BM102" s="11">
        <f>+COUNTIFS('muddati otgan'!C:C,A102,'muddati otgan'!J:J,"Tekshirish")</f>
        <v>0</v>
      </c>
      <c r="BN102" s="11">
        <f>+COUNTIFS('muddati otgan'!C:C,A102,'muddati otgan'!J:J,"Hujjatlarni tekshirish")</f>
        <v>0</v>
      </c>
      <c r="BO102" s="11">
        <f>+COUNTIFS('muddati otgan'!C:C,A102,'muddati otgan'!J:J,"Tasdiqlash")</f>
        <v>0</v>
      </c>
      <c r="BP102" s="11">
        <f>+COUNTIFS('muddati otgan'!C:C,A102,'muddati otgan'!J:J,"tekshirish/tasdiqlash")</f>
        <v>0</v>
      </c>
      <c r="BQ102" s="11">
        <f>+COUNTIFS('muddati otgan'!C:C,A102,'muddati otgan'!J:J,"Ma'lumotlarni tasdiqlash")</f>
        <v>0</v>
      </c>
      <c r="BR102" s="11">
        <f t="shared" si="32"/>
        <v>0</v>
      </c>
      <c r="BS102" s="11">
        <f>+COUNTIFS('muddati otgan'!C:C,A102,'muddati otgan'!J:J,"Ro'yxatdan o'tkazish ma'lumotlarini tekshirish")</f>
        <v>0</v>
      </c>
      <c r="BT102" s="11">
        <f>+COUNTIFS('muddati otgan'!C:C,A102,'muddati otgan'!J:J,"Kamchiliklar bo'yicha habarnoma yuborish va 3 kunga to'xtatish")</f>
        <v>0</v>
      </c>
      <c r="BU102" s="11">
        <f>+COUNTIFS('muddati otgan'!C:C,A102,'muddati otgan'!J:J,"Hisobga olish")</f>
        <v>0</v>
      </c>
      <c r="BV102" s="11">
        <f>+COUNTIFS('muddati otgan'!C:C,A102,'muddati otgan'!J:J,"Yer uchastkasiga huquq yaratish")</f>
        <v>0</v>
      </c>
      <c r="BW102" s="11">
        <f>+COUNTIFS('muddati otgan'!C:C,A102,'muddati otgan'!J:J,"Bino-inshootga huquq yaratish")</f>
        <v>0</v>
      </c>
      <c r="BX102" s="11">
        <f>+COUNTIFS('muddati otgan'!C:C,A102,'muddati otgan'!J:J,"Cheklov yaratish")</f>
        <v>0</v>
      </c>
      <c r="BY102" s="11">
        <f>+COUNTIFS('muddati otgan'!C:C,A102,'muddati otgan'!J:J,"Taqiq yaratish")</f>
        <v>0</v>
      </c>
      <c r="BZ102" s="11">
        <f t="shared" si="33"/>
        <v>0</v>
      </c>
      <c r="CA102" s="11">
        <f>+COUNTIFS('muddati otgan'!C:C,A102,'muddati otgan'!J:J,"Soliq maydonini tekshirish")</f>
        <v>0</v>
      </c>
      <c r="CB102" s="11">
        <f t="shared" si="34"/>
        <v>0</v>
      </c>
      <c r="CC102" s="11">
        <f>+COUNTIFS('muddati otgan'!C:C,A102,'muddati otgan'!J:J,"Kadastr yig'majildini shakllantirish")</f>
        <v>0</v>
      </c>
      <c r="CD102" s="11">
        <f t="shared" si="35"/>
        <v>0</v>
      </c>
      <c r="CE102" s="11">
        <f>+COUNTIFS('muddati otgan'!C:C,A102,'muddati otgan'!J:J,"Kadastr passportini shakllantirish")</f>
        <v>0</v>
      </c>
      <c r="CF102" s="11">
        <f>+COUNTIFS('muddati otgan'!C:C,A102,'muddati otgan'!J:J,"Yig'ma jildni tasdiqlash")</f>
        <v>0</v>
      </c>
      <c r="CG102" s="11">
        <f>+COUNTIFS('muddati otgan'!C:C,A102,'muddati otgan'!J:J,"To'lov yoki bepul tasdiqlash")</f>
        <v>0</v>
      </c>
      <c r="CH102" s="11">
        <f>+COUNTIFS('muddati otgan'!C:C,A102,'muddati otgan'!J:J,"Bog'liq arizani kutish")</f>
        <v>0</v>
      </c>
      <c r="CI102" s="11">
        <f>+COUNTIFS('muddati otgan'!C:C,A102,'muddati otgan'!J:J,"To'lovga chiqarish")</f>
        <v>0</v>
      </c>
      <c r="CJ102" s="11">
        <f>+COUNTIFS('muddati otgan'!C:C,A102,'muddati otgan'!J:J,"Hisobga qo'yish")</f>
        <v>0</v>
      </c>
      <c r="CK102" s="6">
        <f>+COUNTIFS('muddati otgan'!C:C,A102,'muddati otgan'!J:J,"To'lov kutilmoqda")</f>
        <v>0</v>
      </c>
      <c r="CL102" s="11">
        <f t="shared" si="36"/>
        <v>0</v>
      </c>
      <c r="CM102" s="11">
        <f>+COUNTIFS('muddati otgan'!C:C,A102,'muddati otgan'!AA:AA,"Arizani qabul qilish2")</f>
        <v>0</v>
      </c>
      <c r="CN102" s="11">
        <f>+COUNTIFS('muddati otgan'!C:C,A102,'muddati otgan'!J:J,"Huquqlarni tekshirish")</f>
        <v>0</v>
      </c>
      <c r="CO102" s="11">
        <f>+COUNTIFS('muddati otgan'!C:C,A102,'muddati otgan'!J:J,"Ko'chmas mulkni ro'yhatdan o'tkazishga qabul qilish")</f>
        <v>0</v>
      </c>
      <c r="CP102" s="11">
        <f>+COUNTIFS('muddati otgan'!C:C,A102,'muddati otgan'!J:J,"Ro'yxatdan o'tkazish")</f>
        <v>0</v>
      </c>
      <c r="CQ102" s="11">
        <f>+COUNTIFS('muddati otgan'!C:C,A102,'muddati otgan'!J:J,"Kadastr pasporti va ko'chirmani yuborish")</f>
        <v>0</v>
      </c>
      <c r="CR102" s="11">
        <f>+COUNTIFS('muddati otgan'!C:C,A102,'muddati otgan'!AA:AA,"Rad qilish2")</f>
        <v>0</v>
      </c>
      <c r="CS102" s="11">
        <f>+COUNTIFS('muddati otgan'!C:C,A102,'muddati otgan'!J:J,"Ko'chirmani yuborish")</f>
        <v>0</v>
      </c>
      <c r="CT102" s="11">
        <f>+COUNTIFS('muddati otgan'!C:C,A102,'muddati otgan'!J:J,"Ma‘lumotlarni tekshirish")</f>
        <v>0</v>
      </c>
      <c r="CU102" s="11">
        <f t="shared" si="37"/>
        <v>0</v>
      </c>
      <c r="CV102" s="11">
        <f>+COUNTIFS('muddati otgan'!C:C,A102,'muddati otgan'!J:J,"Kadastr yig'majildini chop etish va arxiv ishiga tikish")</f>
        <v>0</v>
      </c>
      <c r="CW102" s="11">
        <f t="shared" si="38"/>
        <v>0</v>
      </c>
      <c r="CX102" s="11">
        <f>+COUNTIFS('muddati otgan'!C:C,A102,'muddati otgan'!J:J,"Kadastr yig‘majildini qabul qilish, arizani yakunlash")</f>
        <v>0</v>
      </c>
      <c r="CY102" s="11">
        <f>+COUNTIFS('muddati otgan'!C:C,A102,'muddati otgan'!J:J,"Next Cloudga yuklash")</f>
        <v>0</v>
      </c>
      <c r="CZ102" s="6">
        <f>+COUNTIFS('muddati otgan'!C:C,A102,'muddati otgan'!J:J,"Kelishish kutilmoqda")</f>
        <v>0</v>
      </c>
      <c r="DA102" s="6">
        <f>+COUNTIFS('muddati otgan'!C:C,A102,'muddati otgan'!J:J,"Yakunlandi")</f>
        <v>0</v>
      </c>
      <c r="DB102" s="10">
        <f>+COUNTIFS('muddati otgan'!C:C,A102,'muddati otgan'!J:J,"Rad etildi")</f>
        <v>0</v>
      </c>
      <c r="DC102" s="100">
        <f t="shared" si="5"/>
        <v>0</v>
      </c>
      <c r="DD102" s="44">
        <f>COUNTIFS('jami 1-20 kunlik arizalar'!C:C,A:A,'jami 1-20 kunlik arizalar'!S:S,"1")</f>
        <v>0</v>
      </c>
      <c r="DE102" s="11">
        <f>COUNTIFS('jami 1-20 kunlik arizalar'!C:C,A:A,'jami 1-20 kunlik arizalar'!S:S,"2")</f>
        <v>0</v>
      </c>
      <c r="DF102" s="11">
        <f>COUNTIFS('jami 1-20 kunlik arizalar'!C:C,A:A,'jami 1-20 kunlik arizalar'!S:S,"3")</f>
        <v>0</v>
      </c>
      <c r="DG102" s="11">
        <f>COUNTIFS('jami 1-20 kunlik arizalar'!C:C,A:A,'jami 1-20 kunlik arizalar'!S:S,"4")</f>
        <v>0</v>
      </c>
      <c r="DH102" s="11">
        <f>COUNTIFS('jami 1-20 kunlik arizalar'!C:C,A:A,'jami 1-20 kunlik arizalar'!S:S,"5")</f>
        <v>0</v>
      </c>
      <c r="DI102" s="11">
        <f>SUM(COUNTIFS('jami 1-20 kunlik arizalar'!C:C,A:A, 'jami 1-20 kunlik arizalar'!S:S, {6,7,8,9,10}))</f>
        <v>0</v>
      </c>
      <c r="DJ102" s="12">
        <f>SUM(COUNTIFS('jami 1-20 kunlik arizalar'!C:C,A:A, 'jami 1-20 kunlik arizalar'!S:S, "&gt;10"))</f>
        <v>0</v>
      </c>
    </row>
    <row r="103" spans="1:115" ht="32.1" hidden="1" customHeight="1" outlineLevel="1" x14ac:dyDescent="0.25">
      <c r="A103" s="92" t="s">
        <v>665</v>
      </c>
      <c r="B103" s="74"/>
      <c r="C103" s="85" t="s">
        <v>809</v>
      </c>
      <c r="D103" s="80">
        <f>+COUNTIFS('muddati otgan'!C:C,A103,'muddati otgan'!C:C,A103)</f>
        <v>0</v>
      </c>
      <c r="E103" s="10">
        <f>SUMIFS('muddati otgan'!$V:V,'muddati otgan'!$C:C,$A:A)</f>
        <v>0</v>
      </c>
      <c r="F103" s="10">
        <f>SUMIFS('muddati otgan'!$W:W,'muddati otgan'!$C:C,$A:A)</f>
        <v>0</v>
      </c>
      <c r="G103" s="24">
        <f>SUMIFS('muddati otgan'!$U:U,'muddati otgan'!$C:C,$A:A)</f>
        <v>0</v>
      </c>
      <c r="H103" s="11">
        <f>SUMIFS('muddati otgan'!$G:G,'muddati otgan'!$C:C,$A:A)</f>
        <v>0</v>
      </c>
      <c r="I103" s="12">
        <f>SUMIFS('muddati otgan'!$H:H,'muddati otgan'!$C:C,$A:A)</f>
        <v>0</v>
      </c>
      <c r="J103" s="44">
        <f t="shared" si="23"/>
        <v>0</v>
      </c>
      <c r="K103" s="11">
        <f>+COUNTIFS('muddati otgan'!C:C,A103,'muddati otgan'!AA:AA,"Arizani qabul qilish")</f>
        <v>0</v>
      </c>
      <c r="L103" s="11">
        <f>+COUNTIFS('muddati otgan'!C:C,A103,'muddati otgan'!J:J,"Arizani rad etish")</f>
        <v>0</v>
      </c>
      <c r="M103" s="11">
        <f>+COUNTIFS('muddati otgan'!C:C,A103,'muddati otgan'!J:J,"Arizani tasdiqlash")</f>
        <v>0</v>
      </c>
      <c r="N103" s="11">
        <f>+COUNTIFS('muddati otgan'!C:C,A103,'muddati otgan'!J:J,"Arizani yo'naltirish")</f>
        <v>0</v>
      </c>
      <c r="O103" s="11">
        <f>+COUNTIFS('muddati otgan'!C:C,A103,'muddati otgan'!J:J,"Rad qilish sababini o'rganish")</f>
        <v>0</v>
      </c>
      <c r="P103" s="11">
        <f>+COUNTIFS('muddati otgan'!C:C,A103,'muddati otgan'!J:J,"Ko'chmas mulkni UZKAD ga migratsiya qilish")</f>
        <v>0</v>
      </c>
      <c r="Q103" s="11">
        <f>+COUNTIFS('muddati otgan'!C:C,A103,'muddati otgan'!J:J,"Migratisya qilingan obyekt holatini tekshirish")</f>
        <v>0</v>
      </c>
      <c r="R103" s="11">
        <f>+COUNTIFS('muddati otgan'!C:C,A103,'muddati otgan'!J:J,"Ko‘chmas mulkni tanlash")</f>
        <v>0</v>
      </c>
      <c r="S103" s="11">
        <f>+COUNTIFS('muddati otgan'!C:C,A103,'muddati otgan'!J:J,"Arizani ko'rib chiqish")</f>
        <v>0</v>
      </c>
      <c r="T103" s="11">
        <f>+COUNTIFS('muddati otgan'!C:C,A103,'muddati otgan'!J:J,"Kadastr muhandisini tanlash")</f>
        <v>0</v>
      </c>
      <c r="U103" s="11">
        <f>+COUNTIFS('muddati otgan'!C:C,A103,'muddati otgan'!J:J,"Ko'chmas mulk turini tanlahsh")</f>
        <v>0</v>
      </c>
      <c r="V103" s="11">
        <f>+COUNTIFS('muddati otgan'!C:C,A103,'muddati otgan'!AA:AA,"Rad qilish")</f>
        <v>0</v>
      </c>
      <c r="W103" s="11">
        <f>+COUNTIFS('muddati otgan'!C:C,A103,'muddati otgan'!J:J,"ijrochi tanlash")</f>
        <v>0</v>
      </c>
      <c r="X103" s="11">
        <f>+COUNTIFS('muddati otgan'!C:C,A103,'muddati otgan'!J:J,"Ko'chmas mulk turini tanlash")</f>
        <v>0</v>
      </c>
      <c r="Y103" s="11">
        <f t="shared" si="24"/>
        <v>0</v>
      </c>
      <c r="Z103" s="11">
        <f>+COUNTIFS('muddati otgan'!C:C,A103,'muddati otgan'!J:J,"Ijroga qabul qilish")</f>
        <v>0</v>
      </c>
      <c r="AA103" s="11">
        <f>+COUNTIFS('muddati otgan'!C:C,A103,'muddati otgan'!J:J,"Joyida o'rganish va ma'lumotlarni kiritish")</f>
        <v>0</v>
      </c>
      <c r="AB103" s="11">
        <f>+COUNTIFS('muddati otgan'!C:C,A103,'muddati otgan'!J:J,"Asosiy qismdan ajratish jarayonida")</f>
        <v>0</v>
      </c>
      <c r="AC103" s="11">
        <f>+COUNTIFS('muddati otgan'!C:C,A103,'muddati otgan'!J:J,"Umumiy foydalanishdagi obyekt yaratilish")</f>
        <v>0</v>
      </c>
      <c r="AD103" s="11">
        <f>+COUNTIFS('muddati otgan'!C:C,A103,'muddati otgan'!J:J,"Migratsiya qilinadigan kadastr raqamini kiritish")</f>
        <v>0</v>
      </c>
      <c r="AE103" s="11">
        <f>+COUNTIFS('muddati otgan'!C:C,A103,'muddati otgan'!J:J,"O'zida qolgan obyektni yaratish")</f>
        <v>0</v>
      </c>
      <c r="AF103" s="11">
        <f>+COUNTIFS('muddati otgan'!C:C,A103,'muddati otgan'!J:J,"O'lchov natijalarini kiritish")</f>
        <v>0</v>
      </c>
      <c r="AG103" s="11">
        <f>+COUNTIFS('muddati otgan'!C:C,A103,'muddati otgan'!J:J,"Topoxaritani tayyorlash (dwg, pdf)")</f>
        <v>0</v>
      </c>
      <c r="AH103" s="11">
        <f t="shared" si="25"/>
        <v>0</v>
      </c>
      <c r="AI103" s="11">
        <f>+COUNTIFS('muddati otgan'!C:C,A103,'muddati otgan'!J:J,"Yer uchastkasini yaratish")</f>
        <v>0</v>
      </c>
      <c r="AJ103" s="11">
        <f t="shared" si="26"/>
        <v>0</v>
      </c>
      <c r="AK103" s="11">
        <f>+COUNTIFS('muddati otgan'!C:C,A103,'muddati otgan'!J:J,"Kelishish (Boshqarma)")</f>
        <v>0</v>
      </c>
      <c r="AL103" s="11">
        <f t="shared" si="27"/>
        <v>0</v>
      </c>
      <c r="AM103" s="11">
        <f>+COUNTIFS('muddati otgan'!C:C,A103,'muddati otgan'!J:J,"Kelishish (DKP)")</f>
        <v>0</v>
      </c>
      <c r="AN103" s="11">
        <f>+COUNTIFS('muddati otgan'!C:C,A103,'muddati otgan'!J:J,"Kelishish")</f>
        <v>0</v>
      </c>
      <c r="AO103" s="11">
        <f>+COUNTIFS('muddati otgan'!C:C,A103,'muddati otgan'!J:J,"Kelishish (Registratsiya DKP)")</f>
        <v>0</v>
      </c>
      <c r="AP103" s="11">
        <f t="shared" si="28"/>
        <v>0</v>
      </c>
      <c r="AQ103" s="11">
        <f>+COUNTIFS('muddati otgan'!C:C,A103,'muddati otgan'!J:J,"Manzil biriktirish")</f>
        <v>0</v>
      </c>
      <c r="AR103" s="11">
        <f>+COUNTIFS('muddati otgan'!C:C,A103,'muddati otgan'!J:J,"Bino va inshootlarni yaratish")</f>
        <v>0</v>
      </c>
      <c r="AS103" s="11">
        <f>+COUNTIFS('muddati otgan'!C:C,A103,'muddati otgan'!J:J,"Dov daraxtlarni yaratish")</f>
        <v>0</v>
      </c>
      <c r="AT103" s="11">
        <f>+COUNTIFS('muddati otgan'!C:C,A103,'muddati otgan'!J:J,"Yer uchastkasini tahrirlash")</f>
        <v>0</v>
      </c>
      <c r="AU103" s="11">
        <f t="shared" si="29"/>
        <v>0</v>
      </c>
      <c r="AV103" s="11">
        <f>+COUNTIFS('muddati otgan'!C:C,A103,'muddati otgan'!J:J,"Yer toifasi va maqsadini kiritish")</f>
        <v>0</v>
      </c>
      <c r="AW103" s="11">
        <f>+COUNTIFS('muddati otgan'!C:C,A103,'muddati otgan'!J:J,"Auksion yer tekshirish")</f>
        <v>0</v>
      </c>
      <c r="AX103" s="11">
        <f>+COUNTIFS('muddati otgan'!C:C,A103,'muddati otgan'!J:J,"Yer turlarini kiritish")</f>
        <v>0</v>
      </c>
      <c r="AY103" s="11">
        <f>+COUNTIFS('muddati otgan'!C:C,A103,'muddati otgan'!J:J,"Ma'lumotlarni kiritish")</f>
        <v>0</v>
      </c>
      <c r="AZ103" s="11">
        <f>+COUNTIFS('muddati otgan'!C:C,A103,'muddati otgan'!J:J,"Yer tekshirish")</f>
        <v>0</v>
      </c>
      <c r="BA103" s="11">
        <f t="shared" si="30"/>
        <v>0</v>
      </c>
      <c r="BB103" s="11">
        <f>+COUNTIFS('muddati otgan'!C:C,A103,'muddati otgan'!J:J,"Bino va inshoot ma'lumotlarini to‘ldirish")</f>
        <v>0</v>
      </c>
      <c r="BC103" s="11">
        <f>+COUNTIFS('muddati otgan'!C:C,A103,'muddati otgan'!J:J,"Inventarizatsiya ma'lumotlarini to‘ldirish")</f>
        <v>0</v>
      </c>
      <c r="BD103" s="11">
        <f>+COUNTIFS('muddati otgan'!C:C,A103,'muddati otgan'!J:J,"Yer uchastkasiga huquqiy hujjatlarni kiritsh")</f>
        <v>0</v>
      </c>
      <c r="BE103" s="11">
        <f>+COUNTIFS('muddati otgan'!C:C,A103,'muddati otgan'!J:J,"Bino-inshootlarga huquqiy hujjatlarni kiritsh")</f>
        <v>0</v>
      </c>
      <c r="BF103" s="11">
        <f>+COUNTIFS('muddati otgan'!C:C,A103,'muddati otgan'!J:J,"Kadastr qiymatini hisoblash va kiritish")</f>
        <v>0</v>
      </c>
      <c r="BG103" s="11">
        <f>+COUNTIFS('muddati otgan'!C:C,A103,'muddati otgan'!J:J,"Kadastr raqam biriktirish")</f>
        <v>0</v>
      </c>
      <c r="BH103" s="11">
        <f>+COUNTIFS('muddati otgan'!C:C,A103,'muddati otgan'!J:J,"Kadastr yig'ma jildni tayyorlash")</f>
        <v>0</v>
      </c>
      <c r="BI103" s="11">
        <f>+COUNTIFS('muddati otgan'!C:C,A103,'muddati otgan'!J:J,"Huquqni yaratish")</f>
        <v>0</v>
      </c>
      <c r="BJ103" s="11">
        <f>+COUNTIFS('muddati otgan'!C:C,A103,'muddati otgan'!J:J,"Hujjatlarni o'rganish")</f>
        <v>0</v>
      </c>
      <c r="BK103" s="11">
        <f>+COUNTIFS('muddati otgan'!C:C,A103,'muddati otgan'!J:J,"Ma'lumotlarni tekshirish")</f>
        <v>0</v>
      </c>
      <c r="BL103" s="11">
        <f t="shared" si="31"/>
        <v>0</v>
      </c>
      <c r="BM103" s="11">
        <f>+COUNTIFS('muddati otgan'!C:C,A103,'muddati otgan'!J:J,"Tekshirish")</f>
        <v>0</v>
      </c>
      <c r="BN103" s="11">
        <f>+COUNTIFS('muddati otgan'!C:C,A103,'muddati otgan'!J:J,"Hujjatlarni tekshirish")</f>
        <v>0</v>
      </c>
      <c r="BO103" s="11">
        <f>+COUNTIFS('muddati otgan'!C:C,A103,'muddati otgan'!J:J,"Tasdiqlash")</f>
        <v>0</v>
      </c>
      <c r="BP103" s="11">
        <f>+COUNTIFS('muddati otgan'!C:C,A103,'muddati otgan'!J:J,"tekshirish/tasdiqlash")</f>
        <v>0</v>
      </c>
      <c r="BQ103" s="11">
        <f>+COUNTIFS('muddati otgan'!C:C,A103,'muddati otgan'!J:J,"Ma'lumotlarni tasdiqlash")</f>
        <v>0</v>
      </c>
      <c r="BR103" s="11">
        <f t="shared" si="32"/>
        <v>0</v>
      </c>
      <c r="BS103" s="11">
        <f>+COUNTIFS('muddati otgan'!C:C,A103,'muddati otgan'!J:J,"Ro'yxatdan o'tkazish ma'lumotlarini tekshirish")</f>
        <v>0</v>
      </c>
      <c r="BT103" s="11">
        <f>+COUNTIFS('muddati otgan'!C:C,A103,'muddati otgan'!J:J,"Kamchiliklar bo'yicha habarnoma yuborish va 3 kunga to'xtatish")</f>
        <v>0</v>
      </c>
      <c r="BU103" s="11">
        <f>+COUNTIFS('muddati otgan'!C:C,A103,'muddati otgan'!J:J,"Hisobga olish")</f>
        <v>0</v>
      </c>
      <c r="BV103" s="11">
        <f>+COUNTIFS('muddati otgan'!C:C,A103,'muddati otgan'!J:J,"Yer uchastkasiga huquq yaratish")</f>
        <v>0</v>
      </c>
      <c r="BW103" s="11">
        <f>+COUNTIFS('muddati otgan'!C:C,A103,'muddati otgan'!J:J,"Bino-inshootga huquq yaratish")</f>
        <v>0</v>
      </c>
      <c r="BX103" s="11">
        <f>+COUNTIFS('muddati otgan'!C:C,A103,'muddati otgan'!J:J,"Cheklov yaratish")</f>
        <v>0</v>
      </c>
      <c r="BY103" s="11">
        <f>+COUNTIFS('muddati otgan'!C:C,A103,'muddati otgan'!J:J,"Taqiq yaratish")</f>
        <v>0</v>
      </c>
      <c r="BZ103" s="11">
        <f t="shared" si="33"/>
        <v>0</v>
      </c>
      <c r="CA103" s="11">
        <f>+COUNTIFS('muddati otgan'!C:C,A103,'muddati otgan'!J:J,"Soliq maydonini tekshirish")</f>
        <v>0</v>
      </c>
      <c r="CB103" s="11">
        <f t="shared" si="34"/>
        <v>0</v>
      </c>
      <c r="CC103" s="11">
        <f>+COUNTIFS('muddati otgan'!C:C,A103,'muddati otgan'!J:J,"Kadastr yig'majildini shakllantirish")</f>
        <v>0</v>
      </c>
      <c r="CD103" s="11">
        <f t="shared" si="35"/>
        <v>0</v>
      </c>
      <c r="CE103" s="11">
        <f>+COUNTIFS('muddati otgan'!C:C,A103,'muddati otgan'!J:J,"Kadastr passportini shakllantirish")</f>
        <v>0</v>
      </c>
      <c r="CF103" s="11">
        <f>+COUNTIFS('muddati otgan'!C:C,A103,'muddati otgan'!J:J,"Yig'ma jildni tasdiqlash")</f>
        <v>0</v>
      </c>
      <c r="CG103" s="11">
        <f>+COUNTIFS('muddati otgan'!C:C,A103,'muddati otgan'!J:J,"To'lov yoki bepul tasdiqlash")</f>
        <v>0</v>
      </c>
      <c r="CH103" s="11">
        <f>+COUNTIFS('muddati otgan'!C:C,A103,'muddati otgan'!J:J,"Bog'liq arizani kutish")</f>
        <v>0</v>
      </c>
      <c r="CI103" s="11">
        <f>+COUNTIFS('muddati otgan'!C:C,A103,'muddati otgan'!J:J,"To'lovga chiqarish")</f>
        <v>0</v>
      </c>
      <c r="CJ103" s="11">
        <f>+COUNTIFS('muddati otgan'!C:C,A103,'muddati otgan'!J:J,"Hisobga qo'yish")</f>
        <v>0</v>
      </c>
      <c r="CK103" s="6">
        <f>+COUNTIFS('muddati otgan'!C:C,A103,'muddati otgan'!J:J,"To'lov kutilmoqda")</f>
        <v>0</v>
      </c>
      <c r="CL103" s="11">
        <f t="shared" si="36"/>
        <v>0</v>
      </c>
      <c r="CM103" s="11">
        <f>+COUNTIFS('muddati otgan'!C:C,A103,'muddati otgan'!AA:AA,"Arizani qabul qilish2")</f>
        <v>0</v>
      </c>
      <c r="CN103" s="11">
        <f>+COUNTIFS('muddati otgan'!C:C,A103,'muddati otgan'!J:J,"Huquqlarni tekshirish")</f>
        <v>0</v>
      </c>
      <c r="CO103" s="11">
        <f>+COUNTIFS('muddati otgan'!C:C,A103,'muddati otgan'!J:J,"Ko'chmas mulkni ro'yhatdan o'tkazishga qabul qilish")</f>
        <v>0</v>
      </c>
      <c r="CP103" s="11">
        <f>+COUNTIFS('muddati otgan'!C:C,A103,'muddati otgan'!J:J,"Ro'yxatdan o'tkazish")</f>
        <v>0</v>
      </c>
      <c r="CQ103" s="11">
        <f>+COUNTIFS('muddati otgan'!C:C,A103,'muddati otgan'!J:J,"Kadastr pasporti va ko'chirmani yuborish")</f>
        <v>0</v>
      </c>
      <c r="CR103" s="11">
        <f>+COUNTIFS('muddati otgan'!C:C,A103,'muddati otgan'!AA:AA,"Rad qilish2")</f>
        <v>0</v>
      </c>
      <c r="CS103" s="11">
        <f>+COUNTIFS('muddati otgan'!C:C,A103,'muddati otgan'!J:J,"Ko'chirmani yuborish")</f>
        <v>0</v>
      </c>
      <c r="CT103" s="11">
        <f>+COUNTIFS('muddati otgan'!C:C,A103,'muddati otgan'!J:J,"Ma‘lumotlarni tekshirish")</f>
        <v>0</v>
      </c>
      <c r="CU103" s="11">
        <f t="shared" si="37"/>
        <v>0</v>
      </c>
      <c r="CV103" s="11">
        <f>+COUNTIFS('muddati otgan'!C:C,A103,'muddati otgan'!J:J,"Kadastr yig'majildini chop etish va arxiv ishiga tikish")</f>
        <v>0</v>
      </c>
      <c r="CW103" s="11">
        <f t="shared" si="38"/>
        <v>0</v>
      </c>
      <c r="CX103" s="11">
        <f>+COUNTIFS('muddati otgan'!C:C,A103,'muddati otgan'!J:J,"Kadastr yig‘majildini qabul qilish, arizani yakunlash")</f>
        <v>0</v>
      </c>
      <c r="CY103" s="11">
        <f>+COUNTIFS('muddati otgan'!C:C,A103,'muddati otgan'!J:J,"Next Cloudga yuklash")</f>
        <v>0</v>
      </c>
      <c r="CZ103" s="6">
        <f>+COUNTIFS('muddati otgan'!C:C,A103,'muddati otgan'!J:J,"Kelishish kutilmoqda")</f>
        <v>0</v>
      </c>
      <c r="DA103" s="6">
        <f>+COUNTIFS('muddati otgan'!C:C,A103,'muddati otgan'!J:J,"Yakunlandi")</f>
        <v>0</v>
      </c>
      <c r="DB103" s="10">
        <f>+COUNTIFS('muddati otgan'!C:C,A103,'muddati otgan'!J:J,"Rad etildi")</f>
        <v>0</v>
      </c>
      <c r="DC103" s="100">
        <f t="shared" si="5"/>
        <v>0</v>
      </c>
      <c r="DD103" s="44">
        <f>COUNTIFS('jami 1-20 kunlik arizalar'!C:C,A:A,'jami 1-20 kunlik arizalar'!S:S,"1")</f>
        <v>0</v>
      </c>
      <c r="DE103" s="11">
        <f>COUNTIFS('jami 1-20 kunlik arizalar'!C:C,A:A,'jami 1-20 kunlik arizalar'!S:S,"2")</f>
        <v>0</v>
      </c>
      <c r="DF103" s="11">
        <f>COUNTIFS('jami 1-20 kunlik arizalar'!C:C,A:A,'jami 1-20 kunlik arizalar'!S:S,"3")</f>
        <v>0</v>
      </c>
      <c r="DG103" s="11">
        <f>COUNTIFS('jami 1-20 kunlik arizalar'!C:C,A:A,'jami 1-20 kunlik arizalar'!S:S,"4")</f>
        <v>1</v>
      </c>
      <c r="DH103" s="11">
        <f>COUNTIFS('jami 1-20 kunlik arizalar'!C:C,A:A,'jami 1-20 kunlik arizalar'!S:S,"5")</f>
        <v>2</v>
      </c>
      <c r="DI103" s="11">
        <f>SUM(COUNTIFS('jami 1-20 kunlik arizalar'!C:C,A:A, 'jami 1-20 kunlik arizalar'!S:S, {6,7,8,9,10}))</f>
        <v>0</v>
      </c>
      <c r="DJ103" s="12">
        <f>SUM(COUNTIFS('jami 1-20 kunlik arizalar'!C:C,A:A, 'jami 1-20 kunlik arizalar'!S:S, "&gt;10"))</f>
        <v>2</v>
      </c>
    </row>
    <row r="104" spans="1:115" ht="32.1" hidden="1" customHeight="1" outlineLevel="1" x14ac:dyDescent="0.25">
      <c r="A104" s="111" t="s">
        <v>974</v>
      </c>
      <c r="B104" s="74"/>
      <c r="C104" s="85" t="s">
        <v>975</v>
      </c>
      <c r="D104" s="80">
        <f>+COUNTIFS('muddati otgan'!C:C,A104,'muddati otgan'!C:C,A104)</f>
        <v>0</v>
      </c>
      <c r="E104" s="10">
        <f>SUMIFS('muddati otgan'!$V:V,'muddati otgan'!$C:C,$A:A)</f>
        <v>0</v>
      </c>
      <c r="F104" s="10">
        <f>SUMIFS('muddati otgan'!$W:W,'muddati otgan'!$C:C,$A:A)</f>
        <v>0</v>
      </c>
      <c r="G104" s="24">
        <f>SUMIFS('muddati otgan'!$U:U,'muddati otgan'!$C:C,$A:A)</f>
        <v>0</v>
      </c>
      <c r="H104" s="11">
        <f>SUMIFS('muddati otgan'!$G:G,'muddati otgan'!$C:C,$A:A)</f>
        <v>0</v>
      </c>
      <c r="I104" s="12">
        <f>SUMIFS('muddati otgan'!$H:H,'muddati otgan'!$C:C,$A:A)</f>
        <v>0</v>
      </c>
      <c r="J104" s="44">
        <f t="shared" ref="J104" si="237">K104+P104+Q104+R104+S104+T104+U104+V104+W104+L104+O104+M104+N104+X104</f>
        <v>0</v>
      </c>
      <c r="K104" s="11">
        <f>+COUNTIFS('muddati otgan'!C:C,A104,'muddati otgan'!AA:AA,"Arizani qabul qilish")</f>
        <v>0</v>
      </c>
      <c r="L104" s="11">
        <f>+COUNTIFS('muddati otgan'!C:C,A104,'muddati otgan'!J:J,"Arizani rad etish")</f>
        <v>0</v>
      </c>
      <c r="M104" s="11">
        <f>+COUNTIFS('muddati otgan'!C:C,A104,'muddati otgan'!J:J,"Arizani tasdiqlash")</f>
        <v>0</v>
      </c>
      <c r="N104" s="11">
        <f>+COUNTIFS('muddati otgan'!C:C,A104,'muddati otgan'!J:J,"Arizani yo'naltirish")</f>
        <v>0</v>
      </c>
      <c r="O104" s="11">
        <f>+COUNTIFS('muddati otgan'!C:C,A104,'muddati otgan'!J:J,"Rad qilish sababini o'rganish")</f>
        <v>0</v>
      </c>
      <c r="P104" s="11">
        <f>+COUNTIFS('muddati otgan'!C:C,A104,'muddati otgan'!J:J,"Ko'chmas mulkni UZKAD ga migratsiya qilish")</f>
        <v>0</v>
      </c>
      <c r="Q104" s="11">
        <f>+COUNTIFS('muddati otgan'!C:C,A104,'muddati otgan'!J:J,"Migratisya qilingan obyekt holatini tekshirish")</f>
        <v>0</v>
      </c>
      <c r="R104" s="11">
        <f>+COUNTIFS('muddati otgan'!C:C,A104,'muddati otgan'!J:J,"Ko‘chmas mulkni tanlash")</f>
        <v>0</v>
      </c>
      <c r="S104" s="11">
        <f>+COUNTIFS('muddati otgan'!C:C,A104,'muddati otgan'!J:J,"Arizani ko'rib chiqish")</f>
        <v>0</v>
      </c>
      <c r="T104" s="11">
        <f>+COUNTIFS('muddati otgan'!C:C,A104,'muddati otgan'!J:J,"Kadastr muhandisini tanlash")</f>
        <v>0</v>
      </c>
      <c r="U104" s="11">
        <f>+COUNTIFS('muddati otgan'!C:C,A104,'muddati otgan'!J:J,"Ko'chmas mulk turini tanlahsh")</f>
        <v>0</v>
      </c>
      <c r="V104" s="11">
        <f>+COUNTIFS('muddati otgan'!C:C,A104,'muddati otgan'!AA:AA,"Rad qilish")</f>
        <v>0</v>
      </c>
      <c r="W104" s="11">
        <f>+COUNTIFS('muddati otgan'!C:C,A104,'muddati otgan'!J:J,"ijrochi tanlash")</f>
        <v>0</v>
      </c>
      <c r="X104" s="11">
        <f>+COUNTIFS('muddati otgan'!C:C,A104,'muddati otgan'!J:J,"Ko'chmas mulk turini tanlash")</f>
        <v>0</v>
      </c>
      <c r="Y104" s="11">
        <f t="shared" ref="Y104" si="238">Z104+AD104+AF104+AE104+AC104+AB104+AA104</f>
        <v>0</v>
      </c>
      <c r="Z104" s="11">
        <f>+COUNTIFS('muddati otgan'!C:C,A104,'muddati otgan'!J:J,"Ijroga qabul qilish")</f>
        <v>0</v>
      </c>
      <c r="AA104" s="11">
        <f>+COUNTIFS('muddati otgan'!C:C,A104,'muddati otgan'!J:J,"Joyida o'rganish va ma'lumotlarni kiritish")</f>
        <v>0</v>
      </c>
      <c r="AB104" s="11">
        <f>+COUNTIFS('muddati otgan'!C:C,A104,'muddati otgan'!J:J,"Asosiy qismdan ajratish jarayonida")</f>
        <v>0</v>
      </c>
      <c r="AC104" s="11">
        <f>+COUNTIFS('muddati otgan'!C:C,A104,'muddati otgan'!J:J,"Umumiy foydalanishdagi obyekt yaratilish")</f>
        <v>0</v>
      </c>
      <c r="AD104" s="11">
        <f>+COUNTIFS('muddati otgan'!C:C,A104,'muddati otgan'!J:J,"Migratsiya qilinadigan kadastr raqamini kiritish")</f>
        <v>0</v>
      </c>
      <c r="AE104" s="11">
        <f>+COUNTIFS('muddati otgan'!C:C,A104,'muddati otgan'!J:J,"O'zida qolgan obyektni yaratish")</f>
        <v>0</v>
      </c>
      <c r="AF104" s="11">
        <f>+COUNTIFS('muddati otgan'!C:C,A104,'muddati otgan'!J:J,"O'lchov natijalarini kiritish")</f>
        <v>0</v>
      </c>
      <c r="AG104" s="11">
        <f>+COUNTIFS('muddati otgan'!C:C,A104,'muddati otgan'!J:J,"Topoxaritani tayyorlash (dwg, pdf)")</f>
        <v>0</v>
      </c>
      <c r="AH104" s="11">
        <f t="shared" ref="AH104" si="239">AI104</f>
        <v>0</v>
      </c>
      <c r="AI104" s="11">
        <f>+COUNTIFS('muddati otgan'!C:C,A104,'muddati otgan'!J:J,"Yer uchastkasini yaratish")</f>
        <v>0</v>
      </c>
      <c r="AJ104" s="11">
        <f t="shared" ref="AJ104" si="240">AK104</f>
        <v>0</v>
      </c>
      <c r="AK104" s="11">
        <f>+COUNTIFS('muddati otgan'!C:C,A104,'muddati otgan'!J:J,"Kelishish (Boshqarma)")</f>
        <v>0</v>
      </c>
      <c r="AL104" s="11">
        <f t="shared" ref="AL104" si="241">AM104+AN104+AO104</f>
        <v>0</v>
      </c>
      <c r="AM104" s="11">
        <f>+COUNTIFS('muddati otgan'!C:C,A104,'muddati otgan'!J:J,"Kelishish (DKP)")</f>
        <v>0</v>
      </c>
      <c r="AN104" s="11">
        <f>+COUNTIFS('muddati otgan'!C:C,A104,'muddati otgan'!J:J,"Kelishish")</f>
        <v>0</v>
      </c>
      <c r="AO104" s="11">
        <f>+COUNTIFS('muddati otgan'!C:C,A104,'muddati otgan'!J:J,"Kelishish (Registratsiya DKP)")</f>
        <v>0</v>
      </c>
      <c r="AP104" s="11">
        <f t="shared" ref="AP104" si="242">AQ104+AR104+AS104+AT104</f>
        <v>0</v>
      </c>
      <c r="AQ104" s="11">
        <f>+COUNTIFS('muddati otgan'!C:C,A104,'muddati otgan'!J:J,"Manzil biriktirish")</f>
        <v>0</v>
      </c>
      <c r="AR104" s="11">
        <f>+COUNTIFS('muddati otgan'!C:C,A104,'muddati otgan'!J:J,"Bino va inshootlarni yaratish")</f>
        <v>0</v>
      </c>
      <c r="AS104" s="11">
        <f>+COUNTIFS('muddati otgan'!C:C,A104,'muddati otgan'!J:J,"Dov daraxtlarni yaratish")</f>
        <v>0</v>
      </c>
      <c r="AT104" s="11">
        <f>+COUNTIFS('muddati otgan'!C:C,A104,'muddati otgan'!J:J,"Yer uchastkasini tahrirlash")</f>
        <v>0</v>
      </c>
      <c r="AU104" s="11">
        <f t="shared" ref="AU104" si="243">AV104+AW104+AX104+AY104+AZ104</f>
        <v>0</v>
      </c>
      <c r="AV104" s="11">
        <f>+COUNTIFS('muddati otgan'!C:C,A104,'muddati otgan'!J:J,"Yer toifasi va maqsadini kiritish")</f>
        <v>0</v>
      </c>
      <c r="AW104" s="11">
        <f>+COUNTIFS('muddati otgan'!C:C,A104,'muddati otgan'!J:J,"Auksion yer tekshirish")</f>
        <v>0</v>
      </c>
      <c r="AX104" s="11">
        <f>+COUNTIFS('muddati otgan'!C:C,A104,'muddati otgan'!J:J,"Yer turlarini kiritish")</f>
        <v>0</v>
      </c>
      <c r="AY104" s="11">
        <f>+COUNTIFS('muddati otgan'!C:C,A104,'muddati otgan'!J:J,"Ma'lumotlarni kiritish")</f>
        <v>0</v>
      </c>
      <c r="AZ104" s="11">
        <f>+COUNTIFS('muddati otgan'!C:C,A104,'muddati otgan'!J:J,"Yer tekshirish")</f>
        <v>0</v>
      </c>
      <c r="BA104" s="11">
        <f t="shared" ref="BA104" si="244">BB104+BC104+BD104+BE104+BF104+BG104+BH104+BI104+BJ104+BK104</f>
        <v>0</v>
      </c>
      <c r="BB104" s="11">
        <f>+COUNTIFS('muddati otgan'!C:C,A104,'muddati otgan'!J:J,"Bino va inshoot ma'lumotlarini to‘ldirish")</f>
        <v>0</v>
      </c>
      <c r="BC104" s="11">
        <f>+COUNTIFS('muddati otgan'!C:C,A104,'muddati otgan'!J:J,"Inventarizatsiya ma'lumotlarini to‘ldirish")</f>
        <v>0</v>
      </c>
      <c r="BD104" s="11">
        <f>+COUNTIFS('muddati otgan'!C:C,A104,'muddati otgan'!J:J,"Yer uchastkasiga huquqiy hujjatlarni kiritsh")</f>
        <v>0</v>
      </c>
      <c r="BE104" s="11">
        <f>+COUNTIFS('muddati otgan'!C:C,A104,'muddati otgan'!J:J,"Bino-inshootlarga huquqiy hujjatlarni kiritsh")</f>
        <v>0</v>
      </c>
      <c r="BF104" s="11">
        <f>+COUNTIFS('muddati otgan'!C:C,A104,'muddati otgan'!J:J,"Kadastr qiymatini hisoblash va kiritish")</f>
        <v>0</v>
      </c>
      <c r="BG104" s="11">
        <f>+COUNTIFS('muddati otgan'!C:C,A104,'muddati otgan'!J:J,"Kadastr raqam biriktirish")</f>
        <v>0</v>
      </c>
      <c r="BH104" s="11">
        <f>+COUNTIFS('muddati otgan'!C:C,A104,'muddati otgan'!J:J,"Kadastr yig'ma jildni tayyorlash")</f>
        <v>0</v>
      </c>
      <c r="BI104" s="11">
        <f>+COUNTIFS('muddati otgan'!C:C,A104,'muddati otgan'!J:J,"Huquqni yaratish")</f>
        <v>0</v>
      </c>
      <c r="BJ104" s="11">
        <f>+COUNTIFS('muddati otgan'!C:C,A104,'muddati otgan'!J:J,"Hujjatlarni o'rganish")</f>
        <v>0</v>
      </c>
      <c r="BK104" s="11">
        <f>+COUNTIFS('muddati otgan'!C:C,A104,'muddati otgan'!J:J,"Ma'lumotlarni tekshirish")</f>
        <v>0</v>
      </c>
      <c r="BL104" s="11">
        <f t="shared" ref="BL104" si="245">BM104+BN104+BP104+BO104+BQ104</f>
        <v>0</v>
      </c>
      <c r="BM104" s="11">
        <f>+COUNTIFS('muddati otgan'!C:C,A104,'muddati otgan'!J:J,"Tekshirish")</f>
        <v>0</v>
      </c>
      <c r="BN104" s="11">
        <f>+COUNTIFS('muddati otgan'!C:C,A104,'muddati otgan'!J:J,"Hujjatlarni tekshirish")</f>
        <v>0</v>
      </c>
      <c r="BO104" s="11">
        <f>+COUNTIFS('muddati otgan'!C:C,A104,'muddati otgan'!J:J,"Tasdiqlash")</f>
        <v>0</v>
      </c>
      <c r="BP104" s="11">
        <f>+COUNTIFS('muddati otgan'!C:C,A104,'muddati otgan'!J:J,"tekshirish/tasdiqlash")</f>
        <v>0</v>
      </c>
      <c r="BQ104" s="11">
        <f>+COUNTIFS('muddati otgan'!C:C,A104,'muddati otgan'!J:J,"Ma'lumotlarni tasdiqlash")</f>
        <v>0</v>
      </c>
      <c r="BR104" s="11">
        <f t="shared" ref="BR104" si="246">BS104+BU104+BV104+BW104+BX104+BY104-BT104</f>
        <v>0</v>
      </c>
      <c r="BS104" s="11">
        <f>+COUNTIFS('muddati otgan'!C:C,A104,'muddati otgan'!J:J,"Ro'yxatdan o'tkazish ma'lumotlarini tekshirish")</f>
        <v>0</v>
      </c>
      <c r="BT104" s="11">
        <f>+COUNTIFS('muddati otgan'!C:C,A104,'muddati otgan'!J:J,"Kamchiliklar bo'yicha habarnoma yuborish va 3 kunga to'xtatish")</f>
        <v>0</v>
      </c>
      <c r="BU104" s="11">
        <f>+COUNTIFS('muddati otgan'!C:C,A104,'muddati otgan'!J:J,"Hisobga olish")</f>
        <v>0</v>
      </c>
      <c r="BV104" s="11">
        <f>+COUNTIFS('muddati otgan'!C:C,A104,'muddati otgan'!J:J,"Yer uchastkasiga huquq yaratish")</f>
        <v>0</v>
      </c>
      <c r="BW104" s="11">
        <f>+COUNTIFS('muddati otgan'!C:C,A104,'muddati otgan'!J:J,"Bino-inshootga huquq yaratish")</f>
        <v>0</v>
      </c>
      <c r="BX104" s="11">
        <f>+COUNTIFS('muddati otgan'!C:C,A104,'muddati otgan'!J:J,"Cheklov yaratish")</f>
        <v>0</v>
      </c>
      <c r="BY104" s="11">
        <f>+COUNTIFS('muddati otgan'!C:C,A104,'muddati otgan'!J:J,"Taqiq yaratish")</f>
        <v>0</v>
      </c>
      <c r="BZ104" s="11">
        <f t="shared" ref="BZ104" si="247">CA104</f>
        <v>0</v>
      </c>
      <c r="CA104" s="11">
        <f>+COUNTIFS('muddati otgan'!C:C,A104,'muddati otgan'!J:J,"Soliq maydonini tekshirish")</f>
        <v>0</v>
      </c>
      <c r="CB104" s="11">
        <f t="shared" ref="CB104" si="248">CC104</f>
        <v>0</v>
      </c>
      <c r="CC104" s="11">
        <f>+COUNTIFS('muddati otgan'!C:C,A104,'muddati otgan'!J:J,"Kadastr yig'majildini shakllantirish")</f>
        <v>0</v>
      </c>
      <c r="CD104" s="11">
        <f t="shared" ref="CD104" si="249">CE104+CF104+CG104+CI104+CJ104+CH104</f>
        <v>0</v>
      </c>
      <c r="CE104" s="11">
        <f>+COUNTIFS('muddati otgan'!C:C,A104,'muddati otgan'!J:J,"Kadastr passportini shakllantirish")</f>
        <v>0</v>
      </c>
      <c r="CF104" s="11">
        <f>+COUNTIFS('muddati otgan'!C:C,A104,'muddati otgan'!J:J,"Yig'ma jildni tasdiqlash")</f>
        <v>0</v>
      </c>
      <c r="CG104" s="11">
        <f>+COUNTIFS('muddati otgan'!C:C,A104,'muddati otgan'!J:J,"To'lov yoki bepul tasdiqlash")</f>
        <v>0</v>
      </c>
      <c r="CH104" s="11">
        <f>+COUNTIFS('muddati otgan'!C:C,A104,'muddati otgan'!J:J,"Bog'liq arizani kutish")</f>
        <v>0</v>
      </c>
      <c r="CI104" s="11">
        <f>+COUNTIFS('muddati otgan'!C:C,A104,'muddati otgan'!J:J,"To'lovga chiqarish")</f>
        <v>0</v>
      </c>
      <c r="CJ104" s="11">
        <f>+COUNTIFS('muddati otgan'!C:C,A104,'muddati otgan'!J:J,"Hisobga qo'yish")</f>
        <v>0</v>
      </c>
      <c r="CK104" s="6">
        <f>+COUNTIFS('muddati otgan'!C:C,A104,'muddati otgan'!J:J,"To'lov kutilmoqda")</f>
        <v>0</v>
      </c>
      <c r="CL104" s="11">
        <f t="shared" ref="CL104" si="250">CM104+CN104+CO104+CP104+CQ104+CR104+CS104+CT104</f>
        <v>0</v>
      </c>
      <c r="CM104" s="11">
        <f>+COUNTIFS('muddati otgan'!C:C,A104,'muddati otgan'!AA:AA,"Arizani qabul qilish2")</f>
        <v>0</v>
      </c>
      <c r="CN104" s="11">
        <f>+COUNTIFS('muddati otgan'!C:C,A104,'muddati otgan'!J:J,"Huquqlarni tekshirish")</f>
        <v>0</v>
      </c>
      <c r="CO104" s="11">
        <f>+COUNTIFS('muddati otgan'!C:C,A104,'muddati otgan'!J:J,"Ko'chmas mulkni ro'yhatdan o'tkazishga qabul qilish")</f>
        <v>0</v>
      </c>
      <c r="CP104" s="11">
        <f>+COUNTIFS('muddati otgan'!C:C,A104,'muddati otgan'!J:J,"Ro'yxatdan o'tkazish")</f>
        <v>0</v>
      </c>
      <c r="CQ104" s="11">
        <f>+COUNTIFS('muddati otgan'!C:C,A104,'muddati otgan'!J:J,"Kadastr pasporti va ko'chirmani yuborish")</f>
        <v>0</v>
      </c>
      <c r="CR104" s="11">
        <f>+COUNTIFS('muddati otgan'!C:C,A104,'muddati otgan'!AA:AA,"Rad qilish2")</f>
        <v>0</v>
      </c>
      <c r="CS104" s="11">
        <f>+COUNTIFS('muddati otgan'!C:C,A104,'muddati otgan'!J:J,"Ko'chirmani yuborish")</f>
        <v>0</v>
      </c>
      <c r="CT104" s="11">
        <f>+COUNTIFS('muddati otgan'!C:C,A104,'muddati otgan'!J:J,"Ma‘lumotlarni tekshirish")</f>
        <v>0</v>
      </c>
      <c r="CU104" s="11">
        <f t="shared" ref="CU104" si="251">CV104</f>
        <v>0</v>
      </c>
      <c r="CV104" s="11">
        <f>+COUNTIFS('muddati otgan'!C:C,A104,'muddati otgan'!J:J,"Kadastr yig'majildini chop etish va arxiv ishiga tikish")</f>
        <v>0</v>
      </c>
      <c r="CW104" s="11">
        <f t="shared" ref="CW104" si="252">CX104+CY104</f>
        <v>0</v>
      </c>
      <c r="CX104" s="11">
        <f>+COUNTIFS('muddati otgan'!C:C,A104,'muddati otgan'!J:J,"Kadastr yig‘majildini qabul qilish, arizani yakunlash")</f>
        <v>0</v>
      </c>
      <c r="CY104" s="11">
        <f>+COUNTIFS('muddati otgan'!C:C,A104,'muddati otgan'!J:J,"Next Cloudga yuklash")</f>
        <v>0</v>
      </c>
      <c r="CZ104" s="6">
        <f>+COUNTIFS('muddati otgan'!C:C,A104,'muddati otgan'!J:J,"Kelishish kutilmoqda")</f>
        <v>0</v>
      </c>
      <c r="DA104" s="6">
        <f>+COUNTIFS('muddati otgan'!C:C,A104,'muddati otgan'!J:J,"Yakunlandi")</f>
        <v>0</v>
      </c>
      <c r="DB104" s="10">
        <f>+COUNTIFS('muddati otgan'!C:C,A104,'muddati otgan'!J:J,"Rad etildi")</f>
        <v>0</v>
      </c>
      <c r="DC104" s="100">
        <f t="shared" ref="DC104" si="253">CK104+CZ104+DA104+DB104-D104</f>
        <v>0</v>
      </c>
      <c r="DD104" s="44">
        <f>COUNTIFS('jami 1-20 kunlik arizalar'!C:C,A:A,'jami 1-20 kunlik arizalar'!S:S,"1")</f>
        <v>0</v>
      </c>
      <c r="DE104" s="11">
        <f>COUNTIFS('jami 1-20 kunlik arizalar'!C:C,A:A,'jami 1-20 kunlik arizalar'!S:S,"2")</f>
        <v>0</v>
      </c>
      <c r="DF104" s="11">
        <f>COUNTIFS('jami 1-20 kunlik arizalar'!C:C,A:A,'jami 1-20 kunlik arizalar'!S:S,"3")</f>
        <v>0</v>
      </c>
      <c r="DG104" s="11">
        <f>COUNTIFS('jami 1-20 kunlik arizalar'!C:C,A:A,'jami 1-20 kunlik arizalar'!S:S,"4")</f>
        <v>0</v>
      </c>
      <c r="DH104" s="11">
        <f>COUNTIFS('jami 1-20 kunlik arizalar'!C:C,A:A,'jami 1-20 kunlik arizalar'!S:S,"5")</f>
        <v>0</v>
      </c>
      <c r="DI104" s="11">
        <f>SUM(COUNTIFS('jami 1-20 kunlik arizalar'!C:C,A:A, 'jami 1-20 kunlik arizalar'!S:S, {6,7,8,9,10}))</f>
        <v>0</v>
      </c>
      <c r="DJ104" s="12">
        <f>SUM(COUNTIFS('jami 1-20 kunlik arizalar'!C:C,A:A, 'jami 1-20 kunlik arizalar'!S:S, "&gt;10"))</f>
        <v>0</v>
      </c>
    </row>
    <row r="105" spans="1:115" ht="32.1" hidden="1" customHeight="1" outlineLevel="1" x14ac:dyDescent="0.25">
      <c r="A105" s="92" t="s">
        <v>655</v>
      </c>
      <c r="B105" s="74"/>
      <c r="C105" s="85" t="s">
        <v>810</v>
      </c>
      <c r="D105" s="80">
        <f>+COUNTIFS('muddati otgan'!C:C,A105,'muddati otgan'!C:C,A105)</f>
        <v>0</v>
      </c>
      <c r="E105" s="10">
        <f>SUMIFS('muddati otgan'!$V:V,'muddati otgan'!$C:C,$A:A)</f>
        <v>0</v>
      </c>
      <c r="F105" s="10">
        <f>SUMIFS('muddati otgan'!$W:W,'muddati otgan'!$C:C,$A:A)</f>
        <v>0</v>
      </c>
      <c r="G105" s="24">
        <f>SUMIFS('muddati otgan'!$U:U,'muddati otgan'!$C:C,$A:A)</f>
        <v>0</v>
      </c>
      <c r="H105" s="11">
        <f>SUMIFS('muddati otgan'!$G:G,'muddati otgan'!$C:C,$A:A)</f>
        <v>0</v>
      </c>
      <c r="I105" s="12">
        <f>SUMIFS('muddati otgan'!$H:H,'muddati otgan'!$C:C,$A:A)</f>
        <v>0</v>
      </c>
      <c r="J105" s="44">
        <f t="shared" si="23"/>
        <v>0</v>
      </c>
      <c r="K105" s="11">
        <f>+COUNTIFS('muddati otgan'!C:C,A105,'muddati otgan'!AA:AA,"Arizani qabul qilish")</f>
        <v>0</v>
      </c>
      <c r="L105" s="11">
        <f>+COUNTIFS('muddati otgan'!C:C,A105,'muddati otgan'!J:J,"Arizani rad etish")</f>
        <v>0</v>
      </c>
      <c r="M105" s="11">
        <f>+COUNTIFS('muddati otgan'!C:C,A105,'muddati otgan'!J:J,"Arizani tasdiqlash")</f>
        <v>0</v>
      </c>
      <c r="N105" s="11">
        <f>+COUNTIFS('muddati otgan'!C:C,A105,'muddati otgan'!J:J,"Arizani yo'naltirish")</f>
        <v>0</v>
      </c>
      <c r="O105" s="11">
        <f>+COUNTIFS('muddati otgan'!C:C,A105,'muddati otgan'!J:J,"Rad qilish sababini o'rganish")</f>
        <v>0</v>
      </c>
      <c r="P105" s="11">
        <f>+COUNTIFS('muddati otgan'!C:C,A105,'muddati otgan'!J:J,"Ko'chmas mulkni UZKAD ga migratsiya qilish")</f>
        <v>0</v>
      </c>
      <c r="Q105" s="11">
        <f>+COUNTIFS('muddati otgan'!C:C,A105,'muddati otgan'!J:J,"Migratisya qilingan obyekt holatini tekshirish")</f>
        <v>0</v>
      </c>
      <c r="R105" s="11">
        <f>+COUNTIFS('muddati otgan'!C:C,A105,'muddati otgan'!J:J,"Ko‘chmas mulkni tanlash")</f>
        <v>0</v>
      </c>
      <c r="S105" s="11">
        <f>+COUNTIFS('muddati otgan'!C:C,A105,'muddati otgan'!J:J,"Arizani ko'rib chiqish")</f>
        <v>0</v>
      </c>
      <c r="T105" s="11">
        <f>+COUNTIFS('muddati otgan'!C:C,A105,'muddati otgan'!J:J,"Kadastr muhandisini tanlash")</f>
        <v>0</v>
      </c>
      <c r="U105" s="11">
        <f>+COUNTIFS('muddati otgan'!C:C,A105,'muddati otgan'!J:J,"Ko'chmas mulk turini tanlahsh")</f>
        <v>0</v>
      </c>
      <c r="V105" s="11">
        <f>+COUNTIFS('muddati otgan'!C:C,A105,'muddati otgan'!AA:AA,"Rad qilish")</f>
        <v>0</v>
      </c>
      <c r="W105" s="11">
        <f>+COUNTIFS('muddati otgan'!C:C,A105,'muddati otgan'!J:J,"ijrochi tanlash")</f>
        <v>0</v>
      </c>
      <c r="X105" s="11">
        <f>+COUNTIFS('muddati otgan'!C:C,A105,'muddati otgan'!J:J,"Ko'chmas mulk turini tanlash")</f>
        <v>0</v>
      </c>
      <c r="Y105" s="11">
        <f t="shared" si="24"/>
        <v>0</v>
      </c>
      <c r="Z105" s="11">
        <f>+COUNTIFS('muddati otgan'!C:C,A105,'muddati otgan'!J:J,"Ijroga qabul qilish")</f>
        <v>0</v>
      </c>
      <c r="AA105" s="11">
        <f>+COUNTIFS('muddati otgan'!C:C,A105,'muddati otgan'!J:J,"Joyida o'rganish va ma'lumotlarni kiritish")</f>
        <v>0</v>
      </c>
      <c r="AB105" s="11">
        <f>+COUNTIFS('muddati otgan'!C:C,A105,'muddati otgan'!J:J,"Asosiy qismdan ajratish jarayonida")</f>
        <v>0</v>
      </c>
      <c r="AC105" s="11">
        <f>+COUNTIFS('muddati otgan'!C:C,A105,'muddati otgan'!J:J,"Umumiy foydalanishdagi obyekt yaratilish")</f>
        <v>0</v>
      </c>
      <c r="AD105" s="11">
        <f>+COUNTIFS('muddati otgan'!C:C,A105,'muddati otgan'!J:J,"Migratsiya qilinadigan kadastr raqamini kiritish")</f>
        <v>0</v>
      </c>
      <c r="AE105" s="11">
        <f>+COUNTIFS('muddati otgan'!C:C,A105,'muddati otgan'!J:J,"O'zida qolgan obyektni yaratish")</f>
        <v>0</v>
      </c>
      <c r="AF105" s="11">
        <f>+COUNTIFS('muddati otgan'!C:C,A105,'muddati otgan'!J:J,"O'lchov natijalarini kiritish")</f>
        <v>0</v>
      </c>
      <c r="AG105" s="11">
        <f>+COUNTIFS('muddati otgan'!C:C,A105,'muddati otgan'!J:J,"Topoxaritani tayyorlash (dwg, pdf)")</f>
        <v>0</v>
      </c>
      <c r="AH105" s="11">
        <f t="shared" si="25"/>
        <v>0</v>
      </c>
      <c r="AI105" s="11">
        <f>+COUNTIFS('muddati otgan'!C:C,A105,'muddati otgan'!J:J,"Yer uchastkasini yaratish")</f>
        <v>0</v>
      </c>
      <c r="AJ105" s="11">
        <f t="shared" si="26"/>
        <v>0</v>
      </c>
      <c r="AK105" s="11">
        <f>+COUNTIFS('muddati otgan'!C:C,A105,'muddati otgan'!J:J,"Kelishish (Boshqarma)")</f>
        <v>0</v>
      </c>
      <c r="AL105" s="11">
        <f t="shared" si="27"/>
        <v>0</v>
      </c>
      <c r="AM105" s="11">
        <f>+COUNTIFS('muddati otgan'!C:C,A105,'muddati otgan'!J:J,"Kelishish (DKP)")</f>
        <v>0</v>
      </c>
      <c r="AN105" s="11">
        <f>+COUNTIFS('muddati otgan'!C:C,A105,'muddati otgan'!J:J,"Kelishish")</f>
        <v>0</v>
      </c>
      <c r="AO105" s="11">
        <f>+COUNTIFS('muddati otgan'!C:C,A105,'muddati otgan'!J:J,"Kelishish (Registratsiya DKP)")</f>
        <v>0</v>
      </c>
      <c r="AP105" s="11">
        <f t="shared" si="28"/>
        <v>0</v>
      </c>
      <c r="AQ105" s="11">
        <f>+COUNTIFS('muddati otgan'!C:C,A105,'muddati otgan'!J:J,"Manzil biriktirish")</f>
        <v>0</v>
      </c>
      <c r="AR105" s="11">
        <f>+COUNTIFS('muddati otgan'!C:C,A105,'muddati otgan'!J:J,"Bino va inshootlarni yaratish")</f>
        <v>0</v>
      </c>
      <c r="AS105" s="11">
        <f>+COUNTIFS('muddati otgan'!C:C,A105,'muddati otgan'!J:J,"Dov daraxtlarni yaratish")</f>
        <v>0</v>
      </c>
      <c r="AT105" s="11">
        <f>+COUNTIFS('muddati otgan'!C:C,A105,'muddati otgan'!J:J,"Yer uchastkasini tahrirlash")</f>
        <v>0</v>
      </c>
      <c r="AU105" s="11">
        <f t="shared" si="29"/>
        <v>0</v>
      </c>
      <c r="AV105" s="11">
        <f>+COUNTIFS('muddati otgan'!C:C,A105,'muddati otgan'!J:J,"Yer toifasi va maqsadini kiritish")</f>
        <v>0</v>
      </c>
      <c r="AW105" s="11">
        <f>+COUNTIFS('muddati otgan'!C:C,A105,'muddati otgan'!J:J,"Auksion yer tekshirish")</f>
        <v>0</v>
      </c>
      <c r="AX105" s="11">
        <f>+COUNTIFS('muddati otgan'!C:C,A105,'muddati otgan'!J:J,"Yer turlarini kiritish")</f>
        <v>0</v>
      </c>
      <c r="AY105" s="11">
        <f>+COUNTIFS('muddati otgan'!C:C,A105,'muddati otgan'!J:J,"Ma'lumotlarni kiritish")</f>
        <v>0</v>
      </c>
      <c r="AZ105" s="11">
        <f>+COUNTIFS('muddati otgan'!C:C,A105,'muddati otgan'!J:J,"Yer tekshirish")</f>
        <v>0</v>
      </c>
      <c r="BA105" s="11">
        <f t="shared" si="30"/>
        <v>0</v>
      </c>
      <c r="BB105" s="11">
        <f>+COUNTIFS('muddati otgan'!C:C,A105,'muddati otgan'!J:J,"Bino va inshoot ma'lumotlarini to‘ldirish")</f>
        <v>0</v>
      </c>
      <c r="BC105" s="11">
        <f>+COUNTIFS('muddati otgan'!C:C,A105,'muddati otgan'!J:J,"Inventarizatsiya ma'lumotlarini to‘ldirish")</f>
        <v>0</v>
      </c>
      <c r="BD105" s="11">
        <f>+COUNTIFS('muddati otgan'!C:C,A105,'muddati otgan'!J:J,"Yer uchastkasiga huquqiy hujjatlarni kiritsh")</f>
        <v>0</v>
      </c>
      <c r="BE105" s="11">
        <f>+COUNTIFS('muddati otgan'!C:C,A105,'muddati otgan'!J:J,"Bino-inshootlarga huquqiy hujjatlarni kiritsh")</f>
        <v>0</v>
      </c>
      <c r="BF105" s="11">
        <f>+COUNTIFS('muddati otgan'!C:C,A105,'muddati otgan'!J:J,"Kadastr qiymatini hisoblash va kiritish")</f>
        <v>0</v>
      </c>
      <c r="BG105" s="11">
        <f>+COUNTIFS('muddati otgan'!C:C,A105,'muddati otgan'!J:J,"Kadastr raqam biriktirish")</f>
        <v>0</v>
      </c>
      <c r="BH105" s="11">
        <f>+COUNTIFS('muddati otgan'!C:C,A105,'muddati otgan'!J:J,"Kadastr yig'ma jildni tayyorlash")</f>
        <v>0</v>
      </c>
      <c r="BI105" s="11">
        <f>+COUNTIFS('muddati otgan'!C:C,A105,'muddati otgan'!J:J,"Huquqni yaratish")</f>
        <v>0</v>
      </c>
      <c r="BJ105" s="11">
        <f>+COUNTIFS('muddati otgan'!C:C,A105,'muddati otgan'!J:J,"Hujjatlarni o'rganish")</f>
        <v>0</v>
      </c>
      <c r="BK105" s="11">
        <f>+COUNTIFS('muddati otgan'!C:C,A105,'muddati otgan'!J:J,"Ma'lumotlarni tekshirish")</f>
        <v>0</v>
      </c>
      <c r="BL105" s="11">
        <f t="shared" si="31"/>
        <v>0</v>
      </c>
      <c r="BM105" s="11">
        <f>+COUNTIFS('muddati otgan'!C:C,A105,'muddati otgan'!J:J,"Tekshirish")</f>
        <v>0</v>
      </c>
      <c r="BN105" s="11">
        <f>+COUNTIFS('muddati otgan'!C:C,A105,'muddati otgan'!J:J,"Hujjatlarni tekshirish")</f>
        <v>0</v>
      </c>
      <c r="BO105" s="11">
        <f>+COUNTIFS('muddati otgan'!C:C,A105,'muddati otgan'!J:J,"Tasdiqlash")</f>
        <v>0</v>
      </c>
      <c r="BP105" s="11">
        <f>+COUNTIFS('muddati otgan'!C:C,A105,'muddati otgan'!J:J,"tekshirish/tasdiqlash")</f>
        <v>0</v>
      </c>
      <c r="BQ105" s="11">
        <f>+COUNTIFS('muddati otgan'!C:C,A105,'muddati otgan'!J:J,"Ma'lumotlarni tasdiqlash")</f>
        <v>0</v>
      </c>
      <c r="BR105" s="11">
        <f t="shared" si="32"/>
        <v>0</v>
      </c>
      <c r="BS105" s="11">
        <f>+COUNTIFS('muddati otgan'!C:C,A105,'muddati otgan'!J:J,"Ro'yxatdan o'tkazish ma'lumotlarini tekshirish")</f>
        <v>0</v>
      </c>
      <c r="BT105" s="11">
        <f>+COUNTIFS('muddati otgan'!C:C,A105,'muddati otgan'!J:J,"Kamchiliklar bo'yicha habarnoma yuborish va 3 kunga to'xtatish")</f>
        <v>0</v>
      </c>
      <c r="BU105" s="11">
        <f>+COUNTIFS('muddati otgan'!C:C,A105,'muddati otgan'!J:J,"Hisobga olish")</f>
        <v>0</v>
      </c>
      <c r="BV105" s="11">
        <f>+COUNTIFS('muddati otgan'!C:C,A105,'muddati otgan'!J:J,"Yer uchastkasiga huquq yaratish")</f>
        <v>0</v>
      </c>
      <c r="BW105" s="11">
        <f>+COUNTIFS('muddati otgan'!C:C,A105,'muddati otgan'!J:J,"Bino-inshootga huquq yaratish")</f>
        <v>0</v>
      </c>
      <c r="BX105" s="11">
        <f>+COUNTIFS('muddati otgan'!C:C,A105,'muddati otgan'!J:J,"Cheklov yaratish")</f>
        <v>0</v>
      </c>
      <c r="BY105" s="11">
        <f>+COUNTIFS('muddati otgan'!C:C,A105,'muddati otgan'!J:J,"Taqiq yaratish")</f>
        <v>0</v>
      </c>
      <c r="BZ105" s="11">
        <f t="shared" si="33"/>
        <v>0</v>
      </c>
      <c r="CA105" s="11">
        <f>+COUNTIFS('muddati otgan'!C:C,A105,'muddati otgan'!J:J,"Soliq maydonini tekshirish")</f>
        <v>0</v>
      </c>
      <c r="CB105" s="11">
        <f t="shared" si="34"/>
        <v>0</v>
      </c>
      <c r="CC105" s="11">
        <f>+COUNTIFS('muddati otgan'!C:C,A105,'muddati otgan'!J:J,"Kadastr yig'majildini shakllantirish")</f>
        <v>0</v>
      </c>
      <c r="CD105" s="11">
        <f t="shared" si="35"/>
        <v>0</v>
      </c>
      <c r="CE105" s="11">
        <f>+COUNTIFS('muddati otgan'!C:C,A105,'muddati otgan'!J:J,"Kadastr passportini shakllantirish")</f>
        <v>0</v>
      </c>
      <c r="CF105" s="11">
        <f>+COUNTIFS('muddati otgan'!C:C,A105,'muddati otgan'!J:J,"Yig'ma jildni tasdiqlash")</f>
        <v>0</v>
      </c>
      <c r="CG105" s="11">
        <f>+COUNTIFS('muddati otgan'!C:C,A105,'muddati otgan'!J:J,"To'lov yoki bepul tasdiqlash")</f>
        <v>0</v>
      </c>
      <c r="CH105" s="11">
        <f>+COUNTIFS('muddati otgan'!C:C,A105,'muddati otgan'!J:J,"Bog'liq arizani kutish")</f>
        <v>0</v>
      </c>
      <c r="CI105" s="11">
        <f>+COUNTIFS('muddati otgan'!C:C,A105,'muddati otgan'!J:J,"To'lovga chiqarish")</f>
        <v>0</v>
      </c>
      <c r="CJ105" s="11">
        <f>+COUNTIFS('muddati otgan'!C:C,A105,'muddati otgan'!J:J,"Hisobga qo'yish")</f>
        <v>0</v>
      </c>
      <c r="CK105" s="6">
        <f>+COUNTIFS('muddati otgan'!C:C,A105,'muddati otgan'!J:J,"To'lov kutilmoqda")</f>
        <v>0</v>
      </c>
      <c r="CL105" s="11">
        <f t="shared" si="36"/>
        <v>0</v>
      </c>
      <c r="CM105" s="11">
        <f>+COUNTIFS('muddati otgan'!C:C,A105,'muddati otgan'!AA:AA,"Arizani qabul qilish2")</f>
        <v>0</v>
      </c>
      <c r="CN105" s="11">
        <f>+COUNTIFS('muddati otgan'!C:C,A105,'muddati otgan'!J:J,"Huquqlarni tekshirish")</f>
        <v>0</v>
      </c>
      <c r="CO105" s="11">
        <f>+COUNTIFS('muddati otgan'!C:C,A105,'muddati otgan'!J:J,"Ko'chmas mulkni ro'yhatdan o'tkazishga qabul qilish")</f>
        <v>0</v>
      </c>
      <c r="CP105" s="11">
        <f>+COUNTIFS('muddati otgan'!C:C,A105,'muddati otgan'!J:J,"Ro'yxatdan o'tkazish")</f>
        <v>0</v>
      </c>
      <c r="CQ105" s="11">
        <f>+COUNTIFS('muddati otgan'!C:C,A105,'muddati otgan'!J:J,"Kadastr pasporti va ko'chirmani yuborish")</f>
        <v>0</v>
      </c>
      <c r="CR105" s="11">
        <f>+COUNTIFS('muddati otgan'!C:C,A105,'muddati otgan'!AA:AA,"Rad qilish2")</f>
        <v>0</v>
      </c>
      <c r="CS105" s="11">
        <f>+COUNTIFS('muddati otgan'!C:C,A105,'muddati otgan'!J:J,"Ko'chirmani yuborish")</f>
        <v>0</v>
      </c>
      <c r="CT105" s="11">
        <f>+COUNTIFS('muddati otgan'!C:C,A105,'muddati otgan'!J:J,"Ma‘lumotlarni tekshirish")</f>
        <v>0</v>
      </c>
      <c r="CU105" s="11">
        <f t="shared" si="37"/>
        <v>0</v>
      </c>
      <c r="CV105" s="11">
        <f>+COUNTIFS('muddati otgan'!C:C,A105,'muddati otgan'!J:J,"Kadastr yig'majildini chop etish va arxiv ishiga tikish")</f>
        <v>0</v>
      </c>
      <c r="CW105" s="11">
        <f t="shared" si="38"/>
        <v>0</v>
      </c>
      <c r="CX105" s="11">
        <f>+COUNTIFS('muddati otgan'!C:C,A105,'muddati otgan'!J:J,"Kadastr yig‘majildini qabul qilish, arizani yakunlash")</f>
        <v>0</v>
      </c>
      <c r="CY105" s="11">
        <f>+COUNTIFS('muddati otgan'!C:C,A105,'muddati otgan'!J:J,"Next Cloudga yuklash")</f>
        <v>0</v>
      </c>
      <c r="CZ105" s="6">
        <f>+COUNTIFS('muddati otgan'!C:C,A105,'muddati otgan'!J:J,"Kelishish kutilmoqda")</f>
        <v>0</v>
      </c>
      <c r="DA105" s="6">
        <f>+COUNTIFS('muddati otgan'!C:C,A105,'muddati otgan'!J:J,"Yakunlandi")</f>
        <v>0</v>
      </c>
      <c r="DB105" s="10">
        <f>+COUNTIFS('muddati otgan'!C:C,A105,'muddati otgan'!J:J,"Rad etildi")</f>
        <v>0</v>
      </c>
      <c r="DC105" s="100">
        <f t="shared" si="5"/>
        <v>0</v>
      </c>
      <c r="DD105" s="44">
        <f>COUNTIFS('jami 1-20 kunlik arizalar'!C:C,A:A,'jami 1-20 kunlik arizalar'!S:S,"1")</f>
        <v>0</v>
      </c>
      <c r="DE105" s="11">
        <f>COUNTIFS('jami 1-20 kunlik arizalar'!C:C,A:A,'jami 1-20 kunlik arizalar'!S:S,"2")</f>
        <v>0</v>
      </c>
      <c r="DF105" s="11">
        <f>COUNTIFS('jami 1-20 kunlik arizalar'!C:C,A:A,'jami 1-20 kunlik arizalar'!S:S,"3")</f>
        <v>0</v>
      </c>
      <c r="DG105" s="11">
        <f>COUNTIFS('jami 1-20 kunlik arizalar'!C:C,A:A,'jami 1-20 kunlik arizalar'!S:S,"4")</f>
        <v>0</v>
      </c>
      <c r="DH105" s="11">
        <f>COUNTIFS('jami 1-20 kunlik arizalar'!C:C,A:A,'jami 1-20 kunlik arizalar'!S:S,"5")</f>
        <v>1</v>
      </c>
      <c r="DI105" s="11">
        <f>SUM(COUNTIFS('jami 1-20 kunlik arizalar'!C:C,A:A, 'jami 1-20 kunlik arizalar'!S:S, {6,7,8,9,10}))</f>
        <v>5</v>
      </c>
      <c r="DJ105" s="12">
        <f>SUM(COUNTIFS('jami 1-20 kunlik arizalar'!C:C,A:A, 'jami 1-20 kunlik arizalar'!S:S, "&gt;10"))</f>
        <v>0</v>
      </c>
    </row>
    <row r="106" spans="1:115" ht="32.1" hidden="1" customHeight="1" outlineLevel="1" x14ac:dyDescent="0.25">
      <c r="A106" s="92" t="s">
        <v>662</v>
      </c>
      <c r="B106" s="74"/>
      <c r="C106" s="85" t="s">
        <v>811</v>
      </c>
      <c r="D106" s="80">
        <f>+COUNTIFS('muddati otgan'!C:C,A106,'muddati otgan'!C:C,A106)</f>
        <v>0</v>
      </c>
      <c r="E106" s="10">
        <f>SUMIFS('muddati otgan'!$V:V,'muddati otgan'!$C:C,$A:A)</f>
        <v>0</v>
      </c>
      <c r="F106" s="10">
        <f>SUMIFS('muddati otgan'!$W:W,'muddati otgan'!$C:C,$A:A)</f>
        <v>0</v>
      </c>
      <c r="G106" s="24">
        <f>SUMIFS('muddati otgan'!$U:U,'muddati otgan'!$C:C,$A:A)</f>
        <v>0</v>
      </c>
      <c r="H106" s="11">
        <f>SUMIFS('muddati otgan'!$G:G,'muddati otgan'!$C:C,$A:A)</f>
        <v>0</v>
      </c>
      <c r="I106" s="12">
        <f>SUMIFS('muddati otgan'!$H:H,'muddati otgan'!$C:C,$A:A)</f>
        <v>0</v>
      </c>
      <c r="J106" s="44">
        <f t="shared" si="23"/>
        <v>0</v>
      </c>
      <c r="K106" s="11">
        <f>+COUNTIFS('muddati otgan'!C:C,A106,'muddati otgan'!AA:AA,"Arizani qabul qilish")</f>
        <v>0</v>
      </c>
      <c r="L106" s="11">
        <f>+COUNTIFS('muddati otgan'!C:C,A106,'muddati otgan'!J:J,"Arizani rad etish")</f>
        <v>0</v>
      </c>
      <c r="M106" s="11">
        <f>+COUNTIFS('muddati otgan'!C:C,A106,'muddati otgan'!J:J,"Arizani tasdiqlash")</f>
        <v>0</v>
      </c>
      <c r="N106" s="11">
        <f>+COUNTIFS('muddati otgan'!C:C,A106,'muddati otgan'!J:J,"Arizani yo'naltirish")</f>
        <v>0</v>
      </c>
      <c r="O106" s="11">
        <f>+COUNTIFS('muddati otgan'!C:C,A106,'muddati otgan'!J:J,"Rad qilish sababini o'rganish")</f>
        <v>0</v>
      </c>
      <c r="P106" s="11">
        <f>+COUNTIFS('muddati otgan'!C:C,A106,'muddati otgan'!J:J,"Ko'chmas mulkni UZKAD ga migratsiya qilish")</f>
        <v>0</v>
      </c>
      <c r="Q106" s="11">
        <f>+COUNTIFS('muddati otgan'!C:C,A106,'muddati otgan'!J:J,"Migratisya qilingan obyekt holatini tekshirish")</f>
        <v>0</v>
      </c>
      <c r="R106" s="11">
        <f>+COUNTIFS('muddati otgan'!C:C,A106,'muddati otgan'!J:J,"Ko‘chmas mulkni tanlash")</f>
        <v>0</v>
      </c>
      <c r="S106" s="11">
        <f>+COUNTIFS('muddati otgan'!C:C,A106,'muddati otgan'!J:J,"Arizani ko'rib chiqish")</f>
        <v>0</v>
      </c>
      <c r="T106" s="11">
        <f>+COUNTIFS('muddati otgan'!C:C,A106,'muddati otgan'!J:J,"Kadastr muhandisini tanlash")</f>
        <v>0</v>
      </c>
      <c r="U106" s="11">
        <f>+COUNTIFS('muddati otgan'!C:C,A106,'muddati otgan'!J:J,"Ko'chmas mulk turini tanlahsh")</f>
        <v>0</v>
      </c>
      <c r="V106" s="11">
        <f>+COUNTIFS('muddati otgan'!C:C,A106,'muddati otgan'!AA:AA,"Rad qilish")</f>
        <v>0</v>
      </c>
      <c r="W106" s="11">
        <f>+COUNTIFS('muddati otgan'!C:C,A106,'muddati otgan'!J:J,"ijrochi tanlash")</f>
        <v>0</v>
      </c>
      <c r="X106" s="11">
        <f>+COUNTIFS('muddati otgan'!C:C,A106,'muddati otgan'!J:J,"Ko'chmas mulk turini tanlash")</f>
        <v>0</v>
      </c>
      <c r="Y106" s="11">
        <f t="shared" si="24"/>
        <v>0</v>
      </c>
      <c r="Z106" s="11">
        <f>+COUNTIFS('muddati otgan'!C:C,A106,'muddati otgan'!J:J,"Ijroga qabul qilish")</f>
        <v>0</v>
      </c>
      <c r="AA106" s="11">
        <f>+COUNTIFS('muddati otgan'!C:C,A106,'muddati otgan'!J:J,"Joyida o'rganish va ma'lumotlarni kiritish")</f>
        <v>0</v>
      </c>
      <c r="AB106" s="11">
        <f>+COUNTIFS('muddati otgan'!C:C,A106,'muddati otgan'!J:J,"Asosiy qismdan ajratish jarayonida")</f>
        <v>0</v>
      </c>
      <c r="AC106" s="11">
        <f>+COUNTIFS('muddati otgan'!C:C,A106,'muddati otgan'!J:J,"Umumiy foydalanishdagi obyekt yaratilish")</f>
        <v>0</v>
      </c>
      <c r="AD106" s="11">
        <f>+COUNTIFS('muddati otgan'!C:C,A106,'muddati otgan'!J:J,"Migratsiya qilinadigan kadastr raqamini kiritish")</f>
        <v>0</v>
      </c>
      <c r="AE106" s="11">
        <f>+COUNTIFS('muddati otgan'!C:C,A106,'muddati otgan'!J:J,"O'zida qolgan obyektni yaratish")</f>
        <v>0</v>
      </c>
      <c r="AF106" s="11">
        <f>+COUNTIFS('muddati otgan'!C:C,A106,'muddati otgan'!J:J,"O'lchov natijalarini kiritish")</f>
        <v>0</v>
      </c>
      <c r="AG106" s="11">
        <f>+COUNTIFS('muddati otgan'!C:C,A106,'muddati otgan'!J:J,"Topoxaritani tayyorlash (dwg, pdf)")</f>
        <v>0</v>
      </c>
      <c r="AH106" s="11">
        <f t="shared" si="25"/>
        <v>0</v>
      </c>
      <c r="AI106" s="11">
        <f>+COUNTIFS('muddati otgan'!C:C,A106,'muddati otgan'!J:J,"Yer uchastkasini yaratish")</f>
        <v>0</v>
      </c>
      <c r="AJ106" s="11">
        <f t="shared" si="26"/>
        <v>0</v>
      </c>
      <c r="AK106" s="11">
        <f>+COUNTIFS('muddati otgan'!C:C,A106,'muddati otgan'!J:J,"Kelishish (Boshqarma)")</f>
        <v>0</v>
      </c>
      <c r="AL106" s="11">
        <f t="shared" si="27"/>
        <v>0</v>
      </c>
      <c r="AM106" s="11">
        <f>+COUNTIFS('muddati otgan'!C:C,A106,'muddati otgan'!J:J,"Kelishish (DKP)")</f>
        <v>0</v>
      </c>
      <c r="AN106" s="11">
        <f>+COUNTIFS('muddati otgan'!C:C,A106,'muddati otgan'!J:J,"Kelishish")</f>
        <v>0</v>
      </c>
      <c r="AO106" s="11">
        <f>+COUNTIFS('muddati otgan'!C:C,A106,'muddati otgan'!J:J,"Kelishish (Registratsiya DKP)")</f>
        <v>0</v>
      </c>
      <c r="AP106" s="11">
        <f t="shared" si="28"/>
        <v>0</v>
      </c>
      <c r="AQ106" s="11">
        <f>+COUNTIFS('muddati otgan'!C:C,A106,'muddati otgan'!J:J,"Manzil biriktirish")</f>
        <v>0</v>
      </c>
      <c r="AR106" s="11">
        <f>+COUNTIFS('muddati otgan'!C:C,A106,'muddati otgan'!J:J,"Bino va inshootlarni yaratish")</f>
        <v>0</v>
      </c>
      <c r="AS106" s="11">
        <f>+COUNTIFS('muddati otgan'!C:C,A106,'muddati otgan'!J:J,"Dov daraxtlarni yaratish")</f>
        <v>0</v>
      </c>
      <c r="AT106" s="11">
        <f>+COUNTIFS('muddati otgan'!C:C,A106,'muddati otgan'!J:J,"Yer uchastkasini tahrirlash")</f>
        <v>0</v>
      </c>
      <c r="AU106" s="11">
        <f t="shared" si="29"/>
        <v>0</v>
      </c>
      <c r="AV106" s="11">
        <f>+COUNTIFS('muddati otgan'!C:C,A106,'muddati otgan'!J:J,"Yer toifasi va maqsadini kiritish")</f>
        <v>0</v>
      </c>
      <c r="AW106" s="11">
        <f>+COUNTIFS('muddati otgan'!C:C,A106,'muddati otgan'!J:J,"Auksion yer tekshirish")</f>
        <v>0</v>
      </c>
      <c r="AX106" s="11">
        <f>+COUNTIFS('muddati otgan'!C:C,A106,'muddati otgan'!J:J,"Yer turlarini kiritish")</f>
        <v>0</v>
      </c>
      <c r="AY106" s="11">
        <f>+COUNTIFS('muddati otgan'!C:C,A106,'muddati otgan'!J:J,"Ma'lumotlarni kiritish")</f>
        <v>0</v>
      </c>
      <c r="AZ106" s="11">
        <f>+COUNTIFS('muddati otgan'!C:C,A106,'muddati otgan'!J:J,"Yer tekshirish")</f>
        <v>0</v>
      </c>
      <c r="BA106" s="11">
        <f t="shared" si="30"/>
        <v>0</v>
      </c>
      <c r="BB106" s="11">
        <f>+COUNTIFS('muddati otgan'!C:C,A106,'muddati otgan'!J:J,"Bino va inshoot ma'lumotlarini to‘ldirish")</f>
        <v>0</v>
      </c>
      <c r="BC106" s="11">
        <f>+COUNTIFS('muddati otgan'!C:C,A106,'muddati otgan'!J:J,"Inventarizatsiya ma'lumotlarini to‘ldirish")</f>
        <v>0</v>
      </c>
      <c r="BD106" s="11">
        <f>+COUNTIFS('muddati otgan'!C:C,A106,'muddati otgan'!J:J,"Yer uchastkasiga huquqiy hujjatlarni kiritsh")</f>
        <v>0</v>
      </c>
      <c r="BE106" s="11">
        <f>+COUNTIFS('muddati otgan'!C:C,A106,'muddati otgan'!J:J,"Bino-inshootlarga huquqiy hujjatlarni kiritsh")</f>
        <v>0</v>
      </c>
      <c r="BF106" s="11">
        <f>+COUNTIFS('muddati otgan'!C:C,A106,'muddati otgan'!J:J,"Kadastr qiymatini hisoblash va kiritish")</f>
        <v>0</v>
      </c>
      <c r="BG106" s="11">
        <f>+COUNTIFS('muddati otgan'!C:C,A106,'muddati otgan'!J:J,"Kadastr raqam biriktirish")</f>
        <v>0</v>
      </c>
      <c r="BH106" s="11">
        <f>+COUNTIFS('muddati otgan'!C:C,A106,'muddati otgan'!J:J,"Kadastr yig'ma jildni tayyorlash")</f>
        <v>0</v>
      </c>
      <c r="BI106" s="11">
        <f>+COUNTIFS('muddati otgan'!C:C,A106,'muddati otgan'!J:J,"Huquqni yaratish")</f>
        <v>0</v>
      </c>
      <c r="BJ106" s="11">
        <f>+COUNTIFS('muddati otgan'!C:C,A106,'muddati otgan'!J:J,"Hujjatlarni o'rganish")</f>
        <v>0</v>
      </c>
      <c r="BK106" s="11">
        <f>+COUNTIFS('muddati otgan'!C:C,A106,'muddati otgan'!J:J,"Ma'lumotlarni tekshirish")</f>
        <v>0</v>
      </c>
      <c r="BL106" s="11">
        <f t="shared" si="31"/>
        <v>0</v>
      </c>
      <c r="BM106" s="11">
        <f>+COUNTIFS('muddati otgan'!C:C,A106,'muddati otgan'!J:J,"Tekshirish")</f>
        <v>0</v>
      </c>
      <c r="BN106" s="11">
        <f>+COUNTIFS('muddati otgan'!C:C,A106,'muddati otgan'!J:J,"Hujjatlarni tekshirish")</f>
        <v>0</v>
      </c>
      <c r="BO106" s="11">
        <f>+COUNTIFS('muddati otgan'!C:C,A106,'muddati otgan'!J:J,"Tasdiqlash")</f>
        <v>0</v>
      </c>
      <c r="BP106" s="11">
        <f>+COUNTIFS('muddati otgan'!C:C,A106,'muddati otgan'!J:J,"tekshirish/tasdiqlash")</f>
        <v>0</v>
      </c>
      <c r="BQ106" s="11">
        <f>+COUNTIFS('muddati otgan'!C:C,A106,'muddati otgan'!J:J,"Ma'lumotlarni tasdiqlash")</f>
        <v>0</v>
      </c>
      <c r="BR106" s="11">
        <f t="shared" si="32"/>
        <v>0</v>
      </c>
      <c r="BS106" s="11">
        <f>+COUNTIFS('muddati otgan'!C:C,A106,'muddati otgan'!J:J,"Ro'yxatdan o'tkazish ma'lumotlarini tekshirish")</f>
        <v>0</v>
      </c>
      <c r="BT106" s="11">
        <f>+COUNTIFS('muddati otgan'!C:C,A106,'muddati otgan'!J:J,"Kamchiliklar bo'yicha habarnoma yuborish va 3 kunga to'xtatish")</f>
        <v>0</v>
      </c>
      <c r="BU106" s="11">
        <f>+COUNTIFS('muddati otgan'!C:C,A106,'muddati otgan'!J:J,"Hisobga olish")</f>
        <v>0</v>
      </c>
      <c r="BV106" s="11">
        <f>+COUNTIFS('muddati otgan'!C:C,A106,'muddati otgan'!J:J,"Yer uchastkasiga huquq yaratish")</f>
        <v>0</v>
      </c>
      <c r="BW106" s="11">
        <f>+COUNTIFS('muddati otgan'!C:C,A106,'muddati otgan'!J:J,"Bino-inshootga huquq yaratish")</f>
        <v>0</v>
      </c>
      <c r="BX106" s="11">
        <f>+COUNTIFS('muddati otgan'!C:C,A106,'muddati otgan'!J:J,"Cheklov yaratish")</f>
        <v>0</v>
      </c>
      <c r="BY106" s="11">
        <f>+COUNTIFS('muddati otgan'!C:C,A106,'muddati otgan'!J:J,"Taqiq yaratish")</f>
        <v>0</v>
      </c>
      <c r="BZ106" s="11">
        <f t="shared" si="33"/>
        <v>0</v>
      </c>
      <c r="CA106" s="11">
        <f>+COUNTIFS('muddati otgan'!C:C,A106,'muddati otgan'!J:J,"Soliq maydonini tekshirish")</f>
        <v>0</v>
      </c>
      <c r="CB106" s="11">
        <f t="shared" si="34"/>
        <v>0</v>
      </c>
      <c r="CC106" s="11">
        <f>+COUNTIFS('muddati otgan'!C:C,A106,'muddati otgan'!J:J,"Kadastr yig'majildini shakllantirish")</f>
        <v>0</v>
      </c>
      <c r="CD106" s="11">
        <f t="shared" si="35"/>
        <v>0</v>
      </c>
      <c r="CE106" s="11">
        <f>+COUNTIFS('muddati otgan'!C:C,A106,'muddati otgan'!J:J,"Kadastr passportini shakllantirish")</f>
        <v>0</v>
      </c>
      <c r="CF106" s="11">
        <f>+COUNTIFS('muddati otgan'!C:C,A106,'muddati otgan'!J:J,"Yig'ma jildni tasdiqlash")</f>
        <v>0</v>
      </c>
      <c r="CG106" s="11">
        <f>+COUNTIFS('muddati otgan'!C:C,A106,'muddati otgan'!J:J,"To'lov yoki bepul tasdiqlash")</f>
        <v>0</v>
      </c>
      <c r="CH106" s="11">
        <f>+COUNTIFS('muddati otgan'!C:C,A106,'muddati otgan'!J:J,"Bog'liq arizani kutish")</f>
        <v>0</v>
      </c>
      <c r="CI106" s="11">
        <f>+COUNTIFS('muddati otgan'!C:C,A106,'muddati otgan'!J:J,"To'lovga chiqarish")</f>
        <v>0</v>
      </c>
      <c r="CJ106" s="11">
        <f>+COUNTIFS('muddati otgan'!C:C,A106,'muddati otgan'!J:J,"Hisobga qo'yish")</f>
        <v>0</v>
      </c>
      <c r="CK106" s="6">
        <f>+COUNTIFS('muddati otgan'!C:C,A106,'muddati otgan'!J:J,"To'lov kutilmoqda")</f>
        <v>0</v>
      </c>
      <c r="CL106" s="11">
        <f t="shared" si="36"/>
        <v>0</v>
      </c>
      <c r="CM106" s="11">
        <f>+COUNTIFS('muddati otgan'!C:C,A106,'muddati otgan'!AA:AA,"Arizani qabul qilish2")</f>
        <v>0</v>
      </c>
      <c r="CN106" s="11">
        <f>+COUNTIFS('muddati otgan'!C:C,A106,'muddati otgan'!J:J,"Huquqlarni tekshirish")</f>
        <v>0</v>
      </c>
      <c r="CO106" s="11">
        <f>+COUNTIFS('muddati otgan'!C:C,A106,'muddati otgan'!J:J,"Ko'chmas mulkni ro'yhatdan o'tkazishga qabul qilish")</f>
        <v>0</v>
      </c>
      <c r="CP106" s="11">
        <f>+COUNTIFS('muddati otgan'!C:C,A106,'muddati otgan'!J:J,"Ro'yxatdan o'tkazish")</f>
        <v>0</v>
      </c>
      <c r="CQ106" s="11">
        <f>+COUNTIFS('muddati otgan'!C:C,A106,'muddati otgan'!J:J,"Kadastr pasporti va ko'chirmani yuborish")</f>
        <v>0</v>
      </c>
      <c r="CR106" s="11">
        <f>+COUNTIFS('muddati otgan'!C:C,A106,'muddati otgan'!AA:AA,"Rad qilish2")</f>
        <v>0</v>
      </c>
      <c r="CS106" s="11">
        <f>+COUNTIFS('muddati otgan'!C:C,A106,'muddati otgan'!J:J,"Ko'chirmani yuborish")</f>
        <v>0</v>
      </c>
      <c r="CT106" s="11">
        <f>+COUNTIFS('muddati otgan'!C:C,A106,'muddati otgan'!J:J,"Ma‘lumotlarni tekshirish")</f>
        <v>0</v>
      </c>
      <c r="CU106" s="11">
        <f t="shared" si="37"/>
        <v>0</v>
      </c>
      <c r="CV106" s="11">
        <f>+COUNTIFS('muddati otgan'!C:C,A106,'muddati otgan'!J:J,"Kadastr yig'majildini chop etish va arxiv ishiga tikish")</f>
        <v>0</v>
      </c>
      <c r="CW106" s="11">
        <f t="shared" si="38"/>
        <v>0</v>
      </c>
      <c r="CX106" s="11">
        <f>+COUNTIFS('muddati otgan'!C:C,A106,'muddati otgan'!J:J,"Kadastr yig‘majildini qabul qilish, arizani yakunlash")</f>
        <v>0</v>
      </c>
      <c r="CY106" s="11">
        <f>+COUNTIFS('muddati otgan'!C:C,A106,'muddati otgan'!J:J,"Next Cloudga yuklash")</f>
        <v>0</v>
      </c>
      <c r="CZ106" s="6">
        <f>+COUNTIFS('muddati otgan'!C:C,A106,'muddati otgan'!J:J,"Kelishish kutilmoqda")</f>
        <v>0</v>
      </c>
      <c r="DA106" s="6">
        <f>+COUNTIFS('muddati otgan'!C:C,A106,'muddati otgan'!J:J,"Yakunlandi")</f>
        <v>0</v>
      </c>
      <c r="DB106" s="10">
        <f>+COUNTIFS('muddati otgan'!C:C,A106,'muddati otgan'!J:J,"Rad etildi")</f>
        <v>0</v>
      </c>
      <c r="DC106" s="100">
        <f t="shared" si="5"/>
        <v>0</v>
      </c>
      <c r="DD106" s="44">
        <f>COUNTIFS('jami 1-20 kunlik arizalar'!C:C,A:A,'jami 1-20 kunlik arizalar'!S:S,"1")</f>
        <v>0</v>
      </c>
      <c r="DE106" s="11">
        <f>COUNTIFS('jami 1-20 kunlik arizalar'!C:C,A:A,'jami 1-20 kunlik arizalar'!S:S,"2")</f>
        <v>0</v>
      </c>
      <c r="DF106" s="11">
        <f>COUNTIFS('jami 1-20 kunlik arizalar'!C:C,A:A,'jami 1-20 kunlik arizalar'!S:S,"3")</f>
        <v>0</v>
      </c>
      <c r="DG106" s="11">
        <f>COUNTIFS('jami 1-20 kunlik arizalar'!C:C,A:A,'jami 1-20 kunlik arizalar'!S:S,"4")</f>
        <v>0</v>
      </c>
      <c r="DH106" s="11">
        <f>COUNTIFS('jami 1-20 kunlik arizalar'!C:C,A:A,'jami 1-20 kunlik arizalar'!S:S,"5")</f>
        <v>0</v>
      </c>
      <c r="DI106" s="11">
        <f>SUM(COUNTIFS('jami 1-20 kunlik arizalar'!C:C,A:A, 'jami 1-20 kunlik arizalar'!S:S, {6,7,8,9,10}))</f>
        <v>2</v>
      </c>
      <c r="DJ106" s="12">
        <f>SUM(COUNTIFS('jami 1-20 kunlik arizalar'!C:C,A:A, 'jami 1-20 kunlik arizalar'!S:S, "&gt;10"))</f>
        <v>0</v>
      </c>
    </row>
    <row r="107" spans="1:115" ht="32.1" hidden="1" customHeight="1" outlineLevel="1" x14ac:dyDescent="0.25">
      <c r="A107" s="92" t="s">
        <v>666</v>
      </c>
      <c r="B107" s="74"/>
      <c r="C107" s="85" t="s">
        <v>812</v>
      </c>
      <c r="D107" s="80">
        <f>+COUNTIFS('muddati otgan'!C:C,A107,'muddati otgan'!C:C,A107)</f>
        <v>1</v>
      </c>
      <c r="E107" s="10">
        <f>SUMIFS('muddati otgan'!$V:V,'muddati otgan'!$C:C,$A:A)</f>
        <v>1</v>
      </c>
      <c r="F107" s="10">
        <f>SUMIFS('muddati otgan'!$W:W,'muddati otgan'!$C:C,$A:A)</f>
        <v>0</v>
      </c>
      <c r="G107" s="24">
        <f>SUMIFS('muddati otgan'!$U:U,'muddati otgan'!$C:C,$A:A)</f>
        <v>0</v>
      </c>
      <c r="H107" s="11">
        <f>SUMIFS('muddati otgan'!$G:G,'muddati otgan'!$C:C,$A:A)</f>
        <v>1</v>
      </c>
      <c r="I107" s="12">
        <f>SUMIFS('muddati otgan'!$H:H,'muddati otgan'!$C:C,$A:A)</f>
        <v>0</v>
      </c>
      <c r="J107" s="44">
        <f t="shared" si="23"/>
        <v>0</v>
      </c>
      <c r="K107" s="11">
        <f>+COUNTIFS('muddati otgan'!C:C,A107,'muddati otgan'!AA:AA,"Arizani qabul qilish")</f>
        <v>0</v>
      </c>
      <c r="L107" s="11">
        <f>+COUNTIFS('muddati otgan'!C:C,A107,'muddati otgan'!J:J,"Arizani rad etish")</f>
        <v>0</v>
      </c>
      <c r="M107" s="11">
        <f>+COUNTIFS('muddati otgan'!C:C,A107,'muddati otgan'!J:J,"Arizani tasdiqlash")</f>
        <v>0</v>
      </c>
      <c r="N107" s="11">
        <f>+COUNTIFS('muddati otgan'!C:C,A107,'muddati otgan'!J:J,"Arizani yo'naltirish")</f>
        <v>0</v>
      </c>
      <c r="O107" s="11">
        <f>+COUNTIFS('muddati otgan'!C:C,A107,'muddati otgan'!J:J,"Rad qilish sababini o'rganish")</f>
        <v>0</v>
      </c>
      <c r="P107" s="11">
        <f>+COUNTIFS('muddati otgan'!C:C,A107,'muddati otgan'!J:J,"Ko'chmas mulkni UZKAD ga migratsiya qilish")</f>
        <v>0</v>
      </c>
      <c r="Q107" s="11">
        <f>+COUNTIFS('muddati otgan'!C:C,A107,'muddati otgan'!J:J,"Migratisya qilingan obyekt holatini tekshirish")</f>
        <v>0</v>
      </c>
      <c r="R107" s="11">
        <f>+COUNTIFS('muddati otgan'!C:C,A107,'muddati otgan'!J:J,"Ko‘chmas mulkni tanlash")</f>
        <v>0</v>
      </c>
      <c r="S107" s="11">
        <f>+COUNTIFS('muddati otgan'!C:C,A107,'muddati otgan'!J:J,"Arizani ko'rib chiqish")</f>
        <v>0</v>
      </c>
      <c r="T107" s="11">
        <f>+COUNTIFS('muddati otgan'!C:C,A107,'muddati otgan'!J:J,"Kadastr muhandisini tanlash")</f>
        <v>0</v>
      </c>
      <c r="U107" s="11">
        <f>+COUNTIFS('muddati otgan'!C:C,A107,'muddati otgan'!J:J,"Ko'chmas mulk turini tanlahsh")</f>
        <v>0</v>
      </c>
      <c r="V107" s="11">
        <f>+COUNTIFS('muddati otgan'!C:C,A107,'muddati otgan'!AA:AA,"Rad qilish")</f>
        <v>0</v>
      </c>
      <c r="W107" s="11">
        <f>+COUNTIFS('muddati otgan'!C:C,A107,'muddati otgan'!J:J,"ijrochi tanlash")</f>
        <v>0</v>
      </c>
      <c r="X107" s="11">
        <f>+COUNTIFS('muddati otgan'!C:C,A107,'muddati otgan'!J:J,"Ko'chmas mulk turini tanlash")</f>
        <v>0</v>
      </c>
      <c r="Y107" s="11">
        <f t="shared" si="24"/>
        <v>0</v>
      </c>
      <c r="Z107" s="11">
        <f>+COUNTIFS('muddati otgan'!C:C,A107,'muddati otgan'!J:J,"Ijroga qabul qilish")</f>
        <v>0</v>
      </c>
      <c r="AA107" s="11">
        <f>+COUNTIFS('muddati otgan'!C:C,A107,'muddati otgan'!J:J,"Joyida o'rganish va ma'lumotlarni kiritish")</f>
        <v>0</v>
      </c>
      <c r="AB107" s="11">
        <f>+COUNTIFS('muddati otgan'!C:C,A107,'muddati otgan'!J:J,"Asosiy qismdan ajratish jarayonida")</f>
        <v>0</v>
      </c>
      <c r="AC107" s="11">
        <f>+COUNTIFS('muddati otgan'!C:C,A107,'muddati otgan'!J:J,"Umumiy foydalanishdagi obyekt yaratilish")</f>
        <v>0</v>
      </c>
      <c r="AD107" s="11">
        <f>+COUNTIFS('muddati otgan'!C:C,A107,'muddati otgan'!J:J,"Migratsiya qilinadigan kadastr raqamini kiritish")</f>
        <v>0</v>
      </c>
      <c r="AE107" s="11">
        <f>+COUNTIFS('muddati otgan'!C:C,A107,'muddati otgan'!J:J,"O'zida qolgan obyektni yaratish")</f>
        <v>0</v>
      </c>
      <c r="AF107" s="11">
        <f>+COUNTIFS('muddati otgan'!C:C,A107,'muddati otgan'!J:J,"O'lchov natijalarini kiritish")</f>
        <v>0</v>
      </c>
      <c r="AG107" s="11">
        <f>+COUNTIFS('muddati otgan'!C:C,A107,'muddati otgan'!J:J,"Topoxaritani tayyorlash (dwg, pdf)")</f>
        <v>0</v>
      </c>
      <c r="AH107" s="11">
        <f t="shared" si="25"/>
        <v>0</v>
      </c>
      <c r="AI107" s="11">
        <f>+COUNTIFS('muddati otgan'!C:C,A107,'muddati otgan'!J:J,"Yer uchastkasini yaratish")</f>
        <v>0</v>
      </c>
      <c r="AJ107" s="11">
        <f t="shared" si="26"/>
        <v>0</v>
      </c>
      <c r="AK107" s="11">
        <f>+COUNTIFS('muddati otgan'!C:C,A107,'muddati otgan'!J:J,"Kelishish (Boshqarma)")</f>
        <v>0</v>
      </c>
      <c r="AL107" s="11">
        <f t="shared" si="27"/>
        <v>0</v>
      </c>
      <c r="AM107" s="11">
        <f>+COUNTIFS('muddati otgan'!C:C,A107,'muddati otgan'!J:J,"Kelishish (DKP)")</f>
        <v>0</v>
      </c>
      <c r="AN107" s="11">
        <f>+COUNTIFS('muddati otgan'!C:C,A107,'muddati otgan'!J:J,"Kelishish")</f>
        <v>0</v>
      </c>
      <c r="AO107" s="11">
        <f>+COUNTIFS('muddati otgan'!C:C,A107,'muddati otgan'!J:J,"Kelishish (Registratsiya DKP)")</f>
        <v>0</v>
      </c>
      <c r="AP107" s="11">
        <f t="shared" si="28"/>
        <v>0</v>
      </c>
      <c r="AQ107" s="11">
        <f>+COUNTIFS('muddati otgan'!C:C,A107,'muddati otgan'!J:J,"Manzil biriktirish")</f>
        <v>0</v>
      </c>
      <c r="AR107" s="11">
        <f>+COUNTIFS('muddati otgan'!C:C,A107,'muddati otgan'!J:J,"Bino va inshootlarni yaratish")</f>
        <v>0</v>
      </c>
      <c r="AS107" s="11">
        <f>+COUNTIFS('muddati otgan'!C:C,A107,'muddati otgan'!J:J,"Dov daraxtlarni yaratish")</f>
        <v>0</v>
      </c>
      <c r="AT107" s="11">
        <f>+COUNTIFS('muddati otgan'!C:C,A107,'muddati otgan'!J:J,"Yer uchastkasini tahrirlash")</f>
        <v>0</v>
      </c>
      <c r="AU107" s="11">
        <f t="shared" si="29"/>
        <v>0</v>
      </c>
      <c r="AV107" s="11">
        <f>+COUNTIFS('muddati otgan'!C:C,A107,'muddati otgan'!J:J,"Yer toifasi va maqsadini kiritish")</f>
        <v>0</v>
      </c>
      <c r="AW107" s="11">
        <f>+COUNTIFS('muddati otgan'!C:C,A107,'muddati otgan'!J:J,"Auksion yer tekshirish")</f>
        <v>0</v>
      </c>
      <c r="AX107" s="11">
        <f>+COUNTIFS('muddati otgan'!C:C,A107,'muddati otgan'!J:J,"Yer turlarini kiritish")</f>
        <v>0</v>
      </c>
      <c r="AY107" s="11">
        <f>+COUNTIFS('muddati otgan'!C:C,A107,'muddati otgan'!J:J,"Ma'lumotlarni kiritish")</f>
        <v>0</v>
      </c>
      <c r="AZ107" s="11">
        <f>+COUNTIFS('muddati otgan'!C:C,A107,'muddati otgan'!J:J,"Yer tekshirish")</f>
        <v>0</v>
      </c>
      <c r="BA107" s="11">
        <f t="shared" si="30"/>
        <v>0</v>
      </c>
      <c r="BB107" s="11">
        <f>+COUNTIFS('muddati otgan'!C:C,A107,'muddati otgan'!J:J,"Bino va inshoot ma'lumotlarini to‘ldirish")</f>
        <v>0</v>
      </c>
      <c r="BC107" s="11">
        <f>+COUNTIFS('muddati otgan'!C:C,A107,'muddati otgan'!J:J,"Inventarizatsiya ma'lumotlarini to‘ldirish")</f>
        <v>0</v>
      </c>
      <c r="BD107" s="11">
        <f>+COUNTIFS('muddati otgan'!C:C,A107,'muddati otgan'!J:J,"Yer uchastkasiga huquqiy hujjatlarni kiritsh")</f>
        <v>0</v>
      </c>
      <c r="BE107" s="11">
        <f>+COUNTIFS('muddati otgan'!C:C,A107,'muddati otgan'!J:J,"Bino-inshootlarga huquqiy hujjatlarni kiritsh")</f>
        <v>0</v>
      </c>
      <c r="BF107" s="11">
        <f>+COUNTIFS('muddati otgan'!C:C,A107,'muddati otgan'!J:J,"Kadastr qiymatini hisoblash va kiritish")</f>
        <v>0</v>
      </c>
      <c r="BG107" s="11">
        <f>+COUNTIFS('muddati otgan'!C:C,A107,'muddati otgan'!J:J,"Kadastr raqam biriktirish")</f>
        <v>0</v>
      </c>
      <c r="BH107" s="11">
        <f>+COUNTIFS('muddati otgan'!C:C,A107,'muddati otgan'!J:J,"Kadastr yig'ma jildni tayyorlash")</f>
        <v>0</v>
      </c>
      <c r="BI107" s="11">
        <f>+COUNTIFS('muddati otgan'!C:C,A107,'muddati otgan'!J:J,"Huquqni yaratish")</f>
        <v>0</v>
      </c>
      <c r="BJ107" s="11">
        <f>+COUNTIFS('muddati otgan'!C:C,A107,'muddati otgan'!J:J,"Hujjatlarni o'rganish")</f>
        <v>0</v>
      </c>
      <c r="BK107" s="11">
        <f>+COUNTIFS('muddati otgan'!C:C,A107,'muddati otgan'!J:J,"Ma'lumotlarni tekshirish")</f>
        <v>0</v>
      </c>
      <c r="BL107" s="11">
        <f t="shared" si="31"/>
        <v>0</v>
      </c>
      <c r="BM107" s="11">
        <f>+COUNTIFS('muddati otgan'!C:C,A107,'muddati otgan'!J:J,"Tekshirish")</f>
        <v>0</v>
      </c>
      <c r="BN107" s="11">
        <f>+COUNTIFS('muddati otgan'!C:C,A107,'muddati otgan'!J:J,"Hujjatlarni tekshirish")</f>
        <v>0</v>
      </c>
      <c r="BO107" s="11">
        <f>+COUNTIFS('muddati otgan'!C:C,A107,'muddati otgan'!J:J,"Tasdiqlash")</f>
        <v>0</v>
      </c>
      <c r="BP107" s="11">
        <f>+COUNTIFS('muddati otgan'!C:C,A107,'muddati otgan'!J:J,"tekshirish/tasdiqlash")</f>
        <v>0</v>
      </c>
      <c r="BQ107" s="11">
        <f>+COUNTIFS('muddati otgan'!C:C,A107,'muddati otgan'!J:J,"Ma'lumotlarni tasdiqlash")</f>
        <v>0</v>
      </c>
      <c r="BR107" s="11">
        <f t="shared" si="32"/>
        <v>0</v>
      </c>
      <c r="BS107" s="11">
        <f>+COUNTIFS('muddati otgan'!C:C,A107,'muddati otgan'!J:J,"Ro'yxatdan o'tkazish ma'lumotlarini tekshirish")</f>
        <v>0</v>
      </c>
      <c r="BT107" s="11">
        <f>+COUNTIFS('muddati otgan'!C:C,A107,'muddati otgan'!J:J,"Kamchiliklar bo'yicha habarnoma yuborish va 3 kunga to'xtatish")</f>
        <v>0</v>
      </c>
      <c r="BU107" s="11">
        <f>+COUNTIFS('muddati otgan'!C:C,A107,'muddati otgan'!J:J,"Hisobga olish")</f>
        <v>0</v>
      </c>
      <c r="BV107" s="11">
        <f>+COUNTIFS('muddati otgan'!C:C,A107,'muddati otgan'!J:J,"Yer uchastkasiga huquq yaratish")</f>
        <v>0</v>
      </c>
      <c r="BW107" s="11">
        <f>+COUNTIFS('muddati otgan'!C:C,A107,'muddati otgan'!J:J,"Bino-inshootga huquq yaratish")</f>
        <v>0</v>
      </c>
      <c r="BX107" s="11">
        <f>+COUNTIFS('muddati otgan'!C:C,A107,'muddati otgan'!J:J,"Cheklov yaratish")</f>
        <v>0</v>
      </c>
      <c r="BY107" s="11">
        <f>+COUNTIFS('muddati otgan'!C:C,A107,'muddati otgan'!J:J,"Taqiq yaratish")</f>
        <v>0</v>
      </c>
      <c r="BZ107" s="11">
        <f t="shared" si="33"/>
        <v>0</v>
      </c>
      <c r="CA107" s="11">
        <f>+COUNTIFS('muddati otgan'!C:C,A107,'muddati otgan'!J:J,"Soliq maydonini tekshirish")</f>
        <v>0</v>
      </c>
      <c r="CB107" s="11">
        <f t="shared" si="34"/>
        <v>0</v>
      </c>
      <c r="CC107" s="11">
        <f>+COUNTIFS('muddati otgan'!C:C,A107,'muddati otgan'!J:J,"Kadastr yig'majildini shakllantirish")</f>
        <v>0</v>
      </c>
      <c r="CD107" s="11">
        <f t="shared" si="35"/>
        <v>0</v>
      </c>
      <c r="CE107" s="11">
        <f>+COUNTIFS('muddati otgan'!C:C,A107,'muddati otgan'!J:J,"Kadastr passportini shakllantirish")</f>
        <v>0</v>
      </c>
      <c r="CF107" s="11">
        <f>+COUNTIFS('muddati otgan'!C:C,A107,'muddati otgan'!J:J,"Yig'ma jildni tasdiqlash")</f>
        <v>0</v>
      </c>
      <c r="CG107" s="11">
        <f>+COUNTIFS('muddati otgan'!C:C,A107,'muddati otgan'!J:J,"To'lov yoki bepul tasdiqlash")</f>
        <v>0</v>
      </c>
      <c r="CH107" s="11">
        <f>+COUNTIFS('muddati otgan'!C:C,A107,'muddati otgan'!J:J,"Bog'liq arizani kutish")</f>
        <v>0</v>
      </c>
      <c r="CI107" s="11">
        <f>+COUNTIFS('muddati otgan'!C:C,A107,'muddati otgan'!J:J,"To'lovga chiqarish")</f>
        <v>0</v>
      </c>
      <c r="CJ107" s="11">
        <f>+COUNTIFS('muddati otgan'!C:C,A107,'muddati otgan'!J:J,"Hisobga qo'yish")</f>
        <v>0</v>
      </c>
      <c r="CK107" s="6">
        <f>+COUNTIFS('muddati otgan'!C:C,A107,'muddati otgan'!J:J,"To'lov kutilmoqda")</f>
        <v>0</v>
      </c>
      <c r="CL107" s="11">
        <f t="shared" si="36"/>
        <v>0</v>
      </c>
      <c r="CM107" s="11">
        <f>+COUNTIFS('muddati otgan'!C:C,A107,'muddati otgan'!AA:AA,"Arizani qabul qilish2")</f>
        <v>0</v>
      </c>
      <c r="CN107" s="11">
        <f>+COUNTIFS('muddati otgan'!C:C,A107,'muddati otgan'!J:J,"Huquqlarni tekshirish")</f>
        <v>0</v>
      </c>
      <c r="CO107" s="11">
        <f>+COUNTIFS('muddati otgan'!C:C,A107,'muddati otgan'!J:J,"Ko'chmas mulkni ro'yhatdan o'tkazishga qabul qilish")</f>
        <v>0</v>
      </c>
      <c r="CP107" s="11">
        <f>+COUNTIFS('muddati otgan'!C:C,A107,'muddati otgan'!J:J,"Ro'yxatdan o'tkazish")</f>
        <v>0</v>
      </c>
      <c r="CQ107" s="11">
        <f>+COUNTIFS('muddati otgan'!C:C,A107,'muddati otgan'!J:J,"Kadastr pasporti va ko'chirmani yuborish")</f>
        <v>0</v>
      </c>
      <c r="CR107" s="11">
        <f>+COUNTIFS('muddati otgan'!C:C,A107,'muddati otgan'!AA:AA,"Rad qilish2")</f>
        <v>0</v>
      </c>
      <c r="CS107" s="11">
        <f>+COUNTIFS('muddati otgan'!C:C,A107,'muddati otgan'!J:J,"Ko'chirmani yuborish")</f>
        <v>0</v>
      </c>
      <c r="CT107" s="11">
        <f>+COUNTIFS('muddati otgan'!C:C,A107,'muddati otgan'!J:J,"Ma‘lumotlarni tekshirish")</f>
        <v>0</v>
      </c>
      <c r="CU107" s="11">
        <f t="shared" si="37"/>
        <v>0</v>
      </c>
      <c r="CV107" s="11">
        <f>+COUNTIFS('muddati otgan'!C:C,A107,'muddati otgan'!J:J,"Kadastr yig'majildini chop etish va arxiv ishiga tikish")</f>
        <v>0</v>
      </c>
      <c r="CW107" s="11">
        <f t="shared" si="38"/>
        <v>0</v>
      </c>
      <c r="CX107" s="11">
        <f>+COUNTIFS('muddati otgan'!C:C,A107,'muddati otgan'!J:J,"Kadastr yig‘majildini qabul qilish, arizani yakunlash")</f>
        <v>0</v>
      </c>
      <c r="CY107" s="11">
        <f>+COUNTIFS('muddati otgan'!C:C,A107,'muddati otgan'!J:J,"Next Cloudga yuklash")</f>
        <v>0</v>
      </c>
      <c r="CZ107" s="6">
        <f>+COUNTIFS('muddati otgan'!C:C,A107,'muddati otgan'!J:J,"Kelishish kutilmoqda")</f>
        <v>0</v>
      </c>
      <c r="DA107" s="6">
        <f>+COUNTIFS('muddati otgan'!C:C,A107,'muddati otgan'!J:J,"Yakunlandi")</f>
        <v>1</v>
      </c>
      <c r="DB107" s="10">
        <f>+COUNTIFS('muddati otgan'!C:C,A107,'muddati otgan'!J:J,"Rad etildi")</f>
        <v>0</v>
      </c>
      <c r="DC107" s="100">
        <f t="shared" si="5"/>
        <v>0</v>
      </c>
      <c r="DD107" s="44">
        <f>COUNTIFS('jami 1-20 kunlik arizalar'!C:C,A:A,'jami 1-20 kunlik arizalar'!S:S,"1")</f>
        <v>0</v>
      </c>
      <c r="DE107" s="11">
        <f>COUNTIFS('jami 1-20 kunlik arizalar'!C:C,A:A,'jami 1-20 kunlik arizalar'!S:S,"2")</f>
        <v>0</v>
      </c>
      <c r="DF107" s="11">
        <f>COUNTIFS('jami 1-20 kunlik arizalar'!C:C,A:A,'jami 1-20 kunlik arizalar'!S:S,"3")</f>
        <v>1</v>
      </c>
      <c r="DG107" s="11">
        <f>COUNTIFS('jami 1-20 kunlik arizalar'!C:C,A:A,'jami 1-20 kunlik arizalar'!S:S,"4")</f>
        <v>0</v>
      </c>
      <c r="DH107" s="11">
        <f>COUNTIFS('jami 1-20 kunlik arizalar'!C:C,A:A,'jami 1-20 kunlik arizalar'!S:S,"5")</f>
        <v>1</v>
      </c>
      <c r="DI107" s="11">
        <f>SUM(COUNTIFS('jami 1-20 kunlik arizalar'!C:C,A:A, 'jami 1-20 kunlik arizalar'!S:S, {6,7,8,9,10}))</f>
        <v>5</v>
      </c>
      <c r="DJ107" s="12">
        <f>SUM(COUNTIFS('jami 1-20 kunlik arizalar'!C:C,A:A, 'jami 1-20 kunlik arizalar'!S:S, "&gt;10"))</f>
        <v>2</v>
      </c>
    </row>
    <row r="108" spans="1:115" ht="32.1" hidden="1" customHeight="1" outlineLevel="1" x14ac:dyDescent="0.25">
      <c r="A108" s="92" t="s">
        <v>657</v>
      </c>
      <c r="B108" s="74"/>
      <c r="C108" s="85" t="s">
        <v>813</v>
      </c>
      <c r="D108" s="80">
        <f>+COUNTIFS('muddati otgan'!C:C,A108,'muddati otgan'!C:C,A108)</f>
        <v>0</v>
      </c>
      <c r="E108" s="10">
        <f>SUMIFS('muddati otgan'!$V:V,'muddati otgan'!$C:C,$A:A)</f>
        <v>0</v>
      </c>
      <c r="F108" s="10">
        <f>SUMIFS('muddati otgan'!$W:W,'muddati otgan'!$C:C,$A:A)</f>
        <v>0</v>
      </c>
      <c r="G108" s="24">
        <f>SUMIFS('muddati otgan'!$U:U,'muddati otgan'!$C:C,$A:A)</f>
        <v>0</v>
      </c>
      <c r="H108" s="11">
        <f>SUMIFS('muddati otgan'!$G:G,'muddati otgan'!$C:C,$A:A)</f>
        <v>0</v>
      </c>
      <c r="I108" s="12">
        <f>SUMIFS('muddati otgan'!$H:H,'muddati otgan'!$C:C,$A:A)</f>
        <v>0</v>
      </c>
      <c r="J108" s="44">
        <f t="shared" si="23"/>
        <v>0</v>
      </c>
      <c r="K108" s="11">
        <f>+COUNTIFS('muddati otgan'!C:C,A108,'muddati otgan'!AA:AA,"Arizani qabul qilish")</f>
        <v>0</v>
      </c>
      <c r="L108" s="11">
        <f>+COUNTIFS('muddati otgan'!C:C,A108,'muddati otgan'!J:J,"Arizani rad etish")</f>
        <v>0</v>
      </c>
      <c r="M108" s="11">
        <f>+COUNTIFS('muddati otgan'!C:C,A108,'muddati otgan'!J:J,"Arizani tasdiqlash")</f>
        <v>0</v>
      </c>
      <c r="N108" s="11">
        <f>+COUNTIFS('muddati otgan'!C:C,A108,'muddati otgan'!J:J,"Arizani yo'naltirish")</f>
        <v>0</v>
      </c>
      <c r="O108" s="11">
        <f>+COUNTIFS('muddati otgan'!C:C,A108,'muddati otgan'!J:J,"Rad qilish sababini o'rganish")</f>
        <v>0</v>
      </c>
      <c r="P108" s="11">
        <f>+COUNTIFS('muddati otgan'!C:C,A108,'muddati otgan'!J:J,"Ko'chmas mulkni UZKAD ga migratsiya qilish")</f>
        <v>0</v>
      </c>
      <c r="Q108" s="11">
        <f>+COUNTIFS('muddati otgan'!C:C,A108,'muddati otgan'!J:J,"Migratisya qilingan obyekt holatini tekshirish")</f>
        <v>0</v>
      </c>
      <c r="R108" s="11">
        <f>+COUNTIFS('muddati otgan'!C:C,A108,'muddati otgan'!J:J,"Ko‘chmas mulkni tanlash")</f>
        <v>0</v>
      </c>
      <c r="S108" s="11">
        <f>+COUNTIFS('muddati otgan'!C:C,A108,'muddati otgan'!J:J,"Arizani ko'rib chiqish")</f>
        <v>0</v>
      </c>
      <c r="T108" s="11">
        <f>+COUNTIFS('muddati otgan'!C:C,A108,'muddati otgan'!J:J,"Kadastr muhandisini tanlash")</f>
        <v>0</v>
      </c>
      <c r="U108" s="11">
        <f>+COUNTIFS('muddati otgan'!C:C,A108,'muddati otgan'!J:J,"Ko'chmas mulk turini tanlahsh")</f>
        <v>0</v>
      </c>
      <c r="V108" s="11">
        <f>+COUNTIFS('muddati otgan'!C:C,A108,'muddati otgan'!AA:AA,"Rad qilish")</f>
        <v>0</v>
      </c>
      <c r="W108" s="11">
        <f>+COUNTIFS('muddati otgan'!C:C,A108,'muddati otgan'!J:J,"ijrochi tanlash")</f>
        <v>0</v>
      </c>
      <c r="X108" s="11">
        <f>+COUNTIFS('muddati otgan'!C:C,A108,'muddati otgan'!J:J,"Ko'chmas mulk turini tanlash")</f>
        <v>0</v>
      </c>
      <c r="Y108" s="11">
        <f t="shared" si="24"/>
        <v>0</v>
      </c>
      <c r="Z108" s="11">
        <f>+COUNTIFS('muddati otgan'!C:C,A108,'muddati otgan'!J:J,"Ijroga qabul qilish")</f>
        <v>0</v>
      </c>
      <c r="AA108" s="11">
        <f>+COUNTIFS('muddati otgan'!C:C,A108,'muddati otgan'!J:J,"Joyida o'rganish va ma'lumotlarni kiritish")</f>
        <v>0</v>
      </c>
      <c r="AB108" s="11">
        <f>+COUNTIFS('muddati otgan'!C:C,A108,'muddati otgan'!J:J,"Asosiy qismdan ajratish jarayonida")</f>
        <v>0</v>
      </c>
      <c r="AC108" s="11">
        <f>+COUNTIFS('muddati otgan'!C:C,A108,'muddati otgan'!J:J,"Umumiy foydalanishdagi obyekt yaratilish")</f>
        <v>0</v>
      </c>
      <c r="AD108" s="11">
        <f>+COUNTIFS('muddati otgan'!C:C,A108,'muddati otgan'!J:J,"Migratsiya qilinadigan kadastr raqamini kiritish")</f>
        <v>0</v>
      </c>
      <c r="AE108" s="11">
        <f>+COUNTIFS('muddati otgan'!C:C,A108,'muddati otgan'!J:J,"O'zida qolgan obyektni yaratish")</f>
        <v>0</v>
      </c>
      <c r="AF108" s="11">
        <f>+COUNTIFS('muddati otgan'!C:C,A108,'muddati otgan'!J:J,"O'lchov natijalarini kiritish")</f>
        <v>0</v>
      </c>
      <c r="AG108" s="11">
        <f>+COUNTIFS('muddati otgan'!C:C,A108,'muddati otgan'!J:J,"Topoxaritani tayyorlash (dwg, pdf)")</f>
        <v>0</v>
      </c>
      <c r="AH108" s="11">
        <f t="shared" si="25"/>
        <v>0</v>
      </c>
      <c r="AI108" s="11">
        <f>+COUNTIFS('muddati otgan'!C:C,A108,'muddati otgan'!J:J,"Yer uchastkasini yaratish")</f>
        <v>0</v>
      </c>
      <c r="AJ108" s="11">
        <f t="shared" si="26"/>
        <v>0</v>
      </c>
      <c r="AK108" s="11">
        <f>+COUNTIFS('muddati otgan'!C:C,A108,'muddati otgan'!J:J,"Kelishish (Boshqarma)")</f>
        <v>0</v>
      </c>
      <c r="AL108" s="11">
        <f t="shared" si="27"/>
        <v>0</v>
      </c>
      <c r="AM108" s="11">
        <f>+COUNTIFS('muddati otgan'!C:C,A108,'muddati otgan'!J:J,"Kelishish (DKP)")</f>
        <v>0</v>
      </c>
      <c r="AN108" s="11">
        <f>+COUNTIFS('muddati otgan'!C:C,A108,'muddati otgan'!J:J,"Kelishish")</f>
        <v>0</v>
      </c>
      <c r="AO108" s="11">
        <f>+COUNTIFS('muddati otgan'!C:C,A108,'muddati otgan'!J:J,"Kelishish (Registratsiya DKP)")</f>
        <v>0</v>
      </c>
      <c r="AP108" s="11">
        <f t="shared" si="28"/>
        <v>0</v>
      </c>
      <c r="AQ108" s="11">
        <f>+COUNTIFS('muddati otgan'!C:C,A108,'muddati otgan'!J:J,"Manzil biriktirish")</f>
        <v>0</v>
      </c>
      <c r="AR108" s="11">
        <f>+COUNTIFS('muddati otgan'!C:C,A108,'muddati otgan'!J:J,"Bino va inshootlarni yaratish")</f>
        <v>0</v>
      </c>
      <c r="AS108" s="11">
        <f>+COUNTIFS('muddati otgan'!C:C,A108,'muddati otgan'!J:J,"Dov daraxtlarni yaratish")</f>
        <v>0</v>
      </c>
      <c r="AT108" s="11">
        <f>+COUNTIFS('muddati otgan'!C:C,A108,'muddati otgan'!J:J,"Yer uchastkasini tahrirlash")</f>
        <v>0</v>
      </c>
      <c r="AU108" s="11">
        <f t="shared" si="29"/>
        <v>0</v>
      </c>
      <c r="AV108" s="11">
        <f>+COUNTIFS('muddati otgan'!C:C,A108,'muddati otgan'!J:J,"Yer toifasi va maqsadini kiritish")</f>
        <v>0</v>
      </c>
      <c r="AW108" s="11">
        <f>+COUNTIFS('muddati otgan'!C:C,A108,'muddati otgan'!J:J,"Auksion yer tekshirish")</f>
        <v>0</v>
      </c>
      <c r="AX108" s="11">
        <f>+COUNTIFS('muddati otgan'!C:C,A108,'muddati otgan'!J:J,"Yer turlarini kiritish")</f>
        <v>0</v>
      </c>
      <c r="AY108" s="11">
        <f>+COUNTIFS('muddati otgan'!C:C,A108,'muddati otgan'!J:J,"Ma'lumotlarni kiritish")</f>
        <v>0</v>
      </c>
      <c r="AZ108" s="11">
        <f>+COUNTIFS('muddati otgan'!C:C,A108,'muddati otgan'!J:J,"Yer tekshirish")</f>
        <v>0</v>
      </c>
      <c r="BA108" s="11">
        <f t="shared" si="30"/>
        <v>0</v>
      </c>
      <c r="BB108" s="11">
        <f>+COUNTIFS('muddati otgan'!C:C,A108,'muddati otgan'!J:J,"Bino va inshoot ma'lumotlarini to‘ldirish")</f>
        <v>0</v>
      </c>
      <c r="BC108" s="11">
        <f>+COUNTIFS('muddati otgan'!C:C,A108,'muddati otgan'!J:J,"Inventarizatsiya ma'lumotlarini to‘ldirish")</f>
        <v>0</v>
      </c>
      <c r="BD108" s="11">
        <f>+COUNTIFS('muddati otgan'!C:C,A108,'muddati otgan'!J:J,"Yer uchastkasiga huquqiy hujjatlarni kiritsh")</f>
        <v>0</v>
      </c>
      <c r="BE108" s="11">
        <f>+COUNTIFS('muddati otgan'!C:C,A108,'muddati otgan'!J:J,"Bino-inshootlarga huquqiy hujjatlarni kiritsh")</f>
        <v>0</v>
      </c>
      <c r="BF108" s="11">
        <f>+COUNTIFS('muddati otgan'!C:C,A108,'muddati otgan'!J:J,"Kadastr qiymatini hisoblash va kiritish")</f>
        <v>0</v>
      </c>
      <c r="BG108" s="11">
        <f>+COUNTIFS('muddati otgan'!C:C,A108,'muddati otgan'!J:J,"Kadastr raqam biriktirish")</f>
        <v>0</v>
      </c>
      <c r="BH108" s="11">
        <f>+COUNTIFS('muddati otgan'!C:C,A108,'muddati otgan'!J:J,"Kadastr yig'ma jildni tayyorlash")</f>
        <v>0</v>
      </c>
      <c r="BI108" s="11">
        <f>+COUNTIFS('muddati otgan'!C:C,A108,'muddati otgan'!J:J,"Huquqni yaratish")</f>
        <v>0</v>
      </c>
      <c r="BJ108" s="11">
        <f>+COUNTIFS('muddati otgan'!C:C,A108,'muddati otgan'!J:J,"Hujjatlarni o'rganish")</f>
        <v>0</v>
      </c>
      <c r="BK108" s="11">
        <f>+COUNTIFS('muddati otgan'!C:C,A108,'muddati otgan'!J:J,"Ma'lumotlarni tekshirish")</f>
        <v>0</v>
      </c>
      <c r="BL108" s="11">
        <f t="shared" si="31"/>
        <v>0</v>
      </c>
      <c r="BM108" s="11">
        <f>+COUNTIFS('muddati otgan'!C:C,A108,'muddati otgan'!J:J,"Tekshirish")</f>
        <v>0</v>
      </c>
      <c r="BN108" s="11">
        <f>+COUNTIFS('muddati otgan'!C:C,A108,'muddati otgan'!J:J,"Hujjatlarni tekshirish")</f>
        <v>0</v>
      </c>
      <c r="BO108" s="11">
        <f>+COUNTIFS('muddati otgan'!C:C,A108,'muddati otgan'!J:J,"Tasdiqlash")</f>
        <v>0</v>
      </c>
      <c r="BP108" s="11">
        <f>+COUNTIFS('muddati otgan'!C:C,A108,'muddati otgan'!J:J,"tekshirish/tasdiqlash")</f>
        <v>0</v>
      </c>
      <c r="BQ108" s="11">
        <f>+COUNTIFS('muddati otgan'!C:C,A108,'muddati otgan'!J:J,"Ma'lumotlarni tasdiqlash")</f>
        <v>0</v>
      </c>
      <c r="BR108" s="11">
        <f t="shared" si="32"/>
        <v>0</v>
      </c>
      <c r="BS108" s="11">
        <f>+COUNTIFS('muddati otgan'!C:C,A108,'muddati otgan'!J:J,"Ro'yxatdan o'tkazish ma'lumotlarini tekshirish")</f>
        <v>0</v>
      </c>
      <c r="BT108" s="11">
        <f>+COUNTIFS('muddati otgan'!C:C,A108,'muddati otgan'!J:J,"Kamchiliklar bo'yicha habarnoma yuborish va 3 kunga to'xtatish")</f>
        <v>0</v>
      </c>
      <c r="BU108" s="11">
        <f>+COUNTIFS('muddati otgan'!C:C,A108,'muddati otgan'!J:J,"Hisobga olish")</f>
        <v>0</v>
      </c>
      <c r="BV108" s="11">
        <f>+COUNTIFS('muddati otgan'!C:C,A108,'muddati otgan'!J:J,"Yer uchastkasiga huquq yaratish")</f>
        <v>0</v>
      </c>
      <c r="BW108" s="11">
        <f>+COUNTIFS('muddati otgan'!C:C,A108,'muddati otgan'!J:J,"Bino-inshootga huquq yaratish")</f>
        <v>0</v>
      </c>
      <c r="BX108" s="11">
        <f>+COUNTIFS('muddati otgan'!C:C,A108,'muddati otgan'!J:J,"Cheklov yaratish")</f>
        <v>0</v>
      </c>
      <c r="BY108" s="11">
        <f>+COUNTIFS('muddati otgan'!C:C,A108,'muddati otgan'!J:J,"Taqiq yaratish")</f>
        <v>0</v>
      </c>
      <c r="BZ108" s="11">
        <f t="shared" si="33"/>
        <v>0</v>
      </c>
      <c r="CA108" s="11">
        <f>+COUNTIFS('muddati otgan'!C:C,A108,'muddati otgan'!J:J,"Soliq maydonini tekshirish")</f>
        <v>0</v>
      </c>
      <c r="CB108" s="11">
        <f t="shared" si="34"/>
        <v>0</v>
      </c>
      <c r="CC108" s="11">
        <f>+COUNTIFS('muddati otgan'!C:C,A108,'muddati otgan'!J:J,"Kadastr yig'majildini shakllantirish")</f>
        <v>0</v>
      </c>
      <c r="CD108" s="11">
        <f t="shared" si="35"/>
        <v>0</v>
      </c>
      <c r="CE108" s="11">
        <f>+COUNTIFS('muddati otgan'!C:C,A108,'muddati otgan'!J:J,"Kadastr passportini shakllantirish")</f>
        <v>0</v>
      </c>
      <c r="CF108" s="11">
        <f>+COUNTIFS('muddati otgan'!C:C,A108,'muddati otgan'!J:J,"Yig'ma jildni tasdiqlash")</f>
        <v>0</v>
      </c>
      <c r="CG108" s="11">
        <f>+COUNTIFS('muddati otgan'!C:C,A108,'muddati otgan'!J:J,"To'lov yoki bepul tasdiqlash")</f>
        <v>0</v>
      </c>
      <c r="CH108" s="11">
        <f>+COUNTIFS('muddati otgan'!C:C,A108,'muddati otgan'!J:J,"Bog'liq arizani kutish")</f>
        <v>0</v>
      </c>
      <c r="CI108" s="11">
        <f>+COUNTIFS('muddati otgan'!C:C,A108,'muddati otgan'!J:J,"To'lovga chiqarish")</f>
        <v>0</v>
      </c>
      <c r="CJ108" s="11">
        <f>+COUNTIFS('muddati otgan'!C:C,A108,'muddati otgan'!J:J,"Hisobga qo'yish")</f>
        <v>0</v>
      </c>
      <c r="CK108" s="6">
        <f>+COUNTIFS('muddati otgan'!C:C,A108,'muddati otgan'!J:J,"To'lov kutilmoqda")</f>
        <v>0</v>
      </c>
      <c r="CL108" s="11">
        <f t="shared" si="36"/>
        <v>0</v>
      </c>
      <c r="CM108" s="11">
        <f>+COUNTIFS('muddati otgan'!C:C,A108,'muddati otgan'!AA:AA,"Arizani qabul qilish2")</f>
        <v>0</v>
      </c>
      <c r="CN108" s="11">
        <f>+COUNTIFS('muddati otgan'!C:C,A108,'muddati otgan'!J:J,"Huquqlarni tekshirish")</f>
        <v>0</v>
      </c>
      <c r="CO108" s="11">
        <f>+COUNTIFS('muddati otgan'!C:C,A108,'muddati otgan'!J:J,"Ko'chmas mulkni ro'yhatdan o'tkazishga qabul qilish")</f>
        <v>0</v>
      </c>
      <c r="CP108" s="11">
        <f>+COUNTIFS('muddati otgan'!C:C,A108,'muddati otgan'!J:J,"Ro'yxatdan o'tkazish")</f>
        <v>0</v>
      </c>
      <c r="CQ108" s="11">
        <f>+COUNTIFS('muddati otgan'!C:C,A108,'muddati otgan'!J:J,"Kadastr pasporti va ko'chirmani yuborish")</f>
        <v>0</v>
      </c>
      <c r="CR108" s="11">
        <f>+COUNTIFS('muddati otgan'!C:C,A108,'muddati otgan'!AA:AA,"Rad qilish2")</f>
        <v>0</v>
      </c>
      <c r="CS108" s="11">
        <f>+COUNTIFS('muddati otgan'!C:C,A108,'muddati otgan'!J:J,"Ko'chirmani yuborish")</f>
        <v>0</v>
      </c>
      <c r="CT108" s="11">
        <f>+COUNTIFS('muddati otgan'!C:C,A108,'muddati otgan'!J:J,"Ma‘lumotlarni tekshirish")</f>
        <v>0</v>
      </c>
      <c r="CU108" s="11">
        <f t="shared" si="37"/>
        <v>0</v>
      </c>
      <c r="CV108" s="11">
        <f>+COUNTIFS('muddati otgan'!C:C,A108,'muddati otgan'!J:J,"Kadastr yig'majildini chop etish va arxiv ishiga tikish")</f>
        <v>0</v>
      </c>
      <c r="CW108" s="11">
        <f t="shared" si="38"/>
        <v>0</v>
      </c>
      <c r="CX108" s="11">
        <f>+COUNTIFS('muddati otgan'!C:C,A108,'muddati otgan'!J:J,"Kadastr yig‘majildini qabul qilish, arizani yakunlash")</f>
        <v>0</v>
      </c>
      <c r="CY108" s="11">
        <f>+COUNTIFS('muddati otgan'!C:C,A108,'muddati otgan'!J:J,"Next Cloudga yuklash")</f>
        <v>0</v>
      </c>
      <c r="CZ108" s="6">
        <f>+COUNTIFS('muddati otgan'!C:C,A108,'muddati otgan'!J:J,"Kelishish kutilmoqda")</f>
        <v>0</v>
      </c>
      <c r="DA108" s="6">
        <f>+COUNTIFS('muddati otgan'!C:C,A108,'muddati otgan'!J:J,"Yakunlandi")</f>
        <v>0</v>
      </c>
      <c r="DB108" s="10">
        <f>+COUNTIFS('muddati otgan'!C:C,A108,'muddati otgan'!J:J,"Rad etildi")</f>
        <v>0</v>
      </c>
      <c r="DC108" s="100">
        <f t="shared" si="5"/>
        <v>0</v>
      </c>
      <c r="DD108" s="44">
        <f>COUNTIFS('jami 1-20 kunlik arizalar'!C:C,A:A,'jami 1-20 kunlik arizalar'!S:S,"1")</f>
        <v>0</v>
      </c>
      <c r="DE108" s="11">
        <f>COUNTIFS('jami 1-20 kunlik arizalar'!C:C,A:A,'jami 1-20 kunlik arizalar'!S:S,"2")</f>
        <v>0</v>
      </c>
      <c r="DF108" s="11">
        <f>COUNTIFS('jami 1-20 kunlik arizalar'!C:C,A:A,'jami 1-20 kunlik arizalar'!S:S,"3")</f>
        <v>0</v>
      </c>
      <c r="DG108" s="11">
        <f>COUNTIFS('jami 1-20 kunlik arizalar'!C:C,A:A,'jami 1-20 kunlik arizalar'!S:S,"4")</f>
        <v>2</v>
      </c>
      <c r="DH108" s="11">
        <f>COUNTIFS('jami 1-20 kunlik arizalar'!C:C,A:A,'jami 1-20 kunlik arizalar'!S:S,"5")</f>
        <v>2</v>
      </c>
      <c r="DI108" s="11">
        <f>SUM(COUNTIFS('jami 1-20 kunlik arizalar'!C:C,A:A, 'jami 1-20 kunlik arizalar'!S:S, {6,7,8,9,10}))</f>
        <v>3</v>
      </c>
      <c r="DJ108" s="12">
        <f>SUM(COUNTIFS('jami 1-20 kunlik arizalar'!C:C,A:A, 'jami 1-20 kunlik arizalar'!S:S, "&gt;10"))</f>
        <v>0</v>
      </c>
    </row>
    <row r="109" spans="1:115" ht="32.1" hidden="1" customHeight="1" outlineLevel="1" x14ac:dyDescent="0.25">
      <c r="A109" s="92" t="s">
        <v>668</v>
      </c>
      <c r="B109" s="74"/>
      <c r="C109" s="85" t="s">
        <v>814</v>
      </c>
      <c r="D109" s="80">
        <f>+COUNTIFS('muddati otgan'!C:C,A109,'muddati otgan'!C:C,A109)</f>
        <v>0</v>
      </c>
      <c r="E109" s="10">
        <f>SUMIFS('muddati otgan'!$V:V,'muddati otgan'!$C:C,$A:A)</f>
        <v>0</v>
      </c>
      <c r="F109" s="10">
        <f>SUMIFS('muddati otgan'!$W:W,'muddati otgan'!$C:C,$A:A)</f>
        <v>0</v>
      </c>
      <c r="G109" s="24">
        <f>SUMIFS('muddati otgan'!$U:U,'muddati otgan'!$C:C,$A:A)</f>
        <v>0</v>
      </c>
      <c r="H109" s="11">
        <f>SUMIFS('muddati otgan'!$G:G,'muddati otgan'!$C:C,$A:A)</f>
        <v>0</v>
      </c>
      <c r="I109" s="12">
        <f>SUMIFS('muddati otgan'!$H:H,'muddati otgan'!$C:C,$A:A)</f>
        <v>0</v>
      </c>
      <c r="J109" s="44">
        <f t="shared" si="23"/>
        <v>0</v>
      </c>
      <c r="K109" s="11">
        <f>+COUNTIFS('muddati otgan'!C:C,A109,'muddati otgan'!AA:AA,"Arizani qabul qilish")</f>
        <v>0</v>
      </c>
      <c r="L109" s="11">
        <f>+COUNTIFS('muddati otgan'!C:C,A109,'muddati otgan'!J:J,"Arizani rad etish")</f>
        <v>0</v>
      </c>
      <c r="M109" s="11">
        <f>+COUNTIFS('muddati otgan'!C:C,A109,'muddati otgan'!J:J,"Arizani tasdiqlash")</f>
        <v>0</v>
      </c>
      <c r="N109" s="11">
        <f>+COUNTIFS('muddati otgan'!C:C,A109,'muddati otgan'!J:J,"Arizani yo'naltirish")</f>
        <v>0</v>
      </c>
      <c r="O109" s="11">
        <f>+COUNTIFS('muddati otgan'!C:C,A109,'muddati otgan'!J:J,"Rad qilish sababini o'rganish")</f>
        <v>0</v>
      </c>
      <c r="P109" s="11">
        <f>+COUNTIFS('muddati otgan'!C:C,A109,'muddati otgan'!J:J,"Ko'chmas mulkni UZKAD ga migratsiya qilish")</f>
        <v>0</v>
      </c>
      <c r="Q109" s="11">
        <f>+COUNTIFS('muddati otgan'!C:C,A109,'muddati otgan'!J:J,"Migratisya qilingan obyekt holatini tekshirish")</f>
        <v>0</v>
      </c>
      <c r="R109" s="11">
        <f>+COUNTIFS('muddati otgan'!C:C,A109,'muddati otgan'!J:J,"Ko‘chmas mulkni tanlash")</f>
        <v>0</v>
      </c>
      <c r="S109" s="11">
        <f>+COUNTIFS('muddati otgan'!C:C,A109,'muddati otgan'!J:J,"Arizani ko'rib chiqish")</f>
        <v>0</v>
      </c>
      <c r="T109" s="11">
        <f>+COUNTIFS('muddati otgan'!C:C,A109,'muddati otgan'!J:J,"Kadastr muhandisini tanlash")</f>
        <v>0</v>
      </c>
      <c r="U109" s="11">
        <f>+COUNTIFS('muddati otgan'!C:C,A109,'muddati otgan'!J:J,"Ko'chmas mulk turini tanlahsh")</f>
        <v>0</v>
      </c>
      <c r="V109" s="11">
        <f>+COUNTIFS('muddati otgan'!C:C,A109,'muddati otgan'!AA:AA,"Rad qilish")</f>
        <v>0</v>
      </c>
      <c r="W109" s="11">
        <f>+COUNTIFS('muddati otgan'!C:C,A109,'muddati otgan'!J:J,"ijrochi tanlash")</f>
        <v>0</v>
      </c>
      <c r="X109" s="11">
        <f>+COUNTIFS('muddati otgan'!C:C,A109,'muddati otgan'!J:J,"Ko'chmas mulk turini tanlash")</f>
        <v>0</v>
      </c>
      <c r="Y109" s="11">
        <f t="shared" si="24"/>
        <v>0</v>
      </c>
      <c r="Z109" s="11">
        <f>+COUNTIFS('muddati otgan'!C:C,A109,'muddati otgan'!J:J,"Ijroga qabul qilish")</f>
        <v>0</v>
      </c>
      <c r="AA109" s="11">
        <f>+COUNTIFS('muddati otgan'!C:C,A109,'muddati otgan'!J:J,"Joyida o'rganish va ma'lumotlarni kiritish")</f>
        <v>0</v>
      </c>
      <c r="AB109" s="11">
        <f>+COUNTIFS('muddati otgan'!C:C,A109,'muddati otgan'!J:J,"Asosiy qismdan ajratish jarayonida")</f>
        <v>0</v>
      </c>
      <c r="AC109" s="11">
        <f>+COUNTIFS('muddati otgan'!C:C,A109,'muddati otgan'!J:J,"Umumiy foydalanishdagi obyekt yaratilish")</f>
        <v>0</v>
      </c>
      <c r="AD109" s="11">
        <f>+COUNTIFS('muddati otgan'!C:C,A109,'muddati otgan'!J:J,"Migratsiya qilinadigan kadastr raqamini kiritish")</f>
        <v>0</v>
      </c>
      <c r="AE109" s="11">
        <f>+COUNTIFS('muddati otgan'!C:C,A109,'muddati otgan'!J:J,"O'zida qolgan obyektni yaratish")</f>
        <v>0</v>
      </c>
      <c r="AF109" s="11">
        <f>+COUNTIFS('muddati otgan'!C:C,A109,'muddati otgan'!J:J,"O'lchov natijalarini kiritish")</f>
        <v>0</v>
      </c>
      <c r="AG109" s="11">
        <f>+COUNTIFS('muddati otgan'!C:C,A109,'muddati otgan'!J:J,"Topoxaritani tayyorlash (dwg, pdf)")</f>
        <v>0</v>
      </c>
      <c r="AH109" s="11">
        <f t="shared" si="25"/>
        <v>0</v>
      </c>
      <c r="AI109" s="11">
        <f>+COUNTIFS('muddati otgan'!C:C,A109,'muddati otgan'!J:J,"Yer uchastkasini yaratish")</f>
        <v>0</v>
      </c>
      <c r="AJ109" s="11">
        <f t="shared" si="26"/>
        <v>0</v>
      </c>
      <c r="AK109" s="11">
        <f>+COUNTIFS('muddati otgan'!C:C,A109,'muddati otgan'!J:J,"Kelishish (Boshqarma)")</f>
        <v>0</v>
      </c>
      <c r="AL109" s="11">
        <f t="shared" si="27"/>
        <v>0</v>
      </c>
      <c r="AM109" s="11">
        <f>+COUNTIFS('muddati otgan'!C:C,A109,'muddati otgan'!J:J,"Kelishish (DKP)")</f>
        <v>0</v>
      </c>
      <c r="AN109" s="11">
        <f>+COUNTIFS('muddati otgan'!C:C,A109,'muddati otgan'!J:J,"Kelishish")</f>
        <v>0</v>
      </c>
      <c r="AO109" s="11">
        <f>+COUNTIFS('muddati otgan'!C:C,A109,'muddati otgan'!J:J,"Kelishish (Registratsiya DKP)")</f>
        <v>0</v>
      </c>
      <c r="AP109" s="11">
        <f t="shared" si="28"/>
        <v>0</v>
      </c>
      <c r="AQ109" s="11">
        <f>+COUNTIFS('muddati otgan'!C:C,A109,'muddati otgan'!J:J,"Manzil biriktirish")</f>
        <v>0</v>
      </c>
      <c r="AR109" s="11">
        <f>+COUNTIFS('muddati otgan'!C:C,A109,'muddati otgan'!J:J,"Bino va inshootlarni yaratish")</f>
        <v>0</v>
      </c>
      <c r="AS109" s="11">
        <f>+COUNTIFS('muddati otgan'!C:C,A109,'muddati otgan'!J:J,"Dov daraxtlarni yaratish")</f>
        <v>0</v>
      </c>
      <c r="AT109" s="11">
        <f>+COUNTIFS('muddati otgan'!C:C,A109,'muddati otgan'!J:J,"Yer uchastkasini tahrirlash")</f>
        <v>0</v>
      </c>
      <c r="AU109" s="11">
        <f t="shared" si="29"/>
        <v>0</v>
      </c>
      <c r="AV109" s="11">
        <f>+COUNTIFS('muddati otgan'!C:C,A109,'muddati otgan'!J:J,"Yer toifasi va maqsadini kiritish")</f>
        <v>0</v>
      </c>
      <c r="AW109" s="11">
        <f>+COUNTIFS('muddati otgan'!C:C,A109,'muddati otgan'!J:J,"Auksion yer tekshirish")</f>
        <v>0</v>
      </c>
      <c r="AX109" s="11">
        <f>+COUNTIFS('muddati otgan'!C:C,A109,'muddati otgan'!J:J,"Yer turlarini kiritish")</f>
        <v>0</v>
      </c>
      <c r="AY109" s="11">
        <f>+COUNTIFS('muddati otgan'!C:C,A109,'muddati otgan'!J:J,"Ma'lumotlarni kiritish")</f>
        <v>0</v>
      </c>
      <c r="AZ109" s="11">
        <f>+COUNTIFS('muddati otgan'!C:C,A109,'muddati otgan'!J:J,"Yer tekshirish")</f>
        <v>0</v>
      </c>
      <c r="BA109" s="11">
        <f t="shared" si="30"/>
        <v>0</v>
      </c>
      <c r="BB109" s="11">
        <f>+COUNTIFS('muddati otgan'!C:C,A109,'muddati otgan'!J:J,"Bino va inshoot ma'lumotlarini to‘ldirish")</f>
        <v>0</v>
      </c>
      <c r="BC109" s="11">
        <f>+COUNTIFS('muddati otgan'!C:C,A109,'muddati otgan'!J:J,"Inventarizatsiya ma'lumotlarini to‘ldirish")</f>
        <v>0</v>
      </c>
      <c r="BD109" s="11">
        <f>+COUNTIFS('muddati otgan'!C:C,A109,'muddati otgan'!J:J,"Yer uchastkasiga huquqiy hujjatlarni kiritsh")</f>
        <v>0</v>
      </c>
      <c r="BE109" s="11">
        <f>+COUNTIFS('muddati otgan'!C:C,A109,'muddati otgan'!J:J,"Bino-inshootlarga huquqiy hujjatlarni kiritsh")</f>
        <v>0</v>
      </c>
      <c r="BF109" s="11">
        <f>+COUNTIFS('muddati otgan'!C:C,A109,'muddati otgan'!J:J,"Kadastr qiymatini hisoblash va kiritish")</f>
        <v>0</v>
      </c>
      <c r="BG109" s="11">
        <f>+COUNTIFS('muddati otgan'!C:C,A109,'muddati otgan'!J:J,"Kadastr raqam biriktirish")</f>
        <v>0</v>
      </c>
      <c r="BH109" s="11">
        <f>+COUNTIFS('muddati otgan'!C:C,A109,'muddati otgan'!J:J,"Kadastr yig'ma jildni tayyorlash")</f>
        <v>0</v>
      </c>
      <c r="BI109" s="11">
        <f>+COUNTIFS('muddati otgan'!C:C,A109,'muddati otgan'!J:J,"Huquqni yaratish")</f>
        <v>0</v>
      </c>
      <c r="BJ109" s="11">
        <f>+COUNTIFS('muddati otgan'!C:C,A109,'muddati otgan'!J:J,"Hujjatlarni o'rganish")</f>
        <v>0</v>
      </c>
      <c r="BK109" s="11">
        <f>+COUNTIFS('muddati otgan'!C:C,A109,'muddati otgan'!J:J,"Ma'lumotlarni tekshirish")</f>
        <v>0</v>
      </c>
      <c r="BL109" s="11">
        <f t="shared" si="31"/>
        <v>0</v>
      </c>
      <c r="BM109" s="11">
        <f>+COUNTIFS('muddati otgan'!C:C,A109,'muddati otgan'!J:J,"Tekshirish")</f>
        <v>0</v>
      </c>
      <c r="BN109" s="11">
        <f>+COUNTIFS('muddati otgan'!C:C,A109,'muddati otgan'!J:J,"Hujjatlarni tekshirish")</f>
        <v>0</v>
      </c>
      <c r="BO109" s="11">
        <f>+COUNTIFS('muddati otgan'!C:C,A109,'muddati otgan'!J:J,"Tasdiqlash")</f>
        <v>0</v>
      </c>
      <c r="BP109" s="11">
        <f>+COUNTIFS('muddati otgan'!C:C,A109,'muddati otgan'!J:J,"tekshirish/tasdiqlash")</f>
        <v>0</v>
      </c>
      <c r="BQ109" s="11">
        <f>+COUNTIFS('muddati otgan'!C:C,A109,'muddati otgan'!J:J,"Ma'lumotlarni tasdiqlash")</f>
        <v>0</v>
      </c>
      <c r="BR109" s="11">
        <f t="shared" si="32"/>
        <v>0</v>
      </c>
      <c r="BS109" s="11">
        <f>+COUNTIFS('muddati otgan'!C:C,A109,'muddati otgan'!J:J,"Ro'yxatdan o'tkazish ma'lumotlarini tekshirish")</f>
        <v>0</v>
      </c>
      <c r="BT109" s="11">
        <f>+COUNTIFS('muddati otgan'!C:C,A109,'muddati otgan'!J:J,"Kamchiliklar bo'yicha habarnoma yuborish va 3 kunga to'xtatish")</f>
        <v>0</v>
      </c>
      <c r="BU109" s="11">
        <f>+COUNTIFS('muddati otgan'!C:C,A109,'muddati otgan'!J:J,"Hisobga olish")</f>
        <v>0</v>
      </c>
      <c r="BV109" s="11">
        <f>+COUNTIFS('muddati otgan'!C:C,A109,'muddati otgan'!J:J,"Yer uchastkasiga huquq yaratish")</f>
        <v>0</v>
      </c>
      <c r="BW109" s="11">
        <f>+COUNTIFS('muddati otgan'!C:C,A109,'muddati otgan'!J:J,"Bino-inshootga huquq yaratish")</f>
        <v>0</v>
      </c>
      <c r="BX109" s="11">
        <f>+COUNTIFS('muddati otgan'!C:C,A109,'muddati otgan'!J:J,"Cheklov yaratish")</f>
        <v>0</v>
      </c>
      <c r="BY109" s="11">
        <f>+COUNTIFS('muddati otgan'!C:C,A109,'muddati otgan'!J:J,"Taqiq yaratish")</f>
        <v>0</v>
      </c>
      <c r="BZ109" s="11">
        <f t="shared" si="33"/>
        <v>0</v>
      </c>
      <c r="CA109" s="11">
        <f>+COUNTIFS('muddati otgan'!C:C,A109,'muddati otgan'!J:J,"Soliq maydonini tekshirish")</f>
        <v>0</v>
      </c>
      <c r="CB109" s="11">
        <f t="shared" si="34"/>
        <v>0</v>
      </c>
      <c r="CC109" s="11">
        <f>+COUNTIFS('muddati otgan'!C:C,A109,'muddati otgan'!J:J,"Kadastr yig'majildini shakllantirish")</f>
        <v>0</v>
      </c>
      <c r="CD109" s="11">
        <f t="shared" si="35"/>
        <v>0</v>
      </c>
      <c r="CE109" s="11">
        <f>+COUNTIFS('muddati otgan'!C:C,A109,'muddati otgan'!J:J,"Kadastr passportini shakllantirish")</f>
        <v>0</v>
      </c>
      <c r="CF109" s="11">
        <f>+COUNTIFS('muddati otgan'!C:C,A109,'muddati otgan'!J:J,"Yig'ma jildni tasdiqlash")</f>
        <v>0</v>
      </c>
      <c r="CG109" s="11">
        <f>+COUNTIFS('muddati otgan'!C:C,A109,'muddati otgan'!J:J,"To'lov yoki bepul tasdiqlash")</f>
        <v>0</v>
      </c>
      <c r="CH109" s="11">
        <f>+COUNTIFS('muddati otgan'!C:C,A109,'muddati otgan'!J:J,"Bog'liq arizani kutish")</f>
        <v>0</v>
      </c>
      <c r="CI109" s="11">
        <f>+COUNTIFS('muddati otgan'!C:C,A109,'muddati otgan'!J:J,"To'lovga chiqarish")</f>
        <v>0</v>
      </c>
      <c r="CJ109" s="11">
        <f>+COUNTIFS('muddati otgan'!C:C,A109,'muddati otgan'!J:J,"Hisobga qo'yish")</f>
        <v>0</v>
      </c>
      <c r="CK109" s="6">
        <f>+COUNTIFS('muddati otgan'!C:C,A109,'muddati otgan'!J:J,"To'lov kutilmoqda")</f>
        <v>0</v>
      </c>
      <c r="CL109" s="11">
        <f t="shared" si="36"/>
        <v>0</v>
      </c>
      <c r="CM109" s="11">
        <f>+COUNTIFS('muddati otgan'!C:C,A109,'muddati otgan'!AA:AA,"Arizani qabul qilish2")</f>
        <v>0</v>
      </c>
      <c r="CN109" s="11">
        <f>+COUNTIFS('muddati otgan'!C:C,A109,'muddati otgan'!J:J,"Huquqlarni tekshirish")</f>
        <v>0</v>
      </c>
      <c r="CO109" s="11">
        <f>+COUNTIFS('muddati otgan'!C:C,A109,'muddati otgan'!J:J,"Ko'chmas mulkni ro'yhatdan o'tkazishga qabul qilish")</f>
        <v>0</v>
      </c>
      <c r="CP109" s="11">
        <f>+COUNTIFS('muddati otgan'!C:C,A109,'muddati otgan'!J:J,"Ro'yxatdan o'tkazish")</f>
        <v>0</v>
      </c>
      <c r="CQ109" s="11">
        <f>+COUNTIFS('muddati otgan'!C:C,A109,'muddati otgan'!J:J,"Kadastr pasporti va ko'chirmani yuborish")</f>
        <v>0</v>
      </c>
      <c r="CR109" s="11">
        <f>+COUNTIFS('muddati otgan'!C:C,A109,'muddati otgan'!AA:AA,"Rad qilish2")</f>
        <v>0</v>
      </c>
      <c r="CS109" s="11">
        <f>+COUNTIFS('muddati otgan'!C:C,A109,'muddati otgan'!J:J,"Ko'chirmani yuborish")</f>
        <v>0</v>
      </c>
      <c r="CT109" s="11">
        <f>+COUNTIFS('muddati otgan'!C:C,A109,'muddati otgan'!J:J,"Ma‘lumotlarni tekshirish")</f>
        <v>0</v>
      </c>
      <c r="CU109" s="11">
        <f t="shared" si="37"/>
        <v>0</v>
      </c>
      <c r="CV109" s="11">
        <f>+COUNTIFS('muddati otgan'!C:C,A109,'muddati otgan'!J:J,"Kadastr yig'majildini chop etish va arxiv ishiga tikish")</f>
        <v>0</v>
      </c>
      <c r="CW109" s="11">
        <f t="shared" si="38"/>
        <v>0</v>
      </c>
      <c r="CX109" s="11">
        <f>+COUNTIFS('muddati otgan'!C:C,A109,'muddati otgan'!J:J,"Kadastr yig‘majildini qabul qilish, arizani yakunlash")</f>
        <v>0</v>
      </c>
      <c r="CY109" s="11">
        <f>+COUNTIFS('muddati otgan'!C:C,A109,'muddati otgan'!J:J,"Next Cloudga yuklash")</f>
        <v>0</v>
      </c>
      <c r="CZ109" s="6">
        <f>+COUNTIFS('muddati otgan'!C:C,A109,'muddati otgan'!J:J,"Kelishish kutilmoqda")</f>
        <v>0</v>
      </c>
      <c r="DA109" s="6">
        <f>+COUNTIFS('muddati otgan'!C:C,A109,'muddati otgan'!J:J,"Yakunlandi")</f>
        <v>0</v>
      </c>
      <c r="DB109" s="10">
        <f>+COUNTIFS('muddati otgan'!C:C,A109,'muddati otgan'!J:J,"Rad etildi")</f>
        <v>0</v>
      </c>
      <c r="DC109" s="100">
        <f t="shared" si="5"/>
        <v>0</v>
      </c>
      <c r="DD109" s="44">
        <f>COUNTIFS('jami 1-20 kunlik arizalar'!C:C,A:A,'jami 1-20 kunlik arizalar'!S:S,"1")</f>
        <v>0</v>
      </c>
      <c r="DE109" s="11">
        <f>COUNTIFS('jami 1-20 kunlik arizalar'!C:C,A:A,'jami 1-20 kunlik arizalar'!S:S,"2")</f>
        <v>0</v>
      </c>
      <c r="DF109" s="11">
        <f>COUNTIFS('jami 1-20 kunlik arizalar'!C:C,A:A,'jami 1-20 kunlik arizalar'!S:S,"3")</f>
        <v>0</v>
      </c>
      <c r="DG109" s="11">
        <f>COUNTIFS('jami 1-20 kunlik arizalar'!C:C,A:A,'jami 1-20 kunlik arizalar'!S:S,"4")</f>
        <v>0</v>
      </c>
      <c r="DH109" s="11">
        <f>COUNTIFS('jami 1-20 kunlik arizalar'!C:C,A:A,'jami 1-20 kunlik arizalar'!S:S,"5")</f>
        <v>0</v>
      </c>
      <c r="DI109" s="11">
        <f>SUM(COUNTIFS('jami 1-20 kunlik arizalar'!C:C,A:A, 'jami 1-20 kunlik arizalar'!S:S, {6,7,8,9,10}))</f>
        <v>0</v>
      </c>
      <c r="DJ109" s="12">
        <f>SUM(COUNTIFS('jami 1-20 kunlik arizalar'!C:C,A:A, 'jami 1-20 kunlik arizalar'!S:S, "&gt;10"))</f>
        <v>0</v>
      </c>
    </row>
    <row r="110" spans="1:115" ht="32.1" hidden="1" customHeight="1" outlineLevel="1" x14ac:dyDescent="0.25">
      <c r="A110" s="92" t="s">
        <v>579</v>
      </c>
      <c r="B110" s="74"/>
      <c r="C110" s="85" t="s">
        <v>815</v>
      </c>
      <c r="D110" s="80">
        <f>+COUNTIFS('muddati otgan'!C:C,A110,'muddati otgan'!C:C,A110)</f>
        <v>0</v>
      </c>
      <c r="E110" s="10">
        <f>SUMIFS('muddati otgan'!$V:V,'muddati otgan'!$C:C,$A:A)</f>
        <v>0</v>
      </c>
      <c r="F110" s="10">
        <f>SUMIFS('muddati otgan'!$W:W,'muddati otgan'!$C:C,$A:A)</f>
        <v>0</v>
      </c>
      <c r="G110" s="24">
        <f>SUMIFS('muddati otgan'!$U:U,'muddati otgan'!$C:C,$A:A)</f>
        <v>0</v>
      </c>
      <c r="H110" s="11">
        <f>SUMIFS('muddati otgan'!$G:G,'muddati otgan'!$C:C,$A:A)</f>
        <v>0</v>
      </c>
      <c r="I110" s="12">
        <f>SUMIFS('muddati otgan'!$H:H,'muddati otgan'!$C:C,$A:A)</f>
        <v>0</v>
      </c>
      <c r="J110" s="44">
        <f t="shared" si="23"/>
        <v>0</v>
      </c>
      <c r="K110" s="11">
        <f>+COUNTIFS('muddati otgan'!C:C,A110,'muddati otgan'!AA:AA,"Arizani qabul qilish")</f>
        <v>0</v>
      </c>
      <c r="L110" s="11">
        <f>+COUNTIFS('muddati otgan'!C:C,A110,'muddati otgan'!J:J,"Arizani rad etish")</f>
        <v>0</v>
      </c>
      <c r="M110" s="11">
        <f>+COUNTIFS('muddati otgan'!C:C,A110,'muddati otgan'!J:J,"Arizani tasdiqlash")</f>
        <v>0</v>
      </c>
      <c r="N110" s="11">
        <f>+COUNTIFS('muddati otgan'!C:C,A110,'muddati otgan'!J:J,"Arizani yo'naltirish")</f>
        <v>0</v>
      </c>
      <c r="O110" s="11">
        <f>+COUNTIFS('muddati otgan'!C:C,A110,'muddati otgan'!J:J,"Rad qilish sababini o'rganish")</f>
        <v>0</v>
      </c>
      <c r="P110" s="11">
        <f>+COUNTIFS('muddati otgan'!C:C,A110,'muddati otgan'!J:J,"Ko'chmas mulkni UZKAD ga migratsiya qilish")</f>
        <v>0</v>
      </c>
      <c r="Q110" s="11">
        <f>+COUNTIFS('muddati otgan'!C:C,A110,'muddati otgan'!J:J,"Migratisya qilingan obyekt holatini tekshirish")</f>
        <v>0</v>
      </c>
      <c r="R110" s="11">
        <f>+COUNTIFS('muddati otgan'!C:C,A110,'muddati otgan'!J:J,"Ko‘chmas mulkni tanlash")</f>
        <v>0</v>
      </c>
      <c r="S110" s="11">
        <f>+COUNTIFS('muddati otgan'!C:C,A110,'muddati otgan'!J:J,"Arizani ko'rib chiqish")</f>
        <v>0</v>
      </c>
      <c r="T110" s="11">
        <f>+COUNTIFS('muddati otgan'!C:C,A110,'muddati otgan'!J:J,"Kadastr muhandisini tanlash")</f>
        <v>0</v>
      </c>
      <c r="U110" s="11">
        <f>+COUNTIFS('muddati otgan'!C:C,A110,'muddati otgan'!J:J,"Ko'chmas mulk turini tanlahsh")</f>
        <v>0</v>
      </c>
      <c r="V110" s="11">
        <f>+COUNTIFS('muddati otgan'!C:C,A110,'muddati otgan'!AA:AA,"Rad qilish")</f>
        <v>0</v>
      </c>
      <c r="W110" s="11">
        <f>+COUNTIFS('muddati otgan'!C:C,A110,'muddati otgan'!J:J,"ijrochi tanlash")</f>
        <v>0</v>
      </c>
      <c r="X110" s="11">
        <f>+COUNTIFS('muddati otgan'!C:C,A110,'muddati otgan'!J:J,"Ko'chmas mulk turini tanlash")</f>
        <v>0</v>
      </c>
      <c r="Y110" s="11">
        <f t="shared" si="24"/>
        <v>0</v>
      </c>
      <c r="Z110" s="11">
        <f>+COUNTIFS('muddati otgan'!C:C,A110,'muddati otgan'!J:J,"Ijroga qabul qilish")</f>
        <v>0</v>
      </c>
      <c r="AA110" s="11">
        <f>+COUNTIFS('muddati otgan'!C:C,A110,'muddati otgan'!J:J,"Joyida o'rganish va ma'lumotlarni kiritish")</f>
        <v>0</v>
      </c>
      <c r="AB110" s="11">
        <f>+COUNTIFS('muddati otgan'!C:C,A110,'muddati otgan'!J:J,"Asosiy qismdan ajratish jarayonida")</f>
        <v>0</v>
      </c>
      <c r="AC110" s="11">
        <f>+COUNTIFS('muddati otgan'!C:C,A110,'muddati otgan'!J:J,"Umumiy foydalanishdagi obyekt yaratilish")</f>
        <v>0</v>
      </c>
      <c r="AD110" s="11">
        <f>+COUNTIFS('muddati otgan'!C:C,A110,'muddati otgan'!J:J,"Migratsiya qilinadigan kadastr raqamini kiritish")</f>
        <v>0</v>
      </c>
      <c r="AE110" s="11">
        <f>+COUNTIFS('muddati otgan'!C:C,A110,'muddati otgan'!J:J,"O'zida qolgan obyektni yaratish")</f>
        <v>0</v>
      </c>
      <c r="AF110" s="11">
        <f>+COUNTIFS('muddati otgan'!C:C,A110,'muddati otgan'!J:J,"O'lchov natijalarini kiritish")</f>
        <v>0</v>
      </c>
      <c r="AG110" s="11">
        <f>+COUNTIFS('muddati otgan'!C:C,A110,'muddati otgan'!J:J,"Topoxaritani tayyorlash (dwg, pdf)")</f>
        <v>0</v>
      </c>
      <c r="AH110" s="11">
        <f t="shared" si="25"/>
        <v>0</v>
      </c>
      <c r="AI110" s="11">
        <f>+COUNTIFS('muddati otgan'!C:C,A110,'muddati otgan'!J:J,"Yer uchastkasini yaratish")</f>
        <v>0</v>
      </c>
      <c r="AJ110" s="11">
        <f t="shared" si="26"/>
        <v>0</v>
      </c>
      <c r="AK110" s="11">
        <f>+COUNTIFS('muddati otgan'!C:C,A110,'muddati otgan'!J:J,"Kelishish (Boshqarma)")</f>
        <v>0</v>
      </c>
      <c r="AL110" s="11">
        <f t="shared" si="27"/>
        <v>0</v>
      </c>
      <c r="AM110" s="11">
        <f>+COUNTIFS('muddati otgan'!C:C,A110,'muddati otgan'!J:J,"Kelishish (DKP)")</f>
        <v>0</v>
      </c>
      <c r="AN110" s="11">
        <f>+COUNTIFS('muddati otgan'!C:C,A110,'muddati otgan'!J:J,"Kelishish")</f>
        <v>0</v>
      </c>
      <c r="AO110" s="11">
        <f>+COUNTIFS('muddati otgan'!C:C,A110,'muddati otgan'!J:J,"Kelishish (Registratsiya DKP)")</f>
        <v>0</v>
      </c>
      <c r="AP110" s="11">
        <f t="shared" si="28"/>
        <v>0</v>
      </c>
      <c r="AQ110" s="11">
        <f>+COUNTIFS('muddati otgan'!C:C,A110,'muddati otgan'!J:J,"Manzil biriktirish")</f>
        <v>0</v>
      </c>
      <c r="AR110" s="11">
        <f>+COUNTIFS('muddati otgan'!C:C,A110,'muddati otgan'!J:J,"Bino va inshootlarni yaratish")</f>
        <v>0</v>
      </c>
      <c r="AS110" s="11">
        <f>+COUNTIFS('muddati otgan'!C:C,A110,'muddati otgan'!J:J,"Dov daraxtlarni yaratish")</f>
        <v>0</v>
      </c>
      <c r="AT110" s="11">
        <f>+COUNTIFS('muddati otgan'!C:C,A110,'muddati otgan'!J:J,"Yer uchastkasini tahrirlash")</f>
        <v>0</v>
      </c>
      <c r="AU110" s="11">
        <f t="shared" si="29"/>
        <v>0</v>
      </c>
      <c r="AV110" s="11">
        <f>+COUNTIFS('muddati otgan'!C:C,A110,'muddati otgan'!J:J,"Yer toifasi va maqsadini kiritish")</f>
        <v>0</v>
      </c>
      <c r="AW110" s="11">
        <f>+COUNTIFS('muddati otgan'!C:C,A110,'muddati otgan'!J:J,"Auksion yer tekshirish")</f>
        <v>0</v>
      </c>
      <c r="AX110" s="11">
        <f>+COUNTIFS('muddati otgan'!C:C,A110,'muddati otgan'!J:J,"Yer turlarini kiritish")</f>
        <v>0</v>
      </c>
      <c r="AY110" s="11">
        <f>+COUNTIFS('muddati otgan'!C:C,A110,'muddati otgan'!J:J,"Ma'lumotlarni kiritish")</f>
        <v>0</v>
      </c>
      <c r="AZ110" s="11">
        <f>+COUNTIFS('muddati otgan'!C:C,A110,'muddati otgan'!J:J,"Yer tekshirish")</f>
        <v>0</v>
      </c>
      <c r="BA110" s="11">
        <f t="shared" si="30"/>
        <v>0</v>
      </c>
      <c r="BB110" s="11">
        <f>+COUNTIFS('muddati otgan'!C:C,A110,'muddati otgan'!J:J,"Bino va inshoot ma'lumotlarini to‘ldirish")</f>
        <v>0</v>
      </c>
      <c r="BC110" s="11">
        <f>+COUNTIFS('muddati otgan'!C:C,A110,'muddati otgan'!J:J,"Inventarizatsiya ma'lumotlarini to‘ldirish")</f>
        <v>0</v>
      </c>
      <c r="BD110" s="11">
        <f>+COUNTIFS('muddati otgan'!C:C,A110,'muddati otgan'!J:J,"Yer uchastkasiga huquqiy hujjatlarni kiritsh")</f>
        <v>0</v>
      </c>
      <c r="BE110" s="11">
        <f>+COUNTIFS('muddati otgan'!C:C,A110,'muddati otgan'!J:J,"Bino-inshootlarga huquqiy hujjatlarni kiritsh")</f>
        <v>0</v>
      </c>
      <c r="BF110" s="11">
        <f>+COUNTIFS('muddati otgan'!C:C,A110,'muddati otgan'!J:J,"Kadastr qiymatini hisoblash va kiritish")</f>
        <v>0</v>
      </c>
      <c r="BG110" s="11">
        <f>+COUNTIFS('muddati otgan'!C:C,A110,'muddati otgan'!J:J,"Kadastr raqam biriktirish")</f>
        <v>0</v>
      </c>
      <c r="BH110" s="11">
        <f>+COUNTIFS('muddati otgan'!C:C,A110,'muddati otgan'!J:J,"Kadastr yig'ma jildni tayyorlash")</f>
        <v>0</v>
      </c>
      <c r="BI110" s="11">
        <f>+COUNTIFS('muddati otgan'!C:C,A110,'muddati otgan'!J:J,"Huquqni yaratish")</f>
        <v>0</v>
      </c>
      <c r="BJ110" s="11">
        <f>+COUNTIFS('muddati otgan'!C:C,A110,'muddati otgan'!J:J,"Hujjatlarni o'rganish")</f>
        <v>0</v>
      </c>
      <c r="BK110" s="11">
        <f>+COUNTIFS('muddati otgan'!C:C,A110,'muddati otgan'!J:J,"Ma'lumotlarni tekshirish")</f>
        <v>0</v>
      </c>
      <c r="BL110" s="11">
        <f t="shared" si="31"/>
        <v>0</v>
      </c>
      <c r="BM110" s="11">
        <f>+COUNTIFS('muddati otgan'!C:C,A110,'muddati otgan'!J:J,"Tekshirish")</f>
        <v>0</v>
      </c>
      <c r="BN110" s="11">
        <f>+COUNTIFS('muddati otgan'!C:C,A110,'muddati otgan'!J:J,"Hujjatlarni tekshirish")</f>
        <v>0</v>
      </c>
      <c r="BO110" s="11">
        <f>+COUNTIFS('muddati otgan'!C:C,A110,'muddati otgan'!J:J,"Tasdiqlash")</f>
        <v>0</v>
      </c>
      <c r="BP110" s="11">
        <f>+COUNTIFS('muddati otgan'!C:C,A110,'muddati otgan'!J:J,"tekshirish/tasdiqlash")</f>
        <v>0</v>
      </c>
      <c r="BQ110" s="11">
        <f>+COUNTIFS('muddati otgan'!C:C,A110,'muddati otgan'!J:J,"Ma'lumotlarni tasdiqlash")</f>
        <v>0</v>
      </c>
      <c r="BR110" s="11">
        <f t="shared" si="32"/>
        <v>0</v>
      </c>
      <c r="BS110" s="11">
        <f>+COUNTIFS('muddati otgan'!C:C,A110,'muddati otgan'!J:J,"Ro'yxatdan o'tkazish ma'lumotlarini tekshirish")</f>
        <v>0</v>
      </c>
      <c r="BT110" s="11">
        <f>+COUNTIFS('muddati otgan'!C:C,A110,'muddati otgan'!J:J,"Kamchiliklar bo'yicha habarnoma yuborish va 3 kunga to'xtatish")</f>
        <v>0</v>
      </c>
      <c r="BU110" s="11">
        <f>+COUNTIFS('muddati otgan'!C:C,A110,'muddati otgan'!J:J,"Hisobga olish")</f>
        <v>0</v>
      </c>
      <c r="BV110" s="11">
        <f>+COUNTIFS('muddati otgan'!C:C,A110,'muddati otgan'!J:J,"Yer uchastkasiga huquq yaratish")</f>
        <v>0</v>
      </c>
      <c r="BW110" s="11">
        <f>+COUNTIFS('muddati otgan'!C:C,A110,'muddati otgan'!J:J,"Bino-inshootga huquq yaratish")</f>
        <v>0</v>
      </c>
      <c r="BX110" s="11">
        <f>+COUNTIFS('muddati otgan'!C:C,A110,'muddati otgan'!J:J,"Cheklov yaratish")</f>
        <v>0</v>
      </c>
      <c r="BY110" s="11">
        <f>+COUNTIFS('muddati otgan'!C:C,A110,'muddati otgan'!J:J,"Taqiq yaratish")</f>
        <v>0</v>
      </c>
      <c r="BZ110" s="11">
        <f t="shared" si="33"/>
        <v>0</v>
      </c>
      <c r="CA110" s="11">
        <f>+COUNTIFS('muddati otgan'!C:C,A110,'muddati otgan'!J:J,"Soliq maydonini tekshirish")</f>
        <v>0</v>
      </c>
      <c r="CB110" s="11">
        <f t="shared" si="34"/>
        <v>0</v>
      </c>
      <c r="CC110" s="11">
        <f>+COUNTIFS('muddati otgan'!C:C,A110,'muddati otgan'!J:J,"Kadastr yig'majildini shakllantirish")</f>
        <v>0</v>
      </c>
      <c r="CD110" s="11">
        <f t="shared" si="35"/>
        <v>0</v>
      </c>
      <c r="CE110" s="11">
        <f>+COUNTIFS('muddati otgan'!C:C,A110,'muddati otgan'!J:J,"Kadastr passportini shakllantirish")</f>
        <v>0</v>
      </c>
      <c r="CF110" s="11">
        <f>+COUNTIFS('muddati otgan'!C:C,A110,'muddati otgan'!J:J,"Yig'ma jildni tasdiqlash")</f>
        <v>0</v>
      </c>
      <c r="CG110" s="11">
        <f>+COUNTIFS('muddati otgan'!C:C,A110,'muddati otgan'!J:J,"To'lov yoki bepul tasdiqlash")</f>
        <v>0</v>
      </c>
      <c r="CH110" s="11">
        <f>+COUNTIFS('muddati otgan'!C:C,A110,'muddati otgan'!J:J,"Bog'liq arizani kutish")</f>
        <v>0</v>
      </c>
      <c r="CI110" s="11">
        <f>+COUNTIFS('muddati otgan'!C:C,A110,'muddati otgan'!J:J,"To'lovga chiqarish")</f>
        <v>0</v>
      </c>
      <c r="CJ110" s="11">
        <f>+COUNTIFS('muddati otgan'!C:C,A110,'muddati otgan'!J:J,"Hisobga qo'yish")</f>
        <v>0</v>
      </c>
      <c r="CK110" s="6">
        <f>+COUNTIFS('muddati otgan'!C:C,A110,'muddati otgan'!J:J,"To'lov kutilmoqda")</f>
        <v>0</v>
      </c>
      <c r="CL110" s="11">
        <f t="shared" si="36"/>
        <v>0</v>
      </c>
      <c r="CM110" s="11">
        <f>+COUNTIFS('muddati otgan'!C:C,A110,'muddati otgan'!AA:AA,"Arizani qabul qilish2")</f>
        <v>0</v>
      </c>
      <c r="CN110" s="11">
        <f>+COUNTIFS('muddati otgan'!C:C,A110,'muddati otgan'!J:J,"Huquqlarni tekshirish")</f>
        <v>0</v>
      </c>
      <c r="CO110" s="11">
        <f>+COUNTIFS('muddati otgan'!C:C,A110,'muddati otgan'!J:J,"Ko'chmas mulkni ro'yhatdan o'tkazishga qabul qilish")</f>
        <v>0</v>
      </c>
      <c r="CP110" s="11">
        <f>+COUNTIFS('muddati otgan'!C:C,A110,'muddati otgan'!J:J,"Ro'yxatdan o'tkazish")</f>
        <v>0</v>
      </c>
      <c r="CQ110" s="11">
        <f>+COUNTIFS('muddati otgan'!C:C,A110,'muddati otgan'!J:J,"Kadastr pasporti va ko'chirmani yuborish")</f>
        <v>0</v>
      </c>
      <c r="CR110" s="11">
        <f>+COUNTIFS('muddati otgan'!C:C,A110,'muddati otgan'!AA:AA,"Rad qilish2")</f>
        <v>0</v>
      </c>
      <c r="CS110" s="11">
        <f>+COUNTIFS('muddati otgan'!C:C,A110,'muddati otgan'!J:J,"Ko'chirmani yuborish")</f>
        <v>0</v>
      </c>
      <c r="CT110" s="11">
        <f>+COUNTIFS('muddati otgan'!C:C,A110,'muddati otgan'!J:J,"Ma‘lumotlarni tekshirish")</f>
        <v>0</v>
      </c>
      <c r="CU110" s="11">
        <f t="shared" si="37"/>
        <v>0</v>
      </c>
      <c r="CV110" s="11">
        <f>+COUNTIFS('muddati otgan'!C:C,A110,'muddati otgan'!J:J,"Kadastr yig'majildini chop etish va arxiv ishiga tikish")</f>
        <v>0</v>
      </c>
      <c r="CW110" s="11">
        <f t="shared" si="38"/>
        <v>0</v>
      </c>
      <c r="CX110" s="11">
        <f>+COUNTIFS('muddati otgan'!C:C,A110,'muddati otgan'!J:J,"Kadastr yig‘majildini qabul qilish, arizani yakunlash")</f>
        <v>0</v>
      </c>
      <c r="CY110" s="11">
        <f>+COUNTIFS('muddati otgan'!C:C,A110,'muddati otgan'!J:J,"Next Cloudga yuklash")</f>
        <v>0</v>
      </c>
      <c r="CZ110" s="6">
        <f>+COUNTIFS('muddati otgan'!C:C,A110,'muddati otgan'!J:J,"Kelishish kutilmoqda")</f>
        <v>0</v>
      </c>
      <c r="DA110" s="6">
        <f>+COUNTIFS('muddati otgan'!C:C,A110,'muddati otgan'!J:J,"Yakunlandi")</f>
        <v>0</v>
      </c>
      <c r="DB110" s="10">
        <f>+COUNTIFS('muddati otgan'!C:C,A110,'muddati otgan'!J:J,"Rad etildi")</f>
        <v>0</v>
      </c>
      <c r="DC110" s="100">
        <f t="shared" si="5"/>
        <v>0</v>
      </c>
      <c r="DD110" s="44">
        <f>COUNTIFS('jami 1-20 kunlik arizalar'!C:C,A:A,'jami 1-20 kunlik arizalar'!S:S,"1")</f>
        <v>0</v>
      </c>
      <c r="DE110" s="11">
        <f>COUNTIFS('jami 1-20 kunlik arizalar'!C:C,A:A,'jami 1-20 kunlik arizalar'!S:S,"2")</f>
        <v>0</v>
      </c>
      <c r="DF110" s="11">
        <f>COUNTIFS('jami 1-20 kunlik arizalar'!C:C,A:A,'jami 1-20 kunlik arizalar'!S:S,"3")</f>
        <v>0</v>
      </c>
      <c r="DG110" s="11">
        <f>COUNTIFS('jami 1-20 kunlik arizalar'!C:C,A:A,'jami 1-20 kunlik arizalar'!S:S,"4")</f>
        <v>1</v>
      </c>
      <c r="DH110" s="11">
        <f>COUNTIFS('jami 1-20 kunlik arizalar'!C:C,A:A,'jami 1-20 kunlik arizalar'!S:S,"5")</f>
        <v>3</v>
      </c>
      <c r="DI110" s="11">
        <f>SUM(COUNTIFS('jami 1-20 kunlik arizalar'!C:C,A:A, 'jami 1-20 kunlik arizalar'!S:S, {6,7,8,9,10}))</f>
        <v>3</v>
      </c>
      <c r="DJ110" s="12">
        <f>SUM(COUNTIFS('jami 1-20 kunlik arizalar'!C:C,A:A, 'jami 1-20 kunlik arizalar'!S:S, "&gt;10"))</f>
        <v>4</v>
      </c>
    </row>
    <row r="111" spans="1:115" ht="32.1" hidden="1" customHeight="1" outlineLevel="1" x14ac:dyDescent="0.25">
      <c r="A111" s="92" t="s">
        <v>582</v>
      </c>
      <c r="B111" s="74"/>
      <c r="C111" s="85" t="s">
        <v>816</v>
      </c>
      <c r="D111" s="80">
        <f>+COUNTIFS('muddati otgan'!C:C,A111,'muddati otgan'!C:C,A111)</f>
        <v>0</v>
      </c>
      <c r="E111" s="10">
        <f>SUMIFS('muddati otgan'!$V:V,'muddati otgan'!$C:C,$A:A)</f>
        <v>0</v>
      </c>
      <c r="F111" s="10">
        <f>SUMIFS('muddati otgan'!$W:W,'muddati otgan'!$C:C,$A:A)</f>
        <v>0</v>
      </c>
      <c r="G111" s="24">
        <f>SUMIFS('muddati otgan'!$U:U,'muddati otgan'!$C:C,$A:A)</f>
        <v>0</v>
      </c>
      <c r="H111" s="11">
        <f>SUMIFS('muddati otgan'!$G:G,'muddati otgan'!$C:C,$A:A)</f>
        <v>0</v>
      </c>
      <c r="I111" s="12">
        <f>SUMIFS('muddati otgan'!$H:H,'muddati otgan'!$C:C,$A:A)</f>
        <v>0</v>
      </c>
      <c r="J111" s="44">
        <f t="shared" si="23"/>
        <v>0</v>
      </c>
      <c r="K111" s="11">
        <f>+COUNTIFS('muddati otgan'!C:C,A111,'muddati otgan'!AA:AA,"Arizani qabul qilish")</f>
        <v>0</v>
      </c>
      <c r="L111" s="11">
        <f>+COUNTIFS('muddati otgan'!C:C,A111,'muddati otgan'!J:J,"Arizani rad etish")</f>
        <v>0</v>
      </c>
      <c r="M111" s="11">
        <f>+COUNTIFS('muddati otgan'!C:C,A111,'muddati otgan'!J:J,"Arizani tasdiqlash")</f>
        <v>0</v>
      </c>
      <c r="N111" s="11">
        <f>+COUNTIFS('muddati otgan'!C:C,A111,'muddati otgan'!J:J,"Arizani yo'naltirish")</f>
        <v>0</v>
      </c>
      <c r="O111" s="11">
        <f>+COUNTIFS('muddati otgan'!C:C,A111,'muddati otgan'!J:J,"Rad qilish sababini o'rganish")</f>
        <v>0</v>
      </c>
      <c r="P111" s="11">
        <f>+COUNTIFS('muddati otgan'!C:C,A111,'muddati otgan'!J:J,"Ko'chmas mulkni UZKAD ga migratsiya qilish")</f>
        <v>0</v>
      </c>
      <c r="Q111" s="11">
        <f>+COUNTIFS('muddati otgan'!C:C,A111,'muddati otgan'!J:J,"Migratisya qilingan obyekt holatini tekshirish")</f>
        <v>0</v>
      </c>
      <c r="R111" s="11">
        <f>+COUNTIFS('muddati otgan'!C:C,A111,'muddati otgan'!J:J,"Ko‘chmas mulkni tanlash")</f>
        <v>0</v>
      </c>
      <c r="S111" s="11">
        <f>+COUNTIFS('muddati otgan'!C:C,A111,'muddati otgan'!J:J,"Arizani ko'rib chiqish")</f>
        <v>0</v>
      </c>
      <c r="T111" s="11">
        <f>+COUNTIFS('muddati otgan'!C:C,A111,'muddati otgan'!J:J,"Kadastr muhandisini tanlash")</f>
        <v>0</v>
      </c>
      <c r="U111" s="11">
        <f>+COUNTIFS('muddati otgan'!C:C,A111,'muddati otgan'!J:J,"Ko'chmas mulk turini tanlahsh")</f>
        <v>0</v>
      </c>
      <c r="V111" s="11">
        <f>+COUNTIFS('muddati otgan'!C:C,A111,'muddati otgan'!AA:AA,"Rad qilish")</f>
        <v>0</v>
      </c>
      <c r="W111" s="11">
        <f>+COUNTIFS('muddati otgan'!C:C,A111,'muddati otgan'!J:J,"ijrochi tanlash")</f>
        <v>0</v>
      </c>
      <c r="X111" s="11">
        <f>+COUNTIFS('muddati otgan'!C:C,A111,'muddati otgan'!J:J,"Ko'chmas mulk turini tanlash")</f>
        <v>0</v>
      </c>
      <c r="Y111" s="11">
        <f t="shared" si="24"/>
        <v>0</v>
      </c>
      <c r="Z111" s="11">
        <f>+COUNTIFS('muddati otgan'!C:C,A111,'muddati otgan'!J:J,"Ijroga qabul qilish")</f>
        <v>0</v>
      </c>
      <c r="AA111" s="11">
        <f>+COUNTIFS('muddati otgan'!C:C,A111,'muddati otgan'!J:J,"Joyida o'rganish va ma'lumotlarni kiritish")</f>
        <v>0</v>
      </c>
      <c r="AB111" s="11">
        <f>+COUNTIFS('muddati otgan'!C:C,A111,'muddati otgan'!J:J,"Asosiy qismdan ajratish jarayonida")</f>
        <v>0</v>
      </c>
      <c r="AC111" s="11">
        <f>+COUNTIFS('muddati otgan'!C:C,A111,'muddati otgan'!J:J,"Umumiy foydalanishdagi obyekt yaratilish")</f>
        <v>0</v>
      </c>
      <c r="AD111" s="11">
        <f>+COUNTIFS('muddati otgan'!C:C,A111,'muddati otgan'!J:J,"Migratsiya qilinadigan kadastr raqamini kiritish")</f>
        <v>0</v>
      </c>
      <c r="AE111" s="11">
        <f>+COUNTIFS('muddati otgan'!C:C,A111,'muddati otgan'!J:J,"O'zida qolgan obyektni yaratish")</f>
        <v>0</v>
      </c>
      <c r="AF111" s="11">
        <f>+COUNTIFS('muddati otgan'!C:C,A111,'muddati otgan'!J:J,"O'lchov natijalarini kiritish")</f>
        <v>0</v>
      </c>
      <c r="AG111" s="11">
        <f>+COUNTIFS('muddati otgan'!C:C,A111,'muddati otgan'!J:J,"Topoxaritani tayyorlash (dwg, pdf)")</f>
        <v>0</v>
      </c>
      <c r="AH111" s="11">
        <f t="shared" si="25"/>
        <v>0</v>
      </c>
      <c r="AI111" s="11">
        <f>+COUNTIFS('muddati otgan'!C:C,A111,'muddati otgan'!J:J,"Yer uchastkasini yaratish")</f>
        <v>0</v>
      </c>
      <c r="AJ111" s="11">
        <f t="shared" si="26"/>
        <v>0</v>
      </c>
      <c r="AK111" s="11">
        <f>+COUNTIFS('muddati otgan'!C:C,A111,'muddati otgan'!J:J,"Kelishish (Boshqarma)")</f>
        <v>0</v>
      </c>
      <c r="AL111" s="11">
        <f t="shared" si="27"/>
        <v>0</v>
      </c>
      <c r="AM111" s="11">
        <f>+COUNTIFS('muddati otgan'!C:C,A111,'muddati otgan'!J:J,"Kelishish (DKP)")</f>
        <v>0</v>
      </c>
      <c r="AN111" s="11">
        <f>+COUNTIFS('muddati otgan'!C:C,A111,'muddati otgan'!J:J,"Kelishish")</f>
        <v>0</v>
      </c>
      <c r="AO111" s="11">
        <f>+COUNTIFS('muddati otgan'!C:C,A111,'muddati otgan'!J:J,"Kelishish (Registratsiya DKP)")</f>
        <v>0</v>
      </c>
      <c r="AP111" s="11">
        <f t="shared" si="28"/>
        <v>0</v>
      </c>
      <c r="AQ111" s="11">
        <f>+COUNTIFS('muddati otgan'!C:C,A111,'muddati otgan'!J:J,"Manzil biriktirish")</f>
        <v>0</v>
      </c>
      <c r="AR111" s="11">
        <f>+COUNTIFS('muddati otgan'!C:C,A111,'muddati otgan'!J:J,"Bino va inshootlarni yaratish")</f>
        <v>0</v>
      </c>
      <c r="AS111" s="11">
        <f>+COUNTIFS('muddati otgan'!C:C,A111,'muddati otgan'!J:J,"Dov daraxtlarni yaratish")</f>
        <v>0</v>
      </c>
      <c r="AT111" s="11">
        <f>+COUNTIFS('muddati otgan'!C:C,A111,'muddati otgan'!J:J,"Yer uchastkasini tahrirlash")</f>
        <v>0</v>
      </c>
      <c r="AU111" s="11">
        <f t="shared" si="29"/>
        <v>0</v>
      </c>
      <c r="AV111" s="11">
        <f>+COUNTIFS('muddati otgan'!C:C,A111,'muddati otgan'!J:J,"Yer toifasi va maqsadini kiritish")</f>
        <v>0</v>
      </c>
      <c r="AW111" s="11">
        <f>+COUNTIFS('muddati otgan'!C:C,A111,'muddati otgan'!J:J,"Auksion yer tekshirish")</f>
        <v>0</v>
      </c>
      <c r="AX111" s="11">
        <f>+COUNTIFS('muddati otgan'!C:C,A111,'muddati otgan'!J:J,"Yer turlarini kiritish")</f>
        <v>0</v>
      </c>
      <c r="AY111" s="11">
        <f>+COUNTIFS('muddati otgan'!C:C,A111,'muddati otgan'!J:J,"Ma'lumotlarni kiritish")</f>
        <v>0</v>
      </c>
      <c r="AZ111" s="11">
        <f>+COUNTIFS('muddati otgan'!C:C,A111,'muddati otgan'!J:J,"Yer tekshirish")</f>
        <v>0</v>
      </c>
      <c r="BA111" s="11">
        <f t="shared" si="30"/>
        <v>0</v>
      </c>
      <c r="BB111" s="11">
        <f>+COUNTIFS('muddati otgan'!C:C,A111,'muddati otgan'!J:J,"Bino va inshoot ma'lumotlarini to‘ldirish")</f>
        <v>0</v>
      </c>
      <c r="BC111" s="11">
        <f>+COUNTIFS('muddati otgan'!C:C,A111,'muddati otgan'!J:J,"Inventarizatsiya ma'lumotlarini to‘ldirish")</f>
        <v>0</v>
      </c>
      <c r="BD111" s="11">
        <f>+COUNTIFS('muddati otgan'!C:C,A111,'muddati otgan'!J:J,"Yer uchastkasiga huquqiy hujjatlarni kiritsh")</f>
        <v>0</v>
      </c>
      <c r="BE111" s="11">
        <f>+COUNTIFS('muddati otgan'!C:C,A111,'muddati otgan'!J:J,"Bino-inshootlarga huquqiy hujjatlarni kiritsh")</f>
        <v>0</v>
      </c>
      <c r="BF111" s="11">
        <f>+COUNTIFS('muddati otgan'!C:C,A111,'muddati otgan'!J:J,"Kadastr qiymatini hisoblash va kiritish")</f>
        <v>0</v>
      </c>
      <c r="BG111" s="11">
        <f>+COUNTIFS('muddati otgan'!C:C,A111,'muddati otgan'!J:J,"Kadastr raqam biriktirish")</f>
        <v>0</v>
      </c>
      <c r="BH111" s="11">
        <f>+COUNTIFS('muddati otgan'!C:C,A111,'muddati otgan'!J:J,"Kadastr yig'ma jildni tayyorlash")</f>
        <v>0</v>
      </c>
      <c r="BI111" s="11">
        <f>+COUNTIFS('muddati otgan'!C:C,A111,'muddati otgan'!J:J,"Huquqni yaratish")</f>
        <v>0</v>
      </c>
      <c r="BJ111" s="11">
        <f>+COUNTIFS('muddati otgan'!C:C,A111,'muddati otgan'!J:J,"Hujjatlarni o'rganish")</f>
        <v>0</v>
      </c>
      <c r="BK111" s="11">
        <f>+COUNTIFS('muddati otgan'!C:C,A111,'muddati otgan'!J:J,"Ma'lumotlarni tekshirish")</f>
        <v>0</v>
      </c>
      <c r="BL111" s="11">
        <f t="shared" si="31"/>
        <v>0</v>
      </c>
      <c r="BM111" s="11">
        <f>+COUNTIFS('muddati otgan'!C:C,A111,'muddati otgan'!J:J,"Tekshirish")</f>
        <v>0</v>
      </c>
      <c r="BN111" s="11">
        <f>+COUNTIFS('muddati otgan'!C:C,A111,'muddati otgan'!J:J,"Hujjatlarni tekshirish")</f>
        <v>0</v>
      </c>
      <c r="BO111" s="11">
        <f>+COUNTIFS('muddati otgan'!C:C,A111,'muddati otgan'!J:J,"Tasdiqlash")</f>
        <v>0</v>
      </c>
      <c r="BP111" s="11">
        <f>+COUNTIFS('muddati otgan'!C:C,A111,'muddati otgan'!J:J,"tekshirish/tasdiqlash")</f>
        <v>0</v>
      </c>
      <c r="BQ111" s="11">
        <f>+COUNTIFS('muddati otgan'!C:C,A111,'muddati otgan'!J:J,"Ma'lumotlarni tasdiqlash")</f>
        <v>0</v>
      </c>
      <c r="BR111" s="11">
        <f t="shared" si="32"/>
        <v>0</v>
      </c>
      <c r="BS111" s="11">
        <f>+COUNTIFS('muddati otgan'!C:C,A111,'muddati otgan'!J:J,"Ro'yxatdan o'tkazish ma'lumotlarini tekshirish")</f>
        <v>0</v>
      </c>
      <c r="BT111" s="11">
        <f>+COUNTIFS('muddati otgan'!C:C,A111,'muddati otgan'!J:J,"Kamchiliklar bo'yicha habarnoma yuborish va 3 kunga to'xtatish")</f>
        <v>0</v>
      </c>
      <c r="BU111" s="11">
        <f>+COUNTIFS('muddati otgan'!C:C,A111,'muddati otgan'!J:J,"Hisobga olish")</f>
        <v>0</v>
      </c>
      <c r="BV111" s="11">
        <f>+COUNTIFS('muddati otgan'!C:C,A111,'muddati otgan'!J:J,"Yer uchastkasiga huquq yaratish")</f>
        <v>0</v>
      </c>
      <c r="BW111" s="11">
        <f>+COUNTIFS('muddati otgan'!C:C,A111,'muddati otgan'!J:J,"Bino-inshootga huquq yaratish")</f>
        <v>0</v>
      </c>
      <c r="BX111" s="11">
        <f>+COUNTIFS('muddati otgan'!C:C,A111,'muddati otgan'!J:J,"Cheklov yaratish")</f>
        <v>0</v>
      </c>
      <c r="BY111" s="11">
        <f>+COUNTIFS('muddati otgan'!C:C,A111,'muddati otgan'!J:J,"Taqiq yaratish")</f>
        <v>0</v>
      </c>
      <c r="BZ111" s="11">
        <f t="shared" si="33"/>
        <v>0</v>
      </c>
      <c r="CA111" s="11">
        <f>+COUNTIFS('muddati otgan'!C:C,A111,'muddati otgan'!J:J,"Soliq maydonini tekshirish")</f>
        <v>0</v>
      </c>
      <c r="CB111" s="11">
        <f t="shared" si="34"/>
        <v>0</v>
      </c>
      <c r="CC111" s="11">
        <f>+COUNTIFS('muddati otgan'!C:C,A111,'muddati otgan'!J:J,"Kadastr yig'majildini shakllantirish")</f>
        <v>0</v>
      </c>
      <c r="CD111" s="11">
        <f t="shared" si="35"/>
        <v>0</v>
      </c>
      <c r="CE111" s="11">
        <f>+COUNTIFS('muddati otgan'!C:C,A111,'muddati otgan'!J:J,"Kadastr passportini shakllantirish")</f>
        <v>0</v>
      </c>
      <c r="CF111" s="11">
        <f>+COUNTIFS('muddati otgan'!C:C,A111,'muddati otgan'!J:J,"Yig'ma jildni tasdiqlash")</f>
        <v>0</v>
      </c>
      <c r="CG111" s="11">
        <f>+COUNTIFS('muddati otgan'!C:C,A111,'muddati otgan'!J:J,"To'lov yoki bepul tasdiqlash")</f>
        <v>0</v>
      </c>
      <c r="CH111" s="11">
        <f>+COUNTIFS('muddati otgan'!C:C,A111,'muddati otgan'!J:J,"Bog'liq arizani kutish")</f>
        <v>0</v>
      </c>
      <c r="CI111" s="11">
        <f>+COUNTIFS('muddati otgan'!C:C,A111,'muddati otgan'!J:J,"To'lovga chiqarish")</f>
        <v>0</v>
      </c>
      <c r="CJ111" s="11">
        <f>+COUNTIFS('muddati otgan'!C:C,A111,'muddati otgan'!J:J,"Hisobga qo'yish")</f>
        <v>0</v>
      </c>
      <c r="CK111" s="6">
        <f>+COUNTIFS('muddati otgan'!C:C,A111,'muddati otgan'!J:J,"To'lov kutilmoqda")</f>
        <v>0</v>
      </c>
      <c r="CL111" s="11">
        <f t="shared" si="36"/>
        <v>0</v>
      </c>
      <c r="CM111" s="11">
        <f>+COUNTIFS('muddati otgan'!C:C,A111,'muddati otgan'!AA:AA,"Arizani qabul qilish2")</f>
        <v>0</v>
      </c>
      <c r="CN111" s="11">
        <f>+COUNTIFS('muddati otgan'!C:C,A111,'muddati otgan'!J:J,"Huquqlarni tekshirish")</f>
        <v>0</v>
      </c>
      <c r="CO111" s="11">
        <f>+COUNTIFS('muddati otgan'!C:C,A111,'muddati otgan'!J:J,"Ko'chmas mulkni ro'yhatdan o'tkazishga qabul qilish")</f>
        <v>0</v>
      </c>
      <c r="CP111" s="11">
        <f>+COUNTIFS('muddati otgan'!C:C,A111,'muddati otgan'!J:J,"Ro'yxatdan o'tkazish")</f>
        <v>0</v>
      </c>
      <c r="CQ111" s="11">
        <f>+COUNTIFS('muddati otgan'!C:C,A111,'muddati otgan'!J:J,"Kadastr pasporti va ko'chirmani yuborish")</f>
        <v>0</v>
      </c>
      <c r="CR111" s="11">
        <f>+COUNTIFS('muddati otgan'!C:C,A111,'muddati otgan'!AA:AA,"Rad qilish2")</f>
        <v>0</v>
      </c>
      <c r="CS111" s="11">
        <f>+COUNTIFS('muddati otgan'!C:C,A111,'muddati otgan'!J:J,"Ko'chirmani yuborish")</f>
        <v>0</v>
      </c>
      <c r="CT111" s="11">
        <f>+COUNTIFS('muddati otgan'!C:C,A111,'muddati otgan'!J:J,"Ma‘lumotlarni tekshirish")</f>
        <v>0</v>
      </c>
      <c r="CU111" s="11">
        <f t="shared" si="37"/>
        <v>0</v>
      </c>
      <c r="CV111" s="11">
        <f>+COUNTIFS('muddati otgan'!C:C,A111,'muddati otgan'!J:J,"Kadastr yig'majildini chop etish va arxiv ishiga tikish")</f>
        <v>0</v>
      </c>
      <c r="CW111" s="11">
        <f t="shared" si="38"/>
        <v>0</v>
      </c>
      <c r="CX111" s="11">
        <f>+COUNTIFS('muddati otgan'!C:C,A111,'muddati otgan'!J:J,"Kadastr yig‘majildini qabul qilish, arizani yakunlash")</f>
        <v>0</v>
      </c>
      <c r="CY111" s="11">
        <f>+COUNTIFS('muddati otgan'!C:C,A111,'muddati otgan'!J:J,"Next Cloudga yuklash")</f>
        <v>0</v>
      </c>
      <c r="CZ111" s="6">
        <f>+COUNTIFS('muddati otgan'!C:C,A111,'muddati otgan'!J:J,"Kelishish kutilmoqda")</f>
        <v>0</v>
      </c>
      <c r="DA111" s="6">
        <f>+COUNTIFS('muddati otgan'!C:C,A111,'muddati otgan'!J:J,"Yakunlandi")</f>
        <v>0</v>
      </c>
      <c r="DB111" s="10">
        <f>+COUNTIFS('muddati otgan'!C:C,A111,'muddati otgan'!J:J,"Rad etildi")</f>
        <v>0</v>
      </c>
      <c r="DC111" s="100">
        <f t="shared" si="5"/>
        <v>0</v>
      </c>
      <c r="DD111" s="44">
        <f>COUNTIFS('jami 1-20 kunlik arizalar'!C:C,A:A,'jami 1-20 kunlik arizalar'!S:S,"1")</f>
        <v>0</v>
      </c>
      <c r="DE111" s="11">
        <f>COUNTIFS('jami 1-20 kunlik arizalar'!C:C,A:A,'jami 1-20 kunlik arizalar'!S:S,"2")</f>
        <v>0</v>
      </c>
      <c r="DF111" s="11">
        <f>COUNTIFS('jami 1-20 kunlik arizalar'!C:C,A:A,'jami 1-20 kunlik arizalar'!S:S,"3")</f>
        <v>0</v>
      </c>
      <c r="DG111" s="11">
        <f>COUNTIFS('jami 1-20 kunlik arizalar'!C:C,A:A,'jami 1-20 kunlik arizalar'!S:S,"4")</f>
        <v>1</v>
      </c>
      <c r="DH111" s="11">
        <f>COUNTIFS('jami 1-20 kunlik arizalar'!C:C,A:A,'jami 1-20 kunlik arizalar'!S:S,"5")</f>
        <v>0</v>
      </c>
      <c r="DI111" s="11">
        <f>SUM(COUNTIFS('jami 1-20 kunlik arizalar'!C:C,A:A, 'jami 1-20 kunlik arizalar'!S:S, {6,7,8,9,10}))</f>
        <v>3</v>
      </c>
      <c r="DJ111" s="12">
        <f>SUM(COUNTIFS('jami 1-20 kunlik arizalar'!C:C,A:A, 'jami 1-20 kunlik arizalar'!S:S, "&gt;10"))</f>
        <v>3</v>
      </c>
    </row>
    <row r="112" spans="1:115" ht="32.1" hidden="1" customHeight="1" outlineLevel="1" x14ac:dyDescent="0.25">
      <c r="A112" s="92" t="s">
        <v>656</v>
      </c>
      <c r="B112" s="74"/>
      <c r="C112" s="85" t="s">
        <v>817</v>
      </c>
      <c r="D112" s="80">
        <f>+COUNTIFS('muddati otgan'!C:C,A112,'muddati otgan'!C:C,A112)</f>
        <v>0</v>
      </c>
      <c r="E112" s="10">
        <f>SUMIFS('muddati otgan'!$V:V,'muddati otgan'!$C:C,$A:A)</f>
        <v>0</v>
      </c>
      <c r="F112" s="10">
        <f>SUMIFS('muddati otgan'!$W:W,'muddati otgan'!$C:C,$A:A)</f>
        <v>0</v>
      </c>
      <c r="G112" s="24">
        <f>SUMIFS('muddati otgan'!$U:U,'muddati otgan'!$C:C,$A:A)</f>
        <v>0</v>
      </c>
      <c r="H112" s="11">
        <f>SUMIFS('muddati otgan'!$G:G,'muddati otgan'!$C:C,$A:A)</f>
        <v>0</v>
      </c>
      <c r="I112" s="12">
        <f>SUMIFS('muddati otgan'!$H:H,'muddati otgan'!$C:C,$A:A)</f>
        <v>0</v>
      </c>
      <c r="J112" s="44">
        <f t="shared" si="23"/>
        <v>0</v>
      </c>
      <c r="K112" s="11">
        <f>+COUNTIFS('muddati otgan'!C:C,A112,'muddati otgan'!AA:AA,"Arizani qabul qilish")</f>
        <v>0</v>
      </c>
      <c r="L112" s="11">
        <f>+COUNTIFS('muddati otgan'!C:C,A112,'muddati otgan'!J:J,"Arizani rad etish")</f>
        <v>0</v>
      </c>
      <c r="M112" s="11">
        <f>+COUNTIFS('muddati otgan'!C:C,A112,'muddati otgan'!J:J,"Arizani tasdiqlash")</f>
        <v>0</v>
      </c>
      <c r="N112" s="11">
        <f>+COUNTIFS('muddati otgan'!C:C,A112,'muddati otgan'!J:J,"Arizani yo'naltirish")</f>
        <v>0</v>
      </c>
      <c r="O112" s="11">
        <f>+COUNTIFS('muddati otgan'!C:C,A112,'muddati otgan'!J:J,"Rad qilish sababini o'rganish")</f>
        <v>0</v>
      </c>
      <c r="P112" s="11">
        <f>+COUNTIFS('muddati otgan'!C:C,A112,'muddati otgan'!J:J,"Ko'chmas mulkni UZKAD ga migratsiya qilish")</f>
        <v>0</v>
      </c>
      <c r="Q112" s="11">
        <f>+COUNTIFS('muddati otgan'!C:C,A112,'muddati otgan'!J:J,"Migratisya qilingan obyekt holatini tekshirish")</f>
        <v>0</v>
      </c>
      <c r="R112" s="11">
        <f>+COUNTIFS('muddati otgan'!C:C,A112,'muddati otgan'!J:J,"Ko‘chmas mulkni tanlash")</f>
        <v>0</v>
      </c>
      <c r="S112" s="11">
        <f>+COUNTIFS('muddati otgan'!C:C,A112,'muddati otgan'!J:J,"Arizani ko'rib chiqish")</f>
        <v>0</v>
      </c>
      <c r="T112" s="11">
        <f>+COUNTIFS('muddati otgan'!C:C,A112,'muddati otgan'!J:J,"Kadastr muhandisini tanlash")</f>
        <v>0</v>
      </c>
      <c r="U112" s="11">
        <f>+COUNTIFS('muddati otgan'!C:C,A112,'muddati otgan'!J:J,"Ko'chmas mulk turini tanlahsh")</f>
        <v>0</v>
      </c>
      <c r="V112" s="11">
        <f>+COUNTIFS('muddati otgan'!C:C,A112,'muddati otgan'!AA:AA,"Rad qilish")</f>
        <v>0</v>
      </c>
      <c r="W112" s="11">
        <f>+COUNTIFS('muddati otgan'!C:C,A112,'muddati otgan'!J:J,"ijrochi tanlash")</f>
        <v>0</v>
      </c>
      <c r="X112" s="11">
        <f>+COUNTIFS('muddati otgan'!C:C,A112,'muddati otgan'!J:J,"Ko'chmas mulk turini tanlash")</f>
        <v>0</v>
      </c>
      <c r="Y112" s="11">
        <f t="shared" si="24"/>
        <v>0</v>
      </c>
      <c r="Z112" s="11">
        <f>+COUNTIFS('muddati otgan'!C:C,A112,'muddati otgan'!J:J,"Ijroga qabul qilish")</f>
        <v>0</v>
      </c>
      <c r="AA112" s="11">
        <f>+COUNTIFS('muddati otgan'!C:C,A112,'muddati otgan'!J:J,"Joyida o'rganish va ma'lumotlarni kiritish")</f>
        <v>0</v>
      </c>
      <c r="AB112" s="11">
        <f>+COUNTIFS('muddati otgan'!C:C,A112,'muddati otgan'!J:J,"Asosiy qismdan ajratish jarayonida")</f>
        <v>0</v>
      </c>
      <c r="AC112" s="11">
        <f>+COUNTIFS('muddati otgan'!C:C,A112,'muddati otgan'!J:J,"Umumiy foydalanishdagi obyekt yaratilish")</f>
        <v>0</v>
      </c>
      <c r="AD112" s="11">
        <f>+COUNTIFS('muddati otgan'!C:C,A112,'muddati otgan'!J:J,"Migratsiya qilinadigan kadastr raqamini kiritish")</f>
        <v>0</v>
      </c>
      <c r="AE112" s="11">
        <f>+COUNTIFS('muddati otgan'!C:C,A112,'muddati otgan'!J:J,"O'zida qolgan obyektni yaratish")</f>
        <v>0</v>
      </c>
      <c r="AF112" s="11">
        <f>+COUNTIFS('muddati otgan'!C:C,A112,'muddati otgan'!J:J,"O'lchov natijalarini kiritish")</f>
        <v>0</v>
      </c>
      <c r="AG112" s="11">
        <f>+COUNTIFS('muddati otgan'!C:C,A112,'muddati otgan'!J:J,"Topoxaritani tayyorlash (dwg, pdf)")</f>
        <v>0</v>
      </c>
      <c r="AH112" s="11">
        <f t="shared" si="25"/>
        <v>0</v>
      </c>
      <c r="AI112" s="11">
        <f>+COUNTIFS('muddati otgan'!C:C,A112,'muddati otgan'!J:J,"Yer uchastkasini yaratish")</f>
        <v>0</v>
      </c>
      <c r="AJ112" s="11">
        <f t="shared" si="26"/>
        <v>0</v>
      </c>
      <c r="AK112" s="11">
        <f>+COUNTIFS('muddati otgan'!C:C,A112,'muddati otgan'!J:J,"Kelishish (Boshqarma)")</f>
        <v>0</v>
      </c>
      <c r="AL112" s="11">
        <f t="shared" si="27"/>
        <v>0</v>
      </c>
      <c r="AM112" s="11">
        <f>+COUNTIFS('muddati otgan'!C:C,A112,'muddati otgan'!J:J,"Kelishish (DKP)")</f>
        <v>0</v>
      </c>
      <c r="AN112" s="11">
        <f>+COUNTIFS('muddati otgan'!C:C,A112,'muddati otgan'!J:J,"Kelishish")</f>
        <v>0</v>
      </c>
      <c r="AO112" s="11">
        <f>+COUNTIFS('muddati otgan'!C:C,A112,'muddati otgan'!J:J,"Kelishish (Registratsiya DKP)")</f>
        <v>0</v>
      </c>
      <c r="AP112" s="11">
        <f t="shared" si="28"/>
        <v>0</v>
      </c>
      <c r="AQ112" s="11">
        <f>+COUNTIFS('muddati otgan'!C:C,A112,'muddati otgan'!J:J,"Manzil biriktirish")</f>
        <v>0</v>
      </c>
      <c r="AR112" s="11">
        <f>+COUNTIFS('muddati otgan'!C:C,A112,'muddati otgan'!J:J,"Bino va inshootlarni yaratish")</f>
        <v>0</v>
      </c>
      <c r="AS112" s="11">
        <f>+COUNTIFS('muddati otgan'!C:C,A112,'muddati otgan'!J:J,"Dov daraxtlarni yaratish")</f>
        <v>0</v>
      </c>
      <c r="AT112" s="11">
        <f>+COUNTIFS('muddati otgan'!C:C,A112,'muddati otgan'!J:J,"Yer uchastkasini tahrirlash")</f>
        <v>0</v>
      </c>
      <c r="AU112" s="11">
        <f t="shared" si="29"/>
        <v>0</v>
      </c>
      <c r="AV112" s="11">
        <f>+COUNTIFS('muddati otgan'!C:C,A112,'muddati otgan'!J:J,"Yer toifasi va maqsadini kiritish")</f>
        <v>0</v>
      </c>
      <c r="AW112" s="11">
        <f>+COUNTIFS('muddati otgan'!C:C,A112,'muddati otgan'!J:J,"Auksion yer tekshirish")</f>
        <v>0</v>
      </c>
      <c r="AX112" s="11">
        <f>+COUNTIFS('muddati otgan'!C:C,A112,'muddati otgan'!J:J,"Yer turlarini kiritish")</f>
        <v>0</v>
      </c>
      <c r="AY112" s="11">
        <f>+COUNTIFS('muddati otgan'!C:C,A112,'muddati otgan'!J:J,"Ma'lumotlarni kiritish")</f>
        <v>0</v>
      </c>
      <c r="AZ112" s="11">
        <f>+COUNTIFS('muddati otgan'!C:C,A112,'muddati otgan'!J:J,"Yer tekshirish")</f>
        <v>0</v>
      </c>
      <c r="BA112" s="11">
        <f t="shared" si="30"/>
        <v>0</v>
      </c>
      <c r="BB112" s="11">
        <f>+COUNTIFS('muddati otgan'!C:C,A112,'muddati otgan'!J:J,"Bino va inshoot ma'lumotlarini to‘ldirish")</f>
        <v>0</v>
      </c>
      <c r="BC112" s="11">
        <f>+COUNTIFS('muddati otgan'!C:C,A112,'muddati otgan'!J:J,"Inventarizatsiya ma'lumotlarini to‘ldirish")</f>
        <v>0</v>
      </c>
      <c r="BD112" s="11">
        <f>+COUNTIFS('muddati otgan'!C:C,A112,'muddati otgan'!J:J,"Yer uchastkasiga huquqiy hujjatlarni kiritsh")</f>
        <v>0</v>
      </c>
      <c r="BE112" s="11">
        <f>+COUNTIFS('muddati otgan'!C:C,A112,'muddati otgan'!J:J,"Bino-inshootlarga huquqiy hujjatlarni kiritsh")</f>
        <v>0</v>
      </c>
      <c r="BF112" s="11">
        <f>+COUNTIFS('muddati otgan'!C:C,A112,'muddati otgan'!J:J,"Kadastr qiymatini hisoblash va kiritish")</f>
        <v>0</v>
      </c>
      <c r="BG112" s="11">
        <f>+COUNTIFS('muddati otgan'!C:C,A112,'muddati otgan'!J:J,"Kadastr raqam biriktirish")</f>
        <v>0</v>
      </c>
      <c r="BH112" s="11">
        <f>+COUNTIFS('muddati otgan'!C:C,A112,'muddati otgan'!J:J,"Kadastr yig'ma jildni tayyorlash")</f>
        <v>0</v>
      </c>
      <c r="BI112" s="11">
        <f>+COUNTIFS('muddati otgan'!C:C,A112,'muddati otgan'!J:J,"Huquqni yaratish")</f>
        <v>0</v>
      </c>
      <c r="BJ112" s="11">
        <f>+COUNTIFS('muddati otgan'!C:C,A112,'muddati otgan'!J:J,"Hujjatlarni o'rganish")</f>
        <v>0</v>
      </c>
      <c r="BK112" s="11">
        <f>+COUNTIFS('muddati otgan'!C:C,A112,'muddati otgan'!J:J,"Ma'lumotlarni tekshirish")</f>
        <v>0</v>
      </c>
      <c r="BL112" s="11">
        <f t="shared" si="31"/>
        <v>0</v>
      </c>
      <c r="BM112" s="11">
        <f>+COUNTIFS('muddati otgan'!C:C,A112,'muddati otgan'!J:J,"Tekshirish")</f>
        <v>0</v>
      </c>
      <c r="BN112" s="11">
        <f>+COUNTIFS('muddati otgan'!C:C,A112,'muddati otgan'!J:J,"Hujjatlarni tekshirish")</f>
        <v>0</v>
      </c>
      <c r="BO112" s="11">
        <f>+COUNTIFS('muddati otgan'!C:C,A112,'muddati otgan'!J:J,"Tasdiqlash")</f>
        <v>0</v>
      </c>
      <c r="BP112" s="11">
        <f>+COUNTIFS('muddati otgan'!C:C,A112,'muddati otgan'!J:J,"tekshirish/tasdiqlash")</f>
        <v>0</v>
      </c>
      <c r="BQ112" s="11">
        <f>+COUNTIFS('muddati otgan'!C:C,A112,'muddati otgan'!J:J,"Ma'lumotlarni tasdiqlash")</f>
        <v>0</v>
      </c>
      <c r="BR112" s="11">
        <f t="shared" si="32"/>
        <v>0</v>
      </c>
      <c r="BS112" s="11">
        <f>+COUNTIFS('muddati otgan'!C:C,A112,'muddati otgan'!J:J,"Ro'yxatdan o'tkazish ma'lumotlarini tekshirish")</f>
        <v>0</v>
      </c>
      <c r="BT112" s="11">
        <f>+COUNTIFS('muddati otgan'!C:C,A112,'muddati otgan'!J:J,"Kamchiliklar bo'yicha habarnoma yuborish va 3 kunga to'xtatish")</f>
        <v>0</v>
      </c>
      <c r="BU112" s="11">
        <f>+COUNTIFS('muddati otgan'!C:C,A112,'muddati otgan'!J:J,"Hisobga olish")</f>
        <v>0</v>
      </c>
      <c r="BV112" s="11">
        <f>+COUNTIFS('muddati otgan'!C:C,A112,'muddati otgan'!J:J,"Yer uchastkasiga huquq yaratish")</f>
        <v>0</v>
      </c>
      <c r="BW112" s="11">
        <f>+COUNTIFS('muddati otgan'!C:C,A112,'muddati otgan'!J:J,"Bino-inshootga huquq yaratish")</f>
        <v>0</v>
      </c>
      <c r="BX112" s="11">
        <f>+COUNTIFS('muddati otgan'!C:C,A112,'muddati otgan'!J:J,"Cheklov yaratish")</f>
        <v>0</v>
      </c>
      <c r="BY112" s="11">
        <f>+COUNTIFS('muddati otgan'!C:C,A112,'muddati otgan'!J:J,"Taqiq yaratish")</f>
        <v>0</v>
      </c>
      <c r="BZ112" s="11">
        <f t="shared" si="33"/>
        <v>0</v>
      </c>
      <c r="CA112" s="11">
        <f>+COUNTIFS('muddati otgan'!C:C,A112,'muddati otgan'!J:J,"Soliq maydonini tekshirish")</f>
        <v>0</v>
      </c>
      <c r="CB112" s="11">
        <f t="shared" si="34"/>
        <v>0</v>
      </c>
      <c r="CC112" s="11">
        <f>+COUNTIFS('muddati otgan'!C:C,A112,'muddati otgan'!J:J,"Kadastr yig'majildini shakllantirish")</f>
        <v>0</v>
      </c>
      <c r="CD112" s="11">
        <f t="shared" si="35"/>
        <v>0</v>
      </c>
      <c r="CE112" s="11">
        <f>+COUNTIFS('muddati otgan'!C:C,A112,'muddati otgan'!J:J,"Kadastr passportini shakllantirish")</f>
        <v>0</v>
      </c>
      <c r="CF112" s="11">
        <f>+COUNTIFS('muddati otgan'!C:C,A112,'muddati otgan'!J:J,"Yig'ma jildni tasdiqlash")</f>
        <v>0</v>
      </c>
      <c r="CG112" s="11">
        <f>+COUNTIFS('muddati otgan'!C:C,A112,'muddati otgan'!J:J,"To'lov yoki bepul tasdiqlash")</f>
        <v>0</v>
      </c>
      <c r="CH112" s="11">
        <f>+COUNTIFS('muddati otgan'!C:C,A112,'muddati otgan'!J:J,"Bog'liq arizani kutish")</f>
        <v>0</v>
      </c>
      <c r="CI112" s="11">
        <f>+COUNTIFS('muddati otgan'!C:C,A112,'muddati otgan'!J:J,"To'lovga chiqarish")</f>
        <v>0</v>
      </c>
      <c r="CJ112" s="11">
        <f>+COUNTIFS('muddati otgan'!C:C,A112,'muddati otgan'!J:J,"Hisobga qo'yish")</f>
        <v>0</v>
      </c>
      <c r="CK112" s="6">
        <f>+COUNTIFS('muddati otgan'!C:C,A112,'muddati otgan'!J:J,"To'lov kutilmoqda")</f>
        <v>0</v>
      </c>
      <c r="CL112" s="11">
        <f t="shared" si="36"/>
        <v>0</v>
      </c>
      <c r="CM112" s="11">
        <f>+COUNTIFS('muddati otgan'!C:C,A112,'muddati otgan'!AA:AA,"Arizani qabul qilish2")</f>
        <v>0</v>
      </c>
      <c r="CN112" s="11">
        <f>+COUNTIFS('muddati otgan'!C:C,A112,'muddati otgan'!J:J,"Huquqlarni tekshirish")</f>
        <v>0</v>
      </c>
      <c r="CO112" s="11">
        <f>+COUNTIFS('muddati otgan'!C:C,A112,'muddati otgan'!J:J,"Ko'chmas mulkni ro'yhatdan o'tkazishga qabul qilish")</f>
        <v>0</v>
      </c>
      <c r="CP112" s="11">
        <f>+COUNTIFS('muddati otgan'!C:C,A112,'muddati otgan'!J:J,"Ro'yxatdan o'tkazish")</f>
        <v>0</v>
      </c>
      <c r="CQ112" s="11">
        <f>+COUNTIFS('muddati otgan'!C:C,A112,'muddati otgan'!J:J,"Kadastr pasporti va ko'chirmani yuborish")</f>
        <v>0</v>
      </c>
      <c r="CR112" s="11">
        <f>+COUNTIFS('muddati otgan'!C:C,A112,'muddati otgan'!AA:AA,"Rad qilish2")</f>
        <v>0</v>
      </c>
      <c r="CS112" s="11">
        <f>+COUNTIFS('muddati otgan'!C:C,A112,'muddati otgan'!J:J,"Ko'chirmani yuborish")</f>
        <v>0</v>
      </c>
      <c r="CT112" s="11">
        <f>+COUNTIFS('muddati otgan'!C:C,A112,'muddati otgan'!J:J,"Ma‘lumotlarni tekshirish")</f>
        <v>0</v>
      </c>
      <c r="CU112" s="11">
        <f t="shared" si="37"/>
        <v>0</v>
      </c>
      <c r="CV112" s="11">
        <f>+COUNTIFS('muddati otgan'!C:C,A112,'muddati otgan'!J:J,"Kadastr yig'majildini chop etish va arxiv ishiga tikish")</f>
        <v>0</v>
      </c>
      <c r="CW112" s="11">
        <f t="shared" si="38"/>
        <v>0</v>
      </c>
      <c r="CX112" s="11">
        <f>+COUNTIFS('muddati otgan'!C:C,A112,'muddati otgan'!J:J,"Kadastr yig‘majildini qabul qilish, arizani yakunlash")</f>
        <v>0</v>
      </c>
      <c r="CY112" s="11">
        <f>+COUNTIFS('muddati otgan'!C:C,A112,'muddati otgan'!J:J,"Next Cloudga yuklash")</f>
        <v>0</v>
      </c>
      <c r="CZ112" s="6">
        <f>+COUNTIFS('muddati otgan'!C:C,A112,'muddati otgan'!J:J,"Kelishish kutilmoqda")</f>
        <v>0</v>
      </c>
      <c r="DA112" s="6">
        <f>+COUNTIFS('muddati otgan'!C:C,A112,'muddati otgan'!J:J,"Yakunlandi")</f>
        <v>0</v>
      </c>
      <c r="DB112" s="10">
        <f>+COUNTIFS('muddati otgan'!C:C,A112,'muddati otgan'!J:J,"Rad etildi")</f>
        <v>0</v>
      </c>
      <c r="DC112" s="100">
        <f t="shared" si="5"/>
        <v>0</v>
      </c>
      <c r="DD112" s="44">
        <f>COUNTIFS('jami 1-20 kunlik arizalar'!C:C,A:A,'jami 1-20 kunlik arizalar'!S:S,"1")</f>
        <v>0</v>
      </c>
      <c r="DE112" s="11">
        <f>COUNTIFS('jami 1-20 kunlik arizalar'!C:C,A:A,'jami 1-20 kunlik arizalar'!S:S,"2")</f>
        <v>0</v>
      </c>
      <c r="DF112" s="11">
        <f>COUNTIFS('jami 1-20 kunlik arizalar'!C:C,A:A,'jami 1-20 kunlik arizalar'!S:S,"3")</f>
        <v>1</v>
      </c>
      <c r="DG112" s="11">
        <f>COUNTIFS('jami 1-20 kunlik arizalar'!C:C,A:A,'jami 1-20 kunlik arizalar'!S:S,"4")</f>
        <v>2</v>
      </c>
      <c r="DH112" s="11">
        <f>COUNTIFS('jami 1-20 kunlik arizalar'!C:C,A:A,'jami 1-20 kunlik arizalar'!S:S,"5")</f>
        <v>1</v>
      </c>
      <c r="DI112" s="11">
        <f>SUM(COUNTIFS('jami 1-20 kunlik arizalar'!C:C,A:A, 'jami 1-20 kunlik arizalar'!S:S, {6,7,8,9,10}))</f>
        <v>4</v>
      </c>
      <c r="DJ112" s="12">
        <f>SUM(COUNTIFS('jami 1-20 kunlik arizalar'!C:C,A:A, 'jami 1-20 kunlik arizalar'!S:S, "&gt;10"))</f>
        <v>6</v>
      </c>
    </row>
    <row r="113" spans="1:115" ht="32.1" hidden="1" customHeight="1" outlineLevel="1" x14ac:dyDescent="0.25">
      <c r="A113" s="92" t="s">
        <v>661</v>
      </c>
      <c r="B113" s="74"/>
      <c r="C113" s="85" t="s">
        <v>818</v>
      </c>
      <c r="D113" s="80">
        <f>+COUNTIFS('muddati otgan'!C:C,A113,'muddati otgan'!C:C,A113)</f>
        <v>0</v>
      </c>
      <c r="E113" s="10">
        <f>SUMIFS('muddati otgan'!$V:V,'muddati otgan'!$C:C,$A:A)</f>
        <v>0</v>
      </c>
      <c r="F113" s="10">
        <f>SUMIFS('muddati otgan'!$W:W,'muddati otgan'!$C:C,$A:A)</f>
        <v>0</v>
      </c>
      <c r="G113" s="24">
        <f>SUMIFS('muddati otgan'!$U:U,'muddati otgan'!$C:C,$A:A)</f>
        <v>0</v>
      </c>
      <c r="H113" s="11">
        <f>SUMIFS('muddati otgan'!$G:G,'muddati otgan'!$C:C,$A:A)</f>
        <v>0</v>
      </c>
      <c r="I113" s="12">
        <f>SUMIFS('muddati otgan'!$H:H,'muddati otgan'!$C:C,$A:A)</f>
        <v>0</v>
      </c>
      <c r="J113" s="44">
        <f t="shared" si="23"/>
        <v>0</v>
      </c>
      <c r="K113" s="11">
        <f>+COUNTIFS('muddati otgan'!C:C,A113,'muddati otgan'!AA:AA,"Arizani qabul qilish")</f>
        <v>0</v>
      </c>
      <c r="L113" s="11">
        <f>+COUNTIFS('muddati otgan'!C:C,A113,'muddati otgan'!J:J,"Arizani rad etish")</f>
        <v>0</v>
      </c>
      <c r="M113" s="11">
        <f>+COUNTIFS('muddati otgan'!C:C,A113,'muddati otgan'!J:J,"Arizani tasdiqlash")</f>
        <v>0</v>
      </c>
      <c r="N113" s="11">
        <f>+COUNTIFS('muddati otgan'!C:C,A113,'muddati otgan'!J:J,"Arizani yo'naltirish")</f>
        <v>0</v>
      </c>
      <c r="O113" s="11">
        <f>+COUNTIFS('muddati otgan'!C:C,A113,'muddati otgan'!J:J,"Rad qilish sababini o'rganish")</f>
        <v>0</v>
      </c>
      <c r="P113" s="11">
        <f>+COUNTIFS('muddati otgan'!C:C,A113,'muddati otgan'!J:J,"Ko'chmas mulkni UZKAD ga migratsiya qilish")</f>
        <v>0</v>
      </c>
      <c r="Q113" s="11">
        <f>+COUNTIFS('muddati otgan'!C:C,A113,'muddati otgan'!J:J,"Migratisya qilingan obyekt holatini tekshirish")</f>
        <v>0</v>
      </c>
      <c r="R113" s="11">
        <f>+COUNTIFS('muddati otgan'!C:C,A113,'muddati otgan'!J:J,"Ko‘chmas mulkni tanlash")</f>
        <v>0</v>
      </c>
      <c r="S113" s="11">
        <f>+COUNTIFS('muddati otgan'!C:C,A113,'muddati otgan'!J:J,"Arizani ko'rib chiqish")</f>
        <v>0</v>
      </c>
      <c r="T113" s="11">
        <f>+COUNTIFS('muddati otgan'!C:C,A113,'muddati otgan'!J:J,"Kadastr muhandisini tanlash")</f>
        <v>0</v>
      </c>
      <c r="U113" s="11">
        <f>+COUNTIFS('muddati otgan'!C:C,A113,'muddati otgan'!J:J,"Ko'chmas mulk turini tanlahsh")</f>
        <v>0</v>
      </c>
      <c r="V113" s="11">
        <f>+COUNTIFS('muddati otgan'!C:C,A113,'muddati otgan'!AA:AA,"Rad qilish")</f>
        <v>0</v>
      </c>
      <c r="W113" s="11">
        <f>+COUNTIFS('muddati otgan'!C:C,A113,'muddati otgan'!J:J,"ijrochi tanlash")</f>
        <v>0</v>
      </c>
      <c r="X113" s="11">
        <f>+COUNTIFS('muddati otgan'!C:C,A113,'muddati otgan'!J:J,"Ko'chmas mulk turini tanlash")</f>
        <v>0</v>
      </c>
      <c r="Y113" s="11">
        <f t="shared" si="24"/>
        <v>0</v>
      </c>
      <c r="Z113" s="11">
        <f>+COUNTIFS('muddati otgan'!C:C,A113,'muddati otgan'!J:J,"Ijroga qabul qilish")</f>
        <v>0</v>
      </c>
      <c r="AA113" s="11">
        <f>+COUNTIFS('muddati otgan'!C:C,A113,'muddati otgan'!J:J,"Joyida o'rganish va ma'lumotlarni kiritish")</f>
        <v>0</v>
      </c>
      <c r="AB113" s="11">
        <f>+COUNTIFS('muddati otgan'!C:C,A113,'muddati otgan'!J:J,"Asosiy qismdan ajratish jarayonida")</f>
        <v>0</v>
      </c>
      <c r="AC113" s="11">
        <f>+COUNTIFS('muddati otgan'!C:C,A113,'muddati otgan'!J:J,"Umumiy foydalanishdagi obyekt yaratilish")</f>
        <v>0</v>
      </c>
      <c r="AD113" s="11">
        <f>+COUNTIFS('muddati otgan'!C:C,A113,'muddati otgan'!J:J,"Migratsiya qilinadigan kadastr raqamini kiritish")</f>
        <v>0</v>
      </c>
      <c r="AE113" s="11">
        <f>+COUNTIFS('muddati otgan'!C:C,A113,'muddati otgan'!J:J,"O'zida qolgan obyektni yaratish")</f>
        <v>0</v>
      </c>
      <c r="AF113" s="11">
        <f>+COUNTIFS('muddati otgan'!C:C,A113,'muddati otgan'!J:J,"O'lchov natijalarini kiritish")</f>
        <v>0</v>
      </c>
      <c r="AG113" s="11">
        <f>+COUNTIFS('muddati otgan'!C:C,A113,'muddati otgan'!J:J,"Topoxaritani tayyorlash (dwg, pdf)")</f>
        <v>0</v>
      </c>
      <c r="AH113" s="11">
        <f t="shared" si="25"/>
        <v>0</v>
      </c>
      <c r="AI113" s="11">
        <f>+COUNTIFS('muddati otgan'!C:C,A113,'muddati otgan'!J:J,"Yer uchastkasini yaratish")</f>
        <v>0</v>
      </c>
      <c r="AJ113" s="11">
        <f t="shared" si="26"/>
        <v>0</v>
      </c>
      <c r="AK113" s="11">
        <f>+COUNTIFS('muddati otgan'!C:C,A113,'muddati otgan'!J:J,"Kelishish (Boshqarma)")</f>
        <v>0</v>
      </c>
      <c r="AL113" s="11">
        <f t="shared" si="27"/>
        <v>0</v>
      </c>
      <c r="AM113" s="11">
        <f>+COUNTIFS('muddati otgan'!C:C,A113,'muddati otgan'!J:J,"Kelishish (DKP)")</f>
        <v>0</v>
      </c>
      <c r="AN113" s="11">
        <f>+COUNTIFS('muddati otgan'!C:C,A113,'muddati otgan'!J:J,"Kelishish")</f>
        <v>0</v>
      </c>
      <c r="AO113" s="11">
        <f>+COUNTIFS('muddati otgan'!C:C,A113,'muddati otgan'!J:J,"Kelishish (Registratsiya DKP)")</f>
        <v>0</v>
      </c>
      <c r="AP113" s="11">
        <f t="shared" si="28"/>
        <v>0</v>
      </c>
      <c r="AQ113" s="11">
        <f>+COUNTIFS('muddati otgan'!C:C,A113,'muddati otgan'!J:J,"Manzil biriktirish")</f>
        <v>0</v>
      </c>
      <c r="AR113" s="11">
        <f>+COUNTIFS('muddati otgan'!C:C,A113,'muddati otgan'!J:J,"Bino va inshootlarni yaratish")</f>
        <v>0</v>
      </c>
      <c r="AS113" s="11">
        <f>+COUNTIFS('muddati otgan'!C:C,A113,'muddati otgan'!J:J,"Dov daraxtlarni yaratish")</f>
        <v>0</v>
      </c>
      <c r="AT113" s="11">
        <f>+COUNTIFS('muddati otgan'!C:C,A113,'muddati otgan'!J:J,"Yer uchastkasini tahrirlash")</f>
        <v>0</v>
      </c>
      <c r="AU113" s="11">
        <f t="shared" si="29"/>
        <v>0</v>
      </c>
      <c r="AV113" s="11">
        <f>+COUNTIFS('muddati otgan'!C:C,A113,'muddati otgan'!J:J,"Yer toifasi va maqsadini kiritish")</f>
        <v>0</v>
      </c>
      <c r="AW113" s="11">
        <f>+COUNTIFS('muddati otgan'!C:C,A113,'muddati otgan'!J:J,"Auksion yer tekshirish")</f>
        <v>0</v>
      </c>
      <c r="AX113" s="11">
        <f>+COUNTIFS('muddati otgan'!C:C,A113,'muddati otgan'!J:J,"Yer turlarini kiritish")</f>
        <v>0</v>
      </c>
      <c r="AY113" s="11">
        <f>+COUNTIFS('muddati otgan'!C:C,A113,'muddati otgan'!J:J,"Ma'lumotlarni kiritish")</f>
        <v>0</v>
      </c>
      <c r="AZ113" s="11">
        <f>+COUNTIFS('muddati otgan'!C:C,A113,'muddati otgan'!J:J,"Yer tekshirish")</f>
        <v>0</v>
      </c>
      <c r="BA113" s="11">
        <f t="shared" si="30"/>
        <v>0</v>
      </c>
      <c r="BB113" s="11">
        <f>+COUNTIFS('muddati otgan'!C:C,A113,'muddati otgan'!J:J,"Bino va inshoot ma'lumotlarini to‘ldirish")</f>
        <v>0</v>
      </c>
      <c r="BC113" s="11">
        <f>+COUNTIFS('muddati otgan'!C:C,A113,'muddati otgan'!J:J,"Inventarizatsiya ma'lumotlarini to‘ldirish")</f>
        <v>0</v>
      </c>
      <c r="BD113" s="11">
        <f>+COUNTIFS('muddati otgan'!C:C,A113,'muddati otgan'!J:J,"Yer uchastkasiga huquqiy hujjatlarni kiritsh")</f>
        <v>0</v>
      </c>
      <c r="BE113" s="11">
        <f>+COUNTIFS('muddati otgan'!C:C,A113,'muddati otgan'!J:J,"Bino-inshootlarga huquqiy hujjatlarni kiritsh")</f>
        <v>0</v>
      </c>
      <c r="BF113" s="11">
        <f>+COUNTIFS('muddati otgan'!C:C,A113,'muddati otgan'!J:J,"Kadastr qiymatini hisoblash va kiritish")</f>
        <v>0</v>
      </c>
      <c r="BG113" s="11">
        <f>+COUNTIFS('muddati otgan'!C:C,A113,'muddati otgan'!J:J,"Kadastr raqam biriktirish")</f>
        <v>0</v>
      </c>
      <c r="BH113" s="11">
        <f>+COUNTIFS('muddati otgan'!C:C,A113,'muddati otgan'!J:J,"Kadastr yig'ma jildni tayyorlash")</f>
        <v>0</v>
      </c>
      <c r="BI113" s="11">
        <f>+COUNTIFS('muddati otgan'!C:C,A113,'muddati otgan'!J:J,"Huquqni yaratish")</f>
        <v>0</v>
      </c>
      <c r="BJ113" s="11">
        <f>+COUNTIFS('muddati otgan'!C:C,A113,'muddati otgan'!J:J,"Hujjatlarni o'rganish")</f>
        <v>0</v>
      </c>
      <c r="BK113" s="11">
        <f>+COUNTIFS('muddati otgan'!C:C,A113,'muddati otgan'!J:J,"Ma'lumotlarni tekshirish")</f>
        <v>0</v>
      </c>
      <c r="BL113" s="11">
        <f t="shared" si="31"/>
        <v>0</v>
      </c>
      <c r="BM113" s="11">
        <f>+COUNTIFS('muddati otgan'!C:C,A113,'muddati otgan'!J:J,"Tekshirish")</f>
        <v>0</v>
      </c>
      <c r="BN113" s="11">
        <f>+COUNTIFS('muddati otgan'!C:C,A113,'muddati otgan'!J:J,"Hujjatlarni tekshirish")</f>
        <v>0</v>
      </c>
      <c r="BO113" s="11">
        <f>+COUNTIFS('muddati otgan'!C:C,A113,'muddati otgan'!J:J,"Tasdiqlash")</f>
        <v>0</v>
      </c>
      <c r="BP113" s="11">
        <f>+COUNTIFS('muddati otgan'!C:C,A113,'muddati otgan'!J:J,"tekshirish/tasdiqlash")</f>
        <v>0</v>
      </c>
      <c r="BQ113" s="11">
        <f>+COUNTIFS('muddati otgan'!C:C,A113,'muddati otgan'!J:J,"Ma'lumotlarni tasdiqlash")</f>
        <v>0</v>
      </c>
      <c r="BR113" s="11">
        <f t="shared" si="32"/>
        <v>0</v>
      </c>
      <c r="BS113" s="11">
        <f>+COUNTIFS('muddati otgan'!C:C,A113,'muddati otgan'!J:J,"Ro'yxatdan o'tkazish ma'lumotlarini tekshirish")</f>
        <v>0</v>
      </c>
      <c r="BT113" s="11">
        <f>+COUNTIFS('muddati otgan'!C:C,A113,'muddati otgan'!J:J,"Kamchiliklar bo'yicha habarnoma yuborish va 3 kunga to'xtatish")</f>
        <v>0</v>
      </c>
      <c r="BU113" s="11">
        <f>+COUNTIFS('muddati otgan'!C:C,A113,'muddati otgan'!J:J,"Hisobga olish")</f>
        <v>0</v>
      </c>
      <c r="BV113" s="11">
        <f>+COUNTIFS('muddati otgan'!C:C,A113,'muddati otgan'!J:J,"Yer uchastkasiga huquq yaratish")</f>
        <v>0</v>
      </c>
      <c r="BW113" s="11">
        <f>+COUNTIFS('muddati otgan'!C:C,A113,'muddati otgan'!J:J,"Bino-inshootga huquq yaratish")</f>
        <v>0</v>
      </c>
      <c r="BX113" s="11">
        <f>+COUNTIFS('muddati otgan'!C:C,A113,'muddati otgan'!J:J,"Cheklov yaratish")</f>
        <v>0</v>
      </c>
      <c r="BY113" s="11">
        <f>+COUNTIFS('muddati otgan'!C:C,A113,'muddati otgan'!J:J,"Taqiq yaratish")</f>
        <v>0</v>
      </c>
      <c r="BZ113" s="11">
        <f t="shared" si="33"/>
        <v>0</v>
      </c>
      <c r="CA113" s="11">
        <f>+COUNTIFS('muddati otgan'!C:C,A113,'muddati otgan'!J:J,"Soliq maydonini tekshirish")</f>
        <v>0</v>
      </c>
      <c r="CB113" s="11">
        <f t="shared" si="34"/>
        <v>0</v>
      </c>
      <c r="CC113" s="11">
        <f>+COUNTIFS('muddati otgan'!C:C,A113,'muddati otgan'!J:J,"Kadastr yig'majildini shakllantirish")</f>
        <v>0</v>
      </c>
      <c r="CD113" s="11">
        <f t="shared" si="35"/>
        <v>0</v>
      </c>
      <c r="CE113" s="11">
        <f>+COUNTIFS('muddati otgan'!C:C,A113,'muddati otgan'!J:J,"Kadastr passportini shakllantirish")</f>
        <v>0</v>
      </c>
      <c r="CF113" s="11">
        <f>+COUNTIFS('muddati otgan'!C:C,A113,'muddati otgan'!J:J,"Yig'ma jildni tasdiqlash")</f>
        <v>0</v>
      </c>
      <c r="CG113" s="11">
        <f>+COUNTIFS('muddati otgan'!C:C,A113,'muddati otgan'!J:J,"To'lov yoki bepul tasdiqlash")</f>
        <v>0</v>
      </c>
      <c r="CH113" s="11">
        <f>+COUNTIFS('muddati otgan'!C:C,A113,'muddati otgan'!J:J,"Bog'liq arizani kutish")</f>
        <v>0</v>
      </c>
      <c r="CI113" s="11">
        <f>+COUNTIFS('muddati otgan'!C:C,A113,'muddati otgan'!J:J,"To'lovga chiqarish")</f>
        <v>0</v>
      </c>
      <c r="CJ113" s="11">
        <f>+COUNTIFS('muddati otgan'!C:C,A113,'muddati otgan'!J:J,"Hisobga qo'yish")</f>
        <v>0</v>
      </c>
      <c r="CK113" s="6">
        <f>+COUNTIFS('muddati otgan'!C:C,A113,'muddati otgan'!J:J,"To'lov kutilmoqda")</f>
        <v>0</v>
      </c>
      <c r="CL113" s="11">
        <f t="shared" si="36"/>
        <v>0</v>
      </c>
      <c r="CM113" s="11">
        <f>+COUNTIFS('muddati otgan'!C:C,A113,'muddati otgan'!AA:AA,"Arizani qabul qilish2")</f>
        <v>0</v>
      </c>
      <c r="CN113" s="11">
        <f>+COUNTIFS('muddati otgan'!C:C,A113,'muddati otgan'!J:J,"Huquqlarni tekshirish")</f>
        <v>0</v>
      </c>
      <c r="CO113" s="11">
        <f>+COUNTIFS('muddati otgan'!C:C,A113,'muddati otgan'!J:J,"Ko'chmas mulkni ro'yhatdan o'tkazishga qabul qilish")</f>
        <v>0</v>
      </c>
      <c r="CP113" s="11">
        <f>+COUNTIFS('muddati otgan'!C:C,A113,'muddati otgan'!J:J,"Ro'yxatdan o'tkazish")</f>
        <v>0</v>
      </c>
      <c r="CQ113" s="11">
        <f>+COUNTIFS('muddati otgan'!C:C,A113,'muddati otgan'!J:J,"Kadastr pasporti va ko'chirmani yuborish")</f>
        <v>0</v>
      </c>
      <c r="CR113" s="11">
        <f>+COUNTIFS('muddati otgan'!C:C,A113,'muddati otgan'!AA:AA,"Rad qilish2")</f>
        <v>0</v>
      </c>
      <c r="CS113" s="11">
        <f>+COUNTIFS('muddati otgan'!C:C,A113,'muddati otgan'!J:J,"Ko'chirmani yuborish")</f>
        <v>0</v>
      </c>
      <c r="CT113" s="11">
        <f>+COUNTIFS('muddati otgan'!C:C,A113,'muddati otgan'!J:J,"Ma‘lumotlarni tekshirish")</f>
        <v>0</v>
      </c>
      <c r="CU113" s="11">
        <f t="shared" si="37"/>
        <v>0</v>
      </c>
      <c r="CV113" s="11">
        <f>+COUNTIFS('muddati otgan'!C:C,A113,'muddati otgan'!J:J,"Kadastr yig'majildini chop etish va arxiv ishiga tikish")</f>
        <v>0</v>
      </c>
      <c r="CW113" s="11">
        <f t="shared" si="38"/>
        <v>0</v>
      </c>
      <c r="CX113" s="11">
        <f>+COUNTIFS('muddati otgan'!C:C,A113,'muddati otgan'!J:J,"Kadastr yig‘majildini qabul qilish, arizani yakunlash")</f>
        <v>0</v>
      </c>
      <c r="CY113" s="11">
        <f>+COUNTIFS('muddati otgan'!C:C,A113,'muddati otgan'!J:J,"Next Cloudga yuklash")</f>
        <v>0</v>
      </c>
      <c r="CZ113" s="6">
        <f>+COUNTIFS('muddati otgan'!C:C,A113,'muddati otgan'!J:J,"Kelishish kutilmoqda")</f>
        <v>0</v>
      </c>
      <c r="DA113" s="6">
        <f>+COUNTIFS('muddati otgan'!C:C,A113,'muddati otgan'!J:J,"Yakunlandi")</f>
        <v>0</v>
      </c>
      <c r="DB113" s="10">
        <f>+COUNTIFS('muddati otgan'!C:C,A113,'muddati otgan'!J:J,"Rad etildi")</f>
        <v>0</v>
      </c>
      <c r="DC113" s="100">
        <f t="shared" si="5"/>
        <v>0</v>
      </c>
      <c r="DD113" s="44">
        <f>COUNTIFS('jami 1-20 kunlik arizalar'!C:C,A:A,'jami 1-20 kunlik arizalar'!S:S,"1")</f>
        <v>0</v>
      </c>
      <c r="DE113" s="11">
        <f>COUNTIFS('jami 1-20 kunlik arizalar'!C:C,A:A,'jami 1-20 kunlik arizalar'!S:S,"2")</f>
        <v>0</v>
      </c>
      <c r="DF113" s="11">
        <f>COUNTIFS('jami 1-20 kunlik arizalar'!C:C,A:A,'jami 1-20 kunlik arizalar'!S:S,"3")</f>
        <v>0</v>
      </c>
      <c r="DG113" s="11">
        <f>COUNTIFS('jami 1-20 kunlik arizalar'!C:C,A:A,'jami 1-20 kunlik arizalar'!S:S,"4")</f>
        <v>0</v>
      </c>
      <c r="DH113" s="11">
        <f>COUNTIFS('jami 1-20 kunlik arizalar'!C:C,A:A,'jami 1-20 kunlik arizalar'!S:S,"5")</f>
        <v>1</v>
      </c>
      <c r="DI113" s="11">
        <f>SUM(COUNTIFS('jami 1-20 kunlik arizalar'!C:C,A:A, 'jami 1-20 kunlik arizalar'!S:S, {6,7,8,9,10}))</f>
        <v>2</v>
      </c>
      <c r="DJ113" s="12">
        <f>SUM(COUNTIFS('jami 1-20 kunlik arizalar'!C:C,A:A, 'jami 1-20 kunlik arizalar'!S:S, "&gt;10"))</f>
        <v>2</v>
      </c>
    </row>
    <row r="114" spans="1:115" ht="32.1" hidden="1" customHeight="1" outlineLevel="1" x14ac:dyDescent="0.25">
      <c r="A114" s="92" t="s">
        <v>663</v>
      </c>
      <c r="B114" s="74"/>
      <c r="C114" s="85" t="s">
        <v>819</v>
      </c>
      <c r="D114" s="80">
        <f>+COUNTIFS('muddati otgan'!C:C,A114,'muddati otgan'!C:C,A114)</f>
        <v>1</v>
      </c>
      <c r="E114" s="10">
        <f>SUMIFS('muddati otgan'!$V:V,'muddati otgan'!$C:C,$A:A)</f>
        <v>0</v>
      </c>
      <c r="F114" s="10">
        <f>SUMIFS('muddati otgan'!$W:W,'muddati otgan'!$C:C,$A:A)</f>
        <v>0</v>
      </c>
      <c r="G114" s="24">
        <f>SUMIFS('muddati otgan'!$U:U,'muddati otgan'!$C:C,$A:A)</f>
        <v>1</v>
      </c>
      <c r="H114" s="11">
        <f>SUMIFS('muddati otgan'!$G:G,'muddati otgan'!$C:C,$A:A)</f>
        <v>1</v>
      </c>
      <c r="I114" s="12">
        <f>SUMIFS('muddati otgan'!$H:H,'muddati otgan'!$C:C,$A:A)</f>
        <v>0</v>
      </c>
      <c r="J114" s="44">
        <f t="shared" si="23"/>
        <v>0</v>
      </c>
      <c r="K114" s="11">
        <f>+COUNTIFS('muddati otgan'!C:C,A114,'muddati otgan'!AA:AA,"Arizani qabul qilish")</f>
        <v>0</v>
      </c>
      <c r="L114" s="11">
        <f>+COUNTIFS('muddati otgan'!C:C,A114,'muddati otgan'!J:J,"Arizani rad etish")</f>
        <v>0</v>
      </c>
      <c r="M114" s="11">
        <f>+COUNTIFS('muddati otgan'!C:C,A114,'muddati otgan'!J:J,"Arizani tasdiqlash")</f>
        <v>0</v>
      </c>
      <c r="N114" s="11">
        <f>+COUNTIFS('muddati otgan'!C:C,A114,'muddati otgan'!J:J,"Arizani yo'naltirish")</f>
        <v>0</v>
      </c>
      <c r="O114" s="11">
        <f>+COUNTIFS('muddati otgan'!C:C,A114,'muddati otgan'!J:J,"Rad qilish sababini o'rganish")</f>
        <v>0</v>
      </c>
      <c r="P114" s="11">
        <f>+COUNTIFS('muddati otgan'!C:C,A114,'muddati otgan'!J:J,"Ko'chmas mulkni UZKAD ga migratsiya qilish")</f>
        <v>0</v>
      </c>
      <c r="Q114" s="11">
        <f>+COUNTIFS('muddati otgan'!C:C,A114,'muddati otgan'!J:J,"Migratisya qilingan obyekt holatini tekshirish")</f>
        <v>0</v>
      </c>
      <c r="R114" s="11">
        <f>+COUNTIFS('muddati otgan'!C:C,A114,'muddati otgan'!J:J,"Ko‘chmas mulkni tanlash")</f>
        <v>0</v>
      </c>
      <c r="S114" s="11">
        <f>+COUNTIFS('muddati otgan'!C:C,A114,'muddati otgan'!J:J,"Arizani ko'rib chiqish")</f>
        <v>0</v>
      </c>
      <c r="T114" s="11">
        <f>+COUNTIFS('muddati otgan'!C:C,A114,'muddati otgan'!J:J,"Kadastr muhandisini tanlash")</f>
        <v>0</v>
      </c>
      <c r="U114" s="11">
        <f>+COUNTIFS('muddati otgan'!C:C,A114,'muddati otgan'!J:J,"Ko'chmas mulk turini tanlahsh")</f>
        <v>0</v>
      </c>
      <c r="V114" s="11">
        <f>+COUNTIFS('muddati otgan'!C:C,A114,'muddati otgan'!AA:AA,"Rad qilish")</f>
        <v>0</v>
      </c>
      <c r="W114" s="11">
        <f>+COUNTIFS('muddati otgan'!C:C,A114,'muddati otgan'!J:J,"ijrochi tanlash")</f>
        <v>0</v>
      </c>
      <c r="X114" s="11">
        <f>+COUNTIFS('muddati otgan'!C:C,A114,'muddati otgan'!J:J,"Ko'chmas mulk turini tanlash")</f>
        <v>0</v>
      </c>
      <c r="Y114" s="11">
        <f t="shared" si="24"/>
        <v>0</v>
      </c>
      <c r="Z114" s="11">
        <f>+COUNTIFS('muddati otgan'!C:C,A114,'muddati otgan'!J:J,"Ijroga qabul qilish")</f>
        <v>0</v>
      </c>
      <c r="AA114" s="11">
        <f>+COUNTIFS('muddati otgan'!C:C,A114,'muddati otgan'!J:J,"Joyida o'rganish va ma'lumotlarni kiritish")</f>
        <v>0</v>
      </c>
      <c r="AB114" s="11">
        <f>+COUNTIFS('muddati otgan'!C:C,A114,'muddati otgan'!J:J,"Asosiy qismdan ajratish jarayonida")</f>
        <v>0</v>
      </c>
      <c r="AC114" s="11">
        <f>+COUNTIFS('muddati otgan'!C:C,A114,'muddati otgan'!J:J,"Umumiy foydalanishdagi obyekt yaratilish")</f>
        <v>0</v>
      </c>
      <c r="AD114" s="11">
        <f>+COUNTIFS('muddati otgan'!C:C,A114,'muddati otgan'!J:J,"Migratsiya qilinadigan kadastr raqamini kiritish")</f>
        <v>0</v>
      </c>
      <c r="AE114" s="11">
        <f>+COUNTIFS('muddati otgan'!C:C,A114,'muddati otgan'!J:J,"O'zida qolgan obyektni yaratish")</f>
        <v>0</v>
      </c>
      <c r="AF114" s="11">
        <f>+COUNTIFS('muddati otgan'!C:C,A114,'muddati otgan'!J:J,"O'lchov natijalarini kiritish")</f>
        <v>0</v>
      </c>
      <c r="AG114" s="11">
        <f>+COUNTIFS('muddati otgan'!C:C,A114,'muddati otgan'!J:J,"Topoxaritani tayyorlash (dwg, pdf)")</f>
        <v>0</v>
      </c>
      <c r="AH114" s="11">
        <f t="shared" si="25"/>
        <v>0</v>
      </c>
      <c r="AI114" s="11">
        <f>+COUNTIFS('muddati otgan'!C:C,A114,'muddati otgan'!J:J,"Yer uchastkasini yaratish")</f>
        <v>0</v>
      </c>
      <c r="AJ114" s="11">
        <f t="shared" si="26"/>
        <v>0</v>
      </c>
      <c r="AK114" s="11">
        <f>+COUNTIFS('muddati otgan'!C:C,A114,'muddati otgan'!J:J,"Kelishish (Boshqarma)")</f>
        <v>0</v>
      </c>
      <c r="AL114" s="11">
        <f t="shared" si="27"/>
        <v>0</v>
      </c>
      <c r="AM114" s="11">
        <f>+COUNTIFS('muddati otgan'!C:C,A114,'muddati otgan'!J:J,"Kelishish (DKP)")</f>
        <v>0</v>
      </c>
      <c r="AN114" s="11">
        <f>+COUNTIFS('muddati otgan'!C:C,A114,'muddati otgan'!J:J,"Kelishish")</f>
        <v>0</v>
      </c>
      <c r="AO114" s="11">
        <f>+COUNTIFS('muddati otgan'!C:C,A114,'muddati otgan'!J:J,"Kelishish (Registratsiya DKP)")</f>
        <v>0</v>
      </c>
      <c r="AP114" s="11">
        <f t="shared" si="28"/>
        <v>0</v>
      </c>
      <c r="AQ114" s="11">
        <f>+COUNTIFS('muddati otgan'!C:C,A114,'muddati otgan'!J:J,"Manzil biriktirish")</f>
        <v>0</v>
      </c>
      <c r="AR114" s="11">
        <f>+COUNTIFS('muddati otgan'!C:C,A114,'muddati otgan'!J:J,"Bino va inshootlarni yaratish")</f>
        <v>0</v>
      </c>
      <c r="AS114" s="11">
        <f>+COUNTIFS('muddati otgan'!C:C,A114,'muddati otgan'!J:J,"Dov daraxtlarni yaratish")</f>
        <v>0</v>
      </c>
      <c r="AT114" s="11">
        <f>+COUNTIFS('muddati otgan'!C:C,A114,'muddati otgan'!J:J,"Yer uchastkasini tahrirlash")</f>
        <v>0</v>
      </c>
      <c r="AU114" s="11">
        <f t="shared" si="29"/>
        <v>0</v>
      </c>
      <c r="AV114" s="11">
        <f>+COUNTIFS('muddati otgan'!C:C,A114,'muddati otgan'!J:J,"Yer toifasi va maqsadini kiritish")</f>
        <v>0</v>
      </c>
      <c r="AW114" s="11">
        <f>+COUNTIFS('muddati otgan'!C:C,A114,'muddati otgan'!J:J,"Auksion yer tekshirish")</f>
        <v>0</v>
      </c>
      <c r="AX114" s="11">
        <f>+COUNTIFS('muddati otgan'!C:C,A114,'muddati otgan'!J:J,"Yer turlarini kiritish")</f>
        <v>0</v>
      </c>
      <c r="AY114" s="11">
        <f>+COUNTIFS('muddati otgan'!C:C,A114,'muddati otgan'!J:J,"Ma'lumotlarni kiritish")</f>
        <v>0</v>
      </c>
      <c r="AZ114" s="11">
        <f>+COUNTIFS('muddati otgan'!C:C,A114,'muddati otgan'!J:J,"Yer tekshirish")</f>
        <v>0</v>
      </c>
      <c r="BA114" s="11">
        <f t="shared" si="30"/>
        <v>0</v>
      </c>
      <c r="BB114" s="11">
        <f>+COUNTIFS('muddati otgan'!C:C,A114,'muddati otgan'!J:J,"Bino va inshoot ma'lumotlarini to‘ldirish")</f>
        <v>0</v>
      </c>
      <c r="BC114" s="11">
        <f>+COUNTIFS('muddati otgan'!C:C,A114,'muddati otgan'!J:J,"Inventarizatsiya ma'lumotlarini to‘ldirish")</f>
        <v>0</v>
      </c>
      <c r="BD114" s="11">
        <f>+COUNTIFS('muddati otgan'!C:C,A114,'muddati otgan'!J:J,"Yer uchastkasiga huquqiy hujjatlarni kiritsh")</f>
        <v>0</v>
      </c>
      <c r="BE114" s="11">
        <f>+COUNTIFS('muddati otgan'!C:C,A114,'muddati otgan'!J:J,"Bino-inshootlarga huquqiy hujjatlarni kiritsh")</f>
        <v>0</v>
      </c>
      <c r="BF114" s="11">
        <f>+COUNTIFS('muddati otgan'!C:C,A114,'muddati otgan'!J:J,"Kadastr qiymatini hisoblash va kiritish")</f>
        <v>0</v>
      </c>
      <c r="BG114" s="11">
        <f>+COUNTIFS('muddati otgan'!C:C,A114,'muddati otgan'!J:J,"Kadastr raqam biriktirish")</f>
        <v>0</v>
      </c>
      <c r="BH114" s="11">
        <f>+COUNTIFS('muddati otgan'!C:C,A114,'muddati otgan'!J:J,"Kadastr yig'ma jildni tayyorlash")</f>
        <v>0</v>
      </c>
      <c r="BI114" s="11">
        <f>+COUNTIFS('muddati otgan'!C:C,A114,'muddati otgan'!J:J,"Huquqni yaratish")</f>
        <v>0</v>
      </c>
      <c r="BJ114" s="11">
        <f>+COUNTIFS('muddati otgan'!C:C,A114,'muddati otgan'!J:J,"Hujjatlarni o'rganish")</f>
        <v>0</v>
      </c>
      <c r="BK114" s="11">
        <f>+COUNTIFS('muddati otgan'!C:C,A114,'muddati otgan'!J:J,"Ma'lumotlarni tekshirish")</f>
        <v>0</v>
      </c>
      <c r="BL114" s="11">
        <f t="shared" si="31"/>
        <v>0</v>
      </c>
      <c r="BM114" s="11">
        <f>+COUNTIFS('muddati otgan'!C:C,A114,'muddati otgan'!J:J,"Tekshirish")</f>
        <v>0</v>
      </c>
      <c r="BN114" s="11">
        <f>+COUNTIFS('muddati otgan'!C:C,A114,'muddati otgan'!J:J,"Hujjatlarni tekshirish")</f>
        <v>0</v>
      </c>
      <c r="BO114" s="11">
        <f>+COUNTIFS('muddati otgan'!C:C,A114,'muddati otgan'!J:J,"Tasdiqlash")</f>
        <v>0</v>
      </c>
      <c r="BP114" s="11">
        <f>+COUNTIFS('muddati otgan'!C:C,A114,'muddati otgan'!J:J,"tekshirish/tasdiqlash")</f>
        <v>0</v>
      </c>
      <c r="BQ114" s="11">
        <f>+COUNTIFS('muddati otgan'!C:C,A114,'muddati otgan'!J:J,"Ma'lumotlarni tasdiqlash")</f>
        <v>0</v>
      </c>
      <c r="BR114" s="11">
        <f t="shared" si="32"/>
        <v>0</v>
      </c>
      <c r="BS114" s="11">
        <f>+COUNTIFS('muddati otgan'!C:C,A114,'muddati otgan'!J:J,"Ro'yxatdan o'tkazish ma'lumotlarini tekshirish")</f>
        <v>0</v>
      </c>
      <c r="BT114" s="11">
        <f>+COUNTIFS('muddati otgan'!C:C,A114,'muddati otgan'!J:J,"Kamchiliklar bo'yicha habarnoma yuborish va 3 kunga to'xtatish")</f>
        <v>0</v>
      </c>
      <c r="BU114" s="11">
        <f>+COUNTIFS('muddati otgan'!C:C,A114,'muddati otgan'!J:J,"Hisobga olish")</f>
        <v>0</v>
      </c>
      <c r="BV114" s="11">
        <f>+COUNTIFS('muddati otgan'!C:C,A114,'muddati otgan'!J:J,"Yer uchastkasiga huquq yaratish")</f>
        <v>0</v>
      </c>
      <c r="BW114" s="11">
        <f>+COUNTIFS('muddati otgan'!C:C,A114,'muddati otgan'!J:J,"Bino-inshootga huquq yaratish")</f>
        <v>0</v>
      </c>
      <c r="BX114" s="11">
        <f>+COUNTIFS('muddati otgan'!C:C,A114,'muddati otgan'!J:J,"Cheklov yaratish")</f>
        <v>0</v>
      </c>
      <c r="BY114" s="11">
        <f>+COUNTIFS('muddati otgan'!C:C,A114,'muddati otgan'!J:J,"Taqiq yaratish")</f>
        <v>0</v>
      </c>
      <c r="BZ114" s="11">
        <f t="shared" si="33"/>
        <v>0</v>
      </c>
      <c r="CA114" s="11">
        <f>+COUNTIFS('muddati otgan'!C:C,A114,'muddati otgan'!J:J,"Soliq maydonini tekshirish")</f>
        <v>0</v>
      </c>
      <c r="CB114" s="11">
        <f t="shared" si="34"/>
        <v>0</v>
      </c>
      <c r="CC114" s="11">
        <f>+COUNTIFS('muddati otgan'!C:C,A114,'muddati otgan'!J:J,"Kadastr yig'majildini shakllantirish")</f>
        <v>0</v>
      </c>
      <c r="CD114" s="11">
        <f t="shared" si="35"/>
        <v>0</v>
      </c>
      <c r="CE114" s="11">
        <f>+COUNTIFS('muddati otgan'!C:C,A114,'muddati otgan'!J:J,"Kadastr passportini shakllantirish")</f>
        <v>0</v>
      </c>
      <c r="CF114" s="11">
        <f>+COUNTIFS('muddati otgan'!C:C,A114,'muddati otgan'!J:J,"Yig'ma jildni tasdiqlash")</f>
        <v>0</v>
      </c>
      <c r="CG114" s="11">
        <f>+COUNTIFS('muddati otgan'!C:C,A114,'muddati otgan'!J:J,"To'lov yoki bepul tasdiqlash")</f>
        <v>0</v>
      </c>
      <c r="CH114" s="11">
        <f>+COUNTIFS('muddati otgan'!C:C,A114,'muddati otgan'!J:J,"Bog'liq arizani kutish")</f>
        <v>0</v>
      </c>
      <c r="CI114" s="11">
        <f>+COUNTIFS('muddati otgan'!C:C,A114,'muddati otgan'!J:J,"To'lovga chiqarish")</f>
        <v>0</v>
      </c>
      <c r="CJ114" s="11">
        <f>+COUNTIFS('muddati otgan'!C:C,A114,'muddati otgan'!J:J,"Hisobga qo'yish")</f>
        <v>0</v>
      </c>
      <c r="CK114" s="6">
        <f>+COUNTIFS('muddati otgan'!C:C,A114,'muddati otgan'!J:J,"To'lov kutilmoqda")</f>
        <v>1</v>
      </c>
      <c r="CL114" s="11">
        <f t="shared" si="36"/>
        <v>0</v>
      </c>
      <c r="CM114" s="11">
        <f>+COUNTIFS('muddati otgan'!C:C,A114,'muddati otgan'!AA:AA,"Arizani qabul qilish2")</f>
        <v>0</v>
      </c>
      <c r="CN114" s="11">
        <f>+COUNTIFS('muddati otgan'!C:C,A114,'muddati otgan'!J:J,"Huquqlarni tekshirish")</f>
        <v>0</v>
      </c>
      <c r="CO114" s="11">
        <f>+COUNTIFS('muddati otgan'!C:C,A114,'muddati otgan'!J:J,"Ko'chmas mulkni ro'yhatdan o'tkazishga qabul qilish")</f>
        <v>0</v>
      </c>
      <c r="CP114" s="11">
        <f>+COUNTIFS('muddati otgan'!C:C,A114,'muddati otgan'!J:J,"Ro'yxatdan o'tkazish")</f>
        <v>0</v>
      </c>
      <c r="CQ114" s="11">
        <f>+COUNTIFS('muddati otgan'!C:C,A114,'muddati otgan'!J:J,"Kadastr pasporti va ko'chirmani yuborish")</f>
        <v>0</v>
      </c>
      <c r="CR114" s="11">
        <f>+COUNTIFS('muddati otgan'!C:C,A114,'muddati otgan'!AA:AA,"Rad qilish2")</f>
        <v>0</v>
      </c>
      <c r="CS114" s="11">
        <f>+COUNTIFS('muddati otgan'!C:C,A114,'muddati otgan'!J:J,"Ko'chirmani yuborish")</f>
        <v>0</v>
      </c>
      <c r="CT114" s="11">
        <f>+COUNTIFS('muddati otgan'!C:C,A114,'muddati otgan'!J:J,"Ma‘lumotlarni tekshirish")</f>
        <v>0</v>
      </c>
      <c r="CU114" s="11">
        <f t="shared" si="37"/>
        <v>0</v>
      </c>
      <c r="CV114" s="11">
        <f>+COUNTIFS('muddati otgan'!C:C,A114,'muddati otgan'!J:J,"Kadastr yig'majildini chop etish va arxiv ishiga tikish")</f>
        <v>0</v>
      </c>
      <c r="CW114" s="11">
        <f t="shared" si="38"/>
        <v>0</v>
      </c>
      <c r="CX114" s="11">
        <f>+COUNTIFS('muddati otgan'!C:C,A114,'muddati otgan'!J:J,"Kadastr yig‘majildini qabul qilish, arizani yakunlash")</f>
        <v>0</v>
      </c>
      <c r="CY114" s="11">
        <f>+COUNTIFS('muddati otgan'!C:C,A114,'muddati otgan'!J:J,"Next Cloudga yuklash")</f>
        <v>0</v>
      </c>
      <c r="CZ114" s="6">
        <f>+COUNTIFS('muddati otgan'!C:C,A114,'muddati otgan'!J:J,"Kelishish kutilmoqda")</f>
        <v>0</v>
      </c>
      <c r="DA114" s="6">
        <f>+COUNTIFS('muddati otgan'!C:C,A114,'muddati otgan'!J:J,"Yakunlandi")</f>
        <v>0</v>
      </c>
      <c r="DB114" s="10">
        <f>+COUNTIFS('muddati otgan'!C:C,A114,'muddati otgan'!J:J,"Rad etildi")</f>
        <v>0</v>
      </c>
      <c r="DC114" s="100">
        <f t="shared" si="5"/>
        <v>0</v>
      </c>
      <c r="DD114" s="44">
        <f>COUNTIFS('jami 1-20 kunlik arizalar'!C:C,A:A,'jami 1-20 kunlik arizalar'!S:S,"1")</f>
        <v>0</v>
      </c>
      <c r="DE114" s="11">
        <f>COUNTIFS('jami 1-20 kunlik arizalar'!C:C,A:A,'jami 1-20 kunlik arizalar'!S:S,"2")</f>
        <v>0</v>
      </c>
      <c r="DF114" s="11">
        <f>COUNTIFS('jami 1-20 kunlik arizalar'!C:C,A:A,'jami 1-20 kunlik arizalar'!S:S,"3")</f>
        <v>1</v>
      </c>
      <c r="DG114" s="11">
        <f>COUNTIFS('jami 1-20 kunlik arizalar'!C:C,A:A,'jami 1-20 kunlik arizalar'!S:S,"4")</f>
        <v>0</v>
      </c>
      <c r="DH114" s="11">
        <f>COUNTIFS('jami 1-20 kunlik arizalar'!C:C,A:A,'jami 1-20 kunlik arizalar'!S:S,"5")</f>
        <v>0</v>
      </c>
      <c r="DI114" s="11">
        <f>SUM(COUNTIFS('jami 1-20 kunlik arizalar'!C:C,A:A, 'jami 1-20 kunlik arizalar'!S:S, {6,7,8,9,10}))</f>
        <v>2</v>
      </c>
      <c r="DJ114" s="12">
        <f>SUM(COUNTIFS('jami 1-20 kunlik arizalar'!C:C,A:A, 'jami 1-20 kunlik arizalar'!S:S, "&gt;10"))</f>
        <v>3</v>
      </c>
    </row>
    <row r="115" spans="1:115" ht="32.1" hidden="1" customHeight="1" outlineLevel="1" x14ac:dyDescent="0.25">
      <c r="A115" s="92" t="s">
        <v>660</v>
      </c>
      <c r="B115" s="74"/>
      <c r="C115" s="85" t="s">
        <v>820</v>
      </c>
      <c r="D115" s="80">
        <f>+COUNTIFS('muddati otgan'!C:C,A115,'muddati otgan'!C:C,A115)</f>
        <v>0</v>
      </c>
      <c r="E115" s="10">
        <f>SUMIFS('muddati otgan'!$V:V,'muddati otgan'!$C:C,$A:A)</f>
        <v>0</v>
      </c>
      <c r="F115" s="10">
        <f>SUMIFS('muddati otgan'!$W:W,'muddati otgan'!$C:C,$A:A)</f>
        <v>0</v>
      </c>
      <c r="G115" s="24">
        <f>SUMIFS('muddati otgan'!$U:U,'muddati otgan'!$C:C,$A:A)</f>
        <v>0</v>
      </c>
      <c r="H115" s="11">
        <f>SUMIFS('muddati otgan'!$G:G,'muddati otgan'!$C:C,$A:A)</f>
        <v>0</v>
      </c>
      <c r="I115" s="12">
        <f>SUMIFS('muddati otgan'!$H:H,'muddati otgan'!$C:C,$A:A)</f>
        <v>0</v>
      </c>
      <c r="J115" s="44">
        <f t="shared" si="23"/>
        <v>0</v>
      </c>
      <c r="K115" s="11">
        <f>+COUNTIFS('muddati otgan'!C:C,A115,'muddati otgan'!AA:AA,"Arizani qabul qilish")</f>
        <v>0</v>
      </c>
      <c r="L115" s="11">
        <f>+COUNTIFS('muddati otgan'!C:C,A115,'muddati otgan'!J:J,"Arizani rad etish")</f>
        <v>0</v>
      </c>
      <c r="M115" s="11">
        <f>+COUNTIFS('muddati otgan'!C:C,A115,'muddati otgan'!J:J,"Arizani tasdiqlash")</f>
        <v>0</v>
      </c>
      <c r="N115" s="11">
        <f>+COUNTIFS('muddati otgan'!C:C,A115,'muddati otgan'!J:J,"Arizani yo'naltirish")</f>
        <v>0</v>
      </c>
      <c r="O115" s="11">
        <f>+COUNTIFS('muddati otgan'!C:C,A115,'muddati otgan'!J:J,"Rad qilish sababini o'rganish")</f>
        <v>0</v>
      </c>
      <c r="P115" s="11">
        <f>+COUNTIFS('muddati otgan'!C:C,A115,'muddati otgan'!J:J,"Ko'chmas mulkni UZKAD ga migratsiya qilish")</f>
        <v>0</v>
      </c>
      <c r="Q115" s="11">
        <f>+COUNTIFS('muddati otgan'!C:C,A115,'muddati otgan'!J:J,"Migratisya qilingan obyekt holatini tekshirish")</f>
        <v>0</v>
      </c>
      <c r="R115" s="11">
        <f>+COUNTIFS('muddati otgan'!C:C,A115,'muddati otgan'!J:J,"Ko‘chmas mulkni tanlash")</f>
        <v>0</v>
      </c>
      <c r="S115" s="11">
        <f>+COUNTIFS('muddati otgan'!C:C,A115,'muddati otgan'!J:J,"Arizani ko'rib chiqish")</f>
        <v>0</v>
      </c>
      <c r="T115" s="11">
        <f>+COUNTIFS('muddati otgan'!C:C,A115,'muddati otgan'!J:J,"Kadastr muhandisini tanlash")</f>
        <v>0</v>
      </c>
      <c r="U115" s="11">
        <f>+COUNTIFS('muddati otgan'!C:C,A115,'muddati otgan'!J:J,"Ko'chmas mulk turini tanlahsh")</f>
        <v>0</v>
      </c>
      <c r="V115" s="11">
        <f>+COUNTIFS('muddati otgan'!C:C,A115,'muddati otgan'!AA:AA,"Rad qilish")</f>
        <v>0</v>
      </c>
      <c r="W115" s="11">
        <f>+COUNTIFS('muddati otgan'!C:C,A115,'muddati otgan'!J:J,"ijrochi tanlash")</f>
        <v>0</v>
      </c>
      <c r="X115" s="11">
        <f>+COUNTIFS('muddati otgan'!C:C,A115,'muddati otgan'!J:J,"Ko'chmas mulk turini tanlash")</f>
        <v>0</v>
      </c>
      <c r="Y115" s="11">
        <f t="shared" si="24"/>
        <v>0</v>
      </c>
      <c r="Z115" s="11">
        <f>+COUNTIFS('muddati otgan'!C:C,A115,'muddati otgan'!J:J,"Ijroga qabul qilish")</f>
        <v>0</v>
      </c>
      <c r="AA115" s="11">
        <f>+COUNTIFS('muddati otgan'!C:C,A115,'muddati otgan'!J:J,"Joyida o'rganish va ma'lumotlarni kiritish")</f>
        <v>0</v>
      </c>
      <c r="AB115" s="11">
        <f>+COUNTIFS('muddati otgan'!C:C,A115,'muddati otgan'!J:J,"Asosiy qismdan ajratish jarayonida")</f>
        <v>0</v>
      </c>
      <c r="AC115" s="11">
        <f>+COUNTIFS('muddati otgan'!C:C,A115,'muddati otgan'!J:J,"Umumiy foydalanishdagi obyekt yaratilish")</f>
        <v>0</v>
      </c>
      <c r="AD115" s="11">
        <f>+COUNTIFS('muddati otgan'!C:C,A115,'muddati otgan'!J:J,"Migratsiya qilinadigan kadastr raqamini kiritish")</f>
        <v>0</v>
      </c>
      <c r="AE115" s="11">
        <f>+COUNTIFS('muddati otgan'!C:C,A115,'muddati otgan'!J:J,"O'zida qolgan obyektni yaratish")</f>
        <v>0</v>
      </c>
      <c r="AF115" s="11">
        <f>+COUNTIFS('muddati otgan'!C:C,A115,'muddati otgan'!J:J,"O'lchov natijalarini kiritish")</f>
        <v>0</v>
      </c>
      <c r="AG115" s="11">
        <f>+COUNTIFS('muddati otgan'!C:C,A115,'muddati otgan'!J:J,"Topoxaritani tayyorlash (dwg, pdf)")</f>
        <v>0</v>
      </c>
      <c r="AH115" s="11">
        <f t="shared" si="25"/>
        <v>0</v>
      </c>
      <c r="AI115" s="11">
        <f>+COUNTIFS('muddati otgan'!C:C,A115,'muddati otgan'!J:J,"Yer uchastkasini yaratish")</f>
        <v>0</v>
      </c>
      <c r="AJ115" s="11">
        <f t="shared" si="26"/>
        <v>0</v>
      </c>
      <c r="AK115" s="11">
        <f>+COUNTIFS('muddati otgan'!C:C,A115,'muddati otgan'!J:J,"Kelishish (Boshqarma)")</f>
        <v>0</v>
      </c>
      <c r="AL115" s="11">
        <f t="shared" si="27"/>
        <v>0</v>
      </c>
      <c r="AM115" s="11">
        <f>+COUNTIFS('muddati otgan'!C:C,A115,'muddati otgan'!J:J,"Kelishish (DKP)")</f>
        <v>0</v>
      </c>
      <c r="AN115" s="11">
        <f>+COUNTIFS('muddati otgan'!C:C,A115,'muddati otgan'!J:J,"Kelishish")</f>
        <v>0</v>
      </c>
      <c r="AO115" s="11">
        <f>+COUNTIFS('muddati otgan'!C:C,A115,'muddati otgan'!J:J,"Kelishish (Registratsiya DKP)")</f>
        <v>0</v>
      </c>
      <c r="AP115" s="11">
        <f t="shared" si="28"/>
        <v>0</v>
      </c>
      <c r="AQ115" s="11">
        <f>+COUNTIFS('muddati otgan'!C:C,A115,'muddati otgan'!J:J,"Manzil biriktirish")</f>
        <v>0</v>
      </c>
      <c r="AR115" s="11">
        <f>+COUNTIFS('muddati otgan'!C:C,A115,'muddati otgan'!J:J,"Bino va inshootlarni yaratish")</f>
        <v>0</v>
      </c>
      <c r="AS115" s="11">
        <f>+COUNTIFS('muddati otgan'!C:C,A115,'muddati otgan'!J:J,"Dov daraxtlarni yaratish")</f>
        <v>0</v>
      </c>
      <c r="AT115" s="11">
        <f>+COUNTIFS('muddati otgan'!C:C,A115,'muddati otgan'!J:J,"Yer uchastkasini tahrirlash")</f>
        <v>0</v>
      </c>
      <c r="AU115" s="11">
        <f t="shared" si="29"/>
        <v>0</v>
      </c>
      <c r="AV115" s="11">
        <f>+COUNTIFS('muddati otgan'!C:C,A115,'muddati otgan'!J:J,"Yer toifasi va maqsadini kiritish")</f>
        <v>0</v>
      </c>
      <c r="AW115" s="11">
        <f>+COUNTIFS('muddati otgan'!C:C,A115,'muddati otgan'!J:J,"Auksion yer tekshirish")</f>
        <v>0</v>
      </c>
      <c r="AX115" s="11">
        <f>+COUNTIFS('muddati otgan'!C:C,A115,'muddati otgan'!J:J,"Yer turlarini kiritish")</f>
        <v>0</v>
      </c>
      <c r="AY115" s="11">
        <f>+COUNTIFS('muddati otgan'!C:C,A115,'muddati otgan'!J:J,"Ma'lumotlarni kiritish")</f>
        <v>0</v>
      </c>
      <c r="AZ115" s="11">
        <f>+COUNTIFS('muddati otgan'!C:C,A115,'muddati otgan'!J:J,"Yer tekshirish")</f>
        <v>0</v>
      </c>
      <c r="BA115" s="11">
        <f t="shared" si="30"/>
        <v>0</v>
      </c>
      <c r="BB115" s="11">
        <f>+COUNTIFS('muddati otgan'!C:C,A115,'muddati otgan'!J:J,"Bino va inshoot ma'lumotlarini to‘ldirish")</f>
        <v>0</v>
      </c>
      <c r="BC115" s="11">
        <f>+COUNTIFS('muddati otgan'!C:C,A115,'muddati otgan'!J:J,"Inventarizatsiya ma'lumotlarini to‘ldirish")</f>
        <v>0</v>
      </c>
      <c r="BD115" s="11">
        <f>+COUNTIFS('muddati otgan'!C:C,A115,'muddati otgan'!J:J,"Yer uchastkasiga huquqiy hujjatlarni kiritsh")</f>
        <v>0</v>
      </c>
      <c r="BE115" s="11">
        <f>+COUNTIFS('muddati otgan'!C:C,A115,'muddati otgan'!J:J,"Bino-inshootlarga huquqiy hujjatlarni kiritsh")</f>
        <v>0</v>
      </c>
      <c r="BF115" s="11">
        <f>+COUNTIFS('muddati otgan'!C:C,A115,'muddati otgan'!J:J,"Kadastr qiymatini hisoblash va kiritish")</f>
        <v>0</v>
      </c>
      <c r="BG115" s="11">
        <f>+COUNTIFS('muddati otgan'!C:C,A115,'muddati otgan'!J:J,"Kadastr raqam biriktirish")</f>
        <v>0</v>
      </c>
      <c r="BH115" s="11">
        <f>+COUNTIFS('muddati otgan'!C:C,A115,'muddati otgan'!J:J,"Kadastr yig'ma jildni tayyorlash")</f>
        <v>0</v>
      </c>
      <c r="BI115" s="11">
        <f>+COUNTIFS('muddati otgan'!C:C,A115,'muddati otgan'!J:J,"Huquqni yaratish")</f>
        <v>0</v>
      </c>
      <c r="BJ115" s="11">
        <f>+COUNTIFS('muddati otgan'!C:C,A115,'muddati otgan'!J:J,"Hujjatlarni o'rganish")</f>
        <v>0</v>
      </c>
      <c r="BK115" s="11">
        <f>+COUNTIFS('muddati otgan'!C:C,A115,'muddati otgan'!J:J,"Ma'lumotlarni tekshirish")</f>
        <v>0</v>
      </c>
      <c r="BL115" s="11">
        <f t="shared" si="31"/>
        <v>0</v>
      </c>
      <c r="BM115" s="11">
        <f>+COUNTIFS('muddati otgan'!C:C,A115,'muddati otgan'!J:J,"Tekshirish")</f>
        <v>0</v>
      </c>
      <c r="BN115" s="11">
        <f>+COUNTIFS('muddati otgan'!C:C,A115,'muddati otgan'!J:J,"Hujjatlarni tekshirish")</f>
        <v>0</v>
      </c>
      <c r="BO115" s="11">
        <f>+COUNTIFS('muddati otgan'!C:C,A115,'muddati otgan'!J:J,"Tasdiqlash")</f>
        <v>0</v>
      </c>
      <c r="BP115" s="11">
        <f>+COUNTIFS('muddati otgan'!C:C,A115,'muddati otgan'!J:J,"tekshirish/tasdiqlash")</f>
        <v>0</v>
      </c>
      <c r="BQ115" s="11">
        <f>+COUNTIFS('muddati otgan'!C:C,A115,'muddati otgan'!J:J,"Ma'lumotlarni tasdiqlash")</f>
        <v>0</v>
      </c>
      <c r="BR115" s="11">
        <f t="shared" si="32"/>
        <v>0</v>
      </c>
      <c r="BS115" s="11">
        <f>+COUNTIFS('muddati otgan'!C:C,A115,'muddati otgan'!J:J,"Ro'yxatdan o'tkazish ma'lumotlarini tekshirish")</f>
        <v>0</v>
      </c>
      <c r="BT115" s="11">
        <f>+COUNTIFS('muddati otgan'!C:C,A115,'muddati otgan'!J:J,"Kamchiliklar bo'yicha habarnoma yuborish va 3 kunga to'xtatish")</f>
        <v>0</v>
      </c>
      <c r="BU115" s="11">
        <f>+COUNTIFS('muddati otgan'!C:C,A115,'muddati otgan'!J:J,"Hisobga olish")</f>
        <v>0</v>
      </c>
      <c r="BV115" s="11">
        <f>+COUNTIFS('muddati otgan'!C:C,A115,'muddati otgan'!J:J,"Yer uchastkasiga huquq yaratish")</f>
        <v>0</v>
      </c>
      <c r="BW115" s="11">
        <f>+COUNTIFS('muddati otgan'!C:C,A115,'muddati otgan'!J:J,"Bino-inshootga huquq yaratish")</f>
        <v>0</v>
      </c>
      <c r="BX115" s="11">
        <f>+COUNTIFS('muddati otgan'!C:C,A115,'muddati otgan'!J:J,"Cheklov yaratish")</f>
        <v>0</v>
      </c>
      <c r="BY115" s="11">
        <f>+COUNTIFS('muddati otgan'!C:C,A115,'muddati otgan'!J:J,"Taqiq yaratish")</f>
        <v>0</v>
      </c>
      <c r="BZ115" s="11">
        <f t="shared" si="33"/>
        <v>0</v>
      </c>
      <c r="CA115" s="11">
        <f>+COUNTIFS('muddati otgan'!C:C,A115,'muddati otgan'!J:J,"Soliq maydonini tekshirish")</f>
        <v>0</v>
      </c>
      <c r="CB115" s="11">
        <f t="shared" si="34"/>
        <v>0</v>
      </c>
      <c r="CC115" s="11">
        <f>+COUNTIFS('muddati otgan'!C:C,A115,'muddati otgan'!J:J,"Kadastr yig'majildini shakllantirish")</f>
        <v>0</v>
      </c>
      <c r="CD115" s="11">
        <f t="shared" si="35"/>
        <v>0</v>
      </c>
      <c r="CE115" s="11">
        <f>+COUNTIFS('muddati otgan'!C:C,A115,'muddati otgan'!J:J,"Kadastr passportini shakllantirish")</f>
        <v>0</v>
      </c>
      <c r="CF115" s="11">
        <f>+COUNTIFS('muddati otgan'!C:C,A115,'muddati otgan'!J:J,"Yig'ma jildni tasdiqlash")</f>
        <v>0</v>
      </c>
      <c r="CG115" s="11">
        <f>+COUNTIFS('muddati otgan'!C:C,A115,'muddati otgan'!J:J,"To'lov yoki bepul tasdiqlash")</f>
        <v>0</v>
      </c>
      <c r="CH115" s="11">
        <f>+COUNTIFS('muddati otgan'!C:C,A115,'muddati otgan'!J:J,"Bog'liq arizani kutish")</f>
        <v>0</v>
      </c>
      <c r="CI115" s="11">
        <f>+COUNTIFS('muddati otgan'!C:C,A115,'muddati otgan'!J:J,"To'lovga chiqarish")</f>
        <v>0</v>
      </c>
      <c r="CJ115" s="11">
        <f>+COUNTIFS('muddati otgan'!C:C,A115,'muddati otgan'!J:J,"Hisobga qo'yish")</f>
        <v>0</v>
      </c>
      <c r="CK115" s="6">
        <f>+COUNTIFS('muddati otgan'!C:C,A115,'muddati otgan'!J:J,"To'lov kutilmoqda")</f>
        <v>0</v>
      </c>
      <c r="CL115" s="11">
        <f t="shared" si="36"/>
        <v>0</v>
      </c>
      <c r="CM115" s="11">
        <f>+COUNTIFS('muddati otgan'!C:C,A115,'muddati otgan'!AA:AA,"Arizani qabul qilish2")</f>
        <v>0</v>
      </c>
      <c r="CN115" s="11">
        <f>+COUNTIFS('muddati otgan'!C:C,A115,'muddati otgan'!J:J,"Huquqlarni tekshirish")</f>
        <v>0</v>
      </c>
      <c r="CO115" s="11">
        <f>+COUNTIFS('muddati otgan'!C:C,A115,'muddati otgan'!J:J,"Ko'chmas mulkni ro'yhatdan o'tkazishga qabul qilish")</f>
        <v>0</v>
      </c>
      <c r="CP115" s="11">
        <f>+COUNTIFS('muddati otgan'!C:C,A115,'muddati otgan'!J:J,"Ro'yxatdan o'tkazish")</f>
        <v>0</v>
      </c>
      <c r="CQ115" s="11">
        <f>+COUNTIFS('muddati otgan'!C:C,A115,'muddati otgan'!J:J,"Kadastr pasporti va ko'chirmani yuborish")</f>
        <v>0</v>
      </c>
      <c r="CR115" s="11">
        <f>+COUNTIFS('muddati otgan'!C:C,A115,'muddati otgan'!AA:AA,"Rad qilish2")</f>
        <v>0</v>
      </c>
      <c r="CS115" s="11">
        <f>+COUNTIFS('muddati otgan'!C:C,A115,'muddati otgan'!J:J,"Ko'chirmani yuborish")</f>
        <v>0</v>
      </c>
      <c r="CT115" s="11">
        <f>+COUNTIFS('muddati otgan'!C:C,A115,'muddati otgan'!J:J,"Ma‘lumotlarni tekshirish")</f>
        <v>0</v>
      </c>
      <c r="CU115" s="11">
        <f t="shared" si="37"/>
        <v>0</v>
      </c>
      <c r="CV115" s="11">
        <f>+COUNTIFS('muddati otgan'!C:C,A115,'muddati otgan'!J:J,"Kadastr yig'majildini chop etish va arxiv ishiga tikish")</f>
        <v>0</v>
      </c>
      <c r="CW115" s="11">
        <f t="shared" si="38"/>
        <v>0</v>
      </c>
      <c r="CX115" s="11">
        <f>+COUNTIFS('muddati otgan'!C:C,A115,'muddati otgan'!J:J,"Kadastr yig‘majildini qabul qilish, arizani yakunlash")</f>
        <v>0</v>
      </c>
      <c r="CY115" s="11">
        <f>+COUNTIFS('muddati otgan'!C:C,A115,'muddati otgan'!J:J,"Next Cloudga yuklash")</f>
        <v>0</v>
      </c>
      <c r="CZ115" s="6">
        <f>+COUNTIFS('muddati otgan'!C:C,A115,'muddati otgan'!J:J,"Kelishish kutilmoqda")</f>
        <v>0</v>
      </c>
      <c r="DA115" s="6">
        <f>+COUNTIFS('muddati otgan'!C:C,A115,'muddati otgan'!J:J,"Yakunlandi")</f>
        <v>0</v>
      </c>
      <c r="DB115" s="10">
        <f>+COUNTIFS('muddati otgan'!C:C,A115,'muddati otgan'!J:J,"Rad etildi")</f>
        <v>0</v>
      </c>
      <c r="DC115" s="100">
        <f t="shared" si="5"/>
        <v>0</v>
      </c>
      <c r="DD115" s="44">
        <f>COUNTIFS('jami 1-20 kunlik arizalar'!C:C,A:A,'jami 1-20 kunlik arizalar'!S:S,"1")</f>
        <v>0</v>
      </c>
      <c r="DE115" s="11">
        <f>COUNTIFS('jami 1-20 kunlik arizalar'!C:C,A:A,'jami 1-20 kunlik arizalar'!S:S,"2")</f>
        <v>0</v>
      </c>
      <c r="DF115" s="11">
        <f>COUNTIFS('jami 1-20 kunlik arizalar'!C:C,A:A,'jami 1-20 kunlik arizalar'!S:S,"3")</f>
        <v>0</v>
      </c>
      <c r="DG115" s="11">
        <f>COUNTIFS('jami 1-20 kunlik arizalar'!C:C,A:A,'jami 1-20 kunlik arizalar'!S:S,"4")</f>
        <v>0</v>
      </c>
      <c r="DH115" s="11">
        <f>COUNTIFS('jami 1-20 kunlik arizalar'!C:C,A:A,'jami 1-20 kunlik arizalar'!S:S,"5")</f>
        <v>0</v>
      </c>
      <c r="DI115" s="11">
        <f>SUM(COUNTIFS('jami 1-20 kunlik arizalar'!C:C,A:A, 'jami 1-20 kunlik arizalar'!S:S, {6,7,8,9,10}))</f>
        <v>0</v>
      </c>
      <c r="DJ115" s="12">
        <f>SUM(COUNTIFS('jami 1-20 kunlik arizalar'!C:C,A:A, 'jami 1-20 kunlik arizalar'!S:S, "&gt;10"))</f>
        <v>0</v>
      </c>
    </row>
    <row r="116" spans="1:115" ht="39" hidden="1" customHeight="1" outlineLevel="1" thickBot="1" x14ac:dyDescent="0.3">
      <c r="A116" s="92"/>
      <c r="B116" s="77"/>
      <c r="C116" s="89" t="s">
        <v>930</v>
      </c>
      <c r="D116" s="81">
        <f>+D100-(SUM(D101:D115))</f>
        <v>0</v>
      </c>
      <c r="E116" s="41"/>
      <c r="F116" s="41"/>
      <c r="G116" s="41"/>
      <c r="H116" s="41"/>
      <c r="I116" s="42"/>
      <c r="J116" s="45"/>
      <c r="K116" s="22"/>
      <c r="L116" s="22"/>
      <c r="M116" s="22"/>
      <c r="N116" s="22"/>
      <c r="O116" s="22"/>
      <c r="P116" s="22"/>
      <c r="Q116" s="22"/>
      <c r="R116" s="22"/>
      <c r="S116" s="22"/>
      <c r="T116" s="22"/>
      <c r="U116" s="22"/>
      <c r="V116" s="22"/>
      <c r="W116" s="22"/>
      <c r="X116" s="22"/>
      <c r="Y116" s="41"/>
      <c r="Z116" s="22"/>
      <c r="AA116" s="22"/>
      <c r="AB116" s="22"/>
      <c r="AC116" s="22"/>
      <c r="AD116" s="22"/>
      <c r="AE116" s="22"/>
      <c r="AF116" s="22"/>
      <c r="AG116" s="41"/>
      <c r="AH116" s="41"/>
      <c r="AI116" s="22"/>
      <c r="AJ116" s="41"/>
      <c r="AK116" s="22"/>
      <c r="AL116" s="41"/>
      <c r="AM116" s="22"/>
      <c r="AN116" s="22"/>
      <c r="AO116" s="22"/>
      <c r="AP116" s="41"/>
      <c r="AQ116" s="22"/>
      <c r="AR116" s="22"/>
      <c r="AS116" s="22"/>
      <c r="AT116" s="22"/>
      <c r="AU116" s="41"/>
      <c r="AV116" s="22"/>
      <c r="AW116" s="22"/>
      <c r="AX116" s="22"/>
      <c r="AY116" s="22"/>
      <c r="AZ116" s="22"/>
      <c r="BA116" s="41"/>
      <c r="BB116" s="22"/>
      <c r="BC116" s="22"/>
      <c r="BD116" s="22"/>
      <c r="BE116" s="22"/>
      <c r="BF116" s="22"/>
      <c r="BG116" s="22"/>
      <c r="BH116" s="22"/>
      <c r="BI116" s="22"/>
      <c r="BJ116" s="22"/>
      <c r="BK116" s="22"/>
      <c r="BL116" s="41"/>
      <c r="BM116" s="22"/>
      <c r="BN116" s="22"/>
      <c r="BO116" s="22"/>
      <c r="BP116" s="22"/>
      <c r="BQ116" s="22"/>
      <c r="BR116" s="41"/>
      <c r="BS116" s="22"/>
      <c r="BT116" s="22"/>
      <c r="BU116" s="22"/>
      <c r="BV116" s="22"/>
      <c r="BW116" s="22"/>
      <c r="BX116" s="22"/>
      <c r="BY116" s="22"/>
      <c r="BZ116" s="41"/>
      <c r="CA116" s="22"/>
      <c r="CB116" s="41"/>
      <c r="CC116" s="22"/>
      <c r="CD116" s="41"/>
      <c r="CE116" s="22"/>
      <c r="CF116" s="22"/>
      <c r="CG116" s="22"/>
      <c r="CH116" s="22"/>
      <c r="CI116" s="22"/>
      <c r="CJ116" s="22"/>
      <c r="CK116" s="68"/>
      <c r="CL116" s="41"/>
      <c r="CM116" s="22"/>
      <c r="CN116" s="22"/>
      <c r="CO116" s="22"/>
      <c r="CP116" s="22"/>
      <c r="CQ116" s="22"/>
      <c r="CR116" s="22"/>
      <c r="CS116" s="22"/>
      <c r="CT116" s="22"/>
      <c r="CU116" s="41"/>
      <c r="CV116" s="22"/>
      <c r="CW116" s="41"/>
      <c r="CX116" s="22"/>
      <c r="CY116" s="22"/>
      <c r="CZ116" s="68"/>
      <c r="DA116" s="68"/>
      <c r="DB116" s="41"/>
      <c r="DC116" s="102"/>
      <c r="DD116" s="45">
        <f t="shared" ref="DD116:DJ116" si="254">+DD100-(SUM(DD101:DD115))</f>
        <v>0</v>
      </c>
      <c r="DE116" s="41">
        <f t="shared" si="254"/>
        <v>0</v>
      </c>
      <c r="DF116" s="41">
        <f t="shared" si="254"/>
        <v>1</v>
      </c>
      <c r="DG116" s="41">
        <f t="shared" si="254"/>
        <v>0</v>
      </c>
      <c r="DH116" s="41">
        <f t="shared" si="254"/>
        <v>0</v>
      </c>
      <c r="DI116" s="41">
        <f t="shared" si="254"/>
        <v>0</v>
      </c>
      <c r="DJ116" s="42">
        <f t="shared" si="254"/>
        <v>2</v>
      </c>
    </row>
    <row r="117" spans="1:115" s="29" customFormat="1" ht="57.95" customHeight="1" collapsed="1" thickBot="1" x14ac:dyDescent="0.3">
      <c r="A117" s="91" t="s">
        <v>77</v>
      </c>
      <c r="B117" s="76">
        <v>6</v>
      </c>
      <c r="C117" s="87" t="s">
        <v>942</v>
      </c>
      <c r="D117" s="79">
        <f>+COUNTIFS('muddati otgan'!B:B,A117,'muddati otgan'!B:B,"POPT")</f>
        <v>25</v>
      </c>
      <c r="E117" s="37">
        <f>SUMIFS('muddati otgan'!$V:V,'muddati otgan'!$B:B,$A:A)</f>
        <v>4</v>
      </c>
      <c r="F117" s="37">
        <f>SUMIFS('muddati otgan'!$W:W,'muddati otgan'!$B:B,$A:A)</f>
        <v>5</v>
      </c>
      <c r="G117" s="38">
        <f>SUMIFS('muddati otgan'!$U:U,'muddati otgan'!$B:B,$A:A)</f>
        <v>16</v>
      </c>
      <c r="H117" s="39">
        <f>SUMIFS('muddati otgan'!$G:G,'muddati otgan'!$B:B,$A:A)</f>
        <v>20</v>
      </c>
      <c r="I117" s="40">
        <f>SUMIFS('muddati otgan'!$H:H,'muddati otgan'!$B:B,$A:A)</f>
        <v>5</v>
      </c>
      <c r="J117" s="43">
        <f t="shared" si="23"/>
        <v>0</v>
      </c>
      <c r="K117" s="39">
        <f>+COUNTIFS('muddati otgan'!B:B,A117,'muddati otgan'!AA:AA,"Arizani qabul qilish")</f>
        <v>0</v>
      </c>
      <c r="L117" s="39">
        <f>+COUNTIFS('muddati otgan'!B:B,A117,'muddati otgan'!J:J,"Arizani rad etish")</f>
        <v>0</v>
      </c>
      <c r="M117" s="39">
        <f>+COUNTIFS('muddati otgan'!B:B,A117,'muddati otgan'!J:J,"Arizani tasdiqlash")</f>
        <v>0</v>
      </c>
      <c r="N117" s="39">
        <f>+COUNTIFS('muddati otgan'!B:B,A117,'muddati otgan'!J:J,"Arizani yo'naltirish")</f>
        <v>0</v>
      </c>
      <c r="O117" s="39">
        <f>+COUNTIFS('muddati otgan'!B:B,A117,'muddati otgan'!J:J,"Rad qilish sababini o'rganish")</f>
        <v>0</v>
      </c>
      <c r="P117" s="39">
        <f>+COUNTIFS('muddati otgan'!B:B,A117,'muddati otgan'!J:J,"Ko'chmas mulkni UZKAD ga migratsiya qilish")</f>
        <v>0</v>
      </c>
      <c r="Q117" s="39">
        <f>+COUNTIFS('muddati otgan'!B:B,A117,'muddati otgan'!J:J,"Migratisya qilingan obyekt holatini tekshirish")</f>
        <v>0</v>
      </c>
      <c r="R117" s="39">
        <f>+COUNTIFS('muddati otgan'!B:B,A117,'muddati otgan'!J:J,"Ko‘chmas mulkni tanlash")</f>
        <v>0</v>
      </c>
      <c r="S117" s="39">
        <f>+COUNTIFS('muddati otgan'!B:B,A117,'muddati otgan'!J:J,"Arizani ko'rib chiqish")</f>
        <v>0</v>
      </c>
      <c r="T117" s="39">
        <f>+COUNTIFS('muddati otgan'!B:B,A117,'muddati otgan'!J:J,"Kadastr muhandisini tanlash")</f>
        <v>0</v>
      </c>
      <c r="U117" s="39">
        <f>+COUNTIFS('muddati otgan'!B:B,A117,'muddati otgan'!J:J,"Ko'chmas mulk turini tanlahsh")</f>
        <v>0</v>
      </c>
      <c r="V117" s="39">
        <f>+COUNTIFS('muddati otgan'!B:B,A117,'muddati otgan'!AA:AA,"Rad qilish")</f>
        <v>0</v>
      </c>
      <c r="W117" s="39">
        <f>+COUNTIFS('muddati otgan'!B:B,A117,'muddati otgan'!J:J,"ijrochi tanlash")</f>
        <v>0</v>
      </c>
      <c r="X117" s="39">
        <f>+COUNTIFS('muddati otgan'!B:B,A117,'muddati otgan'!J:J,"Ko'chmas mulk turini tanlash")</f>
        <v>0</v>
      </c>
      <c r="Y117" s="39">
        <f t="shared" si="24"/>
        <v>4</v>
      </c>
      <c r="Z117" s="39">
        <f>+COUNTIFS('muddati otgan'!B:B,A117,'muddati otgan'!J:J,"Ijroga qabul qilish")</f>
        <v>1</v>
      </c>
      <c r="AA117" s="39">
        <f>+COUNTIFS('muddati otgan'!B:B,A117,'muddati otgan'!J:J,"Joyida o'rganish va ma'lumotlarni kiritish")</f>
        <v>0</v>
      </c>
      <c r="AB117" s="39">
        <f>+COUNTIFS('muddati otgan'!B:B,A117,'muddati otgan'!J:J,"Asosiy qismdan ajratish jarayonida")</f>
        <v>1</v>
      </c>
      <c r="AC117" s="39">
        <f>+COUNTIFS('muddati otgan'!B:B,A117,'muddati otgan'!J:J,"Umumiy foydalanishdagi obyekt yaratilish")</f>
        <v>0</v>
      </c>
      <c r="AD117" s="39">
        <f>+COUNTIFS('muddati otgan'!B:B,A117,'muddati otgan'!J:J,"Migratsiya qilinadigan kadastr raqamini kiritish")</f>
        <v>0</v>
      </c>
      <c r="AE117" s="39">
        <f>+COUNTIFS('muddati otgan'!B:B,A117,'muddati otgan'!J:J,"O'zida qolgan obyektni yaratish")</f>
        <v>0</v>
      </c>
      <c r="AF117" s="39">
        <f>+COUNTIFS('muddati otgan'!B:B,A117,'muddati otgan'!J:J,"O'lchov natijalarini kiritish")</f>
        <v>2</v>
      </c>
      <c r="AG117" s="39">
        <f>+COUNTIFS('muddati otgan'!B:B,A117,'muddati otgan'!J:J,"Topoxaritani tayyorlash (dwg, pdf)")</f>
        <v>0</v>
      </c>
      <c r="AH117" s="39">
        <f t="shared" si="25"/>
        <v>0</v>
      </c>
      <c r="AI117" s="39">
        <f>+COUNTIFS('muddati otgan'!B:B,A117,'muddati otgan'!J:J,"Yer uchastkasini yaratish")</f>
        <v>0</v>
      </c>
      <c r="AJ117" s="39">
        <f t="shared" si="26"/>
        <v>1</v>
      </c>
      <c r="AK117" s="39">
        <f>+COUNTIFS('muddati otgan'!B:B,A117,'muddati otgan'!J:J,"Kelishish (Boshqarma)")</f>
        <v>1</v>
      </c>
      <c r="AL117" s="39">
        <f t="shared" si="27"/>
        <v>0</v>
      </c>
      <c r="AM117" s="39">
        <f>+COUNTIFS('muddati otgan'!B:B,A117,'muddati otgan'!J:J,"Kelishish (DKP)")</f>
        <v>0</v>
      </c>
      <c r="AN117" s="39">
        <f>+COUNTIFS('muddati otgan'!B:B,A117,'muddati otgan'!J:J,"Kelishish")</f>
        <v>0</v>
      </c>
      <c r="AO117" s="39">
        <f>+COUNTIFS('muddati otgan'!B:B,A117,'muddati otgan'!J:J,"Kelishish (Registratsiya DKP)")</f>
        <v>0</v>
      </c>
      <c r="AP117" s="39">
        <f t="shared" si="28"/>
        <v>0</v>
      </c>
      <c r="AQ117" s="39">
        <f>+COUNTIFS('muddati otgan'!B:B,A117,'muddati otgan'!J:J,"Manzil biriktirish")</f>
        <v>0</v>
      </c>
      <c r="AR117" s="39">
        <f>+COUNTIFS('muddati otgan'!B:B,A117,'muddati otgan'!J:J,"Bino va inshootlarni yaratish")</f>
        <v>0</v>
      </c>
      <c r="AS117" s="39">
        <f>+COUNTIFS('muddati otgan'!B:B,A117,'muddati otgan'!J:J,"Dov daraxtlarni yaratish")</f>
        <v>0</v>
      </c>
      <c r="AT117" s="39">
        <f>+COUNTIFS('muddati otgan'!B:B,A117,'muddati otgan'!J:J,"Yer uchastkasini tahrirlash")</f>
        <v>0</v>
      </c>
      <c r="AU117" s="39">
        <f t="shared" si="29"/>
        <v>0</v>
      </c>
      <c r="AV117" s="39">
        <f>+COUNTIFS('muddati otgan'!B:B,A117,'muddati otgan'!J:J,"Yer toifasi va maqsadini kiritish")</f>
        <v>0</v>
      </c>
      <c r="AW117" s="39">
        <f>+COUNTIFS('muddati otgan'!B:B,A117,'muddati otgan'!J:J,"Auksion yer tekshirish")</f>
        <v>0</v>
      </c>
      <c r="AX117" s="39">
        <f>+COUNTIFS('muddati otgan'!B:B,A117,'muddati otgan'!J:J,"Yer turlarini kiritish")</f>
        <v>0</v>
      </c>
      <c r="AY117" s="39">
        <f>+COUNTIFS('muddati otgan'!B:B,A117,'muddati otgan'!J:J,"Ma'lumotlarni kiritish")</f>
        <v>0</v>
      </c>
      <c r="AZ117" s="39">
        <f>+COUNTIFS('muddati otgan'!B:B,A117,'muddati otgan'!J:J,"Yer tekshirish")</f>
        <v>0</v>
      </c>
      <c r="BA117" s="39">
        <f t="shared" si="30"/>
        <v>4</v>
      </c>
      <c r="BB117" s="39">
        <f>+COUNTIFS('muddati otgan'!B:B,A117,'muddati otgan'!J:J,"Bino va inshoot ma'lumotlarini to‘ldirish")</f>
        <v>3</v>
      </c>
      <c r="BC117" s="39">
        <f>+COUNTIFS('muddati otgan'!B:B,A117,'muddati otgan'!J:J,"Inventarizatsiya ma'lumotlarini to‘ldirish")</f>
        <v>1</v>
      </c>
      <c r="BD117" s="39">
        <f>+COUNTIFS('muddati otgan'!B:B,A117,'muddati otgan'!J:J,"Yer uchastkasiga huquqiy hujjatlarni kiritsh")</f>
        <v>0</v>
      </c>
      <c r="BE117" s="39">
        <f>+COUNTIFS('muddati otgan'!B:B,A117,'muddati otgan'!J:J,"Bino-inshootlarga huquqiy hujjatlarni kiritsh")</f>
        <v>0</v>
      </c>
      <c r="BF117" s="39">
        <f>+COUNTIFS('muddati otgan'!B:B,A117,'muddati otgan'!J:J,"Kadastr qiymatini hisoblash va kiritish")</f>
        <v>0</v>
      </c>
      <c r="BG117" s="39">
        <f>+COUNTIFS('muddati otgan'!B:B,A117,'muddati otgan'!J:J,"Kadastr raqam biriktirish")</f>
        <v>0</v>
      </c>
      <c r="BH117" s="39">
        <f>+COUNTIFS('muddati otgan'!B:B,A117,'muddati otgan'!J:J,"Kadastr yig'ma jildni tayyorlash")</f>
        <v>0</v>
      </c>
      <c r="BI117" s="39">
        <f>+COUNTIFS('muddati otgan'!B:B,A117,'muddati otgan'!J:J,"Huquqni yaratish")</f>
        <v>0</v>
      </c>
      <c r="BJ117" s="39">
        <f>+COUNTIFS('muddati otgan'!B:B,A117,'muddati otgan'!J:J,"Hujjatlarni o'rganish")</f>
        <v>0</v>
      </c>
      <c r="BK117" s="39">
        <f>+COUNTIFS('muddati otgan'!B:B,A117,'muddati otgan'!J:J,"Ma'lumotlarni tekshirish")</f>
        <v>0</v>
      </c>
      <c r="BL117" s="39">
        <f t="shared" si="31"/>
        <v>6</v>
      </c>
      <c r="BM117" s="39">
        <f>+COUNTIFS('muddati otgan'!B:B,A117,'muddati otgan'!J:J,"Tekshirish")</f>
        <v>6</v>
      </c>
      <c r="BN117" s="39">
        <f>+COUNTIFS('muddati otgan'!B:B,A117,'muddati otgan'!J:J,"Hujjatlarni tekshirish")</f>
        <v>0</v>
      </c>
      <c r="BO117" s="39"/>
      <c r="BP117" s="39">
        <f>+COUNTIFS('muddati otgan'!B:B,A117,'muddati otgan'!J:J,"tekshirish/tasdiqlash")</f>
        <v>0</v>
      </c>
      <c r="BQ117" s="39">
        <f>+COUNTIFS('muddati otgan'!B:B,A117,'muddati otgan'!J:J,"Ma'lumotlarni tasdiqlash")</f>
        <v>0</v>
      </c>
      <c r="BR117" s="39">
        <f t="shared" si="32"/>
        <v>5</v>
      </c>
      <c r="BS117" s="39">
        <f>+COUNTIFS('muddati otgan'!B:B,A117,'muddati otgan'!J:J,"Ro'yxatdan o'tkazish ma'lumotlarini tekshirish")</f>
        <v>5</v>
      </c>
      <c r="BT117" s="39">
        <f>+COUNTIFS('muddati otgan'!B:B,A117,'muddati otgan'!J:J,"Kamchiliklar bo'yicha habarnoma yuborish va 3 kunga to'xtatish")</f>
        <v>0</v>
      </c>
      <c r="BU117" s="39">
        <f>+COUNTIFS('muddati otgan'!B:B,A117,'muddati otgan'!J:J,"Hisobga olish")</f>
        <v>0</v>
      </c>
      <c r="BV117" s="39">
        <f>+COUNTIFS('muddati otgan'!B:B,A117,'muddati otgan'!J:J,"Yer uchastkasiga huquq yaratish")</f>
        <v>0</v>
      </c>
      <c r="BW117" s="39">
        <f>+COUNTIFS('muddati otgan'!B:B,A117,'muddati otgan'!J:J,"Bino-inshootga huquq yaratish")</f>
        <v>0</v>
      </c>
      <c r="BX117" s="39">
        <f>+COUNTIFS('muddati otgan'!B:B,A117,'muddati otgan'!J:J,"Cheklov yaratish")</f>
        <v>0</v>
      </c>
      <c r="BY117" s="39">
        <f>+COUNTIFS('muddati otgan'!B:B,A117,'muddati otgan'!J:J,"Taqiq yaratish")</f>
        <v>0</v>
      </c>
      <c r="BZ117" s="39">
        <f t="shared" si="33"/>
        <v>0</v>
      </c>
      <c r="CA117" s="39">
        <f>+COUNTIFS('muddati otgan'!B:B,A117,'muddati otgan'!J:J,"Soliq maydonini tekshirish")</f>
        <v>0</v>
      </c>
      <c r="CB117" s="39">
        <f t="shared" si="34"/>
        <v>2</v>
      </c>
      <c r="CC117" s="39">
        <f>+COUNTIFS('muddati otgan'!B:B,A117,'muddati otgan'!J:J,"Kadastr yig'majildini shakllantirish")</f>
        <v>2</v>
      </c>
      <c r="CD117" s="39">
        <f t="shared" si="35"/>
        <v>3</v>
      </c>
      <c r="CE117" s="39">
        <f>+COUNTIFS('muddati otgan'!B:B,A117,'muddati otgan'!J:J,"Kadastr passportini shakllantirish")</f>
        <v>0</v>
      </c>
      <c r="CF117" s="39">
        <f>+COUNTIFS('muddati otgan'!B:B,A117,'muddati otgan'!J:J,"Yig'ma jildni tasdiqlash")</f>
        <v>0</v>
      </c>
      <c r="CG117" s="39">
        <f>+COUNTIFS('muddati otgan'!B:B,A117,'muddati otgan'!J:J,"To'lov yoki bepul tasdiqlash")</f>
        <v>0</v>
      </c>
      <c r="CH117" s="39">
        <f>+COUNTIFS('muddati otgan'!B:B,A117,'muddati otgan'!J:J,"Bog'liq arizani kutish")</f>
        <v>3</v>
      </c>
      <c r="CI117" s="39">
        <f>+COUNTIFS('muddati otgan'!B:B,A117,'muddati otgan'!J:J,"To'lovga chiqarish")</f>
        <v>0</v>
      </c>
      <c r="CJ117" s="39">
        <f>+COUNTIFS('muddati otgan'!B:B,A117,'muddati otgan'!J:J,"Hisobga qo'yish")</f>
        <v>0</v>
      </c>
      <c r="CK117" s="67">
        <f>+COUNTIFS('muddati otgan'!B:B,A117,'muddati otgan'!J:J,"To'lov kutilmoqda")</f>
        <v>0</v>
      </c>
      <c r="CL117" s="39">
        <f t="shared" si="36"/>
        <v>0</v>
      </c>
      <c r="CM117" s="39">
        <f>+COUNTIFS('muddati otgan'!B:B,A117,'muddati otgan'!AA:AA,"Arizani qabul qilish2")</f>
        <v>0</v>
      </c>
      <c r="CN117" s="39">
        <f>+COUNTIFS('muddati otgan'!B:B,A117,'muddati otgan'!J:J,"Huquqlarni tekshirish")</f>
        <v>0</v>
      </c>
      <c r="CO117" s="39">
        <f>+COUNTIFS('muddati otgan'!B:B,A117,'muddati otgan'!J:J,"Ko'chmas mulkni ro'yhatdan o'tkazishga qabul qilish")</f>
        <v>0</v>
      </c>
      <c r="CP117" s="39">
        <f>+COUNTIFS('muddati otgan'!B:B,A117,'muddati otgan'!J:J,"Ro'yxatdan o'tkazish")</f>
        <v>0</v>
      </c>
      <c r="CQ117" s="39">
        <f>+COUNTIFS('muddati otgan'!B:B,A117,'muddati otgan'!J:J,"Kadastr pasporti va ko'chirmani yuborish")</f>
        <v>0</v>
      </c>
      <c r="CR117" s="39">
        <f>+COUNTIFS('muddati otgan'!B:B,A117,'muddati otgan'!AA:AA,"Rad qilish2")</f>
        <v>0</v>
      </c>
      <c r="CS117" s="39">
        <f>+COUNTIFS('muddati otgan'!B:B,A117,'muddati otgan'!J:J,"Ko'chirmani yuborish")</f>
        <v>0</v>
      </c>
      <c r="CT117" s="39">
        <f>+COUNTIFS('muddati otgan'!B:B,A117,'muddati otgan'!J:J,"Ma‘lumotlarni tekshirish")</f>
        <v>0</v>
      </c>
      <c r="CU117" s="39">
        <f t="shared" si="37"/>
        <v>0</v>
      </c>
      <c r="CV117" s="39">
        <f>+COUNTIFS('muddati otgan'!B:B,A117,'muddati otgan'!J:J,"Kadastr yig'majildini chop etish va arxiv ishiga tikish")</f>
        <v>0</v>
      </c>
      <c r="CW117" s="39">
        <f t="shared" si="38"/>
        <v>0</v>
      </c>
      <c r="CX117" s="39">
        <f>+COUNTIFS('muddati otgan'!B:B,A117,'muddati otgan'!J:J,"Kadastr yig‘majildini qabul qilish, arizani yakunlash")</f>
        <v>0</v>
      </c>
      <c r="CY117" s="39">
        <f>+COUNTIFS('muddati otgan'!B:B,A117,'muddati otgan'!J:J,"Next Cloudga yuklash")</f>
        <v>0</v>
      </c>
      <c r="CZ117" s="67">
        <f>+COUNTIFS('muddati otgan'!B:B,A117,'muddati otgan'!J:J,"Kelishish kutilmoqda")</f>
        <v>0</v>
      </c>
      <c r="DA117" s="67">
        <f>+COUNTIFS('muddati otgan'!B:B,A117,'muddati otgan'!J:J,"Yakunlandi")</f>
        <v>0</v>
      </c>
      <c r="DB117" s="37">
        <f>+COUNTIFS('muddati otgan'!B:B,A117,'muddati otgan'!J:J,"Rad etildi")</f>
        <v>0</v>
      </c>
      <c r="DC117" s="99">
        <f t="shared" si="5"/>
        <v>-25</v>
      </c>
      <c r="DD117" s="43">
        <f>COUNTIFS('jami 1-20 kunlik arizalar'!B:B,A:A,'jami 1-20 kunlik arizalar'!S:S,"1")</f>
        <v>0</v>
      </c>
      <c r="DE117" s="39">
        <f>COUNTIFS('jami 1-20 kunlik arizalar'!B:B,A:A,'jami 1-20 kunlik arizalar'!S:S,"2")</f>
        <v>0</v>
      </c>
      <c r="DF117" s="39">
        <f>COUNTIFS('jami 1-20 kunlik arizalar'!B:B,A:A,'jami 1-20 kunlik arizalar'!S:S,"3")</f>
        <v>13</v>
      </c>
      <c r="DG117" s="39">
        <f>COUNTIFS('jami 1-20 kunlik arizalar'!B:B,A:A,'jami 1-20 kunlik arizalar'!S:S,"4")</f>
        <v>10</v>
      </c>
      <c r="DH117" s="39">
        <f>COUNTIFS('jami 1-20 kunlik arizalar'!B:B,A:A,'jami 1-20 kunlik arizalar'!S:S,"5")</f>
        <v>21</v>
      </c>
      <c r="DI117" s="39">
        <f>SUM(COUNTIFS('jami 1-20 kunlik arizalar'!B:B,A:A, 'jami 1-20 kunlik arizalar'!S:S, {6,7,8,9,10}))</f>
        <v>60</v>
      </c>
      <c r="DJ117" s="40">
        <f>SUMPRODUCT(('jami 1-20 kunlik arizalar'!B:B=A117)*('jami 1-20 kunlik arizalar'!S:S&gt;10))</f>
        <v>66</v>
      </c>
      <c r="DK117" s="34"/>
    </row>
    <row r="118" spans="1:115" ht="32.1" hidden="1" customHeight="1" outlineLevel="1" x14ac:dyDescent="0.25">
      <c r="A118" s="92" t="s">
        <v>682</v>
      </c>
      <c r="B118" s="74"/>
      <c r="C118" s="85" t="s">
        <v>821</v>
      </c>
      <c r="D118" s="80">
        <f>+COUNTIFS('muddati otgan'!C:C,A118,'muddati otgan'!C:C,A118)</f>
        <v>0</v>
      </c>
      <c r="E118" s="10">
        <f>SUMIFS('muddati otgan'!$V:V,'muddati otgan'!$C:C,$A:A)</f>
        <v>0</v>
      </c>
      <c r="F118" s="10">
        <f>SUMIFS('muddati otgan'!$W:W,'muddati otgan'!$C:C,$A:A)</f>
        <v>0</v>
      </c>
      <c r="G118" s="24">
        <f>SUMIFS('muddati otgan'!$U:U,'muddati otgan'!$C:C,$A:A)</f>
        <v>0</v>
      </c>
      <c r="H118" s="11">
        <f>SUMIFS('muddati otgan'!$G:G,'muddati otgan'!$C:C,$A:A)</f>
        <v>0</v>
      </c>
      <c r="I118" s="12">
        <f>SUMIFS('muddati otgan'!$H:H,'muddati otgan'!$C:C,$A:A)</f>
        <v>0</v>
      </c>
      <c r="J118" s="44">
        <f t="shared" si="23"/>
        <v>0</v>
      </c>
      <c r="K118" s="11">
        <f>+COUNTIFS('muddati otgan'!C:C,A118,'muddati otgan'!AA:AA,"Arizani qabul qilish")</f>
        <v>0</v>
      </c>
      <c r="L118" s="11">
        <f>+COUNTIFS('muddati otgan'!C:C,A118,'muddati otgan'!J:J,"Arizani rad etish")</f>
        <v>0</v>
      </c>
      <c r="M118" s="11">
        <f>+COUNTIFS('muddati otgan'!C:C,A118,'muddati otgan'!J:J,"Arizani tasdiqlash")</f>
        <v>0</v>
      </c>
      <c r="N118" s="11">
        <f>+COUNTIFS('muddati otgan'!C:C,A118,'muddati otgan'!J:J,"Arizani yo'naltirish")</f>
        <v>0</v>
      </c>
      <c r="O118" s="11">
        <f>+COUNTIFS('muddati otgan'!C:C,A118,'muddati otgan'!J:J,"Rad qilish sababini o'rganish")</f>
        <v>0</v>
      </c>
      <c r="P118" s="11">
        <f>+COUNTIFS('muddati otgan'!C:C,A118,'muddati otgan'!J:J,"Ko'chmas mulkni UZKAD ga migratsiya qilish")</f>
        <v>0</v>
      </c>
      <c r="Q118" s="11">
        <f>+COUNTIFS('muddati otgan'!C:C,A118,'muddati otgan'!J:J,"Migratisya qilingan obyekt holatini tekshirish")</f>
        <v>0</v>
      </c>
      <c r="R118" s="11">
        <f>+COUNTIFS('muddati otgan'!C:C,A118,'muddati otgan'!J:J,"Ko‘chmas mulkni tanlash")</f>
        <v>0</v>
      </c>
      <c r="S118" s="11">
        <f>+COUNTIFS('muddati otgan'!C:C,A118,'muddati otgan'!J:J,"Arizani ko'rib chiqish")</f>
        <v>0</v>
      </c>
      <c r="T118" s="11">
        <f>+COUNTIFS('muddati otgan'!C:C,A118,'muddati otgan'!J:J,"Kadastr muhandisini tanlash")</f>
        <v>0</v>
      </c>
      <c r="U118" s="11">
        <f>+COUNTIFS('muddati otgan'!C:C,A118,'muddati otgan'!J:J,"Ko'chmas mulk turini tanlahsh")</f>
        <v>0</v>
      </c>
      <c r="V118" s="11">
        <f>+COUNTIFS('muddati otgan'!C:C,A118,'muddati otgan'!AA:AA,"Rad qilish")</f>
        <v>0</v>
      </c>
      <c r="W118" s="11">
        <f>+COUNTIFS('muddati otgan'!C:C,A118,'muddati otgan'!J:J,"ijrochi tanlash")</f>
        <v>0</v>
      </c>
      <c r="X118" s="11">
        <f>+COUNTIFS('muddati otgan'!C:C,A118,'muddati otgan'!J:J,"Ko'chmas mulk turini tanlash")</f>
        <v>0</v>
      </c>
      <c r="Y118" s="11">
        <f t="shared" si="24"/>
        <v>0</v>
      </c>
      <c r="Z118" s="11">
        <f>+COUNTIFS('muddati otgan'!C:C,A118,'muddati otgan'!J:J,"Ijroga qabul qilish")</f>
        <v>0</v>
      </c>
      <c r="AA118" s="11">
        <f>+COUNTIFS('muddati otgan'!C:C,A118,'muddati otgan'!J:J,"Joyida o'rganish va ma'lumotlarni kiritish")</f>
        <v>0</v>
      </c>
      <c r="AB118" s="11">
        <f>+COUNTIFS('muddati otgan'!C:C,A118,'muddati otgan'!J:J,"Asosiy qismdan ajratish jarayonida")</f>
        <v>0</v>
      </c>
      <c r="AC118" s="11">
        <f>+COUNTIFS('muddati otgan'!C:C,A118,'muddati otgan'!J:J,"Umumiy foydalanishdagi obyekt yaratilish")</f>
        <v>0</v>
      </c>
      <c r="AD118" s="11">
        <f>+COUNTIFS('muddati otgan'!C:C,A118,'muddati otgan'!J:J,"Migratsiya qilinadigan kadastr raqamini kiritish")</f>
        <v>0</v>
      </c>
      <c r="AE118" s="11">
        <f>+COUNTIFS('muddati otgan'!C:C,A118,'muddati otgan'!J:J,"O'zida qolgan obyektni yaratish")</f>
        <v>0</v>
      </c>
      <c r="AF118" s="11">
        <f>+COUNTIFS('muddati otgan'!C:C,A118,'muddati otgan'!J:J,"O'lchov natijalarini kiritish")</f>
        <v>0</v>
      </c>
      <c r="AG118" s="11">
        <f>+COUNTIFS('muddati otgan'!C:C,A118,'muddati otgan'!J:J,"Topoxaritani tayyorlash (dwg, pdf)")</f>
        <v>0</v>
      </c>
      <c r="AH118" s="11">
        <f t="shared" si="25"/>
        <v>0</v>
      </c>
      <c r="AI118" s="11">
        <f>+COUNTIFS('muddati otgan'!C:C,A118,'muddati otgan'!J:J,"Yer uchastkasini yaratish")</f>
        <v>0</v>
      </c>
      <c r="AJ118" s="11">
        <f t="shared" si="26"/>
        <v>0</v>
      </c>
      <c r="AK118" s="11">
        <f>+COUNTIFS('muddati otgan'!C:C,A118,'muddati otgan'!J:J,"Kelishish (Boshqarma)")</f>
        <v>0</v>
      </c>
      <c r="AL118" s="11">
        <f t="shared" si="27"/>
        <v>0</v>
      </c>
      <c r="AM118" s="11">
        <f>+COUNTIFS('muddati otgan'!C:C,A118,'muddati otgan'!J:J,"Kelishish (DKP)")</f>
        <v>0</v>
      </c>
      <c r="AN118" s="11">
        <f>+COUNTIFS('muddati otgan'!C:C,A118,'muddati otgan'!J:J,"Kelishish")</f>
        <v>0</v>
      </c>
      <c r="AO118" s="11">
        <f>+COUNTIFS('muddati otgan'!C:C,A118,'muddati otgan'!J:J,"Kelishish (Registratsiya DKP)")</f>
        <v>0</v>
      </c>
      <c r="AP118" s="11">
        <f t="shared" si="28"/>
        <v>0</v>
      </c>
      <c r="AQ118" s="11">
        <f>+COUNTIFS('muddati otgan'!C:C,A118,'muddati otgan'!J:J,"Manzil biriktirish")</f>
        <v>0</v>
      </c>
      <c r="AR118" s="11">
        <f>+COUNTIFS('muddati otgan'!C:C,A118,'muddati otgan'!J:J,"Bino va inshootlarni yaratish")</f>
        <v>0</v>
      </c>
      <c r="AS118" s="11">
        <f>+COUNTIFS('muddati otgan'!C:C,A118,'muddati otgan'!J:J,"Dov daraxtlarni yaratish")</f>
        <v>0</v>
      </c>
      <c r="AT118" s="11">
        <f>+COUNTIFS('muddati otgan'!C:C,A118,'muddati otgan'!J:J,"Yer uchastkasini tahrirlash")</f>
        <v>0</v>
      </c>
      <c r="AU118" s="11">
        <f t="shared" si="29"/>
        <v>0</v>
      </c>
      <c r="AV118" s="11">
        <f>+COUNTIFS('muddati otgan'!C:C,A118,'muddati otgan'!J:J,"Yer toifasi va maqsadini kiritish")</f>
        <v>0</v>
      </c>
      <c r="AW118" s="11">
        <f>+COUNTIFS('muddati otgan'!C:C,A118,'muddati otgan'!J:J,"Auksion yer tekshirish")</f>
        <v>0</v>
      </c>
      <c r="AX118" s="11">
        <f>+COUNTIFS('muddati otgan'!C:C,A118,'muddati otgan'!J:J,"Yer turlarini kiritish")</f>
        <v>0</v>
      </c>
      <c r="AY118" s="11">
        <f>+COUNTIFS('muddati otgan'!C:C,A118,'muddati otgan'!J:J,"Ma'lumotlarni kiritish")</f>
        <v>0</v>
      </c>
      <c r="AZ118" s="11">
        <f>+COUNTIFS('muddati otgan'!C:C,A118,'muddati otgan'!J:J,"Yer tekshirish")</f>
        <v>0</v>
      </c>
      <c r="BA118" s="11">
        <f t="shared" si="30"/>
        <v>0</v>
      </c>
      <c r="BB118" s="11">
        <f>+COUNTIFS('muddati otgan'!C:C,A118,'muddati otgan'!J:J,"Bino va inshoot ma'lumotlarini to‘ldirish")</f>
        <v>0</v>
      </c>
      <c r="BC118" s="11">
        <f>+COUNTIFS('muddati otgan'!C:C,A118,'muddati otgan'!J:J,"Inventarizatsiya ma'lumotlarini to‘ldirish")</f>
        <v>0</v>
      </c>
      <c r="BD118" s="11">
        <f>+COUNTIFS('muddati otgan'!C:C,A118,'muddati otgan'!J:J,"Yer uchastkasiga huquqiy hujjatlarni kiritsh")</f>
        <v>0</v>
      </c>
      <c r="BE118" s="11">
        <f>+COUNTIFS('muddati otgan'!C:C,A118,'muddati otgan'!J:J,"Bino-inshootlarga huquqiy hujjatlarni kiritsh")</f>
        <v>0</v>
      </c>
      <c r="BF118" s="11">
        <f>+COUNTIFS('muddati otgan'!C:C,A118,'muddati otgan'!J:J,"Kadastr qiymatini hisoblash va kiritish")</f>
        <v>0</v>
      </c>
      <c r="BG118" s="11">
        <f>+COUNTIFS('muddati otgan'!C:C,A118,'muddati otgan'!J:J,"Kadastr raqam biriktirish")</f>
        <v>0</v>
      </c>
      <c r="BH118" s="11">
        <f>+COUNTIFS('muddati otgan'!C:C,A118,'muddati otgan'!J:J,"Kadastr yig'ma jildni tayyorlash")</f>
        <v>0</v>
      </c>
      <c r="BI118" s="11">
        <f>+COUNTIFS('muddati otgan'!C:C,A118,'muddati otgan'!J:J,"Huquqni yaratish")</f>
        <v>0</v>
      </c>
      <c r="BJ118" s="11">
        <f>+COUNTIFS('muddati otgan'!C:C,A118,'muddati otgan'!J:J,"Hujjatlarni o'rganish")</f>
        <v>0</v>
      </c>
      <c r="BK118" s="11">
        <f>+COUNTIFS('muddati otgan'!C:C,A118,'muddati otgan'!J:J,"Ma'lumotlarni tekshirish")</f>
        <v>0</v>
      </c>
      <c r="BL118" s="11">
        <f t="shared" si="31"/>
        <v>0</v>
      </c>
      <c r="BM118" s="11">
        <f>+COUNTIFS('muddati otgan'!C:C,A118,'muddati otgan'!J:J,"Tekshirish")</f>
        <v>0</v>
      </c>
      <c r="BN118" s="11">
        <f>+COUNTIFS('muddati otgan'!C:C,A118,'muddati otgan'!J:J,"Hujjatlarni tekshirish")</f>
        <v>0</v>
      </c>
      <c r="BO118" s="11">
        <f>+COUNTIFS('muddati otgan'!C:C,A118,'muddati otgan'!J:J,"Tasdiqlash")</f>
        <v>0</v>
      </c>
      <c r="BP118" s="11">
        <f>+COUNTIFS('muddati otgan'!C:C,A118,'muddati otgan'!J:J,"tekshirish/tasdiqlash")</f>
        <v>0</v>
      </c>
      <c r="BQ118" s="11">
        <f>+COUNTIFS('muddati otgan'!C:C,A118,'muddati otgan'!J:J,"Ma'lumotlarni tasdiqlash")</f>
        <v>0</v>
      </c>
      <c r="BR118" s="11">
        <f t="shared" si="32"/>
        <v>0</v>
      </c>
      <c r="BS118" s="11">
        <f>+COUNTIFS('muddati otgan'!C:C,A118,'muddati otgan'!J:J,"Ro'yxatdan o'tkazish ma'lumotlarini tekshirish")</f>
        <v>0</v>
      </c>
      <c r="BT118" s="11">
        <f>+COUNTIFS('muddati otgan'!C:C,A118,'muddati otgan'!J:J,"Kamchiliklar bo'yicha habarnoma yuborish va 3 kunga to'xtatish")</f>
        <v>0</v>
      </c>
      <c r="BU118" s="11">
        <f>+COUNTIFS('muddati otgan'!C:C,A118,'muddati otgan'!J:J,"Hisobga olish")</f>
        <v>0</v>
      </c>
      <c r="BV118" s="11">
        <f>+COUNTIFS('muddati otgan'!C:C,A118,'muddati otgan'!J:J,"Yer uchastkasiga huquq yaratish")</f>
        <v>0</v>
      </c>
      <c r="BW118" s="11">
        <f>+COUNTIFS('muddati otgan'!C:C,A118,'muddati otgan'!J:J,"Bino-inshootga huquq yaratish")</f>
        <v>0</v>
      </c>
      <c r="BX118" s="11">
        <f>+COUNTIFS('muddati otgan'!C:C,A118,'muddati otgan'!J:J,"Cheklov yaratish")</f>
        <v>0</v>
      </c>
      <c r="BY118" s="11">
        <f>+COUNTIFS('muddati otgan'!C:C,A118,'muddati otgan'!J:J,"Taqiq yaratish")</f>
        <v>0</v>
      </c>
      <c r="BZ118" s="11">
        <f t="shared" si="33"/>
        <v>0</v>
      </c>
      <c r="CA118" s="11">
        <f>+COUNTIFS('muddati otgan'!C:C,A118,'muddati otgan'!J:J,"Soliq maydonini tekshirish")</f>
        <v>0</v>
      </c>
      <c r="CB118" s="11">
        <f t="shared" si="34"/>
        <v>0</v>
      </c>
      <c r="CC118" s="11">
        <f>+COUNTIFS('muddati otgan'!C:C,A118,'muddati otgan'!J:J,"Kadastr yig'majildini shakllantirish")</f>
        <v>0</v>
      </c>
      <c r="CD118" s="11">
        <f t="shared" si="35"/>
        <v>0</v>
      </c>
      <c r="CE118" s="11">
        <f>+COUNTIFS('muddati otgan'!C:C,A118,'muddati otgan'!J:J,"Kadastr passportini shakllantirish")</f>
        <v>0</v>
      </c>
      <c r="CF118" s="11">
        <f>+COUNTIFS('muddati otgan'!C:C,A118,'muddati otgan'!J:J,"Yig'ma jildni tasdiqlash")</f>
        <v>0</v>
      </c>
      <c r="CG118" s="11">
        <f>+COUNTIFS('muddati otgan'!C:C,A118,'muddati otgan'!J:J,"To'lov yoki bepul tasdiqlash")</f>
        <v>0</v>
      </c>
      <c r="CH118" s="11">
        <f>+COUNTIFS('muddati otgan'!C:C,A118,'muddati otgan'!J:J,"Bog'liq arizani kutish")</f>
        <v>0</v>
      </c>
      <c r="CI118" s="11">
        <f>+COUNTIFS('muddati otgan'!C:C,A118,'muddati otgan'!J:J,"To'lovga chiqarish")</f>
        <v>0</v>
      </c>
      <c r="CJ118" s="11">
        <f>+COUNTIFS('muddati otgan'!C:C,A118,'muddati otgan'!J:J,"Hisobga qo'yish")</f>
        <v>0</v>
      </c>
      <c r="CK118" s="6">
        <f>+COUNTIFS('muddati otgan'!C:C,A118,'muddati otgan'!J:J,"To'lov kutilmoqda")</f>
        <v>0</v>
      </c>
      <c r="CL118" s="11">
        <f t="shared" si="36"/>
        <v>0</v>
      </c>
      <c r="CM118" s="11">
        <f>+COUNTIFS('muddati otgan'!C:C,A118,'muddati otgan'!AA:AA,"Arizani qabul qilish2")</f>
        <v>0</v>
      </c>
      <c r="CN118" s="11">
        <f>+COUNTIFS('muddati otgan'!C:C,A118,'muddati otgan'!J:J,"Huquqlarni tekshirish")</f>
        <v>0</v>
      </c>
      <c r="CO118" s="11">
        <f>+COUNTIFS('muddati otgan'!C:C,A118,'muddati otgan'!J:J,"Ko'chmas mulkni ro'yhatdan o'tkazishga qabul qilish")</f>
        <v>0</v>
      </c>
      <c r="CP118" s="11">
        <f>+COUNTIFS('muddati otgan'!C:C,A118,'muddati otgan'!J:J,"Ro'yxatdan o'tkazish")</f>
        <v>0</v>
      </c>
      <c r="CQ118" s="11">
        <f>+COUNTIFS('muddati otgan'!C:C,A118,'muddati otgan'!J:J,"Kadastr pasporti va ko'chirmani yuborish")</f>
        <v>0</v>
      </c>
      <c r="CR118" s="11">
        <f>+COUNTIFS('muddati otgan'!C:C,A118,'muddati otgan'!AA:AA,"Rad qilish2")</f>
        <v>0</v>
      </c>
      <c r="CS118" s="11">
        <f>+COUNTIFS('muddati otgan'!C:C,A118,'muddati otgan'!J:J,"Ko'chirmani yuborish")</f>
        <v>0</v>
      </c>
      <c r="CT118" s="11">
        <f>+COUNTIFS('muddati otgan'!C:C,A118,'muddati otgan'!J:J,"Ma‘lumotlarni tekshirish")</f>
        <v>0</v>
      </c>
      <c r="CU118" s="11">
        <f t="shared" si="37"/>
        <v>0</v>
      </c>
      <c r="CV118" s="11">
        <f>+COUNTIFS('muddati otgan'!C:C,A118,'muddati otgan'!J:J,"Kadastr yig'majildini chop etish va arxiv ishiga tikish")</f>
        <v>0</v>
      </c>
      <c r="CW118" s="11">
        <f t="shared" si="38"/>
        <v>0</v>
      </c>
      <c r="CX118" s="11">
        <f>+COUNTIFS('muddati otgan'!C:C,A118,'muddati otgan'!J:J,"Kadastr yig‘majildini qabul qilish, arizani yakunlash")</f>
        <v>0</v>
      </c>
      <c r="CY118" s="11">
        <f>+COUNTIFS('muddati otgan'!C:C,A118,'muddati otgan'!J:J,"Next Cloudga yuklash")</f>
        <v>0</v>
      </c>
      <c r="CZ118" s="6">
        <f>+COUNTIFS('muddati otgan'!C:C,A118,'muddati otgan'!J:J,"Kelishish kutilmoqda")</f>
        <v>0</v>
      </c>
      <c r="DA118" s="6">
        <f>+COUNTIFS('muddati otgan'!C:C,A118,'muddati otgan'!J:J,"Yakunlandi")</f>
        <v>0</v>
      </c>
      <c r="DB118" s="10">
        <f>+COUNTIFS('muddati otgan'!C:C,A118,'muddati otgan'!J:J,"Rad etildi")</f>
        <v>0</v>
      </c>
      <c r="DC118" s="100">
        <f t="shared" si="5"/>
        <v>0</v>
      </c>
      <c r="DD118" s="44">
        <f>COUNTIFS('jami 1-20 kunlik arizalar'!C:C,A:A,'jami 1-20 kunlik arizalar'!S:S,"1")</f>
        <v>0</v>
      </c>
      <c r="DE118" s="11">
        <f>COUNTIFS('jami 1-20 kunlik arizalar'!C:C,A:A,'jami 1-20 kunlik arizalar'!S:S,"2")</f>
        <v>0</v>
      </c>
      <c r="DF118" s="11">
        <f>COUNTIFS('jami 1-20 kunlik arizalar'!C:C,A:A,'jami 1-20 kunlik arizalar'!S:S,"3")</f>
        <v>1</v>
      </c>
      <c r="DG118" s="11">
        <f>COUNTIFS('jami 1-20 kunlik arizalar'!C:C,A:A,'jami 1-20 kunlik arizalar'!S:S,"4")</f>
        <v>2</v>
      </c>
      <c r="DH118" s="11">
        <f>COUNTIFS('jami 1-20 kunlik arizalar'!C:C,A:A,'jami 1-20 kunlik arizalar'!S:S,"5")</f>
        <v>0</v>
      </c>
      <c r="DI118" s="11">
        <f>SUM(COUNTIFS('jami 1-20 kunlik arizalar'!C:C,A:A, 'jami 1-20 kunlik arizalar'!S:S, {6,7,8,9,10}))</f>
        <v>1</v>
      </c>
      <c r="DJ118" s="12">
        <f>SUM(COUNTIFS('jami 1-20 kunlik arizalar'!C:C,A:A, 'jami 1-20 kunlik arizalar'!S:S, "&gt;10"))</f>
        <v>1</v>
      </c>
    </row>
    <row r="119" spans="1:115" ht="32.1" hidden="1" customHeight="1" outlineLevel="1" x14ac:dyDescent="0.25">
      <c r="A119" s="92" t="s">
        <v>492</v>
      </c>
      <c r="B119" s="74"/>
      <c r="C119" s="85" t="s">
        <v>822</v>
      </c>
      <c r="D119" s="80">
        <f>+COUNTIFS('muddati otgan'!C:C,A119,'muddati otgan'!C:C,A119)</f>
        <v>0</v>
      </c>
      <c r="E119" s="10">
        <f>SUMIFS('muddati otgan'!$V:V,'muddati otgan'!$C:C,$A:A)</f>
        <v>0</v>
      </c>
      <c r="F119" s="10">
        <f>SUMIFS('muddati otgan'!$W:W,'muddati otgan'!$C:C,$A:A)</f>
        <v>0</v>
      </c>
      <c r="G119" s="24">
        <f>SUMIFS('muddati otgan'!$U:U,'muddati otgan'!$C:C,$A:A)</f>
        <v>0</v>
      </c>
      <c r="H119" s="11">
        <f>SUMIFS('muddati otgan'!$G:G,'muddati otgan'!$C:C,$A:A)</f>
        <v>0</v>
      </c>
      <c r="I119" s="12">
        <f>SUMIFS('muddati otgan'!$H:H,'muddati otgan'!$C:C,$A:A)</f>
        <v>0</v>
      </c>
      <c r="J119" s="44">
        <f t="shared" si="23"/>
        <v>0</v>
      </c>
      <c r="K119" s="11">
        <f>+COUNTIFS('muddati otgan'!C:C,A119,'muddati otgan'!AA:AA,"Arizani qabul qilish")</f>
        <v>0</v>
      </c>
      <c r="L119" s="11">
        <f>+COUNTIFS('muddati otgan'!C:C,A119,'muddati otgan'!J:J,"Arizani rad etish")</f>
        <v>0</v>
      </c>
      <c r="M119" s="11">
        <f>+COUNTIFS('muddati otgan'!C:C,A119,'muddati otgan'!J:J,"Arizani tasdiqlash")</f>
        <v>0</v>
      </c>
      <c r="N119" s="11">
        <f>+COUNTIFS('muddati otgan'!C:C,A119,'muddati otgan'!J:J,"Arizani yo'naltirish")</f>
        <v>0</v>
      </c>
      <c r="O119" s="11">
        <f>+COUNTIFS('muddati otgan'!C:C,A119,'muddati otgan'!J:J,"Rad qilish sababini o'rganish")</f>
        <v>0</v>
      </c>
      <c r="P119" s="11">
        <f>+COUNTIFS('muddati otgan'!C:C,A119,'muddati otgan'!J:J,"Ko'chmas mulkni UZKAD ga migratsiya qilish")</f>
        <v>0</v>
      </c>
      <c r="Q119" s="11">
        <f>+COUNTIFS('muddati otgan'!C:C,A119,'muddati otgan'!J:J,"Migratisya qilingan obyekt holatini tekshirish")</f>
        <v>0</v>
      </c>
      <c r="R119" s="11">
        <f>+COUNTIFS('muddati otgan'!C:C,A119,'muddati otgan'!J:J,"Ko‘chmas mulkni tanlash")</f>
        <v>0</v>
      </c>
      <c r="S119" s="11">
        <f>+COUNTIFS('muddati otgan'!C:C,A119,'muddati otgan'!J:J,"Arizani ko'rib chiqish")</f>
        <v>0</v>
      </c>
      <c r="T119" s="11">
        <f>+COUNTIFS('muddati otgan'!C:C,A119,'muddati otgan'!J:J,"Kadastr muhandisini tanlash")</f>
        <v>0</v>
      </c>
      <c r="U119" s="11">
        <f>+COUNTIFS('muddati otgan'!C:C,A119,'muddati otgan'!J:J,"Ko'chmas mulk turini tanlahsh")</f>
        <v>0</v>
      </c>
      <c r="V119" s="11">
        <f>+COUNTIFS('muddati otgan'!C:C,A119,'muddati otgan'!AA:AA,"Rad qilish")</f>
        <v>0</v>
      </c>
      <c r="W119" s="11">
        <f>+COUNTIFS('muddati otgan'!C:C,A119,'muddati otgan'!J:J,"ijrochi tanlash")</f>
        <v>0</v>
      </c>
      <c r="X119" s="11">
        <f>+COUNTIFS('muddati otgan'!C:C,A119,'muddati otgan'!J:J,"Ko'chmas mulk turini tanlash")</f>
        <v>0</v>
      </c>
      <c r="Y119" s="11">
        <f t="shared" si="24"/>
        <v>0</v>
      </c>
      <c r="Z119" s="11">
        <f>+COUNTIFS('muddati otgan'!C:C,A119,'muddati otgan'!J:J,"Ijroga qabul qilish")</f>
        <v>0</v>
      </c>
      <c r="AA119" s="11">
        <f>+COUNTIFS('muddati otgan'!C:C,A119,'muddati otgan'!J:J,"Joyida o'rganish va ma'lumotlarni kiritish")</f>
        <v>0</v>
      </c>
      <c r="AB119" s="11">
        <f>+COUNTIFS('muddati otgan'!C:C,A119,'muddati otgan'!J:J,"Asosiy qismdan ajratish jarayonida")</f>
        <v>0</v>
      </c>
      <c r="AC119" s="11">
        <f>+COUNTIFS('muddati otgan'!C:C,A119,'muddati otgan'!J:J,"Umumiy foydalanishdagi obyekt yaratilish")</f>
        <v>0</v>
      </c>
      <c r="AD119" s="11">
        <f>+COUNTIFS('muddati otgan'!C:C,A119,'muddati otgan'!J:J,"Migratsiya qilinadigan kadastr raqamini kiritish")</f>
        <v>0</v>
      </c>
      <c r="AE119" s="11">
        <f>+COUNTIFS('muddati otgan'!C:C,A119,'muddati otgan'!J:J,"O'zida qolgan obyektni yaratish")</f>
        <v>0</v>
      </c>
      <c r="AF119" s="11">
        <f>+COUNTIFS('muddati otgan'!C:C,A119,'muddati otgan'!J:J,"O'lchov natijalarini kiritish")</f>
        <v>0</v>
      </c>
      <c r="AG119" s="11">
        <f>+COUNTIFS('muddati otgan'!C:C,A119,'muddati otgan'!J:J,"Topoxaritani tayyorlash (dwg, pdf)")</f>
        <v>0</v>
      </c>
      <c r="AH119" s="11">
        <f t="shared" si="25"/>
        <v>0</v>
      </c>
      <c r="AI119" s="11">
        <f>+COUNTIFS('muddati otgan'!C:C,A119,'muddati otgan'!J:J,"Yer uchastkasini yaratish")</f>
        <v>0</v>
      </c>
      <c r="AJ119" s="11">
        <f t="shared" si="26"/>
        <v>0</v>
      </c>
      <c r="AK119" s="11">
        <f>+COUNTIFS('muddati otgan'!C:C,A119,'muddati otgan'!J:J,"Kelishish (Boshqarma)")</f>
        <v>0</v>
      </c>
      <c r="AL119" s="11">
        <f t="shared" si="27"/>
        <v>0</v>
      </c>
      <c r="AM119" s="11">
        <f>+COUNTIFS('muddati otgan'!C:C,A119,'muddati otgan'!J:J,"Kelishish (DKP)")</f>
        <v>0</v>
      </c>
      <c r="AN119" s="11">
        <f>+COUNTIFS('muddati otgan'!C:C,A119,'muddati otgan'!J:J,"Kelishish")</f>
        <v>0</v>
      </c>
      <c r="AO119" s="11">
        <f>+COUNTIFS('muddati otgan'!C:C,A119,'muddati otgan'!J:J,"Kelishish (Registratsiya DKP)")</f>
        <v>0</v>
      </c>
      <c r="AP119" s="11">
        <f t="shared" si="28"/>
        <v>0</v>
      </c>
      <c r="AQ119" s="11">
        <f>+COUNTIFS('muddati otgan'!C:C,A119,'muddati otgan'!J:J,"Manzil biriktirish")</f>
        <v>0</v>
      </c>
      <c r="AR119" s="11">
        <f>+COUNTIFS('muddati otgan'!C:C,A119,'muddati otgan'!J:J,"Bino va inshootlarni yaratish")</f>
        <v>0</v>
      </c>
      <c r="AS119" s="11">
        <f>+COUNTIFS('muddati otgan'!C:C,A119,'muddati otgan'!J:J,"Dov daraxtlarni yaratish")</f>
        <v>0</v>
      </c>
      <c r="AT119" s="11">
        <f>+COUNTIFS('muddati otgan'!C:C,A119,'muddati otgan'!J:J,"Yer uchastkasini tahrirlash")</f>
        <v>0</v>
      </c>
      <c r="AU119" s="11">
        <f t="shared" si="29"/>
        <v>0</v>
      </c>
      <c r="AV119" s="11">
        <f>+COUNTIFS('muddati otgan'!C:C,A119,'muddati otgan'!J:J,"Yer toifasi va maqsadini kiritish")</f>
        <v>0</v>
      </c>
      <c r="AW119" s="11">
        <f>+COUNTIFS('muddati otgan'!C:C,A119,'muddati otgan'!J:J,"Auksion yer tekshirish")</f>
        <v>0</v>
      </c>
      <c r="AX119" s="11">
        <f>+COUNTIFS('muddati otgan'!C:C,A119,'muddati otgan'!J:J,"Yer turlarini kiritish")</f>
        <v>0</v>
      </c>
      <c r="AY119" s="11">
        <f>+COUNTIFS('muddati otgan'!C:C,A119,'muddati otgan'!J:J,"Ma'lumotlarni kiritish")</f>
        <v>0</v>
      </c>
      <c r="AZ119" s="11">
        <f>+COUNTIFS('muddati otgan'!C:C,A119,'muddati otgan'!J:J,"Yer tekshirish")</f>
        <v>0</v>
      </c>
      <c r="BA119" s="11">
        <f t="shared" si="30"/>
        <v>0</v>
      </c>
      <c r="BB119" s="11">
        <f>+COUNTIFS('muddati otgan'!C:C,A119,'muddati otgan'!J:J,"Bino va inshoot ma'lumotlarini to‘ldirish")</f>
        <v>0</v>
      </c>
      <c r="BC119" s="11">
        <f>+COUNTIFS('muddati otgan'!C:C,A119,'muddati otgan'!J:J,"Inventarizatsiya ma'lumotlarini to‘ldirish")</f>
        <v>0</v>
      </c>
      <c r="BD119" s="11">
        <f>+COUNTIFS('muddati otgan'!C:C,A119,'muddati otgan'!J:J,"Yer uchastkasiga huquqiy hujjatlarni kiritsh")</f>
        <v>0</v>
      </c>
      <c r="BE119" s="11">
        <f>+COUNTIFS('muddati otgan'!C:C,A119,'muddati otgan'!J:J,"Bino-inshootlarga huquqiy hujjatlarni kiritsh")</f>
        <v>0</v>
      </c>
      <c r="BF119" s="11">
        <f>+COUNTIFS('muddati otgan'!C:C,A119,'muddati otgan'!J:J,"Kadastr qiymatini hisoblash va kiritish")</f>
        <v>0</v>
      </c>
      <c r="BG119" s="11">
        <f>+COUNTIFS('muddati otgan'!C:C,A119,'muddati otgan'!J:J,"Kadastr raqam biriktirish")</f>
        <v>0</v>
      </c>
      <c r="BH119" s="11">
        <f>+COUNTIFS('muddati otgan'!C:C,A119,'muddati otgan'!J:J,"Kadastr yig'ma jildni tayyorlash")</f>
        <v>0</v>
      </c>
      <c r="BI119" s="11">
        <f>+COUNTIFS('muddati otgan'!C:C,A119,'muddati otgan'!J:J,"Huquqni yaratish")</f>
        <v>0</v>
      </c>
      <c r="BJ119" s="11">
        <f>+COUNTIFS('muddati otgan'!C:C,A119,'muddati otgan'!J:J,"Hujjatlarni o'rganish")</f>
        <v>0</v>
      </c>
      <c r="BK119" s="11">
        <f>+COUNTIFS('muddati otgan'!C:C,A119,'muddati otgan'!J:J,"Ma'lumotlarni tekshirish")</f>
        <v>0</v>
      </c>
      <c r="BL119" s="11">
        <f t="shared" si="31"/>
        <v>0</v>
      </c>
      <c r="BM119" s="11">
        <f>+COUNTIFS('muddati otgan'!C:C,A119,'muddati otgan'!J:J,"Tekshirish")</f>
        <v>0</v>
      </c>
      <c r="BN119" s="11">
        <f>+COUNTIFS('muddati otgan'!C:C,A119,'muddati otgan'!J:J,"Hujjatlarni tekshirish")</f>
        <v>0</v>
      </c>
      <c r="BO119" s="11">
        <f>+COUNTIFS('muddati otgan'!C:C,A119,'muddati otgan'!J:J,"Tasdiqlash")</f>
        <v>0</v>
      </c>
      <c r="BP119" s="11">
        <f>+COUNTIFS('muddati otgan'!C:C,A119,'muddati otgan'!J:J,"tekshirish/tasdiqlash")</f>
        <v>0</v>
      </c>
      <c r="BQ119" s="11">
        <f>+COUNTIFS('muddati otgan'!C:C,A119,'muddati otgan'!J:J,"Ma'lumotlarni tasdiqlash")</f>
        <v>0</v>
      </c>
      <c r="BR119" s="11">
        <f t="shared" si="32"/>
        <v>0</v>
      </c>
      <c r="BS119" s="11">
        <f>+COUNTIFS('muddati otgan'!C:C,A119,'muddati otgan'!J:J,"Ro'yxatdan o'tkazish ma'lumotlarini tekshirish")</f>
        <v>0</v>
      </c>
      <c r="BT119" s="11">
        <f>+COUNTIFS('muddati otgan'!C:C,A119,'muddati otgan'!J:J,"Kamchiliklar bo'yicha habarnoma yuborish va 3 kunga to'xtatish")</f>
        <v>0</v>
      </c>
      <c r="BU119" s="11">
        <f>+COUNTIFS('muddati otgan'!C:C,A119,'muddati otgan'!J:J,"Hisobga olish")</f>
        <v>0</v>
      </c>
      <c r="BV119" s="11">
        <f>+COUNTIFS('muddati otgan'!C:C,A119,'muddati otgan'!J:J,"Yer uchastkasiga huquq yaratish")</f>
        <v>0</v>
      </c>
      <c r="BW119" s="11">
        <f>+COUNTIFS('muddati otgan'!C:C,A119,'muddati otgan'!J:J,"Bino-inshootga huquq yaratish")</f>
        <v>0</v>
      </c>
      <c r="BX119" s="11">
        <f>+COUNTIFS('muddati otgan'!C:C,A119,'muddati otgan'!J:J,"Cheklov yaratish")</f>
        <v>0</v>
      </c>
      <c r="BY119" s="11">
        <f>+COUNTIFS('muddati otgan'!C:C,A119,'muddati otgan'!J:J,"Taqiq yaratish")</f>
        <v>0</v>
      </c>
      <c r="BZ119" s="11">
        <f t="shared" si="33"/>
        <v>0</v>
      </c>
      <c r="CA119" s="11">
        <f>+COUNTIFS('muddati otgan'!C:C,A119,'muddati otgan'!J:J,"Soliq maydonini tekshirish")</f>
        <v>0</v>
      </c>
      <c r="CB119" s="11">
        <f t="shared" si="34"/>
        <v>0</v>
      </c>
      <c r="CC119" s="11">
        <f>+COUNTIFS('muddati otgan'!C:C,A119,'muddati otgan'!J:J,"Kadastr yig'majildini shakllantirish")</f>
        <v>0</v>
      </c>
      <c r="CD119" s="11">
        <f t="shared" si="35"/>
        <v>0</v>
      </c>
      <c r="CE119" s="11">
        <f>+COUNTIFS('muddati otgan'!C:C,A119,'muddati otgan'!J:J,"Kadastr passportini shakllantirish")</f>
        <v>0</v>
      </c>
      <c r="CF119" s="11">
        <f>+COUNTIFS('muddati otgan'!C:C,A119,'muddati otgan'!J:J,"Yig'ma jildni tasdiqlash")</f>
        <v>0</v>
      </c>
      <c r="CG119" s="11">
        <f>+COUNTIFS('muddati otgan'!C:C,A119,'muddati otgan'!J:J,"To'lov yoki bepul tasdiqlash")</f>
        <v>0</v>
      </c>
      <c r="CH119" s="11">
        <f>+COUNTIFS('muddati otgan'!C:C,A119,'muddati otgan'!J:J,"Bog'liq arizani kutish")</f>
        <v>0</v>
      </c>
      <c r="CI119" s="11">
        <f>+COUNTIFS('muddati otgan'!C:C,A119,'muddati otgan'!J:J,"To'lovga chiqarish")</f>
        <v>0</v>
      </c>
      <c r="CJ119" s="11">
        <f>+COUNTIFS('muddati otgan'!C:C,A119,'muddati otgan'!J:J,"Hisobga qo'yish")</f>
        <v>0</v>
      </c>
      <c r="CK119" s="6">
        <f>+COUNTIFS('muddati otgan'!C:C,A119,'muddati otgan'!J:J,"To'lov kutilmoqda")</f>
        <v>0</v>
      </c>
      <c r="CL119" s="11">
        <f t="shared" si="36"/>
        <v>0</v>
      </c>
      <c r="CM119" s="11">
        <f>+COUNTIFS('muddati otgan'!C:C,A119,'muddati otgan'!AA:AA,"Arizani qabul qilish2")</f>
        <v>0</v>
      </c>
      <c r="CN119" s="11">
        <f>+COUNTIFS('muddati otgan'!C:C,A119,'muddati otgan'!J:J,"Huquqlarni tekshirish")</f>
        <v>0</v>
      </c>
      <c r="CO119" s="11">
        <f>+COUNTIFS('muddati otgan'!C:C,A119,'muddati otgan'!J:J,"Ko'chmas mulkni ro'yhatdan o'tkazishga qabul qilish")</f>
        <v>0</v>
      </c>
      <c r="CP119" s="11">
        <f>+COUNTIFS('muddati otgan'!C:C,A119,'muddati otgan'!J:J,"Ro'yxatdan o'tkazish")</f>
        <v>0</v>
      </c>
      <c r="CQ119" s="11">
        <f>+COUNTIFS('muddati otgan'!C:C,A119,'muddati otgan'!J:J,"Kadastr pasporti va ko'chirmani yuborish")</f>
        <v>0</v>
      </c>
      <c r="CR119" s="11">
        <f>+COUNTIFS('muddati otgan'!C:C,A119,'muddati otgan'!AA:AA,"Rad qilish2")</f>
        <v>0</v>
      </c>
      <c r="CS119" s="11">
        <f>+COUNTIFS('muddati otgan'!C:C,A119,'muddati otgan'!J:J,"Ko'chirmani yuborish")</f>
        <v>0</v>
      </c>
      <c r="CT119" s="11">
        <f>+COUNTIFS('muddati otgan'!C:C,A119,'muddati otgan'!J:J,"Ma‘lumotlarni tekshirish")</f>
        <v>0</v>
      </c>
      <c r="CU119" s="11">
        <f t="shared" si="37"/>
        <v>0</v>
      </c>
      <c r="CV119" s="11">
        <f>+COUNTIFS('muddati otgan'!C:C,A119,'muddati otgan'!J:J,"Kadastr yig'majildini chop etish va arxiv ishiga tikish")</f>
        <v>0</v>
      </c>
      <c r="CW119" s="11">
        <f t="shared" si="38"/>
        <v>0</v>
      </c>
      <c r="CX119" s="11">
        <f>+COUNTIFS('muddati otgan'!C:C,A119,'muddati otgan'!J:J,"Kadastr yig‘majildini qabul qilish, arizani yakunlash")</f>
        <v>0</v>
      </c>
      <c r="CY119" s="11">
        <f>+COUNTIFS('muddati otgan'!C:C,A119,'muddati otgan'!J:J,"Next Cloudga yuklash")</f>
        <v>0</v>
      </c>
      <c r="CZ119" s="6">
        <f>+COUNTIFS('muddati otgan'!C:C,A119,'muddati otgan'!J:J,"Kelishish kutilmoqda")</f>
        <v>0</v>
      </c>
      <c r="DA119" s="6">
        <f>+COUNTIFS('muddati otgan'!C:C,A119,'muddati otgan'!J:J,"Yakunlandi")</f>
        <v>0</v>
      </c>
      <c r="DB119" s="10">
        <f>+COUNTIFS('muddati otgan'!C:C,A119,'muddati otgan'!J:J,"Rad etildi")</f>
        <v>0</v>
      </c>
      <c r="DC119" s="100">
        <f t="shared" si="5"/>
        <v>0</v>
      </c>
      <c r="DD119" s="44">
        <f>COUNTIFS('jami 1-20 kunlik arizalar'!C:C,A:A,'jami 1-20 kunlik arizalar'!S:S,"1")</f>
        <v>0</v>
      </c>
      <c r="DE119" s="11">
        <f>COUNTIFS('jami 1-20 kunlik arizalar'!C:C,A:A,'jami 1-20 kunlik arizalar'!S:S,"2")</f>
        <v>0</v>
      </c>
      <c r="DF119" s="11">
        <f>COUNTIFS('jami 1-20 kunlik arizalar'!C:C,A:A,'jami 1-20 kunlik arizalar'!S:S,"3")</f>
        <v>2</v>
      </c>
      <c r="DG119" s="11">
        <f>COUNTIFS('jami 1-20 kunlik arizalar'!C:C,A:A,'jami 1-20 kunlik arizalar'!S:S,"4")</f>
        <v>2</v>
      </c>
      <c r="DH119" s="11">
        <f>COUNTIFS('jami 1-20 kunlik arizalar'!C:C,A:A,'jami 1-20 kunlik arizalar'!S:S,"5")</f>
        <v>3</v>
      </c>
      <c r="DI119" s="11">
        <f>SUM(COUNTIFS('jami 1-20 kunlik arizalar'!C:C,A:A, 'jami 1-20 kunlik arizalar'!S:S, {6,7,8,9,10}))</f>
        <v>6</v>
      </c>
      <c r="DJ119" s="12">
        <f>SUM(COUNTIFS('jami 1-20 kunlik arizalar'!C:C,A:A, 'jami 1-20 kunlik arizalar'!S:S, "&gt;10"))</f>
        <v>4</v>
      </c>
    </row>
    <row r="120" spans="1:115" ht="32.1" hidden="1" customHeight="1" outlineLevel="1" x14ac:dyDescent="0.25">
      <c r="A120" s="92" t="s">
        <v>496</v>
      </c>
      <c r="B120" s="74"/>
      <c r="C120" s="85" t="s">
        <v>823</v>
      </c>
      <c r="D120" s="80">
        <f>+COUNTIFS('muddati otgan'!C:C,A120,'muddati otgan'!C:C,A120)</f>
        <v>0</v>
      </c>
      <c r="E120" s="10">
        <f>SUMIFS('muddati otgan'!$V:V,'muddati otgan'!$C:C,$A:A)</f>
        <v>0</v>
      </c>
      <c r="F120" s="10">
        <f>SUMIFS('muddati otgan'!$W:W,'muddati otgan'!$C:C,$A:A)</f>
        <v>0</v>
      </c>
      <c r="G120" s="24">
        <f>SUMIFS('muddati otgan'!$U:U,'muddati otgan'!$C:C,$A:A)</f>
        <v>0</v>
      </c>
      <c r="H120" s="11">
        <f>SUMIFS('muddati otgan'!$G:G,'muddati otgan'!$C:C,$A:A)</f>
        <v>0</v>
      </c>
      <c r="I120" s="12">
        <f>SUMIFS('muddati otgan'!$H:H,'muddati otgan'!$C:C,$A:A)</f>
        <v>0</v>
      </c>
      <c r="J120" s="44">
        <f t="shared" si="23"/>
        <v>0</v>
      </c>
      <c r="K120" s="11">
        <f>+COUNTIFS('muddati otgan'!C:C,A120,'muddati otgan'!AA:AA,"Arizani qabul qilish")</f>
        <v>0</v>
      </c>
      <c r="L120" s="11">
        <f>+COUNTIFS('muddati otgan'!C:C,A120,'muddati otgan'!J:J,"Arizani rad etish")</f>
        <v>0</v>
      </c>
      <c r="M120" s="11">
        <f>+COUNTIFS('muddati otgan'!C:C,A120,'muddati otgan'!J:J,"Arizani tasdiqlash")</f>
        <v>0</v>
      </c>
      <c r="N120" s="11">
        <f>+COUNTIFS('muddati otgan'!C:C,A120,'muddati otgan'!J:J,"Arizani yo'naltirish")</f>
        <v>0</v>
      </c>
      <c r="O120" s="11">
        <f>+COUNTIFS('muddati otgan'!C:C,A120,'muddati otgan'!J:J,"Rad qilish sababini o'rganish")</f>
        <v>0</v>
      </c>
      <c r="P120" s="11">
        <f>+COUNTIFS('muddati otgan'!C:C,A120,'muddati otgan'!J:J,"Ko'chmas mulkni UZKAD ga migratsiya qilish")</f>
        <v>0</v>
      </c>
      <c r="Q120" s="11">
        <f>+COUNTIFS('muddati otgan'!C:C,A120,'muddati otgan'!J:J,"Migratisya qilingan obyekt holatini tekshirish")</f>
        <v>0</v>
      </c>
      <c r="R120" s="11">
        <f>+COUNTIFS('muddati otgan'!C:C,A120,'muddati otgan'!J:J,"Ko‘chmas mulkni tanlash")</f>
        <v>0</v>
      </c>
      <c r="S120" s="11">
        <f>+COUNTIFS('muddati otgan'!C:C,A120,'muddati otgan'!J:J,"Arizani ko'rib chiqish")</f>
        <v>0</v>
      </c>
      <c r="T120" s="11">
        <f>+COUNTIFS('muddati otgan'!C:C,A120,'muddati otgan'!J:J,"Kadastr muhandisini tanlash")</f>
        <v>0</v>
      </c>
      <c r="U120" s="11">
        <f>+COUNTIFS('muddati otgan'!C:C,A120,'muddati otgan'!J:J,"Ko'chmas mulk turini tanlahsh")</f>
        <v>0</v>
      </c>
      <c r="V120" s="11">
        <f>+COUNTIFS('muddati otgan'!C:C,A120,'muddati otgan'!AA:AA,"Rad qilish")</f>
        <v>0</v>
      </c>
      <c r="W120" s="11">
        <f>+COUNTIFS('muddati otgan'!C:C,A120,'muddati otgan'!J:J,"ijrochi tanlash")</f>
        <v>0</v>
      </c>
      <c r="X120" s="11">
        <f>+COUNTIFS('muddati otgan'!C:C,A120,'muddati otgan'!J:J,"Ko'chmas mulk turini tanlash")</f>
        <v>0</v>
      </c>
      <c r="Y120" s="11">
        <f t="shared" si="24"/>
        <v>0</v>
      </c>
      <c r="Z120" s="11">
        <f>+COUNTIFS('muddati otgan'!C:C,A120,'muddati otgan'!J:J,"Ijroga qabul qilish")</f>
        <v>0</v>
      </c>
      <c r="AA120" s="11">
        <f>+COUNTIFS('muddati otgan'!C:C,A120,'muddati otgan'!J:J,"Joyida o'rganish va ma'lumotlarni kiritish")</f>
        <v>0</v>
      </c>
      <c r="AB120" s="11">
        <f>+COUNTIFS('muddati otgan'!C:C,A120,'muddati otgan'!J:J,"Asosiy qismdan ajratish jarayonida")</f>
        <v>0</v>
      </c>
      <c r="AC120" s="11">
        <f>+COUNTIFS('muddati otgan'!C:C,A120,'muddati otgan'!J:J,"Umumiy foydalanishdagi obyekt yaratilish")</f>
        <v>0</v>
      </c>
      <c r="AD120" s="11">
        <f>+COUNTIFS('muddati otgan'!C:C,A120,'muddati otgan'!J:J,"Migratsiya qilinadigan kadastr raqamini kiritish")</f>
        <v>0</v>
      </c>
      <c r="AE120" s="11">
        <f>+COUNTIFS('muddati otgan'!C:C,A120,'muddati otgan'!J:J,"O'zida qolgan obyektni yaratish")</f>
        <v>0</v>
      </c>
      <c r="AF120" s="11">
        <f>+COUNTIFS('muddati otgan'!C:C,A120,'muddati otgan'!J:J,"O'lchov natijalarini kiritish")</f>
        <v>0</v>
      </c>
      <c r="AG120" s="11">
        <f>+COUNTIFS('muddati otgan'!C:C,A120,'muddati otgan'!J:J,"Topoxaritani tayyorlash (dwg, pdf)")</f>
        <v>0</v>
      </c>
      <c r="AH120" s="11">
        <f t="shared" si="25"/>
        <v>0</v>
      </c>
      <c r="AI120" s="11">
        <f>+COUNTIFS('muddati otgan'!C:C,A120,'muddati otgan'!J:J,"Yer uchastkasini yaratish")</f>
        <v>0</v>
      </c>
      <c r="AJ120" s="11">
        <f t="shared" si="26"/>
        <v>0</v>
      </c>
      <c r="AK120" s="11">
        <f>+COUNTIFS('muddati otgan'!C:C,A120,'muddati otgan'!J:J,"Kelishish (Boshqarma)")</f>
        <v>0</v>
      </c>
      <c r="AL120" s="11">
        <f t="shared" si="27"/>
        <v>0</v>
      </c>
      <c r="AM120" s="11">
        <f>+COUNTIFS('muddati otgan'!C:C,A120,'muddati otgan'!J:J,"Kelishish (DKP)")</f>
        <v>0</v>
      </c>
      <c r="AN120" s="11">
        <f>+COUNTIFS('muddati otgan'!C:C,A120,'muddati otgan'!J:J,"Kelishish")</f>
        <v>0</v>
      </c>
      <c r="AO120" s="11">
        <f>+COUNTIFS('muddati otgan'!C:C,A120,'muddati otgan'!J:J,"Kelishish (Registratsiya DKP)")</f>
        <v>0</v>
      </c>
      <c r="AP120" s="11">
        <f t="shared" si="28"/>
        <v>0</v>
      </c>
      <c r="AQ120" s="11">
        <f>+COUNTIFS('muddati otgan'!C:C,A120,'muddati otgan'!J:J,"Manzil biriktirish")</f>
        <v>0</v>
      </c>
      <c r="AR120" s="11">
        <f>+COUNTIFS('muddati otgan'!C:C,A120,'muddati otgan'!J:J,"Bino va inshootlarni yaratish")</f>
        <v>0</v>
      </c>
      <c r="AS120" s="11">
        <f>+COUNTIFS('muddati otgan'!C:C,A120,'muddati otgan'!J:J,"Dov daraxtlarni yaratish")</f>
        <v>0</v>
      </c>
      <c r="AT120" s="11">
        <f>+COUNTIFS('muddati otgan'!C:C,A120,'muddati otgan'!J:J,"Yer uchastkasini tahrirlash")</f>
        <v>0</v>
      </c>
      <c r="AU120" s="11">
        <f t="shared" si="29"/>
        <v>0</v>
      </c>
      <c r="AV120" s="11">
        <f>+COUNTIFS('muddati otgan'!C:C,A120,'muddati otgan'!J:J,"Yer toifasi va maqsadini kiritish")</f>
        <v>0</v>
      </c>
      <c r="AW120" s="11">
        <f>+COUNTIFS('muddati otgan'!C:C,A120,'muddati otgan'!J:J,"Auksion yer tekshirish")</f>
        <v>0</v>
      </c>
      <c r="AX120" s="11">
        <f>+COUNTIFS('muddati otgan'!C:C,A120,'muddati otgan'!J:J,"Yer turlarini kiritish")</f>
        <v>0</v>
      </c>
      <c r="AY120" s="11">
        <f>+COUNTIFS('muddati otgan'!C:C,A120,'muddati otgan'!J:J,"Ma'lumotlarni kiritish")</f>
        <v>0</v>
      </c>
      <c r="AZ120" s="11">
        <f>+COUNTIFS('muddati otgan'!C:C,A120,'muddati otgan'!J:J,"Yer tekshirish")</f>
        <v>0</v>
      </c>
      <c r="BA120" s="11">
        <f t="shared" si="30"/>
        <v>0</v>
      </c>
      <c r="BB120" s="11">
        <f>+COUNTIFS('muddati otgan'!C:C,A120,'muddati otgan'!J:J,"Bino va inshoot ma'lumotlarini to‘ldirish")</f>
        <v>0</v>
      </c>
      <c r="BC120" s="11">
        <f>+COUNTIFS('muddati otgan'!C:C,A120,'muddati otgan'!J:J,"Inventarizatsiya ma'lumotlarini to‘ldirish")</f>
        <v>0</v>
      </c>
      <c r="BD120" s="11">
        <f>+COUNTIFS('muddati otgan'!C:C,A120,'muddati otgan'!J:J,"Yer uchastkasiga huquqiy hujjatlarni kiritsh")</f>
        <v>0</v>
      </c>
      <c r="BE120" s="11">
        <f>+COUNTIFS('muddati otgan'!C:C,A120,'muddati otgan'!J:J,"Bino-inshootlarga huquqiy hujjatlarni kiritsh")</f>
        <v>0</v>
      </c>
      <c r="BF120" s="11">
        <f>+COUNTIFS('muddati otgan'!C:C,A120,'muddati otgan'!J:J,"Kadastr qiymatini hisoblash va kiritish")</f>
        <v>0</v>
      </c>
      <c r="BG120" s="11">
        <f>+COUNTIFS('muddati otgan'!C:C,A120,'muddati otgan'!J:J,"Kadastr raqam biriktirish")</f>
        <v>0</v>
      </c>
      <c r="BH120" s="11">
        <f>+COUNTIFS('muddati otgan'!C:C,A120,'muddati otgan'!J:J,"Kadastr yig'ma jildni tayyorlash")</f>
        <v>0</v>
      </c>
      <c r="BI120" s="11">
        <f>+COUNTIFS('muddati otgan'!C:C,A120,'muddati otgan'!J:J,"Huquqni yaratish")</f>
        <v>0</v>
      </c>
      <c r="BJ120" s="11">
        <f>+COUNTIFS('muddati otgan'!C:C,A120,'muddati otgan'!J:J,"Hujjatlarni o'rganish")</f>
        <v>0</v>
      </c>
      <c r="BK120" s="11">
        <f>+COUNTIFS('muddati otgan'!C:C,A120,'muddati otgan'!J:J,"Ma'lumotlarni tekshirish")</f>
        <v>0</v>
      </c>
      <c r="BL120" s="11">
        <f t="shared" si="31"/>
        <v>0</v>
      </c>
      <c r="BM120" s="11">
        <f>+COUNTIFS('muddati otgan'!C:C,A120,'muddati otgan'!J:J,"Tekshirish")</f>
        <v>0</v>
      </c>
      <c r="BN120" s="11">
        <f>+COUNTIFS('muddati otgan'!C:C,A120,'muddati otgan'!J:J,"Hujjatlarni tekshirish")</f>
        <v>0</v>
      </c>
      <c r="BO120" s="11">
        <f>+COUNTIFS('muddati otgan'!C:C,A120,'muddati otgan'!J:J,"Tasdiqlash")</f>
        <v>0</v>
      </c>
      <c r="BP120" s="11">
        <f>+COUNTIFS('muddati otgan'!C:C,A120,'muddati otgan'!J:J,"tekshirish/tasdiqlash")</f>
        <v>0</v>
      </c>
      <c r="BQ120" s="11">
        <f>+COUNTIFS('muddati otgan'!C:C,A120,'muddati otgan'!J:J,"Ma'lumotlarni tasdiqlash")</f>
        <v>0</v>
      </c>
      <c r="BR120" s="11">
        <f t="shared" si="32"/>
        <v>0</v>
      </c>
      <c r="BS120" s="11">
        <f>+COUNTIFS('muddati otgan'!C:C,A120,'muddati otgan'!J:J,"Ro'yxatdan o'tkazish ma'lumotlarini tekshirish")</f>
        <v>0</v>
      </c>
      <c r="BT120" s="11">
        <f>+COUNTIFS('muddati otgan'!C:C,A120,'muddati otgan'!J:J,"Kamchiliklar bo'yicha habarnoma yuborish va 3 kunga to'xtatish")</f>
        <v>0</v>
      </c>
      <c r="BU120" s="11">
        <f>+COUNTIFS('muddati otgan'!C:C,A120,'muddati otgan'!J:J,"Hisobga olish")</f>
        <v>0</v>
      </c>
      <c r="BV120" s="11">
        <f>+COUNTIFS('muddati otgan'!C:C,A120,'muddati otgan'!J:J,"Yer uchastkasiga huquq yaratish")</f>
        <v>0</v>
      </c>
      <c r="BW120" s="11">
        <f>+COUNTIFS('muddati otgan'!C:C,A120,'muddati otgan'!J:J,"Bino-inshootga huquq yaratish")</f>
        <v>0</v>
      </c>
      <c r="BX120" s="11">
        <f>+COUNTIFS('muddati otgan'!C:C,A120,'muddati otgan'!J:J,"Cheklov yaratish")</f>
        <v>0</v>
      </c>
      <c r="BY120" s="11">
        <f>+COUNTIFS('muddati otgan'!C:C,A120,'muddati otgan'!J:J,"Taqiq yaratish")</f>
        <v>0</v>
      </c>
      <c r="BZ120" s="11">
        <f t="shared" si="33"/>
        <v>0</v>
      </c>
      <c r="CA120" s="11">
        <f>+COUNTIFS('muddati otgan'!C:C,A120,'muddati otgan'!J:J,"Soliq maydonini tekshirish")</f>
        <v>0</v>
      </c>
      <c r="CB120" s="11">
        <f t="shared" si="34"/>
        <v>0</v>
      </c>
      <c r="CC120" s="11">
        <f>+COUNTIFS('muddati otgan'!C:C,A120,'muddati otgan'!J:J,"Kadastr yig'majildini shakllantirish")</f>
        <v>0</v>
      </c>
      <c r="CD120" s="11">
        <f t="shared" si="35"/>
        <v>0</v>
      </c>
      <c r="CE120" s="11">
        <f>+COUNTIFS('muddati otgan'!C:C,A120,'muddati otgan'!J:J,"Kadastr passportini shakllantirish")</f>
        <v>0</v>
      </c>
      <c r="CF120" s="11">
        <f>+COUNTIFS('muddati otgan'!C:C,A120,'muddati otgan'!J:J,"Yig'ma jildni tasdiqlash")</f>
        <v>0</v>
      </c>
      <c r="CG120" s="11">
        <f>+COUNTIFS('muddati otgan'!C:C,A120,'muddati otgan'!J:J,"To'lov yoki bepul tasdiqlash")</f>
        <v>0</v>
      </c>
      <c r="CH120" s="11">
        <f>+COUNTIFS('muddati otgan'!C:C,A120,'muddati otgan'!J:J,"Bog'liq arizani kutish")</f>
        <v>0</v>
      </c>
      <c r="CI120" s="11">
        <f>+COUNTIFS('muddati otgan'!C:C,A120,'muddati otgan'!J:J,"To'lovga chiqarish")</f>
        <v>0</v>
      </c>
      <c r="CJ120" s="11">
        <f>+COUNTIFS('muddati otgan'!C:C,A120,'muddati otgan'!J:J,"Hisobga qo'yish")</f>
        <v>0</v>
      </c>
      <c r="CK120" s="6">
        <f>+COUNTIFS('muddati otgan'!C:C,A120,'muddati otgan'!J:J,"To'lov kutilmoqda")</f>
        <v>0</v>
      </c>
      <c r="CL120" s="11">
        <f t="shared" si="36"/>
        <v>0</v>
      </c>
      <c r="CM120" s="11">
        <f>+COUNTIFS('muddati otgan'!C:C,A120,'muddati otgan'!AA:AA,"Arizani qabul qilish2")</f>
        <v>0</v>
      </c>
      <c r="CN120" s="11">
        <f>+COUNTIFS('muddati otgan'!C:C,A120,'muddati otgan'!J:J,"Huquqlarni tekshirish")</f>
        <v>0</v>
      </c>
      <c r="CO120" s="11">
        <f>+COUNTIFS('muddati otgan'!C:C,A120,'muddati otgan'!J:J,"Ko'chmas mulkni ro'yhatdan o'tkazishga qabul qilish")</f>
        <v>0</v>
      </c>
      <c r="CP120" s="11">
        <f>+COUNTIFS('muddati otgan'!C:C,A120,'muddati otgan'!J:J,"Ro'yxatdan o'tkazish")</f>
        <v>0</v>
      </c>
      <c r="CQ120" s="11">
        <f>+COUNTIFS('muddati otgan'!C:C,A120,'muddati otgan'!J:J,"Kadastr pasporti va ko'chirmani yuborish")</f>
        <v>0</v>
      </c>
      <c r="CR120" s="11">
        <f>+COUNTIFS('muddati otgan'!C:C,A120,'muddati otgan'!AA:AA,"Rad qilish2")</f>
        <v>0</v>
      </c>
      <c r="CS120" s="11">
        <f>+COUNTIFS('muddati otgan'!C:C,A120,'muddati otgan'!J:J,"Ko'chirmani yuborish")</f>
        <v>0</v>
      </c>
      <c r="CT120" s="11">
        <f>+COUNTIFS('muddati otgan'!C:C,A120,'muddati otgan'!J:J,"Ma‘lumotlarni tekshirish")</f>
        <v>0</v>
      </c>
      <c r="CU120" s="11">
        <f t="shared" si="37"/>
        <v>0</v>
      </c>
      <c r="CV120" s="11">
        <f>+COUNTIFS('muddati otgan'!C:C,A120,'muddati otgan'!J:J,"Kadastr yig'majildini chop etish va arxiv ishiga tikish")</f>
        <v>0</v>
      </c>
      <c r="CW120" s="11">
        <f t="shared" si="38"/>
        <v>0</v>
      </c>
      <c r="CX120" s="11">
        <f>+COUNTIFS('muddati otgan'!C:C,A120,'muddati otgan'!J:J,"Kadastr yig‘majildini qabul qilish, arizani yakunlash")</f>
        <v>0</v>
      </c>
      <c r="CY120" s="11">
        <f>+COUNTIFS('muddati otgan'!C:C,A120,'muddati otgan'!J:J,"Next Cloudga yuklash")</f>
        <v>0</v>
      </c>
      <c r="CZ120" s="6">
        <f>+COUNTIFS('muddati otgan'!C:C,A120,'muddati otgan'!J:J,"Kelishish kutilmoqda")</f>
        <v>0</v>
      </c>
      <c r="DA120" s="6">
        <f>+COUNTIFS('muddati otgan'!C:C,A120,'muddati otgan'!J:J,"Yakunlandi")</f>
        <v>0</v>
      </c>
      <c r="DB120" s="10">
        <f>+COUNTIFS('muddati otgan'!C:C,A120,'muddati otgan'!J:J,"Rad etildi")</f>
        <v>0</v>
      </c>
      <c r="DC120" s="100">
        <f t="shared" si="5"/>
        <v>0</v>
      </c>
      <c r="DD120" s="44">
        <f>COUNTIFS('jami 1-20 kunlik arizalar'!C:C,A:A,'jami 1-20 kunlik arizalar'!S:S,"1")</f>
        <v>0</v>
      </c>
      <c r="DE120" s="11">
        <f>COUNTIFS('jami 1-20 kunlik arizalar'!C:C,A:A,'jami 1-20 kunlik arizalar'!S:S,"2")</f>
        <v>0</v>
      </c>
      <c r="DF120" s="11">
        <f>COUNTIFS('jami 1-20 kunlik arizalar'!C:C,A:A,'jami 1-20 kunlik arizalar'!S:S,"3")</f>
        <v>2</v>
      </c>
      <c r="DG120" s="11">
        <f>COUNTIFS('jami 1-20 kunlik arizalar'!C:C,A:A,'jami 1-20 kunlik arizalar'!S:S,"4")</f>
        <v>0</v>
      </c>
      <c r="DH120" s="11">
        <f>COUNTIFS('jami 1-20 kunlik arizalar'!C:C,A:A,'jami 1-20 kunlik arizalar'!S:S,"5")</f>
        <v>2</v>
      </c>
      <c r="DI120" s="11">
        <f>SUM(COUNTIFS('jami 1-20 kunlik arizalar'!C:C,A:A, 'jami 1-20 kunlik arizalar'!S:S, {6,7,8,9,10}))</f>
        <v>2</v>
      </c>
      <c r="DJ120" s="12">
        <f>SUM(COUNTIFS('jami 1-20 kunlik arizalar'!C:C,A:A, 'jami 1-20 kunlik arizalar'!S:S, "&gt;10"))</f>
        <v>3</v>
      </c>
    </row>
    <row r="121" spans="1:115" ht="32.1" hidden="1" customHeight="1" outlineLevel="1" x14ac:dyDescent="0.25">
      <c r="A121" s="92" t="s">
        <v>678</v>
      </c>
      <c r="B121" s="74"/>
      <c r="C121" s="85" t="s">
        <v>824</v>
      </c>
      <c r="D121" s="80">
        <f>+COUNTIFS('muddati otgan'!C:C,A121,'muddati otgan'!C:C,A121)</f>
        <v>4</v>
      </c>
      <c r="E121" s="10">
        <f>SUMIFS('muddati otgan'!$V:V,'muddati otgan'!$C:C,$A:A)</f>
        <v>1</v>
      </c>
      <c r="F121" s="10">
        <f>SUMIFS('muddati otgan'!$W:W,'muddati otgan'!$C:C,$A:A)</f>
        <v>0</v>
      </c>
      <c r="G121" s="24">
        <f>SUMIFS('muddati otgan'!$U:U,'muddati otgan'!$C:C,$A:A)</f>
        <v>3</v>
      </c>
      <c r="H121" s="11">
        <f>SUMIFS('muddati otgan'!$G:G,'muddati otgan'!$C:C,$A:A)</f>
        <v>3</v>
      </c>
      <c r="I121" s="12">
        <f>SUMIFS('muddati otgan'!$H:H,'muddati otgan'!$C:C,$A:A)</f>
        <v>1</v>
      </c>
      <c r="J121" s="44">
        <f t="shared" si="23"/>
        <v>0</v>
      </c>
      <c r="K121" s="11">
        <f>+COUNTIFS('muddati otgan'!C:C,A121,'muddati otgan'!AA:AA,"Arizani qabul qilish")</f>
        <v>0</v>
      </c>
      <c r="L121" s="11">
        <f>+COUNTIFS('muddati otgan'!C:C,A121,'muddati otgan'!J:J,"Arizani rad etish")</f>
        <v>0</v>
      </c>
      <c r="M121" s="11">
        <f>+COUNTIFS('muddati otgan'!C:C,A121,'muddati otgan'!J:J,"Arizani tasdiqlash")</f>
        <v>0</v>
      </c>
      <c r="N121" s="11">
        <f>+COUNTIFS('muddati otgan'!C:C,A121,'muddati otgan'!J:J,"Arizani yo'naltirish")</f>
        <v>0</v>
      </c>
      <c r="O121" s="11">
        <f>+COUNTIFS('muddati otgan'!C:C,A121,'muddati otgan'!J:J,"Rad qilish sababini o'rganish")</f>
        <v>0</v>
      </c>
      <c r="P121" s="11">
        <f>+COUNTIFS('muddati otgan'!C:C,A121,'muddati otgan'!J:J,"Ko'chmas mulkni UZKAD ga migratsiya qilish")</f>
        <v>0</v>
      </c>
      <c r="Q121" s="11">
        <f>+COUNTIFS('muddati otgan'!C:C,A121,'muddati otgan'!J:J,"Migratisya qilingan obyekt holatini tekshirish")</f>
        <v>0</v>
      </c>
      <c r="R121" s="11">
        <f>+COUNTIFS('muddati otgan'!C:C,A121,'muddati otgan'!J:J,"Ko‘chmas mulkni tanlash")</f>
        <v>0</v>
      </c>
      <c r="S121" s="11">
        <f>+COUNTIFS('muddati otgan'!C:C,A121,'muddati otgan'!J:J,"Arizani ko'rib chiqish")</f>
        <v>0</v>
      </c>
      <c r="T121" s="11">
        <f>+COUNTIFS('muddati otgan'!C:C,A121,'muddati otgan'!J:J,"Kadastr muhandisini tanlash")</f>
        <v>0</v>
      </c>
      <c r="U121" s="11">
        <f>+COUNTIFS('muddati otgan'!C:C,A121,'muddati otgan'!J:J,"Ko'chmas mulk turini tanlahsh")</f>
        <v>0</v>
      </c>
      <c r="V121" s="11">
        <f>+COUNTIFS('muddati otgan'!C:C,A121,'muddati otgan'!AA:AA,"Rad qilish")</f>
        <v>0</v>
      </c>
      <c r="W121" s="11">
        <f>+COUNTIFS('muddati otgan'!C:C,A121,'muddati otgan'!J:J,"ijrochi tanlash")</f>
        <v>0</v>
      </c>
      <c r="X121" s="11">
        <f>+COUNTIFS('muddati otgan'!C:C,A121,'muddati otgan'!J:J,"Ko'chmas mulk turini tanlash")</f>
        <v>0</v>
      </c>
      <c r="Y121" s="11">
        <f t="shared" si="24"/>
        <v>0</v>
      </c>
      <c r="Z121" s="11">
        <f>+COUNTIFS('muddati otgan'!C:C,A121,'muddati otgan'!J:J,"Ijroga qabul qilish")</f>
        <v>0</v>
      </c>
      <c r="AA121" s="11">
        <f>+COUNTIFS('muddati otgan'!C:C,A121,'muddati otgan'!J:J,"Joyida o'rganish va ma'lumotlarni kiritish")</f>
        <v>0</v>
      </c>
      <c r="AB121" s="11">
        <f>+COUNTIFS('muddati otgan'!C:C,A121,'muddati otgan'!J:J,"Asosiy qismdan ajratish jarayonida")</f>
        <v>0</v>
      </c>
      <c r="AC121" s="11">
        <f>+COUNTIFS('muddati otgan'!C:C,A121,'muddati otgan'!J:J,"Umumiy foydalanishdagi obyekt yaratilish")</f>
        <v>0</v>
      </c>
      <c r="AD121" s="11">
        <f>+COUNTIFS('muddati otgan'!C:C,A121,'muddati otgan'!J:J,"Migratsiya qilinadigan kadastr raqamini kiritish")</f>
        <v>0</v>
      </c>
      <c r="AE121" s="11">
        <f>+COUNTIFS('muddati otgan'!C:C,A121,'muddati otgan'!J:J,"O'zida qolgan obyektni yaratish")</f>
        <v>0</v>
      </c>
      <c r="AF121" s="11">
        <f>+COUNTIFS('muddati otgan'!C:C,A121,'muddati otgan'!J:J,"O'lchov natijalarini kiritish")</f>
        <v>0</v>
      </c>
      <c r="AG121" s="11">
        <f>+COUNTIFS('muddati otgan'!C:C,A121,'muddati otgan'!J:J,"Topoxaritani tayyorlash (dwg, pdf)")</f>
        <v>0</v>
      </c>
      <c r="AH121" s="11">
        <f t="shared" si="25"/>
        <v>0</v>
      </c>
      <c r="AI121" s="11">
        <f>+COUNTIFS('muddati otgan'!C:C,A121,'muddati otgan'!J:J,"Yer uchastkasini yaratish")</f>
        <v>0</v>
      </c>
      <c r="AJ121" s="11">
        <f t="shared" si="26"/>
        <v>1</v>
      </c>
      <c r="AK121" s="11">
        <f>+COUNTIFS('muddati otgan'!C:C,A121,'muddati otgan'!J:J,"Kelishish (Boshqarma)")</f>
        <v>1</v>
      </c>
      <c r="AL121" s="11">
        <f t="shared" si="27"/>
        <v>0</v>
      </c>
      <c r="AM121" s="11">
        <f>+COUNTIFS('muddati otgan'!C:C,A121,'muddati otgan'!J:J,"Kelishish (DKP)")</f>
        <v>0</v>
      </c>
      <c r="AN121" s="11">
        <f>+COUNTIFS('muddati otgan'!C:C,A121,'muddati otgan'!J:J,"Kelishish")</f>
        <v>0</v>
      </c>
      <c r="AO121" s="11">
        <f>+COUNTIFS('muddati otgan'!C:C,A121,'muddati otgan'!J:J,"Kelishish (Registratsiya DKP)")</f>
        <v>0</v>
      </c>
      <c r="AP121" s="11">
        <f t="shared" si="28"/>
        <v>0</v>
      </c>
      <c r="AQ121" s="11">
        <f>+COUNTIFS('muddati otgan'!C:C,A121,'muddati otgan'!J:J,"Manzil biriktirish")</f>
        <v>0</v>
      </c>
      <c r="AR121" s="11">
        <f>+COUNTIFS('muddati otgan'!C:C,A121,'muddati otgan'!J:J,"Bino va inshootlarni yaratish")</f>
        <v>0</v>
      </c>
      <c r="AS121" s="11">
        <f>+COUNTIFS('muddati otgan'!C:C,A121,'muddati otgan'!J:J,"Dov daraxtlarni yaratish")</f>
        <v>0</v>
      </c>
      <c r="AT121" s="11">
        <f>+COUNTIFS('muddati otgan'!C:C,A121,'muddati otgan'!J:J,"Yer uchastkasini tahrirlash")</f>
        <v>0</v>
      </c>
      <c r="AU121" s="11">
        <f t="shared" si="29"/>
        <v>0</v>
      </c>
      <c r="AV121" s="11">
        <f>+COUNTIFS('muddati otgan'!C:C,A121,'muddati otgan'!J:J,"Yer toifasi va maqsadini kiritish")</f>
        <v>0</v>
      </c>
      <c r="AW121" s="11">
        <f>+COUNTIFS('muddati otgan'!C:C,A121,'muddati otgan'!J:J,"Auksion yer tekshirish")</f>
        <v>0</v>
      </c>
      <c r="AX121" s="11">
        <f>+COUNTIFS('muddati otgan'!C:C,A121,'muddati otgan'!J:J,"Yer turlarini kiritish")</f>
        <v>0</v>
      </c>
      <c r="AY121" s="11">
        <f>+COUNTIFS('muddati otgan'!C:C,A121,'muddati otgan'!J:J,"Ma'lumotlarni kiritish")</f>
        <v>0</v>
      </c>
      <c r="AZ121" s="11">
        <f>+COUNTIFS('muddati otgan'!C:C,A121,'muddati otgan'!J:J,"Yer tekshirish")</f>
        <v>0</v>
      </c>
      <c r="BA121" s="11">
        <f t="shared" si="30"/>
        <v>0</v>
      </c>
      <c r="BB121" s="11">
        <f>+COUNTIFS('muddati otgan'!C:C,A121,'muddati otgan'!J:J,"Bino va inshoot ma'lumotlarini to‘ldirish")</f>
        <v>0</v>
      </c>
      <c r="BC121" s="11">
        <f>+COUNTIFS('muddati otgan'!C:C,A121,'muddati otgan'!J:J,"Inventarizatsiya ma'lumotlarini to‘ldirish")</f>
        <v>0</v>
      </c>
      <c r="BD121" s="11">
        <f>+COUNTIFS('muddati otgan'!C:C,A121,'muddati otgan'!J:J,"Yer uchastkasiga huquqiy hujjatlarni kiritsh")</f>
        <v>0</v>
      </c>
      <c r="BE121" s="11">
        <f>+COUNTIFS('muddati otgan'!C:C,A121,'muddati otgan'!J:J,"Bino-inshootlarga huquqiy hujjatlarni kiritsh")</f>
        <v>0</v>
      </c>
      <c r="BF121" s="11">
        <f>+COUNTIFS('muddati otgan'!C:C,A121,'muddati otgan'!J:J,"Kadastr qiymatini hisoblash va kiritish")</f>
        <v>0</v>
      </c>
      <c r="BG121" s="11">
        <f>+COUNTIFS('muddati otgan'!C:C,A121,'muddati otgan'!J:J,"Kadastr raqam biriktirish")</f>
        <v>0</v>
      </c>
      <c r="BH121" s="11">
        <f>+COUNTIFS('muddati otgan'!C:C,A121,'muddati otgan'!J:J,"Kadastr yig'ma jildni tayyorlash")</f>
        <v>0</v>
      </c>
      <c r="BI121" s="11">
        <f>+COUNTIFS('muddati otgan'!C:C,A121,'muddati otgan'!J:J,"Huquqni yaratish")</f>
        <v>0</v>
      </c>
      <c r="BJ121" s="11">
        <f>+COUNTIFS('muddati otgan'!C:C,A121,'muddati otgan'!J:J,"Hujjatlarni o'rganish")</f>
        <v>0</v>
      </c>
      <c r="BK121" s="11">
        <f>+COUNTIFS('muddati otgan'!C:C,A121,'muddati otgan'!J:J,"Ma'lumotlarni tekshirish")</f>
        <v>0</v>
      </c>
      <c r="BL121" s="11">
        <f t="shared" si="31"/>
        <v>0</v>
      </c>
      <c r="BM121" s="11">
        <f>+COUNTIFS('muddati otgan'!C:C,A121,'muddati otgan'!J:J,"Tekshirish")</f>
        <v>0</v>
      </c>
      <c r="BN121" s="11">
        <f>+COUNTIFS('muddati otgan'!C:C,A121,'muddati otgan'!J:J,"Hujjatlarni tekshirish")</f>
        <v>0</v>
      </c>
      <c r="BO121" s="11">
        <f>+COUNTIFS('muddati otgan'!C:C,A121,'muddati otgan'!J:J,"Tasdiqlash")</f>
        <v>0</v>
      </c>
      <c r="BP121" s="11">
        <f>+COUNTIFS('muddati otgan'!C:C,A121,'muddati otgan'!J:J,"tekshirish/tasdiqlash")</f>
        <v>0</v>
      </c>
      <c r="BQ121" s="11">
        <f>+COUNTIFS('muddati otgan'!C:C,A121,'muddati otgan'!J:J,"Ma'lumotlarni tasdiqlash")</f>
        <v>0</v>
      </c>
      <c r="BR121" s="11">
        <f t="shared" si="32"/>
        <v>3</v>
      </c>
      <c r="BS121" s="11">
        <f>+COUNTIFS('muddati otgan'!C:C,A121,'muddati otgan'!J:J,"Ro'yxatdan o'tkazish ma'lumotlarini tekshirish")</f>
        <v>3</v>
      </c>
      <c r="BT121" s="11">
        <f>+COUNTIFS('muddati otgan'!C:C,A121,'muddati otgan'!J:J,"Kamchiliklar bo'yicha habarnoma yuborish va 3 kunga to'xtatish")</f>
        <v>0</v>
      </c>
      <c r="BU121" s="11">
        <f>+COUNTIFS('muddati otgan'!C:C,A121,'muddati otgan'!J:J,"Hisobga olish")</f>
        <v>0</v>
      </c>
      <c r="BV121" s="11">
        <f>+COUNTIFS('muddati otgan'!C:C,A121,'muddati otgan'!J:J,"Yer uchastkasiga huquq yaratish")</f>
        <v>0</v>
      </c>
      <c r="BW121" s="11">
        <f>+COUNTIFS('muddati otgan'!C:C,A121,'muddati otgan'!J:J,"Bino-inshootga huquq yaratish")</f>
        <v>0</v>
      </c>
      <c r="BX121" s="11">
        <f>+COUNTIFS('muddati otgan'!C:C,A121,'muddati otgan'!J:J,"Cheklov yaratish")</f>
        <v>0</v>
      </c>
      <c r="BY121" s="11">
        <f>+COUNTIFS('muddati otgan'!C:C,A121,'muddati otgan'!J:J,"Taqiq yaratish")</f>
        <v>0</v>
      </c>
      <c r="BZ121" s="11">
        <f t="shared" si="33"/>
        <v>0</v>
      </c>
      <c r="CA121" s="11">
        <f>+COUNTIFS('muddati otgan'!C:C,A121,'muddati otgan'!J:J,"Soliq maydonini tekshirish")</f>
        <v>0</v>
      </c>
      <c r="CB121" s="11">
        <f t="shared" si="34"/>
        <v>0</v>
      </c>
      <c r="CC121" s="11">
        <f>+COUNTIFS('muddati otgan'!C:C,A121,'muddati otgan'!J:J,"Kadastr yig'majildini shakllantirish")</f>
        <v>0</v>
      </c>
      <c r="CD121" s="11">
        <f t="shared" si="35"/>
        <v>0</v>
      </c>
      <c r="CE121" s="11">
        <f>+COUNTIFS('muddati otgan'!C:C,A121,'muddati otgan'!J:J,"Kadastr passportini shakllantirish")</f>
        <v>0</v>
      </c>
      <c r="CF121" s="11">
        <f>+COUNTIFS('muddati otgan'!C:C,A121,'muddati otgan'!J:J,"Yig'ma jildni tasdiqlash")</f>
        <v>0</v>
      </c>
      <c r="CG121" s="11">
        <f>+COUNTIFS('muddati otgan'!C:C,A121,'muddati otgan'!J:J,"To'lov yoki bepul tasdiqlash")</f>
        <v>0</v>
      </c>
      <c r="CH121" s="11">
        <f>+COUNTIFS('muddati otgan'!C:C,A121,'muddati otgan'!J:J,"Bog'liq arizani kutish")</f>
        <v>0</v>
      </c>
      <c r="CI121" s="11">
        <f>+COUNTIFS('muddati otgan'!C:C,A121,'muddati otgan'!J:J,"To'lovga chiqarish")</f>
        <v>0</v>
      </c>
      <c r="CJ121" s="11">
        <f>+COUNTIFS('muddati otgan'!C:C,A121,'muddati otgan'!J:J,"Hisobga qo'yish")</f>
        <v>0</v>
      </c>
      <c r="CK121" s="6">
        <f>+COUNTIFS('muddati otgan'!C:C,A121,'muddati otgan'!J:J,"To'lov kutilmoqda")</f>
        <v>0</v>
      </c>
      <c r="CL121" s="11">
        <f t="shared" si="36"/>
        <v>0</v>
      </c>
      <c r="CM121" s="11">
        <f>+COUNTIFS('muddati otgan'!C:C,A121,'muddati otgan'!AA:AA,"Arizani qabul qilish2")</f>
        <v>0</v>
      </c>
      <c r="CN121" s="11">
        <f>+COUNTIFS('muddati otgan'!C:C,A121,'muddati otgan'!J:J,"Huquqlarni tekshirish")</f>
        <v>0</v>
      </c>
      <c r="CO121" s="11">
        <f>+COUNTIFS('muddati otgan'!C:C,A121,'muddati otgan'!J:J,"Ko'chmas mulkni ro'yhatdan o'tkazishga qabul qilish")</f>
        <v>0</v>
      </c>
      <c r="CP121" s="11">
        <f>+COUNTIFS('muddati otgan'!C:C,A121,'muddati otgan'!J:J,"Ro'yxatdan o'tkazish")</f>
        <v>0</v>
      </c>
      <c r="CQ121" s="11">
        <f>+COUNTIFS('muddati otgan'!C:C,A121,'muddati otgan'!J:J,"Kadastr pasporti va ko'chirmani yuborish")</f>
        <v>0</v>
      </c>
      <c r="CR121" s="11">
        <f>+COUNTIFS('muddati otgan'!C:C,A121,'muddati otgan'!AA:AA,"Rad qilish2")</f>
        <v>0</v>
      </c>
      <c r="CS121" s="11">
        <f>+COUNTIFS('muddati otgan'!C:C,A121,'muddati otgan'!J:J,"Ko'chirmani yuborish")</f>
        <v>0</v>
      </c>
      <c r="CT121" s="11">
        <f>+COUNTIFS('muddati otgan'!C:C,A121,'muddati otgan'!J:J,"Ma‘lumotlarni tekshirish")</f>
        <v>0</v>
      </c>
      <c r="CU121" s="11">
        <f t="shared" si="37"/>
        <v>0</v>
      </c>
      <c r="CV121" s="11">
        <f>+COUNTIFS('muddati otgan'!C:C,A121,'muddati otgan'!J:J,"Kadastr yig'majildini chop etish va arxiv ishiga tikish")</f>
        <v>0</v>
      </c>
      <c r="CW121" s="11">
        <f t="shared" si="38"/>
        <v>0</v>
      </c>
      <c r="CX121" s="11">
        <f>+COUNTIFS('muddati otgan'!C:C,A121,'muddati otgan'!J:J,"Kadastr yig‘majildini qabul qilish, arizani yakunlash")</f>
        <v>0</v>
      </c>
      <c r="CY121" s="11">
        <f>+COUNTIFS('muddati otgan'!C:C,A121,'muddati otgan'!J:J,"Next Cloudga yuklash")</f>
        <v>0</v>
      </c>
      <c r="CZ121" s="6">
        <f>+COUNTIFS('muddati otgan'!C:C,A121,'muddati otgan'!J:J,"Kelishish kutilmoqda")</f>
        <v>0</v>
      </c>
      <c r="DA121" s="6">
        <f>+COUNTIFS('muddati otgan'!C:C,A121,'muddati otgan'!J:J,"Yakunlandi")</f>
        <v>0</v>
      </c>
      <c r="DB121" s="10">
        <f>+COUNTIFS('muddati otgan'!C:C,A121,'muddati otgan'!J:J,"Rad etildi")</f>
        <v>0</v>
      </c>
      <c r="DC121" s="100">
        <f t="shared" si="5"/>
        <v>-4</v>
      </c>
      <c r="DD121" s="44">
        <f>COUNTIFS('jami 1-20 kunlik arizalar'!C:C,A:A,'jami 1-20 kunlik arizalar'!S:S,"1")</f>
        <v>0</v>
      </c>
      <c r="DE121" s="11">
        <f>COUNTIFS('jami 1-20 kunlik arizalar'!C:C,A:A,'jami 1-20 kunlik arizalar'!S:S,"2")</f>
        <v>0</v>
      </c>
      <c r="DF121" s="11">
        <f>COUNTIFS('jami 1-20 kunlik arizalar'!C:C,A:A,'jami 1-20 kunlik arizalar'!S:S,"3")</f>
        <v>0</v>
      </c>
      <c r="DG121" s="11">
        <f>COUNTIFS('jami 1-20 kunlik arizalar'!C:C,A:A,'jami 1-20 kunlik arizalar'!S:S,"4")</f>
        <v>0</v>
      </c>
      <c r="DH121" s="11">
        <f>COUNTIFS('jami 1-20 kunlik arizalar'!C:C,A:A,'jami 1-20 kunlik arizalar'!S:S,"5")</f>
        <v>2</v>
      </c>
      <c r="DI121" s="11">
        <f>SUM(COUNTIFS('jami 1-20 kunlik arizalar'!C:C,A:A, 'jami 1-20 kunlik arizalar'!S:S, {6,7,8,9,10}))</f>
        <v>4</v>
      </c>
      <c r="DJ121" s="12">
        <f>SUM(COUNTIFS('jami 1-20 kunlik arizalar'!C:C,A:A, 'jami 1-20 kunlik arizalar'!S:S, "&gt;10"))</f>
        <v>3</v>
      </c>
    </row>
    <row r="122" spans="1:115" ht="32.1" hidden="1" customHeight="1" outlineLevel="1" x14ac:dyDescent="0.25">
      <c r="A122" s="92" t="s">
        <v>674</v>
      </c>
      <c r="B122" s="74"/>
      <c r="C122" s="85" t="s">
        <v>825</v>
      </c>
      <c r="D122" s="80">
        <f>+COUNTIFS('muddati otgan'!C:C,A122,'muddati otgan'!C:C,A122)</f>
        <v>1</v>
      </c>
      <c r="E122" s="10">
        <f>SUMIFS('muddati otgan'!$V:V,'muddati otgan'!$C:C,$A:A)</f>
        <v>0</v>
      </c>
      <c r="F122" s="10">
        <f>SUMIFS('muddati otgan'!$W:W,'muddati otgan'!$C:C,$A:A)</f>
        <v>0</v>
      </c>
      <c r="G122" s="24">
        <f>SUMIFS('muddati otgan'!$U:U,'muddati otgan'!$C:C,$A:A)</f>
        <v>1</v>
      </c>
      <c r="H122" s="11">
        <f>SUMIFS('muddati otgan'!$G:G,'muddati otgan'!$C:C,$A:A)</f>
        <v>1</v>
      </c>
      <c r="I122" s="12">
        <f>SUMIFS('muddati otgan'!$H:H,'muddati otgan'!$C:C,$A:A)</f>
        <v>0</v>
      </c>
      <c r="J122" s="44">
        <f t="shared" si="23"/>
        <v>0</v>
      </c>
      <c r="K122" s="11">
        <f>+COUNTIFS('muddati otgan'!C:C,A122,'muddati otgan'!AA:AA,"Arizani qabul qilish")</f>
        <v>0</v>
      </c>
      <c r="L122" s="11">
        <f>+COUNTIFS('muddati otgan'!C:C,A122,'muddati otgan'!J:J,"Arizani rad etish")</f>
        <v>0</v>
      </c>
      <c r="M122" s="11">
        <f>+COUNTIFS('muddati otgan'!C:C,A122,'muddati otgan'!J:J,"Arizani tasdiqlash")</f>
        <v>0</v>
      </c>
      <c r="N122" s="11">
        <f>+COUNTIFS('muddati otgan'!C:C,A122,'muddati otgan'!J:J,"Arizani yo'naltirish")</f>
        <v>0</v>
      </c>
      <c r="O122" s="11">
        <f>+COUNTIFS('muddati otgan'!C:C,A122,'muddati otgan'!J:J,"Rad qilish sababini o'rganish")</f>
        <v>0</v>
      </c>
      <c r="P122" s="11">
        <f>+COUNTIFS('muddati otgan'!C:C,A122,'muddati otgan'!J:J,"Ko'chmas mulkni UZKAD ga migratsiya qilish")</f>
        <v>0</v>
      </c>
      <c r="Q122" s="11">
        <f>+COUNTIFS('muddati otgan'!C:C,A122,'muddati otgan'!J:J,"Migratisya qilingan obyekt holatini tekshirish")</f>
        <v>0</v>
      </c>
      <c r="R122" s="11">
        <f>+COUNTIFS('muddati otgan'!C:C,A122,'muddati otgan'!J:J,"Ko‘chmas mulkni tanlash")</f>
        <v>0</v>
      </c>
      <c r="S122" s="11">
        <f>+COUNTIFS('muddati otgan'!C:C,A122,'muddati otgan'!J:J,"Arizani ko'rib chiqish")</f>
        <v>0</v>
      </c>
      <c r="T122" s="11">
        <f>+COUNTIFS('muddati otgan'!C:C,A122,'muddati otgan'!J:J,"Kadastr muhandisini tanlash")</f>
        <v>0</v>
      </c>
      <c r="U122" s="11">
        <f>+COUNTIFS('muddati otgan'!C:C,A122,'muddati otgan'!J:J,"Ko'chmas mulk turini tanlahsh")</f>
        <v>0</v>
      </c>
      <c r="V122" s="11">
        <f>+COUNTIFS('muddati otgan'!C:C,A122,'muddati otgan'!AA:AA,"Rad qilish")</f>
        <v>0</v>
      </c>
      <c r="W122" s="11">
        <f>+COUNTIFS('muddati otgan'!C:C,A122,'muddati otgan'!J:J,"ijrochi tanlash")</f>
        <v>0</v>
      </c>
      <c r="X122" s="11">
        <f>+COUNTIFS('muddati otgan'!C:C,A122,'muddati otgan'!J:J,"Ko'chmas mulk turini tanlash")</f>
        <v>0</v>
      </c>
      <c r="Y122" s="11">
        <f t="shared" si="24"/>
        <v>0</v>
      </c>
      <c r="Z122" s="11">
        <f>+COUNTIFS('muddati otgan'!C:C,A122,'muddati otgan'!J:J,"Ijroga qabul qilish")</f>
        <v>0</v>
      </c>
      <c r="AA122" s="11">
        <f>+COUNTIFS('muddati otgan'!C:C,A122,'muddati otgan'!J:J,"Joyida o'rganish va ma'lumotlarni kiritish")</f>
        <v>0</v>
      </c>
      <c r="AB122" s="11">
        <f>+COUNTIFS('muddati otgan'!C:C,A122,'muddati otgan'!J:J,"Asosiy qismdan ajratish jarayonida")</f>
        <v>0</v>
      </c>
      <c r="AC122" s="11">
        <f>+COUNTIFS('muddati otgan'!C:C,A122,'muddati otgan'!J:J,"Umumiy foydalanishdagi obyekt yaratilish")</f>
        <v>0</v>
      </c>
      <c r="AD122" s="11">
        <f>+COUNTIFS('muddati otgan'!C:C,A122,'muddati otgan'!J:J,"Migratsiya qilinadigan kadastr raqamini kiritish")</f>
        <v>0</v>
      </c>
      <c r="AE122" s="11">
        <f>+COUNTIFS('muddati otgan'!C:C,A122,'muddati otgan'!J:J,"O'zida qolgan obyektni yaratish")</f>
        <v>0</v>
      </c>
      <c r="AF122" s="11">
        <f>+COUNTIFS('muddati otgan'!C:C,A122,'muddati otgan'!J:J,"O'lchov natijalarini kiritish")</f>
        <v>0</v>
      </c>
      <c r="AG122" s="11">
        <f>+COUNTIFS('muddati otgan'!C:C,A122,'muddati otgan'!J:J,"Topoxaritani tayyorlash (dwg, pdf)")</f>
        <v>0</v>
      </c>
      <c r="AH122" s="11">
        <f t="shared" si="25"/>
        <v>0</v>
      </c>
      <c r="AI122" s="11">
        <f>+COUNTIFS('muddati otgan'!C:C,A122,'muddati otgan'!J:J,"Yer uchastkasini yaratish")</f>
        <v>0</v>
      </c>
      <c r="AJ122" s="11">
        <f t="shared" si="26"/>
        <v>0</v>
      </c>
      <c r="AK122" s="11">
        <f>+COUNTIFS('muddati otgan'!C:C,A122,'muddati otgan'!J:J,"Kelishish (Boshqarma)")</f>
        <v>0</v>
      </c>
      <c r="AL122" s="11">
        <f t="shared" si="27"/>
        <v>0</v>
      </c>
      <c r="AM122" s="11">
        <f>+COUNTIFS('muddati otgan'!C:C,A122,'muddati otgan'!J:J,"Kelishish (DKP)")</f>
        <v>0</v>
      </c>
      <c r="AN122" s="11">
        <f>+COUNTIFS('muddati otgan'!C:C,A122,'muddati otgan'!J:J,"Kelishish")</f>
        <v>0</v>
      </c>
      <c r="AO122" s="11">
        <f>+COUNTIFS('muddati otgan'!C:C,A122,'muddati otgan'!J:J,"Kelishish (Registratsiya DKP)")</f>
        <v>0</v>
      </c>
      <c r="AP122" s="11">
        <f t="shared" si="28"/>
        <v>0</v>
      </c>
      <c r="AQ122" s="11">
        <f>+COUNTIFS('muddati otgan'!C:C,A122,'muddati otgan'!J:J,"Manzil biriktirish")</f>
        <v>0</v>
      </c>
      <c r="AR122" s="11">
        <f>+COUNTIFS('muddati otgan'!C:C,A122,'muddati otgan'!J:J,"Bino va inshootlarni yaratish")</f>
        <v>0</v>
      </c>
      <c r="AS122" s="11">
        <f>+COUNTIFS('muddati otgan'!C:C,A122,'muddati otgan'!J:J,"Dov daraxtlarni yaratish")</f>
        <v>0</v>
      </c>
      <c r="AT122" s="11">
        <f>+COUNTIFS('muddati otgan'!C:C,A122,'muddati otgan'!J:J,"Yer uchastkasini tahrirlash")</f>
        <v>0</v>
      </c>
      <c r="AU122" s="11">
        <f t="shared" si="29"/>
        <v>0</v>
      </c>
      <c r="AV122" s="11">
        <f>+COUNTIFS('muddati otgan'!C:C,A122,'muddati otgan'!J:J,"Yer toifasi va maqsadini kiritish")</f>
        <v>0</v>
      </c>
      <c r="AW122" s="11">
        <f>+COUNTIFS('muddati otgan'!C:C,A122,'muddati otgan'!J:J,"Auksion yer tekshirish")</f>
        <v>0</v>
      </c>
      <c r="AX122" s="11">
        <f>+COUNTIFS('muddati otgan'!C:C,A122,'muddati otgan'!J:J,"Yer turlarini kiritish")</f>
        <v>0</v>
      </c>
      <c r="AY122" s="11">
        <f>+COUNTIFS('muddati otgan'!C:C,A122,'muddati otgan'!J:J,"Ma'lumotlarni kiritish")</f>
        <v>0</v>
      </c>
      <c r="AZ122" s="11">
        <f>+COUNTIFS('muddati otgan'!C:C,A122,'muddati otgan'!J:J,"Yer tekshirish")</f>
        <v>0</v>
      </c>
      <c r="BA122" s="11">
        <f t="shared" si="30"/>
        <v>1</v>
      </c>
      <c r="BB122" s="11">
        <f>+COUNTIFS('muddati otgan'!C:C,A122,'muddati otgan'!J:J,"Bino va inshoot ma'lumotlarini to‘ldirish")</f>
        <v>1</v>
      </c>
      <c r="BC122" s="11">
        <f>+COUNTIFS('muddati otgan'!C:C,A122,'muddati otgan'!J:J,"Inventarizatsiya ma'lumotlarini to‘ldirish")</f>
        <v>0</v>
      </c>
      <c r="BD122" s="11">
        <f>+COUNTIFS('muddati otgan'!C:C,A122,'muddati otgan'!J:J,"Yer uchastkasiga huquqiy hujjatlarni kiritsh")</f>
        <v>0</v>
      </c>
      <c r="BE122" s="11">
        <f>+COUNTIFS('muddati otgan'!C:C,A122,'muddati otgan'!J:J,"Bino-inshootlarga huquqiy hujjatlarni kiritsh")</f>
        <v>0</v>
      </c>
      <c r="BF122" s="11">
        <f>+COUNTIFS('muddati otgan'!C:C,A122,'muddati otgan'!J:J,"Kadastr qiymatini hisoblash va kiritish")</f>
        <v>0</v>
      </c>
      <c r="BG122" s="11">
        <f>+COUNTIFS('muddati otgan'!C:C,A122,'muddati otgan'!J:J,"Kadastr raqam biriktirish")</f>
        <v>0</v>
      </c>
      <c r="BH122" s="11">
        <f>+COUNTIFS('muddati otgan'!C:C,A122,'muddati otgan'!J:J,"Kadastr yig'ma jildni tayyorlash")</f>
        <v>0</v>
      </c>
      <c r="BI122" s="11">
        <f>+COUNTIFS('muddati otgan'!C:C,A122,'muddati otgan'!J:J,"Huquqni yaratish")</f>
        <v>0</v>
      </c>
      <c r="BJ122" s="11">
        <f>+COUNTIFS('muddati otgan'!C:C,A122,'muddati otgan'!J:J,"Hujjatlarni o'rganish")</f>
        <v>0</v>
      </c>
      <c r="BK122" s="11">
        <f>+COUNTIFS('muddati otgan'!C:C,A122,'muddati otgan'!J:J,"Ma'lumotlarni tekshirish")</f>
        <v>0</v>
      </c>
      <c r="BL122" s="11">
        <f t="shared" si="31"/>
        <v>0</v>
      </c>
      <c r="BM122" s="11">
        <f>+COUNTIFS('muddati otgan'!C:C,A122,'muddati otgan'!J:J,"Tekshirish")</f>
        <v>0</v>
      </c>
      <c r="BN122" s="11">
        <f>+COUNTIFS('muddati otgan'!C:C,A122,'muddati otgan'!J:J,"Hujjatlarni tekshirish")</f>
        <v>0</v>
      </c>
      <c r="BO122" s="11">
        <f>+COUNTIFS('muddati otgan'!C:C,A122,'muddati otgan'!J:J,"Tasdiqlash")</f>
        <v>0</v>
      </c>
      <c r="BP122" s="11">
        <f>+COUNTIFS('muddati otgan'!C:C,A122,'muddati otgan'!J:J,"tekshirish/tasdiqlash")</f>
        <v>0</v>
      </c>
      <c r="BQ122" s="11">
        <f>+COUNTIFS('muddati otgan'!C:C,A122,'muddati otgan'!J:J,"Ma'lumotlarni tasdiqlash")</f>
        <v>0</v>
      </c>
      <c r="BR122" s="11">
        <f t="shared" si="32"/>
        <v>0</v>
      </c>
      <c r="BS122" s="11">
        <f>+COUNTIFS('muddati otgan'!C:C,A122,'muddati otgan'!J:J,"Ro'yxatdan o'tkazish ma'lumotlarini tekshirish")</f>
        <v>0</v>
      </c>
      <c r="BT122" s="11">
        <f>+COUNTIFS('muddati otgan'!C:C,A122,'muddati otgan'!J:J,"Kamchiliklar bo'yicha habarnoma yuborish va 3 kunga to'xtatish")</f>
        <v>0</v>
      </c>
      <c r="BU122" s="11">
        <f>+COUNTIFS('muddati otgan'!C:C,A122,'muddati otgan'!J:J,"Hisobga olish")</f>
        <v>0</v>
      </c>
      <c r="BV122" s="11">
        <f>+COUNTIFS('muddati otgan'!C:C,A122,'muddati otgan'!J:J,"Yer uchastkasiga huquq yaratish")</f>
        <v>0</v>
      </c>
      <c r="BW122" s="11">
        <f>+COUNTIFS('muddati otgan'!C:C,A122,'muddati otgan'!J:J,"Bino-inshootga huquq yaratish")</f>
        <v>0</v>
      </c>
      <c r="BX122" s="11">
        <f>+COUNTIFS('muddati otgan'!C:C,A122,'muddati otgan'!J:J,"Cheklov yaratish")</f>
        <v>0</v>
      </c>
      <c r="BY122" s="11">
        <f>+COUNTIFS('muddati otgan'!C:C,A122,'muddati otgan'!J:J,"Taqiq yaratish")</f>
        <v>0</v>
      </c>
      <c r="BZ122" s="11">
        <f t="shared" si="33"/>
        <v>0</v>
      </c>
      <c r="CA122" s="11">
        <f>+COUNTIFS('muddati otgan'!C:C,A122,'muddati otgan'!J:J,"Soliq maydonini tekshirish")</f>
        <v>0</v>
      </c>
      <c r="CB122" s="11">
        <f t="shared" si="34"/>
        <v>0</v>
      </c>
      <c r="CC122" s="11">
        <f>+COUNTIFS('muddati otgan'!C:C,A122,'muddati otgan'!J:J,"Kadastr yig'majildini shakllantirish")</f>
        <v>0</v>
      </c>
      <c r="CD122" s="11">
        <f t="shared" si="35"/>
        <v>0</v>
      </c>
      <c r="CE122" s="11">
        <f>+COUNTIFS('muddati otgan'!C:C,A122,'muddati otgan'!J:J,"Kadastr passportini shakllantirish")</f>
        <v>0</v>
      </c>
      <c r="CF122" s="11">
        <f>+COUNTIFS('muddati otgan'!C:C,A122,'muddati otgan'!J:J,"Yig'ma jildni tasdiqlash")</f>
        <v>0</v>
      </c>
      <c r="CG122" s="11">
        <f>+COUNTIFS('muddati otgan'!C:C,A122,'muddati otgan'!J:J,"To'lov yoki bepul tasdiqlash")</f>
        <v>0</v>
      </c>
      <c r="CH122" s="11">
        <f>+COUNTIFS('muddati otgan'!C:C,A122,'muddati otgan'!J:J,"Bog'liq arizani kutish")</f>
        <v>0</v>
      </c>
      <c r="CI122" s="11">
        <f>+COUNTIFS('muddati otgan'!C:C,A122,'muddati otgan'!J:J,"To'lovga chiqarish")</f>
        <v>0</v>
      </c>
      <c r="CJ122" s="11">
        <f>+COUNTIFS('muddati otgan'!C:C,A122,'muddati otgan'!J:J,"Hisobga qo'yish")</f>
        <v>0</v>
      </c>
      <c r="CK122" s="6">
        <f>+COUNTIFS('muddati otgan'!C:C,A122,'muddati otgan'!J:J,"To'lov kutilmoqda")</f>
        <v>0</v>
      </c>
      <c r="CL122" s="11">
        <f t="shared" si="36"/>
        <v>0</v>
      </c>
      <c r="CM122" s="11">
        <f>+COUNTIFS('muddati otgan'!C:C,A122,'muddati otgan'!AA:AA,"Arizani qabul qilish2")</f>
        <v>0</v>
      </c>
      <c r="CN122" s="11">
        <f>+COUNTIFS('muddati otgan'!C:C,A122,'muddati otgan'!J:J,"Huquqlarni tekshirish")</f>
        <v>0</v>
      </c>
      <c r="CO122" s="11">
        <f>+COUNTIFS('muddati otgan'!C:C,A122,'muddati otgan'!J:J,"Ko'chmas mulkni ro'yhatdan o'tkazishga qabul qilish")</f>
        <v>0</v>
      </c>
      <c r="CP122" s="11">
        <f>+COUNTIFS('muddati otgan'!C:C,A122,'muddati otgan'!J:J,"Ro'yxatdan o'tkazish")</f>
        <v>0</v>
      </c>
      <c r="CQ122" s="11">
        <f>+COUNTIFS('muddati otgan'!C:C,A122,'muddati otgan'!J:J,"Kadastr pasporti va ko'chirmani yuborish")</f>
        <v>0</v>
      </c>
      <c r="CR122" s="11">
        <f>+COUNTIFS('muddati otgan'!C:C,A122,'muddati otgan'!AA:AA,"Rad qilish2")</f>
        <v>0</v>
      </c>
      <c r="CS122" s="11">
        <f>+COUNTIFS('muddati otgan'!C:C,A122,'muddati otgan'!J:J,"Ko'chirmani yuborish")</f>
        <v>0</v>
      </c>
      <c r="CT122" s="11">
        <f>+COUNTIFS('muddati otgan'!C:C,A122,'muddati otgan'!J:J,"Ma‘lumotlarni tekshirish")</f>
        <v>0</v>
      </c>
      <c r="CU122" s="11">
        <f t="shared" si="37"/>
        <v>0</v>
      </c>
      <c r="CV122" s="11">
        <f>+COUNTIFS('muddati otgan'!C:C,A122,'muddati otgan'!J:J,"Kadastr yig'majildini chop etish va arxiv ishiga tikish")</f>
        <v>0</v>
      </c>
      <c r="CW122" s="11">
        <f t="shared" si="38"/>
        <v>0</v>
      </c>
      <c r="CX122" s="11">
        <f>+COUNTIFS('muddati otgan'!C:C,A122,'muddati otgan'!J:J,"Kadastr yig‘majildini qabul qilish, arizani yakunlash")</f>
        <v>0</v>
      </c>
      <c r="CY122" s="11">
        <f>+COUNTIFS('muddati otgan'!C:C,A122,'muddati otgan'!J:J,"Next Cloudga yuklash")</f>
        <v>0</v>
      </c>
      <c r="CZ122" s="6">
        <f>+COUNTIFS('muddati otgan'!C:C,A122,'muddati otgan'!J:J,"Kelishish kutilmoqda")</f>
        <v>0</v>
      </c>
      <c r="DA122" s="6">
        <f>+COUNTIFS('muddati otgan'!C:C,A122,'muddati otgan'!J:J,"Yakunlandi")</f>
        <v>0</v>
      </c>
      <c r="DB122" s="10">
        <f>+COUNTIFS('muddati otgan'!C:C,A122,'muddati otgan'!J:J,"Rad etildi")</f>
        <v>0</v>
      </c>
      <c r="DC122" s="100">
        <f t="shared" si="5"/>
        <v>-1</v>
      </c>
      <c r="DD122" s="44">
        <f>COUNTIFS('jami 1-20 kunlik arizalar'!C:C,A:A,'jami 1-20 kunlik arizalar'!S:S,"1")</f>
        <v>0</v>
      </c>
      <c r="DE122" s="11">
        <f>COUNTIFS('jami 1-20 kunlik arizalar'!C:C,A:A,'jami 1-20 kunlik arizalar'!S:S,"2")</f>
        <v>0</v>
      </c>
      <c r="DF122" s="11">
        <f>COUNTIFS('jami 1-20 kunlik arizalar'!C:C,A:A,'jami 1-20 kunlik arizalar'!S:S,"3")</f>
        <v>2</v>
      </c>
      <c r="DG122" s="11">
        <f>COUNTIFS('jami 1-20 kunlik arizalar'!C:C,A:A,'jami 1-20 kunlik arizalar'!S:S,"4")</f>
        <v>0</v>
      </c>
      <c r="DH122" s="11">
        <f>COUNTIFS('jami 1-20 kunlik arizalar'!C:C,A:A,'jami 1-20 kunlik arizalar'!S:S,"5")</f>
        <v>2</v>
      </c>
      <c r="DI122" s="11">
        <f>SUM(COUNTIFS('jami 1-20 kunlik arizalar'!C:C,A:A, 'jami 1-20 kunlik arizalar'!S:S, {6,7,8,9,10}))</f>
        <v>6</v>
      </c>
      <c r="DJ122" s="12">
        <f>SUM(COUNTIFS('jami 1-20 kunlik arizalar'!C:C,A:A, 'jami 1-20 kunlik arizalar'!S:S, "&gt;10"))</f>
        <v>0</v>
      </c>
    </row>
    <row r="123" spans="1:115" ht="32.1" hidden="1" customHeight="1" outlineLevel="1" x14ac:dyDescent="0.25">
      <c r="A123" s="92" t="s">
        <v>535</v>
      </c>
      <c r="B123" s="74"/>
      <c r="C123" s="85" t="s">
        <v>826</v>
      </c>
      <c r="D123" s="80">
        <f>+COUNTIFS('muddati otgan'!C:C,A123,'muddati otgan'!C:C,A123)</f>
        <v>1</v>
      </c>
      <c r="E123" s="10">
        <f>SUMIFS('muddati otgan'!$V:V,'muddati otgan'!$C:C,$A:A)</f>
        <v>0</v>
      </c>
      <c r="F123" s="10">
        <f>SUMIFS('muddati otgan'!$W:W,'muddati otgan'!$C:C,$A:A)</f>
        <v>0</v>
      </c>
      <c r="G123" s="24">
        <f>SUMIFS('muddati otgan'!$U:U,'muddati otgan'!$C:C,$A:A)</f>
        <v>1</v>
      </c>
      <c r="H123" s="11">
        <f>SUMIFS('muddati otgan'!$G:G,'muddati otgan'!$C:C,$A:A)</f>
        <v>1</v>
      </c>
      <c r="I123" s="12">
        <f>SUMIFS('muddati otgan'!$H:H,'muddati otgan'!$C:C,$A:A)</f>
        <v>0</v>
      </c>
      <c r="J123" s="44">
        <f t="shared" si="23"/>
        <v>0</v>
      </c>
      <c r="K123" s="11">
        <f>+COUNTIFS('muddati otgan'!C:C,A123,'muddati otgan'!AA:AA,"Arizani qabul qilish")</f>
        <v>0</v>
      </c>
      <c r="L123" s="11">
        <f>+COUNTIFS('muddati otgan'!C:C,A123,'muddati otgan'!J:J,"Arizani rad etish")</f>
        <v>0</v>
      </c>
      <c r="M123" s="11">
        <f>+COUNTIFS('muddati otgan'!C:C,A123,'muddati otgan'!J:J,"Arizani tasdiqlash")</f>
        <v>0</v>
      </c>
      <c r="N123" s="11">
        <f>+COUNTIFS('muddati otgan'!C:C,A123,'muddati otgan'!J:J,"Arizani yo'naltirish")</f>
        <v>0</v>
      </c>
      <c r="O123" s="11">
        <f>+COUNTIFS('muddati otgan'!C:C,A123,'muddati otgan'!J:J,"Rad qilish sababini o'rganish")</f>
        <v>0</v>
      </c>
      <c r="P123" s="11">
        <f>+COUNTIFS('muddati otgan'!C:C,A123,'muddati otgan'!J:J,"Ko'chmas mulkni UZKAD ga migratsiya qilish")</f>
        <v>0</v>
      </c>
      <c r="Q123" s="11">
        <f>+COUNTIFS('muddati otgan'!C:C,A123,'muddati otgan'!J:J,"Migratisya qilingan obyekt holatini tekshirish")</f>
        <v>0</v>
      </c>
      <c r="R123" s="11">
        <f>+COUNTIFS('muddati otgan'!C:C,A123,'muddati otgan'!J:J,"Ko‘chmas mulkni tanlash")</f>
        <v>0</v>
      </c>
      <c r="S123" s="11">
        <f>+COUNTIFS('muddati otgan'!C:C,A123,'muddati otgan'!J:J,"Arizani ko'rib chiqish")</f>
        <v>0</v>
      </c>
      <c r="T123" s="11">
        <f>+COUNTIFS('muddati otgan'!C:C,A123,'muddati otgan'!J:J,"Kadastr muhandisini tanlash")</f>
        <v>0</v>
      </c>
      <c r="U123" s="11">
        <f>+COUNTIFS('muddati otgan'!C:C,A123,'muddati otgan'!J:J,"Ko'chmas mulk turini tanlahsh")</f>
        <v>0</v>
      </c>
      <c r="V123" s="11">
        <f>+COUNTIFS('muddati otgan'!C:C,A123,'muddati otgan'!AA:AA,"Rad qilish")</f>
        <v>0</v>
      </c>
      <c r="W123" s="11">
        <f>+COUNTIFS('muddati otgan'!C:C,A123,'muddati otgan'!J:J,"ijrochi tanlash")</f>
        <v>0</v>
      </c>
      <c r="X123" s="11">
        <f>+COUNTIFS('muddati otgan'!C:C,A123,'muddati otgan'!J:J,"Ko'chmas mulk turini tanlash")</f>
        <v>0</v>
      </c>
      <c r="Y123" s="11">
        <f t="shared" si="24"/>
        <v>0</v>
      </c>
      <c r="Z123" s="11">
        <f>+COUNTIFS('muddati otgan'!C:C,A123,'muddati otgan'!J:J,"Ijroga qabul qilish")</f>
        <v>0</v>
      </c>
      <c r="AA123" s="11">
        <f>+COUNTIFS('muddati otgan'!C:C,A123,'muddati otgan'!J:J,"Joyida o'rganish va ma'lumotlarni kiritish")</f>
        <v>0</v>
      </c>
      <c r="AB123" s="11">
        <f>+COUNTIFS('muddati otgan'!C:C,A123,'muddati otgan'!J:J,"Asosiy qismdan ajratish jarayonida")</f>
        <v>0</v>
      </c>
      <c r="AC123" s="11">
        <f>+COUNTIFS('muddati otgan'!C:C,A123,'muddati otgan'!J:J,"Umumiy foydalanishdagi obyekt yaratilish")</f>
        <v>0</v>
      </c>
      <c r="AD123" s="11">
        <f>+COUNTIFS('muddati otgan'!C:C,A123,'muddati otgan'!J:J,"Migratsiya qilinadigan kadastr raqamini kiritish")</f>
        <v>0</v>
      </c>
      <c r="AE123" s="11">
        <f>+COUNTIFS('muddati otgan'!C:C,A123,'muddati otgan'!J:J,"O'zida qolgan obyektni yaratish")</f>
        <v>0</v>
      </c>
      <c r="AF123" s="11">
        <f>+COUNTIFS('muddati otgan'!C:C,A123,'muddati otgan'!J:J,"O'lchov natijalarini kiritish")</f>
        <v>0</v>
      </c>
      <c r="AG123" s="11">
        <f>+COUNTIFS('muddati otgan'!C:C,A123,'muddati otgan'!J:J,"Topoxaritani tayyorlash (dwg, pdf)")</f>
        <v>0</v>
      </c>
      <c r="AH123" s="11">
        <f t="shared" si="25"/>
        <v>0</v>
      </c>
      <c r="AI123" s="11">
        <f>+COUNTIFS('muddati otgan'!C:C,A123,'muddati otgan'!J:J,"Yer uchastkasini yaratish")</f>
        <v>0</v>
      </c>
      <c r="AJ123" s="11">
        <f t="shared" si="26"/>
        <v>0</v>
      </c>
      <c r="AK123" s="11">
        <f>+COUNTIFS('muddati otgan'!C:C,A123,'muddati otgan'!J:J,"Kelishish (Boshqarma)")</f>
        <v>0</v>
      </c>
      <c r="AL123" s="11">
        <f t="shared" si="27"/>
        <v>0</v>
      </c>
      <c r="AM123" s="11">
        <f>+COUNTIFS('muddati otgan'!C:C,A123,'muddati otgan'!J:J,"Kelishish (DKP)")</f>
        <v>0</v>
      </c>
      <c r="AN123" s="11">
        <f>+COUNTIFS('muddati otgan'!C:C,A123,'muddati otgan'!J:J,"Kelishish")</f>
        <v>0</v>
      </c>
      <c r="AO123" s="11">
        <f>+COUNTIFS('muddati otgan'!C:C,A123,'muddati otgan'!J:J,"Kelishish (Registratsiya DKP)")</f>
        <v>0</v>
      </c>
      <c r="AP123" s="11">
        <f t="shared" si="28"/>
        <v>0</v>
      </c>
      <c r="AQ123" s="11">
        <f>+COUNTIFS('muddati otgan'!C:C,A123,'muddati otgan'!J:J,"Manzil biriktirish")</f>
        <v>0</v>
      </c>
      <c r="AR123" s="11">
        <f>+COUNTIFS('muddati otgan'!C:C,A123,'muddati otgan'!J:J,"Bino va inshootlarni yaratish")</f>
        <v>0</v>
      </c>
      <c r="AS123" s="11">
        <f>+COUNTIFS('muddati otgan'!C:C,A123,'muddati otgan'!J:J,"Dov daraxtlarni yaratish")</f>
        <v>0</v>
      </c>
      <c r="AT123" s="11">
        <f>+COUNTIFS('muddati otgan'!C:C,A123,'muddati otgan'!J:J,"Yer uchastkasini tahrirlash")</f>
        <v>0</v>
      </c>
      <c r="AU123" s="11">
        <f t="shared" si="29"/>
        <v>0</v>
      </c>
      <c r="AV123" s="11">
        <f>+COUNTIFS('muddati otgan'!C:C,A123,'muddati otgan'!J:J,"Yer toifasi va maqsadini kiritish")</f>
        <v>0</v>
      </c>
      <c r="AW123" s="11">
        <f>+COUNTIFS('muddati otgan'!C:C,A123,'muddati otgan'!J:J,"Auksion yer tekshirish")</f>
        <v>0</v>
      </c>
      <c r="AX123" s="11">
        <f>+COUNTIFS('muddati otgan'!C:C,A123,'muddati otgan'!J:J,"Yer turlarini kiritish")</f>
        <v>0</v>
      </c>
      <c r="AY123" s="11">
        <f>+COUNTIFS('muddati otgan'!C:C,A123,'muddati otgan'!J:J,"Ma'lumotlarni kiritish")</f>
        <v>0</v>
      </c>
      <c r="AZ123" s="11">
        <f>+COUNTIFS('muddati otgan'!C:C,A123,'muddati otgan'!J:J,"Yer tekshirish")</f>
        <v>0</v>
      </c>
      <c r="BA123" s="11">
        <f t="shared" si="30"/>
        <v>0</v>
      </c>
      <c r="BB123" s="11">
        <f>+COUNTIFS('muddati otgan'!C:C,A123,'muddati otgan'!J:J,"Bino va inshoot ma'lumotlarini to‘ldirish")</f>
        <v>0</v>
      </c>
      <c r="BC123" s="11">
        <f>+COUNTIFS('muddati otgan'!C:C,A123,'muddati otgan'!J:J,"Inventarizatsiya ma'lumotlarini to‘ldirish")</f>
        <v>0</v>
      </c>
      <c r="BD123" s="11">
        <f>+COUNTIFS('muddati otgan'!C:C,A123,'muddati otgan'!J:J,"Yer uchastkasiga huquqiy hujjatlarni kiritsh")</f>
        <v>0</v>
      </c>
      <c r="BE123" s="11">
        <f>+COUNTIFS('muddati otgan'!C:C,A123,'muddati otgan'!J:J,"Bino-inshootlarga huquqiy hujjatlarni kiritsh")</f>
        <v>0</v>
      </c>
      <c r="BF123" s="11">
        <f>+COUNTIFS('muddati otgan'!C:C,A123,'muddati otgan'!J:J,"Kadastr qiymatini hisoblash va kiritish")</f>
        <v>0</v>
      </c>
      <c r="BG123" s="11">
        <f>+COUNTIFS('muddati otgan'!C:C,A123,'muddati otgan'!J:J,"Kadastr raqam biriktirish")</f>
        <v>0</v>
      </c>
      <c r="BH123" s="11">
        <f>+COUNTIFS('muddati otgan'!C:C,A123,'muddati otgan'!J:J,"Kadastr yig'ma jildni tayyorlash")</f>
        <v>0</v>
      </c>
      <c r="BI123" s="11">
        <f>+COUNTIFS('muddati otgan'!C:C,A123,'muddati otgan'!J:J,"Huquqni yaratish")</f>
        <v>0</v>
      </c>
      <c r="BJ123" s="11">
        <f>+COUNTIFS('muddati otgan'!C:C,A123,'muddati otgan'!J:J,"Hujjatlarni o'rganish")</f>
        <v>0</v>
      </c>
      <c r="BK123" s="11">
        <f>+COUNTIFS('muddati otgan'!C:C,A123,'muddati otgan'!J:J,"Ma'lumotlarni tekshirish")</f>
        <v>0</v>
      </c>
      <c r="BL123" s="11">
        <f t="shared" si="31"/>
        <v>0</v>
      </c>
      <c r="BM123" s="11">
        <f>+COUNTIFS('muddati otgan'!C:C,A123,'muddati otgan'!J:J,"Tekshirish")</f>
        <v>0</v>
      </c>
      <c r="BN123" s="11">
        <f>+COUNTIFS('muddati otgan'!C:C,A123,'muddati otgan'!J:J,"Hujjatlarni tekshirish")</f>
        <v>0</v>
      </c>
      <c r="BO123" s="11">
        <f>+COUNTIFS('muddati otgan'!C:C,A123,'muddati otgan'!J:J,"Tasdiqlash")</f>
        <v>0</v>
      </c>
      <c r="BP123" s="11">
        <f>+COUNTIFS('muddati otgan'!C:C,A123,'muddati otgan'!J:J,"tekshirish/tasdiqlash")</f>
        <v>0</v>
      </c>
      <c r="BQ123" s="11">
        <f>+COUNTIFS('muddati otgan'!C:C,A123,'muddati otgan'!J:J,"Ma'lumotlarni tasdiqlash")</f>
        <v>0</v>
      </c>
      <c r="BR123" s="11">
        <f t="shared" si="32"/>
        <v>0</v>
      </c>
      <c r="BS123" s="11">
        <f>+COUNTIFS('muddati otgan'!C:C,A123,'muddati otgan'!J:J,"Ro'yxatdan o'tkazish ma'lumotlarini tekshirish")</f>
        <v>0</v>
      </c>
      <c r="BT123" s="11">
        <f>+COUNTIFS('muddati otgan'!C:C,A123,'muddati otgan'!J:J,"Kamchiliklar bo'yicha habarnoma yuborish va 3 kunga to'xtatish")</f>
        <v>0</v>
      </c>
      <c r="BU123" s="11">
        <f>+COUNTIFS('muddati otgan'!C:C,A123,'muddati otgan'!J:J,"Hisobga olish")</f>
        <v>0</v>
      </c>
      <c r="BV123" s="11">
        <f>+COUNTIFS('muddati otgan'!C:C,A123,'muddati otgan'!J:J,"Yer uchastkasiga huquq yaratish")</f>
        <v>0</v>
      </c>
      <c r="BW123" s="11">
        <f>+COUNTIFS('muddati otgan'!C:C,A123,'muddati otgan'!J:J,"Bino-inshootga huquq yaratish")</f>
        <v>0</v>
      </c>
      <c r="BX123" s="11">
        <f>+COUNTIFS('muddati otgan'!C:C,A123,'muddati otgan'!J:J,"Cheklov yaratish")</f>
        <v>0</v>
      </c>
      <c r="BY123" s="11">
        <f>+COUNTIFS('muddati otgan'!C:C,A123,'muddati otgan'!J:J,"Taqiq yaratish")</f>
        <v>0</v>
      </c>
      <c r="BZ123" s="11">
        <f t="shared" si="33"/>
        <v>0</v>
      </c>
      <c r="CA123" s="11">
        <f>+COUNTIFS('muddati otgan'!C:C,A123,'muddati otgan'!J:J,"Soliq maydonini tekshirish")</f>
        <v>0</v>
      </c>
      <c r="CB123" s="11">
        <f t="shared" si="34"/>
        <v>0</v>
      </c>
      <c r="CC123" s="11">
        <f>+COUNTIFS('muddati otgan'!C:C,A123,'muddati otgan'!J:J,"Kadastr yig'majildini shakllantirish")</f>
        <v>0</v>
      </c>
      <c r="CD123" s="11">
        <f t="shared" si="35"/>
        <v>1</v>
      </c>
      <c r="CE123" s="11">
        <f>+COUNTIFS('muddati otgan'!C:C,A123,'muddati otgan'!J:J,"Kadastr passportini shakllantirish")</f>
        <v>0</v>
      </c>
      <c r="CF123" s="11">
        <f>+COUNTIFS('muddati otgan'!C:C,A123,'muddati otgan'!J:J,"Yig'ma jildni tasdiqlash")</f>
        <v>0</v>
      </c>
      <c r="CG123" s="11">
        <f>+COUNTIFS('muddati otgan'!C:C,A123,'muddati otgan'!J:J,"To'lov yoki bepul tasdiqlash")</f>
        <v>0</v>
      </c>
      <c r="CH123" s="11">
        <f>+COUNTIFS('muddati otgan'!C:C,A123,'muddati otgan'!J:J,"Bog'liq arizani kutish")</f>
        <v>1</v>
      </c>
      <c r="CI123" s="11">
        <f>+COUNTIFS('muddati otgan'!C:C,A123,'muddati otgan'!J:J,"To'lovga chiqarish")</f>
        <v>0</v>
      </c>
      <c r="CJ123" s="11">
        <f>+COUNTIFS('muddati otgan'!C:C,A123,'muddati otgan'!J:J,"Hisobga qo'yish")</f>
        <v>0</v>
      </c>
      <c r="CK123" s="6">
        <f>+COUNTIFS('muddati otgan'!C:C,A123,'muddati otgan'!J:J,"To'lov kutilmoqda")</f>
        <v>0</v>
      </c>
      <c r="CL123" s="11">
        <f t="shared" si="36"/>
        <v>0</v>
      </c>
      <c r="CM123" s="11">
        <f>+COUNTIFS('muddati otgan'!C:C,A123,'muddati otgan'!AA:AA,"Arizani qabul qilish2")</f>
        <v>0</v>
      </c>
      <c r="CN123" s="11">
        <f>+COUNTIFS('muddati otgan'!C:C,A123,'muddati otgan'!J:J,"Huquqlarni tekshirish")</f>
        <v>0</v>
      </c>
      <c r="CO123" s="11">
        <f>+COUNTIFS('muddati otgan'!C:C,A123,'muddati otgan'!J:J,"Ko'chmas mulkni ro'yhatdan o'tkazishga qabul qilish")</f>
        <v>0</v>
      </c>
      <c r="CP123" s="11">
        <f>+COUNTIFS('muddati otgan'!C:C,A123,'muddati otgan'!J:J,"Ro'yxatdan o'tkazish")</f>
        <v>0</v>
      </c>
      <c r="CQ123" s="11">
        <f>+COUNTIFS('muddati otgan'!C:C,A123,'muddati otgan'!J:J,"Kadastr pasporti va ko'chirmani yuborish")</f>
        <v>0</v>
      </c>
      <c r="CR123" s="11">
        <f>+COUNTIFS('muddati otgan'!C:C,A123,'muddati otgan'!AA:AA,"Rad qilish2")</f>
        <v>0</v>
      </c>
      <c r="CS123" s="11">
        <f>+COUNTIFS('muddati otgan'!C:C,A123,'muddati otgan'!J:J,"Ko'chirmani yuborish")</f>
        <v>0</v>
      </c>
      <c r="CT123" s="11">
        <f>+COUNTIFS('muddati otgan'!C:C,A123,'muddati otgan'!J:J,"Ma‘lumotlarni tekshirish")</f>
        <v>0</v>
      </c>
      <c r="CU123" s="11">
        <f t="shared" si="37"/>
        <v>0</v>
      </c>
      <c r="CV123" s="11">
        <f>+COUNTIFS('muddati otgan'!C:C,A123,'muddati otgan'!J:J,"Kadastr yig'majildini chop etish va arxiv ishiga tikish")</f>
        <v>0</v>
      </c>
      <c r="CW123" s="11">
        <f t="shared" si="38"/>
        <v>0</v>
      </c>
      <c r="CX123" s="11">
        <f>+COUNTIFS('muddati otgan'!C:C,A123,'muddati otgan'!J:J,"Kadastr yig‘majildini qabul qilish, arizani yakunlash")</f>
        <v>0</v>
      </c>
      <c r="CY123" s="11">
        <f>+COUNTIFS('muddati otgan'!C:C,A123,'muddati otgan'!J:J,"Next Cloudga yuklash")</f>
        <v>0</v>
      </c>
      <c r="CZ123" s="6">
        <f>+COUNTIFS('muddati otgan'!C:C,A123,'muddati otgan'!J:J,"Kelishish kutilmoqda")</f>
        <v>0</v>
      </c>
      <c r="DA123" s="6">
        <f>+COUNTIFS('muddati otgan'!C:C,A123,'muddati otgan'!J:J,"Yakunlandi")</f>
        <v>0</v>
      </c>
      <c r="DB123" s="10">
        <f>+COUNTIFS('muddati otgan'!C:C,A123,'muddati otgan'!J:J,"Rad etildi")</f>
        <v>0</v>
      </c>
      <c r="DC123" s="100">
        <f t="shared" si="5"/>
        <v>-1</v>
      </c>
      <c r="DD123" s="44">
        <f>COUNTIFS('jami 1-20 kunlik arizalar'!C:C,A:A,'jami 1-20 kunlik arizalar'!S:S,"1")</f>
        <v>0</v>
      </c>
      <c r="DE123" s="11">
        <f>COUNTIFS('jami 1-20 kunlik arizalar'!C:C,A:A,'jami 1-20 kunlik arizalar'!S:S,"2")</f>
        <v>0</v>
      </c>
      <c r="DF123" s="11">
        <f>COUNTIFS('jami 1-20 kunlik arizalar'!C:C,A:A,'jami 1-20 kunlik arizalar'!S:S,"3")</f>
        <v>0</v>
      </c>
      <c r="DG123" s="11">
        <f>COUNTIFS('jami 1-20 kunlik arizalar'!C:C,A:A,'jami 1-20 kunlik arizalar'!S:S,"4")</f>
        <v>0</v>
      </c>
      <c r="DH123" s="11">
        <f>COUNTIFS('jami 1-20 kunlik arizalar'!C:C,A:A,'jami 1-20 kunlik arizalar'!S:S,"5")</f>
        <v>3</v>
      </c>
      <c r="DI123" s="11">
        <f>SUM(COUNTIFS('jami 1-20 kunlik arizalar'!C:C,A:A, 'jami 1-20 kunlik arizalar'!S:S, {6,7,8,9,10}))</f>
        <v>0</v>
      </c>
      <c r="DJ123" s="12">
        <f>SUM(COUNTIFS('jami 1-20 kunlik arizalar'!C:C,A:A, 'jami 1-20 kunlik arizalar'!S:S, "&gt;10"))</f>
        <v>2</v>
      </c>
    </row>
    <row r="124" spans="1:115" ht="32.1" hidden="1" customHeight="1" outlineLevel="1" x14ac:dyDescent="0.25">
      <c r="A124" s="92" t="s">
        <v>671</v>
      </c>
      <c r="B124" s="74"/>
      <c r="C124" s="85" t="s">
        <v>827</v>
      </c>
      <c r="D124" s="80">
        <f>+COUNTIFS('muddati otgan'!C:C,A124,'muddati otgan'!C:C,A124)</f>
        <v>1</v>
      </c>
      <c r="E124" s="10">
        <f>SUMIFS('muddati otgan'!$V:V,'muddati otgan'!$C:C,$A:A)</f>
        <v>0</v>
      </c>
      <c r="F124" s="10">
        <f>SUMIFS('muddati otgan'!$W:W,'muddati otgan'!$C:C,$A:A)</f>
        <v>0</v>
      </c>
      <c r="G124" s="24">
        <f>SUMIFS('muddati otgan'!$U:U,'muddati otgan'!$C:C,$A:A)</f>
        <v>1</v>
      </c>
      <c r="H124" s="11">
        <f>SUMIFS('muddati otgan'!$G:G,'muddati otgan'!$C:C,$A:A)</f>
        <v>1</v>
      </c>
      <c r="I124" s="12">
        <f>SUMIFS('muddati otgan'!$H:H,'muddati otgan'!$C:C,$A:A)</f>
        <v>0</v>
      </c>
      <c r="J124" s="44">
        <f t="shared" si="23"/>
        <v>0</v>
      </c>
      <c r="K124" s="11">
        <f>+COUNTIFS('muddati otgan'!C:C,A124,'muddati otgan'!AA:AA,"Arizani qabul qilish")</f>
        <v>0</v>
      </c>
      <c r="L124" s="11">
        <f>+COUNTIFS('muddati otgan'!C:C,A124,'muddati otgan'!J:J,"Arizani rad etish")</f>
        <v>0</v>
      </c>
      <c r="M124" s="11">
        <f>+COUNTIFS('muddati otgan'!C:C,A124,'muddati otgan'!J:J,"Arizani tasdiqlash")</f>
        <v>0</v>
      </c>
      <c r="N124" s="11">
        <f>+COUNTIFS('muddati otgan'!C:C,A124,'muddati otgan'!J:J,"Arizani yo'naltirish")</f>
        <v>0</v>
      </c>
      <c r="O124" s="11">
        <f>+COUNTIFS('muddati otgan'!C:C,A124,'muddati otgan'!J:J,"Rad qilish sababini o'rganish")</f>
        <v>0</v>
      </c>
      <c r="P124" s="11">
        <f>+COUNTIFS('muddati otgan'!C:C,A124,'muddati otgan'!J:J,"Ko'chmas mulkni UZKAD ga migratsiya qilish")</f>
        <v>0</v>
      </c>
      <c r="Q124" s="11">
        <f>+COUNTIFS('muddati otgan'!C:C,A124,'muddati otgan'!J:J,"Migratisya qilingan obyekt holatini tekshirish")</f>
        <v>0</v>
      </c>
      <c r="R124" s="11">
        <f>+COUNTIFS('muddati otgan'!C:C,A124,'muddati otgan'!J:J,"Ko‘chmas mulkni tanlash")</f>
        <v>0</v>
      </c>
      <c r="S124" s="11">
        <f>+COUNTIFS('muddati otgan'!C:C,A124,'muddati otgan'!J:J,"Arizani ko'rib chiqish")</f>
        <v>0</v>
      </c>
      <c r="T124" s="11">
        <f>+COUNTIFS('muddati otgan'!C:C,A124,'muddati otgan'!J:J,"Kadastr muhandisini tanlash")</f>
        <v>0</v>
      </c>
      <c r="U124" s="11">
        <f>+COUNTIFS('muddati otgan'!C:C,A124,'muddati otgan'!J:J,"Ko'chmas mulk turini tanlahsh")</f>
        <v>0</v>
      </c>
      <c r="V124" s="11">
        <f>+COUNTIFS('muddati otgan'!C:C,A124,'muddati otgan'!AA:AA,"Rad qilish")</f>
        <v>0</v>
      </c>
      <c r="W124" s="11">
        <f>+COUNTIFS('muddati otgan'!C:C,A124,'muddati otgan'!J:J,"ijrochi tanlash")</f>
        <v>0</v>
      </c>
      <c r="X124" s="11">
        <f>+COUNTIFS('muddati otgan'!C:C,A124,'muddati otgan'!J:J,"Ko'chmas mulk turini tanlash")</f>
        <v>0</v>
      </c>
      <c r="Y124" s="11">
        <f t="shared" si="24"/>
        <v>0</v>
      </c>
      <c r="Z124" s="11">
        <f>+COUNTIFS('muddati otgan'!C:C,A124,'muddati otgan'!J:J,"Ijroga qabul qilish")</f>
        <v>0</v>
      </c>
      <c r="AA124" s="11">
        <f>+COUNTIFS('muddati otgan'!C:C,A124,'muddati otgan'!J:J,"Joyida o'rganish va ma'lumotlarni kiritish")</f>
        <v>0</v>
      </c>
      <c r="AB124" s="11">
        <f>+COUNTIFS('muddati otgan'!C:C,A124,'muddati otgan'!J:J,"Asosiy qismdan ajratish jarayonida")</f>
        <v>0</v>
      </c>
      <c r="AC124" s="11">
        <f>+COUNTIFS('muddati otgan'!C:C,A124,'muddati otgan'!J:J,"Umumiy foydalanishdagi obyekt yaratilish")</f>
        <v>0</v>
      </c>
      <c r="AD124" s="11">
        <f>+COUNTIFS('muddati otgan'!C:C,A124,'muddati otgan'!J:J,"Migratsiya qilinadigan kadastr raqamini kiritish")</f>
        <v>0</v>
      </c>
      <c r="AE124" s="11">
        <f>+COUNTIFS('muddati otgan'!C:C,A124,'muddati otgan'!J:J,"O'zida qolgan obyektni yaratish")</f>
        <v>0</v>
      </c>
      <c r="AF124" s="11">
        <f>+COUNTIFS('muddati otgan'!C:C,A124,'muddati otgan'!J:J,"O'lchov natijalarini kiritish")</f>
        <v>0</v>
      </c>
      <c r="AG124" s="11">
        <f>+COUNTIFS('muddati otgan'!C:C,A124,'muddati otgan'!J:J,"Topoxaritani tayyorlash (dwg, pdf)")</f>
        <v>0</v>
      </c>
      <c r="AH124" s="11">
        <f t="shared" si="25"/>
        <v>0</v>
      </c>
      <c r="AI124" s="11">
        <f>+COUNTIFS('muddati otgan'!C:C,A124,'muddati otgan'!J:J,"Yer uchastkasini yaratish")</f>
        <v>0</v>
      </c>
      <c r="AJ124" s="11">
        <f t="shared" si="26"/>
        <v>0</v>
      </c>
      <c r="AK124" s="11">
        <f>+COUNTIFS('muddati otgan'!C:C,A124,'muddati otgan'!J:J,"Kelishish (Boshqarma)")</f>
        <v>0</v>
      </c>
      <c r="AL124" s="11">
        <f t="shared" si="27"/>
        <v>0</v>
      </c>
      <c r="AM124" s="11">
        <f>+COUNTIFS('muddati otgan'!C:C,A124,'muddati otgan'!J:J,"Kelishish (DKP)")</f>
        <v>0</v>
      </c>
      <c r="AN124" s="11">
        <f>+COUNTIFS('muddati otgan'!C:C,A124,'muddati otgan'!J:J,"Kelishish")</f>
        <v>0</v>
      </c>
      <c r="AO124" s="11">
        <f>+COUNTIFS('muddati otgan'!C:C,A124,'muddati otgan'!J:J,"Kelishish (Registratsiya DKP)")</f>
        <v>0</v>
      </c>
      <c r="AP124" s="11">
        <f t="shared" si="28"/>
        <v>0</v>
      </c>
      <c r="AQ124" s="11">
        <f>+COUNTIFS('muddati otgan'!C:C,A124,'muddati otgan'!J:J,"Manzil biriktirish")</f>
        <v>0</v>
      </c>
      <c r="AR124" s="11">
        <f>+COUNTIFS('muddati otgan'!C:C,A124,'muddati otgan'!J:J,"Bino va inshootlarni yaratish")</f>
        <v>0</v>
      </c>
      <c r="AS124" s="11">
        <f>+COUNTIFS('muddati otgan'!C:C,A124,'muddati otgan'!J:J,"Dov daraxtlarni yaratish")</f>
        <v>0</v>
      </c>
      <c r="AT124" s="11">
        <f>+COUNTIFS('muddati otgan'!C:C,A124,'muddati otgan'!J:J,"Yer uchastkasini tahrirlash")</f>
        <v>0</v>
      </c>
      <c r="AU124" s="11">
        <f t="shared" si="29"/>
        <v>0</v>
      </c>
      <c r="AV124" s="11">
        <f>+COUNTIFS('muddati otgan'!C:C,A124,'muddati otgan'!J:J,"Yer toifasi va maqsadini kiritish")</f>
        <v>0</v>
      </c>
      <c r="AW124" s="11">
        <f>+COUNTIFS('muddati otgan'!C:C,A124,'muddati otgan'!J:J,"Auksion yer tekshirish")</f>
        <v>0</v>
      </c>
      <c r="AX124" s="11">
        <f>+COUNTIFS('muddati otgan'!C:C,A124,'muddati otgan'!J:J,"Yer turlarini kiritish")</f>
        <v>0</v>
      </c>
      <c r="AY124" s="11">
        <f>+COUNTIFS('muddati otgan'!C:C,A124,'muddati otgan'!J:J,"Ma'lumotlarni kiritish")</f>
        <v>0</v>
      </c>
      <c r="AZ124" s="11">
        <f>+COUNTIFS('muddati otgan'!C:C,A124,'muddati otgan'!J:J,"Yer tekshirish")</f>
        <v>0</v>
      </c>
      <c r="BA124" s="11">
        <f t="shared" si="30"/>
        <v>0</v>
      </c>
      <c r="BB124" s="11">
        <f>+COUNTIFS('muddati otgan'!C:C,A124,'muddati otgan'!J:J,"Bino va inshoot ma'lumotlarini to‘ldirish")</f>
        <v>0</v>
      </c>
      <c r="BC124" s="11">
        <f>+COUNTIFS('muddati otgan'!C:C,A124,'muddati otgan'!J:J,"Inventarizatsiya ma'lumotlarini to‘ldirish")</f>
        <v>0</v>
      </c>
      <c r="BD124" s="11">
        <f>+COUNTIFS('muddati otgan'!C:C,A124,'muddati otgan'!J:J,"Yer uchastkasiga huquqiy hujjatlarni kiritsh")</f>
        <v>0</v>
      </c>
      <c r="BE124" s="11">
        <f>+COUNTIFS('muddati otgan'!C:C,A124,'muddati otgan'!J:J,"Bino-inshootlarga huquqiy hujjatlarni kiritsh")</f>
        <v>0</v>
      </c>
      <c r="BF124" s="11">
        <f>+COUNTIFS('muddati otgan'!C:C,A124,'muddati otgan'!J:J,"Kadastr qiymatini hisoblash va kiritish")</f>
        <v>0</v>
      </c>
      <c r="BG124" s="11">
        <f>+COUNTIFS('muddati otgan'!C:C,A124,'muddati otgan'!J:J,"Kadastr raqam biriktirish")</f>
        <v>0</v>
      </c>
      <c r="BH124" s="11">
        <f>+COUNTIFS('muddati otgan'!C:C,A124,'muddati otgan'!J:J,"Kadastr yig'ma jildni tayyorlash")</f>
        <v>0</v>
      </c>
      <c r="BI124" s="11">
        <f>+COUNTIFS('muddati otgan'!C:C,A124,'muddati otgan'!J:J,"Huquqni yaratish")</f>
        <v>0</v>
      </c>
      <c r="BJ124" s="11">
        <f>+COUNTIFS('muddati otgan'!C:C,A124,'muddati otgan'!J:J,"Hujjatlarni o'rganish")</f>
        <v>0</v>
      </c>
      <c r="BK124" s="11">
        <f>+COUNTIFS('muddati otgan'!C:C,A124,'muddati otgan'!J:J,"Ma'lumotlarni tekshirish")</f>
        <v>0</v>
      </c>
      <c r="BL124" s="11">
        <f t="shared" si="31"/>
        <v>0</v>
      </c>
      <c r="BM124" s="11">
        <f>+COUNTIFS('muddati otgan'!C:C,A124,'muddati otgan'!J:J,"Tekshirish")</f>
        <v>0</v>
      </c>
      <c r="BN124" s="11">
        <f>+COUNTIFS('muddati otgan'!C:C,A124,'muddati otgan'!J:J,"Hujjatlarni tekshirish")</f>
        <v>0</v>
      </c>
      <c r="BO124" s="11">
        <f>+COUNTIFS('muddati otgan'!C:C,A124,'muddati otgan'!J:J,"Tasdiqlash")</f>
        <v>0</v>
      </c>
      <c r="BP124" s="11">
        <f>+COUNTIFS('muddati otgan'!C:C,A124,'muddati otgan'!J:J,"tekshirish/tasdiqlash")</f>
        <v>0</v>
      </c>
      <c r="BQ124" s="11">
        <f>+COUNTIFS('muddati otgan'!C:C,A124,'muddati otgan'!J:J,"Ma'lumotlarni tasdiqlash")</f>
        <v>0</v>
      </c>
      <c r="BR124" s="11">
        <f t="shared" si="32"/>
        <v>0</v>
      </c>
      <c r="BS124" s="11">
        <f>+COUNTIFS('muddati otgan'!C:C,A124,'muddati otgan'!J:J,"Ro'yxatdan o'tkazish ma'lumotlarini tekshirish")</f>
        <v>0</v>
      </c>
      <c r="BT124" s="11">
        <f>+COUNTIFS('muddati otgan'!C:C,A124,'muddati otgan'!J:J,"Kamchiliklar bo'yicha habarnoma yuborish va 3 kunga to'xtatish")</f>
        <v>0</v>
      </c>
      <c r="BU124" s="11">
        <f>+COUNTIFS('muddati otgan'!C:C,A124,'muddati otgan'!J:J,"Hisobga olish")</f>
        <v>0</v>
      </c>
      <c r="BV124" s="11">
        <f>+COUNTIFS('muddati otgan'!C:C,A124,'muddati otgan'!J:J,"Yer uchastkasiga huquq yaratish")</f>
        <v>0</v>
      </c>
      <c r="BW124" s="11">
        <f>+COUNTIFS('muddati otgan'!C:C,A124,'muddati otgan'!J:J,"Bino-inshootga huquq yaratish")</f>
        <v>0</v>
      </c>
      <c r="BX124" s="11">
        <f>+COUNTIFS('muddati otgan'!C:C,A124,'muddati otgan'!J:J,"Cheklov yaratish")</f>
        <v>0</v>
      </c>
      <c r="BY124" s="11">
        <f>+COUNTIFS('muddati otgan'!C:C,A124,'muddati otgan'!J:J,"Taqiq yaratish")</f>
        <v>0</v>
      </c>
      <c r="BZ124" s="11">
        <f t="shared" si="33"/>
        <v>0</v>
      </c>
      <c r="CA124" s="11">
        <f>+COUNTIFS('muddati otgan'!C:C,A124,'muddati otgan'!J:J,"Soliq maydonini tekshirish")</f>
        <v>0</v>
      </c>
      <c r="CB124" s="11">
        <f t="shared" si="34"/>
        <v>0</v>
      </c>
      <c r="CC124" s="11">
        <f>+COUNTIFS('muddati otgan'!C:C,A124,'muddati otgan'!J:J,"Kadastr yig'majildini shakllantirish")</f>
        <v>0</v>
      </c>
      <c r="CD124" s="11">
        <f t="shared" si="35"/>
        <v>1</v>
      </c>
      <c r="CE124" s="11">
        <f>+COUNTIFS('muddati otgan'!C:C,A124,'muddati otgan'!J:J,"Kadastr passportini shakllantirish")</f>
        <v>0</v>
      </c>
      <c r="CF124" s="11">
        <f>+COUNTIFS('muddati otgan'!C:C,A124,'muddati otgan'!J:J,"Yig'ma jildni tasdiqlash")</f>
        <v>0</v>
      </c>
      <c r="CG124" s="11">
        <f>+COUNTIFS('muddati otgan'!C:C,A124,'muddati otgan'!J:J,"To'lov yoki bepul tasdiqlash")</f>
        <v>0</v>
      </c>
      <c r="CH124" s="11">
        <f>+COUNTIFS('muddati otgan'!C:C,A124,'muddati otgan'!J:J,"Bog'liq arizani kutish")</f>
        <v>1</v>
      </c>
      <c r="CI124" s="11">
        <f>+COUNTIFS('muddati otgan'!C:C,A124,'muddati otgan'!J:J,"To'lovga chiqarish")</f>
        <v>0</v>
      </c>
      <c r="CJ124" s="11">
        <f>+COUNTIFS('muddati otgan'!C:C,A124,'muddati otgan'!J:J,"Hisobga qo'yish")</f>
        <v>0</v>
      </c>
      <c r="CK124" s="6">
        <f>+COUNTIFS('muddati otgan'!C:C,A124,'muddati otgan'!J:J,"To'lov kutilmoqda")</f>
        <v>0</v>
      </c>
      <c r="CL124" s="11">
        <f t="shared" si="36"/>
        <v>0</v>
      </c>
      <c r="CM124" s="11">
        <f>+COUNTIFS('muddati otgan'!C:C,A124,'muddati otgan'!AA:AA,"Arizani qabul qilish2")</f>
        <v>0</v>
      </c>
      <c r="CN124" s="11">
        <f>+COUNTIFS('muddati otgan'!C:C,A124,'muddati otgan'!J:J,"Huquqlarni tekshirish")</f>
        <v>0</v>
      </c>
      <c r="CO124" s="11">
        <f>+COUNTIFS('muddati otgan'!C:C,A124,'muddati otgan'!J:J,"Ko'chmas mulkni ro'yhatdan o'tkazishga qabul qilish")</f>
        <v>0</v>
      </c>
      <c r="CP124" s="11">
        <f>+COUNTIFS('muddati otgan'!C:C,A124,'muddati otgan'!J:J,"Ro'yxatdan o'tkazish")</f>
        <v>0</v>
      </c>
      <c r="CQ124" s="11">
        <f>+COUNTIFS('muddati otgan'!C:C,A124,'muddati otgan'!J:J,"Kadastr pasporti va ko'chirmani yuborish")</f>
        <v>0</v>
      </c>
      <c r="CR124" s="11">
        <f>+COUNTIFS('muddati otgan'!C:C,A124,'muddati otgan'!AA:AA,"Rad qilish2")</f>
        <v>0</v>
      </c>
      <c r="CS124" s="11">
        <f>+COUNTIFS('muddati otgan'!C:C,A124,'muddati otgan'!J:J,"Ko'chirmani yuborish")</f>
        <v>0</v>
      </c>
      <c r="CT124" s="11">
        <f>+COUNTIFS('muddati otgan'!C:C,A124,'muddati otgan'!J:J,"Ma‘lumotlarni tekshirish")</f>
        <v>0</v>
      </c>
      <c r="CU124" s="11">
        <f t="shared" si="37"/>
        <v>0</v>
      </c>
      <c r="CV124" s="11">
        <f>+COUNTIFS('muddati otgan'!C:C,A124,'muddati otgan'!J:J,"Kadastr yig'majildini chop etish va arxiv ishiga tikish")</f>
        <v>0</v>
      </c>
      <c r="CW124" s="11">
        <f t="shared" si="38"/>
        <v>0</v>
      </c>
      <c r="CX124" s="11">
        <f>+COUNTIFS('muddati otgan'!C:C,A124,'muddati otgan'!J:J,"Kadastr yig‘majildini qabul qilish, arizani yakunlash")</f>
        <v>0</v>
      </c>
      <c r="CY124" s="11">
        <f>+COUNTIFS('muddati otgan'!C:C,A124,'muddati otgan'!J:J,"Next Cloudga yuklash")</f>
        <v>0</v>
      </c>
      <c r="CZ124" s="6">
        <f>+COUNTIFS('muddati otgan'!C:C,A124,'muddati otgan'!J:J,"Kelishish kutilmoqda")</f>
        <v>0</v>
      </c>
      <c r="DA124" s="6">
        <f>+COUNTIFS('muddati otgan'!C:C,A124,'muddati otgan'!J:J,"Yakunlandi")</f>
        <v>0</v>
      </c>
      <c r="DB124" s="10">
        <f>+COUNTIFS('muddati otgan'!C:C,A124,'muddati otgan'!J:J,"Rad etildi")</f>
        <v>0</v>
      </c>
      <c r="DC124" s="100">
        <f t="shared" si="5"/>
        <v>-1</v>
      </c>
      <c r="DD124" s="44">
        <f>COUNTIFS('jami 1-20 kunlik arizalar'!C:C,A:A,'jami 1-20 kunlik arizalar'!S:S,"1")</f>
        <v>0</v>
      </c>
      <c r="DE124" s="11">
        <f>COUNTIFS('jami 1-20 kunlik arizalar'!C:C,A:A,'jami 1-20 kunlik arizalar'!S:S,"2")</f>
        <v>0</v>
      </c>
      <c r="DF124" s="11">
        <f>COUNTIFS('jami 1-20 kunlik arizalar'!C:C,A:A,'jami 1-20 kunlik arizalar'!S:S,"3")</f>
        <v>2</v>
      </c>
      <c r="DG124" s="11">
        <f>COUNTIFS('jami 1-20 kunlik arizalar'!C:C,A:A,'jami 1-20 kunlik arizalar'!S:S,"4")</f>
        <v>0</v>
      </c>
      <c r="DH124" s="11">
        <f>COUNTIFS('jami 1-20 kunlik arizalar'!C:C,A:A,'jami 1-20 kunlik arizalar'!S:S,"5")</f>
        <v>0</v>
      </c>
      <c r="DI124" s="11">
        <f>SUM(COUNTIFS('jami 1-20 kunlik arizalar'!C:C,A:A, 'jami 1-20 kunlik arizalar'!S:S, {6,7,8,9,10}))</f>
        <v>1</v>
      </c>
      <c r="DJ124" s="12">
        <f>SUM(COUNTIFS('jami 1-20 kunlik arizalar'!C:C,A:A, 'jami 1-20 kunlik arizalar'!S:S, "&gt;10"))</f>
        <v>0</v>
      </c>
    </row>
    <row r="125" spans="1:115" ht="32.1" hidden="1" customHeight="1" outlineLevel="1" x14ac:dyDescent="0.25">
      <c r="A125" s="92" t="s">
        <v>677</v>
      </c>
      <c r="B125" s="74"/>
      <c r="C125" s="85" t="s">
        <v>828</v>
      </c>
      <c r="D125" s="80">
        <f>+COUNTIFS('muddati otgan'!C:C,A125,'muddati otgan'!C:C,A125)</f>
        <v>2</v>
      </c>
      <c r="E125" s="10">
        <f>SUMIFS('muddati otgan'!$V:V,'muddati otgan'!$C:C,$A:A)</f>
        <v>0</v>
      </c>
      <c r="F125" s="10">
        <f>SUMIFS('muddati otgan'!$W:W,'muddati otgan'!$C:C,$A:A)</f>
        <v>0</v>
      </c>
      <c r="G125" s="24">
        <f>SUMIFS('muddati otgan'!$U:U,'muddati otgan'!$C:C,$A:A)</f>
        <v>2</v>
      </c>
      <c r="H125" s="11">
        <f>SUMIFS('muddati otgan'!$G:G,'muddati otgan'!$C:C,$A:A)</f>
        <v>1</v>
      </c>
      <c r="I125" s="12">
        <f>SUMIFS('muddati otgan'!$H:H,'muddati otgan'!$C:C,$A:A)</f>
        <v>1</v>
      </c>
      <c r="J125" s="44">
        <f t="shared" si="23"/>
        <v>0</v>
      </c>
      <c r="K125" s="11">
        <f>+COUNTIFS('muddati otgan'!C:C,A125,'muddati otgan'!AA:AA,"Arizani qabul qilish")</f>
        <v>0</v>
      </c>
      <c r="L125" s="11">
        <f>+COUNTIFS('muddati otgan'!C:C,A125,'muddati otgan'!J:J,"Arizani rad etish")</f>
        <v>0</v>
      </c>
      <c r="M125" s="11">
        <f>+COUNTIFS('muddati otgan'!C:C,A125,'muddati otgan'!J:J,"Arizani tasdiqlash")</f>
        <v>0</v>
      </c>
      <c r="N125" s="11">
        <f>+COUNTIFS('muddati otgan'!C:C,A125,'muddati otgan'!J:J,"Arizani yo'naltirish")</f>
        <v>0</v>
      </c>
      <c r="O125" s="11">
        <f>+COUNTIFS('muddati otgan'!C:C,A125,'muddati otgan'!J:J,"Rad qilish sababini o'rganish")</f>
        <v>0</v>
      </c>
      <c r="P125" s="11">
        <f>+COUNTIFS('muddati otgan'!C:C,A125,'muddati otgan'!J:J,"Ko'chmas mulkni UZKAD ga migratsiya qilish")</f>
        <v>0</v>
      </c>
      <c r="Q125" s="11">
        <f>+COUNTIFS('muddati otgan'!C:C,A125,'muddati otgan'!J:J,"Migratisya qilingan obyekt holatini tekshirish")</f>
        <v>0</v>
      </c>
      <c r="R125" s="11">
        <f>+COUNTIFS('muddati otgan'!C:C,A125,'muddati otgan'!J:J,"Ko‘chmas mulkni tanlash")</f>
        <v>0</v>
      </c>
      <c r="S125" s="11">
        <f>+COUNTIFS('muddati otgan'!C:C,A125,'muddati otgan'!J:J,"Arizani ko'rib chiqish")</f>
        <v>0</v>
      </c>
      <c r="T125" s="11">
        <f>+COUNTIFS('muddati otgan'!C:C,A125,'muddati otgan'!J:J,"Kadastr muhandisini tanlash")</f>
        <v>0</v>
      </c>
      <c r="U125" s="11">
        <f>+COUNTIFS('muddati otgan'!C:C,A125,'muddati otgan'!J:J,"Ko'chmas mulk turini tanlahsh")</f>
        <v>0</v>
      </c>
      <c r="V125" s="11">
        <f>+COUNTIFS('muddati otgan'!C:C,A125,'muddati otgan'!AA:AA,"Rad qilish")</f>
        <v>0</v>
      </c>
      <c r="W125" s="11">
        <f>+COUNTIFS('muddati otgan'!C:C,A125,'muddati otgan'!J:J,"ijrochi tanlash")</f>
        <v>0</v>
      </c>
      <c r="X125" s="11">
        <f>+COUNTIFS('muddati otgan'!C:C,A125,'muddati otgan'!J:J,"Ko'chmas mulk turini tanlash")</f>
        <v>0</v>
      </c>
      <c r="Y125" s="11">
        <f t="shared" si="24"/>
        <v>0</v>
      </c>
      <c r="Z125" s="11">
        <f>+COUNTIFS('muddati otgan'!C:C,A125,'muddati otgan'!J:J,"Ijroga qabul qilish")</f>
        <v>0</v>
      </c>
      <c r="AA125" s="11">
        <f>+COUNTIFS('muddati otgan'!C:C,A125,'muddati otgan'!J:J,"Joyida o'rganish va ma'lumotlarni kiritish")</f>
        <v>0</v>
      </c>
      <c r="AB125" s="11">
        <f>+COUNTIFS('muddati otgan'!C:C,A125,'muddati otgan'!J:J,"Asosiy qismdan ajratish jarayonida")</f>
        <v>0</v>
      </c>
      <c r="AC125" s="11">
        <f>+COUNTIFS('muddati otgan'!C:C,A125,'muddati otgan'!J:J,"Umumiy foydalanishdagi obyekt yaratilish")</f>
        <v>0</v>
      </c>
      <c r="AD125" s="11">
        <f>+COUNTIFS('muddati otgan'!C:C,A125,'muddati otgan'!J:J,"Migratsiya qilinadigan kadastr raqamini kiritish")</f>
        <v>0</v>
      </c>
      <c r="AE125" s="11">
        <f>+COUNTIFS('muddati otgan'!C:C,A125,'muddati otgan'!J:J,"O'zida qolgan obyektni yaratish")</f>
        <v>0</v>
      </c>
      <c r="AF125" s="11">
        <f>+COUNTIFS('muddati otgan'!C:C,A125,'muddati otgan'!J:J,"O'lchov natijalarini kiritish")</f>
        <v>0</v>
      </c>
      <c r="AG125" s="11">
        <f>+COUNTIFS('muddati otgan'!C:C,A125,'muddati otgan'!J:J,"Topoxaritani tayyorlash (dwg, pdf)")</f>
        <v>0</v>
      </c>
      <c r="AH125" s="11">
        <f t="shared" si="25"/>
        <v>0</v>
      </c>
      <c r="AI125" s="11">
        <f>+COUNTIFS('muddati otgan'!C:C,A125,'muddati otgan'!J:J,"Yer uchastkasini yaratish")</f>
        <v>0</v>
      </c>
      <c r="AJ125" s="11">
        <f t="shared" si="26"/>
        <v>0</v>
      </c>
      <c r="AK125" s="11">
        <f>+COUNTIFS('muddati otgan'!C:C,A125,'muddati otgan'!J:J,"Kelishish (Boshqarma)")</f>
        <v>0</v>
      </c>
      <c r="AL125" s="11">
        <f t="shared" si="27"/>
        <v>0</v>
      </c>
      <c r="AM125" s="11">
        <f>+COUNTIFS('muddati otgan'!C:C,A125,'muddati otgan'!J:J,"Kelishish (DKP)")</f>
        <v>0</v>
      </c>
      <c r="AN125" s="11">
        <f>+COUNTIFS('muddati otgan'!C:C,A125,'muddati otgan'!J:J,"Kelishish")</f>
        <v>0</v>
      </c>
      <c r="AO125" s="11">
        <f>+COUNTIFS('muddati otgan'!C:C,A125,'muddati otgan'!J:J,"Kelishish (Registratsiya DKP)")</f>
        <v>0</v>
      </c>
      <c r="AP125" s="11">
        <f t="shared" si="28"/>
        <v>0</v>
      </c>
      <c r="AQ125" s="11">
        <f>+COUNTIFS('muddati otgan'!C:C,A125,'muddati otgan'!J:J,"Manzil biriktirish")</f>
        <v>0</v>
      </c>
      <c r="AR125" s="11">
        <f>+COUNTIFS('muddati otgan'!C:C,A125,'muddati otgan'!J:J,"Bino va inshootlarni yaratish")</f>
        <v>0</v>
      </c>
      <c r="AS125" s="11">
        <f>+COUNTIFS('muddati otgan'!C:C,A125,'muddati otgan'!J:J,"Dov daraxtlarni yaratish")</f>
        <v>0</v>
      </c>
      <c r="AT125" s="11">
        <f>+COUNTIFS('muddati otgan'!C:C,A125,'muddati otgan'!J:J,"Yer uchastkasini tahrirlash")</f>
        <v>0</v>
      </c>
      <c r="AU125" s="11">
        <f t="shared" si="29"/>
        <v>0</v>
      </c>
      <c r="AV125" s="11">
        <f>+COUNTIFS('muddati otgan'!C:C,A125,'muddati otgan'!J:J,"Yer toifasi va maqsadini kiritish")</f>
        <v>0</v>
      </c>
      <c r="AW125" s="11">
        <f>+COUNTIFS('muddati otgan'!C:C,A125,'muddati otgan'!J:J,"Auksion yer tekshirish")</f>
        <v>0</v>
      </c>
      <c r="AX125" s="11">
        <f>+COUNTIFS('muddati otgan'!C:C,A125,'muddati otgan'!J:J,"Yer turlarini kiritish")</f>
        <v>0</v>
      </c>
      <c r="AY125" s="11">
        <f>+COUNTIFS('muddati otgan'!C:C,A125,'muddati otgan'!J:J,"Ma'lumotlarni kiritish")</f>
        <v>0</v>
      </c>
      <c r="AZ125" s="11">
        <f>+COUNTIFS('muddati otgan'!C:C,A125,'muddati otgan'!J:J,"Yer tekshirish")</f>
        <v>0</v>
      </c>
      <c r="BA125" s="11">
        <f t="shared" si="30"/>
        <v>1</v>
      </c>
      <c r="BB125" s="11">
        <f>+COUNTIFS('muddati otgan'!C:C,A125,'muddati otgan'!J:J,"Bino va inshoot ma'lumotlarini to‘ldirish")</f>
        <v>1</v>
      </c>
      <c r="BC125" s="11">
        <f>+COUNTIFS('muddati otgan'!C:C,A125,'muddati otgan'!J:J,"Inventarizatsiya ma'lumotlarini to‘ldirish")</f>
        <v>0</v>
      </c>
      <c r="BD125" s="11">
        <f>+COUNTIFS('muddati otgan'!C:C,A125,'muddati otgan'!J:J,"Yer uchastkasiga huquqiy hujjatlarni kiritsh")</f>
        <v>0</v>
      </c>
      <c r="BE125" s="11">
        <f>+COUNTIFS('muddati otgan'!C:C,A125,'muddati otgan'!J:J,"Bino-inshootlarga huquqiy hujjatlarni kiritsh")</f>
        <v>0</v>
      </c>
      <c r="BF125" s="11">
        <f>+COUNTIFS('muddati otgan'!C:C,A125,'muddati otgan'!J:J,"Kadastr qiymatini hisoblash va kiritish")</f>
        <v>0</v>
      </c>
      <c r="BG125" s="11">
        <f>+COUNTIFS('muddati otgan'!C:C,A125,'muddati otgan'!J:J,"Kadastr raqam biriktirish")</f>
        <v>0</v>
      </c>
      <c r="BH125" s="11">
        <f>+COUNTIFS('muddati otgan'!C:C,A125,'muddati otgan'!J:J,"Kadastr yig'ma jildni tayyorlash")</f>
        <v>0</v>
      </c>
      <c r="BI125" s="11">
        <f>+COUNTIFS('muddati otgan'!C:C,A125,'muddati otgan'!J:J,"Huquqni yaratish")</f>
        <v>0</v>
      </c>
      <c r="BJ125" s="11">
        <f>+COUNTIFS('muddati otgan'!C:C,A125,'muddati otgan'!J:J,"Hujjatlarni o'rganish")</f>
        <v>0</v>
      </c>
      <c r="BK125" s="11">
        <f>+COUNTIFS('muddati otgan'!C:C,A125,'muddati otgan'!J:J,"Ma'lumotlarni tekshirish")</f>
        <v>0</v>
      </c>
      <c r="BL125" s="11">
        <f t="shared" si="31"/>
        <v>0</v>
      </c>
      <c r="BM125" s="11">
        <f>+COUNTIFS('muddati otgan'!C:C,A125,'muddati otgan'!J:J,"Tekshirish")</f>
        <v>0</v>
      </c>
      <c r="BN125" s="11">
        <f>+COUNTIFS('muddati otgan'!C:C,A125,'muddati otgan'!J:J,"Hujjatlarni tekshirish")</f>
        <v>0</v>
      </c>
      <c r="BO125" s="11">
        <f>+COUNTIFS('muddati otgan'!C:C,A125,'muddati otgan'!J:J,"Tasdiqlash")</f>
        <v>0</v>
      </c>
      <c r="BP125" s="11">
        <f>+COUNTIFS('muddati otgan'!C:C,A125,'muddati otgan'!J:J,"tekshirish/tasdiqlash")</f>
        <v>0</v>
      </c>
      <c r="BQ125" s="11">
        <f>+COUNTIFS('muddati otgan'!C:C,A125,'muddati otgan'!J:J,"Ma'lumotlarni tasdiqlash")</f>
        <v>0</v>
      </c>
      <c r="BR125" s="11">
        <f t="shared" si="32"/>
        <v>0</v>
      </c>
      <c r="BS125" s="11">
        <f>+COUNTIFS('muddati otgan'!C:C,A125,'muddati otgan'!J:J,"Ro'yxatdan o'tkazish ma'lumotlarini tekshirish")</f>
        <v>0</v>
      </c>
      <c r="BT125" s="11">
        <f>+COUNTIFS('muddati otgan'!C:C,A125,'muddati otgan'!J:J,"Kamchiliklar bo'yicha habarnoma yuborish va 3 kunga to'xtatish")</f>
        <v>0</v>
      </c>
      <c r="BU125" s="11">
        <f>+COUNTIFS('muddati otgan'!C:C,A125,'muddati otgan'!J:J,"Hisobga olish")</f>
        <v>0</v>
      </c>
      <c r="BV125" s="11">
        <f>+COUNTIFS('muddati otgan'!C:C,A125,'muddati otgan'!J:J,"Yer uchastkasiga huquq yaratish")</f>
        <v>0</v>
      </c>
      <c r="BW125" s="11">
        <f>+COUNTIFS('muddati otgan'!C:C,A125,'muddati otgan'!J:J,"Bino-inshootga huquq yaratish")</f>
        <v>0</v>
      </c>
      <c r="BX125" s="11">
        <f>+COUNTIFS('muddati otgan'!C:C,A125,'muddati otgan'!J:J,"Cheklov yaratish")</f>
        <v>0</v>
      </c>
      <c r="BY125" s="11">
        <f>+COUNTIFS('muddati otgan'!C:C,A125,'muddati otgan'!J:J,"Taqiq yaratish")</f>
        <v>0</v>
      </c>
      <c r="BZ125" s="11">
        <f t="shared" si="33"/>
        <v>0</v>
      </c>
      <c r="CA125" s="11">
        <f>+COUNTIFS('muddati otgan'!C:C,A125,'muddati otgan'!J:J,"Soliq maydonini tekshirish")</f>
        <v>0</v>
      </c>
      <c r="CB125" s="11">
        <f t="shared" si="34"/>
        <v>1</v>
      </c>
      <c r="CC125" s="11">
        <f>+COUNTIFS('muddati otgan'!C:C,A125,'muddati otgan'!J:J,"Kadastr yig'majildini shakllantirish")</f>
        <v>1</v>
      </c>
      <c r="CD125" s="11">
        <f t="shared" si="35"/>
        <v>0</v>
      </c>
      <c r="CE125" s="11">
        <f>+COUNTIFS('muddati otgan'!C:C,A125,'muddati otgan'!J:J,"Kadastr passportini shakllantirish")</f>
        <v>0</v>
      </c>
      <c r="CF125" s="11">
        <f>+COUNTIFS('muddati otgan'!C:C,A125,'muddati otgan'!J:J,"Yig'ma jildni tasdiqlash")</f>
        <v>0</v>
      </c>
      <c r="CG125" s="11">
        <f>+COUNTIFS('muddati otgan'!C:C,A125,'muddati otgan'!J:J,"To'lov yoki bepul tasdiqlash")</f>
        <v>0</v>
      </c>
      <c r="CH125" s="11">
        <f>+COUNTIFS('muddati otgan'!C:C,A125,'muddati otgan'!J:J,"Bog'liq arizani kutish")</f>
        <v>0</v>
      </c>
      <c r="CI125" s="11">
        <f>+COUNTIFS('muddati otgan'!C:C,A125,'muddati otgan'!J:J,"To'lovga chiqarish")</f>
        <v>0</v>
      </c>
      <c r="CJ125" s="11">
        <f>+COUNTIFS('muddati otgan'!C:C,A125,'muddati otgan'!J:J,"Hisobga qo'yish")</f>
        <v>0</v>
      </c>
      <c r="CK125" s="6">
        <f>+COUNTIFS('muddati otgan'!C:C,A125,'muddati otgan'!J:J,"To'lov kutilmoqda")</f>
        <v>0</v>
      </c>
      <c r="CL125" s="11">
        <f t="shared" si="36"/>
        <v>0</v>
      </c>
      <c r="CM125" s="11">
        <f>+COUNTIFS('muddati otgan'!C:C,A125,'muddati otgan'!AA:AA,"Arizani qabul qilish2")</f>
        <v>0</v>
      </c>
      <c r="CN125" s="11">
        <f>+COUNTIFS('muddati otgan'!C:C,A125,'muddati otgan'!J:J,"Huquqlarni tekshirish")</f>
        <v>0</v>
      </c>
      <c r="CO125" s="11">
        <f>+COUNTIFS('muddati otgan'!C:C,A125,'muddati otgan'!J:J,"Ko'chmas mulkni ro'yhatdan o'tkazishga qabul qilish")</f>
        <v>0</v>
      </c>
      <c r="CP125" s="11">
        <f>+COUNTIFS('muddati otgan'!C:C,A125,'muddati otgan'!J:J,"Ro'yxatdan o'tkazish")</f>
        <v>0</v>
      </c>
      <c r="CQ125" s="11">
        <f>+COUNTIFS('muddati otgan'!C:C,A125,'muddati otgan'!J:J,"Kadastr pasporti va ko'chirmani yuborish")</f>
        <v>0</v>
      </c>
      <c r="CR125" s="11">
        <f>+COUNTIFS('muddati otgan'!C:C,A125,'muddati otgan'!AA:AA,"Rad qilish2")</f>
        <v>0</v>
      </c>
      <c r="CS125" s="11">
        <f>+COUNTIFS('muddati otgan'!C:C,A125,'muddati otgan'!J:J,"Ko'chirmani yuborish")</f>
        <v>0</v>
      </c>
      <c r="CT125" s="11">
        <f>+COUNTIFS('muddati otgan'!C:C,A125,'muddati otgan'!J:J,"Ma‘lumotlarni tekshirish")</f>
        <v>0</v>
      </c>
      <c r="CU125" s="11">
        <f t="shared" si="37"/>
        <v>0</v>
      </c>
      <c r="CV125" s="11">
        <f>+COUNTIFS('muddati otgan'!C:C,A125,'muddati otgan'!J:J,"Kadastr yig'majildini chop etish va arxiv ishiga tikish")</f>
        <v>0</v>
      </c>
      <c r="CW125" s="11">
        <f t="shared" si="38"/>
        <v>0</v>
      </c>
      <c r="CX125" s="11">
        <f>+COUNTIFS('muddati otgan'!C:C,A125,'muddati otgan'!J:J,"Kadastr yig‘majildini qabul qilish, arizani yakunlash")</f>
        <v>0</v>
      </c>
      <c r="CY125" s="11">
        <f>+COUNTIFS('muddati otgan'!C:C,A125,'muddati otgan'!J:J,"Next Cloudga yuklash")</f>
        <v>0</v>
      </c>
      <c r="CZ125" s="6">
        <f>+COUNTIFS('muddati otgan'!C:C,A125,'muddati otgan'!J:J,"Kelishish kutilmoqda")</f>
        <v>0</v>
      </c>
      <c r="DA125" s="6">
        <f>+COUNTIFS('muddati otgan'!C:C,A125,'muddati otgan'!J:J,"Yakunlandi")</f>
        <v>0</v>
      </c>
      <c r="DB125" s="10">
        <f>+COUNTIFS('muddati otgan'!C:C,A125,'muddati otgan'!J:J,"Rad etildi")</f>
        <v>0</v>
      </c>
      <c r="DC125" s="100">
        <f t="shared" si="5"/>
        <v>-2</v>
      </c>
      <c r="DD125" s="44">
        <f>COUNTIFS('jami 1-20 kunlik arizalar'!C:C,A:A,'jami 1-20 kunlik arizalar'!S:S,"1")</f>
        <v>0</v>
      </c>
      <c r="DE125" s="11">
        <f>COUNTIFS('jami 1-20 kunlik arizalar'!C:C,A:A,'jami 1-20 kunlik arizalar'!S:S,"2")</f>
        <v>0</v>
      </c>
      <c r="DF125" s="11">
        <f>COUNTIFS('jami 1-20 kunlik arizalar'!C:C,A:A,'jami 1-20 kunlik arizalar'!S:S,"3")</f>
        <v>1</v>
      </c>
      <c r="DG125" s="11">
        <f>COUNTIFS('jami 1-20 kunlik arizalar'!C:C,A:A,'jami 1-20 kunlik arizalar'!S:S,"4")</f>
        <v>0</v>
      </c>
      <c r="DH125" s="11">
        <f>COUNTIFS('jami 1-20 kunlik arizalar'!C:C,A:A,'jami 1-20 kunlik arizalar'!S:S,"5")</f>
        <v>1</v>
      </c>
      <c r="DI125" s="11">
        <f>SUM(COUNTIFS('jami 1-20 kunlik arizalar'!C:C,A:A, 'jami 1-20 kunlik arizalar'!S:S, {6,7,8,9,10}))</f>
        <v>4</v>
      </c>
      <c r="DJ125" s="12">
        <f>SUM(COUNTIFS('jami 1-20 kunlik arizalar'!C:C,A:A, 'jami 1-20 kunlik arizalar'!S:S, "&gt;10"))</f>
        <v>2</v>
      </c>
    </row>
    <row r="126" spans="1:115" ht="32.1" hidden="1" customHeight="1" outlineLevel="1" x14ac:dyDescent="0.25">
      <c r="A126" s="92" t="s">
        <v>683</v>
      </c>
      <c r="B126" s="74"/>
      <c r="C126" s="85" t="s">
        <v>829</v>
      </c>
      <c r="D126" s="80">
        <f>+COUNTIFS('muddati otgan'!C:C,A126,'muddati otgan'!C:C,A126)</f>
        <v>4</v>
      </c>
      <c r="E126" s="10">
        <f>SUMIFS('muddati otgan'!$V:V,'muddati otgan'!$C:C,$A:A)</f>
        <v>1</v>
      </c>
      <c r="F126" s="10">
        <f>SUMIFS('muddati otgan'!$W:W,'muddati otgan'!$C:C,$A:A)</f>
        <v>3</v>
      </c>
      <c r="G126" s="24">
        <f>SUMIFS('muddati otgan'!$U:U,'muddati otgan'!$C:C,$A:A)</f>
        <v>0</v>
      </c>
      <c r="H126" s="11">
        <f>SUMIFS('muddati otgan'!$G:G,'muddati otgan'!$C:C,$A:A)</f>
        <v>2</v>
      </c>
      <c r="I126" s="12">
        <f>SUMIFS('muddati otgan'!$H:H,'muddati otgan'!$C:C,$A:A)</f>
        <v>2</v>
      </c>
      <c r="J126" s="44">
        <f t="shared" si="23"/>
        <v>0</v>
      </c>
      <c r="K126" s="11">
        <f>+COUNTIFS('muddati otgan'!C:C,A126,'muddati otgan'!AA:AA,"Arizani qabul qilish")</f>
        <v>0</v>
      </c>
      <c r="L126" s="11">
        <f>+COUNTIFS('muddati otgan'!C:C,A126,'muddati otgan'!J:J,"Arizani rad etish")</f>
        <v>0</v>
      </c>
      <c r="M126" s="11">
        <f>+COUNTIFS('muddati otgan'!C:C,A126,'muddati otgan'!J:J,"Arizani tasdiqlash")</f>
        <v>0</v>
      </c>
      <c r="N126" s="11">
        <f>+COUNTIFS('muddati otgan'!C:C,A126,'muddati otgan'!J:J,"Arizani yo'naltirish")</f>
        <v>0</v>
      </c>
      <c r="O126" s="11">
        <f>+COUNTIFS('muddati otgan'!C:C,A126,'muddati otgan'!J:J,"Rad qilish sababini o'rganish")</f>
        <v>0</v>
      </c>
      <c r="P126" s="11">
        <f>+COUNTIFS('muddati otgan'!C:C,A126,'muddati otgan'!J:J,"Ko'chmas mulkni UZKAD ga migratsiya qilish")</f>
        <v>0</v>
      </c>
      <c r="Q126" s="11">
        <f>+COUNTIFS('muddati otgan'!C:C,A126,'muddati otgan'!J:J,"Migratisya qilingan obyekt holatini tekshirish")</f>
        <v>0</v>
      </c>
      <c r="R126" s="11">
        <f>+COUNTIFS('muddati otgan'!C:C,A126,'muddati otgan'!J:J,"Ko‘chmas mulkni tanlash")</f>
        <v>0</v>
      </c>
      <c r="S126" s="11">
        <f>+COUNTIFS('muddati otgan'!C:C,A126,'muddati otgan'!J:J,"Arizani ko'rib chiqish")</f>
        <v>0</v>
      </c>
      <c r="T126" s="11">
        <f>+COUNTIFS('muddati otgan'!C:C,A126,'muddati otgan'!J:J,"Kadastr muhandisini tanlash")</f>
        <v>0</v>
      </c>
      <c r="U126" s="11">
        <f>+COUNTIFS('muddati otgan'!C:C,A126,'muddati otgan'!J:J,"Ko'chmas mulk turini tanlahsh")</f>
        <v>0</v>
      </c>
      <c r="V126" s="11">
        <f>+COUNTIFS('muddati otgan'!C:C,A126,'muddati otgan'!AA:AA,"Rad qilish")</f>
        <v>0</v>
      </c>
      <c r="W126" s="11">
        <f>+COUNTIFS('muddati otgan'!C:C,A126,'muddati otgan'!J:J,"ijrochi tanlash")</f>
        <v>0</v>
      </c>
      <c r="X126" s="11">
        <f>+COUNTIFS('muddati otgan'!C:C,A126,'muddati otgan'!J:J,"Ko'chmas mulk turini tanlash")</f>
        <v>0</v>
      </c>
      <c r="Y126" s="11">
        <f t="shared" si="24"/>
        <v>0</v>
      </c>
      <c r="Z126" s="11">
        <f>+COUNTIFS('muddati otgan'!C:C,A126,'muddati otgan'!J:J,"Ijroga qabul qilish")</f>
        <v>0</v>
      </c>
      <c r="AA126" s="11">
        <f>+COUNTIFS('muddati otgan'!C:C,A126,'muddati otgan'!J:J,"Joyida o'rganish va ma'lumotlarni kiritish")</f>
        <v>0</v>
      </c>
      <c r="AB126" s="11">
        <f>+COUNTIFS('muddati otgan'!C:C,A126,'muddati otgan'!J:J,"Asosiy qismdan ajratish jarayonida")</f>
        <v>0</v>
      </c>
      <c r="AC126" s="11">
        <f>+COUNTIFS('muddati otgan'!C:C,A126,'muddati otgan'!J:J,"Umumiy foydalanishdagi obyekt yaratilish")</f>
        <v>0</v>
      </c>
      <c r="AD126" s="11">
        <f>+COUNTIFS('muddati otgan'!C:C,A126,'muddati otgan'!J:J,"Migratsiya qilinadigan kadastr raqamini kiritish")</f>
        <v>0</v>
      </c>
      <c r="AE126" s="11">
        <f>+COUNTIFS('muddati otgan'!C:C,A126,'muddati otgan'!J:J,"O'zida qolgan obyektni yaratish")</f>
        <v>0</v>
      </c>
      <c r="AF126" s="11">
        <f>+COUNTIFS('muddati otgan'!C:C,A126,'muddati otgan'!J:J,"O'lchov natijalarini kiritish")</f>
        <v>0</v>
      </c>
      <c r="AG126" s="11">
        <f>+COUNTIFS('muddati otgan'!C:C,A126,'muddati otgan'!J:J,"Topoxaritani tayyorlash (dwg, pdf)")</f>
        <v>0</v>
      </c>
      <c r="AH126" s="11">
        <f t="shared" si="25"/>
        <v>0</v>
      </c>
      <c r="AI126" s="11">
        <f>+COUNTIFS('muddati otgan'!C:C,A126,'muddati otgan'!J:J,"Yer uchastkasini yaratish")</f>
        <v>0</v>
      </c>
      <c r="AJ126" s="11">
        <f t="shared" si="26"/>
        <v>0</v>
      </c>
      <c r="AK126" s="11">
        <f>+COUNTIFS('muddati otgan'!C:C,A126,'muddati otgan'!J:J,"Kelishish (Boshqarma)")</f>
        <v>0</v>
      </c>
      <c r="AL126" s="11">
        <f t="shared" si="27"/>
        <v>0</v>
      </c>
      <c r="AM126" s="11">
        <f>+COUNTIFS('muddati otgan'!C:C,A126,'muddati otgan'!J:J,"Kelishish (DKP)")</f>
        <v>0</v>
      </c>
      <c r="AN126" s="11">
        <f>+COUNTIFS('muddati otgan'!C:C,A126,'muddati otgan'!J:J,"Kelishish")</f>
        <v>0</v>
      </c>
      <c r="AO126" s="11">
        <f>+COUNTIFS('muddati otgan'!C:C,A126,'muddati otgan'!J:J,"Kelishish (Registratsiya DKP)")</f>
        <v>0</v>
      </c>
      <c r="AP126" s="11">
        <f t="shared" si="28"/>
        <v>0</v>
      </c>
      <c r="AQ126" s="11">
        <f>+COUNTIFS('muddati otgan'!C:C,A126,'muddati otgan'!J:J,"Manzil biriktirish")</f>
        <v>0</v>
      </c>
      <c r="AR126" s="11">
        <f>+COUNTIFS('muddati otgan'!C:C,A126,'muddati otgan'!J:J,"Bino va inshootlarni yaratish")</f>
        <v>0</v>
      </c>
      <c r="AS126" s="11">
        <f>+COUNTIFS('muddati otgan'!C:C,A126,'muddati otgan'!J:J,"Dov daraxtlarni yaratish")</f>
        <v>0</v>
      </c>
      <c r="AT126" s="11">
        <f>+COUNTIFS('muddati otgan'!C:C,A126,'muddati otgan'!J:J,"Yer uchastkasini tahrirlash")</f>
        <v>0</v>
      </c>
      <c r="AU126" s="11">
        <f t="shared" si="29"/>
        <v>0</v>
      </c>
      <c r="AV126" s="11">
        <f>+COUNTIFS('muddati otgan'!C:C,A126,'muddati otgan'!J:J,"Yer toifasi va maqsadini kiritish")</f>
        <v>0</v>
      </c>
      <c r="AW126" s="11">
        <f>+COUNTIFS('muddati otgan'!C:C,A126,'muddati otgan'!J:J,"Auksion yer tekshirish")</f>
        <v>0</v>
      </c>
      <c r="AX126" s="11">
        <f>+COUNTIFS('muddati otgan'!C:C,A126,'muddati otgan'!J:J,"Yer turlarini kiritish")</f>
        <v>0</v>
      </c>
      <c r="AY126" s="11">
        <f>+COUNTIFS('muddati otgan'!C:C,A126,'muddati otgan'!J:J,"Ma'lumotlarni kiritish")</f>
        <v>0</v>
      </c>
      <c r="AZ126" s="11">
        <f>+COUNTIFS('muddati otgan'!C:C,A126,'muddati otgan'!J:J,"Yer tekshirish")</f>
        <v>0</v>
      </c>
      <c r="BA126" s="11">
        <f t="shared" si="30"/>
        <v>0</v>
      </c>
      <c r="BB126" s="11">
        <f>+COUNTIFS('muddati otgan'!C:C,A126,'muddati otgan'!J:J,"Bino va inshoot ma'lumotlarini to‘ldirish")</f>
        <v>0</v>
      </c>
      <c r="BC126" s="11">
        <f>+COUNTIFS('muddati otgan'!C:C,A126,'muddati otgan'!J:J,"Inventarizatsiya ma'lumotlarini to‘ldirish")</f>
        <v>0</v>
      </c>
      <c r="BD126" s="11">
        <f>+COUNTIFS('muddati otgan'!C:C,A126,'muddati otgan'!J:J,"Yer uchastkasiga huquqiy hujjatlarni kiritsh")</f>
        <v>0</v>
      </c>
      <c r="BE126" s="11">
        <f>+COUNTIFS('muddati otgan'!C:C,A126,'muddati otgan'!J:J,"Bino-inshootlarga huquqiy hujjatlarni kiritsh")</f>
        <v>0</v>
      </c>
      <c r="BF126" s="11">
        <f>+COUNTIFS('muddati otgan'!C:C,A126,'muddati otgan'!J:J,"Kadastr qiymatini hisoblash va kiritish")</f>
        <v>0</v>
      </c>
      <c r="BG126" s="11">
        <f>+COUNTIFS('muddati otgan'!C:C,A126,'muddati otgan'!J:J,"Kadastr raqam biriktirish")</f>
        <v>0</v>
      </c>
      <c r="BH126" s="11">
        <f>+COUNTIFS('muddati otgan'!C:C,A126,'muddati otgan'!J:J,"Kadastr yig'ma jildni tayyorlash")</f>
        <v>0</v>
      </c>
      <c r="BI126" s="11">
        <f>+COUNTIFS('muddati otgan'!C:C,A126,'muddati otgan'!J:J,"Huquqni yaratish")</f>
        <v>0</v>
      </c>
      <c r="BJ126" s="11">
        <f>+COUNTIFS('muddati otgan'!C:C,A126,'muddati otgan'!J:J,"Hujjatlarni o'rganish")</f>
        <v>0</v>
      </c>
      <c r="BK126" s="11">
        <f>+COUNTIFS('muddati otgan'!C:C,A126,'muddati otgan'!J:J,"Ma'lumotlarni tekshirish")</f>
        <v>0</v>
      </c>
      <c r="BL126" s="11">
        <f t="shared" si="31"/>
        <v>0</v>
      </c>
      <c r="BM126" s="11">
        <f>+COUNTIFS('muddati otgan'!C:C,A126,'muddati otgan'!J:J,"Tekshirish")</f>
        <v>0</v>
      </c>
      <c r="BN126" s="11">
        <f>+COUNTIFS('muddati otgan'!C:C,A126,'muddati otgan'!J:J,"Hujjatlarni tekshirish")</f>
        <v>0</v>
      </c>
      <c r="BO126" s="11">
        <f>+COUNTIFS('muddati otgan'!C:C,A126,'muddati otgan'!J:J,"Tasdiqlash")</f>
        <v>0</v>
      </c>
      <c r="BP126" s="11">
        <f>+COUNTIFS('muddati otgan'!C:C,A126,'muddati otgan'!J:J,"tekshirish/tasdiqlash")</f>
        <v>0</v>
      </c>
      <c r="BQ126" s="11">
        <f>+COUNTIFS('muddati otgan'!C:C,A126,'muddati otgan'!J:J,"Ma'lumotlarni tasdiqlash")</f>
        <v>0</v>
      </c>
      <c r="BR126" s="11">
        <f t="shared" si="32"/>
        <v>2</v>
      </c>
      <c r="BS126" s="11">
        <f>+COUNTIFS('muddati otgan'!C:C,A126,'muddati otgan'!J:J,"Ro'yxatdan o'tkazish ma'lumotlarini tekshirish")</f>
        <v>2</v>
      </c>
      <c r="BT126" s="11">
        <f>+COUNTIFS('muddati otgan'!C:C,A126,'muddati otgan'!J:J,"Kamchiliklar bo'yicha habarnoma yuborish va 3 kunga to'xtatish")</f>
        <v>0</v>
      </c>
      <c r="BU126" s="11">
        <f>+COUNTIFS('muddati otgan'!C:C,A126,'muddati otgan'!J:J,"Hisobga olish")</f>
        <v>0</v>
      </c>
      <c r="BV126" s="11">
        <f>+COUNTIFS('muddati otgan'!C:C,A126,'muddati otgan'!J:J,"Yer uchastkasiga huquq yaratish")</f>
        <v>0</v>
      </c>
      <c r="BW126" s="11">
        <f>+COUNTIFS('muddati otgan'!C:C,A126,'muddati otgan'!J:J,"Bino-inshootga huquq yaratish")</f>
        <v>0</v>
      </c>
      <c r="BX126" s="11">
        <f>+COUNTIFS('muddati otgan'!C:C,A126,'muddati otgan'!J:J,"Cheklov yaratish")</f>
        <v>0</v>
      </c>
      <c r="BY126" s="11">
        <f>+COUNTIFS('muddati otgan'!C:C,A126,'muddati otgan'!J:J,"Taqiq yaratish")</f>
        <v>0</v>
      </c>
      <c r="BZ126" s="11">
        <f t="shared" si="33"/>
        <v>0</v>
      </c>
      <c r="CA126" s="11">
        <f>+COUNTIFS('muddati otgan'!C:C,A126,'muddati otgan'!J:J,"Soliq maydonini tekshirish")</f>
        <v>0</v>
      </c>
      <c r="CB126" s="11">
        <f t="shared" si="34"/>
        <v>1</v>
      </c>
      <c r="CC126" s="11">
        <f>+COUNTIFS('muddati otgan'!C:C,A126,'muddati otgan'!J:J,"Kadastr yig'majildini shakllantirish")</f>
        <v>1</v>
      </c>
      <c r="CD126" s="11">
        <f t="shared" si="35"/>
        <v>1</v>
      </c>
      <c r="CE126" s="11">
        <f>+COUNTIFS('muddati otgan'!C:C,A126,'muddati otgan'!J:J,"Kadastr passportini shakllantirish")</f>
        <v>0</v>
      </c>
      <c r="CF126" s="11">
        <f>+COUNTIFS('muddati otgan'!C:C,A126,'muddati otgan'!J:J,"Yig'ma jildni tasdiqlash")</f>
        <v>0</v>
      </c>
      <c r="CG126" s="11">
        <f>+COUNTIFS('muddati otgan'!C:C,A126,'muddati otgan'!J:J,"To'lov yoki bepul tasdiqlash")</f>
        <v>0</v>
      </c>
      <c r="CH126" s="11">
        <f>+COUNTIFS('muddati otgan'!C:C,A126,'muddati otgan'!J:J,"Bog'liq arizani kutish")</f>
        <v>1</v>
      </c>
      <c r="CI126" s="11">
        <f>+COUNTIFS('muddati otgan'!C:C,A126,'muddati otgan'!J:J,"To'lovga chiqarish")</f>
        <v>0</v>
      </c>
      <c r="CJ126" s="11">
        <f>+COUNTIFS('muddati otgan'!C:C,A126,'muddati otgan'!J:J,"Hisobga qo'yish")</f>
        <v>0</v>
      </c>
      <c r="CK126" s="6">
        <f>+COUNTIFS('muddati otgan'!C:C,A126,'muddati otgan'!J:J,"To'lov kutilmoqda")</f>
        <v>0</v>
      </c>
      <c r="CL126" s="11">
        <f t="shared" si="36"/>
        <v>0</v>
      </c>
      <c r="CM126" s="11">
        <f>+COUNTIFS('muddati otgan'!C:C,A126,'muddati otgan'!AA:AA,"Arizani qabul qilish2")</f>
        <v>0</v>
      </c>
      <c r="CN126" s="11">
        <f>+COUNTIFS('muddati otgan'!C:C,A126,'muddati otgan'!J:J,"Huquqlarni tekshirish")</f>
        <v>0</v>
      </c>
      <c r="CO126" s="11">
        <f>+COUNTIFS('muddati otgan'!C:C,A126,'muddati otgan'!J:J,"Ko'chmas mulkni ro'yhatdan o'tkazishga qabul qilish")</f>
        <v>0</v>
      </c>
      <c r="CP126" s="11">
        <f>+COUNTIFS('muddati otgan'!C:C,A126,'muddati otgan'!J:J,"Ro'yxatdan o'tkazish")</f>
        <v>0</v>
      </c>
      <c r="CQ126" s="11">
        <f>+COUNTIFS('muddati otgan'!C:C,A126,'muddati otgan'!J:J,"Kadastr pasporti va ko'chirmani yuborish")</f>
        <v>0</v>
      </c>
      <c r="CR126" s="11">
        <f>+COUNTIFS('muddati otgan'!C:C,A126,'muddati otgan'!AA:AA,"Rad qilish2")</f>
        <v>0</v>
      </c>
      <c r="CS126" s="11">
        <f>+COUNTIFS('muddati otgan'!C:C,A126,'muddati otgan'!J:J,"Ko'chirmani yuborish")</f>
        <v>0</v>
      </c>
      <c r="CT126" s="11">
        <f>+COUNTIFS('muddati otgan'!C:C,A126,'muddati otgan'!J:J,"Ma‘lumotlarni tekshirish")</f>
        <v>0</v>
      </c>
      <c r="CU126" s="11">
        <f t="shared" si="37"/>
        <v>0</v>
      </c>
      <c r="CV126" s="11">
        <f>+COUNTIFS('muddati otgan'!C:C,A126,'muddati otgan'!J:J,"Kadastr yig'majildini chop etish va arxiv ishiga tikish")</f>
        <v>0</v>
      </c>
      <c r="CW126" s="11">
        <f t="shared" si="38"/>
        <v>0</v>
      </c>
      <c r="CX126" s="11">
        <f>+COUNTIFS('muddati otgan'!C:C,A126,'muddati otgan'!J:J,"Kadastr yig‘majildini qabul qilish, arizani yakunlash")</f>
        <v>0</v>
      </c>
      <c r="CY126" s="11">
        <f>+COUNTIFS('muddati otgan'!C:C,A126,'muddati otgan'!J:J,"Next Cloudga yuklash")</f>
        <v>0</v>
      </c>
      <c r="CZ126" s="6">
        <f>+COUNTIFS('muddati otgan'!C:C,A126,'muddati otgan'!J:J,"Kelishish kutilmoqda")</f>
        <v>0</v>
      </c>
      <c r="DA126" s="6">
        <f>+COUNTIFS('muddati otgan'!C:C,A126,'muddati otgan'!J:J,"Yakunlandi")</f>
        <v>0</v>
      </c>
      <c r="DB126" s="10">
        <f>+COUNTIFS('muddati otgan'!C:C,A126,'muddati otgan'!J:J,"Rad etildi")</f>
        <v>0</v>
      </c>
      <c r="DC126" s="100">
        <f t="shared" si="5"/>
        <v>-4</v>
      </c>
      <c r="DD126" s="44">
        <f>COUNTIFS('jami 1-20 kunlik arizalar'!C:C,A:A,'jami 1-20 kunlik arizalar'!S:S,"1")</f>
        <v>0</v>
      </c>
      <c r="DE126" s="11">
        <f>COUNTIFS('jami 1-20 kunlik arizalar'!C:C,A:A,'jami 1-20 kunlik arizalar'!S:S,"2")</f>
        <v>0</v>
      </c>
      <c r="DF126" s="11">
        <f>COUNTIFS('jami 1-20 kunlik arizalar'!C:C,A:A,'jami 1-20 kunlik arizalar'!S:S,"3")</f>
        <v>0</v>
      </c>
      <c r="DG126" s="11">
        <f>COUNTIFS('jami 1-20 kunlik arizalar'!C:C,A:A,'jami 1-20 kunlik arizalar'!S:S,"4")</f>
        <v>3</v>
      </c>
      <c r="DH126" s="11">
        <f>COUNTIFS('jami 1-20 kunlik arizalar'!C:C,A:A,'jami 1-20 kunlik arizalar'!S:S,"5")</f>
        <v>2</v>
      </c>
      <c r="DI126" s="11">
        <f>SUM(COUNTIFS('jami 1-20 kunlik arizalar'!C:C,A:A, 'jami 1-20 kunlik arizalar'!S:S, {6,7,8,9,10}))</f>
        <v>2</v>
      </c>
      <c r="DJ126" s="12">
        <f>SUM(COUNTIFS('jami 1-20 kunlik arizalar'!C:C,A:A, 'jami 1-20 kunlik arizalar'!S:S, "&gt;10"))</f>
        <v>4</v>
      </c>
    </row>
    <row r="127" spans="1:115" ht="32.1" hidden="1" customHeight="1" outlineLevel="1" x14ac:dyDescent="0.25">
      <c r="A127" s="92" t="s">
        <v>570</v>
      </c>
      <c r="B127" s="74"/>
      <c r="C127" s="85" t="s">
        <v>830</v>
      </c>
      <c r="D127" s="80">
        <f>+COUNTIFS('muddati otgan'!C:C,A127,'muddati otgan'!C:C,A127)</f>
        <v>0</v>
      </c>
      <c r="E127" s="10">
        <f>SUMIFS('muddati otgan'!$V:V,'muddati otgan'!$C:C,$A:A)</f>
        <v>0</v>
      </c>
      <c r="F127" s="10">
        <f>SUMIFS('muddati otgan'!$W:W,'muddati otgan'!$C:C,$A:A)</f>
        <v>0</v>
      </c>
      <c r="G127" s="24">
        <f>SUMIFS('muddati otgan'!$U:U,'muddati otgan'!$C:C,$A:A)</f>
        <v>0</v>
      </c>
      <c r="H127" s="11">
        <f>SUMIFS('muddati otgan'!$G:G,'muddati otgan'!$C:C,$A:A)</f>
        <v>0</v>
      </c>
      <c r="I127" s="12">
        <f>SUMIFS('muddati otgan'!$H:H,'muddati otgan'!$C:C,$A:A)</f>
        <v>0</v>
      </c>
      <c r="J127" s="44">
        <f t="shared" si="23"/>
        <v>0</v>
      </c>
      <c r="K127" s="11">
        <f>+COUNTIFS('muddati otgan'!C:C,A127,'muddati otgan'!AA:AA,"Arizani qabul qilish")</f>
        <v>0</v>
      </c>
      <c r="L127" s="11">
        <f>+COUNTIFS('muddati otgan'!C:C,A127,'muddati otgan'!J:J,"Arizani rad etish")</f>
        <v>0</v>
      </c>
      <c r="M127" s="11">
        <f>+COUNTIFS('muddati otgan'!C:C,A127,'muddati otgan'!J:J,"Arizani tasdiqlash")</f>
        <v>0</v>
      </c>
      <c r="N127" s="11">
        <f>+COUNTIFS('muddati otgan'!C:C,A127,'muddati otgan'!J:J,"Arizani yo'naltirish")</f>
        <v>0</v>
      </c>
      <c r="O127" s="11">
        <f>+COUNTIFS('muddati otgan'!C:C,A127,'muddati otgan'!J:J,"Rad qilish sababini o'rganish")</f>
        <v>0</v>
      </c>
      <c r="P127" s="11">
        <f>+COUNTIFS('muddati otgan'!C:C,A127,'muddati otgan'!J:J,"Ko'chmas mulkni UZKAD ga migratsiya qilish")</f>
        <v>0</v>
      </c>
      <c r="Q127" s="11">
        <f>+COUNTIFS('muddati otgan'!C:C,A127,'muddati otgan'!J:J,"Migratisya qilingan obyekt holatini tekshirish")</f>
        <v>0</v>
      </c>
      <c r="R127" s="11">
        <f>+COUNTIFS('muddati otgan'!C:C,A127,'muddati otgan'!J:J,"Ko‘chmas mulkni tanlash")</f>
        <v>0</v>
      </c>
      <c r="S127" s="11">
        <f>+COUNTIFS('muddati otgan'!C:C,A127,'muddati otgan'!J:J,"Arizani ko'rib chiqish")</f>
        <v>0</v>
      </c>
      <c r="T127" s="11">
        <f>+COUNTIFS('muddati otgan'!C:C,A127,'muddati otgan'!J:J,"Kadastr muhandisini tanlash")</f>
        <v>0</v>
      </c>
      <c r="U127" s="11">
        <f>+COUNTIFS('muddati otgan'!C:C,A127,'muddati otgan'!J:J,"Ko'chmas mulk turini tanlahsh")</f>
        <v>0</v>
      </c>
      <c r="V127" s="11">
        <f>+COUNTIFS('muddati otgan'!C:C,A127,'muddati otgan'!AA:AA,"Rad qilish")</f>
        <v>0</v>
      </c>
      <c r="W127" s="11">
        <f>+COUNTIFS('muddati otgan'!C:C,A127,'muddati otgan'!J:J,"ijrochi tanlash")</f>
        <v>0</v>
      </c>
      <c r="X127" s="11">
        <f>+COUNTIFS('muddati otgan'!C:C,A127,'muddati otgan'!J:J,"Ko'chmas mulk turini tanlash")</f>
        <v>0</v>
      </c>
      <c r="Y127" s="11">
        <f t="shared" si="24"/>
        <v>0</v>
      </c>
      <c r="Z127" s="11">
        <f>+COUNTIFS('muddati otgan'!C:C,A127,'muddati otgan'!J:J,"Ijroga qabul qilish")</f>
        <v>0</v>
      </c>
      <c r="AA127" s="11">
        <f>+COUNTIFS('muddati otgan'!C:C,A127,'muddati otgan'!J:J,"Joyida o'rganish va ma'lumotlarni kiritish")</f>
        <v>0</v>
      </c>
      <c r="AB127" s="11">
        <f>+COUNTIFS('muddati otgan'!C:C,A127,'muddati otgan'!J:J,"Asosiy qismdan ajratish jarayonida")</f>
        <v>0</v>
      </c>
      <c r="AC127" s="11">
        <f>+COUNTIFS('muddati otgan'!C:C,A127,'muddati otgan'!J:J,"Umumiy foydalanishdagi obyekt yaratilish")</f>
        <v>0</v>
      </c>
      <c r="AD127" s="11">
        <f>+COUNTIFS('muddati otgan'!C:C,A127,'muddati otgan'!J:J,"Migratsiya qilinadigan kadastr raqamini kiritish")</f>
        <v>0</v>
      </c>
      <c r="AE127" s="11">
        <f>+COUNTIFS('muddati otgan'!C:C,A127,'muddati otgan'!J:J,"O'zida qolgan obyektni yaratish")</f>
        <v>0</v>
      </c>
      <c r="AF127" s="11">
        <f>+COUNTIFS('muddati otgan'!C:C,A127,'muddati otgan'!J:J,"O'lchov natijalarini kiritish")</f>
        <v>0</v>
      </c>
      <c r="AG127" s="11">
        <f>+COUNTIFS('muddati otgan'!C:C,A127,'muddati otgan'!J:J,"Topoxaritani tayyorlash (dwg, pdf)")</f>
        <v>0</v>
      </c>
      <c r="AH127" s="11">
        <f t="shared" si="25"/>
        <v>0</v>
      </c>
      <c r="AI127" s="11">
        <f>+COUNTIFS('muddati otgan'!C:C,A127,'muddati otgan'!J:J,"Yer uchastkasini yaratish")</f>
        <v>0</v>
      </c>
      <c r="AJ127" s="11">
        <f t="shared" si="26"/>
        <v>0</v>
      </c>
      <c r="AK127" s="11">
        <f>+COUNTIFS('muddati otgan'!C:C,A127,'muddati otgan'!J:J,"Kelishish (Boshqarma)")</f>
        <v>0</v>
      </c>
      <c r="AL127" s="11">
        <f t="shared" si="27"/>
        <v>0</v>
      </c>
      <c r="AM127" s="11">
        <f>+COUNTIFS('muddati otgan'!C:C,A127,'muddati otgan'!J:J,"Kelishish (DKP)")</f>
        <v>0</v>
      </c>
      <c r="AN127" s="11">
        <f>+COUNTIFS('muddati otgan'!C:C,A127,'muddati otgan'!J:J,"Kelishish")</f>
        <v>0</v>
      </c>
      <c r="AO127" s="11">
        <f>+COUNTIFS('muddati otgan'!C:C,A127,'muddati otgan'!J:J,"Kelishish (Registratsiya DKP)")</f>
        <v>0</v>
      </c>
      <c r="AP127" s="11">
        <f t="shared" si="28"/>
        <v>0</v>
      </c>
      <c r="AQ127" s="11">
        <f>+COUNTIFS('muddati otgan'!C:C,A127,'muddati otgan'!J:J,"Manzil biriktirish")</f>
        <v>0</v>
      </c>
      <c r="AR127" s="11">
        <f>+COUNTIFS('muddati otgan'!C:C,A127,'muddati otgan'!J:J,"Bino va inshootlarni yaratish")</f>
        <v>0</v>
      </c>
      <c r="AS127" s="11">
        <f>+COUNTIFS('muddati otgan'!C:C,A127,'muddati otgan'!J:J,"Dov daraxtlarni yaratish")</f>
        <v>0</v>
      </c>
      <c r="AT127" s="11">
        <f>+COUNTIFS('muddati otgan'!C:C,A127,'muddati otgan'!J:J,"Yer uchastkasini tahrirlash")</f>
        <v>0</v>
      </c>
      <c r="AU127" s="11">
        <f t="shared" si="29"/>
        <v>0</v>
      </c>
      <c r="AV127" s="11">
        <f>+COUNTIFS('muddati otgan'!C:C,A127,'muddati otgan'!J:J,"Yer toifasi va maqsadini kiritish")</f>
        <v>0</v>
      </c>
      <c r="AW127" s="11">
        <f>+COUNTIFS('muddati otgan'!C:C,A127,'muddati otgan'!J:J,"Auksion yer tekshirish")</f>
        <v>0</v>
      </c>
      <c r="AX127" s="11">
        <f>+COUNTIFS('muddati otgan'!C:C,A127,'muddati otgan'!J:J,"Yer turlarini kiritish")</f>
        <v>0</v>
      </c>
      <c r="AY127" s="11">
        <f>+COUNTIFS('muddati otgan'!C:C,A127,'muddati otgan'!J:J,"Ma'lumotlarni kiritish")</f>
        <v>0</v>
      </c>
      <c r="AZ127" s="11">
        <f>+COUNTIFS('muddati otgan'!C:C,A127,'muddati otgan'!J:J,"Yer tekshirish")</f>
        <v>0</v>
      </c>
      <c r="BA127" s="11">
        <f t="shared" si="30"/>
        <v>0</v>
      </c>
      <c r="BB127" s="11">
        <f>+COUNTIFS('muddati otgan'!C:C,A127,'muddati otgan'!J:J,"Bino va inshoot ma'lumotlarini to‘ldirish")</f>
        <v>0</v>
      </c>
      <c r="BC127" s="11">
        <f>+COUNTIFS('muddati otgan'!C:C,A127,'muddati otgan'!J:J,"Inventarizatsiya ma'lumotlarini to‘ldirish")</f>
        <v>0</v>
      </c>
      <c r="BD127" s="11">
        <f>+COUNTIFS('muddati otgan'!C:C,A127,'muddati otgan'!J:J,"Yer uchastkasiga huquqiy hujjatlarni kiritsh")</f>
        <v>0</v>
      </c>
      <c r="BE127" s="11">
        <f>+COUNTIFS('muddati otgan'!C:C,A127,'muddati otgan'!J:J,"Bino-inshootlarga huquqiy hujjatlarni kiritsh")</f>
        <v>0</v>
      </c>
      <c r="BF127" s="11">
        <f>+COUNTIFS('muddati otgan'!C:C,A127,'muddati otgan'!J:J,"Kadastr qiymatini hisoblash va kiritish")</f>
        <v>0</v>
      </c>
      <c r="BG127" s="11">
        <f>+COUNTIFS('muddati otgan'!C:C,A127,'muddati otgan'!J:J,"Kadastr raqam biriktirish")</f>
        <v>0</v>
      </c>
      <c r="BH127" s="11">
        <f>+COUNTIFS('muddati otgan'!C:C,A127,'muddati otgan'!J:J,"Kadastr yig'ma jildni tayyorlash")</f>
        <v>0</v>
      </c>
      <c r="BI127" s="11">
        <f>+COUNTIFS('muddati otgan'!C:C,A127,'muddati otgan'!J:J,"Huquqni yaratish")</f>
        <v>0</v>
      </c>
      <c r="BJ127" s="11">
        <f>+COUNTIFS('muddati otgan'!C:C,A127,'muddati otgan'!J:J,"Hujjatlarni o'rganish")</f>
        <v>0</v>
      </c>
      <c r="BK127" s="11">
        <f>+COUNTIFS('muddati otgan'!C:C,A127,'muddati otgan'!J:J,"Ma'lumotlarni tekshirish")</f>
        <v>0</v>
      </c>
      <c r="BL127" s="11">
        <f t="shared" si="31"/>
        <v>0</v>
      </c>
      <c r="BM127" s="11">
        <f>+COUNTIFS('muddati otgan'!C:C,A127,'muddati otgan'!J:J,"Tekshirish")</f>
        <v>0</v>
      </c>
      <c r="BN127" s="11">
        <f>+COUNTIFS('muddati otgan'!C:C,A127,'muddati otgan'!J:J,"Hujjatlarni tekshirish")</f>
        <v>0</v>
      </c>
      <c r="BO127" s="11">
        <f>+COUNTIFS('muddati otgan'!C:C,A127,'muddati otgan'!J:J,"Tasdiqlash")</f>
        <v>0</v>
      </c>
      <c r="BP127" s="11">
        <f>+COUNTIFS('muddati otgan'!C:C,A127,'muddati otgan'!J:J,"tekshirish/tasdiqlash")</f>
        <v>0</v>
      </c>
      <c r="BQ127" s="11">
        <f>+COUNTIFS('muddati otgan'!C:C,A127,'muddati otgan'!J:J,"Ma'lumotlarni tasdiqlash")</f>
        <v>0</v>
      </c>
      <c r="BR127" s="11">
        <f t="shared" si="32"/>
        <v>0</v>
      </c>
      <c r="BS127" s="11">
        <f>+COUNTIFS('muddati otgan'!C:C,A127,'muddati otgan'!J:J,"Ro'yxatdan o'tkazish ma'lumotlarini tekshirish")</f>
        <v>0</v>
      </c>
      <c r="BT127" s="11">
        <f>+COUNTIFS('muddati otgan'!C:C,A127,'muddati otgan'!J:J,"Kamchiliklar bo'yicha habarnoma yuborish va 3 kunga to'xtatish")</f>
        <v>0</v>
      </c>
      <c r="BU127" s="11">
        <f>+COUNTIFS('muddati otgan'!C:C,A127,'muddati otgan'!J:J,"Hisobga olish")</f>
        <v>0</v>
      </c>
      <c r="BV127" s="11">
        <f>+COUNTIFS('muddati otgan'!C:C,A127,'muddati otgan'!J:J,"Yer uchastkasiga huquq yaratish")</f>
        <v>0</v>
      </c>
      <c r="BW127" s="11">
        <f>+COUNTIFS('muddati otgan'!C:C,A127,'muddati otgan'!J:J,"Bino-inshootga huquq yaratish")</f>
        <v>0</v>
      </c>
      <c r="BX127" s="11">
        <f>+COUNTIFS('muddati otgan'!C:C,A127,'muddati otgan'!J:J,"Cheklov yaratish")</f>
        <v>0</v>
      </c>
      <c r="BY127" s="11">
        <f>+COUNTIFS('muddati otgan'!C:C,A127,'muddati otgan'!J:J,"Taqiq yaratish")</f>
        <v>0</v>
      </c>
      <c r="BZ127" s="11">
        <f t="shared" si="33"/>
        <v>0</v>
      </c>
      <c r="CA127" s="11">
        <f>+COUNTIFS('muddati otgan'!C:C,A127,'muddati otgan'!J:J,"Soliq maydonini tekshirish")</f>
        <v>0</v>
      </c>
      <c r="CB127" s="11">
        <f t="shared" si="34"/>
        <v>0</v>
      </c>
      <c r="CC127" s="11">
        <f>+COUNTIFS('muddati otgan'!C:C,A127,'muddati otgan'!J:J,"Kadastr yig'majildini shakllantirish")</f>
        <v>0</v>
      </c>
      <c r="CD127" s="11">
        <f t="shared" si="35"/>
        <v>0</v>
      </c>
      <c r="CE127" s="11">
        <f>+COUNTIFS('muddati otgan'!C:C,A127,'muddati otgan'!J:J,"Kadastr passportini shakllantirish")</f>
        <v>0</v>
      </c>
      <c r="CF127" s="11">
        <f>+COUNTIFS('muddati otgan'!C:C,A127,'muddati otgan'!J:J,"Yig'ma jildni tasdiqlash")</f>
        <v>0</v>
      </c>
      <c r="CG127" s="11">
        <f>+COUNTIFS('muddati otgan'!C:C,A127,'muddati otgan'!J:J,"To'lov yoki bepul tasdiqlash")</f>
        <v>0</v>
      </c>
      <c r="CH127" s="11">
        <f>+COUNTIFS('muddati otgan'!C:C,A127,'muddati otgan'!J:J,"Bog'liq arizani kutish")</f>
        <v>0</v>
      </c>
      <c r="CI127" s="11">
        <f>+COUNTIFS('muddati otgan'!C:C,A127,'muddati otgan'!J:J,"To'lovga chiqarish")</f>
        <v>0</v>
      </c>
      <c r="CJ127" s="11">
        <f>+COUNTIFS('muddati otgan'!C:C,A127,'muddati otgan'!J:J,"Hisobga qo'yish")</f>
        <v>0</v>
      </c>
      <c r="CK127" s="6">
        <f>+COUNTIFS('muddati otgan'!C:C,A127,'muddati otgan'!J:J,"To'lov kutilmoqda")</f>
        <v>0</v>
      </c>
      <c r="CL127" s="11">
        <f t="shared" si="36"/>
        <v>0</v>
      </c>
      <c r="CM127" s="11">
        <f>+COUNTIFS('muddati otgan'!C:C,A127,'muddati otgan'!AA:AA,"Arizani qabul qilish2")</f>
        <v>0</v>
      </c>
      <c r="CN127" s="11">
        <f>+COUNTIFS('muddati otgan'!C:C,A127,'muddati otgan'!J:J,"Huquqlarni tekshirish")</f>
        <v>0</v>
      </c>
      <c r="CO127" s="11">
        <f>+COUNTIFS('muddati otgan'!C:C,A127,'muddati otgan'!J:J,"Ko'chmas mulkni ro'yhatdan o'tkazishga qabul qilish")</f>
        <v>0</v>
      </c>
      <c r="CP127" s="11">
        <f>+COUNTIFS('muddati otgan'!C:C,A127,'muddati otgan'!J:J,"Ro'yxatdan o'tkazish")</f>
        <v>0</v>
      </c>
      <c r="CQ127" s="11">
        <f>+COUNTIFS('muddati otgan'!C:C,A127,'muddati otgan'!J:J,"Kadastr pasporti va ko'chirmani yuborish")</f>
        <v>0</v>
      </c>
      <c r="CR127" s="11">
        <f>+COUNTIFS('muddati otgan'!C:C,A127,'muddati otgan'!AA:AA,"Rad qilish2")</f>
        <v>0</v>
      </c>
      <c r="CS127" s="11">
        <f>+COUNTIFS('muddati otgan'!C:C,A127,'muddati otgan'!J:J,"Ko'chirmani yuborish")</f>
        <v>0</v>
      </c>
      <c r="CT127" s="11">
        <f>+COUNTIFS('muddati otgan'!C:C,A127,'muddati otgan'!J:J,"Ma‘lumotlarni tekshirish")</f>
        <v>0</v>
      </c>
      <c r="CU127" s="11">
        <f t="shared" si="37"/>
        <v>0</v>
      </c>
      <c r="CV127" s="11">
        <f>+COUNTIFS('muddati otgan'!C:C,A127,'muddati otgan'!J:J,"Kadastr yig'majildini chop etish va arxiv ishiga tikish")</f>
        <v>0</v>
      </c>
      <c r="CW127" s="11">
        <f t="shared" si="38"/>
        <v>0</v>
      </c>
      <c r="CX127" s="11">
        <f>+COUNTIFS('muddati otgan'!C:C,A127,'muddati otgan'!J:J,"Kadastr yig‘majildini qabul qilish, arizani yakunlash")</f>
        <v>0</v>
      </c>
      <c r="CY127" s="11">
        <f>+COUNTIFS('muddati otgan'!C:C,A127,'muddati otgan'!J:J,"Next Cloudga yuklash")</f>
        <v>0</v>
      </c>
      <c r="CZ127" s="6">
        <f>+COUNTIFS('muddati otgan'!C:C,A127,'muddati otgan'!J:J,"Kelishish kutilmoqda")</f>
        <v>0</v>
      </c>
      <c r="DA127" s="6">
        <f>+COUNTIFS('muddati otgan'!C:C,A127,'muddati otgan'!J:J,"Yakunlandi")</f>
        <v>0</v>
      </c>
      <c r="DB127" s="10">
        <f>+COUNTIFS('muddati otgan'!C:C,A127,'muddati otgan'!J:J,"Rad etildi")</f>
        <v>0</v>
      </c>
      <c r="DC127" s="100">
        <f t="shared" si="5"/>
        <v>0</v>
      </c>
      <c r="DD127" s="44">
        <f>COUNTIFS('jami 1-20 kunlik arizalar'!C:C,A:A,'jami 1-20 kunlik arizalar'!S:S,"1")</f>
        <v>0</v>
      </c>
      <c r="DE127" s="11">
        <f>COUNTIFS('jami 1-20 kunlik arizalar'!C:C,A:A,'jami 1-20 kunlik arizalar'!S:S,"2")</f>
        <v>0</v>
      </c>
      <c r="DF127" s="11">
        <f>COUNTIFS('jami 1-20 kunlik arizalar'!C:C,A:A,'jami 1-20 kunlik arizalar'!S:S,"3")</f>
        <v>0</v>
      </c>
      <c r="DG127" s="11">
        <f>COUNTIFS('jami 1-20 kunlik arizalar'!C:C,A:A,'jami 1-20 kunlik arizalar'!S:S,"4")</f>
        <v>0</v>
      </c>
      <c r="DH127" s="11">
        <f>COUNTIFS('jami 1-20 kunlik arizalar'!C:C,A:A,'jami 1-20 kunlik arizalar'!S:S,"5")</f>
        <v>0</v>
      </c>
      <c r="DI127" s="11">
        <f>SUM(COUNTIFS('jami 1-20 kunlik arizalar'!C:C,A:A, 'jami 1-20 kunlik arizalar'!S:S, {6,7,8,9,10}))</f>
        <v>3</v>
      </c>
      <c r="DJ127" s="12">
        <f>SUM(COUNTIFS('jami 1-20 kunlik arizalar'!C:C,A:A, 'jami 1-20 kunlik arizalar'!S:S, "&gt;10"))</f>
        <v>2</v>
      </c>
    </row>
    <row r="128" spans="1:115" ht="32.1" hidden="1" customHeight="1" outlineLevel="1" x14ac:dyDescent="0.25">
      <c r="A128" s="92" t="s">
        <v>673</v>
      </c>
      <c r="B128" s="74"/>
      <c r="C128" s="85" t="s">
        <v>831</v>
      </c>
      <c r="D128" s="80">
        <f>+COUNTIFS('muddati otgan'!C:C,A128,'muddati otgan'!C:C,A128)</f>
        <v>0</v>
      </c>
      <c r="E128" s="10">
        <f>SUMIFS('muddati otgan'!$V:V,'muddati otgan'!$C:C,$A:A)</f>
        <v>0</v>
      </c>
      <c r="F128" s="10">
        <f>SUMIFS('muddati otgan'!$W:W,'muddati otgan'!$C:C,$A:A)</f>
        <v>0</v>
      </c>
      <c r="G128" s="24">
        <f>SUMIFS('muddati otgan'!$U:U,'muddati otgan'!$C:C,$A:A)</f>
        <v>0</v>
      </c>
      <c r="H128" s="11">
        <f>SUMIFS('muddati otgan'!$G:G,'muddati otgan'!$C:C,$A:A)</f>
        <v>0</v>
      </c>
      <c r="I128" s="12">
        <f>SUMIFS('muddati otgan'!$H:H,'muddati otgan'!$C:C,$A:A)</f>
        <v>0</v>
      </c>
      <c r="J128" s="44">
        <f t="shared" si="23"/>
        <v>0</v>
      </c>
      <c r="K128" s="11">
        <f>+COUNTIFS('muddati otgan'!C:C,A128,'muddati otgan'!AA:AA,"Arizani qabul qilish")</f>
        <v>0</v>
      </c>
      <c r="L128" s="11">
        <f>+COUNTIFS('muddati otgan'!C:C,A128,'muddati otgan'!J:J,"Arizani rad etish")</f>
        <v>0</v>
      </c>
      <c r="M128" s="11">
        <f>+COUNTIFS('muddati otgan'!C:C,A128,'muddati otgan'!J:J,"Arizani tasdiqlash")</f>
        <v>0</v>
      </c>
      <c r="N128" s="11">
        <f>+COUNTIFS('muddati otgan'!C:C,A128,'muddati otgan'!J:J,"Arizani yo'naltirish")</f>
        <v>0</v>
      </c>
      <c r="O128" s="11">
        <f>+COUNTIFS('muddati otgan'!C:C,A128,'muddati otgan'!J:J,"Rad qilish sababini o'rganish")</f>
        <v>0</v>
      </c>
      <c r="P128" s="11">
        <f>+COUNTIFS('muddati otgan'!C:C,A128,'muddati otgan'!J:J,"Ko'chmas mulkni UZKAD ga migratsiya qilish")</f>
        <v>0</v>
      </c>
      <c r="Q128" s="11">
        <f>+COUNTIFS('muddati otgan'!C:C,A128,'muddati otgan'!J:J,"Migratisya qilingan obyekt holatini tekshirish")</f>
        <v>0</v>
      </c>
      <c r="R128" s="11">
        <f>+COUNTIFS('muddati otgan'!C:C,A128,'muddati otgan'!J:J,"Ko‘chmas mulkni tanlash")</f>
        <v>0</v>
      </c>
      <c r="S128" s="11">
        <f>+COUNTIFS('muddati otgan'!C:C,A128,'muddati otgan'!J:J,"Arizani ko'rib chiqish")</f>
        <v>0</v>
      </c>
      <c r="T128" s="11">
        <f>+COUNTIFS('muddati otgan'!C:C,A128,'muddati otgan'!J:J,"Kadastr muhandisini tanlash")</f>
        <v>0</v>
      </c>
      <c r="U128" s="11">
        <f>+COUNTIFS('muddati otgan'!C:C,A128,'muddati otgan'!J:J,"Ko'chmas mulk turini tanlahsh")</f>
        <v>0</v>
      </c>
      <c r="V128" s="11">
        <f>+COUNTIFS('muddati otgan'!C:C,A128,'muddati otgan'!AA:AA,"Rad qilish")</f>
        <v>0</v>
      </c>
      <c r="W128" s="11">
        <f>+COUNTIFS('muddati otgan'!C:C,A128,'muddati otgan'!J:J,"ijrochi tanlash")</f>
        <v>0</v>
      </c>
      <c r="X128" s="11">
        <f>+COUNTIFS('muddati otgan'!C:C,A128,'muddati otgan'!J:J,"Ko'chmas mulk turini tanlash")</f>
        <v>0</v>
      </c>
      <c r="Y128" s="11">
        <f t="shared" si="24"/>
        <v>0</v>
      </c>
      <c r="Z128" s="11">
        <f>+COUNTIFS('muddati otgan'!C:C,A128,'muddati otgan'!J:J,"Ijroga qabul qilish")</f>
        <v>0</v>
      </c>
      <c r="AA128" s="11">
        <f>+COUNTIFS('muddati otgan'!C:C,A128,'muddati otgan'!J:J,"Joyida o'rganish va ma'lumotlarni kiritish")</f>
        <v>0</v>
      </c>
      <c r="AB128" s="11">
        <f>+COUNTIFS('muddati otgan'!C:C,A128,'muddati otgan'!J:J,"Asosiy qismdan ajratish jarayonida")</f>
        <v>0</v>
      </c>
      <c r="AC128" s="11">
        <f>+COUNTIFS('muddati otgan'!C:C,A128,'muddati otgan'!J:J,"Umumiy foydalanishdagi obyekt yaratilish")</f>
        <v>0</v>
      </c>
      <c r="AD128" s="11">
        <f>+COUNTIFS('muddati otgan'!C:C,A128,'muddati otgan'!J:J,"Migratsiya qilinadigan kadastr raqamini kiritish")</f>
        <v>0</v>
      </c>
      <c r="AE128" s="11">
        <f>+COUNTIFS('muddati otgan'!C:C,A128,'muddati otgan'!J:J,"O'zida qolgan obyektni yaratish")</f>
        <v>0</v>
      </c>
      <c r="AF128" s="11">
        <f>+COUNTIFS('muddati otgan'!C:C,A128,'muddati otgan'!J:J,"O'lchov natijalarini kiritish")</f>
        <v>0</v>
      </c>
      <c r="AG128" s="11">
        <f>+COUNTIFS('muddati otgan'!C:C,A128,'muddati otgan'!J:J,"Topoxaritani tayyorlash (dwg, pdf)")</f>
        <v>0</v>
      </c>
      <c r="AH128" s="11">
        <f t="shared" si="25"/>
        <v>0</v>
      </c>
      <c r="AI128" s="11">
        <f>+COUNTIFS('muddati otgan'!C:C,A128,'muddati otgan'!J:J,"Yer uchastkasini yaratish")</f>
        <v>0</v>
      </c>
      <c r="AJ128" s="11">
        <f t="shared" si="26"/>
        <v>0</v>
      </c>
      <c r="AK128" s="11">
        <f>+COUNTIFS('muddati otgan'!C:C,A128,'muddati otgan'!J:J,"Kelishish (Boshqarma)")</f>
        <v>0</v>
      </c>
      <c r="AL128" s="11">
        <f t="shared" si="27"/>
        <v>0</v>
      </c>
      <c r="AM128" s="11">
        <f>+COUNTIFS('muddati otgan'!C:C,A128,'muddati otgan'!J:J,"Kelishish (DKP)")</f>
        <v>0</v>
      </c>
      <c r="AN128" s="11">
        <f>+COUNTIFS('muddati otgan'!C:C,A128,'muddati otgan'!J:J,"Kelishish")</f>
        <v>0</v>
      </c>
      <c r="AO128" s="11">
        <f>+COUNTIFS('muddati otgan'!C:C,A128,'muddati otgan'!J:J,"Kelishish (Registratsiya DKP)")</f>
        <v>0</v>
      </c>
      <c r="AP128" s="11">
        <f t="shared" si="28"/>
        <v>0</v>
      </c>
      <c r="AQ128" s="11">
        <f>+COUNTIFS('muddati otgan'!C:C,A128,'muddati otgan'!J:J,"Manzil biriktirish")</f>
        <v>0</v>
      </c>
      <c r="AR128" s="11">
        <f>+COUNTIFS('muddati otgan'!C:C,A128,'muddati otgan'!J:J,"Bino va inshootlarni yaratish")</f>
        <v>0</v>
      </c>
      <c r="AS128" s="11">
        <f>+COUNTIFS('muddati otgan'!C:C,A128,'muddati otgan'!J:J,"Dov daraxtlarni yaratish")</f>
        <v>0</v>
      </c>
      <c r="AT128" s="11">
        <f>+COUNTIFS('muddati otgan'!C:C,A128,'muddati otgan'!J:J,"Yer uchastkasini tahrirlash")</f>
        <v>0</v>
      </c>
      <c r="AU128" s="11">
        <f t="shared" si="29"/>
        <v>0</v>
      </c>
      <c r="AV128" s="11">
        <f>+COUNTIFS('muddati otgan'!C:C,A128,'muddati otgan'!J:J,"Yer toifasi va maqsadini kiritish")</f>
        <v>0</v>
      </c>
      <c r="AW128" s="11">
        <f>+COUNTIFS('muddati otgan'!C:C,A128,'muddati otgan'!J:J,"Auksion yer tekshirish")</f>
        <v>0</v>
      </c>
      <c r="AX128" s="11">
        <f>+COUNTIFS('muddati otgan'!C:C,A128,'muddati otgan'!J:J,"Yer turlarini kiritish")</f>
        <v>0</v>
      </c>
      <c r="AY128" s="11">
        <f>+COUNTIFS('muddati otgan'!C:C,A128,'muddati otgan'!J:J,"Ma'lumotlarni kiritish")</f>
        <v>0</v>
      </c>
      <c r="AZ128" s="11">
        <f>+COUNTIFS('muddati otgan'!C:C,A128,'muddati otgan'!J:J,"Yer tekshirish")</f>
        <v>0</v>
      </c>
      <c r="BA128" s="11">
        <f t="shared" si="30"/>
        <v>0</v>
      </c>
      <c r="BB128" s="11">
        <f>+COUNTIFS('muddati otgan'!C:C,A128,'muddati otgan'!J:J,"Bino va inshoot ma'lumotlarini to‘ldirish")</f>
        <v>0</v>
      </c>
      <c r="BC128" s="11">
        <f>+COUNTIFS('muddati otgan'!C:C,A128,'muddati otgan'!J:J,"Inventarizatsiya ma'lumotlarini to‘ldirish")</f>
        <v>0</v>
      </c>
      <c r="BD128" s="11">
        <f>+COUNTIFS('muddati otgan'!C:C,A128,'muddati otgan'!J:J,"Yer uchastkasiga huquqiy hujjatlarni kiritsh")</f>
        <v>0</v>
      </c>
      <c r="BE128" s="11">
        <f>+COUNTIFS('muddati otgan'!C:C,A128,'muddati otgan'!J:J,"Bino-inshootlarga huquqiy hujjatlarni kiritsh")</f>
        <v>0</v>
      </c>
      <c r="BF128" s="11">
        <f>+COUNTIFS('muddati otgan'!C:C,A128,'muddati otgan'!J:J,"Kadastr qiymatini hisoblash va kiritish")</f>
        <v>0</v>
      </c>
      <c r="BG128" s="11">
        <f>+COUNTIFS('muddati otgan'!C:C,A128,'muddati otgan'!J:J,"Kadastr raqam biriktirish")</f>
        <v>0</v>
      </c>
      <c r="BH128" s="11">
        <f>+COUNTIFS('muddati otgan'!C:C,A128,'muddati otgan'!J:J,"Kadastr yig'ma jildni tayyorlash")</f>
        <v>0</v>
      </c>
      <c r="BI128" s="11">
        <f>+COUNTIFS('muddati otgan'!C:C,A128,'muddati otgan'!J:J,"Huquqni yaratish")</f>
        <v>0</v>
      </c>
      <c r="BJ128" s="11">
        <f>+COUNTIFS('muddati otgan'!C:C,A128,'muddati otgan'!J:J,"Hujjatlarni o'rganish")</f>
        <v>0</v>
      </c>
      <c r="BK128" s="11">
        <f>+COUNTIFS('muddati otgan'!C:C,A128,'muddati otgan'!J:J,"Ma'lumotlarni tekshirish")</f>
        <v>0</v>
      </c>
      <c r="BL128" s="11">
        <f t="shared" si="31"/>
        <v>0</v>
      </c>
      <c r="BM128" s="11">
        <f>+COUNTIFS('muddati otgan'!C:C,A128,'muddati otgan'!J:J,"Tekshirish")</f>
        <v>0</v>
      </c>
      <c r="BN128" s="11">
        <f>+COUNTIFS('muddati otgan'!C:C,A128,'muddati otgan'!J:J,"Hujjatlarni tekshirish")</f>
        <v>0</v>
      </c>
      <c r="BO128" s="11">
        <f>+COUNTIFS('muddati otgan'!C:C,A128,'muddati otgan'!J:J,"Tasdiqlash")</f>
        <v>0</v>
      </c>
      <c r="BP128" s="11">
        <f>+COUNTIFS('muddati otgan'!C:C,A128,'muddati otgan'!J:J,"tekshirish/tasdiqlash")</f>
        <v>0</v>
      </c>
      <c r="BQ128" s="11">
        <f>+COUNTIFS('muddati otgan'!C:C,A128,'muddati otgan'!J:J,"Ma'lumotlarni tasdiqlash")</f>
        <v>0</v>
      </c>
      <c r="BR128" s="11">
        <f t="shared" si="32"/>
        <v>0</v>
      </c>
      <c r="BS128" s="11">
        <f>+COUNTIFS('muddati otgan'!C:C,A128,'muddati otgan'!J:J,"Ro'yxatdan o'tkazish ma'lumotlarini tekshirish")</f>
        <v>0</v>
      </c>
      <c r="BT128" s="11">
        <f>+COUNTIFS('muddati otgan'!C:C,A128,'muddati otgan'!J:J,"Kamchiliklar bo'yicha habarnoma yuborish va 3 kunga to'xtatish")</f>
        <v>0</v>
      </c>
      <c r="BU128" s="11">
        <f>+COUNTIFS('muddati otgan'!C:C,A128,'muddati otgan'!J:J,"Hisobga olish")</f>
        <v>0</v>
      </c>
      <c r="BV128" s="11">
        <f>+COUNTIFS('muddati otgan'!C:C,A128,'muddati otgan'!J:J,"Yer uchastkasiga huquq yaratish")</f>
        <v>0</v>
      </c>
      <c r="BW128" s="11">
        <f>+COUNTIFS('muddati otgan'!C:C,A128,'muddati otgan'!J:J,"Bino-inshootga huquq yaratish")</f>
        <v>0</v>
      </c>
      <c r="BX128" s="11">
        <f>+COUNTIFS('muddati otgan'!C:C,A128,'muddati otgan'!J:J,"Cheklov yaratish")</f>
        <v>0</v>
      </c>
      <c r="BY128" s="11">
        <f>+COUNTIFS('muddati otgan'!C:C,A128,'muddati otgan'!J:J,"Taqiq yaratish")</f>
        <v>0</v>
      </c>
      <c r="BZ128" s="11">
        <f t="shared" si="33"/>
        <v>0</v>
      </c>
      <c r="CA128" s="11">
        <f>+COUNTIFS('muddati otgan'!C:C,A128,'muddati otgan'!J:J,"Soliq maydonini tekshirish")</f>
        <v>0</v>
      </c>
      <c r="CB128" s="11">
        <f t="shared" si="34"/>
        <v>0</v>
      </c>
      <c r="CC128" s="11">
        <f>+COUNTIFS('muddati otgan'!C:C,A128,'muddati otgan'!J:J,"Kadastr yig'majildini shakllantirish")</f>
        <v>0</v>
      </c>
      <c r="CD128" s="11">
        <f t="shared" si="35"/>
        <v>0</v>
      </c>
      <c r="CE128" s="11">
        <f>+COUNTIFS('muddati otgan'!C:C,A128,'muddati otgan'!J:J,"Kadastr passportini shakllantirish")</f>
        <v>0</v>
      </c>
      <c r="CF128" s="11">
        <f>+COUNTIFS('muddati otgan'!C:C,A128,'muddati otgan'!J:J,"Yig'ma jildni tasdiqlash")</f>
        <v>0</v>
      </c>
      <c r="CG128" s="11">
        <f>+COUNTIFS('muddati otgan'!C:C,A128,'muddati otgan'!J:J,"To'lov yoki bepul tasdiqlash")</f>
        <v>0</v>
      </c>
      <c r="CH128" s="11">
        <f>+COUNTIFS('muddati otgan'!C:C,A128,'muddati otgan'!J:J,"Bog'liq arizani kutish")</f>
        <v>0</v>
      </c>
      <c r="CI128" s="11">
        <f>+COUNTIFS('muddati otgan'!C:C,A128,'muddati otgan'!J:J,"To'lovga chiqarish")</f>
        <v>0</v>
      </c>
      <c r="CJ128" s="11">
        <f>+COUNTIFS('muddati otgan'!C:C,A128,'muddati otgan'!J:J,"Hisobga qo'yish")</f>
        <v>0</v>
      </c>
      <c r="CK128" s="6">
        <f>+COUNTIFS('muddati otgan'!C:C,A128,'muddati otgan'!J:J,"To'lov kutilmoqda")</f>
        <v>0</v>
      </c>
      <c r="CL128" s="11">
        <f t="shared" si="36"/>
        <v>0</v>
      </c>
      <c r="CM128" s="11">
        <f>+COUNTIFS('muddati otgan'!C:C,A128,'muddati otgan'!AA:AA,"Arizani qabul qilish2")</f>
        <v>0</v>
      </c>
      <c r="CN128" s="11">
        <f>+COUNTIFS('muddati otgan'!C:C,A128,'muddati otgan'!J:J,"Huquqlarni tekshirish")</f>
        <v>0</v>
      </c>
      <c r="CO128" s="11">
        <f>+COUNTIFS('muddati otgan'!C:C,A128,'muddati otgan'!J:J,"Ko'chmas mulkni ro'yhatdan o'tkazishga qabul qilish")</f>
        <v>0</v>
      </c>
      <c r="CP128" s="11">
        <f>+COUNTIFS('muddati otgan'!C:C,A128,'muddati otgan'!J:J,"Ro'yxatdan o'tkazish")</f>
        <v>0</v>
      </c>
      <c r="CQ128" s="11">
        <f>+COUNTIFS('muddati otgan'!C:C,A128,'muddati otgan'!J:J,"Kadastr pasporti va ko'chirmani yuborish")</f>
        <v>0</v>
      </c>
      <c r="CR128" s="11">
        <f>+COUNTIFS('muddati otgan'!C:C,A128,'muddati otgan'!AA:AA,"Rad qilish2")</f>
        <v>0</v>
      </c>
      <c r="CS128" s="11">
        <f>+COUNTIFS('muddati otgan'!C:C,A128,'muddati otgan'!J:J,"Ko'chirmani yuborish")</f>
        <v>0</v>
      </c>
      <c r="CT128" s="11">
        <f>+COUNTIFS('muddati otgan'!C:C,A128,'muddati otgan'!J:J,"Ma‘lumotlarni tekshirish")</f>
        <v>0</v>
      </c>
      <c r="CU128" s="11">
        <f t="shared" si="37"/>
        <v>0</v>
      </c>
      <c r="CV128" s="11">
        <f>+COUNTIFS('muddati otgan'!C:C,A128,'muddati otgan'!J:J,"Kadastr yig'majildini chop etish va arxiv ishiga tikish")</f>
        <v>0</v>
      </c>
      <c r="CW128" s="11">
        <f t="shared" si="38"/>
        <v>0</v>
      </c>
      <c r="CX128" s="11">
        <f>+COUNTIFS('muddati otgan'!C:C,A128,'muddati otgan'!J:J,"Kadastr yig‘majildini qabul qilish, arizani yakunlash")</f>
        <v>0</v>
      </c>
      <c r="CY128" s="11">
        <f>+COUNTIFS('muddati otgan'!C:C,A128,'muddati otgan'!J:J,"Next Cloudga yuklash")</f>
        <v>0</v>
      </c>
      <c r="CZ128" s="6">
        <f>+COUNTIFS('muddati otgan'!C:C,A128,'muddati otgan'!J:J,"Kelishish kutilmoqda")</f>
        <v>0</v>
      </c>
      <c r="DA128" s="6">
        <f>+COUNTIFS('muddati otgan'!C:C,A128,'muddati otgan'!J:J,"Yakunlandi")</f>
        <v>0</v>
      </c>
      <c r="DB128" s="10">
        <f>+COUNTIFS('muddati otgan'!C:C,A128,'muddati otgan'!J:J,"Rad etildi")</f>
        <v>0</v>
      </c>
      <c r="DC128" s="100">
        <f t="shared" si="5"/>
        <v>0</v>
      </c>
      <c r="DD128" s="44">
        <f>COUNTIFS('jami 1-20 kunlik arizalar'!C:C,A:A,'jami 1-20 kunlik arizalar'!S:S,"1")</f>
        <v>0</v>
      </c>
      <c r="DE128" s="11">
        <f>COUNTIFS('jami 1-20 kunlik arizalar'!C:C,A:A,'jami 1-20 kunlik arizalar'!S:S,"2")</f>
        <v>0</v>
      </c>
      <c r="DF128" s="11">
        <f>COUNTIFS('jami 1-20 kunlik arizalar'!C:C,A:A,'jami 1-20 kunlik arizalar'!S:S,"3")</f>
        <v>0</v>
      </c>
      <c r="DG128" s="11">
        <f>COUNTIFS('jami 1-20 kunlik arizalar'!C:C,A:A,'jami 1-20 kunlik arizalar'!S:S,"4")</f>
        <v>0</v>
      </c>
      <c r="DH128" s="11">
        <f>COUNTIFS('jami 1-20 kunlik arizalar'!C:C,A:A,'jami 1-20 kunlik arizalar'!S:S,"5")</f>
        <v>0</v>
      </c>
      <c r="DI128" s="11">
        <f>SUM(COUNTIFS('jami 1-20 kunlik arizalar'!C:C,A:A, 'jami 1-20 kunlik arizalar'!S:S, {6,7,8,9,10}))</f>
        <v>0</v>
      </c>
      <c r="DJ128" s="12">
        <f>SUM(COUNTIFS('jami 1-20 kunlik arizalar'!C:C,A:A, 'jami 1-20 kunlik arizalar'!S:S, "&gt;10"))</f>
        <v>0</v>
      </c>
    </row>
    <row r="129" spans="1:115" ht="32.1" hidden="1" customHeight="1" outlineLevel="1" x14ac:dyDescent="0.25">
      <c r="A129" s="92" t="s">
        <v>679</v>
      </c>
      <c r="B129" s="74"/>
      <c r="C129" s="85" t="s">
        <v>832</v>
      </c>
      <c r="D129" s="80">
        <f>+COUNTIFS('muddati otgan'!C:C,A129,'muddati otgan'!C:C,A129)</f>
        <v>0</v>
      </c>
      <c r="E129" s="10">
        <f>SUMIFS('muddati otgan'!$V:V,'muddati otgan'!$C:C,$A:A)</f>
        <v>0</v>
      </c>
      <c r="F129" s="10">
        <f>SUMIFS('muddati otgan'!$W:W,'muddati otgan'!$C:C,$A:A)</f>
        <v>0</v>
      </c>
      <c r="G129" s="24">
        <f>SUMIFS('muddati otgan'!$U:U,'muddati otgan'!$C:C,$A:A)</f>
        <v>0</v>
      </c>
      <c r="H129" s="11">
        <f>SUMIFS('muddati otgan'!$G:G,'muddati otgan'!$C:C,$A:A)</f>
        <v>0</v>
      </c>
      <c r="I129" s="12">
        <f>SUMIFS('muddati otgan'!$H:H,'muddati otgan'!$C:C,$A:A)</f>
        <v>0</v>
      </c>
      <c r="J129" s="44">
        <f t="shared" si="23"/>
        <v>0</v>
      </c>
      <c r="K129" s="11">
        <f>+COUNTIFS('muddati otgan'!C:C,A129,'muddati otgan'!AA:AA,"Arizani qabul qilish")</f>
        <v>0</v>
      </c>
      <c r="L129" s="11">
        <f>+COUNTIFS('muddati otgan'!C:C,A129,'muddati otgan'!J:J,"Arizani rad etish")</f>
        <v>0</v>
      </c>
      <c r="M129" s="11">
        <f>+COUNTIFS('muddati otgan'!C:C,A129,'muddati otgan'!J:J,"Arizani tasdiqlash")</f>
        <v>0</v>
      </c>
      <c r="N129" s="11">
        <f>+COUNTIFS('muddati otgan'!C:C,A129,'muddati otgan'!J:J,"Arizani yo'naltirish")</f>
        <v>0</v>
      </c>
      <c r="O129" s="11">
        <f>+COUNTIFS('muddati otgan'!C:C,A129,'muddati otgan'!J:J,"Rad qilish sababini o'rganish")</f>
        <v>0</v>
      </c>
      <c r="P129" s="11">
        <f>+COUNTIFS('muddati otgan'!C:C,A129,'muddati otgan'!J:J,"Ko'chmas mulkni UZKAD ga migratsiya qilish")</f>
        <v>0</v>
      </c>
      <c r="Q129" s="11">
        <f>+COUNTIFS('muddati otgan'!C:C,A129,'muddati otgan'!J:J,"Migratisya qilingan obyekt holatini tekshirish")</f>
        <v>0</v>
      </c>
      <c r="R129" s="11">
        <f>+COUNTIFS('muddati otgan'!C:C,A129,'muddati otgan'!J:J,"Ko‘chmas mulkni tanlash")</f>
        <v>0</v>
      </c>
      <c r="S129" s="11">
        <f>+COUNTIFS('muddati otgan'!C:C,A129,'muddati otgan'!J:J,"Arizani ko'rib chiqish")</f>
        <v>0</v>
      </c>
      <c r="T129" s="11">
        <f>+COUNTIFS('muddati otgan'!C:C,A129,'muddati otgan'!J:J,"Kadastr muhandisini tanlash")</f>
        <v>0</v>
      </c>
      <c r="U129" s="11">
        <f>+COUNTIFS('muddati otgan'!C:C,A129,'muddati otgan'!J:J,"Ko'chmas mulk turini tanlahsh")</f>
        <v>0</v>
      </c>
      <c r="V129" s="11">
        <f>+COUNTIFS('muddati otgan'!C:C,A129,'muddati otgan'!AA:AA,"Rad qilish")</f>
        <v>0</v>
      </c>
      <c r="W129" s="11">
        <f>+COUNTIFS('muddati otgan'!C:C,A129,'muddati otgan'!J:J,"ijrochi tanlash")</f>
        <v>0</v>
      </c>
      <c r="X129" s="11">
        <f>+COUNTIFS('muddati otgan'!C:C,A129,'muddati otgan'!J:J,"Ko'chmas mulk turini tanlash")</f>
        <v>0</v>
      </c>
      <c r="Y129" s="11">
        <f t="shared" si="24"/>
        <v>0</v>
      </c>
      <c r="Z129" s="11">
        <f>+COUNTIFS('muddati otgan'!C:C,A129,'muddati otgan'!J:J,"Ijroga qabul qilish")</f>
        <v>0</v>
      </c>
      <c r="AA129" s="11">
        <f>+COUNTIFS('muddati otgan'!C:C,A129,'muddati otgan'!J:J,"Joyida o'rganish va ma'lumotlarni kiritish")</f>
        <v>0</v>
      </c>
      <c r="AB129" s="11">
        <f>+COUNTIFS('muddati otgan'!C:C,A129,'muddati otgan'!J:J,"Asosiy qismdan ajratish jarayonida")</f>
        <v>0</v>
      </c>
      <c r="AC129" s="11">
        <f>+COUNTIFS('muddati otgan'!C:C,A129,'muddati otgan'!J:J,"Umumiy foydalanishdagi obyekt yaratilish")</f>
        <v>0</v>
      </c>
      <c r="AD129" s="11">
        <f>+COUNTIFS('muddati otgan'!C:C,A129,'muddati otgan'!J:J,"Migratsiya qilinadigan kadastr raqamini kiritish")</f>
        <v>0</v>
      </c>
      <c r="AE129" s="11">
        <f>+COUNTIFS('muddati otgan'!C:C,A129,'muddati otgan'!J:J,"O'zida qolgan obyektni yaratish")</f>
        <v>0</v>
      </c>
      <c r="AF129" s="11">
        <f>+COUNTIFS('muddati otgan'!C:C,A129,'muddati otgan'!J:J,"O'lchov natijalarini kiritish")</f>
        <v>0</v>
      </c>
      <c r="AG129" s="11">
        <f>+COUNTIFS('muddati otgan'!C:C,A129,'muddati otgan'!J:J,"Topoxaritani tayyorlash (dwg, pdf)")</f>
        <v>0</v>
      </c>
      <c r="AH129" s="11">
        <f t="shared" si="25"/>
        <v>0</v>
      </c>
      <c r="AI129" s="11">
        <f>+COUNTIFS('muddati otgan'!C:C,A129,'muddati otgan'!J:J,"Yer uchastkasini yaratish")</f>
        <v>0</v>
      </c>
      <c r="AJ129" s="11">
        <f t="shared" si="26"/>
        <v>0</v>
      </c>
      <c r="AK129" s="11">
        <f>+COUNTIFS('muddati otgan'!C:C,A129,'muddati otgan'!J:J,"Kelishish (Boshqarma)")</f>
        <v>0</v>
      </c>
      <c r="AL129" s="11">
        <f t="shared" si="27"/>
        <v>0</v>
      </c>
      <c r="AM129" s="11">
        <f>+COUNTIFS('muddati otgan'!C:C,A129,'muddati otgan'!J:J,"Kelishish (DKP)")</f>
        <v>0</v>
      </c>
      <c r="AN129" s="11">
        <f>+COUNTIFS('muddati otgan'!C:C,A129,'muddati otgan'!J:J,"Kelishish")</f>
        <v>0</v>
      </c>
      <c r="AO129" s="11">
        <f>+COUNTIFS('muddati otgan'!C:C,A129,'muddati otgan'!J:J,"Kelishish (Registratsiya DKP)")</f>
        <v>0</v>
      </c>
      <c r="AP129" s="11">
        <f t="shared" si="28"/>
        <v>0</v>
      </c>
      <c r="AQ129" s="11">
        <f>+COUNTIFS('muddati otgan'!C:C,A129,'muddati otgan'!J:J,"Manzil biriktirish")</f>
        <v>0</v>
      </c>
      <c r="AR129" s="11">
        <f>+COUNTIFS('muddati otgan'!C:C,A129,'muddati otgan'!J:J,"Bino va inshootlarni yaratish")</f>
        <v>0</v>
      </c>
      <c r="AS129" s="11">
        <f>+COUNTIFS('muddati otgan'!C:C,A129,'muddati otgan'!J:J,"Dov daraxtlarni yaratish")</f>
        <v>0</v>
      </c>
      <c r="AT129" s="11">
        <f>+COUNTIFS('muddati otgan'!C:C,A129,'muddati otgan'!J:J,"Yer uchastkasini tahrirlash")</f>
        <v>0</v>
      </c>
      <c r="AU129" s="11">
        <f t="shared" si="29"/>
        <v>0</v>
      </c>
      <c r="AV129" s="11">
        <f>+COUNTIFS('muddati otgan'!C:C,A129,'muddati otgan'!J:J,"Yer toifasi va maqsadini kiritish")</f>
        <v>0</v>
      </c>
      <c r="AW129" s="11">
        <f>+COUNTIFS('muddati otgan'!C:C,A129,'muddati otgan'!J:J,"Auksion yer tekshirish")</f>
        <v>0</v>
      </c>
      <c r="AX129" s="11">
        <f>+COUNTIFS('muddati otgan'!C:C,A129,'muddati otgan'!J:J,"Yer turlarini kiritish")</f>
        <v>0</v>
      </c>
      <c r="AY129" s="11">
        <f>+COUNTIFS('muddati otgan'!C:C,A129,'muddati otgan'!J:J,"Ma'lumotlarni kiritish")</f>
        <v>0</v>
      </c>
      <c r="AZ129" s="11">
        <f>+COUNTIFS('muddati otgan'!C:C,A129,'muddati otgan'!J:J,"Yer tekshirish")</f>
        <v>0</v>
      </c>
      <c r="BA129" s="11">
        <f t="shared" si="30"/>
        <v>0</v>
      </c>
      <c r="BB129" s="11">
        <f>+COUNTIFS('muddati otgan'!C:C,A129,'muddati otgan'!J:J,"Bino va inshoot ma'lumotlarini to‘ldirish")</f>
        <v>0</v>
      </c>
      <c r="BC129" s="11">
        <f>+COUNTIFS('muddati otgan'!C:C,A129,'muddati otgan'!J:J,"Inventarizatsiya ma'lumotlarini to‘ldirish")</f>
        <v>0</v>
      </c>
      <c r="BD129" s="11">
        <f>+COUNTIFS('muddati otgan'!C:C,A129,'muddati otgan'!J:J,"Yer uchastkasiga huquqiy hujjatlarni kiritsh")</f>
        <v>0</v>
      </c>
      <c r="BE129" s="11">
        <f>+COUNTIFS('muddati otgan'!C:C,A129,'muddati otgan'!J:J,"Bino-inshootlarga huquqiy hujjatlarni kiritsh")</f>
        <v>0</v>
      </c>
      <c r="BF129" s="11">
        <f>+COUNTIFS('muddati otgan'!C:C,A129,'muddati otgan'!J:J,"Kadastr qiymatini hisoblash va kiritish")</f>
        <v>0</v>
      </c>
      <c r="BG129" s="11">
        <f>+COUNTIFS('muddati otgan'!C:C,A129,'muddati otgan'!J:J,"Kadastr raqam biriktirish")</f>
        <v>0</v>
      </c>
      <c r="BH129" s="11">
        <f>+COUNTIFS('muddati otgan'!C:C,A129,'muddati otgan'!J:J,"Kadastr yig'ma jildni tayyorlash")</f>
        <v>0</v>
      </c>
      <c r="BI129" s="11">
        <f>+COUNTIFS('muddati otgan'!C:C,A129,'muddati otgan'!J:J,"Huquqni yaratish")</f>
        <v>0</v>
      </c>
      <c r="BJ129" s="11">
        <f>+COUNTIFS('muddati otgan'!C:C,A129,'muddati otgan'!J:J,"Hujjatlarni o'rganish")</f>
        <v>0</v>
      </c>
      <c r="BK129" s="11">
        <f>+COUNTIFS('muddati otgan'!C:C,A129,'muddati otgan'!J:J,"Ma'lumotlarni tekshirish")</f>
        <v>0</v>
      </c>
      <c r="BL129" s="11">
        <f t="shared" si="31"/>
        <v>0</v>
      </c>
      <c r="BM129" s="11">
        <f>+COUNTIFS('muddati otgan'!C:C,A129,'muddati otgan'!J:J,"Tekshirish")</f>
        <v>0</v>
      </c>
      <c r="BN129" s="11">
        <f>+COUNTIFS('muddati otgan'!C:C,A129,'muddati otgan'!J:J,"Hujjatlarni tekshirish")</f>
        <v>0</v>
      </c>
      <c r="BO129" s="11">
        <f>+COUNTIFS('muddati otgan'!C:C,A129,'muddati otgan'!J:J,"Tasdiqlash")</f>
        <v>0</v>
      </c>
      <c r="BP129" s="11">
        <f>+COUNTIFS('muddati otgan'!C:C,A129,'muddati otgan'!J:J,"tekshirish/tasdiqlash")</f>
        <v>0</v>
      </c>
      <c r="BQ129" s="11">
        <f>+COUNTIFS('muddati otgan'!C:C,A129,'muddati otgan'!J:J,"Ma'lumotlarni tasdiqlash")</f>
        <v>0</v>
      </c>
      <c r="BR129" s="11">
        <f t="shared" si="32"/>
        <v>0</v>
      </c>
      <c r="BS129" s="11">
        <f>+COUNTIFS('muddati otgan'!C:C,A129,'muddati otgan'!J:J,"Ro'yxatdan o'tkazish ma'lumotlarini tekshirish")</f>
        <v>0</v>
      </c>
      <c r="BT129" s="11">
        <f>+COUNTIFS('muddati otgan'!C:C,A129,'muddati otgan'!J:J,"Kamchiliklar bo'yicha habarnoma yuborish va 3 kunga to'xtatish")</f>
        <v>0</v>
      </c>
      <c r="BU129" s="11">
        <f>+COUNTIFS('muddati otgan'!C:C,A129,'muddati otgan'!J:J,"Hisobga olish")</f>
        <v>0</v>
      </c>
      <c r="BV129" s="11">
        <f>+COUNTIFS('muddati otgan'!C:C,A129,'muddati otgan'!J:J,"Yer uchastkasiga huquq yaratish")</f>
        <v>0</v>
      </c>
      <c r="BW129" s="11">
        <f>+COUNTIFS('muddati otgan'!C:C,A129,'muddati otgan'!J:J,"Bino-inshootga huquq yaratish")</f>
        <v>0</v>
      </c>
      <c r="BX129" s="11">
        <f>+COUNTIFS('muddati otgan'!C:C,A129,'muddati otgan'!J:J,"Cheklov yaratish")</f>
        <v>0</v>
      </c>
      <c r="BY129" s="11">
        <f>+COUNTIFS('muddati otgan'!C:C,A129,'muddati otgan'!J:J,"Taqiq yaratish")</f>
        <v>0</v>
      </c>
      <c r="BZ129" s="11">
        <f t="shared" si="33"/>
        <v>0</v>
      </c>
      <c r="CA129" s="11">
        <f>+COUNTIFS('muddati otgan'!C:C,A129,'muddati otgan'!J:J,"Soliq maydonini tekshirish")</f>
        <v>0</v>
      </c>
      <c r="CB129" s="11">
        <f t="shared" si="34"/>
        <v>0</v>
      </c>
      <c r="CC129" s="11">
        <f>+COUNTIFS('muddati otgan'!C:C,A129,'muddati otgan'!J:J,"Kadastr yig'majildini shakllantirish")</f>
        <v>0</v>
      </c>
      <c r="CD129" s="11">
        <f t="shared" si="35"/>
        <v>0</v>
      </c>
      <c r="CE129" s="11">
        <f>+COUNTIFS('muddati otgan'!C:C,A129,'muddati otgan'!J:J,"Kadastr passportini shakllantirish")</f>
        <v>0</v>
      </c>
      <c r="CF129" s="11">
        <f>+COUNTIFS('muddati otgan'!C:C,A129,'muddati otgan'!J:J,"Yig'ma jildni tasdiqlash")</f>
        <v>0</v>
      </c>
      <c r="CG129" s="11">
        <f>+COUNTIFS('muddati otgan'!C:C,A129,'muddati otgan'!J:J,"To'lov yoki bepul tasdiqlash")</f>
        <v>0</v>
      </c>
      <c r="CH129" s="11">
        <f>+COUNTIFS('muddati otgan'!C:C,A129,'muddati otgan'!J:J,"Bog'liq arizani kutish")</f>
        <v>0</v>
      </c>
      <c r="CI129" s="11">
        <f>+COUNTIFS('muddati otgan'!C:C,A129,'muddati otgan'!J:J,"To'lovga chiqarish")</f>
        <v>0</v>
      </c>
      <c r="CJ129" s="11">
        <f>+COUNTIFS('muddati otgan'!C:C,A129,'muddati otgan'!J:J,"Hisobga qo'yish")</f>
        <v>0</v>
      </c>
      <c r="CK129" s="6">
        <f>+COUNTIFS('muddati otgan'!C:C,A129,'muddati otgan'!J:J,"To'lov kutilmoqda")</f>
        <v>0</v>
      </c>
      <c r="CL129" s="11">
        <f t="shared" si="36"/>
        <v>0</v>
      </c>
      <c r="CM129" s="11">
        <f>+COUNTIFS('muddati otgan'!C:C,A129,'muddati otgan'!AA:AA,"Arizani qabul qilish2")</f>
        <v>0</v>
      </c>
      <c r="CN129" s="11">
        <f>+COUNTIFS('muddati otgan'!C:C,A129,'muddati otgan'!J:J,"Huquqlarni tekshirish")</f>
        <v>0</v>
      </c>
      <c r="CO129" s="11">
        <f>+COUNTIFS('muddati otgan'!C:C,A129,'muddati otgan'!J:J,"Ko'chmas mulkni ro'yhatdan o'tkazishga qabul qilish")</f>
        <v>0</v>
      </c>
      <c r="CP129" s="11">
        <f>+COUNTIFS('muddati otgan'!C:C,A129,'muddati otgan'!J:J,"Ro'yxatdan o'tkazish")</f>
        <v>0</v>
      </c>
      <c r="CQ129" s="11">
        <f>+COUNTIFS('muddati otgan'!C:C,A129,'muddati otgan'!J:J,"Kadastr pasporti va ko'chirmani yuborish")</f>
        <v>0</v>
      </c>
      <c r="CR129" s="11">
        <f>+COUNTIFS('muddati otgan'!C:C,A129,'muddati otgan'!AA:AA,"Rad qilish2")</f>
        <v>0</v>
      </c>
      <c r="CS129" s="11">
        <f>+COUNTIFS('muddati otgan'!C:C,A129,'muddati otgan'!J:J,"Ko'chirmani yuborish")</f>
        <v>0</v>
      </c>
      <c r="CT129" s="11">
        <f>+COUNTIFS('muddati otgan'!C:C,A129,'muddati otgan'!J:J,"Ma‘lumotlarni tekshirish")</f>
        <v>0</v>
      </c>
      <c r="CU129" s="11">
        <f t="shared" si="37"/>
        <v>0</v>
      </c>
      <c r="CV129" s="11">
        <f>+COUNTIFS('muddati otgan'!C:C,A129,'muddati otgan'!J:J,"Kadastr yig'majildini chop etish va arxiv ishiga tikish")</f>
        <v>0</v>
      </c>
      <c r="CW129" s="11">
        <f t="shared" si="38"/>
        <v>0</v>
      </c>
      <c r="CX129" s="11">
        <f>+COUNTIFS('muddati otgan'!C:C,A129,'muddati otgan'!J:J,"Kadastr yig‘majildini qabul qilish, arizani yakunlash")</f>
        <v>0</v>
      </c>
      <c r="CY129" s="11">
        <f>+COUNTIFS('muddati otgan'!C:C,A129,'muddati otgan'!J:J,"Next Cloudga yuklash")</f>
        <v>0</v>
      </c>
      <c r="CZ129" s="6">
        <f>+COUNTIFS('muddati otgan'!C:C,A129,'muddati otgan'!J:J,"Kelishish kutilmoqda")</f>
        <v>0</v>
      </c>
      <c r="DA129" s="6">
        <f>+COUNTIFS('muddati otgan'!C:C,A129,'muddati otgan'!J:J,"Yakunlandi")</f>
        <v>0</v>
      </c>
      <c r="DB129" s="10">
        <f>+COUNTIFS('muddati otgan'!C:C,A129,'muddati otgan'!J:J,"Rad etildi")</f>
        <v>0</v>
      </c>
      <c r="DC129" s="100">
        <f t="shared" si="5"/>
        <v>0</v>
      </c>
      <c r="DD129" s="44">
        <f>COUNTIFS('jami 1-20 kunlik arizalar'!C:C,A:A,'jami 1-20 kunlik arizalar'!S:S,"1")</f>
        <v>0</v>
      </c>
      <c r="DE129" s="11">
        <f>COUNTIFS('jami 1-20 kunlik arizalar'!C:C,A:A,'jami 1-20 kunlik arizalar'!S:S,"2")</f>
        <v>0</v>
      </c>
      <c r="DF129" s="11">
        <f>COUNTIFS('jami 1-20 kunlik arizalar'!C:C,A:A,'jami 1-20 kunlik arizalar'!S:S,"3")</f>
        <v>0</v>
      </c>
      <c r="DG129" s="11">
        <f>COUNTIFS('jami 1-20 kunlik arizalar'!C:C,A:A,'jami 1-20 kunlik arizalar'!S:S,"4")</f>
        <v>0</v>
      </c>
      <c r="DH129" s="11">
        <f>COUNTIFS('jami 1-20 kunlik arizalar'!C:C,A:A,'jami 1-20 kunlik arizalar'!S:S,"5")</f>
        <v>0</v>
      </c>
      <c r="DI129" s="11">
        <f>SUM(COUNTIFS('jami 1-20 kunlik arizalar'!C:C,A:A, 'jami 1-20 kunlik arizalar'!S:S, {6,7,8,9,10}))</f>
        <v>0</v>
      </c>
      <c r="DJ129" s="12">
        <f>SUM(COUNTIFS('jami 1-20 kunlik arizalar'!C:C,A:A, 'jami 1-20 kunlik arizalar'!S:S, "&gt;10"))</f>
        <v>0</v>
      </c>
    </row>
    <row r="130" spans="1:115" ht="32.1" hidden="1" customHeight="1" outlineLevel="1" x14ac:dyDescent="0.25">
      <c r="A130" s="92" t="s">
        <v>676</v>
      </c>
      <c r="B130" s="74"/>
      <c r="C130" s="85" t="s">
        <v>833</v>
      </c>
      <c r="D130" s="80">
        <f>+COUNTIFS('muddati otgan'!C:C,A130,'muddati otgan'!C:C,A130)</f>
        <v>0</v>
      </c>
      <c r="E130" s="10">
        <f>SUMIFS('muddati otgan'!$V:V,'muddati otgan'!$C:C,$A:A)</f>
        <v>0</v>
      </c>
      <c r="F130" s="10">
        <f>SUMIFS('muddati otgan'!$W:W,'muddati otgan'!$C:C,$A:A)</f>
        <v>0</v>
      </c>
      <c r="G130" s="24">
        <f>SUMIFS('muddati otgan'!$U:U,'muddati otgan'!$C:C,$A:A)</f>
        <v>0</v>
      </c>
      <c r="H130" s="11">
        <f>SUMIFS('muddati otgan'!$G:G,'muddati otgan'!$C:C,$A:A)</f>
        <v>0</v>
      </c>
      <c r="I130" s="12">
        <f>SUMIFS('muddati otgan'!$H:H,'muddati otgan'!$C:C,$A:A)</f>
        <v>0</v>
      </c>
      <c r="J130" s="44">
        <f t="shared" si="23"/>
        <v>0</v>
      </c>
      <c r="K130" s="11">
        <f>+COUNTIFS('muddati otgan'!C:C,A130,'muddati otgan'!AA:AA,"Arizani qabul qilish")</f>
        <v>0</v>
      </c>
      <c r="L130" s="11">
        <f>+COUNTIFS('muddati otgan'!C:C,A130,'muddati otgan'!J:J,"Arizani rad etish")</f>
        <v>0</v>
      </c>
      <c r="M130" s="11">
        <f>+COUNTIFS('muddati otgan'!C:C,A130,'muddati otgan'!J:J,"Arizani tasdiqlash")</f>
        <v>0</v>
      </c>
      <c r="N130" s="11">
        <f>+COUNTIFS('muddati otgan'!C:C,A130,'muddati otgan'!J:J,"Arizani yo'naltirish")</f>
        <v>0</v>
      </c>
      <c r="O130" s="11">
        <f>+COUNTIFS('muddati otgan'!C:C,A130,'muddati otgan'!J:J,"Rad qilish sababini o'rganish")</f>
        <v>0</v>
      </c>
      <c r="P130" s="11">
        <f>+COUNTIFS('muddati otgan'!C:C,A130,'muddati otgan'!J:J,"Ko'chmas mulkni UZKAD ga migratsiya qilish")</f>
        <v>0</v>
      </c>
      <c r="Q130" s="11">
        <f>+COUNTIFS('muddati otgan'!C:C,A130,'muddati otgan'!J:J,"Migratisya qilingan obyekt holatini tekshirish")</f>
        <v>0</v>
      </c>
      <c r="R130" s="11">
        <f>+COUNTIFS('muddati otgan'!C:C,A130,'muddati otgan'!J:J,"Ko‘chmas mulkni tanlash")</f>
        <v>0</v>
      </c>
      <c r="S130" s="11">
        <f>+COUNTIFS('muddati otgan'!C:C,A130,'muddati otgan'!J:J,"Arizani ko'rib chiqish")</f>
        <v>0</v>
      </c>
      <c r="T130" s="11">
        <f>+COUNTIFS('muddati otgan'!C:C,A130,'muddati otgan'!J:J,"Kadastr muhandisini tanlash")</f>
        <v>0</v>
      </c>
      <c r="U130" s="11">
        <f>+COUNTIFS('muddati otgan'!C:C,A130,'muddati otgan'!J:J,"Ko'chmas mulk turini tanlahsh")</f>
        <v>0</v>
      </c>
      <c r="V130" s="11">
        <f>+COUNTIFS('muddati otgan'!C:C,A130,'muddati otgan'!AA:AA,"Rad qilish")</f>
        <v>0</v>
      </c>
      <c r="W130" s="11">
        <f>+COUNTIFS('muddati otgan'!C:C,A130,'muddati otgan'!J:J,"ijrochi tanlash")</f>
        <v>0</v>
      </c>
      <c r="X130" s="11">
        <f>+COUNTIFS('muddati otgan'!C:C,A130,'muddati otgan'!J:J,"Ko'chmas mulk turini tanlash")</f>
        <v>0</v>
      </c>
      <c r="Y130" s="11">
        <f t="shared" si="24"/>
        <v>0</v>
      </c>
      <c r="Z130" s="11">
        <f>+COUNTIFS('muddati otgan'!C:C,A130,'muddati otgan'!J:J,"Ijroga qabul qilish")</f>
        <v>0</v>
      </c>
      <c r="AA130" s="11">
        <f>+COUNTIFS('muddati otgan'!C:C,A130,'muddati otgan'!J:J,"Joyida o'rganish va ma'lumotlarni kiritish")</f>
        <v>0</v>
      </c>
      <c r="AB130" s="11">
        <f>+COUNTIFS('muddati otgan'!C:C,A130,'muddati otgan'!J:J,"Asosiy qismdan ajratish jarayonida")</f>
        <v>0</v>
      </c>
      <c r="AC130" s="11">
        <f>+COUNTIFS('muddati otgan'!C:C,A130,'muddati otgan'!J:J,"Umumiy foydalanishdagi obyekt yaratilish")</f>
        <v>0</v>
      </c>
      <c r="AD130" s="11">
        <f>+COUNTIFS('muddati otgan'!C:C,A130,'muddati otgan'!J:J,"Migratsiya qilinadigan kadastr raqamini kiritish")</f>
        <v>0</v>
      </c>
      <c r="AE130" s="11">
        <f>+COUNTIFS('muddati otgan'!C:C,A130,'muddati otgan'!J:J,"O'zida qolgan obyektni yaratish")</f>
        <v>0</v>
      </c>
      <c r="AF130" s="11">
        <f>+COUNTIFS('muddati otgan'!C:C,A130,'muddati otgan'!J:J,"O'lchov natijalarini kiritish")</f>
        <v>0</v>
      </c>
      <c r="AG130" s="11">
        <f>+COUNTIFS('muddati otgan'!C:C,A130,'muddati otgan'!J:J,"Topoxaritani tayyorlash (dwg, pdf)")</f>
        <v>0</v>
      </c>
      <c r="AH130" s="11">
        <f t="shared" si="25"/>
        <v>0</v>
      </c>
      <c r="AI130" s="11">
        <f>+COUNTIFS('muddati otgan'!C:C,A130,'muddati otgan'!J:J,"Yer uchastkasini yaratish")</f>
        <v>0</v>
      </c>
      <c r="AJ130" s="11">
        <f t="shared" si="26"/>
        <v>0</v>
      </c>
      <c r="AK130" s="11">
        <f>+COUNTIFS('muddati otgan'!C:C,A130,'muddati otgan'!J:J,"Kelishish (Boshqarma)")</f>
        <v>0</v>
      </c>
      <c r="AL130" s="11">
        <f t="shared" si="27"/>
        <v>0</v>
      </c>
      <c r="AM130" s="11">
        <f>+COUNTIFS('muddati otgan'!C:C,A130,'muddati otgan'!J:J,"Kelishish (DKP)")</f>
        <v>0</v>
      </c>
      <c r="AN130" s="11">
        <f>+COUNTIFS('muddati otgan'!C:C,A130,'muddati otgan'!J:J,"Kelishish")</f>
        <v>0</v>
      </c>
      <c r="AO130" s="11">
        <f>+COUNTIFS('muddati otgan'!C:C,A130,'muddati otgan'!J:J,"Kelishish (Registratsiya DKP)")</f>
        <v>0</v>
      </c>
      <c r="AP130" s="11">
        <f t="shared" si="28"/>
        <v>0</v>
      </c>
      <c r="AQ130" s="11">
        <f>+COUNTIFS('muddati otgan'!C:C,A130,'muddati otgan'!J:J,"Manzil biriktirish")</f>
        <v>0</v>
      </c>
      <c r="AR130" s="11">
        <f>+COUNTIFS('muddati otgan'!C:C,A130,'muddati otgan'!J:J,"Bino va inshootlarni yaratish")</f>
        <v>0</v>
      </c>
      <c r="AS130" s="11">
        <f>+COUNTIFS('muddati otgan'!C:C,A130,'muddati otgan'!J:J,"Dov daraxtlarni yaratish")</f>
        <v>0</v>
      </c>
      <c r="AT130" s="11">
        <f>+COUNTIFS('muddati otgan'!C:C,A130,'muddati otgan'!J:J,"Yer uchastkasini tahrirlash")</f>
        <v>0</v>
      </c>
      <c r="AU130" s="11">
        <f t="shared" si="29"/>
        <v>0</v>
      </c>
      <c r="AV130" s="11">
        <f>+COUNTIFS('muddati otgan'!C:C,A130,'muddati otgan'!J:J,"Yer toifasi va maqsadini kiritish")</f>
        <v>0</v>
      </c>
      <c r="AW130" s="11">
        <f>+COUNTIFS('muddati otgan'!C:C,A130,'muddati otgan'!J:J,"Auksion yer tekshirish")</f>
        <v>0</v>
      </c>
      <c r="AX130" s="11">
        <f>+COUNTIFS('muddati otgan'!C:C,A130,'muddati otgan'!J:J,"Yer turlarini kiritish")</f>
        <v>0</v>
      </c>
      <c r="AY130" s="11">
        <f>+COUNTIFS('muddati otgan'!C:C,A130,'muddati otgan'!J:J,"Ma'lumotlarni kiritish")</f>
        <v>0</v>
      </c>
      <c r="AZ130" s="11">
        <f>+COUNTIFS('muddati otgan'!C:C,A130,'muddati otgan'!J:J,"Yer tekshirish")</f>
        <v>0</v>
      </c>
      <c r="BA130" s="11">
        <f t="shared" si="30"/>
        <v>0</v>
      </c>
      <c r="BB130" s="11">
        <f>+COUNTIFS('muddati otgan'!C:C,A130,'muddati otgan'!J:J,"Bino va inshoot ma'lumotlarini to‘ldirish")</f>
        <v>0</v>
      </c>
      <c r="BC130" s="11">
        <f>+COUNTIFS('muddati otgan'!C:C,A130,'muddati otgan'!J:J,"Inventarizatsiya ma'lumotlarini to‘ldirish")</f>
        <v>0</v>
      </c>
      <c r="BD130" s="11">
        <f>+COUNTIFS('muddati otgan'!C:C,A130,'muddati otgan'!J:J,"Yer uchastkasiga huquqiy hujjatlarni kiritsh")</f>
        <v>0</v>
      </c>
      <c r="BE130" s="11">
        <f>+COUNTIFS('muddati otgan'!C:C,A130,'muddati otgan'!J:J,"Bino-inshootlarga huquqiy hujjatlarni kiritsh")</f>
        <v>0</v>
      </c>
      <c r="BF130" s="11">
        <f>+COUNTIFS('muddati otgan'!C:C,A130,'muddati otgan'!J:J,"Kadastr qiymatini hisoblash va kiritish")</f>
        <v>0</v>
      </c>
      <c r="BG130" s="11">
        <f>+COUNTIFS('muddati otgan'!C:C,A130,'muddati otgan'!J:J,"Kadastr raqam biriktirish")</f>
        <v>0</v>
      </c>
      <c r="BH130" s="11">
        <f>+COUNTIFS('muddati otgan'!C:C,A130,'muddati otgan'!J:J,"Kadastr yig'ma jildni tayyorlash")</f>
        <v>0</v>
      </c>
      <c r="BI130" s="11">
        <f>+COUNTIFS('muddati otgan'!C:C,A130,'muddati otgan'!J:J,"Huquqni yaratish")</f>
        <v>0</v>
      </c>
      <c r="BJ130" s="11">
        <f>+COUNTIFS('muddati otgan'!C:C,A130,'muddati otgan'!J:J,"Hujjatlarni o'rganish")</f>
        <v>0</v>
      </c>
      <c r="BK130" s="11">
        <f>+COUNTIFS('muddati otgan'!C:C,A130,'muddati otgan'!J:J,"Ma'lumotlarni tekshirish")</f>
        <v>0</v>
      </c>
      <c r="BL130" s="11">
        <f t="shared" si="31"/>
        <v>0</v>
      </c>
      <c r="BM130" s="11">
        <f>+COUNTIFS('muddati otgan'!C:C,A130,'muddati otgan'!J:J,"Tekshirish")</f>
        <v>0</v>
      </c>
      <c r="BN130" s="11">
        <f>+COUNTIFS('muddati otgan'!C:C,A130,'muddati otgan'!J:J,"Hujjatlarni tekshirish")</f>
        <v>0</v>
      </c>
      <c r="BO130" s="11">
        <f>+COUNTIFS('muddati otgan'!C:C,A130,'muddati otgan'!J:J,"Tasdiqlash")</f>
        <v>0</v>
      </c>
      <c r="BP130" s="11">
        <f>+COUNTIFS('muddati otgan'!C:C,A130,'muddati otgan'!J:J,"tekshirish/tasdiqlash")</f>
        <v>0</v>
      </c>
      <c r="BQ130" s="11">
        <f>+COUNTIFS('muddati otgan'!C:C,A130,'muddati otgan'!J:J,"Ma'lumotlarni tasdiqlash")</f>
        <v>0</v>
      </c>
      <c r="BR130" s="11">
        <f t="shared" si="32"/>
        <v>0</v>
      </c>
      <c r="BS130" s="11">
        <f>+COUNTIFS('muddati otgan'!C:C,A130,'muddati otgan'!J:J,"Ro'yxatdan o'tkazish ma'lumotlarini tekshirish")</f>
        <v>0</v>
      </c>
      <c r="BT130" s="11">
        <f>+COUNTIFS('muddati otgan'!C:C,A130,'muddati otgan'!J:J,"Kamchiliklar bo'yicha habarnoma yuborish va 3 kunga to'xtatish")</f>
        <v>0</v>
      </c>
      <c r="BU130" s="11">
        <f>+COUNTIFS('muddati otgan'!C:C,A130,'muddati otgan'!J:J,"Hisobga olish")</f>
        <v>0</v>
      </c>
      <c r="BV130" s="11">
        <f>+COUNTIFS('muddati otgan'!C:C,A130,'muddati otgan'!J:J,"Yer uchastkasiga huquq yaratish")</f>
        <v>0</v>
      </c>
      <c r="BW130" s="11">
        <f>+COUNTIFS('muddati otgan'!C:C,A130,'muddati otgan'!J:J,"Bino-inshootga huquq yaratish")</f>
        <v>0</v>
      </c>
      <c r="BX130" s="11">
        <f>+COUNTIFS('muddati otgan'!C:C,A130,'muddati otgan'!J:J,"Cheklov yaratish")</f>
        <v>0</v>
      </c>
      <c r="BY130" s="11">
        <f>+COUNTIFS('muddati otgan'!C:C,A130,'muddati otgan'!J:J,"Taqiq yaratish")</f>
        <v>0</v>
      </c>
      <c r="BZ130" s="11">
        <f t="shared" si="33"/>
        <v>0</v>
      </c>
      <c r="CA130" s="11">
        <f>+COUNTIFS('muddati otgan'!C:C,A130,'muddati otgan'!J:J,"Soliq maydonini tekshirish")</f>
        <v>0</v>
      </c>
      <c r="CB130" s="11">
        <f t="shared" si="34"/>
        <v>0</v>
      </c>
      <c r="CC130" s="11">
        <f>+COUNTIFS('muddati otgan'!C:C,A130,'muddati otgan'!J:J,"Kadastr yig'majildini shakllantirish")</f>
        <v>0</v>
      </c>
      <c r="CD130" s="11">
        <f t="shared" si="35"/>
        <v>0</v>
      </c>
      <c r="CE130" s="11">
        <f>+COUNTIFS('muddati otgan'!C:C,A130,'muddati otgan'!J:J,"Kadastr passportini shakllantirish")</f>
        <v>0</v>
      </c>
      <c r="CF130" s="11">
        <f>+COUNTIFS('muddati otgan'!C:C,A130,'muddati otgan'!J:J,"Yig'ma jildni tasdiqlash")</f>
        <v>0</v>
      </c>
      <c r="CG130" s="11">
        <f>+COUNTIFS('muddati otgan'!C:C,A130,'muddati otgan'!J:J,"To'lov yoki bepul tasdiqlash")</f>
        <v>0</v>
      </c>
      <c r="CH130" s="11">
        <f>+COUNTIFS('muddati otgan'!C:C,A130,'muddati otgan'!J:J,"Bog'liq arizani kutish")</f>
        <v>0</v>
      </c>
      <c r="CI130" s="11">
        <f>+COUNTIFS('muddati otgan'!C:C,A130,'muddati otgan'!J:J,"To'lovga chiqarish")</f>
        <v>0</v>
      </c>
      <c r="CJ130" s="11">
        <f>+COUNTIFS('muddati otgan'!C:C,A130,'muddati otgan'!J:J,"Hisobga qo'yish")</f>
        <v>0</v>
      </c>
      <c r="CK130" s="6">
        <f>+COUNTIFS('muddati otgan'!C:C,A130,'muddati otgan'!J:J,"To'lov kutilmoqda")</f>
        <v>0</v>
      </c>
      <c r="CL130" s="11">
        <f t="shared" si="36"/>
        <v>0</v>
      </c>
      <c r="CM130" s="11">
        <f>+COUNTIFS('muddati otgan'!C:C,A130,'muddati otgan'!AA:AA,"Arizani qabul qilish2")</f>
        <v>0</v>
      </c>
      <c r="CN130" s="11">
        <f>+COUNTIFS('muddati otgan'!C:C,A130,'muddati otgan'!J:J,"Huquqlarni tekshirish")</f>
        <v>0</v>
      </c>
      <c r="CO130" s="11">
        <f>+COUNTIFS('muddati otgan'!C:C,A130,'muddati otgan'!J:J,"Ko'chmas mulkni ro'yhatdan o'tkazishga qabul qilish")</f>
        <v>0</v>
      </c>
      <c r="CP130" s="11">
        <f>+COUNTIFS('muddati otgan'!C:C,A130,'muddati otgan'!J:J,"Ro'yxatdan o'tkazish")</f>
        <v>0</v>
      </c>
      <c r="CQ130" s="11">
        <f>+COUNTIFS('muddati otgan'!C:C,A130,'muddati otgan'!J:J,"Kadastr pasporti va ko'chirmani yuborish")</f>
        <v>0</v>
      </c>
      <c r="CR130" s="11">
        <f>+COUNTIFS('muddati otgan'!C:C,A130,'muddati otgan'!AA:AA,"Rad qilish2")</f>
        <v>0</v>
      </c>
      <c r="CS130" s="11">
        <f>+COUNTIFS('muddati otgan'!C:C,A130,'muddati otgan'!J:J,"Ko'chirmani yuborish")</f>
        <v>0</v>
      </c>
      <c r="CT130" s="11">
        <f>+COUNTIFS('muddati otgan'!C:C,A130,'muddati otgan'!J:J,"Ma‘lumotlarni tekshirish")</f>
        <v>0</v>
      </c>
      <c r="CU130" s="11">
        <f t="shared" si="37"/>
        <v>0</v>
      </c>
      <c r="CV130" s="11">
        <f>+COUNTIFS('muddati otgan'!C:C,A130,'muddati otgan'!J:J,"Kadastr yig'majildini chop etish va arxiv ishiga tikish")</f>
        <v>0</v>
      </c>
      <c r="CW130" s="11">
        <f t="shared" si="38"/>
        <v>0</v>
      </c>
      <c r="CX130" s="11">
        <f>+COUNTIFS('muddati otgan'!C:C,A130,'muddati otgan'!J:J,"Kadastr yig‘majildini qabul qilish, arizani yakunlash")</f>
        <v>0</v>
      </c>
      <c r="CY130" s="11">
        <f>+COUNTIFS('muddati otgan'!C:C,A130,'muddati otgan'!J:J,"Next Cloudga yuklash")</f>
        <v>0</v>
      </c>
      <c r="CZ130" s="6">
        <f>+COUNTIFS('muddati otgan'!C:C,A130,'muddati otgan'!J:J,"Kelishish kutilmoqda")</f>
        <v>0</v>
      </c>
      <c r="DA130" s="6">
        <f>+COUNTIFS('muddati otgan'!C:C,A130,'muddati otgan'!J:J,"Yakunlandi")</f>
        <v>0</v>
      </c>
      <c r="DB130" s="10">
        <f>+COUNTIFS('muddati otgan'!C:C,A130,'muddati otgan'!J:J,"Rad etildi")</f>
        <v>0</v>
      </c>
      <c r="DC130" s="100">
        <f t="shared" si="5"/>
        <v>0</v>
      </c>
      <c r="DD130" s="44">
        <f>COUNTIFS('jami 1-20 kunlik arizalar'!C:C,A:A,'jami 1-20 kunlik arizalar'!S:S,"1")</f>
        <v>0</v>
      </c>
      <c r="DE130" s="11">
        <f>COUNTIFS('jami 1-20 kunlik arizalar'!C:C,A:A,'jami 1-20 kunlik arizalar'!S:S,"2")</f>
        <v>0</v>
      </c>
      <c r="DF130" s="11">
        <f>COUNTIFS('jami 1-20 kunlik arizalar'!C:C,A:A,'jami 1-20 kunlik arizalar'!S:S,"3")</f>
        <v>0</v>
      </c>
      <c r="DG130" s="11">
        <f>COUNTIFS('jami 1-20 kunlik arizalar'!C:C,A:A,'jami 1-20 kunlik arizalar'!S:S,"4")</f>
        <v>0</v>
      </c>
      <c r="DH130" s="11">
        <f>COUNTIFS('jami 1-20 kunlik arizalar'!C:C,A:A,'jami 1-20 kunlik arizalar'!S:S,"5")</f>
        <v>1</v>
      </c>
      <c r="DI130" s="11">
        <f>SUM(COUNTIFS('jami 1-20 kunlik arizalar'!C:C,A:A, 'jami 1-20 kunlik arizalar'!S:S, {6,7,8,9,10}))</f>
        <v>1</v>
      </c>
      <c r="DJ130" s="12">
        <f>SUM(COUNTIFS('jami 1-20 kunlik arizalar'!C:C,A:A, 'jami 1-20 kunlik arizalar'!S:S, "&gt;10"))</f>
        <v>1</v>
      </c>
    </row>
    <row r="131" spans="1:115" ht="32.1" hidden="1" customHeight="1" outlineLevel="1" x14ac:dyDescent="0.25">
      <c r="A131" s="92" t="s">
        <v>681</v>
      </c>
      <c r="B131" s="74"/>
      <c r="C131" s="85" t="s">
        <v>834</v>
      </c>
      <c r="D131" s="80">
        <f>+COUNTIFS('muddati otgan'!C:C,A131,'muddati otgan'!C:C,A131)</f>
        <v>2</v>
      </c>
      <c r="E131" s="10">
        <f>SUMIFS('muddati otgan'!$V:V,'muddati otgan'!$C:C,$A:A)</f>
        <v>0</v>
      </c>
      <c r="F131" s="10">
        <f>SUMIFS('muddati otgan'!$W:W,'muddati otgan'!$C:C,$A:A)</f>
        <v>0</v>
      </c>
      <c r="G131" s="24">
        <f>SUMIFS('muddati otgan'!$U:U,'muddati otgan'!$C:C,$A:A)</f>
        <v>2</v>
      </c>
      <c r="H131" s="11">
        <f>SUMIFS('muddati otgan'!$G:G,'muddati otgan'!$C:C,$A:A)</f>
        <v>2</v>
      </c>
      <c r="I131" s="12">
        <f>SUMIFS('muddati otgan'!$H:H,'muddati otgan'!$C:C,$A:A)</f>
        <v>0</v>
      </c>
      <c r="J131" s="44">
        <f t="shared" si="23"/>
        <v>0</v>
      </c>
      <c r="K131" s="11">
        <f>+COUNTIFS('muddati otgan'!C:C,A131,'muddati otgan'!AA:AA,"Arizani qabul qilish")</f>
        <v>0</v>
      </c>
      <c r="L131" s="11">
        <f>+COUNTIFS('muddati otgan'!C:C,A131,'muddati otgan'!J:J,"Arizani rad etish")</f>
        <v>0</v>
      </c>
      <c r="M131" s="11">
        <f>+COUNTIFS('muddati otgan'!C:C,A131,'muddati otgan'!J:J,"Arizani tasdiqlash")</f>
        <v>0</v>
      </c>
      <c r="N131" s="11">
        <f>+COUNTIFS('muddati otgan'!C:C,A131,'muddati otgan'!J:J,"Arizani yo'naltirish")</f>
        <v>0</v>
      </c>
      <c r="O131" s="11">
        <f>+COUNTIFS('muddati otgan'!C:C,A131,'muddati otgan'!J:J,"Rad qilish sababini o'rganish")</f>
        <v>0</v>
      </c>
      <c r="P131" s="11">
        <f>+COUNTIFS('muddati otgan'!C:C,A131,'muddati otgan'!J:J,"Ko'chmas mulkni UZKAD ga migratsiya qilish")</f>
        <v>0</v>
      </c>
      <c r="Q131" s="11">
        <f>+COUNTIFS('muddati otgan'!C:C,A131,'muddati otgan'!J:J,"Migratisya qilingan obyekt holatini tekshirish")</f>
        <v>0</v>
      </c>
      <c r="R131" s="11">
        <f>+COUNTIFS('muddati otgan'!C:C,A131,'muddati otgan'!J:J,"Ko‘chmas mulkni tanlash")</f>
        <v>0</v>
      </c>
      <c r="S131" s="11">
        <f>+COUNTIFS('muddati otgan'!C:C,A131,'muddati otgan'!J:J,"Arizani ko'rib chiqish")</f>
        <v>0</v>
      </c>
      <c r="T131" s="11">
        <f>+COUNTIFS('muddati otgan'!C:C,A131,'muddati otgan'!J:J,"Kadastr muhandisini tanlash")</f>
        <v>0</v>
      </c>
      <c r="U131" s="11">
        <f>+COUNTIFS('muddati otgan'!C:C,A131,'muddati otgan'!J:J,"Ko'chmas mulk turini tanlahsh")</f>
        <v>0</v>
      </c>
      <c r="V131" s="11">
        <f>+COUNTIFS('muddati otgan'!C:C,A131,'muddati otgan'!AA:AA,"Rad qilish")</f>
        <v>0</v>
      </c>
      <c r="W131" s="11">
        <f>+COUNTIFS('muddati otgan'!C:C,A131,'muddati otgan'!J:J,"ijrochi tanlash")</f>
        <v>0</v>
      </c>
      <c r="X131" s="11">
        <f>+COUNTIFS('muddati otgan'!C:C,A131,'muddati otgan'!J:J,"Ko'chmas mulk turini tanlash")</f>
        <v>0</v>
      </c>
      <c r="Y131" s="11">
        <f t="shared" si="24"/>
        <v>1</v>
      </c>
      <c r="Z131" s="11">
        <f>+COUNTIFS('muddati otgan'!C:C,A131,'muddati otgan'!J:J,"Ijroga qabul qilish")</f>
        <v>0</v>
      </c>
      <c r="AA131" s="11">
        <f>+COUNTIFS('muddati otgan'!C:C,A131,'muddati otgan'!J:J,"Joyida o'rganish va ma'lumotlarni kiritish")</f>
        <v>0</v>
      </c>
      <c r="AB131" s="11">
        <f>+COUNTIFS('muddati otgan'!C:C,A131,'muddati otgan'!J:J,"Asosiy qismdan ajratish jarayonida")</f>
        <v>1</v>
      </c>
      <c r="AC131" s="11">
        <f>+COUNTIFS('muddati otgan'!C:C,A131,'muddati otgan'!J:J,"Umumiy foydalanishdagi obyekt yaratilish")</f>
        <v>0</v>
      </c>
      <c r="AD131" s="11">
        <f>+COUNTIFS('muddati otgan'!C:C,A131,'muddati otgan'!J:J,"Migratsiya qilinadigan kadastr raqamini kiritish")</f>
        <v>0</v>
      </c>
      <c r="AE131" s="11">
        <f>+COUNTIFS('muddati otgan'!C:C,A131,'muddati otgan'!J:J,"O'zida qolgan obyektni yaratish")</f>
        <v>0</v>
      </c>
      <c r="AF131" s="11">
        <f>+COUNTIFS('muddati otgan'!C:C,A131,'muddati otgan'!J:J,"O'lchov natijalarini kiritish")</f>
        <v>0</v>
      </c>
      <c r="AG131" s="11">
        <f>+COUNTIFS('muddati otgan'!C:C,A131,'muddati otgan'!J:J,"Topoxaritani tayyorlash (dwg, pdf)")</f>
        <v>0</v>
      </c>
      <c r="AH131" s="11">
        <f t="shared" si="25"/>
        <v>0</v>
      </c>
      <c r="AI131" s="11">
        <f>+COUNTIFS('muddati otgan'!C:C,A131,'muddati otgan'!J:J,"Yer uchastkasini yaratish")</f>
        <v>0</v>
      </c>
      <c r="AJ131" s="11">
        <f t="shared" si="26"/>
        <v>0</v>
      </c>
      <c r="AK131" s="11">
        <f>+COUNTIFS('muddati otgan'!C:C,A131,'muddati otgan'!J:J,"Kelishish (Boshqarma)")</f>
        <v>0</v>
      </c>
      <c r="AL131" s="11">
        <f t="shared" si="27"/>
        <v>0</v>
      </c>
      <c r="AM131" s="11">
        <f>+COUNTIFS('muddati otgan'!C:C,A131,'muddati otgan'!J:J,"Kelishish (DKP)")</f>
        <v>0</v>
      </c>
      <c r="AN131" s="11">
        <f>+COUNTIFS('muddati otgan'!C:C,A131,'muddati otgan'!J:J,"Kelishish")</f>
        <v>0</v>
      </c>
      <c r="AO131" s="11">
        <f>+COUNTIFS('muddati otgan'!C:C,A131,'muddati otgan'!J:J,"Kelishish (Registratsiya DKP)")</f>
        <v>0</v>
      </c>
      <c r="AP131" s="11">
        <f t="shared" si="28"/>
        <v>0</v>
      </c>
      <c r="AQ131" s="11">
        <f>+COUNTIFS('muddati otgan'!C:C,A131,'muddati otgan'!J:J,"Manzil biriktirish")</f>
        <v>0</v>
      </c>
      <c r="AR131" s="11">
        <f>+COUNTIFS('muddati otgan'!C:C,A131,'muddati otgan'!J:J,"Bino va inshootlarni yaratish")</f>
        <v>0</v>
      </c>
      <c r="AS131" s="11">
        <f>+COUNTIFS('muddati otgan'!C:C,A131,'muddati otgan'!J:J,"Dov daraxtlarni yaratish")</f>
        <v>0</v>
      </c>
      <c r="AT131" s="11">
        <f>+COUNTIFS('muddati otgan'!C:C,A131,'muddati otgan'!J:J,"Yer uchastkasini tahrirlash")</f>
        <v>0</v>
      </c>
      <c r="AU131" s="11">
        <f t="shared" si="29"/>
        <v>0</v>
      </c>
      <c r="AV131" s="11">
        <f>+COUNTIFS('muddati otgan'!C:C,A131,'muddati otgan'!J:J,"Yer toifasi va maqsadini kiritish")</f>
        <v>0</v>
      </c>
      <c r="AW131" s="11">
        <f>+COUNTIFS('muddati otgan'!C:C,A131,'muddati otgan'!J:J,"Auksion yer tekshirish")</f>
        <v>0</v>
      </c>
      <c r="AX131" s="11">
        <f>+COUNTIFS('muddati otgan'!C:C,A131,'muddati otgan'!J:J,"Yer turlarini kiritish")</f>
        <v>0</v>
      </c>
      <c r="AY131" s="11">
        <f>+COUNTIFS('muddati otgan'!C:C,A131,'muddati otgan'!J:J,"Ma'lumotlarni kiritish")</f>
        <v>0</v>
      </c>
      <c r="AZ131" s="11">
        <f>+COUNTIFS('muddati otgan'!C:C,A131,'muddati otgan'!J:J,"Yer tekshirish")</f>
        <v>0</v>
      </c>
      <c r="BA131" s="11">
        <f t="shared" si="30"/>
        <v>1</v>
      </c>
      <c r="BB131" s="11">
        <f>+COUNTIFS('muddati otgan'!C:C,A131,'muddati otgan'!J:J,"Bino va inshoot ma'lumotlarini to‘ldirish")</f>
        <v>1</v>
      </c>
      <c r="BC131" s="11">
        <f>+COUNTIFS('muddati otgan'!C:C,A131,'muddati otgan'!J:J,"Inventarizatsiya ma'lumotlarini to‘ldirish")</f>
        <v>0</v>
      </c>
      <c r="BD131" s="11">
        <f>+COUNTIFS('muddati otgan'!C:C,A131,'muddati otgan'!J:J,"Yer uchastkasiga huquqiy hujjatlarni kiritsh")</f>
        <v>0</v>
      </c>
      <c r="BE131" s="11">
        <f>+COUNTIFS('muddati otgan'!C:C,A131,'muddati otgan'!J:J,"Bino-inshootlarga huquqiy hujjatlarni kiritsh")</f>
        <v>0</v>
      </c>
      <c r="BF131" s="11">
        <f>+COUNTIFS('muddati otgan'!C:C,A131,'muddati otgan'!J:J,"Kadastr qiymatini hisoblash va kiritish")</f>
        <v>0</v>
      </c>
      <c r="BG131" s="11">
        <f>+COUNTIFS('muddati otgan'!C:C,A131,'muddati otgan'!J:J,"Kadastr raqam biriktirish")</f>
        <v>0</v>
      </c>
      <c r="BH131" s="11">
        <f>+COUNTIFS('muddati otgan'!C:C,A131,'muddati otgan'!J:J,"Kadastr yig'ma jildni tayyorlash")</f>
        <v>0</v>
      </c>
      <c r="BI131" s="11">
        <f>+COUNTIFS('muddati otgan'!C:C,A131,'muddati otgan'!J:J,"Huquqni yaratish")</f>
        <v>0</v>
      </c>
      <c r="BJ131" s="11">
        <f>+COUNTIFS('muddati otgan'!C:C,A131,'muddati otgan'!J:J,"Hujjatlarni o'rganish")</f>
        <v>0</v>
      </c>
      <c r="BK131" s="11">
        <f>+COUNTIFS('muddati otgan'!C:C,A131,'muddati otgan'!J:J,"Ma'lumotlarni tekshirish")</f>
        <v>0</v>
      </c>
      <c r="BL131" s="11">
        <f t="shared" si="31"/>
        <v>0</v>
      </c>
      <c r="BM131" s="11">
        <f>+COUNTIFS('muddati otgan'!C:C,A131,'muddati otgan'!J:J,"Tekshirish")</f>
        <v>0</v>
      </c>
      <c r="BN131" s="11">
        <f>+COUNTIFS('muddati otgan'!C:C,A131,'muddati otgan'!J:J,"Hujjatlarni tekshirish")</f>
        <v>0</v>
      </c>
      <c r="BO131" s="11">
        <f>+COUNTIFS('muddati otgan'!C:C,A131,'muddati otgan'!J:J,"Tasdiqlash")</f>
        <v>0</v>
      </c>
      <c r="BP131" s="11">
        <f>+COUNTIFS('muddati otgan'!C:C,A131,'muddati otgan'!J:J,"tekshirish/tasdiqlash")</f>
        <v>0</v>
      </c>
      <c r="BQ131" s="11">
        <f>+COUNTIFS('muddati otgan'!C:C,A131,'muddati otgan'!J:J,"Ma'lumotlarni tasdiqlash")</f>
        <v>0</v>
      </c>
      <c r="BR131" s="11">
        <f t="shared" si="32"/>
        <v>0</v>
      </c>
      <c r="BS131" s="11">
        <f>+COUNTIFS('muddati otgan'!C:C,A131,'muddati otgan'!J:J,"Ro'yxatdan o'tkazish ma'lumotlarini tekshirish")</f>
        <v>0</v>
      </c>
      <c r="BT131" s="11">
        <f>+COUNTIFS('muddati otgan'!C:C,A131,'muddati otgan'!J:J,"Kamchiliklar bo'yicha habarnoma yuborish va 3 kunga to'xtatish")</f>
        <v>0</v>
      </c>
      <c r="BU131" s="11">
        <f>+COUNTIFS('muddati otgan'!C:C,A131,'muddati otgan'!J:J,"Hisobga olish")</f>
        <v>0</v>
      </c>
      <c r="BV131" s="11">
        <f>+COUNTIFS('muddati otgan'!C:C,A131,'muddati otgan'!J:J,"Yer uchastkasiga huquq yaratish")</f>
        <v>0</v>
      </c>
      <c r="BW131" s="11">
        <f>+COUNTIFS('muddati otgan'!C:C,A131,'muddati otgan'!J:J,"Bino-inshootga huquq yaratish")</f>
        <v>0</v>
      </c>
      <c r="BX131" s="11">
        <f>+COUNTIFS('muddati otgan'!C:C,A131,'muddati otgan'!J:J,"Cheklov yaratish")</f>
        <v>0</v>
      </c>
      <c r="BY131" s="11">
        <f>+COUNTIFS('muddati otgan'!C:C,A131,'muddati otgan'!J:J,"Taqiq yaratish")</f>
        <v>0</v>
      </c>
      <c r="BZ131" s="11">
        <f t="shared" si="33"/>
        <v>0</v>
      </c>
      <c r="CA131" s="11">
        <f>+COUNTIFS('muddati otgan'!C:C,A131,'muddati otgan'!J:J,"Soliq maydonini tekshirish")</f>
        <v>0</v>
      </c>
      <c r="CB131" s="11">
        <f t="shared" si="34"/>
        <v>0</v>
      </c>
      <c r="CC131" s="11">
        <f>+COUNTIFS('muddati otgan'!C:C,A131,'muddati otgan'!J:J,"Kadastr yig'majildini shakllantirish")</f>
        <v>0</v>
      </c>
      <c r="CD131" s="11">
        <f t="shared" si="35"/>
        <v>0</v>
      </c>
      <c r="CE131" s="11">
        <f>+COUNTIFS('muddati otgan'!C:C,A131,'muddati otgan'!J:J,"Kadastr passportini shakllantirish")</f>
        <v>0</v>
      </c>
      <c r="CF131" s="11">
        <f>+COUNTIFS('muddati otgan'!C:C,A131,'muddati otgan'!J:J,"Yig'ma jildni tasdiqlash")</f>
        <v>0</v>
      </c>
      <c r="CG131" s="11">
        <f>+COUNTIFS('muddati otgan'!C:C,A131,'muddati otgan'!J:J,"To'lov yoki bepul tasdiqlash")</f>
        <v>0</v>
      </c>
      <c r="CH131" s="11">
        <f>+COUNTIFS('muddati otgan'!C:C,A131,'muddati otgan'!J:J,"Bog'liq arizani kutish")</f>
        <v>0</v>
      </c>
      <c r="CI131" s="11">
        <f>+COUNTIFS('muddati otgan'!C:C,A131,'muddati otgan'!J:J,"To'lovga chiqarish")</f>
        <v>0</v>
      </c>
      <c r="CJ131" s="11">
        <f>+COUNTIFS('muddati otgan'!C:C,A131,'muddati otgan'!J:J,"Hisobga qo'yish")</f>
        <v>0</v>
      </c>
      <c r="CK131" s="6">
        <f>+COUNTIFS('muddati otgan'!C:C,A131,'muddati otgan'!J:J,"To'lov kutilmoqda")</f>
        <v>0</v>
      </c>
      <c r="CL131" s="11">
        <f t="shared" si="36"/>
        <v>0</v>
      </c>
      <c r="CM131" s="11">
        <f>+COUNTIFS('muddati otgan'!C:C,A131,'muddati otgan'!AA:AA,"Arizani qabul qilish2")</f>
        <v>0</v>
      </c>
      <c r="CN131" s="11">
        <f>+COUNTIFS('muddati otgan'!C:C,A131,'muddati otgan'!J:J,"Huquqlarni tekshirish")</f>
        <v>0</v>
      </c>
      <c r="CO131" s="11">
        <f>+COUNTIFS('muddati otgan'!C:C,A131,'muddati otgan'!J:J,"Ko'chmas mulkni ro'yhatdan o'tkazishga qabul qilish")</f>
        <v>0</v>
      </c>
      <c r="CP131" s="11">
        <f>+COUNTIFS('muddati otgan'!C:C,A131,'muddati otgan'!J:J,"Ro'yxatdan o'tkazish")</f>
        <v>0</v>
      </c>
      <c r="CQ131" s="11">
        <f>+COUNTIFS('muddati otgan'!C:C,A131,'muddati otgan'!J:J,"Kadastr pasporti va ko'chirmani yuborish")</f>
        <v>0</v>
      </c>
      <c r="CR131" s="11">
        <f>+COUNTIFS('muddati otgan'!C:C,A131,'muddati otgan'!AA:AA,"Rad qilish2")</f>
        <v>0</v>
      </c>
      <c r="CS131" s="11">
        <f>+COUNTIFS('muddati otgan'!C:C,A131,'muddati otgan'!J:J,"Ko'chirmani yuborish")</f>
        <v>0</v>
      </c>
      <c r="CT131" s="11">
        <f>+COUNTIFS('muddati otgan'!C:C,A131,'muddati otgan'!J:J,"Ma‘lumotlarni tekshirish")</f>
        <v>0</v>
      </c>
      <c r="CU131" s="11">
        <f t="shared" si="37"/>
        <v>0</v>
      </c>
      <c r="CV131" s="11">
        <f>+COUNTIFS('muddati otgan'!C:C,A131,'muddati otgan'!J:J,"Kadastr yig'majildini chop etish va arxiv ishiga tikish")</f>
        <v>0</v>
      </c>
      <c r="CW131" s="11">
        <f t="shared" si="38"/>
        <v>0</v>
      </c>
      <c r="CX131" s="11">
        <f>+COUNTIFS('muddati otgan'!C:C,A131,'muddati otgan'!J:J,"Kadastr yig‘majildini qabul qilish, arizani yakunlash")</f>
        <v>0</v>
      </c>
      <c r="CY131" s="11">
        <f>+COUNTIFS('muddati otgan'!C:C,A131,'muddati otgan'!J:J,"Next Cloudga yuklash")</f>
        <v>0</v>
      </c>
      <c r="CZ131" s="6">
        <f>+COUNTIFS('muddati otgan'!C:C,A131,'muddati otgan'!J:J,"Kelishish kutilmoqda")</f>
        <v>0</v>
      </c>
      <c r="DA131" s="6">
        <f>+COUNTIFS('muddati otgan'!C:C,A131,'muddati otgan'!J:J,"Yakunlandi")</f>
        <v>0</v>
      </c>
      <c r="DB131" s="10">
        <f>+COUNTIFS('muddati otgan'!C:C,A131,'muddati otgan'!J:J,"Rad etildi")</f>
        <v>0</v>
      </c>
      <c r="DC131" s="100">
        <f t="shared" si="5"/>
        <v>-2</v>
      </c>
      <c r="DD131" s="44">
        <f>COUNTIFS('jami 1-20 kunlik arizalar'!C:C,A:A,'jami 1-20 kunlik arizalar'!S:S,"1")</f>
        <v>0</v>
      </c>
      <c r="DE131" s="11">
        <f>COUNTIFS('jami 1-20 kunlik arizalar'!C:C,A:A,'jami 1-20 kunlik arizalar'!S:S,"2")</f>
        <v>0</v>
      </c>
      <c r="DF131" s="11">
        <f>COUNTIFS('jami 1-20 kunlik arizalar'!C:C,A:A,'jami 1-20 kunlik arizalar'!S:S,"3")</f>
        <v>0</v>
      </c>
      <c r="DG131" s="11">
        <f>COUNTIFS('jami 1-20 kunlik arizalar'!C:C,A:A,'jami 1-20 kunlik arizalar'!S:S,"4")</f>
        <v>1</v>
      </c>
      <c r="DH131" s="11">
        <f>COUNTIFS('jami 1-20 kunlik arizalar'!C:C,A:A,'jami 1-20 kunlik arizalar'!S:S,"5")</f>
        <v>1</v>
      </c>
      <c r="DI131" s="11">
        <f>SUM(COUNTIFS('jami 1-20 kunlik arizalar'!C:C,A:A, 'jami 1-20 kunlik arizalar'!S:S, {6,7,8,9,10}))</f>
        <v>3</v>
      </c>
      <c r="DJ131" s="12">
        <f>SUM(COUNTIFS('jami 1-20 kunlik arizalar'!C:C,A:A, 'jami 1-20 kunlik arizalar'!S:S, "&gt;10"))</f>
        <v>3</v>
      </c>
    </row>
    <row r="132" spans="1:115" ht="32.1" hidden="1" customHeight="1" outlineLevel="1" x14ac:dyDescent="0.25">
      <c r="A132" s="30" t="s">
        <v>971</v>
      </c>
      <c r="B132" s="74"/>
      <c r="C132" s="85" t="s">
        <v>972</v>
      </c>
      <c r="D132" s="80">
        <f>+COUNTIFS('muddati otgan'!C:C,A132,'muddati otgan'!C:C,A132)</f>
        <v>1</v>
      </c>
      <c r="E132" s="10">
        <f>SUMIFS('muddati otgan'!$V:V,'muddati otgan'!$C:C,$A:A)</f>
        <v>0</v>
      </c>
      <c r="F132" s="10">
        <f>SUMIFS('muddati otgan'!$W:W,'muddati otgan'!$C:C,$A:A)</f>
        <v>0</v>
      </c>
      <c r="G132" s="24">
        <f>SUMIFS('muddati otgan'!$U:U,'muddati otgan'!$C:C,$A:A)</f>
        <v>1</v>
      </c>
      <c r="H132" s="11">
        <f>SUMIFS('muddati otgan'!$G:G,'muddati otgan'!$C:C,$A:A)</f>
        <v>1</v>
      </c>
      <c r="I132" s="12">
        <f>SUMIFS('muddati otgan'!$H:H,'muddati otgan'!$C:C,$A:A)</f>
        <v>0</v>
      </c>
      <c r="J132" s="44">
        <f t="shared" ref="J132" si="255">K132+P132+Q132+R132+S132+T132+U132+V132+W132+L132+O132+M132+N132+X132</f>
        <v>0</v>
      </c>
      <c r="K132" s="11">
        <f>+COUNTIFS('muddati otgan'!C:C,A132,'muddati otgan'!AA:AA,"Arizani qabul qilish")</f>
        <v>0</v>
      </c>
      <c r="L132" s="11">
        <f>+COUNTIFS('muddati otgan'!C:C,A132,'muddati otgan'!J:J,"Arizani rad etish")</f>
        <v>0</v>
      </c>
      <c r="M132" s="11">
        <f>+COUNTIFS('muddati otgan'!C:C,A132,'muddati otgan'!J:J,"Arizani tasdiqlash")</f>
        <v>0</v>
      </c>
      <c r="N132" s="11">
        <f>+COUNTIFS('muddati otgan'!C:C,A132,'muddati otgan'!J:J,"Arizani yo'naltirish")</f>
        <v>0</v>
      </c>
      <c r="O132" s="11">
        <f>+COUNTIFS('muddati otgan'!C:C,A132,'muddati otgan'!J:J,"Rad qilish sababini o'rganish")</f>
        <v>0</v>
      </c>
      <c r="P132" s="11">
        <f>+COUNTIFS('muddati otgan'!C:C,A132,'muddati otgan'!J:J,"Ko'chmas mulkni UZKAD ga migratsiya qilish")</f>
        <v>0</v>
      </c>
      <c r="Q132" s="11">
        <f>+COUNTIFS('muddati otgan'!C:C,A132,'muddati otgan'!J:J,"Migratisya qilingan obyekt holatini tekshirish")</f>
        <v>0</v>
      </c>
      <c r="R132" s="11">
        <f>+COUNTIFS('muddati otgan'!C:C,A132,'muddati otgan'!J:J,"Ko‘chmas mulkni tanlash")</f>
        <v>0</v>
      </c>
      <c r="S132" s="11">
        <f>+COUNTIFS('muddati otgan'!C:C,A132,'muddati otgan'!J:J,"Arizani ko'rib chiqish")</f>
        <v>0</v>
      </c>
      <c r="T132" s="11">
        <f>+COUNTIFS('muddati otgan'!C:C,A132,'muddati otgan'!J:J,"Kadastr muhandisini tanlash")</f>
        <v>0</v>
      </c>
      <c r="U132" s="11">
        <f>+COUNTIFS('muddati otgan'!C:C,A132,'muddati otgan'!J:J,"Ko'chmas mulk turini tanlahsh")</f>
        <v>0</v>
      </c>
      <c r="V132" s="11">
        <f>+COUNTIFS('muddati otgan'!C:C,A132,'muddati otgan'!AA:AA,"Rad qilish")</f>
        <v>0</v>
      </c>
      <c r="W132" s="11">
        <f>+COUNTIFS('muddati otgan'!C:C,A132,'muddati otgan'!J:J,"ijrochi tanlash")</f>
        <v>0</v>
      </c>
      <c r="X132" s="11">
        <f>+COUNTIFS('muddati otgan'!C:C,A132,'muddati otgan'!J:J,"Ko'chmas mulk turini tanlash")</f>
        <v>0</v>
      </c>
      <c r="Y132" s="11">
        <f t="shared" ref="Y132" si="256">Z132+AD132+AF132+AE132+AC132+AB132+AA132</f>
        <v>0</v>
      </c>
      <c r="Z132" s="11">
        <f>+COUNTIFS('muddati otgan'!C:C,A132,'muddati otgan'!J:J,"Ijroga qabul qilish")</f>
        <v>0</v>
      </c>
      <c r="AA132" s="11">
        <f>+COUNTIFS('muddati otgan'!C:C,A132,'muddati otgan'!J:J,"Joyida o'rganish va ma'lumotlarni kiritish")</f>
        <v>0</v>
      </c>
      <c r="AB132" s="11">
        <f>+COUNTIFS('muddati otgan'!C:C,A132,'muddati otgan'!J:J,"Asosiy qismdan ajratish jarayonida")</f>
        <v>0</v>
      </c>
      <c r="AC132" s="11">
        <f>+COUNTIFS('muddati otgan'!C:C,A132,'muddati otgan'!J:J,"Umumiy foydalanishdagi obyekt yaratilish")</f>
        <v>0</v>
      </c>
      <c r="AD132" s="11">
        <f>+COUNTIFS('muddati otgan'!C:C,A132,'muddati otgan'!J:J,"Migratsiya qilinadigan kadastr raqamini kiritish")</f>
        <v>0</v>
      </c>
      <c r="AE132" s="11">
        <f>+COUNTIFS('muddati otgan'!C:C,A132,'muddati otgan'!J:J,"O'zida qolgan obyektni yaratish")</f>
        <v>0</v>
      </c>
      <c r="AF132" s="11">
        <f>+COUNTIFS('muddati otgan'!C:C,A132,'muddati otgan'!J:J,"O'lchov natijalarini kiritish")</f>
        <v>0</v>
      </c>
      <c r="AG132" s="11">
        <f>+COUNTIFS('muddati otgan'!C:C,A132,'muddati otgan'!J:J,"Topoxaritani tayyorlash (dwg, pdf)")</f>
        <v>0</v>
      </c>
      <c r="AH132" s="11">
        <f t="shared" ref="AH132" si="257">AI132</f>
        <v>0</v>
      </c>
      <c r="AI132" s="11">
        <f>+COUNTIFS('muddati otgan'!C:C,A132,'muddati otgan'!J:J,"Yer uchastkasini yaratish")</f>
        <v>0</v>
      </c>
      <c r="AJ132" s="11">
        <f t="shared" ref="AJ132" si="258">AK132</f>
        <v>0</v>
      </c>
      <c r="AK132" s="11">
        <f>+COUNTIFS('muddati otgan'!C:C,A132,'muddati otgan'!J:J,"Kelishish (Boshqarma)")</f>
        <v>0</v>
      </c>
      <c r="AL132" s="11">
        <f t="shared" ref="AL132" si="259">AM132+AN132+AO132</f>
        <v>0</v>
      </c>
      <c r="AM132" s="11">
        <f>+COUNTIFS('muddati otgan'!C:C,A132,'muddati otgan'!J:J,"Kelishish (DKP)")</f>
        <v>0</v>
      </c>
      <c r="AN132" s="11">
        <f>+COUNTIFS('muddati otgan'!C:C,A132,'muddati otgan'!J:J,"Kelishish")</f>
        <v>0</v>
      </c>
      <c r="AO132" s="11">
        <f>+COUNTIFS('muddati otgan'!C:C,A132,'muddati otgan'!J:J,"Kelishish (Registratsiya DKP)")</f>
        <v>0</v>
      </c>
      <c r="AP132" s="11">
        <f t="shared" ref="AP132" si="260">AQ132+AR132+AS132+AT132</f>
        <v>0</v>
      </c>
      <c r="AQ132" s="11">
        <f>+COUNTIFS('muddati otgan'!C:C,A132,'muddati otgan'!J:J,"Manzil biriktirish")</f>
        <v>0</v>
      </c>
      <c r="AR132" s="11">
        <f>+COUNTIFS('muddati otgan'!C:C,A132,'muddati otgan'!J:J,"Bino va inshootlarni yaratish")</f>
        <v>0</v>
      </c>
      <c r="AS132" s="11">
        <f>+COUNTIFS('muddati otgan'!C:C,A132,'muddati otgan'!J:J,"Dov daraxtlarni yaratish")</f>
        <v>0</v>
      </c>
      <c r="AT132" s="11">
        <f>+COUNTIFS('muddati otgan'!C:C,A132,'muddati otgan'!J:J,"Yer uchastkasini tahrirlash")</f>
        <v>0</v>
      </c>
      <c r="AU132" s="11">
        <f t="shared" ref="AU132" si="261">AV132+AW132+AX132+AY132+AZ132</f>
        <v>0</v>
      </c>
      <c r="AV132" s="11">
        <f>+COUNTIFS('muddati otgan'!C:C,A132,'muddati otgan'!J:J,"Yer toifasi va maqsadini kiritish")</f>
        <v>0</v>
      </c>
      <c r="AW132" s="11">
        <f>+COUNTIFS('muddati otgan'!C:C,A132,'muddati otgan'!J:J,"Auksion yer tekshirish")</f>
        <v>0</v>
      </c>
      <c r="AX132" s="11">
        <f>+COUNTIFS('muddati otgan'!C:C,A132,'muddati otgan'!J:J,"Yer turlarini kiritish")</f>
        <v>0</v>
      </c>
      <c r="AY132" s="11">
        <f>+COUNTIFS('muddati otgan'!C:C,A132,'muddati otgan'!J:J,"Ma'lumotlarni kiritish")</f>
        <v>0</v>
      </c>
      <c r="AZ132" s="11">
        <f>+COUNTIFS('muddati otgan'!C:C,A132,'muddati otgan'!J:J,"Yer tekshirish")</f>
        <v>0</v>
      </c>
      <c r="BA132" s="11">
        <f t="shared" ref="BA132" si="262">BB132+BC132+BD132+BE132+BF132+BG132+BH132+BI132+BJ132+BK132</f>
        <v>0</v>
      </c>
      <c r="BB132" s="11">
        <f>+COUNTIFS('muddati otgan'!C:C,A132,'muddati otgan'!J:J,"Bino va inshoot ma'lumotlarini to‘ldirish")</f>
        <v>0</v>
      </c>
      <c r="BC132" s="11">
        <f>+COUNTIFS('muddati otgan'!C:C,A132,'muddati otgan'!J:J,"Inventarizatsiya ma'lumotlarini to‘ldirish")</f>
        <v>0</v>
      </c>
      <c r="BD132" s="11">
        <f>+COUNTIFS('muddati otgan'!C:C,A132,'muddati otgan'!J:J,"Yer uchastkasiga huquqiy hujjatlarni kiritsh")</f>
        <v>0</v>
      </c>
      <c r="BE132" s="11">
        <f>+COUNTIFS('muddati otgan'!C:C,A132,'muddati otgan'!J:J,"Bino-inshootlarga huquqiy hujjatlarni kiritsh")</f>
        <v>0</v>
      </c>
      <c r="BF132" s="11">
        <f>+COUNTIFS('muddati otgan'!C:C,A132,'muddati otgan'!J:J,"Kadastr qiymatini hisoblash va kiritish")</f>
        <v>0</v>
      </c>
      <c r="BG132" s="11">
        <f>+COUNTIFS('muddati otgan'!C:C,A132,'muddati otgan'!J:J,"Kadastr raqam biriktirish")</f>
        <v>0</v>
      </c>
      <c r="BH132" s="11">
        <f>+COUNTIFS('muddati otgan'!C:C,A132,'muddati otgan'!J:J,"Kadastr yig'ma jildni tayyorlash")</f>
        <v>0</v>
      </c>
      <c r="BI132" s="11">
        <f>+COUNTIFS('muddati otgan'!C:C,A132,'muddati otgan'!J:J,"Huquqni yaratish")</f>
        <v>0</v>
      </c>
      <c r="BJ132" s="11">
        <f>+COUNTIFS('muddati otgan'!C:C,A132,'muddati otgan'!J:J,"Hujjatlarni o'rganish")</f>
        <v>0</v>
      </c>
      <c r="BK132" s="11">
        <f>+COUNTIFS('muddati otgan'!C:C,A132,'muddati otgan'!J:J,"Ma'lumotlarni tekshirish")</f>
        <v>0</v>
      </c>
      <c r="BL132" s="11">
        <f t="shared" ref="BL132" si="263">BM132+BN132+BP132+BO132+BQ132</f>
        <v>1</v>
      </c>
      <c r="BM132" s="11">
        <f>+COUNTIFS('muddati otgan'!C:C,A132,'muddati otgan'!J:J,"Tekshirish")</f>
        <v>1</v>
      </c>
      <c r="BN132" s="11">
        <f>+COUNTIFS('muddati otgan'!C:C,A132,'muddati otgan'!J:J,"Hujjatlarni tekshirish")</f>
        <v>0</v>
      </c>
      <c r="BO132" s="11">
        <f>+COUNTIFS('muddati otgan'!C:C,A132,'muddati otgan'!J:J,"Tasdiqlash")</f>
        <v>0</v>
      </c>
      <c r="BP132" s="11">
        <f>+COUNTIFS('muddati otgan'!C:C,A132,'muddati otgan'!J:J,"tekshirish/tasdiqlash")</f>
        <v>0</v>
      </c>
      <c r="BQ132" s="11">
        <f>+COUNTIFS('muddati otgan'!C:C,A132,'muddati otgan'!J:J,"Ma'lumotlarni tasdiqlash")</f>
        <v>0</v>
      </c>
      <c r="BR132" s="11">
        <f t="shared" ref="BR132" si="264">BS132+BU132+BV132+BW132+BX132+BY132-BT132</f>
        <v>0</v>
      </c>
      <c r="BS132" s="11">
        <f>+COUNTIFS('muddati otgan'!C:C,A132,'muddati otgan'!J:J,"Ro'yxatdan o'tkazish ma'lumotlarini tekshirish")</f>
        <v>0</v>
      </c>
      <c r="BT132" s="11">
        <f>+COUNTIFS('muddati otgan'!C:C,A132,'muddati otgan'!J:J,"Kamchiliklar bo'yicha habarnoma yuborish va 3 kunga to'xtatish")</f>
        <v>0</v>
      </c>
      <c r="BU132" s="11">
        <f>+COUNTIFS('muddati otgan'!C:C,A132,'muddati otgan'!J:J,"Hisobga olish")</f>
        <v>0</v>
      </c>
      <c r="BV132" s="11">
        <f>+COUNTIFS('muddati otgan'!C:C,A132,'muddati otgan'!J:J,"Yer uchastkasiga huquq yaratish")</f>
        <v>0</v>
      </c>
      <c r="BW132" s="11">
        <f>+COUNTIFS('muddati otgan'!C:C,A132,'muddati otgan'!J:J,"Bino-inshootga huquq yaratish")</f>
        <v>0</v>
      </c>
      <c r="BX132" s="11">
        <f>+COUNTIFS('muddati otgan'!C:C,A132,'muddati otgan'!J:J,"Cheklov yaratish")</f>
        <v>0</v>
      </c>
      <c r="BY132" s="11">
        <f>+COUNTIFS('muddati otgan'!C:C,A132,'muddati otgan'!J:J,"Taqiq yaratish")</f>
        <v>0</v>
      </c>
      <c r="BZ132" s="11">
        <f t="shared" ref="BZ132" si="265">CA132</f>
        <v>0</v>
      </c>
      <c r="CA132" s="11">
        <f>+COUNTIFS('muddati otgan'!C:C,A132,'muddati otgan'!J:J,"Soliq maydonini tekshirish")</f>
        <v>0</v>
      </c>
      <c r="CB132" s="11">
        <f t="shared" ref="CB132" si="266">CC132</f>
        <v>0</v>
      </c>
      <c r="CC132" s="11">
        <f>+COUNTIFS('muddati otgan'!C:C,A132,'muddati otgan'!J:J,"Kadastr yig'majildini shakllantirish")</f>
        <v>0</v>
      </c>
      <c r="CD132" s="11">
        <f t="shared" ref="CD132" si="267">CE132+CF132+CG132+CI132+CJ132+CH132</f>
        <v>0</v>
      </c>
      <c r="CE132" s="11">
        <f>+COUNTIFS('muddati otgan'!C:C,A132,'muddati otgan'!J:J,"Kadastr passportini shakllantirish")</f>
        <v>0</v>
      </c>
      <c r="CF132" s="11">
        <f>+COUNTIFS('muddati otgan'!C:C,A132,'muddati otgan'!J:J,"Yig'ma jildni tasdiqlash")</f>
        <v>0</v>
      </c>
      <c r="CG132" s="11">
        <f>+COUNTIFS('muddati otgan'!C:C,A132,'muddati otgan'!J:J,"To'lov yoki bepul tasdiqlash")</f>
        <v>0</v>
      </c>
      <c r="CH132" s="11">
        <f>+COUNTIFS('muddati otgan'!C:C,A132,'muddati otgan'!J:J,"Bog'liq arizani kutish")</f>
        <v>0</v>
      </c>
      <c r="CI132" s="11">
        <f>+COUNTIFS('muddati otgan'!C:C,A132,'muddati otgan'!J:J,"To'lovga chiqarish")</f>
        <v>0</v>
      </c>
      <c r="CJ132" s="11">
        <f>+COUNTIFS('muddati otgan'!C:C,A132,'muddati otgan'!J:J,"Hisobga qo'yish")</f>
        <v>0</v>
      </c>
      <c r="CK132" s="6">
        <f>+COUNTIFS('muddati otgan'!C:C,A132,'muddati otgan'!J:J,"To'lov kutilmoqda")</f>
        <v>0</v>
      </c>
      <c r="CL132" s="11">
        <f t="shared" ref="CL132" si="268">CM132+CN132+CO132+CP132+CQ132+CR132+CS132+CT132</f>
        <v>0</v>
      </c>
      <c r="CM132" s="11">
        <f>+COUNTIFS('muddati otgan'!C:C,A132,'muddati otgan'!AA:AA,"Arizani qabul qilish2")</f>
        <v>0</v>
      </c>
      <c r="CN132" s="11">
        <f>+COUNTIFS('muddati otgan'!C:C,A132,'muddati otgan'!J:J,"Huquqlarni tekshirish")</f>
        <v>0</v>
      </c>
      <c r="CO132" s="11">
        <f>+COUNTIFS('muddati otgan'!C:C,A132,'muddati otgan'!J:J,"Ko'chmas mulkni ro'yhatdan o'tkazishga qabul qilish")</f>
        <v>0</v>
      </c>
      <c r="CP132" s="11">
        <f>+COUNTIFS('muddati otgan'!C:C,A132,'muddati otgan'!J:J,"Ro'yxatdan o'tkazish")</f>
        <v>0</v>
      </c>
      <c r="CQ132" s="11">
        <f>+COUNTIFS('muddati otgan'!C:C,A132,'muddati otgan'!J:J,"Kadastr pasporti va ko'chirmani yuborish")</f>
        <v>0</v>
      </c>
      <c r="CR132" s="11">
        <f>+COUNTIFS('muddati otgan'!C:C,A132,'muddati otgan'!AA:AA,"Rad qilish2")</f>
        <v>0</v>
      </c>
      <c r="CS132" s="11">
        <f>+COUNTIFS('muddati otgan'!C:C,A132,'muddati otgan'!J:J,"Ko'chirmani yuborish")</f>
        <v>0</v>
      </c>
      <c r="CT132" s="11">
        <f>+COUNTIFS('muddati otgan'!C:C,A132,'muddati otgan'!J:J,"Ma‘lumotlarni tekshirish")</f>
        <v>0</v>
      </c>
      <c r="CU132" s="11">
        <f t="shared" ref="CU132" si="269">CV132</f>
        <v>0</v>
      </c>
      <c r="CV132" s="11">
        <f>+COUNTIFS('muddati otgan'!C:C,A132,'muddati otgan'!J:J,"Kadastr yig'majildini chop etish va arxiv ishiga tikish")</f>
        <v>0</v>
      </c>
      <c r="CW132" s="11">
        <f t="shared" ref="CW132" si="270">CX132+CY132</f>
        <v>0</v>
      </c>
      <c r="CX132" s="11">
        <f>+COUNTIFS('muddati otgan'!C:C,A132,'muddati otgan'!J:J,"Kadastr yig‘majildini qabul qilish, arizani yakunlash")</f>
        <v>0</v>
      </c>
      <c r="CY132" s="11">
        <f>+COUNTIFS('muddati otgan'!C:C,A132,'muddati otgan'!J:J,"Next Cloudga yuklash")</f>
        <v>0</v>
      </c>
      <c r="CZ132" s="6">
        <f>+COUNTIFS('muddati otgan'!C:C,A132,'muddati otgan'!J:J,"Kelishish kutilmoqda")</f>
        <v>0</v>
      </c>
      <c r="DA132" s="6">
        <f>+COUNTIFS('muddati otgan'!C:C,A132,'muddati otgan'!J:J,"Yakunlandi")</f>
        <v>0</v>
      </c>
      <c r="DB132" s="10">
        <f>+COUNTIFS('muddati otgan'!C:C,A132,'muddati otgan'!J:J,"Rad etildi")</f>
        <v>0</v>
      </c>
      <c r="DC132" s="100">
        <f t="shared" ref="DC132" si="271">CK132+CZ132+DA132+DB132-D132</f>
        <v>-1</v>
      </c>
      <c r="DD132" s="44">
        <f>COUNTIFS('jami 1-20 kunlik arizalar'!C:C,A:A,'jami 1-20 kunlik arizalar'!S:S,"1")</f>
        <v>0</v>
      </c>
      <c r="DE132" s="11">
        <f>COUNTIFS('jami 1-20 kunlik arizalar'!C:C,A:A,'jami 1-20 kunlik arizalar'!S:S,"2")</f>
        <v>0</v>
      </c>
      <c r="DF132" s="11">
        <f>COUNTIFS('jami 1-20 kunlik arizalar'!C:C,A:A,'jami 1-20 kunlik arizalar'!S:S,"3")</f>
        <v>1</v>
      </c>
      <c r="DG132" s="11">
        <f>COUNTIFS('jami 1-20 kunlik arizalar'!C:C,A:A,'jami 1-20 kunlik arizalar'!S:S,"4")</f>
        <v>0</v>
      </c>
      <c r="DH132" s="11">
        <f>COUNTIFS('jami 1-20 kunlik arizalar'!C:C,A:A,'jami 1-20 kunlik arizalar'!S:S,"5")</f>
        <v>0</v>
      </c>
      <c r="DI132" s="11">
        <f>SUM(COUNTIFS('jami 1-20 kunlik arizalar'!C:C,A:A, 'jami 1-20 kunlik arizalar'!S:S, {6,7,8,9,10}))</f>
        <v>4</v>
      </c>
      <c r="DJ132" s="12">
        <f>SUM(COUNTIFS('jami 1-20 kunlik arizalar'!C:C,A:A, 'jami 1-20 kunlik arizalar'!S:S, "&gt;10"))</f>
        <v>7</v>
      </c>
    </row>
    <row r="133" spans="1:115" ht="32.1" hidden="1" customHeight="1" outlineLevel="1" x14ac:dyDescent="0.25">
      <c r="A133" s="92" t="s">
        <v>621</v>
      </c>
      <c r="B133" s="74"/>
      <c r="C133" s="85" t="s">
        <v>835</v>
      </c>
      <c r="D133" s="80">
        <f>+COUNTIFS('muddati otgan'!C:C,A133,'muddati otgan'!C:C,A133)</f>
        <v>0</v>
      </c>
      <c r="E133" s="10">
        <f>SUMIFS('muddati otgan'!$V:V,'muddati otgan'!$C:C,$A:A)</f>
        <v>0</v>
      </c>
      <c r="F133" s="10">
        <f>SUMIFS('muddati otgan'!$W:W,'muddati otgan'!$C:C,$A:A)</f>
        <v>0</v>
      </c>
      <c r="G133" s="24">
        <f>SUMIFS('muddati otgan'!$U:U,'muddati otgan'!$C:C,$A:A)</f>
        <v>0</v>
      </c>
      <c r="H133" s="11">
        <f>SUMIFS('muddati otgan'!$G:G,'muddati otgan'!$C:C,$A:A)</f>
        <v>0</v>
      </c>
      <c r="I133" s="12">
        <f>SUMIFS('muddati otgan'!$H:H,'muddati otgan'!$C:C,$A:A)</f>
        <v>0</v>
      </c>
      <c r="J133" s="44">
        <f t="shared" si="23"/>
        <v>0</v>
      </c>
      <c r="K133" s="11">
        <f>+COUNTIFS('muddati otgan'!C:C,A133,'muddati otgan'!AA:AA,"Arizani qabul qilish")</f>
        <v>0</v>
      </c>
      <c r="L133" s="11">
        <f>+COUNTIFS('muddati otgan'!C:C,A133,'muddati otgan'!J:J,"Arizani rad etish")</f>
        <v>0</v>
      </c>
      <c r="M133" s="11">
        <f>+COUNTIFS('muddati otgan'!C:C,A133,'muddati otgan'!J:J,"Arizani tasdiqlash")</f>
        <v>0</v>
      </c>
      <c r="N133" s="11">
        <f>+COUNTIFS('muddati otgan'!C:C,A133,'muddati otgan'!J:J,"Arizani yo'naltirish")</f>
        <v>0</v>
      </c>
      <c r="O133" s="11">
        <f>+COUNTIFS('muddati otgan'!C:C,A133,'muddati otgan'!J:J,"Rad qilish sababini o'rganish")</f>
        <v>0</v>
      </c>
      <c r="P133" s="11">
        <f>+COUNTIFS('muddati otgan'!C:C,A133,'muddati otgan'!J:J,"Ko'chmas mulkni UZKAD ga migratsiya qilish")</f>
        <v>0</v>
      </c>
      <c r="Q133" s="11">
        <f>+COUNTIFS('muddati otgan'!C:C,A133,'muddati otgan'!J:J,"Migratisya qilingan obyekt holatini tekshirish")</f>
        <v>0</v>
      </c>
      <c r="R133" s="11">
        <f>+COUNTIFS('muddati otgan'!C:C,A133,'muddati otgan'!J:J,"Ko‘chmas mulkni tanlash")</f>
        <v>0</v>
      </c>
      <c r="S133" s="11">
        <f>+COUNTIFS('muddati otgan'!C:C,A133,'muddati otgan'!J:J,"Arizani ko'rib chiqish")</f>
        <v>0</v>
      </c>
      <c r="T133" s="11">
        <f>+COUNTIFS('muddati otgan'!C:C,A133,'muddati otgan'!J:J,"Kadastr muhandisini tanlash")</f>
        <v>0</v>
      </c>
      <c r="U133" s="11">
        <f>+COUNTIFS('muddati otgan'!C:C,A133,'muddati otgan'!J:J,"Ko'chmas mulk turini tanlahsh")</f>
        <v>0</v>
      </c>
      <c r="V133" s="11">
        <f>+COUNTIFS('muddati otgan'!C:C,A133,'muddati otgan'!AA:AA,"Rad qilish")</f>
        <v>0</v>
      </c>
      <c r="W133" s="11">
        <f>+COUNTIFS('muddati otgan'!C:C,A133,'muddati otgan'!J:J,"ijrochi tanlash")</f>
        <v>0</v>
      </c>
      <c r="X133" s="11">
        <f>+COUNTIFS('muddati otgan'!C:C,A133,'muddati otgan'!J:J,"Ko'chmas mulk turini tanlash")</f>
        <v>0</v>
      </c>
      <c r="Y133" s="11">
        <f t="shared" si="24"/>
        <v>0</v>
      </c>
      <c r="Z133" s="11">
        <f>+COUNTIFS('muddati otgan'!C:C,A133,'muddati otgan'!J:J,"Ijroga qabul qilish")</f>
        <v>0</v>
      </c>
      <c r="AA133" s="11">
        <f>+COUNTIFS('muddati otgan'!C:C,A133,'muddati otgan'!J:J,"Joyida o'rganish va ma'lumotlarni kiritish")</f>
        <v>0</v>
      </c>
      <c r="AB133" s="11">
        <f>+COUNTIFS('muddati otgan'!C:C,A133,'muddati otgan'!J:J,"Asosiy qismdan ajratish jarayonida")</f>
        <v>0</v>
      </c>
      <c r="AC133" s="11">
        <f>+COUNTIFS('muddati otgan'!C:C,A133,'muddati otgan'!J:J,"Umumiy foydalanishdagi obyekt yaratilish")</f>
        <v>0</v>
      </c>
      <c r="AD133" s="11">
        <f>+COUNTIFS('muddati otgan'!C:C,A133,'muddati otgan'!J:J,"Migratsiya qilinadigan kadastr raqamini kiritish")</f>
        <v>0</v>
      </c>
      <c r="AE133" s="11">
        <f>+COUNTIFS('muddati otgan'!C:C,A133,'muddati otgan'!J:J,"O'zida qolgan obyektni yaratish")</f>
        <v>0</v>
      </c>
      <c r="AF133" s="11">
        <f>+COUNTIFS('muddati otgan'!C:C,A133,'muddati otgan'!J:J,"O'lchov natijalarini kiritish")</f>
        <v>0</v>
      </c>
      <c r="AG133" s="11">
        <f>+COUNTIFS('muddati otgan'!C:C,A133,'muddati otgan'!J:J,"Topoxaritani tayyorlash (dwg, pdf)")</f>
        <v>0</v>
      </c>
      <c r="AH133" s="11">
        <f t="shared" si="25"/>
        <v>0</v>
      </c>
      <c r="AI133" s="11">
        <f>+COUNTIFS('muddati otgan'!C:C,A133,'muddati otgan'!J:J,"Yer uchastkasini yaratish")</f>
        <v>0</v>
      </c>
      <c r="AJ133" s="11">
        <f t="shared" si="26"/>
        <v>0</v>
      </c>
      <c r="AK133" s="11">
        <f>+COUNTIFS('muddati otgan'!C:C,A133,'muddati otgan'!J:J,"Kelishish (Boshqarma)")</f>
        <v>0</v>
      </c>
      <c r="AL133" s="11">
        <f t="shared" si="27"/>
        <v>0</v>
      </c>
      <c r="AM133" s="11">
        <f>+COUNTIFS('muddati otgan'!C:C,A133,'muddati otgan'!J:J,"Kelishish (DKP)")</f>
        <v>0</v>
      </c>
      <c r="AN133" s="11">
        <f>+COUNTIFS('muddati otgan'!C:C,A133,'muddati otgan'!J:J,"Kelishish")</f>
        <v>0</v>
      </c>
      <c r="AO133" s="11">
        <f>+COUNTIFS('muddati otgan'!C:C,A133,'muddati otgan'!J:J,"Kelishish (Registratsiya DKP)")</f>
        <v>0</v>
      </c>
      <c r="AP133" s="11">
        <f t="shared" si="28"/>
        <v>0</v>
      </c>
      <c r="AQ133" s="11">
        <f>+COUNTIFS('muddati otgan'!C:C,A133,'muddati otgan'!J:J,"Manzil biriktirish")</f>
        <v>0</v>
      </c>
      <c r="AR133" s="11">
        <f>+COUNTIFS('muddati otgan'!C:C,A133,'muddati otgan'!J:J,"Bino va inshootlarni yaratish")</f>
        <v>0</v>
      </c>
      <c r="AS133" s="11">
        <f>+COUNTIFS('muddati otgan'!C:C,A133,'muddati otgan'!J:J,"Dov daraxtlarni yaratish")</f>
        <v>0</v>
      </c>
      <c r="AT133" s="11">
        <f>+COUNTIFS('muddati otgan'!C:C,A133,'muddati otgan'!J:J,"Yer uchastkasini tahrirlash")</f>
        <v>0</v>
      </c>
      <c r="AU133" s="11">
        <f t="shared" si="29"/>
        <v>0</v>
      </c>
      <c r="AV133" s="11">
        <f>+COUNTIFS('muddati otgan'!C:C,A133,'muddati otgan'!J:J,"Yer toifasi va maqsadini kiritish")</f>
        <v>0</v>
      </c>
      <c r="AW133" s="11">
        <f>+COUNTIFS('muddati otgan'!C:C,A133,'muddati otgan'!J:J,"Auksion yer tekshirish")</f>
        <v>0</v>
      </c>
      <c r="AX133" s="11">
        <f>+COUNTIFS('muddati otgan'!C:C,A133,'muddati otgan'!J:J,"Yer turlarini kiritish")</f>
        <v>0</v>
      </c>
      <c r="AY133" s="11">
        <f>+COUNTIFS('muddati otgan'!C:C,A133,'muddati otgan'!J:J,"Ma'lumotlarni kiritish")</f>
        <v>0</v>
      </c>
      <c r="AZ133" s="11">
        <f>+COUNTIFS('muddati otgan'!C:C,A133,'muddati otgan'!J:J,"Yer tekshirish")</f>
        <v>0</v>
      </c>
      <c r="BA133" s="11">
        <f t="shared" si="30"/>
        <v>0</v>
      </c>
      <c r="BB133" s="11">
        <f>+COUNTIFS('muddati otgan'!C:C,A133,'muddati otgan'!J:J,"Bino va inshoot ma'lumotlarini to‘ldirish")</f>
        <v>0</v>
      </c>
      <c r="BC133" s="11">
        <f>+COUNTIFS('muddati otgan'!C:C,A133,'muddati otgan'!J:J,"Inventarizatsiya ma'lumotlarini to‘ldirish")</f>
        <v>0</v>
      </c>
      <c r="BD133" s="11">
        <f>+COUNTIFS('muddati otgan'!C:C,A133,'muddati otgan'!J:J,"Yer uchastkasiga huquqiy hujjatlarni kiritsh")</f>
        <v>0</v>
      </c>
      <c r="BE133" s="11">
        <f>+COUNTIFS('muddati otgan'!C:C,A133,'muddati otgan'!J:J,"Bino-inshootlarga huquqiy hujjatlarni kiritsh")</f>
        <v>0</v>
      </c>
      <c r="BF133" s="11">
        <f>+COUNTIFS('muddati otgan'!C:C,A133,'muddati otgan'!J:J,"Kadastr qiymatini hisoblash va kiritish")</f>
        <v>0</v>
      </c>
      <c r="BG133" s="11">
        <f>+COUNTIFS('muddati otgan'!C:C,A133,'muddati otgan'!J:J,"Kadastr raqam biriktirish")</f>
        <v>0</v>
      </c>
      <c r="BH133" s="11">
        <f>+COUNTIFS('muddati otgan'!C:C,A133,'muddati otgan'!J:J,"Kadastr yig'ma jildni tayyorlash")</f>
        <v>0</v>
      </c>
      <c r="BI133" s="11">
        <f>+COUNTIFS('muddati otgan'!C:C,A133,'muddati otgan'!J:J,"Huquqni yaratish")</f>
        <v>0</v>
      </c>
      <c r="BJ133" s="11">
        <f>+COUNTIFS('muddati otgan'!C:C,A133,'muddati otgan'!J:J,"Hujjatlarni o'rganish")</f>
        <v>0</v>
      </c>
      <c r="BK133" s="11">
        <f>+COUNTIFS('muddati otgan'!C:C,A133,'muddati otgan'!J:J,"Ma'lumotlarni tekshirish")</f>
        <v>0</v>
      </c>
      <c r="BL133" s="11">
        <f t="shared" si="31"/>
        <v>0</v>
      </c>
      <c r="BM133" s="11">
        <f>+COUNTIFS('muddati otgan'!C:C,A133,'muddati otgan'!J:J,"Tekshirish")</f>
        <v>0</v>
      </c>
      <c r="BN133" s="11">
        <f>+COUNTIFS('muddati otgan'!C:C,A133,'muddati otgan'!J:J,"Hujjatlarni tekshirish")</f>
        <v>0</v>
      </c>
      <c r="BO133" s="11">
        <f>+COUNTIFS('muddati otgan'!C:C,A133,'muddati otgan'!J:J,"Tasdiqlash")</f>
        <v>0</v>
      </c>
      <c r="BP133" s="11">
        <f>+COUNTIFS('muddati otgan'!C:C,A133,'muddati otgan'!J:J,"tekshirish/tasdiqlash")</f>
        <v>0</v>
      </c>
      <c r="BQ133" s="11">
        <f>+COUNTIFS('muddati otgan'!C:C,A133,'muddati otgan'!J:J,"Ma'lumotlarni tasdiqlash")</f>
        <v>0</v>
      </c>
      <c r="BR133" s="11">
        <f t="shared" si="32"/>
        <v>0</v>
      </c>
      <c r="BS133" s="11">
        <f>+COUNTIFS('muddati otgan'!C:C,A133,'muddati otgan'!J:J,"Ro'yxatdan o'tkazish ma'lumotlarini tekshirish")</f>
        <v>0</v>
      </c>
      <c r="BT133" s="11">
        <f>+COUNTIFS('muddati otgan'!C:C,A133,'muddati otgan'!J:J,"Kamchiliklar bo'yicha habarnoma yuborish va 3 kunga to'xtatish")</f>
        <v>0</v>
      </c>
      <c r="BU133" s="11">
        <f>+COUNTIFS('muddati otgan'!C:C,A133,'muddati otgan'!J:J,"Hisobga olish")</f>
        <v>0</v>
      </c>
      <c r="BV133" s="11">
        <f>+COUNTIFS('muddati otgan'!C:C,A133,'muddati otgan'!J:J,"Yer uchastkasiga huquq yaratish")</f>
        <v>0</v>
      </c>
      <c r="BW133" s="11">
        <f>+COUNTIFS('muddati otgan'!C:C,A133,'muddati otgan'!J:J,"Bino-inshootga huquq yaratish")</f>
        <v>0</v>
      </c>
      <c r="BX133" s="11">
        <f>+COUNTIFS('muddati otgan'!C:C,A133,'muddati otgan'!J:J,"Cheklov yaratish")</f>
        <v>0</v>
      </c>
      <c r="BY133" s="11">
        <f>+COUNTIFS('muddati otgan'!C:C,A133,'muddati otgan'!J:J,"Taqiq yaratish")</f>
        <v>0</v>
      </c>
      <c r="BZ133" s="11">
        <f t="shared" si="33"/>
        <v>0</v>
      </c>
      <c r="CA133" s="11">
        <f>+COUNTIFS('muddati otgan'!C:C,A133,'muddati otgan'!J:J,"Soliq maydonini tekshirish")</f>
        <v>0</v>
      </c>
      <c r="CB133" s="11">
        <f t="shared" si="34"/>
        <v>0</v>
      </c>
      <c r="CC133" s="11">
        <f>+COUNTIFS('muddati otgan'!C:C,A133,'muddati otgan'!J:J,"Kadastr yig'majildini shakllantirish")</f>
        <v>0</v>
      </c>
      <c r="CD133" s="11">
        <f t="shared" si="35"/>
        <v>0</v>
      </c>
      <c r="CE133" s="11">
        <f>+COUNTIFS('muddati otgan'!C:C,A133,'muddati otgan'!J:J,"Kadastr passportini shakllantirish")</f>
        <v>0</v>
      </c>
      <c r="CF133" s="11">
        <f>+COUNTIFS('muddati otgan'!C:C,A133,'muddati otgan'!J:J,"Yig'ma jildni tasdiqlash")</f>
        <v>0</v>
      </c>
      <c r="CG133" s="11">
        <f>+COUNTIFS('muddati otgan'!C:C,A133,'muddati otgan'!J:J,"To'lov yoki bepul tasdiqlash")</f>
        <v>0</v>
      </c>
      <c r="CH133" s="11">
        <f>+COUNTIFS('muddati otgan'!C:C,A133,'muddati otgan'!J:J,"Bog'liq arizani kutish")</f>
        <v>0</v>
      </c>
      <c r="CI133" s="11">
        <f>+COUNTIFS('muddati otgan'!C:C,A133,'muddati otgan'!J:J,"To'lovga chiqarish")</f>
        <v>0</v>
      </c>
      <c r="CJ133" s="11">
        <f>+COUNTIFS('muddati otgan'!C:C,A133,'muddati otgan'!J:J,"Hisobga qo'yish")</f>
        <v>0</v>
      </c>
      <c r="CK133" s="6">
        <f>+COUNTIFS('muddati otgan'!C:C,A133,'muddati otgan'!J:J,"To'lov kutilmoqda")</f>
        <v>0</v>
      </c>
      <c r="CL133" s="11">
        <f t="shared" si="36"/>
        <v>0</v>
      </c>
      <c r="CM133" s="11">
        <f>+COUNTIFS('muddati otgan'!C:C,A133,'muddati otgan'!AA:AA,"Arizani qabul qilish2")</f>
        <v>0</v>
      </c>
      <c r="CN133" s="11">
        <f>+COUNTIFS('muddati otgan'!C:C,A133,'muddati otgan'!J:J,"Huquqlarni tekshirish")</f>
        <v>0</v>
      </c>
      <c r="CO133" s="11">
        <f>+COUNTIFS('muddati otgan'!C:C,A133,'muddati otgan'!J:J,"Ko'chmas mulkni ro'yhatdan o'tkazishga qabul qilish")</f>
        <v>0</v>
      </c>
      <c r="CP133" s="11">
        <f>+COUNTIFS('muddati otgan'!C:C,A133,'muddati otgan'!J:J,"Ro'yxatdan o'tkazish")</f>
        <v>0</v>
      </c>
      <c r="CQ133" s="11">
        <f>+COUNTIFS('muddati otgan'!C:C,A133,'muddati otgan'!J:J,"Kadastr pasporti va ko'chirmani yuborish")</f>
        <v>0</v>
      </c>
      <c r="CR133" s="11">
        <f>+COUNTIFS('muddati otgan'!C:C,A133,'muddati otgan'!AA:AA,"Rad qilish2")</f>
        <v>0</v>
      </c>
      <c r="CS133" s="11">
        <f>+COUNTIFS('muddati otgan'!C:C,A133,'muddati otgan'!J:J,"Ko'chirmani yuborish")</f>
        <v>0</v>
      </c>
      <c r="CT133" s="11">
        <f>+COUNTIFS('muddati otgan'!C:C,A133,'muddati otgan'!J:J,"Ma‘lumotlarni tekshirish")</f>
        <v>0</v>
      </c>
      <c r="CU133" s="11">
        <f t="shared" si="37"/>
        <v>0</v>
      </c>
      <c r="CV133" s="11">
        <f>+COUNTIFS('muddati otgan'!C:C,A133,'muddati otgan'!J:J,"Kadastr yig'majildini chop etish va arxiv ishiga tikish")</f>
        <v>0</v>
      </c>
      <c r="CW133" s="11">
        <f t="shared" si="38"/>
        <v>0</v>
      </c>
      <c r="CX133" s="11">
        <f>+COUNTIFS('muddati otgan'!C:C,A133,'muddati otgan'!J:J,"Kadastr yig‘majildini qabul qilish, arizani yakunlash")</f>
        <v>0</v>
      </c>
      <c r="CY133" s="11">
        <f>+COUNTIFS('muddati otgan'!C:C,A133,'muddati otgan'!J:J,"Next Cloudga yuklash")</f>
        <v>0</v>
      </c>
      <c r="CZ133" s="6">
        <f>+COUNTIFS('muddati otgan'!C:C,A133,'muddati otgan'!J:J,"Kelishish kutilmoqda")</f>
        <v>0</v>
      </c>
      <c r="DA133" s="6">
        <f>+COUNTIFS('muddati otgan'!C:C,A133,'muddati otgan'!J:J,"Yakunlandi")</f>
        <v>0</v>
      </c>
      <c r="DB133" s="10">
        <f>+COUNTIFS('muddati otgan'!C:C,A133,'muddati otgan'!J:J,"Rad etildi")</f>
        <v>0</v>
      </c>
      <c r="DC133" s="100">
        <f t="shared" si="5"/>
        <v>0</v>
      </c>
      <c r="DD133" s="44">
        <f>COUNTIFS('jami 1-20 kunlik arizalar'!C:C,A:A,'jami 1-20 kunlik arizalar'!S:S,"1")</f>
        <v>0</v>
      </c>
      <c r="DE133" s="11">
        <f>COUNTIFS('jami 1-20 kunlik arizalar'!C:C,A:A,'jami 1-20 kunlik arizalar'!S:S,"2")</f>
        <v>0</v>
      </c>
      <c r="DF133" s="11">
        <f>COUNTIFS('jami 1-20 kunlik arizalar'!C:C,A:A,'jami 1-20 kunlik arizalar'!S:S,"3")</f>
        <v>0</v>
      </c>
      <c r="DG133" s="11">
        <f>COUNTIFS('jami 1-20 kunlik arizalar'!C:C,A:A,'jami 1-20 kunlik arizalar'!S:S,"4")</f>
        <v>0</v>
      </c>
      <c r="DH133" s="11">
        <f>COUNTIFS('jami 1-20 kunlik arizalar'!C:C,A:A,'jami 1-20 kunlik arizalar'!S:S,"5")</f>
        <v>2</v>
      </c>
      <c r="DI133" s="11">
        <f>SUM(COUNTIFS('jami 1-20 kunlik arizalar'!C:C,A:A, 'jami 1-20 kunlik arizalar'!S:S, {6,7,8,9,10}))</f>
        <v>5</v>
      </c>
      <c r="DJ133" s="12">
        <f>SUM(COUNTIFS('jami 1-20 kunlik arizalar'!C:C,A:A, 'jami 1-20 kunlik arizalar'!S:S, "&gt;10"))</f>
        <v>2</v>
      </c>
    </row>
    <row r="134" spans="1:115" ht="32.1" hidden="1" customHeight="1" outlineLevel="1" x14ac:dyDescent="0.25">
      <c r="A134" s="92" t="s">
        <v>672</v>
      </c>
      <c r="B134" s="74"/>
      <c r="C134" s="85" t="s">
        <v>836</v>
      </c>
      <c r="D134" s="80">
        <f>+COUNTIFS('muddati otgan'!C:C,A134,'muddati otgan'!C:C,A134)</f>
        <v>0</v>
      </c>
      <c r="E134" s="10">
        <f>SUMIFS('muddati otgan'!$V:V,'muddati otgan'!$C:C,$A:A)</f>
        <v>0</v>
      </c>
      <c r="F134" s="10">
        <f>SUMIFS('muddati otgan'!$W:W,'muddati otgan'!$C:C,$A:A)</f>
        <v>0</v>
      </c>
      <c r="G134" s="24">
        <f>SUMIFS('muddati otgan'!$U:U,'muddati otgan'!$C:C,$A:A)</f>
        <v>0</v>
      </c>
      <c r="H134" s="11">
        <f>SUMIFS('muddati otgan'!$G:G,'muddati otgan'!$C:C,$A:A)</f>
        <v>0</v>
      </c>
      <c r="I134" s="12">
        <f>SUMIFS('muddati otgan'!$H:H,'muddati otgan'!$C:C,$A:A)</f>
        <v>0</v>
      </c>
      <c r="J134" s="44">
        <f t="shared" si="23"/>
        <v>0</v>
      </c>
      <c r="K134" s="11">
        <f>+COUNTIFS('muddati otgan'!C:C,A134,'muddati otgan'!AA:AA,"Arizani qabul qilish")</f>
        <v>0</v>
      </c>
      <c r="L134" s="11">
        <f>+COUNTIFS('muddati otgan'!C:C,A134,'muddati otgan'!J:J,"Arizani rad etish")</f>
        <v>0</v>
      </c>
      <c r="M134" s="11">
        <f>+COUNTIFS('muddati otgan'!C:C,A134,'muddati otgan'!J:J,"Arizani tasdiqlash")</f>
        <v>0</v>
      </c>
      <c r="N134" s="11">
        <f>+COUNTIFS('muddati otgan'!C:C,A134,'muddati otgan'!J:J,"Arizani yo'naltirish")</f>
        <v>0</v>
      </c>
      <c r="O134" s="11">
        <f>+COUNTIFS('muddati otgan'!C:C,A134,'muddati otgan'!J:J,"Rad qilish sababini o'rganish")</f>
        <v>0</v>
      </c>
      <c r="P134" s="11">
        <f>+COUNTIFS('muddati otgan'!C:C,A134,'muddati otgan'!J:J,"Ko'chmas mulkni UZKAD ga migratsiya qilish")</f>
        <v>0</v>
      </c>
      <c r="Q134" s="11">
        <f>+COUNTIFS('muddati otgan'!C:C,A134,'muddati otgan'!J:J,"Migratisya qilingan obyekt holatini tekshirish")</f>
        <v>0</v>
      </c>
      <c r="R134" s="11">
        <f>+COUNTIFS('muddati otgan'!C:C,A134,'muddati otgan'!J:J,"Ko‘chmas mulkni tanlash")</f>
        <v>0</v>
      </c>
      <c r="S134" s="11">
        <f>+COUNTIFS('muddati otgan'!C:C,A134,'muddati otgan'!J:J,"Arizani ko'rib chiqish")</f>
        <v>0</v>
      </c>
      <c r="T134" s="11">
        <f>+COUNTIFS('muddati otgan'!C:C,A134,'muddati otgan'!J:J,"Kadastr muhandisini tanlash")</f>
        <v>0</v>
      </c>
      <c r="U134" s="11">
        <f>+COUNTIFS('muddati otgan'!C:C,A134,'muddati otgan'!J:J,"Ko'chmas mulk turini tanlahsh")</f>
        <v>0</v>
      </c>
      <c r="V134" s="11">
        <f>+COUNTIFS('muddati otgan'!C:C,A134,'muddati otgan'!AA:AA,"Rad qilish")</f>
        <v>0</v>
      </c>
      <c r="W134" s="11">
        <f>+COUNTIFS('muddati otgan'!C:C,A134,'muddati otgan'!J:J,"ijrochi tanlash")</f>
        <v>0</v>
      </c>
      <c r="X134" s="11">
        <f>+COUNTIFS('muddati otgan'!C:C,A134,'muddati otgan'!J:J,"Ko'chmas mulk turini tanlash")</f>
        <v>0</v>
      </c>
      <c r="Y134" s="11">
        <f t="shared" si="24"/>
        <v>0</v>
      </c>
      <c r="Z134" s="11">
        <f>+COUNTIFS('muddati otgan'!C:C,A134,'muddati otgan'!J:J,"Ijroga qabul qilish")</f>
        <v>0</v>
      </c>
      <c r="AA134" s="11">
        <f>+COUNTIFS('muddati otgan'!C:C,A134,'muddati otgan'!J:J,"Joyida o'rganish va ma'lumotlarni kiritish")</f>
        <v>0</v>
      </c>
      <c r="AB134" s="11">
        <f>+COUNTIFS('muddati otgan'!C:C,A134,'muddati otgan'!J:J,"Asosiy qismdan ajratish jarayonida")</f>
        <v>0</v>
      </c>
      <c r="AC134" s="11">
        <f>+COUNTIFS('muddati otgan'!C:C,A134,'muddati otgan'!J:J,"Umumiy foydalanishdagi obyekt yaratilish")</f>
        <v>0</v>
      </c>
      <c r="AD134" s="11">
        <f>+COUNTIFS('muddati otgan'!C:C,A134,'muddati otgan'!J:J,"Migratsiya qilinadigan kadastr raqamini kiritish")</f>
        <v>0</v>
      </c>
      <c r="AE134" s="11">
        <f>+COUNTIFS('muddati otgan'!C:C,A134,'muddati otgan'!J:J,"O'zida qolgan obyektni yaratish")</f>
        <v>0</v>
      </c>
      <c r="AF134" s="11">
        <f>+COUNTIFS('muddati otgan'!C:C,A134,'muddati otgan'!J:J,"O'lchov natijalarini kiritish")</f>
        <v>0</v>
      </c>
      <c r="AG134" s="11">
        <f>+COUNTIFS('muddati otgan'!C:C,A134,'muddati otgan'!J:J,"Topoxaritani tayyorlash (dwg, pdf)")</f>
        <v>0</v>
      </c>
      <c r="AH134" s="11">
        <f t="shared" si="25"/>
        <v>0</v>
      </c>
      <c r="AI134" s="11">
        <f>+COUNTIFS('muddati otgan'!C:C,A134,'muddati otgan'!J:J,"Yer uchastkasini yaratish")</f>
        <v>0</v>
      </c>
      <c r="AJ134" s="11">
        <f t="shared" si="26"/>
        <v>0</v>
      </c>
      <c r="AK134" s="11">
        <f>+COUNTIFS('muddati otgan'!C:C,A134,'muddati otgan'!J:J,"Kelishish (Boshqarma)")</f>
        <v>0</v>
      </c>
      <c r="AL134" s="11">
        <f t="shared" si="27"/>
        <v>0</v>
      </c>
      <c r="AM134" s="11">
        <f>+COUNTIFS('muddati otgan'!C:C,A134,'muddati otgan'!J:J,"Kelishish (DKP)")</f>
        <v>0</v>
      </c>
      <c r="AN134" s="11">
        <f>+COUNTIFS('muddati otgan'!C:C,A134,'muddati otgan'!J:J,"Kelishish")</f>
        <v>0</v>
      </c>
      <c r="AO134" s="11">
        <f>+COUNTIFS('muddati otgan'!C:C,A134,'muddati otgan'!J:J,"Kelishish (Registratsiya DKP)")</f>
        <v>0</v>
      </c>
      <c r="AP134" s="11">
        <f t="shared" si="28"/>
        <v>0</v>
      </c>
      <c r="AQ134" s="11">
        <f>+COUNTIFS('muddati otgan'!C:C,A134,'muddati otgan'!J:J,"Manzil biriktirish")</f>
        <v>0</v>
      </c>
      <c r="AR134" s="11">
        <f>+COUNTIFS('muddati otgan'!C:C,A134,'muddati otgan'!J:J,"Bino va inshootlarni yaratish")</f>
        <v>0</v>
      </c>
      <c r="AS134" s="11">
        <f>+COUNTIFS('muddati otgan'!C:C,A134,'muddati otgan'!J:J,"Dov daraxtlarni yaratish")</f>
        <v>0</v>
      </c>
      <c r="AT134" s="11">
        <f>+COUNTIFS('muddati otgan'!C:C,A134,'muddati otgan'!J:J,"Yer uchastkasini tahrirlash")</f>
        <v>0</v>
      </c>
      <c r="AU134" s="11">
        <f t="shared" si="29"/>
        <v>0</v>
      </c>
      <c r="AV134" s="11">
        <f>+COUNTIFS('muddati otgan'!C:C,A134,'muddati otgan'!J:J,"Yer toifasi va maqsadini kiritish")</f>
        <v>0</v>
      </c>
      <c r="AW134" s="11">
        <f>+COUNTIFS('muddati otgan'!C:C,A134,'muddati otgan'!J:J,"Auksion yer tekshirish")</f>
        <v>0</v>
      </c>
      <c r="AX134" s="11">
        <f>+COUNTIFS('muddati otgan'!C:C,A134,'muddati otgan'!J:J,"Yer turlarini kiritish")</f>
        <v>0</v>
      </c>
      <c r="AY134" s="11">
        <f>+COUNTIFS('muddati otgan'!C:C,A134,'muddati otgan'!J:J,"Ma'lumotlarni kiritish")</f>
        <v>0</v>
      </c>
      <c r="AZ134" s="11">
        <f>+COUNTIFS('muddati otgan'!C:C,A134,'muddati otgan'!J:J,"Yer tekshirish")</f>
        <v>0</v>
      </c>
      <c r="BA134" s="11">
        <f t="shared" si="30"/>
        <v>0</v>
      </c>
      <c r="BB134" s="11">
        <f>+COUNTIFS('muddati otgan'!C:C,A134,'muddati otgan'!J:J,"Bino va inshoot ma'lumotlarini to‘ldirish")</f>
        <v>0</v>
      </c>
      <c r="BC134" s="11">
        <f>+COUNTIFS('muddati otgan'!C:C,A134,'muddati otgan'!J:J,"Inventarizatsiya ma'lumotlarini to‘ldirish")</f>
        <v>0</v>
      </c>
      <c r="BD134" s="11">
        <f>+COUNTIFS('muddati otgan'!C:C,A134,'muddati otgan'!J:J,"Yer uchastkasiga huquqiy hujjatlarni kiritsh")</f>
        <v>0</v>
      </c>
      <c r="BE134" s="11">
        <f>+COUNTIFS('muddati otgan'!C:C,A134,'muddati otgan'!J:J,"Bino-inshootlarga huquqiy hujjatlarni kiritsh")</f>
        <v>0</v>
      </c>
      <c r="BF134" s="11">
        <f>+COUNTIFS('muddati otgan'!C:C,A134,'muddati otgan'!J:J,"Kadastr qiymatini hisoblash va kiritish")</f>
        <v>0</v>
      </c>
      <c r="BG134" s="11">
        <f>+COUNTIFS('muddati otgan'!C:C,A134,'muddati otgan'!J:J,"Kadastr raqam biriktirish")</f>
        <v>0</v>
      </c>
      <c r="BH134" s="11">
        <f>+COUNTIFS('muddati otgan'!C:C,A134,'muddati otgan'!J:J,"Kadastr yig'ma jildni tayyorlash")</f>
        <v>0</v>
      </c>
      <c r="BI134" s="11">
        <f>+COUNTIFS('muddati otgan'!C:C,A134,'muddati otgan'!J:J,"Huquqni yaratish")</f>
        <v>0</v>
      </c>
      <c r="BJ134" s="11">
        <f>+COUNTIFS('muddati otgan'!C:C,A134,'muddati otgan'!J:J,"Hujjatlarni o'rganish")</f>
        <v>0</v>
      </c>
      <c r="BK134" s="11">
        <f>+COUNTIFS('muddati otgan'!C:C,A134,'muddati otgan'!J:J,"Ma'lumotlarni tekshirish")</f>
        <v>0</v>
      </c>
      <c r="BL134" s="11">
        <f t="shared" si="31"/>
        <v>0</v>
      </c>
      <c r="BM134" s="11">
        <f>+COUNTIFS('muddati otgan'!C:C,A134,'muddati otgan'!J:J,"Tekshirish")</f>
        <v>0</v>
      </c>
      <c r="BN134" s="11">
        <f>+COUNTIFS('muddati otgan'!C:C,A134,'muddati otgan'!J:J,"Hujjatlarni tekshirish")</f>
        <v>0</v>
      </c>
      <c r="BO134" s="11">
        <f>+COUNTIFS('muddati otgan'!C:C,A134,'muddati otgan'!J:J,"Tasdiqlash")</f>
        <v>0</v>
      </c>
      <c r="BP134" s="11">
        <f>+COUNTIFS('muddati otgan'!C:C,A134,'muddati otgan'!J:J,"tekshirish/tasdiqlash")</f>
        <v>0</v>
      </c>
      <c r="BQ134" s="11">
        <f>+COUNTIFS('muddati otgan'!C:C,A134,'muddati otgan'!J:J,"Ma'lumotlarni tasdiqlash")</f>
        <v>0</v>
      </c>
      <c r="BR134" s="11">
        <f t="shared" si="32"/>
        <v>0</v>
      </c>
      <c r="BS134" s="11">
        <f>+COUNTIFS('muddati otgan'!C:C,A134,'muddati otgan'!J:J,"Ro'yxatdan o'tkazish ma'lumotlarini tekshirish")</f>
        <v>0</v>
      </c>
      <c r="BT134" s="11">
        <f>+COUNTIFS('muddati otgan'!C:C,A134,'muddati otgan'!J:J,"Kamchiliklar bo'yicha habarnoma yuborish va 3 kunga to'xtatish")</f>
        <v>0</v>
      </c>
      <c r="BU134" s="11">
        <f>+COUNTIFS('muddati otgan'!C:C,A134,'muddati otgan'!J:J,"Hisobga olish")</f>
        <v>0</v>
      </c>
      <c r="BV134" s="11">
        <f>+COUNTIFS('muddati otgan'!C:C,A134,'muddati otgan'!J:J,"Yer uchastkasiga huquq yaratish")</f>
        <v>0</v>
      </c>
      <c r="BW134" s="11">
        <f>+COUNTIFS('muddati otgan'!C:C,A134,'muddati otgan'!J:J,"Bino-inshootga huquq yaratish")</f>
        <v>0</v>
      </c>
      <c r="BX134" s="11">
        <f>+COUNTIFS('muddati otgan'!C:C,A134,'muddati otgan'!J:J,"Cheklov yaratish")</f>
        <v>0</v>
      </c>
      <c r="BY134" s="11">
        <f>+COUNTIFS('muddati otgan'!C:C,A134,'muddati otgan'!J:J,"Taqiq yaratish")</f>
        <v>0</v>
      </c>
      <c r="BZ134" s="11">
        <f t="shared" si="33"/>
        <v>0</v>
      </c>
      <c r="CA134" s="11">
        <f>+COUNTIFS('muddati otgan'!C:C,A134,'muddati otgan'!J:J,"Soliq maydonini tekshirish")</f>
        <v>0</v>
      </c>
      <c r="CB134" s="11">
        <f t="shared" si="34"/>
        <v>0</v>
      </c>
      <c r="CC134" s="11">
        <f>+COUNTIFS('muddati otgan'!C:C,A134,'muddati otgan'!J:J,"Kadastr yig'majildini shakllantirish")</f>
        <v>0</v>
      </c>
      <c r="CD134" s="11">
        <f t="shared" si="35"/>
        <v>0</v>
      </c>
      <c r="CE134" s="11">
        <f>+COUNTIFS('muddati otgan'!C:C,A134,'muddati otgan'!J:J,"Kadastr passportini shakllantirish")</f>
        <v>0</v>
      </c>
      <c r="CF134" s="11">
        <f>+COUNTIFS('muddati otgan'!C:C,A134,'muddati otgan'!J:J,"Yig'ma jildni tasdiqlash")</f>
        <v>0</v>
      </c>
      <c r="CG134" s="11">
        <f>+COUNTIFS('muddati otgan'!C:C,A134,'muddati otgan'!J:J,"To'lov yoki bepul tasdiqlash")</f>
        <v>0</v>
      </c>
      <c r="CH134" s="11">
        <f>+COUNTIFS('muddati otgan'!C:C,A134,'muddati otgan'!J:J,"Bog'liq arizani kutish")</f>
        <v>0</v>
      </c>
      <c r="CI134" s="11">
        <f>+COUNTIFS('muddati otgan'!C:C,A134,'muddati otgan'!J:J,"To'lovga chiqarish")</f>
        <v>0</v>
      </c>
      <c r="CJ134" s="11">
        <f>+COUNTIFS('muddati otgan'!C:C,A134,'muddati otgan'!J:J,"Hisobga qo'yish")</f>
        <v>0</v>
      </c>
      <c r="CK134" s="6">
        <f>+COUNTIFS('muddati otgan'!C:C,A134,'muddati otgan'!J:J,"To'lov kutilmoqda")</f>
        <v>0</v>
      </c>
      <c r="CL134" s="11">
        <f t="shared" si="36"/>
        <v>0</v>
      </c>
      <c r="CM134" s="11">
        <f>+COUNTIFS('muddati otgan'!C:C,A134,'muddati otgan'!AA:AA,"Arizani qabul qilish2")</f>
        <v>0</v>
      </c>
      <c r="CN134" s="11">
        <f>+COUNTIFS('muddati otgan'!C:C,A134,'muddati otgan'!J:J,"Huquqlarni tekshirish")</f>
        <v>0</v>
      </c>
      <c r="CO134" s="11">
        <f>+COUNTIFS('muddati otgan'!C:C,A134,'muddati otgan'!J:J,"Ko'chmas mulkni ro'yhatdan o'tkazishga qabul qilish")</f>
        <v>0</v>
      </c>
      <c r="CP134" s="11">
        <f>+COUNTIFS('muddati otgan'!C:C,A134,'muddati otgan'!J:J,"Ro'yxatdan o'tkazish")</f>
        <v>0</v>
      </c>
      <c r="CQ134" s="11">
        <f>+COUNTIFS('muddati otgan'!C:C,A134,'muddati otgan'!J:J,"Kadastr pasporti va ko'chirmani yuborish")</f>
        <v>0</v>
      </c>
      <c r="CR134" s="11">
        <f>+COUNTIFS('muddati otgan'!C:C,A134,'muddati otgan'!AA:AA,"Rad qilish2")</f>
        <v>0</v>
      </c>
      <c r="CS134" s="11">
        <f>+COUNTIFS('muddati otgan'!C:C,A134,'muddati otgan'!J:J,"Ko'chirmani yuborish")</f>
        <v>0</v>
      </c>
      <c r="CT134" s="11">
        <f>+COUNTIFS('muddati otgan'!C:C,A134,'muddati otgan'!J:J,"Ma‘lumotlarni tekshirish")</f>
        <v>0</v>
      </c>
      <c r="CU134" s="11">
        <f t="shared" si="37"/>
        <v>0</v>
      </c>
      <c r="CV134" s="11">
        <f>+COUNTIFS('muddati otgan'!C:C,A134,'muddati otgan'!J:J,"Kadastr yig'majildini chop etish va arxiv ishiga tikish")</f>
        <v>0</v>
      </c>
      <c r="CW134" s="11">
        <f t="shared" si="38"/>
        <v>0</v>
      </c>
      <c r="CX134" s="11">
        <f>+COUNTIFS('muddati otgan'!C:C,A134,'muddati otgan'!J:J,"Kadastr yig‘majildini qabul qilish, arizani yakunlash")</f>
        <v>0</v>
      </c>
      <c r="CY134" s="11">
        <f>+COUNTIFS('muddati otgan'!C:C,A134,'muddati otgan'!J:J,"Next Cloudga yuklash")</f>
        <v>0</v>
      </c>
      <c r="CZ134" s="6">
        <f>+COUNTIFS('muddati otgan'!C:C,A134,'muddati otgan'!J:J,"Kelishish kutilmoqda")</f>
        <v>0</v>
      </c>
      <c r="DA134" s="6">
        <f>+COUNTIFS('muddati otgan'!C:C,A134,'muddati otgan'!J:J,"Yakunlandi")</f>
        <v>0</v>
      </c>
      <c r="DB134" s="10">
        <f>+COUNTIFS('muddati otgan'!C:C,A134,'muddati otgan'!J:J,"Rad etildi")</f>
        <v>0</v>
      </c>
      <c r="DC134" s="100">
        <f t="shared" si="5"/>
        <v>0</v>
      </c>
      <c r="DD134" s="44">
        <f>COUNTIFS('jami 1-20 kunlik arizalar'!C:C,A:A,'jami 1-20 kunlik arizalar'!S:S,"1")</f>
        <v>0</v>
      </c>
      <c r="DE134" s="11">
        <f>COUNTIFS('jami 1-20 kunlik arizalar'!C:C,A:A,'jami 1-20 kunlik arizalar'!S:S,"2")</f>
        <v>0</v>
      </c>
      <c r="DF134" s="11">
        <f>COUNTIFS('jami 1-20 kunlik arizalar'!C:C,A:A,'jami 1-20 kunlik arizalar'!S:S,"3")</f>
        <v>0</v>
      </c>
      <c r="DG134" s="11">
        <f>COUNTIFS('jami 1-20 kunlik arizalar'!C:C,A:A,'jami 1-20 kunlik arizalar'!S:S,"4")</f>
        <v>0</v>
      </c>
      <c r="DH134" s="11">
        <f>COUNTIFS('jami 1-20 kunlik arizalar'!C:C,A:A,'jami 1-20 kunlik arizalar'!S:S,"5")</f>
        <v>1</v>
      </c>
      <c r="DI134" s="11">
        <f>SUM(COUNTIFS('jami 1-20 kunlik arizalar'!C:C,A:A, 'jami 1-20 kunlik arizalar'!S:S, {6,7,8,9,10}))</f>
        <v>4</v>
      </c>
      <c r="DJ134" s="12">
        <f>SUM(COUNTIFS('jami 1-20 kunlik arizalar'!C:C,A:A, 'jami 1-20 kunlik arizalar'!S:S, "&gt;10"))</f>
        <v>6</v>
      </c>
    </row>
    <row r="135" spans="1:115" ht="32.1" hidden="1" customHeight="1" outlineLevel="1" x14ac:dyDescent="0.25">
      <c r="A135" s="92" t="s">
        <v>670</v>
      </c>
      <c r="B135" s="74"/>
      <c r="C135" s="85" t="s">
        <v>837</v>
      </c>
      <c r="D135" s="80">
        <f>+COUNTIFS('muddati otgan'!C:C,A135,'muddati otgan'!C:C,A135)</f>
        <v>2</v>
      </c>
      <c r="E135" s="10">
        <f>SUMIFS('muddati otgan'!$V:V,'muddati otgan'!$C:C,$A:A)</f>
        <v>2</v>
      </c>
      <c r="F135" s="10">
        <f>SUMIFS('muddati otgan'!$W:W,'muddati otgan'!$C:C,$A:A)</f>
        <v>0</v>
      </c>
      <c r="G135" s="24">
        <f>SUMIFS('muddati otgan'!$U:U,'muddati otgan'!$C:C,$A:A)</f>
        <v>0</v>
      </c>
      <c r="H135" s="11">
        <f>SUMIFS('muddati otgan'!$G:G,'muddati otgan'!$C:C,$A:A)</f>
        <v>2</v>
      </c>
      <c r="I135" s="12">
        <f>SUMIFS('muddati otgan'!$H:H,'muddati otgan'!$C:C,$A:A)</f>
        <v>0</v>
      </c>
      <c r="J135" s="44">
        <f t="shared" si="23"/>
        <v>0</v>
      </c>
      <c r="K135" s="11">
        <f>+COUNTIFS('muddati otgan'!C:C,A135,'muddati otgan'!AA:AA,"Arizani qabul qilish")</f>
        <v>0</v>
      </c>
      <c r="L135" s="11">
        <f>+COUNTIFS('muddati otgan'!C:C,A135,'muddati otgan'!J:J,"Arizani rad etish")</f>
        <v>0</v>
      </c>
      <c r="M135" s="11">
        <f>+COUNTIFS('muddati otgan'!C:C,A135,'muddati otgan'!J:J,"Arizani tasdiqlash")</f>
        <v>0</v>
      </c>
      <c r="N135" s="11">
        <f>+COUNTIFS('muddati otgan'!C:C,A135,'muddati otgan'!J:J,"Arizani yo'naltirish")</f>
        <v>0</v>
      </c>
      <c r="O135" s="11">
        <f>+COUNTIFS('muddati otgan'!C:C,A135,'muddati otgan'!J:J,"Rad qilish sababini o'rganish")</f>
        <v>0</v>
      </c>
      <c r="P135" s="11">
        <f>+COUNTIFS('muddati otgan'!C:C,A135,'muddati otgan'!J:J,"Ko'chmas mulkni UZKAD ga migratsiya qilish")</f>
        <v>0</v>
      </c>
      <c r="Q135" s="11">
        <f>+COUNTIFS('muddati otgan'!C:C,A135,'muddati otgan'!J:J,"Migratisya qilingan obyekt holatini tekshirish")</f>
        <v>0</v>
      </c>
      <c r="R135" s="11">
        <f>+COUNTIFS('muddati otgan'!C:C,A135,'muddati otgan'!J:J,"Ko‘chmas mulkni tanlash")</f>
        <v>0</v>
      </c>
      <c r="S135" s="11">
        <f>+COUNTIFS('muddati otgan'!C:C,A135,'muddati otgan'!J:J,"Arizani ko'rib chiqish")</f>
        <v>0</v>
      </c>
      <c r="T135" s="11">
        <f>+COUNTIFS('muddati otgan'!C:C,A135,'muddati otgan'!J:J,"Kadastr muhandisini tanlash")</f>
        <v>0</v>
      </c>
      <c r="U135" s="11">
        <f>+COUNTIFS('muddati otgan'!C:C,A135,'muddati otgan'!J:J,"Ko'chmas mulk turini tanlahsh")</f>
        <v>0</v>
      </c>
      <c r="V135" s="11">
        <f>+COUNTIFS('muddati otgan'!C:C,A135,'muddati otgan'!AA:AA,"Rad qilish")</f>
        <v>0</v>
      </c>
      <c r="W135" s="11">
        <f>+COUNTIFS('muddati otgan'!C:C,A135,'muddati otgan'!J:J,"ijrochi tanlash")</f>
        <v>0</v>
      </c>
      <c r="X135" s="11">
        <f>+COUNTIFS('muddati otgan'!C:C,A135,'muddati otgan'!J:J,"Ko'chmas mulk turini tanlash")</f>
        <v>0</v>
      </c>
      <c r="Y135" s="11">
        <f t="shared" si="24"/>
        <v>1</v>
      </c>
      <c r="Z135" s="11">
        <f>+COUNTIFS('muddati otgan'!C:C,A135,'muddati otgan'!J:J,"Ijroga qabul qilish")</f>
        <v>0</v>
      </c>
      <c r="AA135" s="11">
        <f>+COUNTIFS('muddati otgan'!C:C,A135,'muddati otgan'!J:J,"Joyida o'rganish va ma'lumotlarni kiritish")</f>
        <v>0</v>
      </c>
      <c r="AB135" s="11">
        <f>+COUNTIFS('muddati otgan'!C:C,A135,'muddati otgan'!J:J,"Asosiy qismdan ajratish jarayonida")</f>
        <v>0</v>
      </c>
      <c r="AC135" s="11">
        <f>+COUNTIFS('muddati otgan'!C:C,A135,'muddati otgan'!J:J,"Umumiy foydalanishdagi obyekt yaratilish")</f>
        <v>0</v>
      </c>
      <c r="AD135" s="11">
        <f>+COUNTIFS('muddati otgan'!C:C,A135,'muddati otgan'!J:J,"Migratsiya qilinadigan kadastr raqamini kiritish")</f>
        <v>0</v>
      </c>
      <c r="AE135" s="11">
        <f>+COUNTIFS('muddati otgan'!C:C,A135,'muddati otgan'!J:J,"O'zida qolgan obyektni yaratish")</f>
        <v>0</v>
      </c>
      <c r="AF135" s="11">
        <f>+COUNTIFS('muddati otgan'!C:C,A135,'muddati otgan'!J:J,"O'lchov natijalarini kiritish")</f>
        <v>1</v>
      </c>
      <c r="AG135" s="11">
        <f>+COUNTIFS('muddati otgan'!C:C,A135,'muddati otgan'!J:J,"Topoxaritani tayyorlash (dwg, pdf)")</f>
        <v>0</v>
      </c>
      <c r="AH135" s="11">
        <f t="shared" si="25"/>
        <v>0</v>
      </c>
      <c r="AI135" s="11">
        <f>+COUNTIFS('muddati otgan'!C:C,A135,'muddati otgan'!J:J,"Yer uchastkasini yaratish")</f>
        <v>0</v>
      </c>
      <c r="AJ135" s="11">
        <f t="shared" si="26"/>
        <v>0</v>
      </c>
      <c r="AK135" s="11">
        <f>+COUNTIFS('muddati otgan'!C:C,A135,'muddati otgan'!J:J,"Kelishish (Boshqarma)")</f>
        <v>0</v>
      </c>
      <c r="AL135" s="11">
        <f t="shared" si="27"/>
        <v>0</v>
      </c>
      <c r="AM135" s="11">
        <f>+COUNTIFS('muddati otgan'!C:C,A135,'muddati otgan'!J:J,"Kelishish (DKP)")</f>
        <v>0</v>
      </c>
      <c r="AN135" s="11">
        <f>+COUNTIFS('muddati otgan'!C:C,A135,'muddati otgan'!J:J,"Kelishish")</f>
        <v>0</v>
      </c>
      <c r="AO135" s="11">
        <f>+COUNTIFS('muddati otgan'!C:C,A135,'muddati otgan'!J:J,"Kelishish (Registratsiya DKP)")</f>
        <v>0</v>
      </c>
      <c r="AP135" s="11">
        <f t="shared" si="28"/>
        <v>0</v>
      </c>
      <c r="AQ135" s="11">
        <f>+COUNTIFS('muddati otgan'!C:C,A135,'muddati otgan'!J:J,"Manzil biriktirish")</f>
        <v>0</v>
      </c>
      <c r="AR135" s="11">
        <f>+COUNTIFS('muddati otgan'!C:C,A135,'muddati otgan'!J:J,"Bino va inshootlarni yaratish")</f>
        <v>0</v>
      </c>
      <c r="AS135" s="11">
        <f>+COUNTIFS('muddati otgan'!C:C,A135,'muddati otgan'!J:J,"Dov daraxtlarni yaratish")</f>
        <v>0</v>
      </c>
      <c r="AT135" s="11">
        <f>+COUNTIFS('muddati otgan'!C:C,A135,'muddati otgan'!J:J,"Yer uchastkasini tahrirlash")</f>
        <v>0</v>
      </c>
      <c r="AU135" s="11">
        <f t="shared" si="29"/>
        <v>0</v>
      </c>
      <c r="AV135" s="11">
        <f>+COUNTIFS('muddati otgan'!C:C,A135,'muddati otgan'!J:J,"Yer toifasi va maqsadini kiritish")</f>
        <v>0</v>
      </c>
      <c r="AW135" s="11">
        <f>+COUNTIFS('muddati otgan'!C:C,A135,'muddati otgan'!J:J,"Auksion yer tekshirish")</f>
        <v>0</v>
      </c>
      <c r="AX135" s="11">
        <f>+COUNTIFS('muddati otgan'!C:C,A135,'muddati otgan'!J:J,"Yer turlarini kiritish")</f>
        <v>0</v>
      </c>
      <c r="AY135" s="11">
        <f>+COUNTIFS('muddati otgan'!C:C,A135,'muddati otgan'!J:J,"Ma'lumotlarni kiritish")</f>
        <v>0</v>
      </c>
      <c r="AZ135" s="11">
        <f>+COUNTIFS('muddati otgan'!C:C,A135,'muddati otgan'!J:J,"Yer tekshirish")</f>
        <v>0</v>
      </c>
      <c r="BA135" s="11">
        <f t="shared" si="30"/>
        <v>1</v>
      </c>
      <c r="BB135" s="11">
        <f>+COUNTIFS('muddati otgan'!C:C,A135,'muddati otgan'!J:J,"Bino va inshoot ma'lumotlarini to‘ldirish")</f>
        <v>0</v>
      </c>
      <c r="BC135" s="11">
        <f>+COUNTIFS('muddati otgan'!C:C,A135,'muddati otgan'!J:J,"Inventarizatsiya ma'lumotlarini to‘ldirish")</f>
        <v>1</v>
      </c>
      <c r="BD135" s="11">
        <f>+COUNTIFS('muddati otgan'!C:C,A135,'muddati otgan'!J:J,"Yer uchastkasiga huquqiy hujjatlarni kiritsh")</f>
        <v>0</v>
      </c>
      <c r="BE135" s="11">
        <f>+COUNTIFS('muddati otgan'!C:C,A135,'muddati otgan'!J:J,"Bino-inshootlarga huquqiy hujjatlarni kiritsh")</f>
        <v>0</v>
      </c>
      <c r="BF135" s="11">
        <f>+COUNTIFS('muddati otgan'!C:C,A135,'muddati otgan'!J:J,"Kadastr qiymatini hisoblash va kiritish")</f>
        <v>0</v>
      </c>
      <c r="BG135" s="11">
        <f>+COUNTIFS('muddati otgan'!C:C,A135,'muddati otgan'!J:J,"Kadastr raqam biriktirish")</f>
        <v>0</v>
      </c>
      <c r="BH135" s="11">
        <f>+COUNTIFS('muddati otgan'!C:C,A135,'muddati otgan'!J:J,"Kadastr yig'ma jildni tayyorlash")</f>
        <v>0</v>
      </c>
      <c r="BI135" s="11">
        <f>+COUNTIFS('muddati otgan'!C:C,A135,'muddati otgan'!J:J,"Huquqni yaratish")</f>
        <v>0</v>
      </c>
      <c r="BJ135" s="11">
        <f>+COUNTIFS('muddati otgan'!C:C,A135,'muddati otgan'!J:J,"Hujjatlarni o'rganish")</f>
        <v>0</v>
      </c>
      <c r="BK135" s="11">
        <f>+COUNTIFS('muddati otgan'!C:C,A135,'muddati otgan'!J:J,"Ma'lumotlarni tekshirish")</f>
        <v>0</v>
      </c>
      <c r="BL135" s="11">
        <f t="shared" si="31"/>
        <v>0</v>
      </c>
      <c r="BM135" s="11">
        <f>+COUNTIFS('muddati otgan'!C:C,A135,'muddati otgan'!J:J,"Tekshirish")</f>
        <v>0</v>
      </c>
      <c r="BN135" s="11">
        <f>+COUNTIFS('muddati otgan'!C:C,A135,'muddati otgan'!J:J,"Hujjatlarni tekshirish")</f>
        <v>0</v>
      </c>
      <c r="BO135" s="11">
        <f>+COUNTIFS('muddati otgan'!C:C,A135,'muddati otgan'!J:J,"Tasdiqlash")</f>
        <v>0</v>
      </c>
      <c r="BP135" s="11">
        <f>+COUNTIFS('muddati otgan'!C:C,A135,'muddati otgan'!J:J,"tekshirish/tasdiqlash")</f>
        <v>0</v>
      </c>
      <c r="BQ135" s="11">
        <f>+COUNTIFS('muddati otgan'!C:C,A135,'muddati otgan'!J:J,"Ma'lumotlarni tasdiqlash")</f>
        <v>0</v>
      </c>
      <c r="BR135" s="11">
        <f t="shared" si="32"/>
        <v>0</v>
      </c>
      <c r="BS135" s="11">
        <f>+COUNTIFS('muddati otgan'!C:C,A135,'muddati otgan'!J:J,"Ro'yxatdan o'tkazish ma'lumotlarini tekshirish")</f>
        <v>0</v>
      </c>
      <c r="BT135" s="11">
        <f>+COUNTIFS('muddati otgan'!C:C,A135,'muddati otgan'!J:J,"Kamchiliklar bo'yicha habarnoma yuborish va 3 kunga to'xtatish")</f>
        <v>0</v>
      </c>
      <c r="BU135" s="11">
        <f>+COUNTIFS('muddati otgan'!C:C,A135,'muddati otgan'!J:J,"Hisobga olish")</f>
        <v>0</v>
      </c>
      <c r="BV135" s="11">
        <f>+COUNTIFS('muddati otgan'!C:C,A135,'muddati otgan'!J:J,"Yer uchastkasiga huquq yaratish")</f>
        <v>0</v>
      </c>
      <c r="BW135" s="11">
        <f>+COUNTIFS('muddati otgan'!C:C,A135,'muddati otgan'!J:J,"Bino-inshootga huquq yaratish")</f>
        <v>0</v>
      </c>
      <c r="BX135" s="11">
        <f>+COUNTIFS('muddati otgan'!C:C,A135,'muddati otgan'!J:J,"Cheklov yaratish")</f>
        <v>0</v>
      </c>
      <c r="BY135" s="11">
        <f>+COUNTIFS('muddati otgan'!C:C,A135,'muddati otgan'!J:J,"Taqiq yaratish")</f>
        <v>0</v>
      </c>
      <c r="BZ135" s="11">
        <f t="shared" si="33"/>
        <v>0</v>
      </c>
      <c r="CA135" s="11">
        <f>+COUNTIFS('muddati otgan'!C:C,A135,'muddati otgan'!J:J,"Soliq maydonini tekshirish")</f>
        <v>0</v>
      </c>
      <c r="CB135" s="11">
        <f t="shared" si="34"/>
        <v>0</v>
      </c>
      <c r="CC135" s="11">
        <f>+COUNTIFS('muddati otgan'!C:C,A135,'muddati otgan'!J:J,"Kadastr yig'majildini shakllantirish")</f>
        <v>0</v>
      </c>
      <c r="CD135" s="11">
        <f t="shared" si="35"/>
        <v>0</v>
      </c>
      <c r="CE135" s="11">
        <f>+COUNTIFS('muddati otgan'!C:C,A135,'muddati otgan'!J:J,"Kadastr passportini shakllantirish")</f>
        <v>0</v>
      </c>
      <c r="CF135" s="11">
        <f>+COUNTIFS('muddati otgan'!C:C,A135,'muddati otgan'!J:J,"Yig'ma jildni tasdiqlash")</f>
        <v>0</v>
      </c>
      <c r="CG135" s="11">
        <f>+COUNTIFS('muddati otgan'!C:C,A135,'muddati otgan'!J:J,"To'lov yoki bepul tasdiqlash")</f>
        <v>0</v>
      </c>
      <c r="CH135" s="11">
        <f>+COUNTIFS('muddati otgan'!C:C,A135,'muddati otgan'!J:J,"Bog'liq arizani kutish")</f>
        <v>0</v>
      </c>
      <c r="CI135" s="11">
        <f>+COUNTIFS('muddati otgan'!C:C,A135,'muddati otgan'!J:J,"To'lovga chiqarish")</f>
        <v>0</v>
      </c>
      <c r="CJ135" s="11">
        <f>+COUNTIFS('muddati otgan'!C:C,A135,'muddati otgan'!J:J,"Hisobga qo'yish")</f>
        <v>0</v>
      </c>
      <c r="CK135" s="6">
        <f>+COUNTIFS('muddati otgan'!C:C,A135,'muddati otgan'!J:J,"To'lov kutilmoqda")</f>
        <v>0</v>
      </c>
      <c r="CL135" s="11">
        <f t="shared" si="36"/>
        <v>0</v>
      </c>
      <c r="CM135" s="11">
        <f>+COUNTIFS('muddati otgan'!C:C,A135,'muddati otgan'!AA:AA,"Arizani qabul qilish2")</f>
        <v>0</v>
      </c>
      <c r="CN135" s="11">
        <f>+COUNTIFS('muddati otgan'!C:C,A135,'muddati otgan'!J:J,"Huquqlarni tekshirish")</f>
        <v>0</v>
      </c>
      <c r="CO135" s="11">
        <f>+COUNTIFS('muddati otgan'!C:C,A135,'muddati otgan'!J:J,"Ko'chmas mulkni ro'yhatdan o'tkazishga qabul qilish")</f>
        <v>0</v>
      </c>
      <c r="CP135" s="11">
        <f>+COUNTIFS('muddati otgan'!C:C,A135,'muddati otgan'!J:J,"Ro'yxatdan o'tkazish")</f>
        <v>0</v>
      </c>
      <c r="CQ135" s="11">
        <f>+COUNTIFS('muddati otgan'!C:C,A135,'muddati otgan'!J:J,"Kadastr pasporti va ko'chirmani yuborish")</f>
        <v>0</v>
      </c>
      <c r="CR135" s="11">
        <f>+COUNTIFS('muddati otgan'!C:C,A135,'muddati otgan'!AA:AA,"Rad qilish2")</f>
        <v>0</v>
      </c>
      <c r="CS135" s="11">
        <f>+COUNTIFS('muddati otgan'!C:C,A135,'muddati otgan'!J:J,"Ko'chirmani yuborish")</f>
        <v>0</v>
      </c>
      <c r="CT135" s="11">
        <f>+COUNTIFS('muddati otgan'!C:C,A135,'muddati otgan'!J:J,"Ma‘lumotlarni tekshirish")</f>
        <v>0</v>
      </c>
      <c r="CU135" s="11">
        <f t="shared" si="37"/>
        <v>0</v>
      </c>
      <c r="CV135" s="11">
        <f>+COUNTIFS('muddati otgan'!C:C,A135,'muddati otgan'!J:J,"Kadastr yig'majildini chop etish va arxiv ishiga tikish")</f>
        <v>0</v>
      </c>
      <c r="CW135" s="11">
        <f t="shared" si="38"/>
        <v>0</v>
      </c>
      <c r="CX135" s="11">
        <f>+COUNTIFS('muddati otgan'!C:C,A135,'muddati otgan'!J:J,"Kadastr yig‘majildini qabul qilish, arizani yakunlash")</f>
        <v>0</v>
      </c>
      <c r="CY135" s="11">
        <f>+COUNTIFS('muddati otgan'!C:C,A135,'muddati otgan'!J:J,"Next Cloudga yuklash")</f>
        <v>0</v>
      </c>
      <c r="CZ135" s="6">
        <f>+COUNTIFS('muddati otgan'!C:C,A135,'muddati otgan'!J:J,"Kelishish kutilmoqda")</f>
        <v>0</v>
      </c>
      <c r="DA135" s="6">
        <f>+COUNTIFS('muddati otgan'!C:C,A135,'muddati otgan'!J:J,"Yakunlandi")</f>
        <v>0</v>
      </c>
      <c r="DB135" s="10">
        <f>+COUNTIFS('muddati otgan'!C:C,A135,'muddati otgan'!J:J,"Rad etildi")</f>
        <v>0</v>
      </c>
      <c r="DC135" s="100">
        <f t="shared" si="5"/>
        <v>-2</v>
      </c>
      <c r="DD135" s="44">
        <f>COUNTIFS('jami 1-20 kunlik arizalar'!C:C,A:A,'jami 1-20 kunlik arizalar'!S:S,"1")</f>
        <v>0</v>
      </c>
      <c r="DE135" s="11">
        <f>COUNTIFS('jami 1-20 kunlik arizalar'!C:C,A:A,'jami 1-20 kunlik arizalar'!S:S,"2")</f>
        <v>0</v>
      </c>
      <c r="DF135" s="11">
        <f>COUNTIFS('jami 1-20 kunlik arizalar'!C:C,A:A,'jami 1-20 kunlik arizalar'!S:S,"3")</f>
        <v>2</v>
      </c>
      <c r="DG135" s="11">
        <f>COUNTIFS('jami 1-20 kunlik arizalar'!C:C,A:A,'jami 1-20 kunlik arizalar'!S:S,"4")</f>
        <v>0</v>
      </c>
      <c r="DH135" s="11">
        <f>COUNTIFS('jami 1-20 kunlik arizalar'!C:C,A:A,'jami 1-20 kunlik arizalar'!S:S,"5")</f>
        <v>0</v>
      </c>
      <c r="DI135" s="11">
        <f>SUM(COUNTIFS('jami 1-20 kunlik arizalar'!C:C,A:A, 'jami 1-20 kunlik arizalar'!S:S, {6,7,8,9,10}))</f>
        <v>2</v>
      </c>
      <c r="DJ135" s="12">
        <f>SUM(COUNTIFS('jami 1-20 kunlik arizalar'!C:C,A:A, 'jami 1-20 kunlik arizalar'!S:S, "&gt;10"))</f>
        <v>3</v>
      </c>
    </row>
    <row r="136" spans="1:115" ht="32.1" hidden="1" customHeight="1" outlineLevel="1" x14ac:dyDescent="0.25">
      <c r="A136" s="92" t="s">
        <v>680</v>
      </c>
      <c r="B136" s="74"/>
      <c r="C136" s="85" t="s">
        <v>838</v>
      </c>
      <c r="D136" s="80">
        <f>+COUNTIFS('muddati otgan'!C:C,A136,'muddati otgan'!C:C,A136)</f>
        <v>1</v>
      </c>
      <c r="E136" s="10">
        <f>SUMIFS('muddati otgan'!$V:V,'muddati otgan'!$C:C,$A:A)</f>
        <v>0</v>
      </c>
      <c r="F136" s="10">
        <f>SUMIFS('muddati otgan'!$W:W,'muddati otgan'!$C:C,$A:A)</f>
        <v>1</v>
      </c>
      <c r="G136" s="24">
        <f>SUMIFS('muddati otgan'!$U:U,'muddati otgan'!$C:C,$A:A)</f>
        <v>0</v>
      </c>
      <c r="H136" s="11">
        <f>SUMIFS('muddati otgan'!$G:G,'muddati otgan'!$C:C,$A:A)</f>
        <v>0</v>
      </c>
      <c r="I136" s="12">
        <f>SUMIFS('muddati otgan'!$H:H,'muddati otgan'!$C:C,$A:A)</f>
        <v>1</v>
      </c>
      <c r="J136" s="44">
        <f t="shared" si="23"/>
        <v>0</v>
      </c>
      <c r="K136" s="11">
        <f>+COUNTIFS('muddati otgan'!C:C,A136,'muddati otgan'!AA:AA,"Arizani qabul qilish")</f>
        <v>0</v>
      </c>
      <c r="L136" s="11">
        <f>+COUNTIFS('muddati otgan'!C:C,A136,'muddati otgan'!J:J,"Arizani rad etish")</f>
        <v>0</v>
      </c>
      <c r="M136" s="11">
        <f>+COUNTIFS('muddati otgan'!C:C,A136,'muddati otgan'!J:J,"Arizani tasdiqlash")</f>
        <v>0</v>
      </c>
      <c r="N136" s="11">
        <f>+COUNTIFS('muddati otgan'!C:C,A136,'muddati otgan'!J:J,"Arizani yo'naltirish")</f>
        <v>0</v>
      </c>
      <c r="O136" s="11">
        <f>+COUNTIFS('muddati otgan'!C:C,A136,'muddati otgan'!J:J,"Rad qilish sababini o'rganish")</f>
        <v>0</v>
      </c>
      <c r="P136" s="11">
        <f>+COUNTIFS('muddati otgan'!C:C,A136,'muddati otgan'!J:J,"Ko'chmas mulkni UZKAD ga migratsiya qilish")</f>
        <v>0</v>
      </c>
      <c r="Q136" s="11">
        <f>+COUNTIFS('muddati otgan'!C:C,A136,'muddati otgan'!J:J,"Migratisya qilingan obyekt holatini tekshirish")</f>
        <v>0</v>
      </c>
      <c r="R136" s="11">
        <f>+COUNTIFS('muddati otgan'!C:C,A136,'muddati otgan'!J:J,"Ko‘chmas mulkni tanlash")</f>
        <v>0</v>
      </c>
      <c r="S136" s="11">
        <f>+COUNTIFS('muddati otgan'!C:C,A136,'muddati otgan'!J:J,"Arizani ko'rib chiqish")</f>
        <v>0</v>
      </c>
      <c r="T136" s="11">
        <f>+COUNTIFS('muddati otgan'!C:C,A136,'muddati otgan'!J:J,"Kadastr muhandisini tanlash")</f>
        <v>0</v>
      </c>
      <c r="U136" s="11">
        <f>+COUNTIFS('muddati otgan'!C:C,A136,'muddati otgan'!J:J,"Ko'chmas mulk turini tanlahsh")</f>
        <v>0</v>
      </c>
      <c r="V136" s="11">
        <f>+COUNTIFS('muddati otgan'!C:C,A136,'muddati otgan'!AA:AA,"Rad qilish")</f>
        <v>0</v>
      </c>
      <c r="W136" s="11">
        <f>+COUNTIFS('muddati otgan'!C:C,A136,'muddati otgan'!J:J,"ijrochi tanlash")</f>
        <v>0</v>
      </c>
      <c r="X136" s="11">
        <f>+COUNTIFS('muddati otgan'!C:C,A136,'muddati otgan'!J:J,"Ko'chmas mulk turini tanlash")</f>
        <v>0</v>
      </c>
      <c r="Y136" s="11">
        <f t="shared" si="24"/>
        <v>0</v>
      </c>
      <c r="Z136" s="11">
        <f>+COUNTIFS('muddati otgan'!C:C,A136,'muddati otgan'!J:J,"Ijroga qabul qilish")</f>
        <v>0</v>
      </c>
      <c r="AA136" s="11">
        <f>+COUNTIFS('muddati otgan'!C:C,A136,'muddati otgan'!J:J,"Joyida o'rganish va ma'lumotlarni kiritish")</f>
        <v>0</v>
      </c>
      <c r="AB136" s="11">
        <f>+COUNTIFS('muddati otgan'!C:C,A136,'muddati otgan'!J:J,"Asosiy qismdan ajratish jarayonida")</f>
        <v>0</v>
      </c>
      <c r="AC136" s="11">
        <f>+COUNTIFS('muddati otgan'!C:C,A136,'muddati otgan'!J:J,"Umumiy foydalanishdagi obyekt yaratilish")</f>
        <v>0</v>
      </c>
      <c r="AD136" s="11">
        <f>+COUNTIFS('muddati otgan'!C:C,A136,'muddati otgan'!J:J,"Migratsiya qilinadigan kadastr raqamini kiritish")</f>
        <v>0</v>
      </c>
      <c r="AE136" s="11">
        <f>+COUNTIFS('muddati otgan'!C:C,A136,'muddati otgan'!J:J,"O'zida qolgan obyektni yaratish")</f>
        <v>0</v>
      </c>
      <c r="AF136" s="11">
        <f>+COUNTIFS('muddati otgan'!C:C,A136,'muddati otgan'!J:J,"O'lchov natijalarini kiritish")</f>
        <v>0</v>
      </c>
      <c r="AG136" s="11">
        <f>+COUNTIFS('muddati otgan'!C:C,A136,'muddati otgan'!J:J,"Topoxaritani tayyorlash (dwg, pdf)")</f>
        <v>0</v>
      </c>
      <c r="AH136" s="11">
        <f t="shared" si="25"/>
        <v>0</v>
      </c>
      <c r="AI136" s="11">
        <f>+COUNTIFS('muddati otgan'!C:C,A136,'muddati otgan'!J:J,"Yer uchastkasini yaratish")</f>
        <v>0</v>
      </c>
      <c r="AJ136" s="11">
        <f t="shared" si="26"/>
        <v>0</v>
      </c>
      <c r="AK136" s="11">
        <f>+COUNTIFS('muddati otgan'!C:C,A136,'muddati otgan'!J:J,"Kelishish (Boshqarma)")</f>
        <v>0</v>
      </c>
      <c r="AL136" s="11">
        <f t="shared" si="27"/>
        <v>0</v>
      </c>
      <c r="AM136" s="11">
        <f>+COUNTIFS('muddati otgan'!C:C,A136,'muddati otgan'!J:J,"Kelishish (DKP)")</f>
        <v>0</v>
      </c>
      <c r="AN136" s="11">
        <f>+COUNTIFS('muddati otgan'!C:C,A136,'muddati otgan'!J:J,"Kelishish")</f>
        <v>0</v>
      </c>
      <c r="AO136" s="11">
        <f>+COUNTIFS('muddati otgan'!C:C,A136,'muddati otgan'!J:J,"Kelishish (Registratsiya DKP)")</f>
        <v>0</v>
      </c>
      <c r="AP136" s="11">
        <f t="shared" si="28"/>
        <v>0</v>
      </c>
      <c r="AQ136" s="11">
        <f>+COUNTIFS('muddati otgan'!C:C,A136,'muddati otgan'!J:J,"Manzil biriktirish")</f>
        <v>0</v>
      </c>
      <c r="AR136" s="11">
        <f>+COUNTIFS('muddati otgan'!C:C,A136,'muddati otgan'!J:J,"Bino va inshootlarni yaratish")</f>
        <v>0</v>
      </c>
      <c r="AS136" s="11">
        <f>+COUNTIFS('muddati otgan'!C:C,A136,'muddati otgan'!J:J,"Dov daraxtlarni yaratish")</f>
        <v>0</v>
      </c>
      <c r="AT136" s="11">
        <f>+COUNTIFS('muddati otgan'!C:C,A136,'muddati otgan'!J:J,"Yer uchastkasini tahrirlash")</f>
        <v>0</v>
      </c>
      <c r="AU136" s="11">
        <f t="shared" si="29"/>
        <v>0</v>
      </c>
      <c r="AV136" s="11">
        <f>+COUNTIFS('muddati otgan'!C:C,A136,'muddati otgan'!J:J,"Yer toifasi va maqsadini kiritish")</f>
        <v>0</v>
      </c>
      <c r="AW136" s="11">
        <f>+COUNTIFS('muddati otgan'!C:C,A136,'muddati otgan'!J:J,"Auksion yer tekshirish")</f>
        <v>0</v>
      </c>
      <c r="AX136" s="11">
        <f>+COUNTIFS('muddati otgan'!C:C,A136,'muddati otgan'!J:J,"Yer turlarini kiritish")</f>
        <v>0</v>
      </c>
      <c r="AY136" s="11">
        <f>+COUNTIFS('muddati otgan'!C:C,A136,'muddati otgan'!J:J,"Ma'lumotlarni kiritish")</f>
        <v>0</v>
      </c>
      <c r="AZ136" s="11">
        <f>+COUNTIFS('muddati otgan'!C:C,A136,'muddati otgan'!J:J,"Yer tekshirish")</f>
        <v>0</v>
      </c>
      <c r="BA136" s="11">
        <f t="shared" si="30"/>
        <v>0</v>
      </c>
      <c r="BB136" s="11">
        <f>+COUNTIFS('muddati otgan'!C:C,A136,'muddati otgan'!J:J,"Bino va inshoot ma'lumotlarini to‘ldirish")</f>
        <v>0</v>
      </c>
      <c r="BC136" s="11">
        <f>+COUNTIFS('muddati otgan'!C:C,A136,'muddati otgan'!J:J,"Inventarizatsiya ma'lumotlarini to‘ldirish")</f>
        <v>0</v>
      </c>
      <c r="BD136" s="11">
        <f>+COUNTIFS('muddati otgan'!C:C,A136,'muddati otgan'!J:J,"Yer uchastkasiga huquqiy hujjatlarni kiritsh")</f>
        <v>0</v>
      </c>
      <c r="BE136" s="11">
        <f>+COUNTIFS('muddati otgan'!C:C,A136,'muddati otgan'!J:J,"Bino-inshootlarga huquqiy hujjatlarni kiritsh")</f>
        <v>0</v>
      </c>
      <c r="BF136" s="11">
        <f>+COUNTIFS('muddati otgan'!C:C,A136,'muddati otgan'!J:J,"Kadastr qiymatini hisoblash va kiritish")</f>
        <v>0</v>
      </c>
      <c r="BG136" s="11">
        <f>+COUNTIFS('muddati otgan'!C:C,A136,'muddati otgan'!J:J,"Kadastr raqam biriktirish")</f>
        <v>0</v>
      </c>
      <c r="BH136" s="11">
        <f>+COUNTIFS('muddati otgan'!C:C,A136,'muddati otgan'!J:J,"Kadastr yig'ma jildni tayyorlash")</f>
        <v>0</v>
      </c>
      <c r="BI136" s="11">
        <f>+COUNTIFS('muddati otgan'!C:C,A136,'muddati otgan'!J:J,"Huquqni yaratish")</f>
        <v>0</v>
      </c>
      <c r="BJ136" s="11">
        <f>+COUNTIFS('muddati otgan'!C:C,A136,'muddati otgan'!J:J,"Hujjatlarni o'rganish")</f>
        <v>0</v>
      </c>
      <c r="BK136" s="11">
        <f>+COUNTIFS('muddati otgan'!C:C,A136,'muddati otgan'!J:J,"Ma'lumotlarni tekshirish")</f>
        <v>0</v>
      </c>
      <c r="BL136" s="11">
        <f t="shared" si="31"/>
        <v>1</v>
      </c>
      <c r="BM136" s="11">
        <f>+COUNTIFS('muddati otgan'!C:C,A136,'muddati otgan'!J:J,"Tekshirish")</f>
        <v>1</v>
      </c>
      <c r="BN136" s="11">
        <f>+COUNTIFS('muddati otgan'!C:C,A136,'muddati otgan'!J:J,"Hujjatlarni tekshirish")</f>
        <v>0</v>
      </c>
      <c r="BO136" s="11">
        <f>+COUNTIFS('muddati otgan'!C:C,A136,'muddati otgan'!J:J,"Tasdiqlash")</f>
        <v>0</v>
      </c>
      <c r="BP136" s="11">
        <f>+COUNTIFS('muddati otgan'!C:C,A136,'muddati otgan'!J:J,"tekshirish/tasdiqlash")</f>
        <v>0</v>
      </c>
      <c r="BQ136" s="11">
        <f>+COUNTIFS('muddati otgan'!C:C,A136,'muddati otgan'!J:J,"Ma'lumotlarni tasdiqlash")</f>
        <v>0</v>
      </c>
      <c r="BR136" s="11">
        <f t="shared" si="32"/>
        <v>0</v>
      </c>
      <c r="BS136" s="11">
        <f>+COUNTIFS('muddati otgan'!C:C,A136,'muddati otgan'!J:J,"Ro'yxatdan o'tkazish ma'lumotlarini tekshirish")</f>
        <v>0</v>
      </c>
      <c r="BT136" s="11">
        <f>+COUNTIFS('muddati otgan'!C:C,A136,'muddati otgan'!J:J,"Kamchiliklar bo'yicha habarnoma yuborish va 3 kunga to'xtatish")</f>
        <v>0</v>
      </c>
      <c r="BU136" s="11">
        <f>+COUNTIFS('muddati otgan'!C:C,A136,'muddati otgan'!J:J,"Hisobga olish")</f>
        <v>0</v>
      </c>
      <c r="BV136" s="11">
        <f>+COUNTIFS('muddati otgan'!C:C,A136,'muddati otgan'!J:J,"Yer uchastkasiga huquq yaratish")</f>
        <v>0</v>
      </c>
      <c r="BW136" s="11">
        <f>+COUNTIFS('muddati otgan'!C:C,A136,'muddati otgan'!J:J,"Bino-inshootga huquq yaratish")</f>
        <v>0</v>
      </c>
      <c r="BX136" s="11">
        <f>+COUNTIFS('muddati otgan'!C:C,A136,'muddati otgan'!J:J,"Cheklov yaratish")</f>
        <v>0</v>
      </c>
      <c r="BY136" s="11">
        <f>+COUNTIFS('muddati otgan'!C:C,A136,'muddati otgan'!J:J,"Taqiq yaratish")</f>
        <v>0</v>
      </c>
      <c r="BZ136" s="11">
        <f t="shared" si="33"/>
        <v>0</v>
      </c>
      <c r="CA136" s="11">
        <f>+COUNTIFS('muddati otgan'!C:C,A136,'muddati otgan'!J:J,"Soliq maydonini tekshirish")</f>
        <v>0</v>
      </c>
      <c r="CB136" s="11">
        <f t="shared" si="34"/>
        <v>0</v>
      </c>
      <c r="CC136" s="11">
        <f>+COUNTIFS('muddati otgan'!C:C,A136,'muddati otgan'!J:J,"Kadastr yig'majildini shakllantirish")</f>
        <v>0</v>
      </c>
      <c r="CD136" s="11">
        <f t="shared" si="35"/>
        <v>0</v>
      </c>
      <c r="CE136" s="11">
        <f>+COUNTIFS('muddati otgan'!C:C,A136,'muddati otgan'!J:J,"Kadastr passportini shakllantirish")</f>
        <v>0</v>
      </c>
      <c r="CF136" s="11">
        <f>+COUNTIFS('muddati otgan'!C:C,A136,'muddati otgan'!J:J,"Yig'ma jildni tasdiqlash")</f>
        <v>0</v>
      </c>
      <c r="CG136" s="11">
        <f>+COUNTIFS('muddati otgan'!C:C,A136,'muddati otgan'!J:J,"To'lov yoki bepul tasdiqlash")</f>
        <v>0</v>
      </c>
      <c r="CH136" s="11">
        <f>+COUNTIFS('muddati otgan'!C:C,A136,'muddati otgan'!J:J,"Bog'liq arizani kutish")</f>
        <v>0</v>
      </c>
      <c r="CI136" s="11">
        <f>+COUNTIFS('muddati otgan'!C:C,A136,'muddati otgan'!J:J,"To'lovga chiqarish")</f>
        <v>0</v>
      </c>
      <c r="CJ136" s="11">
        <f>+COUNTIFS('muddati otgan'!C:C,A136,'muddati otgan'!J:J,"Hisobga qo'yish")</f>
        <v>0</v>
      </c>
      <c r="CK136" s="6">
        <f>+COUNTIFS('muddati otgan'!C:C,A136,'muddati otgan'!J:J,"To'lov kutilmoqda")</f>
        <v>0</v>
      </c>
      <c r="CL136" s="11">
        <f t="shared" si="36"/>
        <v>0</v>
      </c>
      <c r="CM136" s="11">
        <f>+COUNTIFS('muddati otgan'!C:C,A136,'muddati otgan'!AA:AA,"Arizani qabul qilish2")</f>
        <v>0</v>
      </c>
      <c r="CN136" s="11">
        <f>+COUNTIFS('muddati otgan'!C:C,A136,'muddati otgan'!J:J,"Huquqlarni tekshirish")</f>
        <v>0</v>
      </c>
      <c r="CO136" s="11">
        <f>+COUNTIFS('muddati otgan'!C:C,A136,'muddati otgan'!J:J,"Ko'chmas mulkni ro'yhatdan o'tkazishga qabul qilish")</f>
        <v>0</v>
      </c>
      <c r="CP136" s="11">
        <f>+COUNTIFS('muddati otgan'!C:C,A136,'muddati otgan'!J:J,"Ro'yxatdan o'tkazish")</f>
        <v>0</v>
      </c>
      <c r="CQ136" s="11">
        <f>+COUNTIFS('muddati otgan'!C:C,A136,'muddati otgan'!J:J,"Kadastr pasporti va ko'chirmani yuborish")</f>
        <v>0</v>
      </c>
      <c r="CR136" s="11">
        <f>+COUNTIFS('muddati otgan'!C:C,A136,'muddati otgan'!AA:AA,"Rad qilish2")</f>
        <v>0</v>
      </c>
      <c r="CS136" s="11">
        <f>+COUNTIFS('muddati otgan'!C:C,A136,'muddati otgan'!J:J,"Ko'chirmani yuborish")</f>
        <v>0</v>
      </c>
      <c r="CT136" s="11">
        <f>+COUNTIFS('muddati otgan'!C:C,A136,'muddati otgan'!J:J,"Ma‘lumotlarni tekshirish")</f>
        <v>0</v>
      </c>
      <c r="CU136" s="11">
        <f t="shared" si="37"/>
        <v>0</v>
      </c>
      <c r="CV136" s="11">
        <f>+COUNTIFS('muddati otgan'!C:C,A136,'muddati otgan'!J:J,"Kadastr yig'majildini chop etish va arxiv ishiga tikish")</f>
        <v>0</v>
      </c>
      <c r="CW136" s="11">
        <f t="shared" si="38"/>
        <v>0</v>
      </c>
      <c r="CX136" s="11">
        <f>+COUNTIFS('muddati otgan'!C:C,A136,'muddati otgan'!J:J,"Kadastr yig‘majildini qabul qilish, arizani yakunlash")</f>
        <v>0</v>
      </c>
      <c r="CY136" s="11">
        <f>+COUNTIFS('muddati otgan'!C:C,A136,'muddati otgan'!J:J,"Next Cloudga yuklash")</f>
        <v>0</v>
      </c>
      <c r="CZ136" s="6">
        <f>+COUNTIFS('muddati otgan'!C:C,A136,'muddati otgan'!J:J,"Kelishish kutilmoqda")</f>
        <v>0</v>
      </c>
      <c r="DA136" s="6">
        <f>+COUNTIFS('muddati otgan'!C:C,A136,'muddati otgan'!J:J,"Yakunlandi")</f>
        <v>0</v>
      </c>
      <c r="DB136" s="10">
        <f>+COUNTIFS('muddati otgan'!C:C,A136,'muddati otgan'!J:J,"Rad etildi")</f>
        <v>0</v>
      </c>
      <c r="DC136" s="100">
        <f t="shared" si="5"/>
        <v>-1</v>
      </c>
      <c r="DD136" s="44">
        <f>COUNTIFS('jami 1-20 kunlik arizalar'!C:C,A:A,'jami 1-20 kunlik arizalar'!S:S,"1")</f>
        <v>0</v>
      </c>
      <c r="DE136" s="11">
        <f>COUNTIFS('jami 1-20 kunlik arizalar'!C:C,A:A,'jami 1-20 kunlik arizalar'!S:S,"2")</f>
        <v>0</v>
      </c>
      <c r="DF136" s="11">
        <f>COUNTIFS('jami 1-20 kunlik arizalar'!C:C,A:A,'jami 1-20 kunlik arizalar'!S:S,"3")</f>
        <v>0</v>
      </c>
      <c r="DG136" s="11">
        <f>COUNTIFS('jami 1-20 kunlik arizalar'!C:C,A:A,'jami 1-20 kunlik arizalar'!S:S,"4")</f>
        <v>1</v>
      </c>
      <c r="DH136" s="11">
        <f>COUNTIFS('jami 1-20 kunlik arizalar'!C:C,A:A,'jami 1-20 kunlik arizalar'!S:S,"5")</f>
        <v>0</v>
      </c>
      <c r="DI136" s="11">
        <f>SUM(COUNTIFS('jami 1-20 kunlik arizalar'!C:C,A:A, 'jami 1-20 kunlik arizalar'!S:S, {6,7,8,9,10}))</f>
        <v>8</v>
      </c>
      <c r="DJ136" s="12">
        <f>SUM(COUNTIFS('jami 1-20 kunlik arizalar'!C:C,A:A, 'jami 1-20 kunlik arizalar'!S:S, "&gt;10"))</f>
        <v>9</v>
      </c>
    </row>
    <row r="137" spans="1:115" ht="32.1" hidden="1" customHeight="1" outlineLevel="1" x14ac:dyDescent="0.25">
      <c r="A137" s="92" t="s">
        <v>632</v>
      </c>
      <c r="B137" s="74"/>
      <c r="C137" s="85" t="s">
        <v>839</v>
      </c>
      <c r="D137" s="80">
        <f>+COUNTIFS('muddati otgan'!C:C,A137,'muddati otgan'!C:C,A137)</f>
        <v>5</v>
      </c>
      <c r="E137" s="10">
        <f>SUMIFS('muddati otgan'!$V:V,'muddati otgan'!$C:C,$A:A)</f>
        <v>0</v>
      </c>
      <c r="F137" s="10">
        <f>SUMIFS('muddati otgan'!$W:W,'muddati otgan'!$C:C,$A:A)</f>
        <v>1</v>
      </c>
      <c r="G137" s="24">
        <f>SUMIFS('muddati otgan'!$U:U,'muddati otgan'!$C:C,$A:A)</f>
        <v>4</v>
      </c>
      <c r="H137" s="11">
        <f>SUMIFS('muddati otgan'!$G:G,'muddati otgan'!$C:C,$A:A)</f>
        <v>5</v>
      </c>
      <c r="I137" s="12">
        <f>SUMIFS('muddati otgan'!$H:H,'muddati otgan'!$C:C,$A:A)</f>
        <v>0</v>
      </c>
      <c r="J137" s="44">
        <f t="shared" si="23"/>
        <v>0</v>
      </c>
      <c r="K137" s="11">
        <f>+COUNTIFS('muddati otgan'!C:C,A137,'muddati otgan'!AA:AA,"Arizani qabul qilish")</f>
        <v>0</v>
      </c>
      <c r="L137" s="11">
        <f>+COUNTIFS('muddati otgan'!C:C,A137,'muddati otgan'!J:J,"Arizani rad etish")</f>
        <v>0</v>
      </c>
      <c r="M137" s="11">
        <f>+COUNTIFS('muddati otgan'!C:C,A137,'muddati otgan'!J:J,"Arizani tasdiqlash")</f>
        <v>0</v>
      </c>
      <c r="N137" s="11">
        <f>+COUNTIFS('muddati otgan'!C:C,A137,'muddati otgan'!J:J,"Arizani yo'naltirish")</f>
        <v>0</v>
      </c>
      <c r="O137" s="11">
        <f>+COUNTIFS('muddati otgan'!C:C,A137,'muddati otgan'!J:J,"Rad qilish sababini o'rganish")</f>
        <v>0</v>
      </c>
      <c r="P137" s="11">
        <f>+COUNTIFS('muddati otgan'!C:C,A137,'muddati otgan'!J:J,"Ko'chmas mulkni UZKAD ga migratsiya qilish")</f>
        <v>0</v>
      </c>
      <c r="Q137" s="11">
        <f>+COUNTIFS('muddati otgan'!C:C,A137,'muddati otgan'!J:J,"Migratisya qilingan obyekt holatini tekshirish")</f>
        <v>0</v>
      </c>
      <c r="R137" s="11">
        <f>+COUNTIFS('muddati otgan'!C:C,A137,'muddati otgan'!J:J,"Ko‘chmas mulkni tanlash")</f>
        <v>0</v>
      </c>
      <c r="S137" s="11">
        <f>+COUNTIFS('muddati otgan'!C:C,A137,'muddati otgan'!J:J,"Arizani ko'rib chiqish")</f>
        <v>0</v>
      </c>
      <c r="T137" s="11">
        <f>+COUNTIFS('muddati otgan'!C:C,A137,'muddati otgan'!J:J,"Kadastr muhandisini tanlash")</f>
        <v>0</v>
      </c>
      <c r="U137" s="11">
        <f>+COUNTIFS('muddati otgan'!C:C,A137,'muddati otgan'!J:J,"Ko'chmas mulk turini tanlahsh")</f>
        <v>0</v>
      </c>
      <c r="V137" s="11">
        <f>+COUNTIFS('muddati otgan'!C:C,A137,'muddati otgan'!AA:AA,"Rad qilish")</f>
        <v>0</v>
      </c>
      <c r="W137" s="11">
        <f>+COUNTIFS('muddati otgan'!C:C,A137,'muddati otgan'!J:J,"ijrochi tanlash")</f>
        <v>0</v>
      </c>
      <c r="X137" s="11">
        <f>+COUNTIFS('muddati otgan'!C:C,A137,'muddati otgan'!J:J,"Ko'chmas mulk turini tanlash")</f>
        <v>0</v>
      </c>
      <c r="Y137" s="11">
        <f t="shared" si="24"/>
        <v>1</v>
      </c>
      <c r="Z137" s="11">
        <f>+COUNTIFS('muddati otgan'!C:C,A137,'muddati otgan'!J:J,"Ijroga qabul qilish")</f>
        <v>0</v>
      </c>
      <c r="AA137" s="11">
        <f>+COUNTIFS('muddati otgan'!C:C,A137,'muddati otgan'!J:J,"Joyida o'rganish va ma'lumotlarni kiritish")</f>
        <v>0</v>
      </c>
      <c r="AB137" s="11">
        <f>+COUNTIFS('muddati otgan'!C:C,A137,'muddati otgan'!J:J,"Asosiy qismdan ajratish jarayonida")</f>
        <v>0</v>
      </c>
      <c r="AC137" s="11">
        <f>+COUNTIFS('muddati otgan'!C:C,A137,'muddati otgan'!J:J,"Umumiy foydalanishdagi obyekt yaratilish")</f>
        <v>0</v>
      </c>
      <c r="AD137" s="11">
        <f>+COUNTIFS('muddati otgan'!C:C,A137,'muddati otgan'!J:J,"Migratsiya qilinadigan kadastr raqamini kiritish")</f>
        <v>0</v>
      </c>
      <c r="AE137" s="11">
        <f>+COUNTIFS('muddati otgan'!C:C,A137,'muddati otgan'!J:J,"O'zida qolgan obyektni yaratish")</f>
        <v>0</v>
      </c>
      <c r="AF137" s="11">
        <f>+COUNTIFS('muddati otgan'!C:C,A137,'muddati otgan'!J:J,"O'lchov natijalarini kiritish")</f>
        <v>1</v>
      </c>
      <c r="AG137" s="11">
        <f>+COUNTIFS('muddati otgan'!C:C,A137,'muddati otgan'!J:J,"Topoxaritani tayyorlash (dwg, pdf)")</f>
        <v>0</v>
      </c>
      <c r="AH137" s="11">
        <f t="shared" si="25"/>
        <v>0</v>
      </c>
      <c r="AI137" s="11">
        <f>+COUNTIFS('muddati otgan'!C:C,A137,'muddati otgan'!J:J,"Yer uchastkasini yaratish")</f>
        <v>0</v>
      </c>
      <c r="AJ137" s="11">
        <f t="shared" si="26"/>
        <v>0</v>
      </c>
      <c r="AK137" s="11">
        <f>+COUNTIFS('muddati otgan'!C:C,A137,'muddati otgan'!J:J,"Kelishish (Boshqarma)")</f>
        <v>0</v>
      </c>
      <c r="AL137" s="11">
        <f t="shared" si="27"/>
        <v>0</v>
      </c>
      <c r="AM137" s="11">
        <f>+COUNTIFS('muddati otgan'!C:C,A137,'muddati otgan'!J:J,"Kelishish (DKP)")</f>
        <v>0</v>
      </c>
      <c r="AN137" s="11">
        <f>+COUNTIFS('muddati otgan'!C:C,A137,'muddati otgan'!J:J,"Kelishish")</f>
        <v>0</v>
      </c>
      <c r="AO137" s="11">
        <f>+COUNTIFS('muddati otgan'!C:C,A137,'muddati otgan'!J:J,"Kelishish (Registratsiya DKP)")</f>
        <v>0</v>
      </c>
      <c r="AP137" s="11">
        <f t="shared" si="28"/>
        <v>0</v>
      </c>
      <c r="AQ137" s="11">
        <f>+COUNTIFS('muddati otgan'!C:C,A137,'muddati otgan'!J:J,"Manzil biriktirish")</f>
        <v>0</v>
      </c>
      <c r="AR137" s="11">
        <f>+COUNTIFS('muddati otgan'!C:C,A137,'muddati otgan'!J:J,"Bino va inshootlarni yaratish")</f>
        <v>0</v>
      </c>
      <c r="AS137" s="11">
        <f>+COUNTIFS('muddati otgan'!C:C,A137,'muddati otgan'!J:J,"Dov daraxtlarni yaratish")</f>
        <v>0</v>
      </c>
      <c r="AT137" s="11">
        <f>+COUNTIFS('muddati otgan'!C:C,A137,'muddati otgan'!J:J,"Yer uchastkasini tahrirlash")</f>
        <v>0</v>
      </c>
      <c r="AU137" s="11">
        <f t="shared" si="29"/>
        <v>0</v>
      </c>
      <c r="AV137" s="11">
        <f>+COUNTIFS('muddati otgan'!C:C,A137,'muddati otgan'!J:J,"Yer toifasi va maqsadini kiritish")</f>
        <v>0</v>
      </c>
      <c r="AW137" s="11">
        <f>+COUNTIFS('muddati otgan'!C:C,A137,'muddati otgan'!J:J,"Auksion yer tekshirish")</f>
        <v>0</v>
      </c>
      <c r="AX137" s="11">
        <f>+COUNTIFS('muddati otgan'!C:C,A137,'muddati otgan'!J:J,"Yer turlarini kiritish")</f>
        <v>0</v>
      </c>
      <c r="AY137" s="11">
        <f>+COUNTIFS('muddati otgan'!C:C,A137,'muddati otgan'!J:J,"Ma'lumotlarni kiritish")</f>
        <v>0</v>
      </c>
      <c r="AZ137" s="11">
        <f>+COUNTIFS('muddati otgan'!C:C,A137,'muddati otgan'!J:J,"Yer tekshirish")</f>
        <v>0</v>
      </c>
      <c r="BA137" s="11">
        <f t="shared" si="30"/>
        <v>0</v>
      </c>
      <c r="BB137" s="11">
        <f>+COUNTIFS('muddati otgan'!C:C,A137,'muddati otgan'!J:J,"Bino va inshoot ma'lumotlarini to‘ldirish")</f>
        <v>0</v>
      </c>
      <c r="BC137" s="11">
        <f>+COUNTIFS('muddati otgan'!C:C,A137,'muddati otgan'!J:J,"Inventarizatsiya ma'lumotlarini to‘ldirish")</f>
        <v>0</v>
      </c>
      <c r="BD137" s="11">
        <f>+COUNTIFS('muddati otgan'!C:C,A137,'muddati otgan'!J:J,"Yer uchastkasiga huquqiy hujjatlarni kiritsh")</f>
        <v>0</v>
      </c>
      <c r="BE137" s="11">
        <f>+COUNTIFS('muddati otgan'!C:C,A137,'muddati otgan'!J:J,"Bino-inshootlarga huquqiy hujjatlarni kiritsh")</f>
        <v>0</v>
      </c>
      <c r="BF137" s="11">
        <f>+COUNTIFS('muddati otgan'!C:C,A137,'muddati otgan'!J:J,"Kadastr qiymatini hisoblash va kiritish")</f>
        <v>0</v>
      </c>
      <c r="BG137" s="11">
        <f>+COUNTIFS('muddati otgan'!C:C,A137,'muddati otgan'!J:J,"Kadastr raqam biriktirish")</f>
        <v>0</v>
      </c>
      <c r="BH137" s="11">
        <f>+COUNTIFS('muddati otgan'!C:C,A137,'muddati otgan'!J:J,"Kadastr yig'ma jildni tayyorlash")</f>
        <v>0</v>
      </c>
      <c r="BI137" s="11">
        <f>+COUNTIFS('muddati otgan'!C:C,A137,'muddati otgan'!J:J,"Huquqni yaratish")</f>
        <v>0</v>
      </c>
      <c r="BJ137" s="11">
        <f>+COUNTIFS('muddati otgan'!C:C,A137,'muddati otgan'!J:J,"Hujjatlarni o'rganish")</f>
        <v>0</v>
      </c>
      <c r="BK137" s="11">
        <f>+COUNTIFS('muddati otgan'!C:C,A137,'muddati otgan'!J:J,"Ma'lumotlarni tekshirish")</f>
        <v>0</v>
      </c>
      <c r="BL137" s="11">
        <f t="shared" si="31"/>
        <v>4</v>
      </c>
      <c r="BM137" s="11">
        <f>+COUNTIFS('muddati otgan'!C:C,A137,'muddati otgan'!J:J,"Tekshirish")</f>
        <v>4</v>
      </c>
      <c r="BN137" s="11">
        <f>+COUNTIFS('muddati otgan'!C:C,A137,'muddati otgan'!J:J,"Hujjatlarni tekshirish")</f>
        <v>0</v>
      </c>
      <c r="BO137" s="11">
        <f>+COUNTIFS('muddati otgan'!C:C,A137,'muddati otgan'!J:J,"Tasdiqlash")</f>
        <v>0</v>
      </c>
      <c r="BP137" s="11">
        <f>+COUNTIFS('muddati otgan'!C:C,A137,'muddati otgan'!J:J,"tekshirish/tasdiqlash")</f>
        <v>0</v>
      </c>
      <c r="BQ137" s="11">
        <f>+COUNTIFS('muddati otgan'!C:C,A137,'muddati otgan'!J:J,"Ma'lumotlarni tasdiqlash")</f>
        <v>0</v>
      </c>
      <c r="BR137" s="11">
        <f t="shared" si="32"/>
        <v>0</v>
      </c>
      <c r="BS137" s="11">
        <f>+COUNTIFS('muddati otgan'!C:C,A137,'muddati otgan'!J:J,"Ro'yxatdan o'tkazish ma'lumotlarini tekshirish")</f>
        <v>0</v>
      </c>
      <c r="BT137" s="11">
        <f>+COUNTIFS('muddati otgan'!C:C,A137,'muddati otgan'!J:J,"Kamchiliklar bo'yicha habarnoma yuborish va 3 kunga to'xtatish")</f>
        <v>0</v>
      </c>
      <c r="BU137" s="11">
        <f>+COUNTIFS('muddati otgan'!C:C,A137,'muddati otgan'!J:J,"Hisobga olish")</f>
        <v>0</v>
      </c>
      <c r="BV137" s="11">
        <f>+COUNTIFS('muddati otgan'!C:C,A137,'muddati otgan'!J:J,"Yer uchastkasiga huquq yaratish")</f>
        <v>0</v>
      </c>
      <c r="BW137" s="11">
        <f>+COUNTIFS('muddati otgan'!C:C,A137,'muddati otgan'!J:J,"Bino-inshootga huquq yaratish")</f>
        <v>0</v>
      </c>
      <c r="BX137" s="11">
        <f>+COUNTIFS('muddati otgan'!C:C,A137,'muddati otgan'!J:J,"Cheklov yaratish")</f>
        <v>0</v>
      </c>
      <c r="BY137" s="11">
        <f>+COUNTIFS('muddati otgan'!C:C,A137,'muddati otgan'!J:J,"Taqiq yaratish")</f>
        <v>0</v>
      </c>
      <c r="BZ137" s="11">
        <f t="shared" si="33"/>
        <v>0</v>
      </c>
      <c r="CA137" s="11">
        <f>+COUNTIFS('muddati otgan'!C:C,A137,'muddati otgan'!J:J,"Soliq maydonini tekshirish")</f>
        <v>0</v>
      </c>
      <c r="CB137" s="11">
        <f t="shared" si="34"/>
        <v>0</v>
      </c>
      <c r="CC137" s="11">
        <f>+COUNTIFS('muddati otgan'!C:C,A137,'muddati otgan'!J:J,"Kadastr yig'majildini shakllantirish")</f>
        <v>0</v>
      </c>
      <c r="CD137" s="11">
        <f t="shared" si="35"/>
        <v>0</v>
      </c>
      <c r="CE137" s="11">
        <f>+COUNTIFS('muddati otgan'!C:C,A137,'muddati otgan'!J:J,"Kadastr passportini shakllantirish")</f>
        <v>0</v>
      </c>
      <c r="CF137" s="11">
        <f>+COUNTIFS('muddati otgan'!C:C,A137,'muddati otgan'!J:J,"Yig'ma jildni tasdiqlash")</f>
        <v>0</v>
      </c>
      <c r="CG137" s="11">
        <f>+COUNTIFS('muddati otgan'!C:C,A137,'muddati otgan'!J:J,"To'lov yoki bepul tasdiqlash")</f>
        <v>0</v>
      </c>
      <c r="CH137" s="11">
        <f>+COUNTIFS('muddati otgan'!C:C,A137,'muddati otgan'!J:J,"Bog'liq arizani kutish")</f>
        <v>0</v>
      </c>
      <c r="CI137" s="11">
        <f>+COUNTIFS('muddati otgan'!C:C,A137,'muddati otgan'!J:J,"To'lovga chiqarish")</f>
        <v>0</v>
      </c>
      <c r="CJ137" s="11">
        <f>+COUNTIFS('muddati otgan'!C:C,A137,'muddati otgan'!J:J,"Hisobga qo'yish")</f>
        <v>0</v>
      </c>
      <c r="CK137" s="6">
        <f>+COUNTIFS('muddati otgan'!C:C,A137,'muddati otgan'!J:J,"To'lov kutilmoqda")</f>
        <v>0</v>
      </c>
      <c r="CL137" s="11">
        <f t="shared" si="36"/>
        <v>0</v>
      </c>
      <c r="CM137" s="11">
        <f>+COUNTIFS('muddati otgan'!C:C,A137,'muddati otgan'!AA:AA,"Arizani qabul qilish2")</f>
        <v>0</v>
      </c>
      <c r="CN137" s="11">
        <f>+COUNTIFS('muddati otgan'!C:C,A137,'muddati otgan'!J:J,"Huquqlarni tekshirish")</f>
        <v>0</v>
      </c>
      <c r="CO137" s="11">
        <f>+COUNTIFS('muddati otgan'!C:C,A137,'muddati otgan'!J:J,"Ko'chmas mulkni ro'yhatdan o'tkazishga qabul qilish")</f>
        <v>0</v>
      </c>
      <c r="CP137" s="11">
        <f>+COUNTIFS('muddati otgan'!C:C,A137,'muddati otgan'!J:J,"Ro'yxatdan o'tkazish")</f>
        <v>0</v>
      </c>
      <c r="CQ137" s="11">
        <f>+COUNTIFS('muddati otgan'!C:C,A137,'muddati otgan'!J:J,"Kadastr pasporti va ko'chirmani yuborish")</f>
        <v>0</v>
      </c>
      <c r="CR137" s="11">
        <f>+COUNTIFS('muddati otgan'!C:C,A137,'muddati otgan'!AA:AA,"Rad qilish2")</f>
        <v>0</v>
      </c>
      <c r="CS137" s="11">
        <f>+COUNTIFS('muddati otgan'!C:C,A137,'muddati otgan'!J:J,"Ko'chirmani yuborish")</f>
        <v>0</v>
      </c>
      <c r="CT137" s="11">
        <f>+COUNTIFS('muddati otgan'!C:C,A137,'muddati otgan'!J:J,"Ma‘lumotlarni tekshirish")</f>
        <v>0</v>
      </c>
      <c r="CU137" s="11">
        <f t="shared" si="37"/>
        <v>0</v>
      </c>
      <c r="CV137" s="11">
        <f>+COUNTIFS('muddati otgan'!C:C,A137,'muddati otgan'!J:J,"Kadastr yig'majildini chop etish va arxiv ishiga tikish")</f>
        <v>0</v>
      </c>
      <c r="CW137" s="11">
        <f t="shared" si="38"/>
        <v>0</v>
      </c>
      <c r="CX137" s="11">
        <f>+COUNTIFS('muddati otgan'!C:C,A137,'muddati otgan'!J:J,"Kadastr yig‘majildini qabul qilish, arizani yakunlash")</f>
        <v>0</v>
      </c>
      <c r="CY137" s="11">
        <f>+COUNTIFS('muddati otgan'!C:C,A137,'muddati otgan'!J:J,"Next Cloudga yuklash")</f>
        <v>0</v>
      </c>
      <c r="CZ137" s="6">
        <f>+COUNTIFS('muddati otgan'!C:C,A137,'muddati otgan'!J:J,"Kelishish kutilmoqda")</f>
        <v>0</v>
      </c>
      <c r="DA137" s="6">
        <f>+COUNTIFS('muddati otgan'!C:C,A137,'muddati otgan'!J:J,"Yakunlandi")</f>
        <v>0</v>
      </c>
      <c r="DB137" s="10">
        <f>+COUNTIFS('muddati otgan'!C:C,A137,'muddati otgan'!J:J,"Rad etildi")</f>
        <v>0</v>
      </c>
      <c r="DC137" s="100">
        <f t="shared" si="5"/>
        <v>-5</v>
      </c>
      <c r="DD137" s="44">
        <f>COUNTIFS('jami 1-20 kunlik arizalar'!C:C,A:A,'jami 1-20 kunlik arizalar'!S:S,"1")</f>
        <v>0</v>
      </c>
      <c r="DE137" s="11">
        <f>COUNTIFS('jami 1-20 kunlik arizalar'!C:C,A:A,'jami 1-20 kunlik arizalar'!S:S,"2")</f>
        <v>0</v>
      </c>
      <c r="DF137" s="11">
        <f>COUNTIFS('jami 1-20 kunlik arizalar'!C:C,A:A,'jami 1-20 kunlik arizalar'!S:S,"3")</f>
        <v>0</v>
      </c>
      <c r="DG137" s="11">
        <f>COUNTIFS('jami 1-20 kunlik arizalar'!C:C,A:A,'jami 1-20 kunlik arizalar'!S:S,"4")</f>
        <v>1</v>
      </c>
      <c r="DH137" s="11">
        <f>COUNTIFS('jami 1-20 kunlik arizalar'!C:C,A:A,'jami 1-20 kunlik arizalar'!S:S,"5")</f>
        <v>1</v>
      </c>
      <c r="DI137" s="11">
        <f>SUM(COUNTIFS('jami 1-20 kunlik arizalar'!C:C,A:A, 'jami 1-20 kunlik arizalar'!S:S, {6,7,8,9,10}))</f>
        <v>2</v>
      </c>
      <c r="DJ137" s="12">
        <f>SUM(COUNTIFS('jami 1-20 kunlik arizalar'!C:C,A:A, 'jami 1-20 kunlik arizalar'!S:S, "&gt;10"))</f>
        <v>3</v>
      </c>
    </row>
    <row r="138" spans="1:115" ht="32.1" hidden="1" customHeight="1" outlineLevel="1" x14ac:dyDescent="0.25">
      <c r="A138" s="92" t="s">
        <v>675</v>
      </c>
      <c r="B138" s="74"/>
      <c r="C138" s="85" t="s">
        <v>840</v>
      </c>
      <c r="D138" s="80">
        <f>+COUNTIFS('muddati otgan'!C:C,A138,'muddati otgan'!C:C,A138)</f>
        <v>1</v>
      </c>
      <c r="E138" s="10">
        <f>SUMIFS('muddati otgan'!$V:V,'muddati otgan'!$C:C,$A:A)</f>
        <v>0</v>
      </c>
      <c r="F138" s="10">
        <f>SUMIFS('muddati otgan'!$W:W,'muddati otgan'!$C:C,$A:A)</f>
        <v>0</v>
      </c>
      <c r="G138" s="24">
        <f>SUMIFS('muddati otgan'!$U:U,'muddati otgan'!$C:C,$A:A)</f>
        <v>1</v>
      </c>
      <c r="H138" s="11">
        <f>SUMIFS('muddati otgan'!$G:G,'muddati otgan'!$C:C,$A:A)</f>
        <v>1</v>
      </c>
      <c r="I138" s="12">
        <f>SUMIFS('muddati otgan'!$H:H,'muddati otgan'!$C:C,$A:A)</f>
        <v>0</v>
      </c>
      <c r="J138" s="44">
        <f t="shared" si="23"/>
        <v>0</v>
      </c>
      <c r="K138" s="11">
        <f>+COUNTIFS('muddati otgan'!C:C,A138,'muddati otgan'!AA:AA,"Arizani qabul qilish")</f>
        <v>0</v>
      </c>
      <c r="L138" s="11">
        <f>+COUNTIFS('muddati otgan'!C:C,A138,'muddati otgan'!J:J,"Arizani rad etish")</f>
        <v>0</v>
      </c>
      <c r="M138" s="11">
        <f>+COUNTIFS('muddati otgan'!C:C,A138,'muddati otgan'!J:J,"Arizani tasdiqlash")</f>
        <v>0</v>
      </c>
      <c r="N138" s="11">
        <f>+COUNTIFS('muddati otgan'!C:C,A138,'muddati otgan'!J:J,"Arizani yo'naltirish")</f>
        <v>0</v>
      </c>
      <c r="O138" s="11">
        <f>+COUNTIFS('muddati otgan'!C:C,A138,'muddati otgan'!J:J,"Rad qilish sababini o'rganish")</f>
        <v>0</v>
      </c>
      <c r="P138" s="11">
        <f>+COUNTIFS('muddati otgan'!C:C,A138,'muddati otgan'!J:J,"Ko'chmas mulkni UZKAD ga migratsiya qilish")</f>
        <v>0</v>
      </c>
      <c r="Q138" s="11">
        <f>+COUNTIFS('muddati otgan'!C:C,A138,'muddati otgan'!J:J,"Migratisya qilingan obyekt holatini tekshirish")</f>
        <v>0</v>
      </c>
      <c r="R138" s="11">
        <f>+COUNTIFS('muddati otgan'!C:C,A138,'muddati otgan'!J:J,"Ko‘chmas mulkni tanlash")</f>
        <v>0</v>
      </c>
      <c r="S138" s="11">
        <f>+COUNTIFS('muddati otgan'!C:C,A138,'muddati otgan'!J:J,"Arizani ko'rib chiqish")</f>
        <v>0</v>
      </c>
      <c r="T138" s="11">
        <f>+COUNTIFS('muddati otgan'!C:C,A138,'muddati otgan'!J:J,"Kadastr muhandisini tanlash")</f>
        <v>0</v>
      </c>
      <c r="U138" s="11">
        <f>+COUNTIFS('muddati otgan'!C:C,A138,'muddati otgan'!J:J,"Ko'chmas mulk turini tanlahsh")</f>
        <v>0</v>
      </c>
      <c r="V138" s="11">
        <f>+COUNTIFS('muddati otgan'!C:C,A138,'muddati otgan'!AA:AA,"Rad qilish")</f>
        <v>0</v>
      </c>
      <c r="W138" s="11">
        <f>+COUNTIFS('muddati otgan'!C:C,A138,'muddati otgan'!J:J,"ijrochi tanlash")</f>
        <v>0</v>
      </c>
      <c r="X138" s="11">
        <f>+COUNTIFS('muddati otgan'!C:C,A138,'muddati otgan'!J:J,"Ko'chmas mulk turini tanlash")</f>
        <v>0</v>
      </c>
      <c r="Y138" s="11">
        <f t="shared" si="24"/>
        <v>1</v>
      </c>
      <c r="Z138" s="11">
        <f>+COUNTIFS('muddati otgan'!C:C,A138,'muddati otgan'!J:J,"Ijroga qabul qilish")</f>
        <v>1</v>
      </c>
      <c r="AA138" s="11">
        <f>+COUNTIFS('muddati otgan'!C:C,A138,'muddati otgan'!J:J,"Joyida o'rganish va ma'lumotlarni kiritish")</f>
        <v>0</v>
      </c>
      <c r="AB138" s="11">
        <f>+COUNTIFS('muddati otgan'!C:C,A138,'muddati otgan'!J:J,"Asosiy qismdan ajratish jarayonida")</f>
        <v>0</v>
      </c>
      <c r="AC138" s="11">
        <f>+COUNTIFS('muddati otgan'!C:C,A138,'muddati otgan'!J:J,"Umumiy foydalanishdagi obyekt yaratilish")</f>
        <v>0</v>
      </c>
      <c r="AD138" s="11">
        <f>+COUNTIFS('muddati otgan'!C:C,A138,'muddati otgan'!J:J,"Migratsiya qilinadigan kadastr raqamini kiritish")</f>
        <v>0</v>
      </c>
      <c r="AE138" s="11">
        <f>+COUNTIFS('muddati otgan'!C:C,A138,'muddati otgan'!J:J,"O'zida qolgan obyektni yaratish")</f>
        <v>0</v>
      </c>
      <c r="AF138" s="11">
        <f>+COUNTIFS('muddati otgan'!C:C,A138,'muddati otgan'!J:J,"O'lchov natijalarini kiritish")</f>
        <v>0</v>
      </c>
      <c r="AG138" s="11">
        <f>+COUNTIFS('muddati otgan'!C:C,A138,'muddati otgan'!J:J,"Topoxaritani tayyorlash (dwg, pdf)")</f>
        <v>0</v>
      </c>
      <c r="AH138" s="11">
        <f t="shared" si="25"/>
        <v>0</v>
      </c>
      <c r="AI138" s="11">
        <f>+COUNTIFS('muddati otgan'!C:C,A138,'muddati otgan'!J:J,"Yer uchastkasini yaratish")</f>
        <v>0</v>
      </c>
      <c r="AJ138" s="11">
        <f t="shared" si="26"/>
        <v>0</v>
      </c>
      <c r="AK138" s="11">
        <f>+COUNTIFS('muddati otgan'!C:C,A138,'muddati otgan'!J:J,"Kelishish (Boshqarma)")</f>
        <v>0</v>
      </c>
      <c r="AL138" s="11">
        <f t="shared" si="27"/>
        <v>0</v>
      </c>
      <c r="AM138" s="11">
        <f>+COUNTIFS('muddati otgan'!C:C,A138,'muddati otgan'!J:J,"Kelishish (DKP)")</f>
        <v>0</v>
      </c>
      <c r="AN138" s="11">
        <f>+COUNTIFS('muddati otgan'!C:C,A138,'muddati otgan'!J:J,"Kelishish")</f>
        <v>0</v>
      </c>
      <c r="AO138" s="11">
        <f>+COUNTIFS('muddati otgan'!C:C,A138,'muddati otgan'!J:J,"Kelishish (Registratsiya DKP)")</f>
        <v>0</v>
      </c>
      <c r="AP138" s="11">
        <f t="shared" si="28"/>
        <v>0</v>
      </c>
      <c r="AQ138" s="11">
        <f>+COUNTIFS('muddati otgan'!C:C,A138,'muddati otgan'!J:J,"Manzil biriktirish")</f>
        <v>0</v>
      </c>
      <c r="AR138" s="11">
        <f>+COUNTIFS('muddati otgan'!C:C,A138,'muddati otgan'!J:J,"Bino va inshootlarni yaratish")</f>
        <v>0</v>
      </c>
      <c r="AS138" s="11">
        <f>+COUNTIFS('muddati otgan'!C:C,A138,'muddati otgan'!J:J,"Dov daraxtlarni yaratish")</f>
        <v>0</v>
      </c>
      <c r="AT138" s="11">
        <f>+COUNTIFS('muddati otgan'!C:C,A138,'muddati otgan'!J:J,"Yer uchastkasini tahrirlash")</f>
        <v>0</v>
      </c>
      <c r="AU138" s="11">
        <f t="shared" si="29"/>
        <v>0</v>
      </c>
      <c r="AV138" s="11">
        <f>+COUNTIFS('muddati otgan'!C:C,A138,'muddati otgan'!J:J,"Yer toifasi va maqsadini kiritish")</f>
        <v>0</v>
      </c>
      <c r="AW138" s="11">
        <f>+COUNTIFS('muddati otgan'!C:C,A138,'muddati otgan'!J:J,"Auksion yer tekshirish")</f>
        <v>0</v>
      </c>
      <c r="AX138" s="11">
        <f>+COUNTIFS('muddati otgan'!C:C,A138,'muddati otgan'!J:J,"Yer turlarini kiritish")</f>
        <v>0</v>
      </c>
      <c r="AY138" s="11">
        <f>+COUNTIFS('muddati otgan'!C:C,A138,'muddati otgan'!J:J,"Ma'lumotlarni kiritish")</f>
        <v>0</v>
      </c>
      <c r="AZ138" s="11">
        <f>+COUNTIFS('muddati otgan'!C:C,A138,'muddati otgan'!J:J,"Yer tekshirish")</f>
        <v>0</v>
      </c>
      <c r="BA138" s="11">
        <f t="shared" si="30"/>
        <v>0</v>
      </c>
      <c r="BB138" s="11">
        <f>+COUNTIFS('muddati otgan'!C:C,A138,'muddati otgan'!J:J,"Bino va inshoot ma'lumotlarini to‘ldirish")</f>
        <v>0</v>
      </c>
      <c r="BC138" s="11">
        <f>+COUNTIFS('muddati otgan'!C:C,A138,'muddati otgan'!J:J,"Inventarizatsiya ma'lumotlarini to‘ldirish")</f>
        <v>0</v>
      </c>
      <c r="BD138" s="11">
        <f>+COUNTIFS('muddati otgan'!C:C,A138,'muddati otgan'!J:J,"Yer uchastkasiga huquqiy hujjatlarni kiritsh")</f>
        <v>0</v>
      </c>
      <c r="BE138" s="11">
        <f>+COUNTIFS('muddati otgan'!C:C,A138,'muddati otgan'!J:J,"Bino-inshootlarga huquqiy hujjatlarni kiritsh")</f>
        <v>0</v>
      </c>
      <c r="BF138" s="11">
        <f>+COUNTIFS('muddati otgan'!C:C,A138,'muddati otgan'!J:J,"Kadastr qiymatini hisoblash va kiritish")</f>
        <v>0</v>
      </c>
      <c r="BG138" s="11">
        <f>+COUNTIFS('muddati otgan'!C:C,A138,'muddati otgan'!J:J,"Kadastr raqam biriktirish")</f>
        <v>0</v>
      </c>
      <c r="BH138" s="11">
        <f>+COUNTIFS('muddati otgan'!C:C,A138,'muddati otgan'!J:J,"Kadastr yig'ma jildni tayyorlash")</f>
        <v>0</v>
      </c>
      <c r="BI138" s="11">
        <f>+COUNTIFS('muddati otgan'!C:C,A138,'muddati otgan'!J:J,"Huquqni yaratish")</f>
        <v>0</v>
      </c>
      <c r="BJ138" s="11">
        <f>+COUNTIFS('muddati otgan'!C:C,A138,'muddati otgan'!J:J,"Hujjatlarni o'rganish")</f>
        <v>0</v>
      </c>
      <c r="BK138" s="11">
        <f>+COUNTIFS('muddati otgan'!C:C,A138,'muddati otgan'!J:J,"Ma'lumotlarni tekshirish")</f>
        <v>0</v>
      </c>
      <c r="BL138" s="11">
        <f t="shared" si="31"/>
        <v>0</v>
      </c>
      <c r="BM138" s="11">
        <f>+COUNTIFS('muddati otgan'!C:C,A138,'muddati otgan'!J:J,"Tekshirish")</f>
        <v>0</v>
      </c>
      <c r="BN138" s="11">
        <f>+COUNTIFS('muddati otgan'!C:C,A138,'muddati otgan'!J:J,"Hujjatlarni tekshirish")</f>
        <v>0</v>
      </c>
      <c r="BO138" s="11">
        <f>+COUNTIFS('muddati otgan'!C:C,A138,'muddati otgan'!J:J,"Tasdiqlash")</f>
        <v>0</v>
      </c>
      <c r="BP138" s="11">
        <f>+COUNTIFS('muddati otgan'!C:C,A138,'muddati otgan'!J:J,"tekshirish/tasdiqlash")</f>
        <v>0</v>
      </c>
      <c r="BQ138" s="11">
        <f>+COUNTIFS('muddati otgan'!C:C,A138,'muddati otgan'!J:J,"Ma'lumotlarni tasdiqlash")</f>
        <v>0</v>
      </c>
      <c r="BR138" s="11">
        <f t="shared" si="32"/>
        <v>0</v>
      </c>
      <c r="BS138" s="11">
        <f>+COUNTIFS('muddati otgan'!C:C,A138,'muddati otgan'!J:J,"Ro'yxatdan o'tkazish ma'lumotlarini tekshirish")</f>
        <v>0</v>
      </c>
      <c r="BT138" s="11">
        <f>+COUNTIFS('muddati otgan'!C:C,A138,'muddati otgan'!J:J,"Kamchiliklar bo'yicha habarnoma yuborish va 3 kunga to'xtatish")</f>
        <v>0</v>
      </c>
      <c r="BU138" s="11">
        <f>+COUNTIFS('muddati otgan'!C:C,A138,'muddati otgan'!J:J,"Hisobga olish")</f>
        <v>0</v>
      </c>
      <c r="BV138" s="11">
        <f>+COUNTIFS('muddati otgan'!C:C,A138,'muddati otgan'!J:J,"Yer uchastkasiga huquq yaratish")</f>
        <v>0</v>
      </c>
      <c r="BW138" s="11">
        <f>+COUNTIFS('muddati otgan'!C:C,A138,'muddati otgan'!J:J,"Bino-inshootga huquq yaratish")</f>
        <v>0</v>
      </c>
      <c r="BX138" s="11">
        <f>+COUNTIFS('muddati otgan'!C:C,A138,'muddati otgan'!J:J,"Cheklov yaratish")</f>
        <v>0</v>
      </c>
      <c r="BY138" s="11">
        <f>+COUNTIFS('muddati otgan'!C:C,A138,'muddati otgan'!J:J,"Taqiq yaratish")</f>
        <v>0</v>
      </c>
      <c r="BZ138" s="11">
        <f t="shared" si="33"/>
        <v>0</v>
      </c>
      <c r="CA138" s="11">
        <f>+COUNTIFS('muddati otgan'!C:C,A138,'muddati otgan'!J:J,"Soliq maydonini tekshirish")</f>
        <v>0</v>
      </c>
      <c r="CB138" s="11">
        <f t="shared" si="34"/>
        <v>0</v>
      </c>
      <c r="CC138" s="11">
        <f>+COUNTIFS('muddati otgan'!C:C,A138,'muddati otgan'!J:J,"Kadastr yig'majildini shakllantirish")</f>
        <v>0</v>
      </c>
      <c r="CD138" s="11">
        <f t="shared" si="35"/>
        <v>0</v>
      </c>
      <c r="CE138" s="11">
        <f>+COUNTIFS('muddati otgan'!C:C,A138,'muddati otgan'!J:J,"Kadastr passportini shakllantirish")</f>
        <v>0</v>
      </c>
      <c r="CF138" s="11">
        <f>+COUNTIFS('muddati otgan'!C:C,A138,'muddati otgan'!J:J,"Yig'ma jildni tasdiqlash")</f>
        <v>0</v>
      </c>
      <c r="CG138" s="11">
        <f>+COUNTIFS('muddati otgan'!C:C,A138,'muddati otgan'!J:J,"To'lov yoki bepul tasdiqlash")</f>
        <v>0</v>
      </c>
      <c r="CH138" s="11">
        <f>+COUNTIFS('muddati otgan'!C:C,A138,'muddati otgan'!J:J,"Bog'liq arizani kutish")</f>
        <v>0</v>
      </c>
      <c r="CI138" s="11">
        <f>+COUNTIFS('muddati otgan'!C:C,A138,'muddati otgan'!J:J,"To'lovga chiqarish")</f>
        <v>0</v>
      </c>
      <c r="CJ138" s="11">
        <f>+COUNTIFS('muddati otgan'!C:C,A138,'muddati otgan'!J:J,"Hisobga qo'yish")</f>
        <v>0</v>
      </c>
      <c r="CK138" s="6">
        <f>+COUNTIFS('muddati otgan'!C:C,A138,'muddati otgan'!J:J,"To'lov kutilmoqda")</f>
        <v>0</v>
      </c>
      <c r="CL138" s="11">
        <f t="shared" si="36"/>
        <v>0</v>
      </c>
      <c r="CM138" s="11">
        <f>+COUNTIFS('muddati otgan'!C:C,A138,'muddati otgan'!AA:AA,"Arizani qabul qilish2")</f>
        <v>0</v>
      </c>
      <c r="CN138" s="11">
        <f>+COUNTIFS('muddati otgan'!C:C,A138,'muddati otgan'!J:J,"Huquqlarni tekshirish")</f>
        <v>0</v>
      </c>
      <c r="CO138" s="11">
        <f>+COUNTIFS('muddati otgan'!C:C,A138,'muddati otgan'!J:J,"Ko'chmas mulkni ro'yhatdan o'tkazishga qabul qilish")</f>
        <v>0</v>
      </c>
      <c r="CP138" s="11">
        <f>+COUNTIFS('muddati otgan'!C:C,A138,'muddati otgan'!J:J,"Ro'yxatdan o'tkazish")</f>
        <v>0</v>
      </c>
      <c r="CQ138" s="11">
        <f>+COUNTIFS('muddati otgan'!C:C,A138,'muddati otgan'!J:J,"Kadastr pasporti va ko'chirmani yuborish")</f>
        <v>0</v>
      </c>
      <c r="CR138" s="11">
        <f>+COUNTIFS('muddati otgan'!C:C,A138,'muddati otgan'!AA:AA,"Rad qilish2")</f>
        <v>0</v>
      </c>
      <c r="CS138" s="11">
        <f>+COUNTIFS('muddati otgan'!C:C,A138,'muddati otgan'!J:J,"Ko'chirmani yuborish")</f>
        <v>0</v>
      </c>
      <c r="CT138" s="11">
        <f>+COUNTIFS('muddati otgan'!C:C,A138,'muddati otgan'!J:J,"Ma‘lumotlarni tekshirish")</f>
        <v>0</v>
      </c>
      <c r="CU138" s="11">
        <f t="shared" si="37"/>
        <v>0</v>
      </c>
      <c r="CV138" s="11">
        <f>+COUNTIFS('muddati otgan'!C:C,A138,'muddati otgan'!J:J,"Kadastr yig'majildini chop etish va arxiv ishiga tikish")</f>
        <v>0</v>
      </c>
      <c r="CW138" s="11">
        <f t="shared" si="38"/>
        <v>0</v>
      </c>
      <c r="CX138" s="11">
        <f>+COUNTIFS('muddati otgan'!C:C,A138,'muddati otgan'!J:J,"Kadastr yig‘majildini qabul qilish, arizani yakunlash")</f>
        <v>0</v>
      </c>
      <c r="CY138" s="11">
        <f>+COUNTIFS('muddati otgan'!C:C,A138,'muddati otgan'!J:J,"Next Cloudga yuklash")</f>
        <v>0</v>
      </c>
      <c r="CZ138" s="6">
        <f>+COUNTIFS('muddati otgan'!C:C,A138,'muddati otgan'!J:J,"Kelishish kutilmoqda")</f>
        <v>0</v>
      </c>
      <c r="DA138" s="6">
        <f>+COUNTIFS('muddati otgan'!C:C,A138,'muddati otgan'!J:J,"Yakunlandi")</f>
        <v>0</v>
      </c>
      <c r="DB138" s="10">
        <f>+COUNTIFS('muddati otgan'!C:C,A138,'muddati otgan'!J:J,"Rad etildi")</f>
        <v>0</v>
      </c>
      <c r="DC138" s="100">
        <f t="shared" si="5"/>
        <v>-1</v>
      </c>
      <c r="DD138" s="44">
        <f>COUNTIFS('jami 1-20 kunlik arizalar'!C:C,A:A,'jami 1-20 kunlik arizalar'!S:S,"1")</f>
        <v>0</v>
      </c>
      <c r="DE138" s="11">
        <f>COUNTIFS('jami 1-20 kunlik arizalar'!C:C,A:A,'jami 1-20 kunlik arizalar'!S:S,"2")</f>
        <v>0</v>
      </c>
      <c r="DF138" s="11">
        <f>COUNTIFS('jami 1-20 kunlik arizalar'!C:C,A:A,'jami 1-20 kunlik arizalar'!S:S,"3")</f>
        <v>0</v>
      </c>
      <c r="DG138" s="11">
        <f>COUNTIFS('jami 1-20 kunlik arizalar'!C:C,A:A,'jami 1-20 kunlik arizalar'!S:S,"4")</f>
        <v>0</v>
      </c>
      <c r="DH138" s="11">
        <f>COUNTIFS('jami 1-20 kunlik arizalar'!C:C,A:A,'jami 1-20 kunlik arizalar'!S:S,"5")</f>
        <v>0</v>
      </c>
      <c r="DI138" s="11">
        <f>SUM(COUNTIFS('jami 1-20 kunlik arizalar'!C:C,A:A, 'jami 1-20 kunlik arizalar'!S:S, {6,7,8,9,10}))</f>
        <v>1</v>
      </c>
      <c r="DJ138" s="12">
        <f>SUM(COUNTIFS('jami 1-20 kunlik arizalar'!C:C,A:A, 'jami 1-20 kunlik arizalar'!S:S, "&gt;10"))</f>
        <v>1</v>
      </c>
    </row>
    <row r="139" spans="1:115" ht="32.1" hidden="1" customHeight="1" outlineLevel="1" x14ac:dyDescent="0.25">
      <c r="A139" s="92" t="s">
        <v>635</v>
      </c>
      <c r="B139" s="74"/>
      <c r="C139" s="85" t="s">
        <v>841</v>
      </c>
      <c r="D139" s="80">
        <f>+COUNTIFS('muddati otgan'!C:C,A139,'muddati otgan'!C:C,A139)</f>
        <v>0</v>
      </c>
      <c r="E139" s="10">
        <f>SUMIFS('muddati otgan'!$V:V,'muddati otgan'!$C:C,$A:A)</f>
        <v>0</v>
      </c>
      <c r="F139" s="10">
        <f>SUMIFS('muddati otgan'!$W:W,'muddati otgan'!$C:C,$A:A)</f>
        <v>0</v>
      </c>
      <c r="G139" s="24">
        <f>SUMIFS('muddati otgan'!$U:U,'muddati otgan'!$C:C,$A:A)</f>
        <v>0</v>
      </c>
      <c r="H139" s="11">
        <f>SUMIFS('muddati otgan'!$G:G,'muddati otgan'!$C:C,$A:A)</f>
        <v>0</v>
      </c>
      <c r="I139" s="12">
        <f>SUMIFS('muddati otgan'!$H:H,'muddati otgan'!$C:C,$A:A)</f>
        <v>0</v>
      </c>
      <c r="J139" s="44">
        <f t="shared" si="23"/>
        <v>0</v>
      </c>
      <c r="K139" s="11">
        <f>+COUNTIFS('muddati otgan'!C:C,A139,'muddati otgan'!AA:AA,"Arizani qabul qilish")</f>
        <v>0</v>
      </c>
      <c r="L139" s="11">
        <f>+COUNTIFS('muddati otgan'!C:C,A139,'muddati otgan'!J:J,"Arizani rad etish")</f>
        <v>0</v>
      </c>
      <c r="M139" s="11">
        <f>+COUNTIFS('muddati otgan'!C:C,A139,'muddati otgan'!J:J,"Arizani tasdiqlash")</f>
        <v>0</v>
      </c>
      <c r="N139" s="11">
        <f>+COUNTIFS('muddati otgan'!C:C,A139,'muddati otgan'!J:J,"Arizani yo'naltirish")</f>
        <v>0</v>
      </c>
      <c r="O139" s="11">
        <f>+COUNTIFS('muddati otgan'!C:C,A139,'muddati otgan'!J:J,"Rad qilish sababini o'rganish")</f>
        <v>0</v>
      </c>
      <c r="P139" s="11">
        <f>+COUNTIFS('muddati otgan'!C:C,A139,'muddati otgan'!J:J,"Ko'chmas mulkni UZKAD ga migratsiya qilish")</f>
        <v>0</v>
      </c>
      <c r="Q139" s="11">
        <f>+COUNTIFS('muddati otgan'!C:C,A139,'muddati otgan'!J:J,"Migratisya qilingan obyekt holatini tekshirish")</f>
        <v>0</v>
      </c>
      <c r="R139" s="11">
        <f>+COUNTIFS('muddati otgan'!C:C,A139,'muddati otgan'!J:J,"Ko‘chmas mulkni tanlash")</f>
        <v>0</v>
      </c>
      <c r="S139" s="11">
        <f>+COUNTIFS('muddati otgan'!C:C,A139,'muddati otgan'!J:J,"Arizani ko'rib chiqish")</f>
        <v>0</v>
      </c>
      <c r="T139" s="11">
        <f>+COUNTIFS('muddati otgan'!C:C,A139,'muddati otgan'!J:J,"Kadastr muhandisini tanlash")</f>
        <v>0</v>
      </c>
      <c r="U139" s="11">
        <f>+COUNTIFS('muddati otgan'!C:C,A139,'muddati otgan'!J:J,"Ko'chmas mulk turini tanlahsh")</f>
        <v>0</v>
      </c>
      <c r="V139" s="11">
        <f>+COUNTIFS('muddati otgan'!C:C,A139,'muddati otgan'!AA:AA,"Rad qilish")</f>
        <v>0</v>
      </c>
      <c r="W139" s="11">
        <f>+COUNTIFS('muddati otgan'!C:C,A139,'muddati otgan'!J:J,"ijrochi tanlash")</f>
        <v>0</v>
      </c>
      <c r="X139" s="11">
        <f>+COUNTIFS('muddati otgan'!C:C,A139,'muddati otgan'!J:J,"Ko'chmas mulk turini tanlash")</f>
        <v>0</v>
      </c>
      <c r="Y139" s="11">
        <f t="shared" si="24"/>
        <v>0</v>
      </c>
      <c r="Z139" s="11">
        <f>+COUNTIFS('muddati otgan'!C:C,A139,'muddati otgan'!J:J,"Ijroga qabul qilish")</f>
        <v>0</v>
      </c>
      <c r="AA139" s="11">
        <f>+COUNTIFS('muddati otgan'!C:C,A139,'muddati otgan'!J:J,"Joyida o'rganish va ma'lumotlarni kiritish")</f>
        <v>0</v>
      </c>
      <c r="AB139" s="11">
        <f>+COUNTIFS('muddati otgan'!C:C,A139,'muddati otgan'!J:J,"Asosiy qismdan ajratish jarayonida")</f>
        <v>0</v>
      </c>
      <c r="AC139" s="11">
        <f>+COUNTIFS('muddati otgan'!C:C,A139,'muddati otgan'!J:J,"Umumiy foydalanishdagi obyekt yaratilish")</f>
        <v>0</v>
      </c>
      <c r="AD139" s="11">
        <f>+COUNTIFS('muddati otgan'!C:C,A139,'muddati otgan'!J:J,"Migratsiya qilinadigan kadastr raqamini kiritish")</f>
        <v>0</v>
      </c>
      <c r="AE139" s="11">
        <f>+COUNTIFS('muddati otgan'!C:C,A139,'muddati otgan'!J:J,"O'zida qolgan obyektni yaratish")</f>
        <v>0</v>
      </c>
      <c r="AF139" s="11">
        <f>+COUNTIFS('muddati otgan'!C:C,A139,'muddati otgan'!J:J,"O'lchov natijalarini kiritish")</f>
        <v>0</v>
      </c>
      <c r="AG139" s="11">
        <f>+COUNTIFS('muddati otgan'!C:C,A139,'muddati otgan'!J:J,"Topoxaritani tayyorlash (dwg, pdf)")</f>
        <v>0</v>
      </c>
      <c r="AH139" s="11">
        <f t="shared" si="25"/>
        <v>0</v>
      </c>
      <c r="AI139" s="11">
        <f>+COUNTIFS('muddati otgan'!C:C,A139,'muddati otgan'!J:J,"Yer uchastkasini yaratish")</f>
        <v>0</v>
      </c>
      <c r="AJ139" s="11">
        <f t="shared" si="26"/>
        <v>0</v>
      </c>
      <c r="AK139" s="11">
        <f>+COUNTIFS('muddati otgan'!C:C,A139,'muddati otgan'!J:J,"Kelishish (Boshqarma)")</f>
        <v>0</v>
      </c>
      <c r="AL139" s="11">
        <f t="shared" si="27"/>
        <v>0</v>
      </c>
      <c r="AM139" s="11">
        <f>+COUNTIFS('muddati otgan'!C:C,A139,'muddati otgan'!J:J,"Kelishish (DKP)")</f>
        <v>0</v>
      </c>
      <c r="AN139" s="11">
        <f>+COUNTIFS('muddati otgan'!C:C,A139,'muddati otgan'!J:J,"Kelishish")</f>
        <v>0</v>
      </c>
      <c r="AO139" s="11">
        <f>+COUNTIFS('muddati otgan'!C:C,A139,'muddati otgan'!J:J,"Kelishish (Registratsiya DKP)")</f>
        <v>0</v>
      </c>
      <c r="AP139" s="11">
        <f t="shared" si="28"/>
        <v>0</v>
      </c>
      <c r="AQ139" s="11">
        <f>+COUNTIFS('muddati otgan'!C:C,A139,'muddati otgan'!J:J,"Manzil biriktirish")</f>
        <v>0</v>
      </c>
      <c r="AR139" s="11">
        <f>+COUNTIFS('muddati otgan'!C:C,A139,'muddati otgan'!J:J,"Bino va inshootlarni yaratish")</f>
        <v>0</v>
      </c>
      <c r="AS139" s="11">
        <f>+COUNTIFS('muddati otgan'!C:C,A139,'muddati otgan'!J:J,"Dov daraxtlarni yaratish")</f>
        <v>0</v>
      </c>
      <c r="AT139" s="11">
        <f>+COUNTIFS('muddati otgan'!C:C,A139,'muddati otgan'!J:J,"Yer uchastkasini tahrirlash")</f>
        <v>0</v>
      </c>
      <c r="AU139" s="11">
        <f t="shared" si="29"/>
        <v>0</v>
      </c>
      <c r="AV139" s="11">
        <f>+COUNTIFS('muddati otgan'!C:C,A139,'muddati otgan'!J:J,"Yer toifasi va maqsadini kiritish")</f>
        <v>0</v>
      </c>
      <c r="AW139" s="11">
        <f>+COUNTIFS('muddati otgan'!C:C,A139,'muddati otgan'!J:J,"Auksion yer tekshirish")</f>
        <v>0</v>
      </c>
      <c r="AX139" s="11">
        <f>+COUNTIFS('muddati otgan'!C:C,A139,'muddati otgan'!J:J,"Yer turlarini kiritish")</f>
        <v>0</v>
      </c>
      <c r="AY139" s="11">
        <f>+COUNTIFS('muddati otgan'!C:C,A139,'muddati otgan'!J:J,"Ma'lumotlarni kiritish")</f>
        <v>0</v>
      </c>
      <c r="AZ139" s="11">
        <f>+COUNTIFS('muddati otgan'!C:C,A139,'muddati otgan'!J:J,"Yer tekshirish")</f>
        <v>0</v>
      </c>
      <c r="BA139" s="11">
        <f t="shared" si="30"/>
        <v>0</v>
      </c>
      <c r="BB139" s="11">
        <f>+COUNTIFS('muddati otgan'!C:C,A139,'muddati otgan'!J:J,"Bino va inshoot ma'lumotlarini to‘ldirish")</f>
        <v>0</v>
      </c>
      <c r="BC139" s="11">
        <f>+COUNTIFS('muddati otgan'!C:C,A139,'muddati otgan'!J:J,"Inventarizatsiya ma'lumotlarini to‘ldirish")</f>
        <v>0</v>
      </c>
      <c r="BD139" s="11">
        <f>+COUNTIFS('muddati otgan'!C:C,A139,'muddati otgan'!J:J,"Yer uchastkasiga huquqiy hujjatlarni kiritsh")</f>
        <v>0</v>
      </c>
      <c r="BE139" s="11">
        <f>+COUNTIFS('muddati otgan'!C:C,A139,'muddati otgan'!J:J,"Bino-inshootlarga huquqiy hujjatlarni kiritsh")</f>
        <v>0</v>
      </c>
      <c r="BF139" s="11">
        <f>+COUNTIFS('muddati otgan'!C:C,A139,'muddati otgan'!J:J,"Kadastr qiymatini hisoblash va kiritish")</f>
        <v>0</v>
      </c>
      <c r="BG139" s="11">
        <f>+COUNTIFS('muddati otgan'!C:C,A139,'muddati otgan'!J:J,"Kadastr raqam biriktirish")</f>
        <v>0</v>
      </c>
      <c r="BH139" s="11">
        <f>+COUNTIFS('muddati otgan'!C:C,A139,'muddati otgan'!J:J,"Kadastr yig'ma jildni tayyorlash")</f>
        <v>0</v>
      </c>
      <c r="BI139" s="11">
        <f>+COUNTIFS('muddati otgan'!C:C,A139,'muddati otgan'!J:J,"Huquqni yaratish")</f>
        <v>0</v>
      </c>
      <c r="BJ139" s="11">
        <f>+COUNTIFS('muddati otgan'!C:C,A139,'muddati otgan'!J:J,"Hujjatlarni o'rganish")</f>
        <v>0</v>
      </c>
      <c r="BK139" s="11">
        <f>+COUNTIFS('muddati otgan'!C:C,A139,'muddati otgan'!J:J,"Ma'lumotlarni tekshirish")</f>
        <v>0</v>
      </c>
      <c r="BL139" s="11">
        <f t="shared" si="31"/>
        <v>0</v>
      </c>
      <c r="BM139" s="11">
        <f>+COUNTIFS('muddati otgan'!C:C,A139,'muddati otgan'!J:J,"Tekshirish")</f>
        <v>0</v>
      </c>
      <c r="BN139" s="11">
        <f>+COUNTIFS('muddati otgan'!C:C,A139,'muddati otgan'!J:J,"Hujjatlarni tekshirish")</f>
        <v>0</v>
      </c>
      <c r="BO139" s="11">
        <f>+COUNTIFS('muddati otgan'!C:C,A139,'muddati otgan'!J:J,"Tasdiqlash")</f>
        <v>0</v>
      </c>
      <c r="BP139" s="11">
        <f>+COUNTIFS('muddati otgan'!C:C,A139,'muddati otgan'!J:J,"tekshirish/tasdiqlash")</f>
        <v>0</v>
      </c>
      <c r="BQ139" s="11">
        <f>+COUNTIFS('muddati otgan'!C:C,A139,'muddati otgan'!J:J,"Ma'lumotlarni tasdiqlash")</f>
        <v>0</v>
      </c>
      <c r="BR139" s="11">
        <f t="shared" si="32"/>
        <v>0</v>
      </c>
      <c r="BS139" s="11">
        <f>+COUNTIFS('muddati otgan'!C:C,A139,'muddati otgan'!J:J,"Ro'yxatdan o'tkazish ma'lumotlarini tekshirish")</f>
        <v>0</v>
      </c>
      <c r="BT139" s="11">
        <f>+COUNTIFS('muddati otgan'!C:C,A139,'muddati otgan'!J:J,"Kamchiliklar bo'yicha habarnoma yuborish va 3 kunga to'xtatish")</f>
        <v>0</v>
      </c>
      <c r="BU139" s="11">
        <f>+COUNTIFS('muddati otgan'!C:C,A139,'muddati otgan'!J:J,"Hisobga olish")</f>
        <v>0</v>
      </c>
      <c r="BV139" s="11">
        <f>+COUNTIFS('muddati otgan'!C:C,A139,'muddati otgan'!J:J,"Yer uchastkasiga huquq yaratish")</f>
        <v>0</v>
      </c>
      <c r="BW139" s="11">
        <f>+COUNTIFS('muddati otgan'!C:C,A139,'muddati otgan'!J:J,"Bino-inshootga huquq yaratish")</f>
        <v>0</v>
      </c>
      <c r="BX139" s="11">
        <f>+COUNTIFS('muddati otgan'!C:C,A139,'muddati otgan'!J:J,"Cheklov yaratish")</f>
        <v>0</v>
      </c>
      <c r="BY139" s="11">
        <f>+COUNTIFS('muddati otgan'!C:C,A139,'muddati otgan'!J:J,"Taqiq yaratish")</f>
        <v>0</v>
      </c>
      <c r="BZ139" s="11">
        <f t="shared" si="33"/>
        <v>0</v>
      </c>
      <c r="CA139" s="11">
        <f>+COUNTIFS('muddati otgan'!C:C,A139,'muddati otgan'!J:J,"Soliq maydonini tekshirish")</f>
        <v>0</v>
      </c>
      <c r="CB139" s="11">
        <f t="shared" si="34"/>
        <v>0</v>
      </c>
      <c r="CC139" s="11">
        <f>+COUNTIFS('muddati otgan'!C:C,A139,'muddati otgan'!J:J,"Kadastr yig'majildini shakllantirish")</f>
        <v>0</v>
      </c>
      <c r="CD139" s="11">
        <f t="shared" si="35"/>
        <v>0</v>
      </c>
      <c r="CE139" s="11">
        <f>+COUNTIFS('muddati otgan'!C:C,A139,'muddati otgan'!J:J,"Kadastr passportini shakllantirish")</f>
        <v>0</v>
      </c>
      <c r="CF139" s="11">
        <f>+COUNTIFS('muddati otgan'!C:C,A139,'muddati otgan'!J:J,"Yig'ma jildni tasdiqlash")</f>
        <v>0</v>
      </c>
      <c r="CG139" s="11">
        <f>+COUNTIFS('muddati otgan'!C:C,A139,'muddati otgan'!J:J,"To'lov yoki bepul tasdiqlash")</f>
        <v>0</v>
      </c>
      <c r="CH139" s="11">
        <f>+COUNTIFS('muddati otgan'!C:C,A139,'muddati otgan'!J:J,"Bog'liq arizani kutish")</f>
        <v>0</v>
      </c>
      <c r="CI139" s="11">
        <f>+COUNTIFS('muddati otgan'!C:C,A139,'muddati otgan'!J:J,"To'lovga chiqarish")</f>
        <v>0</v>
      </c>
      <c r="CJ139" s="11">
        <f>+COUNTIFS('muddati otgan'!C:C,A139,'muddati otgan'!J:J,"Hisobga qo'yish")</f>
        <v>0</v>
      </c>
      <c r="CK139" s="6">
        <f>+COUNTIFS('muddati otgan'!C:C,A139,'muddati otgan'!J:J,"To'lov kutilmoqda")</f>
        <v>0</v>
      </c>
      <c r="CL139" s="11">
        <f t="shared" si="36"/>
        <v>0</v>
      </c>
      <c r="CM139" s="11">
        <f>+COUNTIFS('muddati otgan'!C:C,A139,'muddati otgan'!AA:AA,"Arizani qabul qilish2")</f>
        <v>0</v>
      </c>
      <c r="CN139" s="11">
        <f>+COUNTIFS('muddati otgan'!C:C,A139,'muddati otgan'!J:J,"Huquqlarni tekshirish")</f>
        <v>0</v>
      </c>
      <c r="CO139" s="11">
        <f>+COUNTIFS('muddati otgan'!C:C,A139,'muddati otgan'!J:J,"Ko'chmas mulkni ro'yhatdan o'tkazishga qabul qilish")</f>
        <v>0</v>
      </c>
      <c r="CP139" s="11">
        <f>+COUNTIFS('muddati otgan'!C:C,A139,'muddati otgan'!J:J,"Ro'yxatdan o'tkazish")</f>
        <v>0</v>
      </c>
      <c r="CQ139" s="11">
        <f>+COUNTIFS('muddati otgan'!C:C,A139,'muddati otgan'!J:J,"Kadastr pasporti va ko'chirmani yuborish")</f>
        <v>0</v>
      </c>
      <c r="CR139" s="11">
        <f>+COUNTIFS('muddati otgan'!C:C,A139,'muddati otgan'!AA:AA,"Rad qilish2")</f>
        <v>0</v>
      </c>
      <c r="CS139" s="11">
        <f>+COUNTIFS('muddati otgan'!C:C,A139,'muddati otgan'!J:J,"Ko'chirmani yuborish")</f>
        <v>0</v>
      </c>
      <c r="CT139" s="11">
        <f>+COUNTIFS('muddati otgan'!C:C,A139,'muddati otgan'!J:J,"Ma‘lumotlarni tekshirish")</f>
        <v>0</v>
      </c>
      <c r="CU139" s="11">
        <f t="shared" si="37"/>
        <v>0</v>
      </c>
      <c r="CV139" s="11">
        <f>+COUNTIFS('muddati otgan'!C:C,A139,'muddati otgan'!J:J,"Kadastr yig'majildini chop etish va arxiv ishiga tikish")</f>
        <v>0</v>
      </c>
      <c r="CW139" s="11">
        <f t="shared" si="38"/>
        <v>0</v>
      </c>
      <c r="CX139" s="11">
        <f>+COUNTIFS('muddati otgan'!C:C,A139,'muddati otgan'!J:J,"Kadastr yig‘majildini qabul qilish, arizani yakunlash")</f>
        <v>0</v>
      </c>
      <c r="CY139" s="11">
        <f>+COUNTIFS('muddati otgan'!C:C,A139,'muddati otgan'!J:J,"Next Cloudga yuklash")</f>
        <v>0</v>
      </c>
      <c r="CZ139" s="6">
        <f>+COUNTIFS('muddati otgan'!C:C,A139,'muddati otgan'!J:J,"Kelishish kutilmoqda")</f>
        <v>0</v>
      </c>
      <c r="DA139" s="6">
        <f>+COUNTIFS('muddati otgan'!C:C,A139,'muddati otgan'!J:J,"Yakunlandi")</f>
        <v>0</v>
      </c>
      <c r="DB139" s="10">
        <f>+COUNTIFS('muddati otgan'!C:C,A139,'muddati otgan'!J:J,"Rad etildi")</f>
        <v>0</v>
      </c>
      <c r="DC139" s="100">
        <f t="shared" si="5"/>
        <v>0</v>
      </c>
      <c r="DD139" s="44">
        <f>COUNTIFS('jami 1-20 kunlik arizalar'!C:C,A:A,'jami 1-20 kunlik arizalar'!S:S,"1")</f>
        <v>0</v>
      </c>
      <c r="DE139" s="11">
        <f>COUNTIFS('jami 1-20 kunlik arizalar'!C:C,A:A,'jami 1-20 kunlik arizalar'!S:S,"2")</f>
        <v>0</v>
      </c>
      <c r="DF139" s="11">
        <f>COUNTIFS('jami 1-20 kunlik arizalar'!C:C,A:A,'jami 1-20 kunlik arizalar'!S:S,"3")</f>
        <v>0</v>
      </c>
      <c r="DG139" s="11">
        <f>COUNTIFS('jami 1-20 kunlik arizalar'!C:C,A:A,'jami 1-20 kunlik arizalar'!S:S,"4")</f>
        <v>0</v>
      </c>
      <c r="DH139" s="11">
        <f>COUNTIFS('jami 1-20 kunlik arizalar'!C:C,A:A,'jami 1-20 kunlik arizalar'!S:S,"5")</f>
        <v>0</v>
      </c>
      <c r="DI139" s="11">
        <f>SUM(COUNTIFS('jami 1-20 kunlik arizalar'!C:C,A:A, 'jami 1-20 kunlik arizalar'!S:S, {6,7,8,9,10}))</f>
        <v>1</v>
      </c>
      <c r="DJ139" s="12">
        <f>SUM(COUNTIFS('jami 1-20 kunlik arizalar'!C:C,A:A, 'jami 1-20 kunlik arizalar'!S:S, "&gt;10"))</f>
        <v>3</v>
      </c>
    </row>
    <row r="140" spans="1:115" ht="46.5" hidden="1" customHeight="1" outlineLevel="1" thickBot="1" x14ac:dyDescent="0.3">
      <c r="A140" s="92"/>
      <c r="B140" s="77"/>
      <c r="C140" s="89" t="s">
        <v>930</v>
      </c>
      <c r="D140" s="81">
        <f>+D117-(SUM(D118:D139))</f>
        <v>0</v>
      </c>
      <c r="E140" s="21"/>
      <c r="F140" s="21"/>
      <c r="G140" s="21"/>
      <c r="H140" s="41"/>
      <c r="I140" s="42"/>
      <c r="J140" s="45"/>
      <c r="K140" s="22"/>
      <c r="L140" s="22"/>
      <c r="M140" s="22"/>
      <c r="N140" s="22"/>
      <c r="O140" s="22"/>
      <c r="P140" s="22"/>
      <c r="Q140" s="22"/>
      <c r="R140" s="22"/>
      <c r="S140" s="22"/>
      <c r="T140" s="22"/>
      <c r="U140" s="22"/>
      <c r="V140" s="22"/>
      <c r="W140" s="22"/>
      <c r="X140" s="22"/>
      <c r="Y140" s="41"/>
      <c r="Z140" s="22"/>
      <c r="AA140" s="22"/>
      <c r="AB140" s="22"/>
      <c r="AC140" s="22"/>
      <c r="AD140" s="22"/>
      <c r="AE140" s="22"/>
      <c r="AF140" s="22"/>
      <c r="AG140" s="41"/>
      <c r="AH140" s="41"/>
      <c r="AI140" s="22"/>
      <c r="AJ140" s="41"/>
      <c r="AK140" s="22"/>
      <c r="AL140" s="41"/>
      <c r="AM140" s="22"/>
      <c r="AN140" s="22"/>
      <c r="AO140" s="22"/>
      <c r="AP140" s="41"/>
      <c r="AQ140" s="22"/>
      <c r="AR140" s="22"/>
      <c r="AS140" s="22"/>
      <c r="AT140" s="22"/>
      <c r="AU140" s="41"/>
      <c r="AV140" s="22"/>
      <c r="AW140" s="22"/>
      <c r="AX140" s="22"/>
      <c r="AY140" s="22"/>
      <c r="AZ140" s="22"/>
      <c r="BA140" s="41"/>
      <c r="BB140" s="22"/>
      <c r="BC140" s="22"/>
      <c r="BD140" s="22"/>
      <c r="BE140" s="22"/>
      <c r="BF140" s="22"/>
      <c r="BG140" s="22"/>
      <c r="BH140" s="22"/>
      <c r="BI140" s="22"/>
      <c r="BJ140" s="22"/>
      <c r="BK140" s="22"/>
      <c r="BL140" s="41"/>
      <c r="BM140" s="22"/>
      <c r="BN140" s="22"/>
      <c r="BO140" s="22"/>
      <c r="BP140" s="22"/>
      <c r="BQ140" s="22"/>
      <c r="BR140" s="41"/>
      <c r="BS140" s="22"/>
      <c r="BT140" s="22"/>
      <c r="BU140" s="22"/>
      <c r="BV140" s="22"/>
      <c r="BW140" s="22"/>
      <c r="BX140" s="22"/>
      <c r="BY140" s="22"/>
      <c r="BZ140" s="41"/>
      <c r="CA140" s="22"/>
      <c r="CB140" s="41"/>
      <c r="CC140" s="22"/>
      <c r="CD140" s="41"/>
      <c r="CE140" s="22"/>
      <c r="CF140" s="22"/>
      <c r="CG140" s="22"/>
      <c r="CH140" s="22"/>
      <c r="CI140" s="22"/>
      <c r="CJ140" s="22"/>
      <c r="CK140" s="68"/>
      <c r="CL140" s="41"/>
      <c r="CM140" s="22"/>
      <c r="CN140" s="22"/>
      <c r="CO140" s="22"/>
      <c r="CP140" s="22"/>
      <c r="CQ140" s="22"/>
      <c r="CR140" s="22"/>
      <c r="CS140" s="22"/>
      <c r="CT140" s="22"/>
      <c r="CU140" s="41"/>
      <c r="CV140" s="22"/>
      <c r="CW140" s="41"/>
      <c r="CX140" s="22"/>
      <c r="CY140" s="22"/>
      <c r="CZ140" s="68"/>
      <c r="DA140" s="68"/>
      <c r="DB140" s="21"/>
      <c r="DC140" s="101"/>
      <c r="DD140" s="45">
        <f t="shared" ref="DD140:DJ140" si="272">+DD117-(SUM(DD118:DD139))</f>
        <v>0</v>
      </c>
      <c r="DE140" s="41">
        <f t="shared" si="272"/>
        <v>0</v>
      </c>
      <c r="DF140" s="41">
        <f t="shared" si="272"/>
        <v>0</v>
      </c>
      <c r="DG140" s="41">
        <f t="shared" si="272"/>
        <v>0</v>
      </c>
      <c r="DH140" s="41">
        <f t="shared" si="272"/>
        <v>0</v>
      </c>
      <c r="DI140" s="41">
        <f t="shared" si="272"/>
        <v>0</v>
      </c>
      <c r="DJ140" s="42">
        <f t="shared" si="272"/>
        <v>7</v>
      </c>
    </row>
    <row r="141" spans="1:115" s="29" customFormat="1" ht="57.95" customHeight="1" collapsed="1" thickBot="1" x14ac:dyDescent="0.3">
      <c r="A141" s="91" t="s">
        <v>78</v>
      </c>
      <c r="B141" s="76">
        <v>7</v>
      </c>
      <c r="C141" s="87" t="s">
        <v>66</v>
      </c>
      <c r="D141" s="79">
        <f>+COUNTIFS('muddati otgan'!B:B,A141,'muddati otgan'!B:B,"TORT")</f>
        <v>29</v>
      </c>
      <c r="E141" s="37">
        <f>SUMIFS('muddati otgan'!$V:V,'muddati otgan'!$B:B,$A:A)</f>
        <v>3</v>
      </c>
      <c r="F141" s="37">
        <f>SUMIFS('muddati otgan'!$W:W,'muddati otgan'!$B:B,$A:A)</f>
        <v>0</v>
      </c>
      <c r="G141" s="38">
        <f>SUMIFS('muddati otgan'!$U:U,'muddati otgan'!$B:B,$A:A)</f>
        <v>26</v>
      </c>
      <c r="H141" s="39">
        <f>SUMIFS('muddati otgan'!$G:G,'muddati otgan'!$B:B,$A:A)</f>
        <v>27</v>
      </c>
      <c r="I141" s="40">
        <f>SUMIFS('muddati otgan'!$H:H,'muddati otgan'!$B:B,$A:A)</f>
        <v>2</v>
      </c>
      <c r="J141" s="43">
        <f t="shared" si="23"/>
        <v>0</v>
      </c>
      <c r="K141" s="39">
        <f>+COUNTIFS('muddati otgan'!B:B,A141,'muddati otgan'!AA:AA,"Arizani qabul qilish")</f>
        <v>0</v>
      </c>
      <c r="L141" s="39">
        <f>+COUNTIFS('muddati otgan'!B:B,A141,'muddati otgan'!J:J,"Arizani rad etish")</f>
        <v>0</v>
      </c>
      <c r="M141" s="39">
        <f>+COUNTIFS('muddati otgan'!B:B,A141,'muddati otgan'!J:J,"Arizani tasdiqlash")</f>
        <v>0</v>
      </c>
      <c r="N141" s="39">
        <f>+COUNTIFS('muddati otgan'!B:B,A141,'muddati otgan'!J:J,"Arizani yo'naltirish")</f>
        <v>0</v>
      </c>
      <c r="O141" s="39">
        <f>+COUNTIFS('muddati otgan'!B:B,A141,'muddati otgan'!J:J,"Rad qilish sababini o'rganish")</f>
        <v>0</v>
      </c>
      <c r="P141" s="39">
        <f>+COUNTIFS('muddati otgan'!B:B,A141,'muddati otgan'!J:J,"Ko'chmas mulkni UZKAD ga migratsiya qilish")</f>
        <v>0</v>
      </c>
      <c r="Q141" s="39">
        <f>+COUNTIFS('muddati otgan'!B:B,A141,'muddati otgan'!J:J,"Migratisya qilingan obyekt holatini tekshirish")</f>
        <v>0</v>
      </c>
      <c r="R141" s="39">
        <f>+COUNTIFS('muddati otgan'!B:B,A141,'muddati otgan'!J:J,"Ko‘chmas mulkni tanlash")</f>
        <v>0</v>
      </c>
      <c r="S141" s="39">
        <f>+COUNTIFS('muddati otgan'!B:B,A141,'muddati otgan'!J:J,"Arizani ko'rib chiqish")</f>
        <v>0</v>
      </c>
      <c r="T141" s="39">
        <f>+COUNTIFS('muddati otgan'!B:B,A141,'muddati otgan'!J:J,"Kadastr muhandisini tanlash")</f>
        <v>0</v>
      </c>
      <c r="U141" s="39">
        <f>+COUNTIFS('muddati otgan'!B:B,A141,'muddati otgan'!J:J,"Ko'chmas mulk turini tanlahsh")</f>
        <v>0</v>
      </c>
      <c r="V141" s="39">
        <f>+COUNTIFS('muddati otgan'!B:B,A141,'muddati otgan'!AA:AA,"Rad qilish")</f>
        <v>0</v>
      </c>
      <c r="W141" s="39">
        <f>+COUNTIFS('muddati otgan'!B:B,A141,'muddati otgan'!J:J,"ijrochi tanlash")</f>
        <v>0</v>
      </c>
      <c r="X141" s="39">
        <f>+COUNTIFS('muddati otgan'!B:B,A141,'muddati otgan'!J:J,"Ko'chmas mulk turini tanlash")</f>
        <v>0</v>
      </c>
      <c r="Y141" s="39">
        <f t="shared" si="24"/>
        <v>1</v>
      </c>
      <c r="Z141" s="39">
        <f>+COUNTIFS('muddati otgan'!B:B,A141,'muddati otgan'!J:J,"Ijroga qabul qilish")</f>
        <v>0</v>
      </c>
      <c r="AA141" s="39">
        <f>+COUNTIFS('muddati otgan'!B:B,A141,'muddati otgan'!J:J,"Joyida o'rganish va ma'lumotlarni kiritish")</f>
        <v>0</v>
      </c>
      <c r="AB141" s="39">
        <f>+COUNTIFS('muddati otgan'!B:B,A141,'muddati otgan'!J:J,"Asosiy qismdan ajratish jarayonida")</f>
        <v>1</v>
      </c>
      <c r="AC141" s="39">
        <f>+COUNTIFS('muddati otgan'!B:B,A141,'muddati otgan'!J:J,"Umumiy foydalanishdagi obyekt yaratilish")</f>
        <v>0</v>
      </c>
      <c r="AD141" s="39">
        <f>+COUNTIFS('muddati otgan'!B:B,A141,'muddati otgan'!J:J,"Migratsiya qilinadigan kadastr raqamini kiritish")</f>
        <v>0</v>
      </c>
      <c r="AE141" s="39">
        <f>+COUNTIFS('muddati otgan'!B:B,A141,'muddati otgan'!J:J,"O'zida qolgan obyektni yaratish")</f>
        <v>0</v>
      </c>
      <c r="AF141" s="39">
        <f>+COUNTIFS('muddati otgan'!B:B,A141,'muddati otgan'!J:J,"O'lchov natijalarini kiritish")</f>
        <v>0</v>
      </c>
      <c r="AG141" s="39">
        <f>+COUNTIFS('muddati otgan'!B:B,A141,'muddati otgan'!J:J,"Topoxaritani tayyorlash (dwg, pdf)")</f>
        <v>0</v>
      </c>
      <c r="AH141" s="39">
        <f t="shared" si="25"/>
        <v>0</v>
      </c>
      <c r="AI141" s="39">
        <f>+COUNTIFS('muddati otgan'!B:B,A141,'muddati otgan'!J:J,"Yer uchastkasini yaratish")</f>
        <v>0</v>
      </c>
      <c r="AJ141" s="39">
        <f t="shared" si="26"/>
        <v>0</v>
      </c>
      <c r="AK141" s="39">
        <f>+COUNTIFS('muddati otgan'!B:B,A141,'muddati otgan'!J:J,"Kelishish (Boshqarma)")</f>
        <v>0</v>
      </c>
      <c r="AL141" s="39">
        <f t="shared" si="27"/>
        <v>0</v>
      </c>
      <c r="AM141" s="39">
        <f>+COUNTIFS('muddati otgan'!B:B,A141,'muddati otgan'!J:J,"Kelishish (DKP)")</f>
        <v>0</v>
      </c>
      <c r="AN141" s="39">
        <f>+COUNTIFS('muddati otgan'!B:B,A141,'muddati otgan'!J:J,"Kelishish")</f>
        <v>0</v>
      </c>
      <c r="AO141" s="39">
        <f>+COUNTIFS('muddati otgan'!B:B,A141,'muddati otgan'!J:J,"Kelishish (Registratsiya DKP)")</f>
        <v>0</v>
      </c>
      <c r="AP141" s="39">
        <f t="shared" si="28"/>
        <v>1</v>
      </c>
      <c r="AQ141" s="39">
        <f>+COUNTIFS('muddati otgan'!B:B,A141,'muddati otgan'!J:J,"Manzil biriktirish")</f>
        <v>1</v>
      </c>
      <c r="AR141" s="39">
        <f>+COUNTIFS('muddati otgan'!B:B,A141,'muddati otgan'!J:J,"Bino va inshootlarni yaratish")</f>
        <v>0</v>
      </c>
      <c r="AS141" s="39">
        <f>+COUNTIFS('muddati otgan'!B:B,A141,'muddati otgan'!J:J,"Dov daraxtlarni yaratish")</f>
        <v>0</v>
      </c>
      <c r="AT141" s="39">
        <f>+COUNTIFS('muddati otgan'!B:B,A141,'muddati otgan'!J:J,"Yer uchastkasini tahrirlash")</f>
        <v>0</v>
      </c>
      <c r="AU141" s="39">
        <f t="shared" si="29"/>
        <v>0</v>
      </c>
      <c r="AV141" s="39">
        <f>+COUNTIFS('muddati otgan'!B:B,A141,'muddati otgan'!J:J,"Yer toifasi va maqsadini kiritish")</f>
        <v>0</v>
      </c>
      <c r="AW141" s="39">
        <f>+COUNTIFS('muddati otgan'!B:B,A141,'muddati otgan'!J:J,"Auksion yer tekshirish")</f>
        <v>0</v>
      </c>
      <c r="AX141" s="39">
        <f>+COUNTIFS('muddati otgan'!B:B,A141,'muddati otgan'!J:J,"Yer turlarini kiritish")</f>
        <v>0</v>
      </c>
      <c r="AY141" s="39">
        <f>+COUNTIFS('muddati otgan'!B:B,A141,'muddati otgan'!J:J,"Ma'lumotlarni kiritish")</f>
        <v>0</v>
      </c>
      <c r="AZ141" s="39">
        <f>+COUNTIFS('muddati otgan'!B:B,A141,'muddati otgan'!J:J,"Yer tekshirish")</f>
        <v>0</v>
      </c>
      <c r="BA141" s="39">
        <f t="shared" si="30"/>
        <v>1</v>
      </c>
      <c r="BB141" s="39">
        <f>+COUNTIFS('muddati otgan'!B:B,A141,'muddati otgan'!J:J,"Bino va inshoot ma'lumotlarini to‘ldirish")</f>
        <v>0</v>
      </c>
      <c r="BC141" s="39">
        <f>+COUNTIFS('muddati otgan'!B:B,A141,'muddati otgan'!J:J,"Inventarizatsiya ma'lumotlarini to‘ldirish")</f>
        <v>1</v>
      </c>
      <c r="BD141" s="39">
        <f>+COUNTIFS('muddati otgan'!B:B,A141,'muddati otgan'!J:J,"Yer uchastkasiga huquqiy hujjatlarni kiritsh")</f>
        <v>0</v>
      </c>
      <c r="BE141" s="39">
        <f>+COUNTIFS('muddati otgan'!B:B,A141,'muddati otgan'!J:J,"Bino-inshootlarga huquqiy hujjatlarni kiritsh")</f>
        <v>0</v>
      </c>
      <c r="BF141" s="39">
        <f>+COUNTIFS('muddati otgan'!B:B,A141,'muddati otgan'!J:J,"Kadastr qiymatini hisoblash va kiritish")</f>
        <v>0</v>
      </c>
      <c r="BG141" s="39">
        <f>+COUNTIFS('muddati otgan'!B:B,A141,'muddati otgan'!J:J,"Kadastr raqam biriktirish")</f>
        <v>0</v>
      </c>
      <c r="BH141" s="39">
        <f>+COUNTIFS('muddati otgan'!B:B,A141,'muddati otgan'!J:J,"Kadastr yig'ma jildni tayyorlash")</f>
        <v>0</v>
      </c>
      <c r="BI141" s="39">
        <f>+COUNTIFS('muddati otgan'!B:B,A141,'muddati otgan'!J:J,"Huquqni yaratish")</f>
        <v>0</v>
      </c>
      <c r="BJ141" s="39">
        <f>+COUNTIFS('muddati otgan'!B:B,A141,'muddati otgan'!J:J,"Hujjatlarni o'rganish")</f>
        <v>0</v>
      </c>
      <c r="BK141" s="39">
        <f>+COUNTIFS('muddati otgan'!B:B,A141,'muddati otgan'!J:J,"Ma'lumotlarni tekshirish")</f>
        <v>0</v>
      </c>
      <c r="BL141" s="39">
        <f t="shared" si="31"/>
        <v>0</v>
      </c>
      <c r="BM141" s="39">
        <f>+COUNTIFS('muddati otgan'!B:B,A141,'muddati otgan'!J:J,"Tekshirish")</f>
        <v>0</v>
      </c>
      <c r="BN141" s="39">
        <f>+COUNTIFS('muddati otgan'!B:B,A141,'muddati otgan'!J:J,"Hujjatlarni tekshirish")</f>
        <v>0</v>
      </c>
      <c r="BO141" s="39"/>
      <c r="BP141" s="39">
        <f>+COUNTIFS('muddati otgan'!B:B,A141,'muddati otgan'!J:J,"tekshirish/tasdiqlash")</f>
        <v>0</v>
      </c>
      <c r="BQ141" s="39">
        <f>+COUNTIFS('muddati otgan'!B:B,A141,'muddati otgan'!J:J,"Ma'lumotlarni tasdiqlash")</f>
        <v>0</v>
      </c>
      <c r="BR141" s="39">
        <f t="shared" si="32"/>
        <v>20</v>
      </c>
      <c r="BS141" s="39">
        <f>+COUNTIFS('muddati otgan'!B:B,A141,'muddati otgan'!J:J,"Ro'yxatdan o'tkazish ma'lumotlarini tekshirish")</f>
        <v>19</v>
      </c>
      <c r="BT141" s="39">
        <f>+COUNTIFS('muddati otgan'!B:B,A141,'muddati otgan'!J:J,"Kamchiliklar bo'yicha habarnoma yuborish va 3 kunga to'xtatish")</f>
        <v>0</v>
      </c>
      <c r="BU141" s="39">
        <f>+COUNTIFS('muddati otgan'!B:B,A141,'muddati otgan'!J:J,"Hisobga olish")</f>
        <v>0</v>
      </c>
      <c r="BV141" s="39">
        <f>+COUNTIFS('muddati otgan'!B:B,A141,'muddati otgan'!J:J,"Yer uchastkasiga huquq yaratish")</f>
        <v>0</v>
      </c>
      <c r="BW141" s="39">
        <f>+COUNTIFS('muddati otgan'!B:B,A141,'muddati otgan'!J:J,"Bino-inshootga huquq yaratish")</f>
        <v>1</v>
      </c>
      <c r="BX141" s="39">
        <f>+COUNTIFS('muddati otgan'!B:B,A141,'muddati otgan'!J:J,"Cheklov yaratish")</f>
        <v>0</v>
      </c>
      <c r="BY141" s="39">
        <f>+COUNTIFS('muddati otgan'!B:B,A141,'muddati otgan'!J:J,"Taqiq yaratish")</f>
        <v>0</v>
      </c>
      <c r="BZ141" s="39">
        <f t="shared" si="33"/>
        <v>0</v>
      </c>
      <c r="CA141" s="39">
        <f>+COUNTIFS('muddati otgan'!B:B,A141,'muddati otgan'!J:J,"Soliq maydonini tekshirish")</f>
        <v>0</v>
      </c>
      <c r="CB141" s="39">
        <f t="shared" si="34"/>
        <v>2</v>
      </c>
      <c r="CC141" s="39">
        <f>+COUNTIFS('muddati otgan'!B:B,A141,'muddati otgan'!J:J,"Kadastr yig'majildini shakllantirish")</f>
        <v>2</v>
      </c>
      <c r="CD141" s="39">
        <f t="shared" si="35"/>
        <v>0</v>
      </c>
      <c r="CE141" s="39">
        <f>+COUNTIFS('muddati otgan'!B:B,A141,'muddati otgan'!J:J,"Kadastr passportini shakllantirish")</f>
        <v>0</v>
      </c>
      <c r="CF141" s="39">
        <f>+COUNTIFS('muddati otgan'!B:B,A141,'muddati otgan'!J:J,"Yig'ma jildni tasdiqlash")</f>
        <v>0</v>
      </c>
      <c r="CG141" s="39">
        <f>+COUNTIFS('muddati otgan'!B:B,A141,'muddati otgan'!J:J,"To'lov yoki bepul tasdiqlash")</f>
        <v>0</v>
      </c>
      <c r="CH141" s="39">
        <f>+COUNTIFS('muddati otgan'!B:B,A141,'muddati otgan'!J:J,"Bog'liq arizani kutish")</f>
        <v>0</v>
      </c>
      <c r="CI141" s="39">
        <f>+COUNTIFS('muddati otgan'!B:B,A141,'muddati otgan'!J:J,"To'lovga chiqarish")</f>
        <v>0</v>
      </c>
      <c r="CJ141" s="39">
        <f>+COUNTIFS('muddati otgan'!B:B,A141,'muddati otgan'!J:J,"Hisobga qo'yish")</f>
        <v>0</v>
      </c>
      <c r="CK141" s="67">
        <f>+COUNTIFS('muddati otgan'!B:B,A141,'muddati otgan'!J:J,"To'lov kutilmoqda")</f>
        <v>1</v>
      </c>
      <c r="CL141" s="39">
        <f t="shared" si="36"/>
        <v>0</v>
      </c>
      <c r="CM141" s="39">
        <f>+COUNTIFS('muddati otgan'!B:B,A141,'muddati otgan'!AA:AA,"Arizani qabul qilish2")</f>
        <v>0</v>
      </c>
      <c r="CN141" s="39">
        <f>+COUNTIFS('muddati otgan'!B:B,A141,'muddati otgan'!J:J,"Huquqlarni tekshirish")</f>
        <v>0</v>
      </c>
      <c r="CO141" s="39">
        <f>+COUNTIFS('muddati otgan'!B:B,A141,'muddati otgan'!J:J,"Ko'chmas mulkni ro'yhatdan o'tkazishga qabul qilish")</f>
        <v>0</v>
      </c>
      <c r="CP141" s="39">
        <f>+COUNTIFS('muddati otgan'!B:B,A141,'muddati otgan'!J:J,"Ro'yxatdan o'tkazish")</f>
        <v>0</v>
      </c>
      <c r="CQ141" s="39">
        <f>+COUNTIFS('muddati otgan'!B:B,A141,'muddati otgan'!J:J,"Kadastr pasporti va ko'chirmani yuborish")</f>
        <v>0</v>
      </c>
      <c r="CR141" s="39">
        <f>+COUNTIFS('muddati otgan'!B:B,A141,'muddati otgan'!AA:AA,"Rad qilish2")</f>
        <v>0</v>
      </c>
      <c r="CS141" s="39">
        <f>+COUNTIFS('muddati otgan'!B:B,A141,'muddati otgan'!J:J,"Ko'chirmani yuborish")</f>
        <v>0</v>
      </c>
      <c r="CT141" s="39">
        <f>+COUNTIFS('muddati otgan'!B:B,A141,'muddati otgan'!J:J,"Ma‘lumotlarni tekshirish")</f>
        <v>0</v>
      </c>
      <c r="CU141" s="39">
        <f t="shared" si="37"/>
        <v>0</v>
      </c>
      <c r="CV141" s="39">
        <f>+COUNTIFS('muddati otgan'!B:B,A141,'muddati otgan'!J:J,"Kadastr yig'majildini chop etish va arxiv ishiga tikish")</f>
        <v>0</v>
      </c>
      <c r="CW141" s="39">
        <f t="shared" si="38"/>
        <v>0</v>
      </c>
      <c r="CX141" s="39">
        <f>+COUNTIFS('muddati otgan'!B:B,A141,'muddati otgan'!J:J,"Kadastr yig‘majildini qabul qilish, arizani yakunlash")</f>
        <v>0</v>
      </c>
      <c r="CY141" s="39">
        <f>+COUNTIFS('muddati otgan'!B:B,A141,'muddati otgan'!J:J,"Next Cloudga yuklash")</f>
        <v>0</v>
      </c>
      <c r="CZ141" s="67">
        <f>+COUNTIFS('muddati otgan'!B:B,A141,'muddati otgan'!J:J,"Kelishish kutilmoqda")</f>
        <v>0</v>
      </c>
      <c r="DA141" s="67">
        <f>+COUNTIFS('muddati otgan'!B:B,A141,'muddati otgan'!J:J,"Yakunlandi")</f>
        <v>3</v>
      </c>
      <c r="DB141" s="37">
        <f>+COUNTIFS('muddati otgan'!B:B,A141,'muddati otgan'!J:J,"Rad etildi")</f>
        <v>0</v>
      </c>
      <c r="DC141" s="99">
        <f t="shared" si="5"/>
        <v>-25</v>
      </c>
      <c r="DD141" s="43">
        <f>COUNTIFS('jami 1-20 kunlik arizalar'!B:B,A:A,'jami 1-20 kunlik arizalar'!S:S,"1")</f>
        <v>0</v>
      </c>
      <c r="DE141" s="39">
        <f>COUNTIFS('jami 1-20 kunlik arizalar'!B:B,A:A,'jami 1-20 kunlik arizalar'!S:S,"2")</f>
        <v>0</v>
      </c>
      <c r="DF141" s="39">
        <f>COUNTIFS('jami 1-20 kunlik arizalar'!B:B,A:A,'jami 1-20 kunlik arizalar'!S:S,"3")</f>
        <v>26</v>
      </c>
      <c r="DG141" s="39">
        <f>COUNTIFS('jami 1-20 kunlik arizalar'!B:B,A:A,'jami 1-20 kunlik arizalar'!S:S,"4")</f>
        <v>22</v>
      </c>
      <c r="DH141" s="39">
        <f>COUNTIFS('jami 1-20 kunlik arizalar'!B:B,A:A,'jami 1-20 kunlik arizalar'!S:S,"5")</f>
        <v>25</v>
      </c>
      <c r="DI141" s="39">
        <f>SUM(COUNTIFS('jami 1-20 kunlik arizalar'!B:B,A:A, 'jami 1-20 kunlik arizalar'!S:S, {6,7,8,9,10}))</f>
        <v>72</v>
      </c>
      <c r="DJ141" s="40">
        <f>SUMPRODUCT(('jami 1-20 kunlik arizalar'!B:B=A141)*('jami 1-20 kunlik arizalar'!S:S&gt;10))</f>
        <v>98</v>
      </c>
      <c r="DK141" s="34"/>
    </row>
    <row r="142" spans="1:115" ht="32.1" hidden="1" customHeight="1" outlineLevel="1" x14ac:dyDescent="0.25">
      <c r="A142" s="92" t="s">
        <v>695</v>
      </c>
      <c r="B142" s="74"/>
      <c r="C142" s="85" t="s">
        <v>842</v>
      </c>
      <c r="D142" s="80">
        <f>+COUNTIFS('muddati otgan'!C:C,A142,'muddati otgan'!C:C,A142)</f>
        <v>0</v>
      </c>
      <c r="E142" s="10">
        <f>SUMIFS('muddati otgan'!$V:V,'muddati otgan'!$C:C,$A:A)</f>
        <v>0</v>
      </c>
      <c r="F142" s="10">
        <f>SUMIFS('muddati otgan'!$W:W,'muddati otgan'!$C:C,$A:A)</f>
        <v>0</v>
      </c>
      <c r="G142" s="24">
        <f>SUMIFS('muddati otgan'!$U:U,'muddati otgan'!$C:C,$A:A)</f>
        <v>0</v>
      </c>
      <c r="H142" s="11">
        <f>SUMIFS('muddati otgan'!$G:G,'muddati otgan'!$C:C,$A:A)</f>
        <v>0</v>
      </c>
      <c r="I142" s="12">
        <f>SUMIFS('muddati otgan'!$H:H,'muddati otgan'!$C:C,$A:A)</f>
        <v>0</v>
      </c>
      <c r="J142" s="44">
        <f t="shared" si="23"/>
        <v>0</v>
      </c>
      <c r="K142" s="11">
        <f>+COUNTIFS('muddati otgan'!C:C,A142,'muddati otgan'!AA:AA,"Arizani qabul qilish")</f>
        <v>0</v>
      </c>
      <c r="L142" s="11">
        <f>+COUNTIFS('muddati otgan'!C:C,A142,'muddati otgan'!J:J,"Arizani rad etish")</f>
        <v>0</v>
      </c>
      <c r="M142" s="11">
        <f>+COUNTIFS('muddati otgan'!C:C,A142,'muddati otgan'!J:J,"Arizani tasdiqlash")</f>
        <v>0</v>
      </c>
      <c r="N142" s="11">
        <f>+COUNTIFS('muddati otgan'!C:C,A142,'muddati otgan'!J:J,"Arizani yo'naltirish")</f>
        <v>0</v>
      </c>
      <c r="O142" s="11">
        <f>+COUNTIFS('muddati otgan'!C:C,A142,'muddati otgan'!J:J,"Rad qilish sababini o'rganish")</f>
        <v>0</v>
      </c>
      <c r="P142" s="11">
        <f>+COUNTIFS('muddati otgan'!C:C,A142,'muddati otgan'!J:J,"Ko'chmas mulkni UZKAD ga migratsiya qilish")</f>
        <v>0</v>
      </c>
      <c r="Q142" s="11">
        <f>+COUNTIFS('muddati otgan'!C:C,A142,'muddati otgan'!J:J,"Migratisya qilingan obyekt holatini tekshirish")</f>
        <v>0</v>
      </c>
      <c r="R142" s="11">
        <f>+COUNTIFS('muddati otgan'!C:C,A142,'muddati otgan'!J:J,"Ko‘chmas mulkni tanlash")</f>
        <v>0</v>
      </c>
      <c r="S142" s="11">
        <f>+COUNTIFS('muddati otgan'!C:C,A142,'muddati otgan'!J:J,"Arizani ko'rib chiqish")</f>
        <v>0</v>
      </c>
      <c r="T142" s="11">
        <f>+COUNTIFS('muddati otgan'!C:C,A142,'muddati otgan'!J:J,"Kadastr muhandisini tanlash")</f>
        <v>0</v>
      </c>
      <c r="U142" s="11">
        <f>+COUNTIFS('muddati otgan'!C:C,A142,'muddati otgan'!J:J,"Ko'chmas mulk turini tanlahsh")</f>
        <v>0</v>
      </c>
      <c r="V142" s="11">
        <f>+COUNTIFS('muddati otgan'!C:C,A142,'muddati otgan'!AA:AA,"Rad qilish")</f>
        <v>0</v>
      </c>
      <c r="W142" s="11">
        <f>+COUNTIFS('muddati otgan'!C:C,A142,'muddati otgan'!J:J,"ijrochi tanlash")</f>
        <v>0</v>
      </c>
      <c r="X142" s="11">
        <f>+COUNTIFS('muddati otgan'!C:C,A142,'muddati otgan'!J:J,"Ko'chmas mulk turini tanlash")</f>
        <v>0</v>
      </c>
      <c r="Y142" s="11">
        <f t="shared" si="24"/>
        <v>0</v>
      </c>
      <c r="Z142" s="11">
        <f>+COUNTIFS('muddati otgan'!C:C,A142,'muddati otgan'!J:J,"Ijroga qabul qilish")</f>
        <v>0</v>
      </c>
      <c r="AA142" s="11">
        <f>+COUNTIFS('muddati otgan'!C:C,A142,'muddati otgan'!J:J,"Joyida o'rganish va ma'lumotlarni kiritish")</f>
        <v>0</v>
      </c>
      <c r="AB142" s="11">
        <f>+COUNTIFS('muddati otgan'!C:C,A142,'muddati otgan'!J:J,"Asosiy qismdan ajratish jarayonida")</f>
        <v>0</v>
      </c>
      <c r="AC142" s="11">
        <f>+COUNTIFS('muddati otgan'!C:C,A142,'muddati otgan'!J:J,"Umumiy foydalanishdagi obyekt yaratilish")</f>
        <v>0</v>
      </c>
      <c r="AD142" s="11">
        <f>+COUNTIFS('muddati otgan'!C:C,A142,'muddati otgan'!J:J,"Migratsiya qilinadigan kadastr raqamini kiritish")</f>
        <v>0</v>
      </c>
      <c r="AE142" s="11">
        <f>+COUNTIFS('muddati otgan'!C:C,A142,'muddati otgan'!J:J,"O'zida qolgan obyektni yaratish")</f>
        <v>0</v>
      </c>
      <c r="AF142" s="11">
        <f>+COUNTIFS('muddati otgan'!C:C,A142,'muddati otgan'!J:J,"O'lchov natijalarini kiritish")</f>
        <v>0</v>
      </c>
      <c r="AG142" s="11">
        <f>+COUNTIFS('muddati otgan'!C:C,A142,'muddati otgan'!J:J,"Topoxaritani tayyorlash (dwg, pdf)")</f>
        <v>0</v>
      </c>
      <c r="AH142" s="11">
        <f t="shared" si="25"/>
        <v>0</v>
      </c>
      <c r="AI142" s="11">
        <f>+COUNTIFS('muddati otgan'!C:C,A142,'muddati otgan'!J:J,"Yer uchastkasini yaratish")</f>
        <v>0</v>
      </c>
      <c r="AJ142" s="11">
        <f t="shared" si="26"/>
        <v>0</v>
      </c>
      <c r="AK142" s="11">
        <f>+COUNTIFS('muddati otgan'!C:C,A142,'muddati otgan'!J:J,"Kelishish (Boshqarma)")</f>
        <v>0</v>
      </c>
      <c r="AL142" s="11">
        <f t="shared" si="27"/>
        <v>0</v>
      </c>
      <c r="AM142" s="11">
        <f>+COUNTIFS('muddati otgan'!C:C,A142,'muddati otgan'!J:J,"Kelishish (DKP)")</f>
        <v>0</v>
      </c>
      <c r="AN142" s="11">
        <f>+COUNTIFS('muddati otgan'!C:C,A142,'muddati otgan'!J:J,"Kelishish")</f>
        <v>0</v>
      </c>
      <c r="AO142" s="11">
        <f>+COUNTIFS('muddati otgan'!C:C,A142,'muddati otgan'!J:J,"Kelishish (Registratsiya DKP)")</f>
        <v>0</v>
      </c>
      <c r="AP142" s="11">
        <f t="shared" si="28"/>
        <v>0</v>
      </c>
      <c r="AQ142" s="11">
        <f>+COUNTIFS('muddati otgan'!C:C,A142,'muddati otgan'!J:J,"Manzil biriktirish")</f>
        <v>0</v>
      </c>
      <c r="AR142" s="11">
        <f>+COUNTIFS('muddati otgan'!C:C,A142,'muddati otgan'!J:J,"Bino va inshootlarni yaratish")</f>
        <v>0</v>
      </c>
      <c r="AS142" s="11">
        <f>+COUNTIFS('muddati otgan'!C:C,A142,'muddati otgan'!J:J,"Dov daraxtlarni yaratish")</f>
        <v>0</v>
      </c>
      <c r="AT142" s="11">
        <f>+COUNTIFS('muddati otgan'!C:C,A142,'muddati otgan'!J:J,"Yer uchastkasini tahrirlash")</f>
        <v>0</v>
      </c>
      <c r="AU142" s="11">
        <f t="shared" si="29"/>
        <v>0</v>
      </c>
      <c r="AV142" s="11">
        <f>+COUNTIFS('muddati otgan'!C:C,A142,'muddati otgan'!J:J,"Yer toifasi va maqsadini kiritish")</f>
        <v>0</v>
      </c>
      <c r="AW142" s="11">
        <f>+COUNTIFS('muddati otgan'!C:C,A142,'muddati otgan'!J:J,"Auksion yer tekshirish")</f>
        <v>0</v>
      </c>
      <c r="AX142" s="11">
        <f>+COUNTIFS('muddati otgan'!C:C,A142,'muddati otgan'!J:J,"Yer turlarini kiritish")</f>
        <v>0</v>
      </c>
      <c r="AY142" s="11">
        <f>+COUNTIFS('muddati otgan'!C:C,A142,'muddati otgan'!J:J,"Ma'lumotlarni kiritish")</f>
        <v>0</v>
      </c>
      <c r="AZ142" s="11">
        <f>+COUNTIFS('muddati otgan'!C:C,A142,'muddati otgan'!J:J,"Yer tekshirish")</f>
        <v>0</v>
      </c>
      <c r="BA142" s="11">
        <f t="shared" si="30"/>
        <v>0</v>
      </c>
      <c r="BB142" s="11">
        <f>+COUNTIFS('muddati otgan'!C:C,A142,'muddati otgan'!J:J,"Bino va inshoot ma'lumotlarini to‘ldirish")</f>
        <v>0</v>
      </c>
      <c r="BC142" s="11">
        <f>+COUNTIFS('muddati otgan'!C:C,A142,'muddati otgan'!J:J,"Inventarizatsiya ma'lumotlarini to‘ldirish")</f>
        <v>0</v>
      </c>
      <c r="BD142" s="11">
        <f>+COUNTIFS('muddati otgan'!C:C,A142,'muddati otgan'!J:J,"Yer uchastkasiga huquqiy hujjatlarni kiritsh")</f>
        <v>0</v>
      </c>
      <c r="BE142" s="11">
        <f>+COUNTIFS('muddati otgan'!C:C,A142,'muddati otgan'!J:J,"Bino-inshootlarga huquqiy hujjatlarni kiritsh")</f>
        <v>0</v>
      </c>
      <c r="BF142" s="11">
        <f>+COUNTIFS('muddati otgan'!C:C,A142,'muddati otgan'!J:J,"Kadastr qiymatini hisoblash va kiritish")</f>
        <v>0</v>
      </c>
      <c r="BG142" s="11">
        <f>+COUNTIFS('muddati otgan'!C:C,A142,'muddati otgan'!J:J,"Kadastr raqam biriktirish")</f>
        <v>0</v>
      </c>
      <c r="BH142" s="11">
        <f>+COUNTIFS('muddati otgan'!C:C,A142,'muddati otgan'!J:J,"Kadastr yig'ma jildni tayyorlash")</f>
        <v>0</v>
      </c>
      <c r="BI142" s="11">
        <f>+COUNTIFS('muddati otgan'!C:C,A142,'muddati otgan'!J:J,"Huquqni yaratish")</f>
        <v>0</v>
      </c>
      <c r="BJ142" s="11">
        <f>+COUNTIFS('muddati otgan'!C:C,A142,'muddati otgan'!J:J,"Hujjatlarni o'rganish")</f>
        <v>0</v>
      </c>
      <c r="BK142" s="11">
        <f>+COUNTIFS('muddati otgan'!C:C,A142,'muddati otgan'!J:J,"Ma'lumotlarni tekshirish")</f>
        <v>0</v>
      </c>
      <c r="BL142" s="11">
        <f t="shared" si="31"/>
        <v>0</v>
      </c>
      <c r="BM142" s="11">
        <f>+COUNTIFS('muddati otgan'!C:C,A142,'muddati otgan'!J:J,"Tekshirish")</f>
        <v>0</v>
      </c>
      <c r="BN142" s="11">
        <f>+COUNTIFS('muddati otgan'!C:C,A142,'muddati otgan'!J:J,"Hujjatlarni tekshirish")</f>
        <v>0</v>
      </c>
      <c r="BO142" s="11">
        <f>+COUNTIFS('muddati otgan'!C:C,A142,'muddati otgan'!J:J,"Tasdiqlash")</f>
        <v>0</v>
      </c>
      <c r="BP142" s="11">
        <f>+COUNTIFS('muddati otgan'!C:C,A142,'muddati otgan'!J:J,"tekshirish/tasdiqlash")</f>
        <v>0</v>
      </c>
      <c r="BQ142" s="11">
        <f>+COUNTIFS('muddati otgan'!C:C,A142,'muddati otgan'!J:J,"Ma'lumotlarni tasdiqlash")</f>
        <v>0</v>
      </c>
      <c r="BR142" s="11">
        <f t="shared" si="32"/>
        <v>0</v>
      </c>
      <c r="BS142" s="11">
        <f>+COUNTIFS('muddati otgan'!C:C,A142,'muddati otgan'!J:J,"Ro'yxatdan o'tkazish ma'lumotlarini tekshirish")</f>
        <v>0</v>
      </c>
      <c r="BT142" s="11">
        <f>+COUNTIFS('muddati otgan'!C:C,A142,'muddati otgan'!J:J,"Kamchiliklar bo'yicha habarnoma yuborish va 3 kunga to'xtatish")</f>
        <v>0</v>
      </c>
      <c r="BU142" s="11">
        <f>+COUNTIFS('muddati otgan'!C:C,A142,'muddati otgan'!J:J,"Hisobga olish")</f>
        <v>0</v>
      </c>
      <c r="BV142" s="11">
        <f>+COUNTIFS('muddati otgan'!C:C,A142,'muddati otgan'!J:J,"Yer uchastkasiga huquq yaratish")</f>
        <v>0</v>
      </c>
      <c r="BW142" s="11">
        <f>+COUNTIFS('muddati otgan'!C:C,A142,'muddati otgan'!J:J,"Bino-inshootga huquq yaratish")</f>
        <v>0</v>
      </c>
      <c r="BX142" s="11">
        <f>+COUNTIFS('muddati otgan'!C:C,A142,'muddati otgan'!J:J,"Cheklov yaratish")</f>
        <v>0</v>
      </c>
      <c r="BY142" s="11">
        <f>+COUNTIFS('muddati otgan'!C:C,A142,'muddati otgan'!J:J,"Taqiq yaratish")</f>
        <v>0</v>
      </c>
      <c r="BZ142" s="11">
        <f t="shared" si="33"/>
        <v>0</v>
      </c>
      <c r="CA142" s="11">
        <f>+COUNTIFS('muddati otgan'!C:C,A142,'muddati otgan'!J:J,"Soliq maydonini tekshirish")</f>
        <v>0</v>
      </c>
      <c r="CB142" s="11">
        <f t="shared" si="34"/>
        <v>0</v>
      </c>
      <c r="CC142" s="11">
        <f>+COUNTIFS('muddati otgan'!C:C,A142,'muddati otgan'!J:J,"Kadastr yig'majildini shakllantirish")</f>
        <v>0</v>
      </c>
      <c r="CD142" s="11">
        <f t="shared" si="35"/>
        <v>0</v>
      </c>
      <c r="CE142" s="11">
        <f>+COUNTIFS('muddati otgan'!C:C,A142,'muddati otgan'!J:J,"Kadastr passportini shakllantirish")</f>
        <v>0</v>
      </c>
      <c r="CF142" s="11">
        <f>+COUNTIFS('muddati otgan'!C:C,A142,'muddati otgan'!J:J,"Yig'ma jildni tasdiqlash")</f>
        <v>0</v>
      </c>
      <c r="CG142" s="11">
        <f>+COUNTIFS('muddati otgan'!C:C,A142,'muddati otgan'!J:J,"To'lov yoki bepul tasdiqlash")</f>
        <v>0</v>
      </c>
      <c r="CH142" s="11">
        <f>+COUNTIFS('muddati otgan'!C:C,A142,'muddati otgan'!J:J,"Bog'liq arizani kutish")</f>
        <v>0</v>
      </c>
      <c r="CI142" s="11">
        <f>+COUNTIFS('muddati otgan'!C:C,A142,'muddati otgan'!J:J,"To'lovga chiqarish")</f>
        <v>0</v>
      </c>
      <c r="CJ142" s="11">
        <f>+COUNTIFS('muddati otgan'!C:C,A142,'muddati otgan'!J:J,"Hisobga qo'yish")</f>
        <v>0</v>
      </c>
      <c r="CK142" s="6">
        <f>+COUNTIFS('muddati otgan'!C:C,A142,'muddati otgan'!J:J,"To'lov kutilmoqda")</f>
        <v>0</v>
      </c>
      <c r="CL142" s="11">
        <f t="shared" si="36"/>
        <v>0</v>
      </c>
      <c r="CM142" s="11">
        <f>+COUNTIFS('muddati otgan'!C:C,A142,'muddati otgan'!AA:AA,"Arizani qabul qilish2")</f>
        <v>0</v>
      </c>
      <c r="CN142" s="11">
        <f>+COUNTIFS('muddati otgan'!C:C,A142,'muddati otgan'!J:J,"Huquqlarni tekshirish")</f>
        <v>0</v>
      </c>
      <c r="CO142" s="11">
        <f>+COUNTIFS('muddati otgan'!C:C,A142,'muddati otgan'!J:J,"Ko'chmas mulkni ro'yhatdan o'tkazishga qabul qilish")</f>
        <v>0</v>
      </c>
      <c r="CP142" s="11">
        <f>+COUNTIFS('muddati otgan'!C:C,A142,'muddati otgan'!J:J,"Ro'yxatdan o'tkazish")</f>
        <v>0</v>
      </c>
      <c r="CQ142" s="11">
        <f>+COUNTIFS('muddati otgan'!C:C,A142,'muddati otgan'!J:J,"Kadastr pasporti va ko'chirmani yuborish")</f>
        <v>0</v>
      </c>
      <c r="CR142" s="11">
        <f>+COUNTIFS('muddati otgan'!C:C,A142,'muddati otgan'!AA:AA,"Rad qilish2")</f>
        <v>0</v>
      </c>
      <c r="CS142" s="11">
        <f>+COUNTIFS('muddati otgan'!C:C,A142,'muddati otgan'!J:J,"Ko'chirmani yuborish")</f>
        <v>0</v>
      </c>
      <c r="CT142" s="11">
        <f>+COUNTIFS('muddati otgan'!C:C,A142,'muddati otgan'!J:J,"Ma‘lumotlarni tekshirish")</f>
        <v>0</v>
      </c>
      <c r="CU142" s="11">
        <f t="shared" si="37"/>
        <v>0</v>
      </c>
      <c r="CV142" s="11">
        <f>+COUNTIFS('muddati otgan'!C:C,A142,'muddati otgan'!J:J,"Kadastr yig'majildini chop etish va arxiv ishiga tikish")</f>
        <v>0</v>
      </c>
      <c r="CW142" s="11">
        <f t="shared" si="38"/>
        <v>0</v>
      </c>
      <c r="CX142" s="11">
        <f>+COUNTIFS('muddati otgan'!C:C,A142,'muddati otgan'!J:J,"Kadastr yig‘majildini qabul qilish, arizani yakunlash")</f>
        <v>0</v>
      </c>
      <c r="CY142" s="11">
        <f>+COUNTIFS('muddati otgan'!C:C,A142,'muddati otgan'!J:J,"Next Cloudga yuklash")</f>
        <v>0</v>
      </c>
      <c r="CZ142" s="6">
        <f>+COUNTIFS('muddati otgan'!C:C,A142,'muddati otgan'!J:J,"Kelishish kutilmoqda")</f>
        <v>0</v>
      </c>
      <c r="DA142" s="6">
        <f>+COUNTIFS('muddati otgan'!C:C,A142,'muddati otgan'!J:J,"Yakunlandi")</f>
        <v>0</v>
      </c>
      <c r="DB142" s="10">
        <f>+COUNTIFS('muddati otgan'!C:C,A142,'muddati otgan'!J:J,"Rad etildi")</f>
        <v>0</v>
      </c>
      <c r="DC142" s="100">
        <f t="shared" si="5"/>
        <v>0</v>
      </c>
      <c r="DD142" s="44">
        <f>COUNTIFS('jami 1-20 kunlik arizalar'!C:C,A:A,'jami 1-20 kunlik arizalar'!S:S,"1")</f>
        <v>0</v>
      </c>
      <c r="DE142" s="11">
        <f>COUNTIFS('jami 1-20 kunlik arizalar'!C:C,A:A,'jami 1-20 kunlik arizalar'!S:S,"2")</f>
        <v>0</v>
      </c>
      <c r="DF142" s="11">
        <f>COUNTIFS('jami 1-20 kunlik arizalar'!C:C,A:A,'jami 1-20 kunlik arizalar'!S:S,"3")</f>
        <v>1</v>
      </c>
      <c r="DG142" s="11">
        <f>COUNTIFS('jami 1-20 kunlik arizalar'!C:C,A:A,'jami 1-20 kunlik arizalar'!S:S,"4")</f>
        <v>0</v>
      </c>
      <c r="DH142" s="11">
        <f>COUNTIFS('jami 1-20 kunlik arizalar'!C:C,A:A,'jami 1-20 kunlik arizalar'!S:S,"5")</f>
        <v>1</v>
      </c>
      <c r="DI142" s="11">
        <f>SUM(COUNTIFS('jami 1-20 kunlik arizalar'!C:C,A:A, 'jami 1-20 kunlik arizalar'!S:S, {6,7,8,9,10}))</f>
        <v>1</v>
      </c>
      <c r="DJ142" s="12">
        <f>SUM(COUNTIFS('jami 1-20 kunlik arizalar'!C:C,A:A, 'jami 1-20 kunlik arizalar'!S:S, "&gt;10"))</f>
        <v>5</v>
      </c>
    </row>
    <row r="143" spans="1:115" ht="32.1" hidden="1" customHeight="1" outlineLevel="1" x14ac:dyDescent="0.25">
      <c r="A143" s="92" t="s">
        <v>694</v>
      </c>
      <c r="B143" s="74"/>
      <c r="C143" s="85" t="s">
        <v>843</v>
      </c>
      <c r="D143" s="80">
        <f>+COUNTIFS('muddati otgan'!C:C,A143,'muddati otgan'!C:C,A143)</f>
        <v>1</v>
      </c>
      <c r="E143" s="10">
        <f>SUMIFS('muddati otgan'!$V:V,'muddati otgan'!$C:C,$A:A)</f>
        <v>0</v>
      </c>
      <c r="F143" s="10">
        <f>SUMIFS('muddati otgan'!$W:W,'muddati otgan'!$C:C,$A:A)</f>
        <v>0</v>
      </c>
      <c r="G143" s="24">
        <f>SUMIFS('muddati otgan'!$U:U,'muddati otgan'!$C:C,$A:A)</f>
        <v>1</v>
      </c>
      <c r="H143" s="11">
        <f>SUMIFS('muddati otgan'!$G:G,'muddati otgan'!$C:C,$A:A)</f>
        <v>1</v>
      </c>
      <c r="I143" s="12">
        <f>SUMIFS('muddati otgan'!$H:H,'muddati otgan'!$C:C,$A:A)</f>
        <v>0</v>
      </c>
      <c r="J143" s="44">
        <f t="shared" si="23"/>
        <v>0</v>
      </c>
      <c r="K143" s="11">
        <f>+COUNTIFS('muddati otgan'!C:C,A143,'muddati otgan'!AA:AA,"Arizani qabul qilish")</f>
        <v>0</v>
      </c>
      <c r="L143" s="11">
        <f>+COUNTIFS('muddati otgan'!C:C,A143,'muddati otgan'!J:J,"Arizani rad etish")</f>
        <v>0</v>
      </c>
      <c r="M143" s="11">
        <f>+COUNTIFS('muddati otgan'!C:C,A143,'muddati otgan'!J:J,"Arizani tasdiqlash")</f>
        <v>0</v>
      </c>
      <c r="N143" s="11">
        <f>+COUNTIFS('muddati otgan'!C:C,A143,'muddati otgan'!J:J,"Arizani yo'naltirish")</f>
        <v>0</v>
      </c>
      <c r="O143" s="11">
        <f>+COUNTIFS('muddati otgan'!C:C,A143,'muddati otgan'!J:J,"Rad qilish sababini o'rganish")</f>
        <v>0</v>
      </c>
      <c r="P143" s="11">
        <f>+COUNTIFS('muddati otgan'!C:C,A143,'muddati otgan'!J:J,"Ko'chmas mulkni UZKAD ga migratsiya qilish")</f>
        <v>0</v>
      </c>
      <c r="Q143" s="11">
        <f>+COUNTIFS('muddati otgan'!C:C,A143,'muddati otgan'!J:J,"Migratisya qilingan obyekt holatini tekshirish")</f>
        <v>0</v>
      </c>
      <c r="R143" s="11">
        <f>+COUNTIFS('muddati otgan'!C:C,A143,'muddati otgan'!J:J,"Ko‘chmas mulkni tanlash")</f>
        <v>0</v>
      </c>
      <c r="S143" s="11">
        <f>+COUNTIFS('muddati otgan'!C:C,A143,'muddati otgan'!J:J,"Arizani ko'rib chiqish")</f>
        <v>0</v>
      </c>
      <c r="T143" s="11">
        <f>+COUNTIFS('muddati otgan'!C:C,A143,'muddati otgan'!J:J,"Kadastr muhandisini tanlash")</f>
        <v>0</v>
      </c>
      <c r="U143" s="11">
        <f>+COUNTIFS('muddati otgan'!C:C,A143,'muddati otgan'!J:J,"Ko'chmas mulk turini tanlahsh")</f>
        <v>0</v>
      </c>
      <c r="V143" s="11">
        <f>+COUNTIFS('muddati otgan'!C:C,A143,'muddati otgan'!AA:AA,"Rad qilish")</f>
        <v>0</v>
      </c>
      <c r="W143" s="11">
        <f>+COUNTIFS('muddati otgan'!C:C,A143,'muddati otgan'!J:J,"ijrochi tanlash")</f>
        <v>0</v>
      </c>
      <c r="X143" s="11">
        <f>+COUNTIFS('muddati otgan'!C:C,A143,'muddati otgan'!J:J,"Ko'chmas mulk turini tanlash")</f>
        <v>0</v>
      </c>
      <c r="Y143" s="11">
        <f t="shared" si="24"/>
        <v>0</v>
      </c>
      <c r="Z143" s="11">
        <f>+COUNTIFS('muddati otgan'!C:C,A143,'muddati otgan'!J:J,"Ijroga qabul qilish")</f>
        <v>0</v>
      </c>
      <c r="AA143" s="11">
        <f>+COUNTIFS('muddati otgan'!C:C,A143,'muddati otgan'!J:J,"Joyida o'rganish va ma'lumotlarni kiritish")</f>
        <v>0</v>
      </c>
      <c r="AB143" s="11">
        <f>+COUNTIFS('muddati otgan'!C:C,A143,'muddati otgan'!J:J,"Asosiy qismdan ajratish jarayonida")</f>
        <v>0</v>
      </c>
      <c r="AC143" s="11">
        <f>+COUNTIFS('muddati otgan'!C:C,A143,'muddati otgan'!J:J,"Umumiy foydalanishdagi obyekt yaratilish")</f>
        <v>0</v>
      </c>
      <c r="AD143" s="11">
        <f>+COUNTIFS('muddati otgan'!C:C,A143,'muddati otgan'!J:J,"Migratsiya qilinadigan kadastr raqamini kiritish")</f>
        <v>0</v>
      </c>
      <c r="AE143" s="11">
        <f>+COUNTIFS('muddati otgan'!C:C,A143,'muddati otgan'!J:J,"O'zida qolgan obyektni yaratish")</f>
        <v>0</v>
      </c>
      <c r="AF143" s="11">
        <f>+COUNTIFS('muddati otgan'!C:C,A143,'muddati otgan'!J:J,"O'lchov natijalarini kiritish")</f>
        <v>0</v>
      </c>
      <c r="AG143" s="11">
        <f>+COUNTIFS('muddati otgan'!C:C,A143,'muddati otgan'!J:J,"Topoxaritani tayyorlash (dwg, pdf)")</f>
        <v>0</v>
      </c>
      <c r="AH143" s="11">
        <f t="shared" si="25"/>
        <v>0</v>
      </c>
      <c r="AI143" s="11">
        <f>+COUNTIFS('muddati otgan'!C:C,A143,'muddati otgan'!J:J,"Yer uchastkasini yaratish")</f>
        <v>0</v>
      </c>
      <c r="AJ143" s="11">
        <f t="shared" si="26"/>
        <v>0</v>
      </c>
      <c r="AK143" s="11">
        <f>+COUNTIFS('muddati otgan'!C:C,A143,'muddati otgan'!J:J,"Kelishish (Boshqarma)")</f>
        <v>0</v>
      </c>
      <c r="AL143" s="11">
        <f t="shared" si="27"/>
        <v>0</v>
      </c>
      <c r="AM143" s="11">
        <f>+COUNTIFS('muddati otgan'!C:C,A143,'muddati otgan'!J:J,"Kelishish (DKP)")</f>
        <v>0</v>
      </c>
      <c r="AN143" s="11">
        <f>+COUNTIFS('muddati otgan'!C:C,A143,'muddati otgan'!J:J,"Kelishish")</f>
        <v>0</v>
      </c>
      <c r="AO143" s="11">
        <f>+COUNTIFS('muddati otgan'!C:C,A143,'muddati otgan'!J:J,"Kelishish (Registratsiya DKP)")</f>
        <v>0</v>
      </c>
      <c r="AP143" s="11">
        <f t="shared" si="28"/>
        <v>0</v>
      </c>
      <c r="AQ143" s="11">
        <f>+COUNTIFS('muddati otgan'!C:C,A143,'muddati otgan'!J:J,"Manzil biriktirish")</f>
        <v>0</v>
      </c>
      <c r="AR143" s="11">
        <f>+COUNTIFS('muddati otgan'!C:C,A143,'muddati otgan'!J:J,"Bino va inshootlarni yaratish")</f>
        <v>0</v>
      </c>
      <c r="AS143" s="11">
        <f>+COUNTIFS('muddati otgan'!C:C,A143,'muddati otgan'!J:J,"Dov daraxtlarni yaratish")</f>
        <v>0</v>
      </c>
      <c r="AT143" s="11">
        <f>+COUNTIFS('muddati otgan'!C:C,A143,'muddati otgan'!J:J,"Yer uchastkasini tahrirlash")</f>
        <v>0</v>
      </c>
      <c r="AU143" s="11">
        <f t="shared" si="29"/>
        <v>0</v>
      </c>
      <c r="AV143" s="11">
        <f>+COUNTIFS('muddati otgan'!C:C,A143,'muddati otgan'!J:J,"Yer toifasi va maqsadini kiritish")</f>
        <v>0</v>
      </c>
      <c r="AW143" s="11">
        <f>+COUNTIFS('muddati otgan'!C:C,A143,'muddati otgan'!J:J,"Auksion yer tekshirish")</f>
        <v>0</v>
      </c>
      <c r="AX143" s="11">
        <f>+COUNTIFS('muddati otgan'!C:C,A143,'muddati otgan'!J:J,"Yer turlarini kiritish")</f>
        <v>0</v>
      </c>
      <c r="AY143" s="11">
        <f>+COUNTIFS('muddati otgan'!C:C,A143,'muddati otgan'!J:J,"Ma'lumotlarni kiritish")</f>
        <v>0</v>
      </c>
      <c r="AZ143" s="11">
        <f>+COUNTIFS('muddati otgan'!C:C,A143,'muddati otgan'!J:J,"Yer tekshirish")</f>
        <v>0</v>
      </c>
      <c r="BA143" s="11">
        <f t="shared" si="30"/>
        <v>0</v>
      </c>
      <c r="BB143" s="11">
        <f>+COUNTIFS('muddati otgan'!C:C,A143,'muddati otgan'!J:J,"Bino va inshoot ma'lumotlarini to‘ldirish")</f>
        <v>0</v>
      </c>
      <c r="BC143" s="11">
        <f>+COUNTIFS('muddati otgan'!C:C,A143,'muddati otgan'!J:J,"Inventarizatsiya ma'lumotlarini to‘ldirish")</f>
        <v>0</v>
      </c>
      <c r="BD143" s="11">
        <f>+COUNTIFS('muddati otgan'!C:C,A143,'muddati otgan'!J:J,"Yer uchastkasiga huquqiy hujjatlarni kiritsh")</f>
        <v>0</v>
      </c>
      <c r="BE143" s="11">
        <f>+COUNTIFS('muddati otgan'!C:C,A143,'muddati otgan'!J:J,"Bino-inshootlarga huquqiy hujjatlarni kiritsh")</f>
        <v>0</v>
      </c>
      <c r="BF143" s="11">
        <f>+COUNTIFS('muddati otgan'!C:C,A143,'muddati otgan'!J:J,"Kadastr qiymatini hisoblash va kiritish")</f>
        <v>0</v>
      </c>
      <c r="BG143" s="11">
        <f>+COUNTIFS('muddati otgan'!C:C,A143,'muddati otgan'!J:J,"Kadastr raqam biriktirish")</f>
        <v>0</v>
      </c>
      <c r="BH143" s="11">
        <f>+COUNTIFS('muddati otgan'!C:C,A143,'muddati otgan'!J:J,"Kadastr yig'ma jildni tayyorlash")</f>
        <v>0</v>
      </c>
      <c r="BI143" s="11">
        <f>+COUNTIFS('muddati otgan'!C:C,A143,'muddati otgan'!J:J,"Huquqni yaratish")</f>
        <v>0</v>
      </c>
      <c r="BJ143" s="11">
        <f>+COUNTIFS('muddati otgan'!C:C,A143,'muddati otgan'!J:J,"Hujjatlarni o'rganish")</f>
        <v>0</v>
      </c>
      <c r="BK143" s="11">
        <f>+COUNTIFS('muddati otgan'!C:C,A143,'muddati otgan'!J:J,"Ma'lumotlarni tekshirish")</f>
        <v>0</v>
      </c>
      <c r="BL143" s="11">
        <f t="shared" si="31"/>
        <v>0</v>
      </c>
      <c r="BM143" s="11">
        <f>+COUNTIFS('muddati otgan'!C:C,A143,'muddati otgan'!J:J,"Tekshirish")</f>
        <v>0</v>
      </c>
      <c r="BN143" s="11">
        <f>+COUNTIFS('muddati otgan'!C:C,A143,'muddati otgan'!J:J,"Hujjatlarni tekshirish")</f>
        <v>0</v>
      </c>
      <c r="BO143" s="11">
        <f>+COUNTIFS('muddati otgan'!C:C,A143,'muddati otgan'!J:J,"Tasdiqlash")</f>
        <v>0</v>
      </c>
      <c r="BP143" s="11">
        <f>+COUNTIFS('muddati otgan'!C:C,A143,'muddati otgan'!J:J,"tekshirish/tasdiqlash")</f>
        <v>0</v>
      </c>
      <c r="BQ143" s="11">
        <f>+COUNTIFS('muddati otgan'!C:C,A143,'muddati otgan'!J:J,"Ma'lumotlarni tasdiqlash")</f>
        <v>0</v>
      </c>
      <c r="BR143" s="11">
        <f t="shared" si="32"/>
        <v>0</v>
      </c>
      <c r="BS143" s="11">
        <f>+COUNTIFS('muddati otgan'!C:C,A143,'muddati otgan'!J:J,"Ro'yxatdan o'tkazish ma'lumotlarini tekshirish")</f>
        <v>0</v>
      </c>
      <c r="BT143" s="11">
        <f>+COUNTIFS('muddati otgan'!C:C,A143,'muddati otgan'!J:J,"Kamchiliklar bo'yicha habarnoma yuborish va 3 kunga to'xtatish")</f>
        <v>0</v>
      </c>
      <c r="BU143" s="11">
        <f>+COUNTIFS('muddati otgan'!C:C,A143,'muddati otgan'!J:J,"Hisobga olish")</f>
        <v>0</v>
      </c>
      <c r="BV143" s="11">
        <f>+COUNTIFS('muddati otgan'!C:C,A143,'muddati otgan'!J:J,"Yer uchastkasiga huquq yaratish")</f>
        <v>0</v>
      </c>
      <c r="BW143" s="11">
        <f>+COUNTIFS('muddati otgan'!C:C,A143,'muddati otgan'!J:J,"Bino-inshootga huquq yaratish")</f>
        <v>0</v>
      </c>
      <c r="BX143" s="11">
        <f>+COUNTIFS('muddati otgan'!C:C,A143,'muddati otgan'!J:J,"Cheklov yaratish")</f>
        <v>0</v>
      </c>
      <c r="BY143" s="11">
        <f>+COUNTIFS('muddati otgan'!C:C,A143,'muddati otgan'!J:J,"Taqiq yaratish")</f>
        <v>0</v>
      </c>
      <c r="BZ143" s="11">
        <f t="shared" si="33"/>
        <v>0</v>
      </c>
      <c r="CA143" s="11">
        <f>+COUNTIFS('muddati otgan'!C:C,A143,'muddati otgan'!J:J,"Soliq maydonini tekshirish")</f>
        <v>0</v>
      </c>
      <c r="CB143" s="11">
        <f t="shared" si="34"/>
        <v>1</v>
      </c>
      <c r="CC143" s="11">
        <f>+COUNTIFS('muddati otgan'!C:C,A143,'muddati otgan'!J:J,"Kadastr yig'majildini shakllantirish")</f>
        <v>1</v>
      </c>
      <c r="CD143" s="11">
        <f t="shared" si="35"/>
        <v>0</v>
      </c>
      <c r="CE143" s="11">
        <f>+COUNTIFS('muddati otgan'!C:C,A143,'muddati otgan'!J:J,"Kadastr passportini shakllantirish")</f>
        <v>0</v>
      </c>
      <c r="CF143" s="11">
        <f>+COUNTIFS('muddati otgan'!C:C,A143,'muddati otgan'!J:J,"Yig'ma jildni tasdiqlash")</f>
        <v>0</v>
      </c>
      <c r="CG143" s="11">
        <f>+COUNTIFS('muddati otgan'!C:C,A143,'muddati otgan'!J:J,"To'lov yoki bepul tasdiqlash")</f>
        <v>0</v>
      </c>
      <c r="CH143" s="11">
        <f>+COUNTIFS('muddati otgan'!C:C,A143,'muddati otgan'!J:J,"Bog'liq arizani kutish")</f>
        <v>0</v>
      </c>
      <c r="CI143" s="11">
        <f>+COUNTIFS('muddati otgan'!C:C,A143,'muddati otgan'!J:J,"To'lovga chiqarish")</f>
        <v>0</v>
      </c>
      <c r="CJ143" s="11">
        <f>+COUNTIFS('muddati otgan'!C:C,A143,'muddati otgan'!J:J,"Hisobga qo'yish")</f>
        <v>0</v>
      </c>
      <c r="CK143" s="6">
        <f>+COUNTIFS('muddati otgan'!C:C,A143,'muddati otgan'!J:J,"To'lov kutilmoqda")</f>
        <v>0</v>
      </c>
      <c r="CL143" s="11">
        <f t="shared" si="36"/>
        <v>0</v>
      </c>
      <c r="CM143" s="11">
        <f>+COUNTIFS('muddati otgan'!C:C,A143,'muddati otgan'!AA:AA,"Arizani qabul qilish2")</f>
        <v>0</v>
      </c>
      <c r="CN143" s="11">
        <f>+COUNTIFS('muddati otgan'!C:C,A143,'muddati otgan'!J:J,"Huquqlarni tekshirish")</f>
        <v>0</v>
      </c>
      <c r="CO143" s="11">
        <f>+COUNTIFS('muddati otgan'!C:C,A143,'muddati otgan'!J:J,"Ko'chmas mulkni ro'yhatdan o'tkazishga qabul qilish")</f>
        <v>0</v>
      </c>
      <c r="CP143" s="11">
        <f>+COUNTIFS('muddati otgan'!C:C,A143,'muddati otgan'!J:J,"Ro'yxatdan o'tkazish")</f>
        <v>0</v>
      </c>
      <c r="CQ143" s="11">
        <f>+COUNTIFS('muddati otgan'!C:C,A143,'muddati otgan'!J:J,"Kadastr pasporti va ko'chirmani yuborish")</f>
        <v>0</v>
      </c>
      <c r="CR143" s="11">
        <f>+COUNTIFS('muddati otgan'!C:C,A143,'muddati otgan'!AA:AA,"Rad qilish2")</f>
        <v>0</v>
      </c>
      <c r="CS143" s="11">
        <f>+COUNTIFS('muddati otgan'!C:C,A143,'muddati otgan'!J:J,"Ko'chirmani yuborish")</f>
        <v>0</v>
      </c>
      <c r="CT143" s="11">
        <f>+COUNTIFS('muddati otgan'!C:C,A143,'muddati otgan'!J:J,"Ma‘lumotlarni tekshirish")</f>
        <v>0</v>
      </c>
      <c r="CU143" s="11">
        <f t="shared" si="37"/>
        <v>0</v>
      </c>
      <c r="CV143" s="11">
        <f>+COUNTIFS('muddati otgan'!C:C,A143,'muddati otgan'!J:J,"Kadastr yig'majildini chop etish va arxiv ishiga tikish")</f>
        <v>0</v>
      </c>
      <c r="CW143" s="11">
        <f t="shared" si="38"/>
        <v>0</v>
      </c>
      <c r="CX143" s="11">
        <f>+COUNTIFS('muddati otgan'!C:C,A143,'muddati otgan'!J:J,"Kadastr yig‘majildini qabul qilish, arizani yakunlash")</f>
        <v>0</v>
      </c>
      <c r="CY143" s="11">
        <f>+COUNTIFS('muddati otgan'!C:C,A143,'muddati otgan'!J:J,"Next Cloudga yuklash")</f>
        <v>0</v>
      </c>
      <c r="CZ143" s="6">
        <f>+COUNTIFS('muddati otgan'!C:C,A143,'muddati otgan'!J:J,"Kelishish kutilmoqda")</f>
        <v>0</v>
      </c>
      <c r="DA143" s="6">
        <f>+COUNTIFS('muddati otgan'!C:C,A143,'muddati otgan'!J:J,"Yakunlandi")</f>
        <v>0</v>
      </c>
      <c r="DB143" s="10">
        <f>+COUNTIFS('muddati otgan'!C:C,A143,'muddati otgan'!J:J,"Rad etildi")</f>
        <v>0</v>
      </c>
      <c r="DC143" s="100">
        <f t="shared" si="5"/>
        <v>-1</v>
      </c>
      <c r="DD143" s="44">
        <f>COUNTIFS('jami 1-20 kunlik arizalar'!C:C,A:A,'jami 1-20 kunlik arizalar'!S:S,"1")</f>
        <v>0</v>
      </c>
      <c r="DE143" s="11">
        <f>COUNTIFS('jami 1-20 kunlik arizalar'!C:C,A:A,'jami 1-20 kunlik arizalar'!S:S,"2")</f>
        <v>0</v>
      </c>
      <c r="DF143" s="11">
        <f>COUNTIFS('jami 1-20 kunlik arizalar'!C:C,A:A,'jami 1-20 kunlik arizalar'!S:S,"3")</f>
        <v>3</v>
      </c>
      <c r="DG143" s="11">
        <f>COUNTIFS('jami 1-20 kunlik arizalar'!C:C,A:A,'jami 1-20 kunlik arizalar'!S:S,"4")</f>
        <v>1</v>
      </c>
      <c r="DH143" s="11">
        <f>COUNTIFS('jami 1-20 kunlik arizalar'!C:C,A:A,'jami 1-20 kunlik arizalar'!S:S,"5")</f>
        <v>1</v>
      </c>
      <c r="DI143" s="11">
        <f>SUM(COUNTIFS('jami 1-20 kunlik arizalar'!C:C,A:A, 'jami 1-20 kunlik arizalar'!S:S, {6,7,8,9,10}))</f>
        <v>2</v>
      </c>
      <c r="DJ143" s="12">
        <f>SUM(COUNTIFS('jami 1-20 kunlik arizalar'!C:C,A:A, 'jami 1-20 kunlik arizalar'!S:S, "&gt;10"))</f>
        <v>9</v>
      </c>
    </row>
    <row r="144" spans="1:115" ht="32.1" hidden="1" customHeight="1" outlineLevel="1" x14ac:dyDescent="0.25">
      <c r="A144" s="92" t="s">
        <v>697</v>
      </c>
      <c r="B144" s="74"/>
      <c r="C144" s="85" t="s">
        <v>844</v>
      </c>
      <c r="D144" s="80">
        <f>+COUNTIFS('muddati otgan'!C:C,A144,'muddati otgan'!C:C,A144)</f>
        <v>0</v>
      </c>
      <c r="E144" s="10">
        <f>SUMIFS('muddati otgan'!$V:V,'muddati otgan'!$C:C,$A:A)</f>
        <v>0</v>
      </c>
      <c r="F144" s="10">
        <f>SUMIFS('muddati otgan'!$W:W,'muddati otgan'!$C:C,$A:A)</f>
        <v>0</v>
      </c>
      <c r="G144" s="24">
        <f>SUMIFS('muddati otgan'!$U:U,'muddati otgan'!$C:C,$A:A)</f>
        <v>0</v>
      </c>
      <c r="H144" s="11">
        <f>SUMIFS('muddati otgan'!$G:G,'muddati otgan'!$C:C,$A:A)</f>
        <v>0</v>
      </c>
      <c r="I144" s="12">
        <f>SUMIFS('muddati otgan'!$H:H,'muddati otgan'!$C:C,$A:A)</f>
        <v>0</v>
      </c>
      <c r="J144" s="44">
        <f t="shared" si="23"/>
        <v>0</v>
      </c>
      <c r="K144" s="11">
        <f>+COUNTIFS('muddati otgan'!C:C,A144,'muddati otgan'!AA:AA,"Arizani qabul qilish")</f>
        <v>0</v>
      </c>
      <c r="L144" s="11">
        <f>+COUNTIFS('muddati otgan'!C:C,A144,'muddati otgan'!J:J,"Arizani rad etish")</f>
        <v>0</v>
      </c>
      <c r="M144" s="11">
        <f>+COUNTIFS('muddati otgan'!C:C,A144,'muddati otgan'!J:J,"Arizani tasdiqlash")</f>
        <v>0</v>
      </c>
      <c r="N144" s="11">
        <f>+COUNTIFS('muddati otgan'!C:C,A144,'muddati otgan'!J:J,"Arizani yo'naltirish")</f>
        <v>0</v>
      </c>
      <c r="O144" s="11">
        <f>+COUNTIFS('muddati otgan'!C:C,A144,'muddati otgan'!J:J,"Rad qilish sababini o'rganish")</f>
        <v>0</v>
      </c>
      <c r="P144" s="11">
        <f>+COUNTIFS('muddati otgan'!C:C,A144,'muddati otgan'!J:J,"Ko'chmas mulkni UZKAD ga migratsiya qilish")</f>
        <v>0</v>
      </c>
      <c r="Q144" s="11">
        <f>+COUNTIFS('muddati otgan'!C:C,A144,'muddati otgan'!J:J,"Migratisya qilingan obyekt holatini tekshirish")</f>
        <v>0</v>
      </c>
      <c r="R144" s="11">
        <f>+COUNTIFS('muddati otgan'!C:C,A144,'muddati otgan'!J:J,"Ko‘chmas mulkni tanlash")</f>
        <v>0</v>
      </c>
      <c r="S144" s="11">
        <f>+COUNTIFS('muddati otgan'!C:C,A144,'muddati otgan'!J:J,"Arizani ko'rib chiqish")</f>
        <v>0</v>
      </c>
      <c r="T144" s="11">
        <f>+COUNTIFS('muddati otgan'!C:C,A144,'muddati otgan'!J:J,"Kadastr muhandisini tanlash")</f>
        <v>0</v>
      </c>
      <c r="U144" s="11">
        <f>+COUNTIFS('muddati otgan'!C:C,A144,'muddati otgan'!J:J,"Ko'chmas mulk turini tanlahsh")</f>
        <v>0</v>
      </c>
      <c r="V144" s="11">
        <f>+COUNTIFS('muddati otgan'!C:C,A144,'muddati otgan'!AA:AA,"Rad qilish")</f>
        <v>0</v>
      </c>
      <c r="W144" s="11">
        <f>+COUNTIFS('muddati otgan'!C:C,A144,'muddati otgan'!J:J,"ijrochi tanlash")</f>
        <v>0</v>
      </c>
      <c r="X144" s="11">
        <f>+COUNTIFS('muddati otgan'!C:C,A144,'muddati otgan'!J:J,"Ko'chmas mulk turini tanlash")</f>
        <v>0</v>
      </c>
      <c r="Y144" s="11">
        <f t="shared" si="24"/>
        <v>0</v>
      </c>
      <c r="Z144" s="11">
        <f>+COUNTIFS('muddati otgan'!C:C,A144,'muddati otgan'!J:J,"Ijroga qabul qilish")</f>
        <v>0</v>
      </c>
      <c r="AA144" s="11">
        <f>+COUNTIFS('muddati otgan'!C:C,A144,'muddati otgan'!J:J,"Joyida o'rganish va ma'lumotlarni kiritish")</f>
        <v>0</v>
      </c>
      <c r="AB144" s="11">
        <f>+COUNTIFS('muddati otgan'!C:C,A144,'muddati otgan'!J:J,"Asosiy qismdan ajratish jarayonida")</f>
        <v>0</v>
      </c>
      <c r="AC144" s="11">
        <f>+COUNTIFS('muddati otgan'!C:C,A144,'muddati otgan'!J:J,"Umumiy foydalanishdagi obyekt yaratilish")</f>
        <v>0</v>
      </c>
      <c r="AD144" s="11">
        <f>+COUNTIFS('muddati otgan'!C:C,A144,'muddati otgan'!J:J,"Migratsiya qilinadigan kadastr raqamini kiritish")</f>
        <v>0</v>
      </c>
      <c r="AE144" s="11">
        <f>+COUNTIFS('muddati otgan'!C:C,A144,'muddati otgan'!J:J,"O'zida qolgan obyektni yaratish")</f>
        <v>0</v>
      </c>
      <c r="AF144" s="11">
        <f>+COUNTIFS('muddati otgan'!C:C,A144,'muddati otgan'!J:J,"O'lchov natijalarini kiritish")</f>
        <v>0</v>
      </c>
      <c r="AG144" s="11">
        <f>+COUNTIFS('muddati otgan'!C:C,A144,'muddati otgan'!J:J,"Topoxaritani tayyorlash (dwg, pdf)")</f>
        <v>0</v>
      </c>
      <c r="AH144" s="11">
        <f t="shared" si="25"/>
        <v>0</v>
      </c>
      <c r="AI144" s="11">
        <f>+COUNTIFS('muddati otgan'!C:C,A144,'muddati otgan'!J:J,"Yer uchastkasini yaratish")</f>
        <v>0</v>
      </c>
      <c r="AJ144" s="11">
        <f t="shared" si="26"/>
        <v>0</v>
      </c>
      <c r="AK144" s="11">
        <f>+COUNTIFS('muddati otgan'!C:C,A144,'muddati otgan'!J:J,"Kelishish (Boshqarma)")</f>
        <v>0</v>
      </c>
      <c r="AL144" s="11">
        <f t="shared" si="27"/>
        <v>0</v>
      </c>
      <c r="AM144" s="11">
        <f>+COUNTIFS('muddati otgan'!C:C,A144,'muddati otgan'!J:J,"Kelishish (DKP)")</f>
        <v>0</v>
      </c>
      <c r="AN144" s="11">
        <f>+COUNTIFS('muddati otgan'!C:C,A144,'muddati otgan'!J:J,"Kelishish")</f>
        <v>0</v>
      </c>
      <c r="AO144" s="11">
        <f>+COUNTIFS('muddati otgan'!C:C,A144,'muddati otgan'!J:J,"Kelishish (Registratsiya DKP)")</f>
        <v>0</v>
      </c>
      <c r="AP144" s="11">
        <f t="shared" si="28"/>
        <v>0</v>
      </c>
      <c r="AQ144" s="11">
        <f>+COUNTIFS('muddati otgan'!C:C,A144,'muddati otgan'!J:J,"Manzil biriktirish")</f>
        <v>0</v>
      </c>
      <c r="AR144" s="11">
        <f>+COUNTIFS('muddati otgan'!C:C,A144,'muddati otgan'!J:J,"Bino va inshootlarni yaratish")</f>
        <v>0</v>
      </c>
      <c r="AS144" s="11">
        <f>+COUNTIFS('muddati otgan'!C:C,A144,'muddati otgan'!J:J,"Dov daraxtlarni yaratish")</f>
        <v>0</v>
      </c>
      <c r="AT144" s="11">
        <f>+COUNTIFS('muddati otgan'!C:C,A144,'muddati otgan'!J:J,"Yer uchastkasini tahrirlash")</f>
        <v>0</v>
      </c>
      <c r="AU144" s="11">
        <f t="shared" si="29"/>
        <v>0</v>
      </c>
      <c r="AV144" s="11">
        <f>+COUNTIFS('muddati otgan'!C:C,A144,'muddati otgan'!J:J,"Yer toifasi va maqsadini kiritish")</f>
        <v>0</v>
      </c>
      <c r="AW144" s="11">
        <f>+COUNTIFS('muddati otgan'!C:C,A144,'muddati otgan'!J:J,"Auksion yer tekshirish")</f>
        <v>0</v>
      </c>
      <c r="AX144" s="11">
        <f>+COUNTIFS('muddati otgan'!C:C,A144,'muddati otgan'!J:J,"Yer turlarini kiritish")</f>
        <v>0</v>
      </c>
      <c r="AY144" s="11">
        <f>+COUNTIFS('muddati otgan'!C:C,A144,'muddati otgan'!J:J,"Ma'lumotlarni kiritish")</f>
        <v>0</v>
      </c>
      <c r="AZ144" s="11">
        <f>+COUNTIFS('muddati otgan'!C:C,A144,'muddati otgan'!J:J,"Yer tekshirish")</f>
        <v>0</v>
      </c>
      <c r="BA144" s="11">
        <f t="shared" si="30"/>
        <v>0</v>
      </c>
      <c r="BB144" s="11">
        <f>+COUNTIFS('muddati otgan'!C:C,A144,'muddati otgan'!J:J,"Bino va inshoot ma'lumotlarini to‘ldirish")</f>
        <v>0</v>
      </c>
      <c r="BC144" s="11">
        <f>+COUNTIFS('muddati otgan'!C:C,A144,'muddati otgan'!J:J,"Inventarizatsiya ma'lumotlarini to‘ldirish")</f>
        <v>0</v>
      </c>
      <c r="BD144" s="11">
        <f>+COUNTIFS('muddati otgan'!C:C,A144,'muddati otgan'!J:J,"Yer uchastkasiga huquqiy hujjatlarni kiritsh")</f>
        <v>0</v>
      </c>
      <c r="BE144" s="11">
        <f>+COUNTIFS('muddati otgan'!C:C,A144,'muddati otgan'!J:J,"Bino-inshootlarga huquqiy hujjatlarni kiritsh")</f>
        <v>0</v>
      </c>
      <c r="BF144" s="11">
        <f>+COUNTIFS('muddati otgan'!C:C,A144,'muddati otgan'!J:J,"Kadastr qiymatini hisoblash va kiritish")</f>
        <v>0</v>
      </c>
      <c r="BG144" s="11">
        <f>+COUNTIFS('muddati otgan'!C:C,A144,'muddati otgan'!J:J,"Kadastr raqam biriktirish")</f>
        <v>0</v>
      </c>
      <c r="BH144" s="11">
        <f>+COUNTIFS('muddati otgan'!C:C,A144,'muddati otgan'!J:J,"Kadastr yig'ma jildni tayyorlash")</f>
        <v>0</v>
      </c>
      <c r="BI144" s="11">
        <f>+COUNTIFS('muddati otgan'!C:C,A144,'muddati otgan'!J:J,"Huquqni yaratish")</f>
        <v>0</v>
      </c>
      <c r="BJ144" s="11">
        <f>+COUNTIFS('muddati otgan'!C:C,A144,'muddati otgan'!J:J,"Hujjatlarni o'rganish")</f>
        <v>0</v>
      </c>
      <c r="BK144" s="11">
        <f>+COUNTIFS('muddati otgan'!C:C,A144,'muddati otgan'!J:J,"Ma'lumotlarni tekshirish")</f>
        <v>0</v>
      </c>
      <c r="BL144" s="11">
        <f t="shared" si="31"/>
        <v>0</v>
      </c>
      <c r="BM144" s="11">
        <f>+COUNTIFS('muddati otgan'!C:C,A144,'muddati otgan'!J:J,"Tekshirish")</f>
        <v>0</v>
      </c>
      <c r="BN144" s="11">
        <f>+COUNTIFS('muddati otgan'!C:C,A144,'muddati otgan'!J:J,"Hujjatlarni tekshirish")</f>
        <v>0</v>
      </c>
      <c r="BO144" s="11">
        <f>+COUNTIFS('muddati otgan'!C:C,A144,'muddati otgan'!J:J,"Tasdiqlash")</f>
        <v>0</v>
      </c>
      <c r="BP144" s="11">
        <f>+COUNTIFS('muddati otgan'!C:C,A144,'muddati otgan'!J:J,"tekshirish/tasdiqlash")</f>
        <v>0</v>
      </c>
      <c r="BQ144" s="11">
        <f>+COUNTIFS('muddati otgan'!C:C,A144,'muddati otgan'!J:J,"Ma'lumotlarni tasdiqlash")</f>
        <v>0</v>
      </c>
      <c r="BR144" s="11">
        <f t="shared" si="32"/>
        <v>0</v>
      </c>
      <c r="BS144" s="11">
        <f>+COUNTIFS('muddati otgan'!C:C,A144,'muddati otgan'!J:J,"Ro'yxatdan o'tkazish ma'lumotlarini tekshirish")</f>
        <v>0</v>
      </c>
      <c r="BT144" s="11">
        <f>+COUNTIFS('muddati otgan'!C:C,A144,'muddati otgan'!J:J,"Kamchiliklar bo'yicha habarnoma yuborish va 3 kunga to'xtatish")</f>
        <v>0</v>
      </c>
      <c r="BU144" s="11">
        <f>+COUNTIFS('muddati otgan'!C:C,A144,'muddati otgan'!J:J,"Hisobga olish")</f>
        <v>0</v>
      </c>
      <c r="BV144" s="11">
        <f>+COUNTIFS('muddati otgan'!C:C,A144,'muddati otgan'!J:J,"Yer uchastkasiga huquq yaratish")</f>
        <v>0</v>
      </c>
      <c r="BW144" s="11">
        <f>+COUNTIFS('muddati otgan'!C:C,A144,'muddati otgan'!J:J,"Bino-inshootga huquq yaratish")</f>
        <v>0</v>
      </c>
      <c r="BX144" s="11">
        <f>+COUNTIFS('muddati otgan'!C:C,A144,'muddati otgan'!J:J,"Cheklov yaratish")</f>
        <v>0</v>
      </c>
      <c r="BY144" s="11">
        <f>+COUNTIFS('muddati otgan'!C:C,A144,'muddati otgan'!J:J,"Taqiq yaratish")</f>
        <v>0</v>
      </c>
      <c r="BZ144" s="11">
        <f t="shared" si="33"/>
        <v>0</v>
      </c>
      <c r="CA144" s="11">
        <f>+COUNTIFS('muddati otgan'!C:C,A144,'muddati otgan'!J:J,"Soliq maydonini tekshirish")</f>
        <v>0</v>
      </c>
      <c r="CB144" s="11">
        <f t="shared" si="34"/>
        <v>0</v>
      </c>
      <c r="CC144" s="11">
        <f>+COUNTIFS('muddati otgan'!C:C,A144,'muddati otgan'!J:J,"Kadastr yig'majildini shakllantirish")</f>
        <v>0</v>
      </c>
      <c r="CD144" s="11">
        <f t="shared" si="35"/>
        <v>0</v>
      </c>
      <c r="CE144" s="11">
        <f>+COUNTIFS('muddati otgan'!C:C,A144,'muddati otgan'!J:J,"Kadastr passportini shakllantirish")</f>
        <v>0</v>
      </c>
      <c r="CF144" s="11">
        <f>+COUNTIFS('muddati otgan'!C:C,A144,'muddati otgan'!J:J,"Yig'ma jildni tasdiqlash")</f>
        <v>0</v>
      </c>
      <c r="CG144" s="11">
        <f>+COUNTIFS('muddati otgan'!C:C,A144,'muddati otgan'!J:J,"To'lov yoki bepul tasdiqlash")</f>
        <v>0</v>
      </c>
      <c r="CH144" s="11">
        <f>+COUNTIFS('muddati otgan'!C:C,A144,'muddati otgan'!J:J,"Bog'liq arizani kutish")</f>
        <v>0</v>
      </c>
      <c r="CI144" s="11">
        <f>+COUNTIFS('muddati otgan'!C:C,A144,'muddati otgan'!J:J,"To'lovga chiqarish")</f>
        <v>0</v>
      </c>
      <c r="CJ144" s="11">
        <f>+COUNTIFS('muddati otgan'!C:C,A144,'muddati otgan'!J:J,"Hisobga qo'yish")</f>
        <v>0</v>
      </c>
      <c r="CK144" s="6">
        <f>+COUNTIFS('muddati otgan'!C:C,A144,'muddati otgan'!J:J,"To'lov kutilmoqda")</f>
        <v>0</v>
      </c>
      <c r="CL144" s="11">
        <f t="shared" si="36"/>
        <v>0</v>
      </c>
      <c r="CM144" s="11">
        <f>+COUNTIFS('muddati otgan'!C:C,A144,'muddati otgan'!AA:AA,"Arizani qabul qilish2")</f>
        <v>0</v>
      </c>
      <c r="CN144" s="11">
        <f>+COUNTIFS('muddati otgan'!C:C,A144,'muddati otgan'!J:J,"Huquqlarni tekshirish")</f>
        <v>0</v>
      </c>
      <c r="CO144" s="11">
        <f>+COUNTIFS('muddati otgan'!C:C,A144,'muddati otgan'!J:J,"Ko'chmas mulkni ro'yhatdan o'tkazishga qabul qilish")</f>
        <v>0</v>
      </c>
      <c r="CP144" s="11">
        <f>+COUNTIFS('muddati otgan'!C:C,A144,'muddati otgan'!J:J,"Ro'yxatdan o'tkazish")</f>
        <v>0</v>
      </c>
      <c r="CQ144" s="11">
        <f>+COUNTIFS('muddati otgan'!C:C,A144,'muddati otgan'!J:J,"Kadastr pasporti va ko'chirmani yuborish")</f>
        <v>0</v>
      </c>
      <c r="CR144" s="11">
        <f>+COUNTIFS('muddati otgan'!C:C,A144,'muddati otgan'!AA:AA,"Rad qilish2")</f>
        <v>0</v>
      </c>
      <c r="CS144" s="11">
        <f>+COUNTIFS('muddati otgan'!C:C,A144,'muddati otgan'!J:J,"Ko'chirmani yuborish")</f>
        <v>0</v>
      </c>
      <c r="CT144" s="11">
        <f>+COUNTIFS('muddati otgan'!C:C,A144,'muddati otgan'!J:J,"Ma‘lumotlarni tekshirish")</f>
        <v>0</v>
      </c>
      <c r="CU144" s="11">
        <f t="shared" si="37"/>
        <v>0</v>
      </c>
      <c r="CV144" s="11">
        <f>+COUNTIFS('muddati otgan'!C:C,A144,'muddati otgan'!J:J,"Kadastr yig'majildini chop etish va arxiv ishiga tikish")</f>
        <v>0</v>
      </c>
      <c r="CW144" s="11">
        <f t="shared" si="38"/>
        <v>0</v>
      </c>
      <c r="CX144" s="11">
        <f>+COUNTIFS('muddati otgan'!C:C,A144,'muddati otgan'!J:J,"Kadastr yig‘majildini qabul qilish, arizani yakunlash")</f>
        <v>0</v>
      </c>
      <c r="CY144" s="11">
        <f>+COUNTIFS('muddati otgan'!C:C,A144,'muddati otgan'!J:J,"Next Cloudga yuklash")</f>
        <v>0</v>
      </c>
      <c r="CZ144" s="6">
        <f>+COUNTIFS('muddati otgan'!C:C,A144,'muddati otgan'!J:J,"Kelishish kutilmoqda")</f>
        <v>0</v>
      </c>
      <c r="DA144" s="6">
        <f>+COUNTIFS('muddati otgan'!C:C,A144,'muddati otgan'!J:J,"Yakunlandi")</f>
        <v>0</v>
      </c>
      <c r="DB144" s="10">
        <f>+COUNTIFS('muddati otgan'!C:C,A144,'muddati otgan'!J:J,"Rad etildi")</f>
        <v>0</v>
      </c>
      <c r="DC144" s="100">
        <f t="shared" si="5"/>
        <v>0</v>
      </c>
      <c r="DD144" s="44">
        <f>COUNTIFS('jami 1-20 kunlik arizalar'!C:C,A:A,'jami 1-20 kunlik arizalar'!S:S,"1")</f>
        <v>0</v>
      </c>
      <c r="DE144" s="11">
        <f>COUNTIFS('jami 1-20 kunlik arizalar'!C:C,A:A,'jami 1-20 kunlik arizalar'!S:S,"2")</f>
        <v>0</v>
      </c>
      <c r="DF144" s="11">
        <f>COUNTIFS('jami 1-20 kunlik arizalar'!C:C,A:A,'jami 1-20 kunlik arizalar'!S:S,"3")</f>
        <v>0</v>
      </c>
      <c r="DG144" s="11">
        <f>COUNTIFS('jami 1-20 kunlik arizalar'!C:C,A:A,'jami 1-20 kunlik arizalar'!S:S,"4")</f>
        <v>0</v>
      </c>
      <c r="DH144" s="11">
        <f>COUNTIFS('jami 1-20 kunlik arizalar'!C:C,A:A,'jami 1-20 kunlik arizalar'!S:S,"5")</f>
        <v>0</v>
      </c>
      <c r="DI144" s="11">
        <f>SUM(COUNTIFS('jami 1-20 kunlik arizalar'!C:C,A:A, 'jami 1-20 kunlik arizalar'!S:S, {6,7,8,9,10}))</f>
        <v>0</v>
      </c>
      <c r="DJ144" s="12">
        <f>SUM(COUNTIFS('jami 1-20 kunlik arizalar'!C:C,A:A, 'jami 1-20 kunlik arizalar'!S:S, "&gt;10"))</f>
        <v>0</v>
      </c>
    </row>
    <row r="145" spans="1:114" ht="32.1" hidden="1" customHeight="1" outlineLevel="1" x14ac:dyDescent="0.25">
      <c r="A145" s="92" t="s">
        <v>687</v>
      </c>
      <c r="B145" s="74"/>
      <c r="C145" s="85" t="s">
        <v>845</v>
      </c>
      <c r="D145" s="80">
        <f>+COUNTIFS('muddati otgan'!C:C,A145,'muddati otgan'!C:C,A145)</f>
        <v>0</v>
      </c>
      <c r="E145" s="10">
        <f>SUMIFS('muddati otgan'!$V:V,'muddati otgan'!$C:C,$A:A)</f>
        <v>0</v>
      </c>
      <c r="F145" s="10">
        <f>SUMIFS('muddati otgan'!$W:W,'muddati otgan'!$C:C,$A:A)</f>
        <v>0</v>
      </c>
      <c r="G145" s="24">
        <f>SUMIFS('muddati otgan'!$U:U,'muddati otgan'!$C:C,$A:A)</f>
        <v>0</v>
      </c>
      <c r="H145" s="11">
        <f>SUMIFS('muddati otgan'!$G:G,'muddati otgan'!$C:C,$A:A)</f>
        <v>0</v>
      </c>
      <c r="I145" s="12">
        <f>SUMIFS('muddati otgan'!$H:H,'muddati otgan'!$C:C,$A:A)</f>
        <v>0</v>
      </c>
      <c r="J145" s="44">
        <f t="shared" si="23"/>
        <v>0</v>
      </c>
      <c r="K145" s="11">
        <f>+COUNTIFS('muddati otgan'!C:C,A145,'muddati otgan'!AA:AA,"Arizani qabul qilish")</f>
        <v>0</v>
      </c>
      <c r="L145" s="11">
        <f>+COUNTIFS('muddati otgan'!C:C,A145,'muddati otgan'!J:J,"Arizani rad etish")</f>
        <v>0</v>
      </c>
      <c r="M145" s="11">
        <f>+COUNTIFS('muddati otgan'!C:C,A145,'muddati otgan'!J:J,"Arizani tasdiqlash")</f>
        <v>0</v>
      </c>
      <c r="N145" s="11">
        <f>+COUNTIFS('muddati otgan'!C:C,A145,'muddati otgan'!J:J,"Arizani yo'naltirish")</f>
        <v>0</v>
      </c>
      <c r="O145" s="11">
        <f>+COUNTIFS('muddati otgan'!C:C,A145,'muddati otgan'!J:J,"Rad qilish sababini o'rganish")</f>
        <v>0</v>
      </c>
      <c r="P145" s="11">
        <f>+COUNTIFS('muddati otgan'!C:C,A145,'muddati otgan'!J:J,"Ko'chmas mulkni UZKAD ga migratsiya qilish")</f>
        <v>0</v>
      </c>
      <c r="Q145" s="11">
        <f>+COUNTIFS('muddati otgan'!C:C,A145,'muddati otgan'!J:J,"Migratisya qilingan obyekt holatini tekshirish")</f>
        <v>0</v>
      </c>
      <c r="R145" s="11">
        <f>+COUNTIFS('muddati otgan'!C:C,A145,'muddati otgan'!J:J,"Ko‘chmas mulkni tanlash")</f>
        <v>0</v>
      </c>
      <c r="S145" s="11">
        <f>+COUNTIFS('muddati otgan'!C:C,A145,'muddati otgan'!J:J,"Arizani ko'rib chiqish")</f>
        <v>0</v>
      </c>
      <c r="T145" s="11">
        <f>+COUNTIFS('muddati otgan'!C:C,A145,'muddati otgan'!J:J,"Kadastr muhandisini tanlash")</f>
        <v>0</v>
      </c>
      <c r="U145" s="11">
        <f>+COUNTIFS('muddati otgan'!C:C,A145,'muddati otgan'!J:J,"Ko'chmas mulk turini tanlahsh")</f>
        <v>0</v>
      </c>
      <c r="V145" s="11">
        <f>+COUNTIFS('muddati otgan'!C:C,A145,'muddati otgan'!AA:AA,"Rad qilish")</f>
        <v>0</v>
      </c>
      <c r="W145" s="11">
        <f>+COUNTIFS('muddati otgan'!C:C,A145,'muddati otgan'!J:J,"ijrochi tanlash")</f>
        <v>0</v>
      </c>
      <c r="X145" s="11">
        <f>+COUNTIFS('muddati otgan'!C:C,A145,'muddati otgan'!J:J,"Ko'chmas mulk turini tanlash")</f>
        <v>0</v>
      </c>
      <c r="Y145" s="11">
        <f t="shared" si="24"/>
        <v>0</v>
      </c>
      <c r="Z145" s="11">
        <f>+COUNTIFS('muddati otgan'!C:C,A145,'muddati otgan'!J:J,"Ijroga qabul qilish")</f>
        <v>0</v>
      </c>
      <c r="AA145" s="11">
        <f>+COUNTIFS('muddati otgan'!C:C,A145,'muddati otgan'!J:J,"Joyida o'rganish va ma'lumotlarni kiritish")</f>
        <v>0</v>
      </c>
      <c r="AB145" s="11">
        <f>+COUNTIFS('muddati otgan'!C:C,A145,'muddati otgan'!J:J,"Asosiy qismdan ajratish jarayonida")</f>
        <v>0</v>
      </c>
      <c r="AC145" s="11">
        <f>+COUNTIFS('muddati otgan'!C:C,A145,'muddati otgan'!J:J,"Umumiy foydalanishdagi obyekt yaratilish")</f>
        <v>0</v>
      </c>
      <c r="AD145" s="11">
        <f>+COUNTIFS('muddati otgan'!C:C,A145,'muddati otgan'!J:J,"Migratsiya qilinadigan kadastr raqamini kiritish")</f>
        <v>0</v>
      </c>
      <c r="AE145" s="11">
        <f>+COUNTIFS('muddati otgan'!C:C,A145,'muddati otgan'!J:J,"O'zida qolgan obyektni yaratish")</f>
        <v>0</v>
      </c>
      <c r="AF145" s="11">
        <f>+COUNTIFS('muddati otgan'!C:C,A145,'muddati otgan'!J:J,"O'lchov natijalarini kiritish")</f>
        <v>0</v>
      </c>
      <c r="AG145" s="11">
        <f>+COUNTIFS('muddati otgan'!C:C,A145,'muddati otgan'!J:J,"Topoxaritani tayyorlash (dwg, pdf)")</f>
        <v>0</v>
      </c>
      <c r="AH145" s="11">
        <f t="shared" si="25"/>
        <v>0</v>
      </c>
      <c r="AI145" s="11">
        <f>+COUNTIFS('muddati otgan'!C:C,A145,'muddati otgan'!J:J,"Yer uchastkasini yaratish")</f>
        <v>0</v>
      </c>
      <c r="AJ145" s="11">
        <f t="shared" si="26"/>
        <v>0</v>
      </c>
      <c r="AK145" s="11">
        <f>+COUNTIFS('muddati otgan'!C:C,A145,'muddati otgan'!J:J,"Kelishish (Boshqarma)")</f>
        <v>0</v>
      </c>
      <c r="AL145" s="11">
        <f t="shared" si="27"/>
        <v>0</v>
      </c>
      <c r="AM145" s="11">
        <f>+COUNTIFS('muddati otgan'!C:C,A145,'muddati otgan'!J:J,"Kelishish (DKP)")</f>
        <v>0</v>
      </c>
      <c r="AN145" s="11">
        <f>+COUNTIFS('muddati otgan'!C:C,A145,'muddati otgan'!J:J,"Kelishish")</f>
        <v>0</v>
      </c>
      <c r="AO145" s="11">
        <f>+COUNTIFS('muddati otgan'!C:C,A145,'muddati otgan'!J:J,"Kelishish (Registratsiya DKP)")</f>
        <v>0</v>
      </c>
      <c r="AP145" s="11">
        <f t="shared" si="28"/>
        <v>0</v>
      </c>
      <c r="AQ145" s="11">
        <f>+COUNTIFS('muddati otgan'!C:C,A145,'muddati otgan'!J:J,"Manzil biriktirish")</f>
        <v>0</v>
      </c>
      <c r="AR145" s="11">
        <f>+COUNTIFS('muddati otgan'!C:C,A145,'muddati otgan'!J:J,"Bino va inshootlarni yaratish")</f>
        <v>0</v>
      </c>
      <c r="AS145" s="11">
        <f>+COUNTIFS('muddati otgan'!C:C,A145,'muddati otgan'!J:J,"Dov daraxtlarni yaratish")</f>
        <v>0</v>
      </c>
      <c r="AT145" s="11">
        <f>+COUNTIFS('muddati otgan'!C:C,A145,'muddati otgan'!J:J,"Yer uchastkasini tahrirlash")</f>
        <v>0</v>
      </c>
      <c r="AU145" s="11">
        <f t="shared" si="29"/>
        <v>0</v>
      </c>
      <c r="AV145" s="11">
        <f>+COUNTIFS('muddati otgan'!C:C,A145,'muddati otgan'!J:J,"Yer toifasi va maqsadini kiritish")</f>
        <v>0</v>
      </c>
      <c r="AW145" s="11">
        <f>+COUNTIFS('muddati otgan'!C:C,A145,'muddati otgan'!J:J,"Auksion yer tekshirish")</f>
        <v>0</v>
      </c>
      <c r="AX145" s="11">
        <f>+COUNTIFS('muddati otgan'!C:C,A145,'muddati otgan'!J:J,"Yer turlarini kiritish")</f>
        <v>0</v>
      </c>
      <c r="AY145" s="11">
        <f>+COUNTIFS('muddati otgan'!C:C,A145,'muddati otgan'!J:J,"Ma'lumotlarni kiritish")</f>
        <v>0</v>
      </c>
      <c r="AZ145" s="11">
        <f>+COUNTIFS('muddati otgan'!C:C,A145,'muddati otgan'!J:J,"Yer tekshirish")</f>
        <v>0</v>
      </c>
      <c r="BA145" s="11">
        <f t="shared" si="30"/>
        <v>0</v>
      </c>
      <c r="BB145" s="11">
        <f>+COUNTIFS('muddati otgan'!C:C,A145,'muddati otgan'!J:J,"Bino va inshoot ma'lumotlarini to‘ldirish")</f>
        <v>0</v>
      </c>
      <c r="BC145" s="11">
        <f>+COUNTIFS('muddati otgan'!C:C,A145,'muddati otgan'!J:J,"Inventarizatsiya ma'lumotlarini to‘ldirish")</f>
        <v>0</v>
      </c>
      <c r="BD145" s="11">
        <f>+COUNTIFS('muddati otgan'!C:C,A145,'muddati otgan'!J:J,"Yer uchastkasiga huquqiy hujjatlarni kiritsh")</f>
        <v>0</v>
      </c>
      <c r="BE145" s="11">
        <f>+COUNTIFS('muddati otgan'!C:C,A145,'muddati otgan'!J:J,"Bino-inshootlarga huquqiy hujjatlarni kiritsh")</f>
        <v>0</v>
      </c>
      <c r="BF145" s="11">
        <f>+COUNTIFS('muddati otgan'!C:C,A145,'muddati otgan'!J:J,"Kadastr qiymatini hisoblash va kiritish")</f>
        <v>0</v>
      </c>
      <c r="BG145" s="11">
        <f>+COUNTIFS('muddati otgan'!C:C,A145,'muddati otgan'!J:J,"Kadastr raqam biriktirish")</f>
        <v>0</v>
      </c>
      <c r="BH145" s="11">
        <f>+COUNTIFS('muddati otgan'!C:C,A145,'muddati otgan'!J:J,"Kadastr yig'ma jildni tayyorlash")</f>
        <v>0</v>
      </c>
      <c r="BI145" s="11">
        <f>+COUNTIFS('muddati otgan'!C:C,A145,'muddati otgan'!J:J,"Huquqni yaratish")</f>
        <v>0</v>
      </c>
      <c r="BJ145" s="11">
        <f>+COUNTIFS('muddati otgan'!C:C,A145,'muddati otgan'!J:J,"Hujjatlarni o'rganish")</f>
        <v>0</v>
      </c>
      <c r="BK145" s="11">
        <f>+COUNTIFS('muddati otgan'!C:C,A145,'muddati otgan'!J:J,"Ma'lumotlarni tekshirish")</f>
        <v>0</v>
      </c>
      <c r="BL145" s="11">
        <f t="shared" si="31"/>
        <v>0</v>
      </c>
      <c r="BM145" s="11">
        <f>+COUNTIFS('muddati otgan'!C:C,A145,'muddati otgan'!J:J,"Tekshirish")</f>
        <v>0</v>
      </c>
      <c r="BN145" s="11">
        <f>+COUNTIFS('muddati otgan'!C:C,A145,'muddati otgan'!J:J,"Hujjatlarni tekshirish")</f>
        <v>0</v>
      </c>
      <c r="BO145" s="11">
        <f>+COUNTIFS('muddati otgan'!C:C,A145,'muddati otgan'!J:J,"Tasdiqlash")</f>
        <v>0</v>
      </c>
      <c r="BP145" s="11">
        <f>+COUNTIFS('muddati otgan'!C:C,A145,'muddati otgan'!J:J,"tekshirish/tasdiqlash")</f>
        <v>0</v>
      </c>
      <c r="BQ145" s="11">
        <f>+COUNTIFS('muddati otgan'!C:C,A145,'muddati otgan'!J:J,"Ma'lumotlarni tasdiqlash")</f>
        <v>0</v>
      </c>
      <c r="BR145" s="11">
        <f t="shared" si="32"/>
        <v>0</v>
      </c>
      <c r="BS145" s="11">
        <f>+COUNTIFS('muddati otgan'!C:C,A145,'muddati otgan'!J:J,"Ro'yxatdan o'tkazish ma'lumotlarini tekshirish")</f>
        <v>0</v>
      </c>
      <c r="BT145" s="11">
        <f>+COUNTIFS('muddati otgan'!C:C,A145,'muddati otgan'!J:J,"Kamchiliklar bo'yicha habarnoma yuborish va 3 kunga to'xtatish")</f>
        <v>0</v>
      </c>
      <c r="BU145" s="11">
        <f>+COUNTIFS('muddati otgan'!C:C,A145,'muddati otgan'!J:J,"Hisobga olish")</f>
        <v>0</v>
      </c>
      <c r="BV145" s="11">
        <f>+COUNTIFS('muddati otgan'!C:C,A145,'muddati otgan'!J:J,"Yer uchastkasiga huquq yaratish")</f>
        <v>0</v>
      </c>
      <c r="BW145" s="11">
        <f>+COUNTIFS('muddati otgan'!C:C,A145,'muddati otgan'!J:J,"Bino-inshootga huquq yaratish")</f>
        <v>0</v>
      </c>
      <c r="BX145" s="11">
        <f>+COUNTIFS('muddati otgan'!C:C,A145,'muddati otgan'!J:J,"Cheklov yaratish")</f>
        <v>0</v>
      </c>
      <c r="BY145" s="11">
        <f>+COUNTIFS('muddati otgan'!C:C,A145,'muddati otgan'!J:J,"Taqiq yaratish")</f>
        <v>0</v>
      </c>
      <c r="BZ145" s="11">
        <f t="shared" si="33"/>
        <v>0</v>
      </c>
      <c r="CA145" s="11">
        <f>+COUNTIFS('muddati otgan'!C:C,A145,'muddati otgan'!J:J,"Soliq maydonini tekshirish")</f>
        <v>0</v>
      </c>
      <c r="CB145" s="11">
        <f t="shared" si="34"/>
        <v>0</v>
      </c>
      <c r="CC145" s="11">
        <f>+COUNTIFS('muddati otgan'!C:C,A145,'muddati otgan'!J:J,"Kadastr yig'majildini shakllantirish")</f>
        <v>0</v>
      </c>
      <c r="CD145" s="11">
        <f t="shared" si="35"/>
        <v>0</v>
      </c>
      <c r="CE145" s="11">
        <f>+COUNTIFS('muddati otgan'!C:C,A145,'muddati otgan'!J:J,"Kadastr passportini shakllantirish")</f>
        <v>0</v>
      </c>
      <c r="CF145" s="11">
        <f>+COUNTIFS('muddati otgan'!C:C,A145,'muddati otgan'!J:J,"Yig'ma jildni tasdiqlash")</f>
        <v>0</v>
      </c>
      <c r="CG145" s="11">
        <f>+COUNTIFS('muddati otgan'!C:C,A145,'muddati otgan'!J:J,"To'lov yoki bepul tasdiqlash")</f>
        <v>0</v>
      </c>
      <c r="CH145" s="11">
        <f>+COUNTIFS('muddati otgan'!C:C,A145,'muddati otgan'!J:J,"Bog'liq arizani kutish")</f>
        <v>0</v>
      </c>
      <c r="CI145" s="11">
        <f>+COUNTIFS('muddati otgan'!C:C,A145,'muddati otgan'!J:J,"To'lovga chiqarish")</f>
        <v>0</v>
      </c>
      <c r="CJ145" s="11">
        <f>+COUNTIFS('muddati otgan'!C:C,A145,'muddati otgan'!J:J,"Hisobga qo'yish")</f>
        <v>0</v>
      </c>
      <c r="CK145" s="6">
        <f>+COUNTIFS('muddati otgan'!C:C,A145,'muddati otgan'!J:J,"To'lov kutilmoqda")</f>
        <v>0</v>
      </c>
      <c r="CL145" s="11">
        <f t="shared" si="36"/>
        <v>0</v>
      </c>
      <c r="CM145" s="11">
        <f>+COUNTIFS('muddati otgan'!C:C,A145,'muddati otgan'!AA:AA,"Arizani qabul qilish2")</f>
        <v>0</v>
      </c>
      <c r="CN145" s="11">
        <f>+COUNTIFS('muddati otgan'!C:C,A145,'muddati otgan'!J:J,"Huquqlarni tekshirish")</f>
        <v>0</v>
      </c>
      <c r="CO145" s="11">
        <f>+COUNTIFS('muddati otgan'!C:C,A145,'muddati otgan'!J:J,"Ko'chmas mulkni ro'yhatdan o'tkazishga qabul qilish")</f>
        <v>0</v>
      </c>
      <c r="CP145" s="11">
        <f>+COUNTIFS('muddati otgan'!C:C,A145,'muddati otgan'!J:J,"Ro'yxatdan o'tkazish")</f>
        <v>0</v>
      </c>
      <c r="CQ145" s="11">
        <f>+COUNTIFS('muddati otgan'!C:C,A145,'muddati otgan'!J:J,"Kadastr pasporti va ko'chirmani yuborish")</f>
        <v>0</v>
      </c>
      <c r="CR145" s="11">
        <f>+COUNTIFS('muddati otgan'!C:C,A145,'muddati otgan'!AA:AA,"Rad qilish2")</f>
        <v>0</v>
      </c>
      <c r="CS145" s="11">
        <f>+COUNTIFS('muddati otgan'!C:C,A145,'muddati otgan'!J:J,"Ko'chirmani yuborish")</f>
        <v>0</v>
      </c>
      <c r="CT145" s="11">
        <f>+COUNTIFS('muddati otgan'!C:C,A145,'muddati otgan'!J:J,"Ma‘lumotlarni tekshirish")</f>
        <v>0</v>
      </c>
      <c r="CU145" s="11">
        <f t="shared" si="37"/>
        <v>0</v>
      </c>
      <c r="CV145" s="11">
        <f>+COUNTIFS('muddati otgan'!C:C,A145,'muddati otgan'!J:J,"Kadastr yig'majildini chop etish va arxiv ishiga tikish")</f>
        <v>0</v>
      </c>
      <c r="CW145" s="11">
        <f t="shared" si="38"/>
        <v>0</v>
      </c>
      <c r="CX145" s="11">
        <f>+COUNTIFS('muddati otgan'!C:C,A145,'muddati otgan'!J:J,"Kadastr yig‘majildini qabul qilish, arizani yakunlash")</f>
        <v>0</v>
      </c>
      <c r="CY145" s="11">
        <f>+COUNTIFS('muddati otgan'!C:C,A145,'muddati otgan'!J:J,"Next Cloudga yuklash")</f>
        <v>0</v>
      </c>
      <c r="CZ145" s="6">
        <f>+COUNTIFS('muddati otgan'!C:C,A145,'muddati otgan'!J:J,"Kelishish kutilmoqda")</f>
        <v>0</v>
      </c>
      <c r="DA145" s="6">
        <f>+COUNTIFS('muddati otgan'!C:C,A145,'muddati otgan'!J:J,"Yakunlandi")</f>
        <v>0</v>
      </c>
      <c r="DB145" s="10">
        <f>+COUNTIFS('muddati otgan'!C:C,A145,'muddati otgan'!J:J,"Rad etildi")</f>
        <v>0</v>
      </c>
      <c r="DC145" s="100">
        <f t="shared" si="5"/>
        <v>0</v>
      </c>
      <c r="DD145" s="44">
        <f>COUNTIFS('jami 1-20 kunlik arizalar'!C:C,A:A,'jami 1-20 kunlik arizalar'!S:S,"1")</f>
        <v>0</v>
      </c>
      <c r="DE145" s="11">
        <f>COUNTIFS('jami 1-20 kunlik arizalar'!C:C,A:A,'jami 1-20 kunlik arizalar'!S:S,"2")</f>
        <v>0</v>
      </c>
      <c r="DF145" s="11">
        <f>COUNTIFS('jami 1-20 kunlik arizalar'!C:C,A:A,'jami 1-20 kunlik arizalar'!S:S,"3")</f>
        <v>0</v>
      </c>
      <c r="DG145" s="11">
        <f>COUNTIFS('jami 1-20 kunlik arizalar'!C:C,A:A,'jami 1-20 kunlik arizalar'!S:S,"4")</f>
        <v>0</v>
      </c>
      <c r="DH145" s="11">
        <f>COUNTIFS('jami 1-20 kunlik arizalar'!C:C,A:A,'jami 1-20 kunlik arizalar'!S:S,"5")</f>
        <v>0</v>
      </c>
      <c r="DI145" s="11">
        <f>SUM(COUNTIFS('jami 1-20 kunlik arizalar'!C:C,A:A, 'jami 1-20 kunlik arizalar'!S:S, {6,7,8,9,10}))</f>
        <v>2</v>
      </c>
      <c r="DJ145" s="12">
        <f>SUM(COUNTIFS('jami 1-20 kunlik arizalar'!C:C,A:A, 'jami 1-20 kunlik arizalar'!S:S, "&gt;10"))</f>
        <v>4</v>
      </c>
    </row>
    <row r="146" spans="1:114" ht="32.1" hidden="1" customHeight="1" outlineLevel="1" x14ac:dyDescent="0.25">
      <c r="A146" s="92" t="s">
        <v>499</v>
      </c>
      <c r="B146" s="74"/>
      <c r="C146" s="85" t="s">
        <v>846</v>
      </c>
      <c r="D146" s="80">
        <f>+COUNTIFS('muddati otgan'!C:C,A146,'muddati otgan'!C:C,A146)</f>
        <v>2</v>
      </c>
      <c r="E146" s="10">
        <f>SUMIFS('muddati otgan'!$V:V,'muddati otgan'!$C:C,$A:A)</f>
        <v>0</v>
      </c>
      <c r="F146" s="10">
        <f>SUMIFS('muddati otgan'!$W:W,'muddati otgan'!$C:C,$A:A)</f>
        <v>0</v>
      </c>
      <c r="G146" s="24">
        <f>SUMIFS('muddati otgan'!$U:U,'muddati otgan'!$C:C,$A:A)</f>
        <v>2</v>
      </c>
      <c r="H146" s="11">
        <f>SUMIFS('muddati otgan'!$G:G,'muddati otgan'!$C:C,$A:A)</f>
        <v>2</v>
      </c>
      <c r="I146" s="12">
        <f>SUMIFS('muddati otgan'!$H:H,'muddati otgan'!$C:C,$A:A)</f>
        <v>0</v>
      </c>
      <c r="J146" s="44">
        <f t="shared" si="23"/>
        <v>0</v>
      </c>
      <c r="K146" s="11">
        <f>+COUNTIFS('muddati otgan'!C:C,A146,'muddati otgan'!AA:AA,"Arizani qabul qilish")</f>
        <v>0</v>
      </c>
      <c r="L146" s="11">
        <f>+COUNTIFS('muddati otgan'!C:C,A146,'muddati otgan'!J:J,"Arizani rad etish")</f>
        <v>0</v>
      </c>
      <c r="M146" s="11">
        <f>+COUNTIFS('muddati otgan'!C:C,A146,'muddati otgan'!J:J,"Arizani tasdiqlash")</f>
        <v>0</v>
      </c>
      <c r="N146" s="11">
        <f>+COUNTIFS('muddati otgan'!C:C,A146,'muddati otgan'!J:J,"Arizani yo'naltirish")</f>
        <v>0</v>
      </c>
      <c r="O146" s="11">
        <f>+COUNTIFS('muddati otgan'!C:C,A146,'muddati otgan'!J:J,"Rad qilish sababini o'rganish")</f>
        <v>0</v>
      </c>
      <c r="P146" s="11">
        <f>+COUNTIFS('muddati otgan'!C:C,A146,'muddati otgan'!J:J,"Ko'chmas mulkni UZKAD ga migratsiya qilish")</f>
        <v>0</v>
      </c>
      <c r="Q146" s="11">
        <f>+COUNTIFS('muddati otgan'!C:C,A146,'muddati otgan'!J:J,"Migratisya qilingan obyekt holatini tekshirish")</f>
        <v>0</v>
      </c>
      <c r="R146" s="11">
        <f>+COUNTIFS('muddati otgan'!C:C,A146,'muddati otgan'!J:J,"Ko‘chmas mulkni tanlash")</f>
        <v>0</v>
      </c>
      <c r="S146" s="11">
        <f>+COUNTIFS('muddati otgan'!C:C,A146,'muddati otgan'!J:J,"Arizani ko'rib chiqish")</f>
        <v>0</v>
      </c>
      <c r="T146" s="11">
        <f>+COUNTIFS('muddati otgan'!C:C,A146,'muddati otgan'!J:J,"Kadastr muhandisini tanlash")</f>
        <v>0</v>
      </c>
      <c r="U146" s="11">
        <f>+COUNTIFS('muddati otgan'!C:C,A146,'muddati otgan'!J:J,"Ko'chmas mulk turini tanlahsh")</f>
        <v>0</v>
      </c>
      <c r="V146" s="11">
        <f>+COUNTIFS('muddati otgan'!C:C,A146,'muddati otgan'!AA:AA,"Rad qilish")</f>
        <v>0</v>
      </c>
      <c r="W146" s="11">
        <f>+COUNTIFS('muddati otgan'!C:C,A146,'muddati otgan'!J:J,"ijrochi tanlash")</f>
        <v>0</v>
      </c>
      <c r="X146" s="11">
        <f>+COUNTIFS('muddati otgan'!C:C,A146,'muddati otgan'!J:J,"Ko'chmas mulk turini tanlash")</f>
        <v>0</v>
      </c>
      <c r="Y146" s="11">
        <f t="shared" si="24"/>
        <v>0</v>
      </c>
      <c r="Z146" s="11">
        <f>+COUNTIFS('muddati otgan'!C:C,A146,'muddati otgan'!J:J,"Ijroga qabul qilish")</f>
        <v>0</v>
      </c>
      <c r="AA146" s="11">
        <f>+COUNTIFS('muddati otgan'!C:C,A146,'muddati otgan'!J:J,"Joyida o'rganish va ma'lumotlarni kiritish")</f>
        <v>0</v>
      </c>
      <c r="AB146" s="11">
        <f>+COUNTIFS('muddati otgan'!C:C,A146,'muddati otgan'!J:J,"Asosiy qismdan ajratish jarayonida")</f>
        <v>0</v>
      </c>
      <c r="AC146" s="11">
        <f>+COUNTIFS('muddati otgan'!C:C,A146,'muddati otgan'!J:J,"Umumiy foydalanishdagi obyekt yaratilish")</f>
        <v>0</v>
      </c>
      <c r="AD146" s="11">
        <f>+COUNTIFS('muddati otgan'!C:C,A146,'muddati otgan'!J:J,"Migratsiya qilinadigan kadastr raqamini kiritish")</f>
        <v>0</v>
      </c>
      <c r="AE146" s="11">
        <f>+COUNTIFS('muddati otgan'!C:C,A146,'muddati otgan'!J:J,"O'zida qolgan obyektni yaratish")</f>
        <v>0</v>
      </c>
      <c r="AF146" s="11">
        <f>+COUNTIFS('muddati otgan'!C:C,A146,'muddati otgan'!J:J,"O'lchov natijalarini kiritish")</f>
        <v>0</v>
      </c>
      <c r="AG146" s="11">
        <f>+COUNTIFS('muddati otgan'!C:C,A146,'muddati otgan'!J:J,"Topoxaritani tayyorlash (dwg, pdf)")</f>
        <v>0</v>
      </c>
      <c r="AH146" s="11">
        <f t="shared" si="25"/>
        <v>0</v>
      </c>
      <c r="AI146" s="11">
        <f>+COUNTIFS('muddati otgan'!C:C,A146,'muddati otgan'!J:J,"Yer uchastkasini yaratish")</f>
        <v>0</v>
      </c>
      <c r="AJ146" s="11">
        <f t="shared" si="26"/>
        <v>0</v>
      </c>
      <c r="AK146" s="11">
        <f>+COUNTIFS('muddati otgan'!C:C,A146,'muddati otgan'!J:J,"Kelishish (Boshqarma)")</f>
        <v>0</v>
      </c>
      <c r="AL146" s="11">
        <f t="shared" si="27"/>
        <v>0</v>
      </c>
      <c r="AM146" s="11">
        <f>+COUNTIFS('muddati otgan'!C:C,A146,'muddati otgan'!J:J,"Kelishish (DKP)")</f>
        <v>0</v>
      </c>
      <c r="AN146" s="11">
        <f>+COUNTIFS('muddati otgan'!C:C,A146,'muddati otgan'!J:J,"Kelishish")</f>
        <v>0</v>
      </c>
      <c r="AO146" s="11">
        <f>+COUNTIFS('muddati otgan'!C:C,A146,'muddati otgan'!J:J,"Kelishish (Registratsiya DKP)")</f>
        <v>0</v>
      </c>
      <c r="AP146" s="11">
        <f t="shared" si="28"/>
        <v>0</v>
      </c>
      <c r="AQ146" s="11">
        <f>+COUNTIFS('muddati otgan'!C:C,A146,'muddati otgan'!J:J,"Manzil biriktirish")</f>
        <v>0</v>
      </c>
      <c r="AR146" s="11">
        <f>+COUNTIFS('muddati otgan'!C:C,A146,'muddati otgan'!J:J,"Bino va inshootlarni yaratish")</f>
        <v>0</v>
      </c>
      <c r="AS146" s="11">
        <f>+COUNTIFS('muddati otgan'!C:C,A146,'muddati otgan'!J:J,"Dov daraxtlarni yaratish")</f>
        <v>0</v>
      </c>
      <c r="AT146" s="11">
        <f>+COUNTIFS('muddati otgan'!C:C,A146,'muddati otgan'!J:J,"Yer uchastkasini tahrirlash")</f>
        <v>0</v>
      </c>
      <c r="AU146" s="11">
        <f t="shared" si="29"/>
        <v>0</v>
      </c>
      <c r="AV146" s="11">
        <f>+COUNTIFS('muddati otgan'!C:C,A146,'muddati otgan'!J:J,"Yer toifasi va maqsadini kiritish")</f>
        <v>0</v>
      </c>
      <c r="AW146" s="11">
        <f>+COUNTIFS('muddati otgan'!C:C,A146,'muddati otgan'!J:J,"Auksion yer tekshirish")</f>
        <v>0</v>
      </c>
      <c r="AX146" s="11">
        <f>+COUNTIFS('muddati otgan'!C:C,A146,'muddati otgan'!J:J,"Yer turlarini kiritish")</f>
        <v>0</v>
      </c>
      <c r="AY146" s="11">
        <f>+COUNTIFS('muddati otgan'!C:C,A146,'muddati otgan'!J:J,"Ma'lumotlarni kiritish")</f>
        <v>0</v>
      </c>
      <c r="AZ146" s="11">
        <f>+COUNTIFS('muddati otgan'!C:C,A146,'muddati otgan'!J:J,"Yer tekshirish")</f>
        <v>0</v>
      </c>
      <c r="BA146" s="11">
        <f t="shared" si="30"/>
        <v>0</v>
      </c>
      <c r="BB146" s="11">
        <f>+COUNTIFS('muddati otgan'!C:C,A146,'muddati otgan'!J:J,"Bino va inshoot ma'lumotlarini to‘ldirish")</f>
        <v>0</v>
      </c>
      <c r="BC146" s="11">
        <f>+COUNTIFS('muddati otgan'!C:C,A146,'muddati otgan'!J:J,"Inventarizatsiya ma'lumotlarini to‘ldirish")</f>
        <v>0</v>
      </c>
      <c r="BD146" s="11">
        <f>+COUNTIFS('muddati otgan'!C:C,A146,'muddati otgan'!J:J,"Yer uchastkasiga huquqiy hujjatlarni kiritsh")</f>
        <v>0</v>
      </c>
      <c r="BE146" s="11">
        <f>+COUNTIFS('muddati otgan'!C:C,A146,'muddati otgan'!J:J,"Bino-inshootlarga huquqiy hujjatlarni kiritsh")</f>
        <v>0</v>
      </c>
      <c r="BF146" s="11">
        <f>+COUNTIFS('muddati otgan'!C:C,A146,'muddati otgan'!J:J,"Kadastr qiymatini hisoblash va kiritish")</f>
        <v>0</v>
      </c>
      <c r="BG146" s="11">
        <f>+COUNTIFS('muddati otgan'!C:C,A146,'muddati otgan'!J:J,"Kadastr raqam biriktirish")</f>
        <v>0</v>
      </c>
      <c r="BH146" s="11">
        <f>+COUNTIFS('muddati otgan'!C:C,A146,'muddati otgan'!J:J,"Kadastr yig'ma jildni tayyorlash")</f>
        <v>0</v>
      </c>
      <c r="BI146" s="11">
        <f>+COUNTIFS('muddati otgan'!C:C,A146,'muddati otgan'!J:J,"Huquqni yaratish")</f>
        <v>0</v>
      </c>
      <c r="BJ146" s="11">
        <f>+COUNTIFS('muddati otgan'!C:C,A146,'muddati otgan'!J:J,"Hujjatlarni o'rganish")</f>
        <v>0</v>
      </c>
      <c r="BK146" s="11">
        <f>+COUNTIFS('muddati otgan'!C:C,A146,'muddati otgan'!J:J,"Ma'lumotlarni tekshirish")</f>
        <v>0</v>
      </c>
      <c r="BL146" s="11">
        <f t="shared" si="31"/>
        <v>0</v>
      </c>
      <c r="BM146" s="11">
        <f>+COUNTIFS('muddati otgan'!C:C,A146,'muddati otgan'!J:J,"Tekshirish")</f>
        <v>0</v>
      </c>
      <c r="BN146" s="11">
        <f>+COUNTIFS('muddati otgan'!C:C,A146,'muddati otgan'!J:J,"Hujjatlarni tekshirish")</f>
        <v>0</v>
      </c>
      <c r="BO146" s="11">
        <f>+COUNTIFS('muddati otgan'!C:C,A146,'muddati otgan'!J:J,"Tasdiqlash")</f>
        <v>0</v>
      </c>
      <c r="BP146" s="11">
        <f>+COUNTIFS('muddati otgan'!C:C,A146,'muddati otgan'!J:J,"tekshirish/tasdiqlash")</f>
        <v>0</v>
      </c>
      <c r="BQ146" s="11">
        <f>+COUNTIFS('muddati otgan'!C:C,A146,'muddati otgan'!J:J,"Ma'lumotlarni tasdiqlash")</f>
        <v>0</v>
      </c>
      <c r="BR146" s="11">
        <f t="shared" si="32"/>
        <v>2</v>
      </c>
      <c r="BS146" s="11">
        <f>+COUNTIFS('muddati otgan'!C:C,A146,'muddati otgan'!J:J,"Ro'yxatdan o'tkazish ma'lumotlarini tekshirish")</f>
        <v>1</v>
      </c>
      <c r="BT146" s="11">
        <f>+COUNTIFS('muddati otgan'!C:C,A146,'muddati otgan'!J:J,"Kamchiliklar bo'yicha habarnoma yuborish va 3 kunga to'xtatish")</f>
        <v>0</v>
      </c>
      <c r="BU146" s="11">
        <f>+COUNTIFS('muddati otgan'!C:C,A146,'muddati otgan'!J:J,"Hisobga olish")</f>
        <v>0</v>
      </c>
      <c r="BV146" s="11">
        <f>+COUNTIFS('muddati otgan'!C:C,A146,'muddati otgan'!J:J,"Yer uchastkasiga huquq yaratish")</f>
        <v>0</v>
      </c>
      <c r="BW146" s="11">
        <f>+COUNTIFS('muddati otgan'!C:C,A146,'muddati otgan'!J:J,"Bino-inshootga huquq yaratish")</f>
        <v>1</v>
      </c>
      <c r="BX146" s="11">
        <f>+COUNTIFS('muddati otgan'!C:C,A146,'muddati otgan'!J:J,"Cheklov yaratish")</f>
        <v>0</v>
      </c>
      <c r="BY146" s="11">
        <f>+COUNTIFS('muddati otgan'!C:C,A146,'muddati otgan'!J:J,"Taqiq yaratish")</f>
        <v>0</v>
      </c>
      <c r="BZ146" s="11">
        <f t="shared" si="33"/>
        <v>0</v>
      </c>
      <c r="CA146" s="11">
        <f>+COUNTIFS('muddati otgan'!C:C,A146,'muddati otgan'!J:J,"Soliq maydonini tekshirish")</f>
        <v>0</v>
      </c>
      <c r="CB146" s="11">
        <f t="shared" si="34"/>
        <v>0</v>
      </c>
      <c r="CC146" s="11">
        <f>+COUNTIFS('muddati otgan'!C:C,A146,'muddati otgan'!J:J,"Kadastr yig'majildini shakllantirish")</f>
        <v>0</v>
      </c>
      <c r="CD146" s="11">
        <f t="shared" si="35"/>
        <v>0</v>
      </c>
      <c r="CE146" s="11">
        <f>+COUNTIFS('muddati otgan'!C:C,A146,'muddati otgan'!J:J,"Kadastr passportini shakllantirish")</f>
        <v>0</v>
      </c>
      <c r="CF146" s="11">
        <f>+COUNTIFS('muddati otgan'!C:C,A146,'muddati otgan'!J:J,"Yig'ma jildni tasdiqlash")</f>
        <v>0</v>
      </c>
      <c r="CG146" s="11">
        <f>+COUNTIFS('muddati otgan'!C:C,A146,'muddati otgan'!J:J,"To'lov yoki bepul tasdiqlash")</f>
        <v>0</v>
      </c>
      <c r="CH146" s="11">
        <f>+COUNTIFS('muddati otgan'!C:C,A146,'muddati otgan'!J:J,"Bog'liq arizani kutish")</f>
        <v>0</v>
      </c>
      <c r="CI146" s="11">
        <f>+COUNTIFS('muddati otgan'!C:C,A146,'muddati otgan'!J:J,"To'lovga chiqarish")</f>
        <v>0</v>
      </c>
      <c r="CJ146" s="11">
        <f>+COUNTIFS('muddati otgan'!C:C,A146,'muddati otgan'!J:J,"Hisobga qo'yish")</f>
        <v>0</v>
      </c>
      <c r="CK146" s="6">
        <f>+COUNTIFS('muddati otgan'!C:C,A146,'muddati otgan'!J:J,"To'lov kutilmoqda")</f>
        <v>0</v>
      </c>
      <c r="CL146" s="11">
        <f t="shared" si="36"/>
        <v>0</v>
      </c>
      <c r="CM146" s="11">
        <f>+COUNTIFS('muddati otgan'!C:C,A146,'muddati otgan'!AA:AA,"Arizani qabul qilish2")</f>
        <v>0</v>
      </c>
      <c r="CN146" s="11">
        <f>+COUNTIFS('muddati otgan'!C:C,A146,'muddati otgan'!J:J,"Huquqlarni tekshirish")</f>
        <v>0</v>
      </c>
      <c r="CO146" s="11">
        <f>+COUNTIFS('muddati otgan'!C:C,A146,'muddati otgan'!J:J,"Ko'chmas mulkni ro'yhatdan o'tkazishga qabul qilish")</f>
        <v>0</v>
      </c>
      <c r="CP146" s="11">
        <f>+COUNTIFS('muddati otgan'!C:C,A146,'muddati otgan'!J:J,"Ro'yxatdan o'tkazish")</f>
        <v>0</v>
      </c>
      <c r="CQ146" s="11">
        <f>+COUNTIFS('muddati otgan'!C:C,A146,'muddati otgan'!J:J,"Kadastr pasporti va ko'chirmani yuborish")</f>
        <v>0</v>
      </c>
      <c r="CR146" s="11">
        <f>+COUNTIFS('muddati otgan'!C:C,A146,'muddati otgan'!AA:AA,"Rad qilish2")</f>
        <v>0</v>
      </c>
      <c r="CS146" s="11">
        <f>+COUNTIFS('muddati otgan'!C:C,A146,'muddati otgan'!J:J,"Ko'chirmani yuborish")</f>
        <v>0</v>
      </c>
      <c r="CT146" s="11">
        <f>+COUNTIFS('muddati otgan'!C:C,A146,'muddati otgan'!J:J,"Ma‘lumotlarni tekshirish")</f>
        <v>0</v>
      </c>
      <c r="CU146" s="11">
        <f t="shared" si="37"/>
        <v>0</v>
      </c>
      <c r="CV146" s="11">
        <f>+COUNTIFS('muddati otgan'!C:C,A146,'muddati otgan'!J:J,"Kadastr yig'majildini chop etish va arxiv ishiga tikish")</f>
        <v>0</v>
      </c>
      <c r="CW146" s="11">
        <f t="shared" si="38"/>
        <v>0</v>
      </c>
      <c r="CX146" s="11">
        <f>+COUNTIFS('muddati otgan'!C:C,A146,'muddati otgan'!J:J,"Kadastr yig‘majildini qabul qilish, arizani yakunlash")</f>
        <v>0</v>
      </c>
      <c r="CY146" s="11">
        <f>+COUNTIFS('muddati otgan'!C:C,A146,'muddati otgan'!J:J,"Next Cloudga yuklash")</f>
        <v>0</v>
      </c>
      <c r="CZ146" s="6">
        <f>+COUNTIFS('muddati otgan'!C:C,A146,'muddati otgan'!J:J,"Kelishish kutilmoqda")</f>
        <v>0</v>
      </c>
      <c r="DA146" s="6">
        <f>+COUNTIFS('muddati otgan'!C:C,A146,'muddati otgan'!J:J,"Yakunlandi")</f>
        <v>0</v>
      </c>
      <c r="DB146" s="10">
        <f>+COUNTIFS('muddati otgan'!C:C,A146,'muddati otgan'!J:J,"Rad etildi")</f>
        <v>0</v>
      </c>
      <c r="DC146" s="100">
        <f t="shared" si="5"/>
        <v>-2</v>
      </c>
      <c r="DD146" s="44">
        <f>COUNTIFS('jami 1-20 kunlik arizalar'!C:C,A:A,'jami 1-20 kunlik arizalar'!S:S,"1")</f>
        <v>0</v>
      </c>
      <c r="DE146" s="11">
        <f>COUNTIFS('jami 1-20 kunlik arizalar'!C:C,A:A,'jami 1-20 kunlik arizalar'!S:S,"2")</f>
        <v>0</v>
      </c>
      <c r="DF146" s="11">
        <f>COUNTIFS('jami 1-20 kunlik arizalar'!C:C,A:A,'jami 1-20 kunlik arizalar'!S:S,"3")</f>
        <v>0</v>
      </c>
      <c r="DG146" s="11">
        <f>COUNTIFS('jami 1-20 kunlik arizalar'!C:C,A:A,'jami 1-20 kunlik arizalar'!S:S,"4")</f>
        <v>2</v>
      </c>
      <c r="DH146" s="11">
        <f>COUNTIFS('jami 1-20 kunlik arizalar'!C:C,A:A,'jami 1-20 kunlik arizalar'!S:S,"5")</f>
        <v>0</v>
      </c>
      <c r="DI146" s="11">
        <f>SUM(COUNTIFS('jami 1-20 kunlik arizalar'!C:C,A:A, 'jami 1-20 kunlik arizalar'!S:S, {6,7,8,9,10}))</f>
        <v>7</v>
      </c>
      <c r="DJ146" s="12">
        <f>SUM(COUNTIFS('jami 1-20 kunlik arizalar'!C:C,A:A, 'jami 1-20 kunlik arizalar'!S:S, "&gt;10"))</f>
        <v>1</v>
      </c>
    </row>
    <row r="147" spans="1:114" ht="32.1" hidden="1" customHeight="1" outlineLevel="1" x14ac:dyDescent="0.25">
      <c r="A147" s="92" t="s">
        <v>685</v>
      </c>
      <c r="B147" s="74"/>
      <c r="C147" s="85" t="s">
        <v>847</v>
      </c>
      <c r="D147" s="80">
        <f>+COUNTIFS('muddati otgan'!C:C,A147,'muddati otgan'!C:C,A147)</f>
        <v>6</v>
      </c>
      <c r="E147" s="10">
        <f>SUMIFS('muddati otgan'!$V:V,'muddati otgan'!$C:C,$A:A)</f>
        <v>0</v>
      </c>
      <c r="F147" s="10">
        <f>SUMIFS('muddati otgan'!$W:W,'muddati otgan'!$C:C,$A:A)</f>
        <v>0</v>
      </c>
      <c r="G147" s="24">
        <f>SUMIFS('muddati otgan'!$U:U,'muddati otgan'!$C:C,$A:A)</f>
        <v>6</v>
      </c>
      <c r="H147" s="11">
        <f>SUMIFS('muddati otgan'!$G:G,'muddati otgan'!$C:C,$A:A)</f>
        <v>6</v>
      </c>
      <c r="I147" s="12">
        <f>SUMIFS('muddati otgan'!$H:H,'muddati otgan'!$C:C,$A:A)</f>
        <v>0</v>
      </c>
      <c r="J147" s="44">
        <f t="shared" si="23"/>
        <v>0</v>
      </c>
      <c r="K147" s="11">
        <f>+COUNTIFS('muddati otgan'!C:C,A147,'muddati otgan'!AA:AA,"Arizani qabul qilish")</f>
        <v>0</v>
      </c>
      <c r="L147" s="11">
        <f>+COUNTIFS('muddati otgan'!C:C,A147,'muddati otgan'!J:J,"Arizani rad etish")</f>
        <v>0</v>
      </c>
      <c r="M147" s="11">
        <f>+COUNTIFS('muddati otgan'!C:C,A147,'muddati otgan'!J:J,"Arizani tasdiqlash")</f>
        <v>0</v>
      </c>
      <c r="N147" s="11">
        <f>+COUNTIFS('muddati otgan'!C:C,A147,'muddati otgan'!J:J,"Arizani yo'naltirish")</f>
        <v>0</v>
      </c>
      <c r="O147" s="11">
        <f>+COUNTIFS('muddati otgan'!C:C,A147,'muddati otgan'!J:J,"Rad qilish sababini o'rganish")</f>
        <v>0</v>
      </c>
      <c r="P147" s="11">
        <f>+COUNTIFS('muddati otgan'!C:C,A147,'muddati otgan'!J:J,"Ko'chmas mulkni UZKAD ga migratsiya qilish")</f>
        <v>0</v>
      </c>
      <c r="Q147" s="11">
        <f>+COUNTIFS('muddati otgan'!C:C,A147,'muddati otgan'!J:J,"Migratisya qilingan obyekt holatini tekshirish")</f>
        <v>0</v>
      </c>
      <c r="R147" s="11">
        <f>+COUNTIFS('muddati otgan'!C:C,A147,'muddati otgan'!J:J,"Ko‘chmas mulkni tanlash")</f>
        <v>0</v>
      </c>
      <c r="S147" s="11">
        <f>+COUNTIFS('muddati otgan'!C:C,A147,'muddati otgan'!J:J,"Arizani ko'rib chiqish")</f>
        <v>0</v>
      </c>
      <c r="T147" s="11">
        <f>+COUNTIFS('muddati otgan'!C:C,A147,'muddati otgan'!J:J,"Kadastr muhandisini tanlash")</f>
        <v>0</v>
      </c>
      <c r="U147" s="11">
        <f>+COUNTIFS('muddati otgan'!C:C,A147,'muddati otgan'!J:J,"Ko'chmas mulk turini tanlahsh")</f>
        <v>0</v>
      </c>
      <c r="V147" s="11">
        <f>+COUNTIFS('muddati otgan'!C:C,A147,'muddati otgan'!AA:AA,"Rad qilish")</f>
        <v>0</v>
      </c>
      <c r="W147" s="11">
        <f>+COUNTIFS('muddati otgan'!C:C,A147,'muddati otgan'!J:J,"ijrochi tanlash")</f>
        <v>0</v>
      </c>
      <c r="X147" s="11">
        <f>+COUNTIFS('muddati otgan'!C:C,A147,'muddati otgan'!J:J,"Ko'chmas mulk turini tanlash")</f>
        <v>0</v>
      </c>
      <c r="Y147" s="11">
        <f t="shared" si="24"/>
        <v>0</v>
      </c>
      <c r="Z147" s="11">
        <f>+COUNTIFS('muddati otgan'!C:C,A147,'muddati otgan'!J:J,"Ijroga qabul qilish")</f>
        <v>0</v>
      </c>
      <c r="AA147" s="11">
        <f>+COUNTIFS('muddati otgan'!C:C,A147,'muddati otgan'!J:J,"Joyida o'rganish va ma'lumotlarni kiritish")</f>
        <v>0</v>
      </c>
      <c r="AB147" s="11">
        <f>+COUNTIFS('muddati otgan'!C:C,A147,'muddati otgan'!J:J,"Asosiy qismdan ajratish jarayonida")</f>
        <v>0</v>
      </c>
      <c r="AC147" s="11">
        <f>+COUNTIFS('muddati otgan'!C:C,A147,'muddati otgan'!J:J,"Umumiy foydalanishdagi obyekt yaratilish")</f>
        <v>0</v>
      </c>
      <c r="AD147" s="11">
        <f>+COUNTIFS('muddati otgan'!C:C,A147,'muddati otgan'!J:J,"Migratsiya qilinadigan kadastr raqamini kiritish")</f>
        <v>0</v>
      </c>
      <c r="AE147" s="11">
        <f>+COUNTIFS('muddati otgan'!C:C,A147,'muddati otgan'!J:J,"O'zida qolgan obyektni yaratish")</f>
        <v>0</v>
      </c>
      <c r="AF147" s="11">
        <f>+COUNTIFS('muddati otgan'!C:C,A147,'muddati otgan'!J:J,"O'lchov natijalarini kiritish")</f>
        <v>0</v>
      </c>
      <c r="AG147" s="11">
        <f>+COUNTIFS('muddati otgan'!C:C,A147,'muddati otgan'!J:J,"Topoxaritani tayyorlash (dwg, pdf)")</f>
        <v>0</v>
      </c>
      <c r="AH147" s="11">
        <f t="shared" si="25"/>
        <v>0</v>
      </c>
      <c r="AI147" s="11">
        <f>+COUNTIFS('muddati otgan'!C:C,A147,'muddati otgan'!J:J,"Yer uchastkasini yaratish")</f>
        <v>0</v>
      </c>
      <c r="AJ147" s="11">
        <f t="shared" si="26"/>
        <v>0</v>
      </c>
      <c r="AK147" s="11">
        <f>+COUNTIFS('muddati otgan'!C:C,A147,'muddati otgan'!J:J,"Kelishish (Boshqarma)")</f>
        <v>0</v>
      </c>
      <c r="AL147" s="11">
        <f t="shared" si="27"/>
        <v>0</v>
      </c>
      <c r="AM147" s="11">
        <f>+COUNTIFS('muddati otgan'!C:C,A147,'muddati otgan'!J:J,"Kelishish (DKP)")</f>
        <v>0</v>
      </c>
      <c r="AN147" s="11">
        <f>+COUNTIFS('muddati otgan'!C:C,A147,'muddati otgan'!J:J,"Kelishish")</f>
        <v>0</v>
      </c>
      <c r="AO147" s="11">
        <f>+COUNTIFS('muddati otgan'!C:C,A147,'muddati otgan'!J:J,"Kelishish (Registratsiya DKP)")</f>
        <v>0</v>
      </c>
      <c r="AP147" s="11">
        <f t="shared" si="28"/>
        <v>0</v>
      </c>
      <c r="AQ147" s="11">
        <f>+COUNTIFS('muddati otgan'!C:C,A147,'muddati otgan'!J:J,"Manzil biriktirish")</f>
        <v>0</v>
      </c>
      <c r="AR147" s="11">
        <f>+COUNTIFS('muddati otgan'!C:C,A147,'muddati otgan'!J:J,"Bino va inshootlarni yaratish")</f>
        <v>0</v>
      </c>
      <c r="AS147" s="11">
        <f>+COUNTIFS('muddati otgan'!C:C,A147,'muddati otgan'!J:J,"Dov daraxtlarni yaratish")</f>
        <v>0</v>
      </c>
      <c r="AT147" s="11">
        <f>+COUNTIFS('muddati otgan'!C:C,A147,'muddati otgan'!J:J,"Yer uchastkasini tahrirlash")</f>
        <v>0</v>
      </c>
      <c r="AU147" s="11">
        <f t="shared" si="29"/>
        <v>0</v>
      </c>
      <c r="AV147" s="11">
        <f>+COUNTIFS('muddati otgan'!C:C,A147,'muddati otgan'!J:J,"Yer toifasi va maqsadini kiritish")</f>
        <v>0</v>
      </c>
      <c r="AW147" s="11">
        <f>+COUNTIFS('muddati otgan'!C:C,A147,'muddati otgan'!J:J,"Auksion yer tekshirish")</f>
        <v>0</v>
      </c>
      <c r="AX147" s="11">
        <f>+COUNTIFS('muddati otgan'!C:C,A147,'muddati otgan'!J:J,"Yer turlarini kiritish")</f>
        <v>0</v>
      </c>
      <c r="AY147" s="11">
        <f>+COUNTIFS('muddati otgan'!C:C,A147,'muddati otgan'!J:J,"Ma'lumotlarni kiritish")</f>
        <v>0</v>
      </c>
      <c r="AZ147" s="11">
        <f>+COUNTIFS('muddati otgan'!C:C,A147,'muddati otgan'!J:J,"Yer tekshirish")</f>
        <v>0</v>
      </c>
      <c r="BA147" s="11">
        <f t="shared" si="30"/>
        <v>0</v>
      </c>
      <c r="BB147" s="11">
        <f>+COUNTIFS('muddati otgan'!C:C,A147,'muddati otgan'!J:J,"Bino va inshoot ma'lumotlarini to‘ldirish")</f>
        <v>0</v>
      </c>
      <c r="BC147" s="11">
        <f>+COUNTIFS('muddati otgan'!C:C,A147,'muddati otgan'!J:J,"Inventarizatsiya ma'lumotlarini to‘ldirish")</f>
        <v>0</v>
      </c>
      <c r="BD147" s="11">
        <f>+COUNTIFS('muddati otgan'!C:C,A147,'muddati otgan'!J:J,"Yer uchastkasiga huquqiy hujjatlarni kiritsh")</f>
        <v>0</v>
      </c>
      <c r="BE147" s="11">
        <f>+COUNTIFS('muddati otgan'!C:C,A147,'muddati otgan'!J:J,"Bino-inshootlarga huquqiy hujjatlarni kiritsh")</f>
        <v>0</v>
      </c>
      <c r="BF147" s="11">
        <f>+COUNTIFS('muddati otgan'!C:C,A147,'muddati otgan'!J:J,"Kadastr qiymatini hisoblash va kiritish")</f>
        <v>0</v>
      </c>
      <c r="BG147" s="11">
        <f>+COUNTIFS('muddati otgan'!C:C,A147,'muddati otgan'!J:J,"Kadastr raqam biriktirish")</f>
        <v>0</v>
      </c>
      <c r="BH147" s="11">
        <f>+COUNTIFS('muddati otgan'!C:C,A147,'muddati otgan'!J:J,"Kadastr yig'ma jildni tayyorlash")</f>
        <v>0</v>
      </c>
      <c r="BI147" s="11">
        <f>+COUNTIFS('muddati otgan'!C:C,A147,'muddati otgan'!J:J,"Huquqni yaratish")</f>
        <v>0</v>
      </c>
      <c r="BJ147" s="11">
        <f>+COUNTIFS('muddati otgan'!C:C,A147,'muddati otgan'!J:J,"Hujjatlarni o'rganish")</f>
        <v>0</v>
      </c>
      <c r="BK147" s="11">
        <f>+COUNTIFS('muddati otgan'!C:C,A147,'muddati otgan'!J:J,"Ma'lumotlarni tekshirish")</f>
        <v>0</v>
      </c>
      <c r="BL147" s="11">
        <f t="shared" si="31"/>
        <v>0</v>
      </c>
      <c r="BM147" s="11">
        <f>+COUNTIFS('muddati otgan'!C:C,A147,'muddati otgan'!J:J,"Tekshirish")</f>
        <v>0</v>
      </c>
      <c r="BN147" s="11">
        <f>+COUNTIFS('muddati otgan'!C:C,A147,'muddati otgan'!J:J,"Hujjatlarni tekshirish")</f>
        <v>0</v>
      </c>
      <c r="BO147" s="11">
        <f>+COUNTIFS('muddati otgan'!C:C,A147,'muddati otgan'!J:J,"Tasdiqlash")</f>
        <v>0</v>
      </c>
      <c r="BP147" s="11">
        <f>+COUNTIFS('muddati otgan'!C:C,A147,'muddati otgan'!J:J,"tekshirish/tasdiqlash")</f>
        <v>0</v>
      </c>
      <c r="BQ147" s="11">
        <f>+COUNTIFS('muddati otgan'!C:C,A147,'muddati otgan'!J:J,"Ma'lumotlarni tasdiqlash")</f>
        <v>0</v>
      </c>
      <c r="BR147" s="11">
        <f t="shared" si="32"/>
        <v>4</v>
      </c>
      <c r="BS147" s="11">
        <f>+COUNTIFS('muddati otgan'!C:C,A147,'muddati otgan'!J:J,"Ro'yxatdan o'tkazish ma'lumotlarini tekshirish")</f>
        <v>4</v>
      </c>
      <c r="BT147" s="11">
        <f>+COUNTIFS('muddati otgan'!C:C,A147,'muddati otgan'!J:J,"Kamchiliklar bo'yicha habarnoma yuborish va 3 kunga to'xtatish")</f>
        <v>0</v>
      </c>
      <c r="BU147" s="11">
        <f>+COUNTIFS('muddati otgan'!C:C,A147,'muddati otgan'!J:J,"Hisobga olish")</f>
        <v>0</v>
      </c>
      <c r="BV147" s="11">
        <f>+COUNTIFS('muddati otgan'!C:C,A147,'muddati otgan'!J:J,"Yer uchastkasiga huquq yaratish")</f>
        <v>0</v>
      </c>
      <c r="BW147" s="11">
        <f>+COUNTIFS('muddati otgan'!C:C,A147,'muddati otgan'!J:J,"Bino-inshootga huquq yaratish")</f>
        <v>0</v>
      </c>
      <c r="BX147" s="11">
        <f>+COUNTIFS('muddati otgan'!C:C,A147,'muddati otgan'!J:J,"Cheklov yaratish")</f>
        <v>0</v>
      </c>
      <c r="BY147" s="11">
        <f>+COUNTIFS('muddati otgan'!C:C,A147,'muddati otgan'!J:J,"Taqiq yaratish")</f>
        <v>0</v>
      </c>
      <c r="BZ147" s="11">
        <f t="shared" si="33"/>
        <v>0</v>
      </c>
      <c r="CA147" s="11">
        <f>+COUNTIFS('muddati otgan'!C:C,A147,'muddati otgan'!J:J,"Soliq maydonini tekshirish")</f>
        <v>0</v>
      </c>
      <c r="CB147" s="11">
        <f t="shared" si="34"/>
        <v>0</v>
      </c>
      <c r="CC147" s="11">
        <f>+COUNTIFS('muddati otgan'!C:C,A147,'muddati otgan'!J:J,"Kadastr yig'majildini shakllantirish")</f>
        <v>0</v>
      </c>
      <c r="CD147" s="11">
        <f t="shared" si="35"/>
        <v>0</v>
      </c>
      <c r="CE147" s="11">
        <f>+COUNTIFS('muddati otgan'!C:C,A147,'muddati otgan'!J:J,"Kadastr passportini shakllantirish")</f>
        <v>0</v>
      </c>
      <c r="CF147" s="11">
        <f>+COUNTIFS('muddati otgan'!C:C,A147,'muddati otgan'!J:J,"Yig'ma jildni tasdiqlash")</f>
        <v>0</v>
      </c>
      <c r="CG147" s="11">
        <f>+COUNTIFS('muddati otgan'!C:C,A147,'muddati otgan'!J:J,"To'lov yoki bepul tasdiqlash")</f>
        <v>0</v>
      </c>
      <c r="CH147" s="11">
        <f>+COUNTIFS('muddati otgan'!C:C,A147,'muddati otgan'!J:J,"Bog'liq arizani kutish")</f>
        <v>0</v>
      </c>
      <c r="CI147" s="11">
        <f>+COUNTIFS('muddati otgan'!C:C,A147,'muddati otgan'!J:J,"To'lovga chiqarish")</f>
        <v>0</v>
      </c>
      <c r="CJ147" s="11">
        <f>+COUNTIFS('muddati otgan'!C:C,A147,'muddati otgan'!J:J,"Hisobga qo'yish")</f>
        <v>0</v>
      </c>
      <c r="CK147" s="6">
        <f>+COUNTIFS('muddati otgan'!C:C,A147,'muddati otgan'!J:J,"To'lov kutilmoqda")</f>
        <v>1</v>
      </c>
      <c r="CL147" s="11">
        <f t="shared" si="36"/>
        <v>0</v>
      </c>
      <c r="CM147" s="11">
        <f>+COUNTIFS('muddati otgan'!C:C,A147,'muddati otgan'!AA:AA,"Arizani qabul qilish2")</f>
        <v>0</v>
      </c>
      <c r="CN147" s="11">
        <f>+COUNTIFS('muddati otgan'!C:C,A147,'muddati otgan'!J:J,"Huquqlarni tekshirish")</f>
        <v>0</v>
      </c>
      <c r="CO147" s="11">
        <f>+COUNTIFS('muddati otgan'!C:C,A147,'muddati otgan'!J:J,"Ko'chmas mulkni ro'yhatdan o'tkazishga qabul qilish")</f>
        <v>0</v>
      </c>
      <c r="CP147" s="11">
        <f>+COUNTIFS('muddati otgan'!C:C,A147,'muddati otgan'!J:J,"Ro'yxatdan o'tkazish")</f>
        <v>0</v>
      </c>
      <c r="CQ147" s="11">
        <f>+COUNTIFS('muddati otgan'!C:C,A147,'muddati otgan'!J:J,"Kadastr pasporti va ko'chirmani yuborish")</f>
        <v>0</v>
      </c>
      <c r="CR147" s="11">
        <f>+COUNTIFS('muddati otgan'!C:C,A147,'muddati otgan'!AA:AA,"Rad qilish2")</f>
        <v>0</v>
      </c>
      <c r="CS147" s="11">
        <f>+COUNTIFS('muddati otgan'!C:C,A147,'muddati otgan'!J:J,"Ko'chirmani yuborish")</f>
        <v>0</v>
      </c>
      <c r="CT147" s="11">
        <f>+COUNTIFS('muddati otgan'!C:C,A147,'muddati otgan'!J:J,"Ma‘lumotlarni tekshirish")</f>
        <v>0</v>
      </c>
      <c r="CU147" s="11">
        <f t="shared" si="37"/>
        <v>0</v>
      </c>
      <c r="CV147" s="11">
        <f>+COUNTIFS('muddati otgan'!C:C,A147,'muddati otgan'!J:J,"Kadastr yig'majildini chop etish va arxiv ishiga tikish")</f>
        <v>0</v>
      </c>
      <c r="CW147" s="11">
        <f t="shared" si="38"/>
        <v>0</v>
      </c>
      <c r="CX147" s="11">
        <f>+COUNTIFS('muddati otgan'!C:C,A147,'muddati otgan'!J:J,"Kadastr yig‘majildini qabul qilish, arizani yakunlash")</f>
        <v>0</v>
      </c>
      <c r="CY147" s="11">
        <f>+COUNTIFS('muddati otgan'!C:C,A147,'muddati otgan'!J:J,"Next Cloudga yuklash")</f>
        <v>0</v>
      </c>
      <c r="CZ147" s="6">
        <f>+COUNTIFS('muddati otgan'!C:C,A147,'muddati otgan'!J:J,"Kelishish kutilmoqda")</f>
        <v>0</v>
      </c>
      <c r="DA147" s="6">
        <f>+COUNTIFS('muddati otgan'!C:C,A147,'muddati otgan'!J:J,"Yakunlandi")</f>
        <v>1</v>
      </c>
      <c r="DB147" s="10">
        <f>+COUNTIFS('muddati otgan'!C:C,A147,'muddati otgan'!J:J,"Rad etildi")</f>
        <v>0</v>
      </c>
      <c r="DC147" s="100">
        <f t="shared" si="5"/>
        <v>-4</v>
      </c>
      <c r="DD147" s="44">
        <f>COUNTIFS('jami 1-20 kunlik arizalar'!C:C,A:A,'jami 1-20 kunlik arizalar'!S:S,"1")</f>
        <v>0</v>
      </c>
      <c r="DE147" s="11">
        <f>COUNTIFS('jami 1-20 kunlik arizalar'!C:C,A:A,'jami 1-20 kunlik arizalar'!S:S,"2")</f>
        <v>0</v>
      </c>
      <c r="DF147" s="11">
        <f>COUNTIFS('jami 1-20 kunlik arizalar'!C:C,A:A,'jami 1-20 kunlik arizalar'!S:S,"3")</f>
        <v>1</v>
      </c>
      <c r="DG147" s="11">
        <f>COUNTIFS('jami 1-20 kunlik arizalar'!C:C,A:A,'jami 1-20 kunlik arizalar'!S:S,"4")</f>
        <v>1</v>
      </c>
      <c r="DH147" s="11">
        <f>COUNTIFS('jami 1-20 kunlik arizalar'!C:C,A:A,'jami 1-20 kunlik arizalar'!S:S,"5")</f>
        <v>1</v>
      </c>
      <c r="DI147" s="11">
        <f>SUM(COUNTIFS('jami 1-20 kunlik arizalar'!C:C,A:A, 'jami 1-20 kunlik arizalar'!S:S, {6,7,8,9,10}))</f>
        <v>8</v>
      </c>
      <c r="DJ147" s="12">
        <f>SUM(COUNTIFS('jami 1-20 kunlik arizalar'!C:C,A:A, 'jami 1-20 kunlik arizalar'!S:S, "&gt;10"))</f>
        <v>8</v>
      </c>
    </row>
    <row r="148" spans="1:114" ht="32.1" hidden="1" customHeight="1" outlineLevel="1" x14ac:dyDescent="0.25">
      <c r="A148" s="92" t="s">
        <v>691</v>
      </c>
      <c r="B148" s="74"/>
      <c r="C148" s="85" t="s">
        <v>848</v>
      </c>
      <c r="D148" s="80">
        <f>+COUNTIFS('muddati otgan'!C:C,A148,'muddati otgan'!C:C,A148)</f>
        <v>0</v>
      </c>
      <c r="E148" s="10">
        <f>SUMIFS('muddati otgan'!$V:V,'muddati otgan'!$C:C,$A:A)</f>
        <v>0</v>
      </c>
      <c r="F148" s="10">
        <f>SUMIFS('muddati otgan'!$W:W,'muddati otgan'!$C:C,$A:A)</f>
        <v>0</v>
      </c>
      <c r="G148" s="24">
        <f>SUMIFS('muddati otgan'!$U:U,'muddati otgan'!$C:C,$A:A)</f>
        <v>0</v>
      </c>
      <c r="H148" s="11">
        <f>SUMIFS('muddati otgan'!$G:G,'muddati otgan'!$C:C,$A:A)</f>
        <v>0</v>
      </c>
      <c r="I148" s="12">
        <f>SUMIFS('muddati otgan'!$H:H,'muddati otgan'!$C:C,$A:A)</f>
        <v>0</v>
      </c>
      <c r="J148" s="44">
        <f t="shared" si="23"/>
        <v>0</v>
      </c>
      <c r="K148" s="11">
        <f>+COUNTIFS('muddati otgan'!C:C,A148,'muddati otgan'!AA:AA,"Arizani qabul qilish")</f>
        <v>0</v>
      </c>
      <c r="L148" s="11">
        <f>+COUNTIFS('muddati otgan'!C:C,A148,'muddati otgan'!J:J,"Arizani rad etish")</f>
        <v>0</v>
      </c>
      <c r="M148" s="11">
        <f>+COUNTIFS('muddati otgan'!C:C,A148,'muddati otgan'!J:J,"Arizani tasdiqlash")</f>
        <v>0</v>
      </c>
      <c r="N148" s="11">
        <f>+COUNTIFS('muddati otgan'!C:C,A148,'muddati otgan'!J:J,"Arizani yo'naltirish")</f>
        <v>0</v>
      </c>
      <c r="O148" s="11">
        <f>+COUNTIFS('muddati otgan'!C:C,A148,'muddati otgan'!J:J,"Rad qilish sababini o'rganish")</f>
        <v>0</v>
      </c>
      <c r="P148" s="11">
        <f>+COUNTIFS('muddati otgan'!C:C,A148,'muddati otgan'!J:J,"Ko'chmas mulkni UZKAD ga migratsiya qilish")</f>
        <v>0</v>
      </c>
      <c r="Q148" s="11">
        <f>+COUNTIFS('muddati otgan'!C:C,A148,'muddati otgan'!J:J,"Migratisya qilingan obyekt holatini tekshirish")</f>
        <v>0</v>
      </c>
      <c r="R148" s="11">
        <f>+COUNTIFS('muddati otgan'!C:C,A148,'muddati otgan'!J:J,"Ko‘chmas mulkni tanlash")</f>
        <v>0</v>
      </c>
      <c r="S148" s="11">
        <f>+COUNTIFS('muddati otgan'!C:C,A148,'muddati otgan'!J:J,"Arizani ko'rib chiqish")</f>
        <v>0</v>
      </c>
      <c r="T148" s="11">
        <f>+COUNTIFS('muddati otgan'!C:C,A148,'muddati otgan'!J:J,"Kadastr muhandisini tanlash")</f>
        <v>0</v>
      </c>
      <c r="U148" s="11">
        <f>+COUNTIFS('muddati otgan'!C:C,A148,'muddati otgan'!J:J,"Ko'chmas mulk turini tanlahsh")</f>
        <v>0</v>
      </c>
      <c r="V148" s="11">
        <f>+COUNTIFS('muddati otgan'!C:C,A148,'muddati otgan'!AA:AA,"Rad qilish")</f>
        <v>0</v>
      </c>
      <c r="W148" s="11">
        <f>+COUNTIFS('muddati otgan'!C:C,A148,'muddati otgan'!J:J,"ijrochi tanlash")</f>
        <v>0</v>
      </c>
      <c r="X148" s="11">
        <f>+COUNTIFS('muddati otgan'!C:C,A148,'muddati otgan'!J:J,"Ko'chmas mulk turini tanlash")</f>
        <v>0</v>
      </c>
      <c r="Y148" s="11">
        <f t="shared" si="24"/>
        <v>0</v>
      </c>
      <c r="Z148" s="11">
        <f>+COUNTIFS('muddati otgan'!C:C,A148,'muddati otgan'!J:J,"Ijroga qabul qilish")</f>
        <v>0</v>
      </c>
      <c r="AA148" s="11">
        <f>+COUNTIFS('muddati otgan'!C:C,A148,'muddati otgan'!J:J,"Joyida o'rganish va ma'lumotlarni kiritish")</f>
        <v>0</v>
      </c>
      <c r="AB148" s="11">
        <f>+COUNTIFS('muddati otgan'!C:C,A148,'muddati otgan'!J:J,"Asosiy qismdan ajratish jarayonida")</f>
        <v>0</v>
      </c>
      <c r="AC148" s="11">
        <f>+COUNTIFS('muddati otgan'!C:C,A148,'muddati otgan'!J:J,"Umumiy foydalanishdagi obyekt yaratilish")</f>
        <v>0</v>
      </c>
      <c r="AD148" s="11">
        <f>+COUNTIFS('muddati otgan'!C:C,A148,'muddati otgan'!J:J,"Migratsiya qilinadigan kadastr raqamini kiritish")</f>
        <v>0</v>
      </c>
      <c r="AE148" s="11">
        <f>+COUNTIFS('muddati otgan'!C:C,A148,'muddati otgan'!J:J,"O'zida qolgan obyektni yaratish")</f>
        <v>0</v>
      </c>
      <c r="AF148" s="11">
        <f>+COUNTIFS('muddati otgan'!C:C,A148,'muddati otgan'!J:J,"O'lchov natijalarini kiritish")</f>
        <v>0</v>
      </c>
      <c r="AG148" s="11">
        <f>+COUNTIFS('muddati otgan'!C:C,A148,'muddati otgan'!J:J,"Topoxaritani tayyorlash (dwg, pdf)")</f>
        <v>0</v>
      </c>
      <c r="AH148" s="11">
        <f t="shared" si="25"/>
        <v>0</v>
      </c>
      <c r="AI148" s="11">
        <f>+COUNTIFS('muddati otgan'!C:C,A148,'muddati otgan'!J:J,"Yer uchastkasini yaratish")</f>
        <v>0</v>
      </c>
      <c r="AJ148" s="11">
        <f t="shared" si="26"/>
        <v>0</v>
      </c>
      <c r="AK148" s="11">
        <f>+COUNTIFS('muddati otgan'!C:C,A148,'muddati otgan'!J:J,"Kelishish (Boshqarma)")</f>
        <v>0</v>
      </c>
      <c r="AL148" s="11">
        <f t="shared" si="27"/>
        <v>0</v>
      </c>
      <c r="AM148" s="11">
        <f>+COUNTIFS('muddati otgan'!C:C,A148,'muddati otgan'!J:J,"Kelishish (DKP)")</f>
        <v>0</v>
      </c>
      <c r="AN148" s="11">
        <f>+COUNTIFS('muddati otgan'!C:C,A148,'muddati otgan'!J:J,"Kelishish")</f>
        <v>0</v>
      </c>
      <c r="AO148" s="11">
        <f>+COUNTIFS('muddati otgan'!C:C,A148,'muddati otgan'!J:J,"Kelishish (Registratsiya DKP)")</f>
        <v>0</v>
      </c>
      <c r="AP148" s="11">
        <f t="shared" si="28"/>
        <v>0</v>
      </c>
      <c r="AQ148" s="11">
        <f>+COUNTIFS('muddati otgan'!C:C,A148,'muddati otgan'!J:J,"Manzil biriktirish")</f>
        <v>0</v>
      </c>
      <c r="AR148" s="11">
        <f>+COUNTIFS('muddati otgan'!C:C,A148,'muddati otgan'!J:J,"Bino va inshootlarni yaratish")</f>
        <v>0</v>
      </c>
      <c r="AS148" s="11">
        <f>+COUNTIFS('muddati otgan'!C:C,A148,'muddati otgan'!J:J,"Dov daraxtlarni yaratish")</f>
        <v>0</v>
      </c>
      <c r="AT148" s="11">
        <f>+COUNTIFS('muddati otgan'!C:C,A148,'muddati otgan'!J:J,"Yer uchastkasini tahrirlash")</f>
        <v>0</v>
      </c>
      <c r="AU148" s="11">
        <f t="shared" si="29"/>
        <v>0</v>
      </c>
      <c r="AV148" s="11">
        <f>+COUNTIFS('muddati otgan'!C:C,A148,'muddati otgan'!J:J,"Yer toifasi va maqsadini kiritish")</f>
        <v>0</v>
      </c>
      <c r="AW148" s="11">
        <f>+COUNTIFS('muddati otgan'!C:C,A148,'muddati otgan'!J:J,"Auksion yer tekshirish")</f>
        <v>0</v>
      </c>
      <c r="AX148" s="11">
        <f>+COUNTIFS('muddati otgan'!C:C,A148,'muddati otgan'!J:J,"Yer turlarini kiritish")</f>
        <v>0</v>
      </c>
      <c r="AY148" s="11">
        <f>+COUNTIFS('muddati otgan'!C:C,A148,'muddati otgan'!J:J,"Ma'lumotlarni kiritish")</f>
        <v>0</v>
      </c>
      <c r="AZ148" s="11">
        <f>+COUNTIFS('muddati otgan'!C:C,A148,'muddati otgan'!J:J,"Yer tekshirish")</f>
        <v>0</v>
      </c>
      <c r="BA148" s="11">
        <f t="shared" si="30"/>
        <v>0</v>
      </c>
      <c r="BB148" s="11">
        <f>+COUNTIFS('muddati otgan'!C:C,A148,'muddati otgan'!J:J,"Bino va inshoot ma'lumotlarini to‘ldirish")</f>
        <v>0</v>
      </c>
      <c r="BC148" s="11">
        <f>+COUNTIFS('muddati otgan'!C:C,A148,'muddati otgan'!J:J,"Inventarizatsiya ma'lumotlarini to‘ldirish")</f>
        <v>0</v>
      </c>
      <c r="BD148" s="11">
        <f>+COUNTIFS('muddati otgan'!C:C,A148,'muddati otgan'!J:J,"Yer uchastkasiga huquqiy hujjatlarni kiritsh")</f>
        <v>0</v>
      </c>
      <c r="BE148" s="11">
        <f>+COUNTIFS('muddati otgan'!C:C,A148,'muddati otgan'!J:J,"Bino-inshootlarga huquqiy hujjatlarni kiritsh")</f>
        <v>0</v>
      </c>
      <c r="BF148" s="11">
        <f>+COUNTIFS('muddati otgan'!C:C,A148,'muddati otgan'!J:J,"Kadastr qiymatini hisoblash va kiritish")</f>
        <v>0</v>
      </c>
      <c r="BG148" s="11">
        <f>+COUNTIFS('muddati otgan'!C:C,A148,'muddati otgan'!J:J,"Kadastr raqam biriktirish")</f>
        <v>0</v>
      </c>
      <c r="BH148" s="11">
        <f>+COUNTIFS('muddati otgan'!C:C,A148,'muddati otgan'!J:J,"Kadastr yig'ma jildni tayyorlash")</f>
        <v>0</v>
      </c>
      <c r="BI148" s="11">
        <f>+COUNTIFS('muddati otgan'!C:C,A148,'muddati otgan'!J:J,"Huquqni yaratish")</f>
        <v>0</v>
      </c>
      <c r="BJ148" s="11">
        <f>+COUNTIFS('muddati otgan'!C:C,A148,'muddati otgan'!J:J,"Hujjatlarni o'rganish")</f>
        <v>0</v>
      </c>
      <c r="BK148" s="11">
        <f>+COUNTIFS('muddati otgan'!C:C,A148,'muddati otgan'!J:J,"Ma'lumotlarni tekshirish")</f>
        <v>0</v>
      </c>
      <c r="BL148" s="11">
        <f t="shared" si="31"/>
        <v>0</v>
      </c>
      <c r="BM148" s="11">
        <f>+COUNTIFS('muddati otgan'!C:C,A148,'muddati otgan'!J:J,"Tekshirish")</f>
        <v>0</v>
      </c>
      <c r="BN148" s="11">
        <f>+COUNTIFS('muddati otgan'!C:C,A148,'muddati otgan'!J:J,"Hujjatlarni tekshirish")</f>
        <v>0</v>
      </c>
      <c r="BO148" s="11">
        <f>+COUNTIFS('muddati otgan'!C:C,A148,'muddati otgan'!J:J,"Tasdiqlash")</f>
        <v>0</v>
      </c>
      <c r="BP148" s="11">
        <f>+COUNTIFS('muddati otgan'!C:C,A148,'muddati otgan'!J:J,"tekshirish/tasdiqlash")</f>
        <v>0</v>
      </c>
      <c r="BQ148" s="11">
        <f>+COUNTIFS('muddati otgan'!C:C,A148,'muddati otgan'!J:J,"Ma'lumotlarni tasdiqlash")</f>
        <v>0</v>
      </c>
      <c r="BR148" s="11">
        <f t="shared" si="32"/>
        <v>0</v>
      </c>
      <c r="BS148" s="11">
        <f>+COUNTIFS('muddati otgan'!C:C,A148,'muddati otgan'!J:J,"Ro'yxatdan o'tkazish ma'lumotlarini tekshirish")</f>
        <v>0</v>
      </c>
      <c r="BT148" s="11">
        <f>+COUNTIFS('muddati otgan'!C:C,A148,'muddati otgan'!J:J,"Kamchiliklar bo'yicha habarnoma yuborish va 3 kunga to'xtatish")</f>
        <v>0</v>
      </c>
      <c r="BU148" s="11">
        <f>+COUNTIFS('muddati otgan'!C:C,A148,'muddati otgan'!J:J,"Hisobga olish")</f>
        <v>0</v>
      </c>
      <c r="BV148" s="11">
        <f>+COUNTIFS('muddati otgan'!C:C,A148,'muddati otgan'!J:J,"Yer uchastkasiga huquq yaratish")</f>
        <v>0</v>
      </c>
      <c r="BW148" s="11">
        <f>+COUNTIFS('muddati otgan'!C:C,A148,'muddati otgan'!J:J,"Bino-inshootga huquq yaratish")</f>
        <v>0</v>
      </c>
      <c r="BX148" s="11">
        <f>+COUNTIFS('muddati otgan'!C:C,A148,'muddati otgan'!J:J,"Cheklov yaratish")</f>
        <v>0</v>
      </c>
      <c r="BY148" s="11">
        <f>+COUNTIFS('muddati otgan'!C:C,A148,'muddati otgan'!J:J,"Taqiq yaratish")</f>
        <v>0</v>
      </c>
      <c r="BZ148" s="11">
        <f t="shared" si="33"/>
        <v>0</v>
      </c>
      <c r="CA148" s="11">
        <f>+COUNTIFS('muddati otgan'!C:C,A148,'muddati otgan'!J:J,"Soliq maydonini tekshirish")</f>
        <v>0</v>
      </c>
      <c r="CB148" s="11">
        <f t="shared" si="34"/>
        <v>0</v>
      </c>
      <c r="CC148" s="11">
        <f>+COUNTIFS('muddati otgan'!C:C,A148,'muddati otgan'!J:J,"Kadastr yig'majildini shakllantirish")</f>
        <v>0</v>
      </c>
      <c r="CD148" s="11">
        <f t="shared" si="35"/>
        <v>0</v>
      </c>
      <c r="CE148" s="11">
        <f>+COUNTIFS('muddati otgan'!C:C,A148,'muddati otgan'!J:J,"Kadastr passportini shakllantirish")</f>
        <v>0</v>
      </c>
      <c r="CF148" s="11">
        <f>+COUNTIFS('muddati otgan'!C:C,A148,'muddati otgan'!J:J,"Yig'ma jildni tasdiqlash")</f>
        <v>0</v>
      </c>
      <c r="CG148" s="11">
        <f>+COUNTIFS('muddati otgan'!C:C,A148,'muddati otgan'!J:J,"To'lov yoki bepul tasdiqlash")</f>
        <v>0</v>
      </c>
      <c r="CH148" s="11">
        <f>+COUNTIFS('muddati otgan'!C:C,A148,'muddati otgan'!J:J,"Bog'liq arizani kutish")</f>
        <v>0</v>
      </c>
      <c r="CI148" s="11">
        <f>+COUNTIFS('muddati otgan'!C:C,A148,'muddati otgan'!J:J,"To'lovga chiqarish")</f>
        <v>0</v>
      </c>
      <c r="CJ148" s="11">
        <f>+COUNTIFS('muddati otgan'!C:C,A148,'muddati otgan'!J:J,"Hisobga qo'yish")</f>
        <v>0</v>
      </c>
      <c r="CK148" s="6">
        <f>+COUNTIFS('muddati otgan'!C:C,A148,'muddati otgan'!J:J,"To'lov kutilmoqda")</f>
        <v>0</v>
      </c>
      <c r="CL148" s="11">
        <f t="shared" si="36"/>
        <v>0</v>
      </c>
      <c r="CM148" s="11">
        <f>+COUNTIFS('muddati otgan'!C:C,A148,'muddati otgan'!AA:AA,"Arizani qabul qilish2")</f>
        <v>0</v>
      </c>
      <c r="CN148" s="11">
        <f>+COUNTIFS('muddati otgan'!C:C,A148,'muddati otgan'!J:J,"Huquqlarni tekshirish")</f>
        <v>0</v>
      </c>
      <c r="CO148" s="11">
        <f>+COUNTIFS('muddati otgan'!C:C,A148,'muddati otgan'!J:J,"Ko'chmas mulkni ro'yhatdan o'tkazishga qabul qilish")</f>
        <v>0</v>
      </c>
      <c r="CP148" s="11">
        <f>+COUNTIFS('muddati otgan'!C:C,A148,'muddati otgan'!J:J,"Ro'yxatdan o'tkazish")</f>
        <v>0</v>
      </c>
      <c r="CQ148" s="11">
        <f>+COUNTIFS('muddati otgan'!C:C,A148,'muddati otgan'!J:J,"Kadastr pasporti va ko'chirmani yuborish")</f>
        <v>0</v>
      </c>
      <c r="CR148" s="11">
        <f>+COUNTIFS('muddati otgan'!C:C,A148,'muddati otgan'!AA:AA,"Rad qilish2")</f>
        <v>0</v>
      </c>
      <c r="CS148" s="11">
        <f>+COUNTIFS('muddati otgan'!C:C,A148,'muddati otgan'!J:J,"Ko'chirmani yuborish")</f>
        <v>0</v>
      </c>
      <c r="CT148" s="11">
        <f>+COUNTIFS('muddati otgan'!C:C,A148,'muddati otgan'!J:J,"Ma‘lumotlarni tekshirish")</f>
        <v>0</v>
      </c>
      <c r="CU148" s="11">
        <f t="shared" si="37"/>
        <v>0</v>
      </c>
      <c r="CV148" s="11">
        <f>+COUNTIFS('muddati otgan'!C:C,A148,'muddati otgan'!J:J,"Kadastr yig'majildini chop etish va arxiv ishiga tikish")</f>
        <v>0</v>
      </c>
      <c r="CW148" s="11">
        <f t="shared" si="38"/>
        <v>0</v>
      </c>
      <c r="CX148" s="11">
        <f>+COUNTIFS('muddati otgan'!C:C,A148,'muddati otgan'!J:J,"Kadastr yig‘majildini qabul qilish, arizani yakunlash")</f>
        <v>0</v>
      </c>
      <c r="CY148" s="11">
        <f>+COUNTIFS('muddati otgan'!C:C,A148,'muddati otgan'!J:J,"Next Cloudga yuklash")</f>
        <v>0</v>
      </c>
      <c r="CZ148" s="6">
        <f>+COUNTIFS('muddati otgan'!C:C,A148,'muddati otgan'!J:J,"Kelishish kutilmoqda")</f>
        <v>0</v>
      </c>
      <c r="DA148" s="6">
        <f>+COUNTIFS('muddati otgan'!C:C,A148,'muddati otgan'!J:J,"Yakunlandi")</f>
        <v>0</v>
      </c>
      <c r="DB148" s="10">
        <f>+COUNTIFS('muddati otgan'!C:C,A148,'muddati otgan'!J:J,"Rad etildi")</f>
        <v>0</v>
      </c>
      <c r="DC148" s="100">
        <f t="shared" si="5"/>
        <v>0</v>
      </c>
      <c r="DD148" s="44">
        <f>COUNTIFS('jami 1-20 kunlik arizalar'!C:C,A:A,'jami 1-20 kunlik arizalar'!S:S,"1")</f>
        <v>0</v>
      </c>
      <c r="DE148" s="11">
        <f>COUNTIFS('jami 1-20 kunlik arizalar'!C:C,A:A,'jami 1-20 kunlik arizalar'!S:S,"2")</f>
        <v>0</v>
      </c>
      <c r="DF148" s="11">
        <f>COUNTIFS('jami 1-20 kunlik arizalar'!C:C,A:A,'jami 1-20 kunlik arizalar'!S:S,"3")</f>
        <v>0</v>
      </c>
      <c r="DG148" s="11">
        <f>COUNTIFS('jami 1-20 kunlik arizalar'!C:C,A:A,'jami 1-20 kunlik arizalar'!S:S,"4")</f>
        <v>0</v>
      </c>
      <c r="DH148" s="11">
        <f>COUNTIFS('jami 1-20 kunlik arizalar'!C:C,A:A,'jami 1-20 kunlik arizalar'!S:S,"5")</f>
        <v>5</v>
      </c>
      <c r="DI148" s="11">
        <f>SUM(COUNTIFS('jami 1-20 kunlik arizalar'!C:C,A:A, 'jami 1-20 kunlik arizalar'!S:S, {6,7,8,9,10}))</f>
        <v>3</v>
      </c>
      <c r="DJ148" s="12">
        <f>SUM(COUNTIFS('jami 1-20 kunlik arizalar'!C:C,A:A, 'jami 1-20 kunlik arizalar'!S:S, "&gt;10"))</f>
        <v>3</v>
      </c>
    </row>
    <row r="149" spans="1:114" ht="32.1" hidden="1" customHeight="1" outlineLevel="1" x14ac:dyDescent="0.25">
      <c r="A149" s="92" t="s">
        <v>693</v>
      </c>
      <c r="B149" s="74"/>
      <c r="C149" s="85" t="s">
        <v>849</v>
      </c>
      <c r="D149" s="80">
        <f>+COUNTIFS('muddati otgan'!C:C,A149,'muddati otgan'!C:C,A149)</f>
        <v>0</v>
      </c>
      <c r="E149" s="10">
        <f>SUMIFS('muddati otgan'!$V:V,'muddati otgan'!$C:C,$A:A)</f>
        <v>0</v>
      </c>
      <c r="F149" s="10">
        <f>SUMIFS('muddati otgan'!$W:W,'muddati otgan'!$C:C,$A:A)</f>
        <v>0</v>
      </c>
      <c r="G149" s="24">
        <f>SUMIFS('muddati otgan'!$U:U,'muddati otgan'!$C:C,$A:A)</f>
        <v>0</v>
      </c>
      <c r="H149" s="11">
        <f>SUMIFS('muddati otgan'!$G:G,'muddati otgan'!$C:C,$A:A)</f>
        <v>0</v>
      </c>
      <c r="I149" s="12">
        <f>SUMIFS('muddati otgan'!$H:H,'muddati otgan'!$C:C,$A:A)</f>
        <v>0</v>
      </c>
      <c r="J149" s="44">
        <f t="shared" si="23"/>
        <v>0</v>
      </c>
      <c r="K149" s="11">
        <f>+COUNTIFS('muddati otgan'!C:C,A149,'muddati otgan'!AA:AA,"Arizani qabul qilish")</f>
        <v>0</v>
      </c>
      <c r="L149" s="11">
        <f>+COUNTIFS('muddati otgan'!C:C,A149,'muddati otgan'!J:J,"Arizani rad etish")</f>
        <v>0</v>
      </c>
      <c r="M149" s="11">
        <f>+COUNTIFS('muddati otgan'!C:C,A149,'muddati otgan'!J:J,"Arizani tasdiqlash")</f>
        <v>0</v>
      </c>
      <c r="N149" s="11">
        <f>+COUNTIFS('muddati otgan'!C:C,A149,'muddati otgan'!J:J,"Arizani yo'naltirish")</f>
        <v>0</v>
      </c>
      <c r="O149" s="11">
        <f>+COUNTIFS('muddati otgan'!C:C,A149,'muddati otgan'!J:J,"Rad qilish sababini o'rganish")</f>
        <v>0</v>
      </c>
      <c r="P149" s="11">
        <f>+COUNTIFS('muddati otgan'!C:C,A149,'muddati otgan'!J:J,"Ko'chmas mulkni UZKAD ga migratsiya qilish")</f>
        <v>0</v>
      </c>
      <c r="Q149" s="11">
        <f>+COUNTIFS('muddati otgan'!C:C,A149,'muddati otgan'!J:J,"Migratisya qilingan obyekt holatini tekshirish")</f>
        <v>0</v>
      </c>
      <c r="R149" s="11">
        <f>+COUNTIFS('muddati otgan'!C:C,A149,'muddati otgan'!J:J,"Ko‘chmas mulkni tanlash")</f>
        <v>0</v>
      </c>
      <c r="S149" s="11">
        <f>+COUNTIFS('muddati otgan'!C:C,A149,'muddati otgan'!J:J,"Arizani ko'rib chiqish")</f>
        <v>0</v>
      </c>
      <c r="T149" s="11">
        <f>+COUNTIFS('muddati otgan'!C:C,A149,'muddati otgan'!J:J,"Kadastr muhandisini tanlash")</f>
        <v>0</v>
      </c>
      <c r="U149" s="11">
        <f>+COUNTIFS('muddati otgan'!C:C,A149,'muddati otgan'!J:J,"Ko'chmas mulk turini tanlahsh")</f>
        <v>0</v>
      </c>
      <c r="V149" s="11">
        <f>+COUNTIFS('muddati otgan'!C:C,A149,'muddati otgan'!AA:AA,"Rad qilish")</f>
        <v>0</v>
      </c>
      <c r="W149" s="11">
        <f>+COUNTIFS('muddati otgan'!C:C,A149,'muddati otgan'!J:J,"ijrochi tanlash")</f>
        <v>0</v>
      </c>
      <c r="X149" s="11">
        <f>+COUNTIFS('muddati otgan'!C:C,A149,'muddati otgan'!J:J,"Ko'chmas mulk turini tanlash")</f>
        <v>0</v>
      </c>
      <c r="Y149" s="11">
        <f t="shared" si="24"/>
        <v>0</v>
      </c>
      <c r="Z149" s="11">
        <f>+COUNTIFS('muddati otgan'!C:C,A149,'muddati otgan'!J:J,"Ijroga qabul qilish")</f>
        <v>0</v>
      </c>
      <c r="AA149" s="11">
        <f>+COUNTIFS('muddati otgan'!C:C,A149,'muddati otgan'!J:J,"Joyida o'rganish va ma'lumotlarni kiritish")</f>
        <v>0</v>
      </c>
      <c r="AB149" s="11">
        <f>+COUNTIFS('muddati otgan'!C:C,A149,'muddati otgan'!J:J,"Asosiy qismdan ajratish jarayonida")</f>
        <v>0</v>
      </c>
      <c r="AC149" s="11">
        <f>+COUNTIFS('muddati otgan'!C:C,A149,'muddati otgan'!J:J,"Umumiy foydalanishdagi obyekt yaratilish")</f>
        <v>0</v>
      </c>
      <c r="AD149" s="11">
        <f>+COUNTIFS('muddati otgan'!C:C,A149,'muddati otgan'!J:J,"Migratsiya qilinadigan kadastr raqamini kiritish")</f>
        <v>0</v>
      </c>
      <c r="AE149" s="11">
        <f>+COUNTIFS('muddati otgan'!C:C,A149,'muddati otgan'!J:J,"O'zida qolgan obyektni yaratish")</f>
        <v>0</v>
      </c>
      <c r="AF149" s="11">
        <f>+COUNTIFS('muddati otgan'!C:C,A149,'muddati otgan'!J:J,"O'lchov natijalarini kiritish")</f>
        <v>0</v>
      </c>
      <c r="AG149" s="11">
        <f>+COUNTIFS('muddati otgan'!C:C,A149,'muddati otgan'!J:J,"Topoxaritani tayyorlash (dwg, pdf)")</f>
        <v>0</v>
      </c>
      <c r="AH149" s="11">
        <f t="shared" si="25"/>
        <v>0</v>
      </c>
      <c r="AI149" s="11">
        <f>+COUNTIFS('muddati otgan'!C:C,A149,'muddati otgan'!J:J,"Yer uchastkasini yaratish")</f>
        <v>0</v>
      </c>
      <c r="AJ149" s="11">
        <f t="shared" si="26"/>
        <v>0</v>
      </c>
      <c r="AK149" s="11">
        <f>+COUNTIFS('muddati otgan'!C:C,A149,'muddati otgan'!J:J,"Kelishish (Boshqarma)")</f>
        <v>0</v>
      </c>
      <c r="AL149" s="11">
        <f t="shared" si="27"/>
        <v>0</v>
      </c>
      <c r="AM149" s="11">
        <f>+COUNTIFS('muddati otgan'!C:C,A149,'muddati otgan'!J:J,"Kelishish (DKP)")</f>
        <v>0</v>
      </c>
      <c r="AN149" s="11">
        <f>+COUNTIFS('muddati otgan'!C:C,A149,'muddati otgan'!J:J,"Kelishish")</f>
        <v>0</v>
      </c>
      <c r="AO149" s="11">
        <f>+COUNTIFS('muddati otgan'!C:C,A149,'muddati otgan'!J:J,"Kelishish (Registratsiya DKP)")</f>
        <v>0</v>
      </c>
      <c r="AP149" s="11">
        <f t="shared" si="28"/>
        <v>0</v>
      </c>
      <c r="AQ149" s="11">
        <f>+COUNTIFS('muddati otgan'!C:C,A149,'muddati otgan'!J:J,"Manzil biriktirish")</f>
        <v>0</v>
      </c>
      <c r="AR149" s="11">
        <f>+COUNTIFS('muddati otgan'!C:C,A149,'muddati otgan'!J:J,"Bino va inshootlarni yaratish")</f>
        <v>0</v>
      </c>
      <c r="AS149" s="11">
        <f>+COUNTIFS('muddati otgan'!C:C,A149,'muddati otgan'!J:J,"Dov daraxtlarni yaratish")</f>
        <v>0</v>
      </c>
      <c r="AT149" s="11">
        <f>+COUNTIFS('muddati otgan'!C:C,A149,'muddati otgan'!J:J,"Yer uchastkasini tahrirlash")</f>
        <v>0</v>
      </c>
      <c r="AU149" s="11">
        <f t="shared" si="29"/>
        <v>0</v>
      </c>
      <c r="AV149" s="11">
        <f>+COUNTIFS('muddati otgan'!C:C,A149,'muddati otgan'!J:J,"Yer toifasi va maqsadini kiritish")</f>
        <v>0</v>
      </c>
      <c r="AW149" s="11">
        <f>+COUNTIFS('muddati otgan'!C:C,A149,'muddati otgan'!J:J,"Auksion yer tekshirish")</f>
        <v>0</v>
      </c>
      <c r="AX149" s="11">
        <f>+COUNTIFS('muddati otgan'!C:C,A149,'muddati otgan'!J:J,"Yer turlarini kiritish")</f>
        <v>0</v>
      </c>
      <c r="AY149" s="11">
        <f>+COUNTIFS('muddati otgan'!C:C,A149,'muddati otgan'!J:J,"Ma'lumotlarni kiritish")</f>
        <v>0</v>
      </c>
      <c r="AZ149" s="11">
        <f>+COUNTIFS('muddati otgan'!C:C,A149,'muddati otgan'!J:J,"Yer tekshirish")</f>
        <v>0</v>
      </c>
      <c r="BA149" s="11">
        <f t="shared" si="30"/>
        <v>0</v>
      </c>
      <c r="BB149" s="11">
        <f>+COUNTIFS('muddati otgan'!C:C,A149,'muddati otgan'!J:J,"Bino va inshoot ma'lumotlarini to‘ldirish")</f>
        <v>0</v>
      </c>
      <c r="BC149" s="11">
        <f>+COUNTIFS('muddati otgan'!C:C,A149,'muddati otgan'!J:J,"Inventarizatsiya ma'lumotlarini to‘ldirish")</f>
        <v>0</v>
      </c>
      <c r="BD149" s="11">
        <f>+COUNTIFS('muddati otgan'!C:C,A149,'muddati otgan'!J:J,"Yer uchastkasiga huquqiy hujjatlarni kiritsh")</f>
        <v>0</v>
      </c>
      <c r="BE149" s="11">
        <f>+COUNTIFS('muddati otgan'!C:C,A149,'muddati otgan'!J:J,"Bino-inshootlarga huquqiy hujjatlarni kiritsh")</f>
        <v>0</v>
      </c>
      <c r="BF149" s="11">
        <f>+COUNTIFS('muddati otgan'!C:C,A149,'muddati otgan'!J:J,"Kadastr qiymatini hisoblash va kiritish")</f>
        <v>0</v>
      </c>
      <c r="BG149" s="11">
        <f>+COUNTIFS('muddati otgan'!C:C,A149,'muddati otgan'!J:J,"Kadastr raqam biriktirish")</f>
        <v>0</v>
      </c>
      <c r="BH149" s="11">
        <f>+COUNTIFS('muddati otgan'!C:C,A149,'muddati otgan'!J:J,"Kadastr yig'ma jildni tayyorlash")</f>
        <v>0</v>
      </c>
      <c r="BI149" s="11">
        <f>+COUNTIFS('muddati otgan'!C:C,A149,'muddati otgan'!J:J,"Huquqni yaratish")</f>
        <v>0</v>
      </c>
      <c r="BJ149" s="11">
        <f>+COUNTIFS('muddati otgan'!C:C,A149,'muddati otgan'!J:J,"Hujjatlarni o'rganish")</f>
        <v>0</v>
      </c>
      <c r="BK149" s="11">
        <f>+COUNTIFS('muddati otgan'!C:C,A149,'muddati otgan'!J:J,"Ma'lumotlarni tekshirish")</f>
        <v>0</v>
      </c>
      <c r="BL149" s="11">
        <f t="shared" si="31"/>
        <v>0</v>
      </c>
      <c r="BM149" s="11">
        <f>+COUNTIFS('muddati otgan'!C:C,A149,'muddati otgan'!J:J,"Tekshirish")</f>
        <v>0</v>
      </c>
      <c r="BN149" s="11">
        <f>+COUNTIFS('muddati otgan'!C:C,A149,'muddati otgan'!J:J,"Hujjatlarni tekshirish")</f>
        <v>0</v>
      </c>
      <c r="BO149" s="11">
        <f>+COUNTIFS('muddati otgan'!C:C,A149,'muddati otgan'!J:J,"Tasdiqlash")</f>
        <v>0</v>
      </c>
      <c r="BP149" s="11">
        <f>+COUNTIFS('muddati otgan'!C:C,A149,'muddati otgan'!J:J,"tekshirish/tasdiqlash")</f>
        <v>0</v>
      </c>
      <c r="BQ149" s="11">
        <f>+COUNTIFS('muddati otgan'!C:C,A149,'muddati otgan'!J:J,"Ma'lumotlarni tasdiqlash")</f>
        <v>0</v>
      </c>
      <c r="BR149" s="11">
        <f t="shared" si="32"/>
        <v>0</v>
      </c>
      <c r="BS149" s="11">
        <f>+COUNTIFS('muddati otgan'!C:C,A149,'muddati otgan'!J:J,"Ro'yxatdan o'tkazish ma'lumotlarini tekshirish")</f>
        <v>0</v>
      </c>
      <c r="BT149" s="11">
        <f>+COUNTIFS('muddati otgan'!C:C,A149,'muddati otgan'!J:J,"Kamchiliklar bo'yicha habarnoma yuborish va 3 kunga to'xtatish")</f>
        <v>0</v>
      </c>
      <c r="BU149" s="11">
        <f>+COUNTIFS('muddati otgan'!C:C,A149,'muddati otgan'!J:J,"Hisobga olish")</f>
        <v>0</v>
      </c>
      <c r="BV149" s="11">
        <f>+COUNTIFS('muddati otgan'!C:C,A149,'muddati otgan'!J:J,"Yer uchastkasiga huquq yaratish")</f>
        <v>0</v>
      </c>
      <c r="BW149" s="11">
        <f>+COUNTIFS('muddati otgan'!C:C,A149,'muddati otgan'!J:J,"Bino-inshootga huquq yaratish")</f>
        <v>0</v>
      </c>
      <c r="BX149" s="11">
        <f>+COUNTIFS('muddati otgan'!C:C,A149,'muddati otgan'!J:J,"Cheklov yaratish")</f>
        <v>0</v>
      </c>
      <c r="BY149" s="11">
        <f>+COUNTIFS('muddati otgan'!C:C,A149,'muddati otgan'!J:J,"Taqiq yaratish")</f>
        <v>0</v>
      </c>
      <c r="BZ149" s="11">
        <f t="shared" si="33"/>
        <v>0</v>
      </c>
      <c r="CA149" s="11">
        <f>+COUNTIFS('muddati otgan'!C:C,A149,'muddati otgan'!J:J,"Soliq maydonini tekshirish")</f>
        <v>0</v>
      </c>
      <c r="CB149" s="11">
        <f t="shared" si="34"/>
        <v>0</v>
      </c>
      <c r="CC149" s="11">
        <f>+COUNTIFS('muddati otgan'!C:C,A149,'muddati otgan'!J:J,"Kadastr yig'majildini shakllantirish")</f>
        <v>0</v>
      </c>
      <c r="CD149" s="11">
        <f t="shared" si="35"/>
        <v>0</v>
      </c>
      <c r="CE149" s="11">
        <f>+COUNTIFS('muddati otgan'!C:C,A149,'muddati otgan'!J:J,"Kadastr passportini shakllantirish")</f>
        <v>0</v>
      </c>
      <c r="CF149" s="11">
        <f>+COUNTIFS('muddati otgan'!C:C,A149,'muddati otgan'!J:J,"Yig'ma jildni tasdiqlash")</f>
        <v>0</v>
      </c>
      <c r="CG149" s="11">
        <f>+COUNTIFS('muddati otgan'!C:C,A149,'muddati otgan'!J:J,"To'lov yoki bepul tasdiqlash")</f>
        <v>0</v>
      </c>
      <c r="CH149" s="11">
        <f>+COUNTIFS('muddati otgan'!C:C,A149,'muddati otgan'!J:J,"Bog'liq arizani kutish")</f>
        <v>0</v>
      </c>
      <c r="CI149" s="11">
        <f>+COUNTIFS('muddati otgan'!C:C,A149,'muddati otgan'!J:J,"To'lovga chiqarish")</f>
        <v>0</v>
      </c>
      <c r="CJ149" s="11">
        <f>+COUNTIFS('muddati otgan'!C:C,A149,'muddati otgan'!J:J,"Hisobga qo'yish")</f>
        <v>0</v>
      </c>
      <c r="CK149" s="6">
        <f>+COUNTIFS('muddati otgan'!C:C,A149,'muddati otgan'!J:J,"To'lov kutilmoqda")</f>
        <v>0</v>
      </c>
      <c r="CL149" s="11">
        <f t="shared" si="36"/>
        <v>0</v>
      </c>
      <c r="CM149" s="11">
        <f>+COUNTIFS('muddati otgan'!C:C,A149,'muddati otgan'!AA:AA,"Arizani qabul qilish2")</f>
        <v>0</v>
      </c>
      <c r="CN149" s="11">
        <f>+COUNTIFS('muddati otgan'!C:C,A149,'muddati otgan'!J:J,"Huquqlarni tekshirish")</f>
        <v>0</v>
      </c>
      <c r="CO149" s="11">
        <f>+COUNTIFS('muddati otgan'!C:C,A149,'muddati otgan'!J:J,"Ko'chmas mulkni ro'yhatdan o'tkazishga qabul qilish")</f>
        <v>0</v>
      </c>
      <c r="CP149" s="11">
        <f>+COUNTIFS('muddati otgan'!C:C,A149,'muddati otgan'!J:J,"Ro'yxatdan o'tkazish")</f>
        <v>0</v>
      </c>
      <c r="CQ149" s="11">
        <f>+COUNTIFS('muddati otgan'!C:C,A149,'muddati otgan'!J:J,"Kadastr pasporti va ko'chirmani yuborish")</f>
        <v>0</v>
      </c>
      <c r="CR149" s="11">
        <f>+COUNTIFS('muddati otgan'!C:C,A149,'muddati otgan'!AA:AA,"Rad qilish2")</f>
        <v>0</v>
      </c>
      <c r="CS149" s="11">
        <f>+COUNTIFS('muddati otgan'!C:C,A149,'muddati otgan'!J:J,"Ko'chirmani yuborish")</f>
        <v>0</v>
      </c>
      <c r="CT149" s="11">
        <f>+COUNTIFS('muddati otgan'!C:C,A149,'muddati otgan'!J:J,"Ma‘lumotlarni tekshirish")</f>
        <v>0</v>
      </c>
      <c r="CU149" s="11">
        <f t="shared" si="37"/>
        <v>0</v>
      </c>
      <c r="CV149" s="11">
        <f>+COUNTIFS('muddati otgan'!C:C,A149,'muddati otgan'!J:J,"Kadastr yig'majildini chop etish va arxiv ishiga tikish")</f>
        <v>0</v>
      </c>
      <c r="CW149" s="11">
        <f t="shared" si="38"/>
        <v>0</v>
      </c>
      <c r="CX149" s="11">
        <f>+COUNTIFS('muddati otgan'!C:C,A149,'muddati otgan'!J:J,"Kadastr yig‘majildini qabul qilish, arizani yakunlash")</f>
        <v>0</v>
      </c>
      <c r="CY149" s="11">
        <f>+COUNTIFS('muddati otgan'!C:C,A149,'muddati otgan'!J:J,"Next Cloudga yuklash")</f>
        <v>0</v>
      </c>
      <c r="CZ149" s="6">
        <f>+COUNTIFS('muddati otgan'!C:C,A149,'muddati otgan'!J:J,"Kelishish kutilmoqda")</f>
        <v>0</v>
      </c>
      <c r="DA149" s="6">
        <f>+COUNTIFS('muddati otgan'!C:C,A149,'muddati otgan'!J:J,"Yakunlandi")</f>
        <v>0</v>
      </c>
      <c r="DB149" s="10">
        <f>+COUNTIFS('muddati otgan'!C:C,A149,'muddati otgan'!J:J,"Rad etildi")</f>
        <v>0</v>
      </c>
      <c r="DC149" s="100">
        <f t="shared" si="5"/>
        <v>0</v>
      </c>
      <c r="DD149" s="44">
        <f>COUNTIFS('jami 1-20 kunlik arizalar'!C:C,A:A,'jami 1-20 kunlik arizalar'!S:S,"1")</f>
        <v>0</v>
      </c>
      <c r="DE149" s="11">
        <f>COUNTIFS('jami 1-20 kunlik arizalar'!C:C,A:A,'jami 1-20 kunlik arizalar'!S:S,"2")</f>
        <v>0</v>
      </c>
      <c r="DF149" s="11">
        <f>COUNTIFS('jami 1-20 kunlik arizalar'!C:C,A:A,'jami 1-20 kunlik arizalar'!S:S,"3")</f>
        <v>0</v>
      </c>
      <c r="DG149" s="11">
        <f>COUNTIFS('jami 1-20 kunlik arizalar'!C:C,A:A,'jami 1-20 kunlik arizalar'!S:S,"4")</f>
        <v>0</v>
      </c>
      <c r="DH149" s="11">
        <f>COUNTIFS('jami 1-20 kunlik arizalar'!C:C,A:A,'jami 1-20 kunlik arizalar'!S:S,"5")</f>
        <v>0</v>
      </c>
      <c r="DI149" s="11">
        <f>SUM(COUNTIFS('jami 1-20 kunlik arizalar'!C:C,A:A, 'jami 1-20 kunlik arizalar'!S:S, {6,7,8,9,10}))</f>
        <v>0</v>
      </c>
      <c r="DJ149" s="12">
        <f>SUM(COUNTIFS('jami 1-20 kunlik arizalar'!C:C,A:A, 'jami 1-20 kunlik arizalar'!S:S, "&gt;10"))</f>
        <v>0</v>
      </c>
    </row>
    <row r="150" spans="1:114" ht="32.1" hidden="1" customHeight="1" outlineLevel="1" x14ac:dyDescent="0.25">
      <c r="A150" s="92">
        <v>30603862130011</v>
      </c>
      <c r="B150" s="74"/>
      <c r="C150" s="85" t="s">
        <v>951</v>
      </c>
      <c r="D150" s="80">
        <f>+COUNTIFS('muddati otgan'!C:C,A150,'muddati otgan'!C:C,A150)</f>
        <v>2</v>
      </c>
      <c r="E150" s="10">
        <f>SUMIFS('muddati otgan'!$V:V,'muddati otgan'!$C:C,$A:A)</f>
        <v>0</v>
      </c>
      <c r="F150" s="10">
        <f>SUMIFS('muddati otgan'!$W:W,'muddati otgan'!$C:C,$A:A)</f>
        <v>0</v>
      </c>
      <c r="G150" s="24">
        <f>SUMIFS('muddati otgan'!$U:U,'muddati otgan'!$C:C,$A:A)</f>
        <v>2</v>
      </c>
      <c r="H150" s="11">
        <f>SUMIFS('muddati otgan'!$G:G,'muddati otgan'!$C:C,$A:A)</f>
        <v>2</v>
      </c>
      <c r="I150" s="12">
        <f>SUMIFS('muddati otgan'!$H:H,'muddati otgan'!$C:C,$A:A)</f>
        <v>0</v>
      </c>
      <c r="J150" s="44">
        <f t="shared" ref="J150" si="273">K150+P150+Q150+R150+S150+T150+U150+V150+W150+L150+O150+M150+N150+X150</f>
        <v>0</v>
      </c>
      <c r="K150" s="11">
        <f>+COUNTIFS('muddati otgan'!C:C,A150,'muddati otgan'!AA:AA,"Arizani qabul qilish")</f>
        <v>0</v>
      </c>
      <c r="L150" s="11">
        <f>+COUNTIFS('muddati otgan'!C:C,A150,'muddati otgan'!J:J,"Arizani rad etish")</f>
        <v>0</v>
      </c>
      <c r="M150" s="11">
        <f>+COUNTIFS('muddati otgan'!C:C,A150,'muddati otgan'!J:J,"Arizani tasdiqlash")</f>
        <v>0</v>
      </c>
      <c r="N150" s="11">
        <f>+COUNTIFS('muddati otgan'!C:C,A150,'muddati otgan'!J:J,"Arizani yo'naltirish")</f>
        <v>0</v>
      </c>
      <c r="O150" s="11">
        <f>+COUNTIFS('muddati otgan'!C:C,A150,'muddati otgan'!J:J,"Rad qilish sababini o'rganish")</f>
        <v>0</v>
      </c>
      <c r="P150" s="11">
        <f>+COUNTIFS('muddati otgan'!C:C,A150,'muddati otgan'!J:J,"Ko'chmas mulkni UZKAD ga migratsiya qilish")</f>
        <v>0</v>
      </c>
      <c r="Q150" s="11">
        <f>+COUNTIFS('muddati otgan'!C:C,A150,'muddati otgan'!J:J,"Migratisya qilingan obyekt holatini tekshirish")</f>
        <v>0</v>
      </c>
      <c r="R150" s="11">
        <f>+COUNTIFS('muddati otgan'!C:C,A150,'muddati otgan'!J:J,"Ko‘chmas mulkni tanlash")</f>
        <v>0</v>
      </c>
      <c r="S150" s="11">
        <f>+COUNTIFS('muddati otgan'!C:C,A150,'muddati otgan'!J:J,"Arizani ko'rib chiqish")</f>
        <v>0</v>
      </c>
      <c r="T150" s="11">
        <f>+COUNTIFS('muddati otgan'!C:C,A150,'muddati otgan'!J:J,"Kadastr muhandisini tanlash")</f>
        <v>0</v>
      </c>
      <c r="U150" s="11">
        <f>+COUNTIFS('muddati otgan'!C:C,A150,'muddati otgan'!J:J,"Ko'chmas mulk turini tanlahsh")</f>
        <v>0</v>
      </c>
      <c r="V150" s="11">
        <f>+COUNTIFS('muddati otgan'!C:C,A150,'muddati otgan'!AA:AA,"Rad qilish")</f>
        <v>0</v>
      </c>
      <c r="W150" s="11">
        <f>+COUNTIFS('muddati otgan'!C:C,A150,'muddati otgan'!J:J,"ijrochi tanlash")</f>
        <v>0</v>
      </c>
      <c r="X150" s="11">
        <f>+COUNTIFS('muddati otgan'!C:C,A150,'muddati otgan'!J:J,"Ko'chmas mulk turini tanlash")</f>
        <v>0</v>
      </c>
      <c r="Y150" s="11">
        <f t="shared" ref="Y150" si="274">Z150+AD150+AF150+AE150+AC150+AB150+AA150</f>
        <v>0</v>
      </c>
      <c r="Z150" s="11">
        <f>+COUNTIFS('muddati otgan'!C:C,A150,'muddati otgan'!J:J,"Ijroga qabul qilish")</f>
        <v>0</v>
      </c>
      <c r="AA150" s="11">
        <f>+COUNTIFS('muddati otgan'!C:C,A150,'muddati otgan'!J:J,"Joyida o'rganish va ma'lumotlarni kiritish")</f>
        <v>0</v>
      </c>
      <c r="AB150" s="11">
        <f>+COUNTIFS('muddati otgan'!C:C,A150,'muddati otgan'!J:J,"Asosiy qismdan ajratish jarayonida")</f>
        <v>0</v>
      </c>
      <c r="AC150" s="11">
        <f>+COUNTIFS('muddati otgan'!C:C,A150,'muddati otgan'!J:J,"Umumiy foydalanishdagi obyekt yaratilish")</f>
        <v>0</v>
      </c>
      <c r="AD150" s="11">
        <f>+COUNTIFS('muddati otgan'!C:C,A150,'muddati otgan'!J:J,"Migratsiya qilinadigan kadastr raqamini kiritish")</f>
        <v>0</v>
      </c>
      <c r="AE150" s="11">
        <f>+COUNTIFS('muddati otgan'!C:C,A150,'muddati otgan'!J:J,"O'zida qolgan obyektni yaratish")</f>
        <v>0</v>
      </c>
      <c r="AF150" s="11">
        <f>+COUNTIFS('muddati otgan'!C:C,A150,'muddati otgan'!J:J,"O'lchov natijalarini kiritish")</f>
        <v>0</v>
      </c>
      <c r="AG150" s="11">
        <f>+COUNTIFS('muddati otgan'!C:C,A150,'muddati otgan'!J:J,"Topoxaritani tayyorlash (dwg, pdf)")</f>
        <v>0</v>
      </c>
      <c r="AH150" s="11">
        <f t="shared" ref="AH150" si="275">AI150</f>
        <v>0</v>
      </c>
      <c r="AI150" s="11">
        <f>+COUNTIFS('muddati otgan'!C:C,A150,'muddati otgan'!J:J,"Yer uchastkasini yaratish")</f>
        <v>0</v>
      </c>
      <c r="AJ150" s="11">
        <f t="shared" ref="AJ150" si="276">AK150</f>
        <v>0</v>
      </c>
      <c r="AK150" s="11">
        <f>+COUNTIFS('muddati otgan'!C:C,A150,'muddati otgan'!J:J,"Kelishish (Boshqarma)")</f>
        <v>0</v>
      </c>
      <c r="AL150" s="11">
        <f t="shared" ref="AL150" si="277">AM150+AN150+AO150</f>
        <v>0</v>
      </c>
      <c r="AM150" s="11">
        <f>+COUNTIFS('muddati otgan'!C:C,A150,'muddati otgan'!J:J,"Kelishish (DKP)")</f>
        <v>0</v>
      </c>
      <c r="AN150" s="11">
        <f>+COUNTIFS('muddati otgan'!C:C,A150,'muddati otgan'!J:J,"Kelishish")</f>
        <v>0</v>
      </c>
      <c r="AO150" s="11">
        <f>+COUNTIFS('muddati otgan'!C:C,A150,'muddati otgan'!J:J,"Kelishish (Registratsiya DKP)")</f>
        <v>0</v>
      </c>
      <c r="AP150" s="11">
        <f t="shared" ref="AP150" si="278">AQ150+AR150+AS150+AT150</f>
        <v>0</v>
      </c>
      <c r="AQ150" s="11">
        <f>+COUNTIFS('muddati otgan'!C:C,A150,'muddati otgan'!J:J,"Manzil biriktirish")</f>
        <v>0</v>
      </c>
      <c r="AR150" s="11">
        <f>+COUNTIFS('muddati otgan'!C:C,A150,'muddati otgan'!J:J,"Bino va inshootlarni yaratish")</f>
        <v>0</v>
      </c>
      <c r="AS150" s="11">
        <f>+COUNTIFS('muddati otgan'!C:C,A150,'muddati otgan'!J:J,"Dov daraxtlarni yaratish")</f>
        <v>0</v>
      </c>
      <c r="AT150" s="11">
        <f>+COUNTIFS('muddati otgan'!C:C,A150,'muddati otgan'!J:J,"Yer uchastkasini tahrirlash")</f>
        <v>0</v>
      </c>
      <c r="AU150" s="11">
        <f t="shared" ref="AU150" si="279">AV150+AW150+AX150+AY150+AZ150</f>
        <v>0</v>
      </c>
      <c r="AV150" s="11">
        <f>+COUNTIFS('muddati otgan'!C:C,A150,'muddati otgan'!J:J,"Yer toifasi va maqsadini kiritish")</f>
        <v>0</v>
      </c>
      <c r="AW150" s="11">
        <f>+COUNTIFS('muddati otgan'!C:C,A150,'muddati otgan'!J:J,"Auksion yer tekshirish")</f>
        <v>0</v>
      </c>
      <c r="AX150" s="11">
        <f>+COUNTIFS('muddati otgan'!C:C,A150,'muddati otgan'!J:J,"Yer turlarini kiritish")</f>
        <v>0</v>
      </c>
      <c r="AY150" s="11">
        <f>+COUNTIFS('muddati otgan'!C:C,A150,'muddati otgan'!J:J,"Ma'lumotlarni kiritish")</f>
        <v>0</v>
      </c>
      <c r="AZ150" s="11">
        <f>+COUNTIFS('muddati otgan'!C:C,A150,'muddati otgan'!J:J,"Yer tekshirish")</f>
        <v>0</v>
      </c>
      <c r="BA150" s="11">
        <f t="shared" ref="BA150" si="280">BB150+BC150+BD150+BE150+BF150+BG150+BH150+BI150+BJ150+BK150</f>
        <v>0</v>
      </c>
      <c r="BB150" s="11">
        <f>+COUNTIFS('muddati otgan'!C:C,A150,'muddati otgan'!J:J,"Bino va inshoot ma'lumotlarini to‘ldirish")</f>
        <v>0</v>
      </c>
      <c r="BC150" s="11">
        <f>+COUNTIFS('muddati otgan'!C:C,A150,'muddati otgan'!J:J,"Inventarizatsiya ma'lumotlarini to‘ldirish")</f>
        <v>0</v>
      </c>
      <c r="BD150" s="11">
        <f>+COUNTIFS('muddati otgan'!C:C,A150,'muddati otgan'!J:J,"Yer uchastkasiga huquqiy hujjatlarni kiritsh")</f>
        <v>0</v>
      </c>
      <c r="BE150" s="11">
        <f>+COUNTIFS('muddati otgan'!C:C,A150,'muddati otgan'!J:J,"Bino-inshootlarga huquqiy hujjatlarni kiritsh")</f>
        <v>0</v>
      </c>
      <c r="BF150" s="11">
        <f>+COUNTIFS('muddati otgan'!C:C,A150,'muddati otgan'!J:J,"Kadastr qiymatini hisoblash va kiritish")</f>
        <v>0</v>
      </c>
      <c r="BG150" s="11">
        <f>+COUNTIFS('muddati otgan'!C:C,A150,'muddati otgan'!J:J,"Kadastr raqam biriktirish")</f>
        <v>0</v>
      </c>
      <c r="BH150" s="11">
        <f>+COUNTIFS('muddati otgan'!C:C,A150,'muddati otgan'!J:J,"Kadastr yig'ma jildni tayyorlash")</f>
        <v>0</v>
      </c>
      <c r="BI150" s="11">
        <f>+COUNTIFS('muddati otgan'!C:C,A150,'muddati otgan'!J:J,"Huquqni yaratish")</f>
        <v>0</v>
      </c>
      <c r="BJ150" s="11">
        <f>+COUNTIFS('muddati otgan'!C:C,A150,'muddati otgan'!J:J,"Hujjatlarni o'rganish")</f>
        <v>0</v>
      </c>
      <c r="BK150" s="11">
        <f>+COUNTIFS('muddati otgan'!C:C,A150,'muddati otgan'!J:J,"Ma'lumotlarni tekshirish")</f>
        <v>0</v>
      </c>
      <c r="BL150" s="11">
        <f t="shared" ref="BL150" si="281">BM150+BN150+BP150+BO150+BQ150</f>
        <v>0</v>
      </c>
      <c r="BM150" s="11">
        <f>+COUNTIFS('muddati otgan'!C:C,A150,'muddati otgan'!J:J,"Tekshirish")</f>
        <v>0</v>
      </c>
      <c r="BN150" s="11">
        <f>+COUNTIFS('muddati otgan'!C:C,A150,'muddati otgan'!J:J,"Hujjatlarni tekshirish")</f>
        <v>0</v>
      </c>
      <c r="BO150" s="11">
        <f>+COUNTIFS('muddati otgan'!C:C,A150,'muddati otgan'!J:J,"Tasdiqlash")</f>
        <v>0</v>
      </c>
      <c r="BP150" s="11">
        <f>+COUNTIFS('muddati otgan'!C:C,A150,'muddati otgan'!J:J,"tekshirish/tasdiqlash")</f>
        <v>0</v>
      </c>
      <c r="BQ150" s="11">
        <f>+COUNTIFS('muddati otgan'!C:C,A150,'muddati otgan'!J:J,"Ma'lumotlarni tasdiqlash")</f>
        <v>0</v>
      </c>
      <c r="BR150" s="11">
        <f t="shared" ref="BR150" si="282">BS150+BU150+BV150+BW150+BX150+BY150-BT150</f>
        <v>2</v>
      </c>
      <c r="BS150" s="11">
        <f>+COUNTIFS('muddati otgan'!C:C,A150,'muddati otgan'!J:J,"Ro'yxatdan o'tkazish ma'lumotlarini tekshirish")</f>
        <v>2</v>
      </c>
      <c r="BT150" s="11">
        <f>+COUNTIFS('muddati otgan'!C:C,A150,'muddati otgan'!J:J,"Kamchiliklar bo'yicha habarnoma yuborish va 3 kunga to'xtatish")</f>
        <v>0</v>
      </c>
      <c r="BU150" s="11">
        <f>+COUNTIFS('muddati otgan'!C:C,A150,'muddati otgan'!J:J,"Hisobga olish")</f>
        <v>0</v>
      </c>
      <c r="BV150" s="11">
        <f>+COUNTIFS('muddati otgan'!C:C,A150,'muddati otgan'!J:J,"Yer uchastkasiga huquq yaratish")</f>
        <v>0</v>
      </c>
      <c r="BW150" s="11">
        <f>+COUNTIFS('muddati otgan'!C:C,A150,'muddati otgan'!J:J,"Bino-inshootga huquq yaratish")</f>
        <v>0</v>
      </c>
      <c r="BX150" s="11">
        <f>+COUNTIFS('muddati otgan'!C:C,A150,'muddati otgan'!J:J,"Cheklov yaratish")</f>
        <v>0</v>
      </c>
      <c r="BY150" s="11">
        <f>+COUNTIFS('muddati otgan'!C:C,A150,'muddati otgan'!J:J,"Taqiq yaratish")</f>
        <v>0</v>
      </c>
      <c r="BZ150" s="11">
        <f t="shared" ref="BZ150" si="283">CA150</f>
        <v>0</v>
      </c>
      <c r="CA150" s="11">
        <f>+COUNTIFS('muddati otgan'!C:C,A150,'muddati otgan'!J:J,"Soliq maydonini tekshirish")</f>
        <v>0</v>
      </c>
      <c r="CB150" s="11">
        <f t="shared" ref="CB150" si="284">CC150</f>
        <v>0</v>
      </c>
      <c r="CC150" s="11">
        <f>+COUNTIFS('muddati otgan'!C:C,A150,'muddati otgan'!J:J,"Kadastr yig'majildini shakllantirish")</f>
        <v>0</v>
      </c>
      <c r="CD150" s="11">
        <f t="shared" ref="CD150" si="285">CE150+CF150+CG150+CI150+CJ150+CH150</f>
        <v>0</v>
      </c>
      <c r="CE150" s="11">
        <f>+COUNTIFS('muddati otgan'!C:C,A150,'muddati otgan'!J:J,"Kadastr passportini shakllantirish")</f>
        <v>0</v>
      </c>
      <c r="CF150" s="11">
        <f>+COUNTIFS('muddati otgan'!C:C,A150,'muddati otgan'!J:J,"Yig'ma jildni tasdiqlash")</f>
        <v>0</v>
      </c>
      <c r="CG150" s="11">
        <f>+COUNTIFS('muddati otgan'!C:C,A150,'muddati otgan'!J:J,"To'lov yoki bepul tasdiqlash")</f>
        <v>0</v>
      </c>
      <c r="CH150" s="11">
        <f>+COUNTIFS('muddati otgan'!C:C,A150,'muddati otgan'!J:J,"Bog'liq arizani kutish")</f>
        <v>0</v>
      </c>
      <c r="CI150" s="11">
        <f>+COUNTIFS('muddati otgan'!C:C,A150,'muddati otgan'!J:J,"To'lovga chiqarish")</f>
        <v>0</v>
      </c>
      <c r="CJ150" s="11">
        <f>+COUNTIFS('muddati otgan'!C:C,A150,'muddati otgan'!J:J,"Hisobga qo'yish")</f>
        <v>0</v>
      </c>
      <c r="CK150" s="6">
        <f>+COUNTIFS('muddati otgan'!C:C,A150,'muddati otgan'!J:J,"To'lov kutilmoqda")</f>
        <v>0</v>
      </c>
      <c r="CL150" s="11">
        <f t="shared" ref="CL150" si="286">CM150+CN150+CO150+CP150+CQ150+CR150+CS150+CT150</f>
        <v>0</v>
      </c>
      <c r="CM150" s="11">
        <f>+COUNTIFS('muddati otgan'!C:C,A150,'muddati otgan'!AA:AA,"Arizani qabul qilish2")</f>
        <v>0</v>
      </c>
      <c r="CN150" s="11">
        <f>+COUNTIFS('muddati otgan'!C:C,A150,'muddati otgan'!J:J,"Huquqlarni tekshirish")</f>
        <v>0</v>
      </c>
      <c r="CO150" s="11">
        <f>+COUNTIFS('muddati otgan'!C:C,A150,'muddati otgan'!J:J,"Ko'chmas mulkni ro'yhatdan o'tkazishga qabul qilish")</f>
        <v>0</v>
      </c>
      <c r="CP150" s="11">
        <f>+COUNTIFS('muddati otgan'!C:C,A150,'muddati otgan'!J:J,"Ro'yxatdan o'tkazish")</f>
        <v>0</v>
      </c>
      <c r="CQ150" s="11">
        <f>+COUNTIFS('muddati otgan'!C:C,A150,'muddati otgan'!J:J,"Kadastr pasporti va ko'chirmani yuborish")</f>
        <v>0</v>
      </c>
      <c r="CR150" s="11">
        <f>+COUNTIFS('muddati otgan'!C:C,A150,'muddati otgan'!AA:AA,"Rad qilish2")</f>
        <v>0</v>
      </c>
      <c r="CS150" s="11">
        <f>+COUNTIFS('muddati otgan'!C:C,A150,'muddati otgan'!J:J,"Ko'chirmani yuborish")</f>
        <v>0</v>
      </c>
      <c r="CT150" s="11">
        <f>+COUNTIFS('muddati otgan'!C:C,A150,'muddati otgan'!J:J,"Ma‘lumotlarni tekshirish")</f>
        <v>0</v>
      </c>
      <c r="CU150" s="11">
        <f t="shared" ref="CU150" si="287">CV150</f>
        <v>0</v>
      </c>
      <c r="CV150" s="11">
        <f>+COUNTIFS('muddati otgan'!C:C,A150,'muddati otgan'!J:J,"Kadastr yig'majildini chop etish va arxiv ishiga tikish")</f>
        <v>0</v>
      </c>
      <c r="CW150" s="11">
        <f t="shared" ref="CW150" si="288">CX150+CY150</f>
        <v>0</v>
      </c>
      <c r="CX150" s="11">
        <f>+COUNTIFS('muddati otgan'!C:C,A150,'muddati otgan'!J:J,"Kadastr yig‘majildini qabul qilish, arizani yakunlash")</f>
        <v>0</v>
      </c>
      <c r="CY150" s="11">
        <f>+COUNTIFS('muddati otgan'!C:C,A150,'muddati otgan'!J:J,"Next Cloudga yuklash")</f>
        <v>0</v>
      </c>
      <c r="CZ150" s="6">
        <f>+COUNTIFS('muddati otgan'!C:C,A150,'muddati otgan'!J:J,"Kelishish kutilmoqda")</f>
        <v>0</v>
      </c>
      <c r="DA150" s="6">
        <f>+COUNTIFS('muddati otgan'!C:C,A150,'muddati otgan'!J:J,"Yakunlandi")</f>
        <v>0</v>
      </c>
      <c r="DB150" s="10">
        <f>+COUNTIFS('muddati otgan'!C:C,A150,'muddati otgan'!J:J,"Rad etildi")</f>
        <v>0</v>
      </c>
      <c r="DC150" s="100">
        <f t="shared" ref="DC150" si="289">CK150+CZ150+DA150+DB150-D150</f>
        <v>-2</v>
      </c>
      <c r="DD150" s="44">
        <f>COUNTIFS('jami 1-20 kunlik arizalar'!C:C,A:A,'jami 1-20 kunlik arizalar'!S:S,"1")</f>
        <v>0</v>
      </c>
      <c r="DE150" s="11">
        <f>COUNTIFS('jami 1-20 kunlik arizalar'!C:C,A:A,'jami 1-20 kunlik arizalar'!S:S,"2")</f>
        <v>0</v>
      </c>
      <c r="DF150" s="11">
        <f>COUNTIFS('jami 1-20 kunlik arizalar'!C:C,A:A,'jami 1-20 kunlik arizalar'!S:S,"3")</f>
        <v>1</v>
      </c>
      <c r="DG150" s="11">
        <f>COUNTIFS('jami 1-20 kunlik arizalar'!C:C,A:A,'jami 1-20 kunlik arizalar'!S:S,"4")</f>
        <v>1</v>
      </c>
      <c r="DH150" s="11">
        <f>COUNTIFS('jami 1-20 kunlik arizalar'!C:C,A:A,'jami 1-20 kunlik arizalar'!S:S,"5")</f>
        <v>2</v>
      </c>
      <c r="DI150" s="11">
        <f>SUM(COUNTIFS('jami 1-20 kunlik arizalar'!C:C,A:A, 'jami 1-20 kunlik arizalar'!S:S, {6,7,8,9,10}))</f>
        <v>4</v>
      </c>
      <c r="DJ150" s="12">
        <f>SUM(COUNTIFS('jami 1-20 kunlik arizalar'!C:C,A:A, 'jami 1-20 kunlik arizalar'!S:S, "&gt;10"))</f>
        <v>11</v>
      </c>
    </row>
    <row r="151" spans="1:114" ht="32.1" hidden="1" customHeight="1" outlineLevel="1" x14ac:dyDescent="0.25">
      <c r="A151" s="92" t="s">
        <v>688</v>
      </c>
      <c r="B151" s="74"/>
      <c r="C151" s="85" t="s">
        <v>850</v>
      </c>
      <c r="D151" s="80">
        <f>+COUNTIFS('muddati otgan'!C:C,A151,'muddati otgan'!C:C,A151)</f>
        <v>2</v>
      </c>
      <c r="E151" s="10">
        <f>SUMIFS('muddati otgan'!$V:V,'muddati otgan'!$C:C,$A:A)</f>
        <v>0</v>
      </c>
      <c r="F151" s="10">
        <f>SUMIFS('muddati otgan'!$W:W,'muddati otgan'!$C:C,$A:A)</f>
        <v>0</v>
      </c>
      <c r="G151" s="24">
        <f>SUMIFS('muddati otgan'!$U:U,'muddati otgan'!$C:C,$A:A)</f>
        <v>2</v>
      </c>
      <c r="H151" s="11">
        <f>SUMIFS('muddati otgan'!$G:G,'muddati otgan'!$C:C,$A:A)</f>
        <v>2</v>
      </c>
      <c r="I151" s="12">
        <f>SUMIFS('muddati otgan'!$H:H,'muddati otgan'!$C:C,$A:A)</f>
        <v>0</v>
      </c>
      <c r="J151" s="44">
        <f t="shared" si="23"/>
        <v>0</v>
      </c>
      <c r="K151" s="11">
        <f>+COUNTIFS('muddati otgan'!C:C,A151,'muddati otgan'!AA:AA,"Arizani qabul qilish")</f>
        <v>0</v>
      </c>
      <c r="L151" s="11">
        <f>+COUNTIFS('muddati otgan'!C:C,A151,'muddati otgan'!J:J,"Arizani rad etish")</f>
        <v>0</v>
      </c>
      <c r="M151" s="11">
        <f>+COUNTIFS('muddati otgan'!C:C,A151,'muddati otgan'!J:J,"Arizani tasdiqlash")</f>
        <v>0</v>
      </c>
      <c r="N151" s="11">
        <f>+COUNTIFS('muddati otgan'!C:C,A151,'muddati otgan'!J:J,"Arizani yo'naltirish")</f>
        <v>0</v>
      </c>
      <c r="O151" s="11">
        <f>+COUNTIFS('muddati otgan'!C:C,A151,'muddati otgan'!J:J,"Rad qilish sababini o'rganish")</f>
        <v>0</v>
      </c>
      <c r="P151" s="11">
        <f>+COUNTIFS('muddati otgan'!C:C,A151,'muddati otgan'!J:J,"Ko'chmas mulkni UZKAD ga migratsiya qilish")</f>
        <v>0</v>
      </c>
      <c r="Q151" s="11">
        <f>+COUNTIFS('muddati otgan'!C:C,A151,'muddati otgan'!J:J,"Migratisya qilingan obyekt holatini tekshirish")</f>
        <v>0</v>
      </c>
      <c r="R151" s="11">
        <f>+COUNTIFS('muddati otgan'!C:C,A151,'muddati otgan'!J:J,"Ko‘chmas mulkni tanlash")</f>
        <v>0</v>
      </c>
      <c r="S151" s="11">
        <f>+COUNTIFS('muddati otgan'!C:C,A151,'muddati otgan'!J:J,"Arizani ko'rib chiqish")</f>
        <v>0</v>
      </c>
      <c r="T151" s="11">
        <f>+COUNTIFS('muddati otgan'!C:C,A151,'muddati otgan'!J:J,"Kadastr muhandisini tanlash")</f>
        <v>0</v>
      </c>
      <c r="U151" s="11">
        <f>+COUNTIFS('muddati otgan'!C:C,A151,'muddati otgan'!J:J,"Ko'chmas mulk turini tanlahsh")</f>
        <v>0</v>
      </c>
      <c r="V151" s="11">
        <f>+COUNTIFS('muddati otgan'!C:C,A151,'muddati otgan'!AA:AA,"Rad qilish")</f>
        <v>0</v>
      </c>
      <c r="W151" s="11">
        <f>+COUNTIFS('muddati otgan'!C:C,A151,'muddati otgan'!J:J,"ijrochi tanlash")</f>
        <v>0</v>
      </c>
      <c r="X151" s="11">
        <f>+COUNTIFS('muddati otgan'!C:C,A151,'muddati otgan'!J:J,"Ko'chmas mulk turini tanlash")</f>
        <v>0</v>
      </c>
      <c r="Y151" s="11">
        <f t="shared" si="24"/>
        <v>0</v>
      </c>
      <c r="Z151" s="11">
        <f>+COUNTIFS('muddati otgan'!C:C,A151,'muddati otgan'!J:J,"Ijroga qabul qilish")</f>
        <v>0</v>
      </c>
      <c r="AA151" s="11">
        <f>+COUNTIFS('muddati otgan'!C:C,A151,'muddati otgan'!J:J,"Joyida o'rganish va ma'lumotlarni kiritish")</f>
        <v>0</v>
      </c>
      <c r="AB151" s="11">
        <f>+COUNTIFS('muddati otgan'!C:C,A151,'muddati otgan'!J:J,"Asosiy qismdan ajratish jarayonida")</f>
        <v>0</v>
      </c>
      <c r="AC151" s="11">
        <f>+COUNTIFS('muddati otgan'!C:C,A151,'muddati otgan'!J:J,"Umumiy foydalanishdagi obyekt yaratilish")</f>
        <v>0</v>
      </c>
      <c r="AD151" s="11">
        <f>+COUNTIFS('muddati otgan'!C:C,A151,'muddati otgan'!J:J,"Migratsiya qilinadigan kadastr raqamini kiritish")</f>
        <v>0</v>
      </c>
      <c r="AE151" s="11">
        <f>+COUNTIFS('muddati otgan'!C:C,A151,'muddati otgan'!J:J,"O'zida qolgan obyektni yaratish")</f>
        <v>0</v>
      </c>
      <c r="AF151" s="11">
        <f>+COUNTIFS('muddati otgan'!C:C,A151,'muddati otgan'!J:J,"O'lchov natijalarini kiritish")</f>
        <v>0</v>
      </c>
      <c r="AG151" s="11">
        <f>+COUNTIFS('muddati otgan'!C:C,A151,'muddati otgan'!J:J,"Topoxaritani tayyorlash (dwg, pdf)")</f>
        <v>0</v>
      </c>
      <c r="AH151" s="11">
        <f t="shared" si="25"/>
        <v>0</v>
      </c>
      <c r="AI151" s="11">
        <f>+COUNTIFS('muddati otgan'!C:C,A151,'muddati otgan'!J:J,"Yer uchastkasini yaratish")</f>
        <v>0</v>
      </c>
      <c r="AJ151" s="11">
        <f t="shared" si="26"/>
        <v>0</v>
      </c>
      <c r="AK151" s="11">
        <f>+COUNTIFS('muddati otgan'!C:C,A151,'muddati otgan'!J:J,"Kelishish (Boshqarma)")</f>
        <v>0</v>
      </c>
      <c r="AL151" s="11">
        <f t="shared" si="27"/>
        <v>0</v>
      </c>
      <c r="AM151" s="11">
        <f>+COUNTIFS('muddati otgan'!C:C,A151,'muddati otgan'!J:J,"Kelishish (DKP)")</f>
        <v>0</v>
      </c>
      <c r="AN151" s="11">
        <f>+COUNTIFS('muddati otgan'!C:C,A151,'muddati otgan'!J:J,"Kelishish")</f>
        <v>0</v>
      </c>
      <c r="AO151" s="11">
        <f>+COUNTIFS('muddati otgan'!C:C,A151,'muddati otgan'!J:J,"Kelishish (Registratsiya DKP)")</f>
        <v>0</v>
      </c>
      <c r="AP151" s="11">
        <f t="shared" si="28"/>
        <v>0</v>
      </c>
      <c r="AQ151" s="11">
        <f>+COUNTIFS('muddati otgan'!C:C,A151,'muddati otgan'!J:J,"Manzil biriktirish")</f>
        <v>0</v>
      </c>
      <c r="AR151" s="11">
        <f>+COUNTIFS('muddati otgan'!C:C,A151,'muddati otgan'!J:J,"Bino va inshootlarni yaratish")</f>
        <v>0</v>
      </c>
      <c r="AS151" s="11">
        <f>+COUNTIFS('muddati otgan'!C:C,A151,'muddati otgan'!J:J,"Dov daraxtlarni yaratish")</f>
        <v>0</v>
      </c>
      <c r="AT151" s="11">
        <f>+COUNTIFS('muddati otgan'!C:C,A151,'muddati otgan'!J:J,"Yer uchastkasini tahrirlash")</f>
        <v>0</v>
      </c>
      <c r="AU151" s="11">
        <f t="shared" si="29"/>
        <v>0</v>
      </c>
      <c r="AV151" s="11">
        <f>+COUNTIFS('muddati otgan'!C:C,A151,'muddati otgan'!J:J,"Yer toifasi va maqsadini kiritish")</f>
        <v>0</v>
      </c>
      <c r="AW151" s="11">
        <f>+COUNTIFS('muddati otgan'!C:C,A151,'muddati otgan'!J:J,"Auksion yer tekshirish")</f>
        <v>0</v>
      </c>
      <c r="AX151" s="11">
        <f>+COUNTIFS('muddati otgan'!C:C,A151,'muddati otgan'!J:J,"Yer turlarini kiritish")</f>
        <v>0</v>
      </c>
      <c r="AY151" s="11">
        <f>+COUNTIFS('muddati otgan'!C:C,A151,'muddati otgan'!J:J,"Ma'lumotlarni kiritish")</f>
        <v>0</v>
      </c>
      <c r="AZ151" s="11">
        <f>+COUNTIFS('muddati otgan'!C:C,A151,'muddati otgan'!J:J,"Yer tekshirish")</f>
        <v>0</v>
      </c>
      <c r="BA151" s="11">
        <f t="shared" si="30"/>
        <v>0</v>
      </c>
      <c r="BB151" s="11">
        <f>+COUNTIFS('muddati otgan'!C:C,A151,'muddati otgan'!J:J,"Bino va inshoot ma'lumotlarini to‘ldirish")</f>
        <v>0</v>
      </c>
      <c r="BC151" s="11">
        <f>+COUNTIFS('muddati otgan'!C:C,A151,'muddati otgan'!J:J,"Inventarizatsiya ma'lumotlarini to‘ldirish")</f>
        <v>0</v>
      </c>
      <c r="BD151" s="11">
        <f>+COUNTIFS('muddati otgan'!C:C,A151,'muddati otgan'!J:J,"Yer uchastkasiga huquqiy hujjatlarni kiritsh")</f>
        <v>0</v>
      </c>
      <c r="BE151" s="11">
        <f>+COUNTIFS('muddati otgan'!C:C,A151,'muddati otgan'!J:J,"Bino-inshootlarga huquqiy hujjatlarni kiritsh")</f>
        <v>0</v>
      </c>
      <c r="BF151" s="11">
        <f>+COUNTIFS('muddati otgan'!C:C,A151,'muddati otgan'!J:J,"Kadastr qiymatini hisoblash va kiritish")</f>
        <v>0</v>
      </c>
      <c r="BG151" s="11">
        <f>+COUNTIFS('muddati otgan'!C:C,A151,'muddati otgan'!J:J,"Kadastr raqam biriktirish")</f>
        <v>0</v>
      </c>
      <c r="BH151" s="11">
        <f>+COUNTIFS('muddati otgan'!C:C,A151,'muddati otgan'!J:J,"Kadastr yig'ma jildni tayyorlash")</f>
        <v>0</v>
      </c>
      <c r="BI151" s="11">
        <f>+COUNTIFS('muddati otgan'!C:C,A151,'muddati otgan'!J:J,"Huquqni yaratish")</f>
        <v>0</v>
      </c>
      <c r="BJ151" s="11">
        <f>+COUNTIFS('muddati otgan'!C:C,A151,'muddati otgan'!J:J,"Hujjatlarni o'rganish")</f>
        <v>0</v>
      </c>
      <c r="BK151" s="11">
        <f>+COUNTIFS('muddati otgan'!C:C,A151,'muddati otgan'!J:J,"Ma'lumotlarni tekshirish")</f>
        <v>0</v>
      </c>
      <c r="BL151" s="11">
        <f t="shared" si="31"/>
        <v>0</v>
      </c>
      <c r="BM151" s="11">
        <f>+COUNTIFS('muddati otgan'!C:C,A151,'muddati otgan'!J:J,"Tekshirish")</f>
        <v>0</v>
      </c>
      <c r="BN151" s="11">
        <f>+COUNTIFS('muddati otgan'!C:C,A151,'muddati otgan'!J:J,"Hujjatlarni tekshirish")</f>
        <v>0</v>
      </c>
      <c r="BO151" s="11">
        <f>+COUNTIFS('muddati otgan'!C:C,A151,'muddati otgan'!J:J,"Tasdiqlash")</f>
        <v>0</v>
      </c>
      <c r="BP151" s="11">
        <f>+COUNTIFS('muddati otgan'!C:C,A151,'muddati otgan'!J:J,"tekshirish/tasdiqlash")</f>
        <v>0</v>
      </c>
      <c r="BQ151" s="11">
        <f>+COUNTIFS('muddati otgan'!C:C,A151,'muddati otgan'!J:J,"Ma'lumotlarni tasdiqlash")</f>
        <v>0</v>
      </c>
      <c r="BR151" s="11">
        <f t="shared" si="32"/>
        <v>2</v>
      </c>
      <c r="BS151" s="11">
        <f>+COUNTIFS('muddati otgan'!C:C,A151,'muddati otgan'!J:J,"Ro'yxatdan o'tkazish ma'lumotlarini tekshirish")</f>
        <v>2</v>
      </c>
      <c r="BT151" s="11">
        <f>+COUNTIFS('muddati otgan'!C:C,A151,'muddati otgan'!J:J,"Kamchiliklar bo'yicha habarnoma yuborish va 3 kunga to'xtatish")</f>
        <v>0</v>
      </c>
      <c r="BU151" s="11">
        <f>+COUNTIFS('muddati otgan'!C:C,A151,'muddati otgan'!J:J,"Hisobga olish")</f>
        <v>0</v>
      </c>
      <c r="BV151" s="11">
        <f>+COUNTIFS('muddati otgan'!C:C,A151,'muddati otgan'!J:J,"Yer uchastkasiga huquq yaratish")</f>
        <v>0</v>
      </c>
      <c r="BW151" s="11">
        <f>+COUNTIFS('muddati otgan'!C:C,A151,'muddati otgan'!J:J,"Bino-inshootga huquq yaratish")</f>
        <v>0</v>
      </c>
      <c r="BX151" s="11">
        <f>+COUNTIFS('muddati otgan'!C:C,A151,'muddati otgan'!J:J,"Cheklov yaratish")</f>
        <v>0</v>
      </c>
      <c r="BY151" s="11">
        <f>+COUNTIFS('muddati otgan'!C:C,A151,'muddati otgan'!J:J,"Taqiq yaratish")</f>
        <v>0</v>
      </c>
      <c r="BZ151" s="11">
        <f t="shared" si="33"/>
        <v>0</v>
      </c>
      <c r="CA151" s="11">
        <f>+COUNTIFS('muddati otgan'!C:C,A151,'muddati otgan'!J:J,"Soliq maydonini tekshirish")</f>
        <v>0</v>
      </c>
      <c r="CB151" s="11">
        <f t="shared" si="34"/>
        <v>0</v>
      </c>
      <c r="CC151" s="11">
        <f>+COUNTIFS('muddati otgan'!C:C,A151,'muddati otgan'!J:J,"Kadastr yig'majildini shakllantirish")</f>
        <v>0</v>
      </c>
      <c r="CD151" s="11">
        <f t="shared" si="35"/>
        <v>0</v>
      </c>
      <c r="CE151" s="11">
        <f>+COUNTIFS('muddati otgan'!C:C,A151,'muddati otgan'!J:J,"Kadastr passportini shakllantirish")</f>
        <v>0</v>
      </c>
      <c r="CF151" s="11">
        <f>+COUNTIFS('muddati otgan'!C:C,A151,'muddati otgan'!J:J,"Yig'ma jildni tasdiqlash")</f>
        <v>0</v>
      </c>
      <c r="CG151" s="11">
        <f>+COUNTIFS('muddati otgan'!C:C,A151,'muddati otgan'!J:J,"To'lov yoki bepul tasdiqlash")</f>
        <v>0</v>
      </c>
      <c r="CH151" s="11">
        <f>+COUNTIFS('muddati otgan'!C:C,A151,'muddati otgan'!J:J,"Bog'liq arizani kutish")</f>
        <v>0</v>
      </c>
      <c r="CI151" s="11">
        <f>+COUNTIFS('muddati otgan'!C:C,A151,'muddati otgan'!J:J,"To'lovga chiqarish")</f>
        <v>0</v>
      </c>
      <c r="CJ151" s="11">
        <f>+COUNTIFS('muddati otgan'!C:C,A151,'muddati otgan'!J:J,"Hisobga qo'yish")</f>
        <v>0</v>
      </c>
      <c r="CK151" s="6">
        <f>+COUNTIFS('muddati otgan'!C:C,A151,'muddati otgan'!J:J,"To'lov kutilmoqda")</f>
        <v>0</v>
      </c>
      <c r="CL151" s="11">
        <f t="shared" si="36"/>
        <v>0</v>
      </c>
      <c r="CM151" s="11">
        <f>+COUNTIFS('muddati otgan'!C:C,A151,'muddati otgan'!AA:AA,"Arizani qabul qilish2")</f>
        <v>0</v>
      </c>
      <c r="CN151" s="11">
        <f>+COUNTIFS('muddati otgan'!C:C,A151,'muddati otgan'!J:J,"Huquqlarni tekshirish")</f>
        <v>0</v>
      </c>
      <c r="CO151" s="11">
        <f>+COUNTIFS('muddati otgan'!C:C,A151,'muddati otgan'!J:J,"Ko'chmas mulkni ro'yhatdan o'tkazishga qabul qilish")</f>
        <v>0</v>
      </c>
      <c r="CP151" s="11">
        <f>+COUNTIFS('muddati otgan'!C:C,A151,'muddati otgan'!J:J,"Ro'yxatdan o'tkazish")</f>
        <v>0</v>
      </c>
      <c r="CQ151" s="11">
        <f>+COUNTIFS('muddati otgan'!C:C,A151,'muddati otgan'!J:J,"Kadastr pasporti va ko'chirmani yuborish")</f>
        <v>0</v>
      </c>
      <c r="CR151" s="11">
        <f>+COUNTIFS('muddati otgan'!C:C,A151,'muddati otgan'!AA:AA,"Rad qilish2")</f>
        <v>0</v>
      </c>
      <c r="CS151" s="11">
        <f>+COUNTIFS('muddati otgan'!C:C,A151,'muddati otgan'!J:J,"Ko'chirmani yuborish")</f>
        <v>0</v>
      </c>
      <c r="CT151" s="11">
        <f>+COUNTIFS('muddati otgan'!C:C,A151,'muddati otgan'!J:J,"Ma‘lumotlarni tekshirish")</f>
        <v>0</v>
      </c>
      <c r="CU151" s="11">
        <f t="shared" si="37"/>
        <v>0</v>
      </c>
      <c r="CV151" s="11">
        <f>+COUNTIFS('muddati otgan'!C:C,A151,'muddati otgan'!J:J,"Kadastr yig'majildini chop etish va arxiv ishiga tikish")</f>
        <v>0</v>
      </c>
      <c r="CW151" s="11">
        <f t="shared" si="38"/>
        <v>0</v>
      </c>
      <c r="CX151" s="11">
        <f>+COUNTIFS('muddati otgan'!C:C,A151,'muddati otgan'!J:J,"Kadastr yig‘majildini qabul qilish, arizani yakunlash")</f>
        <v>0</v>
      </c>
      <c r="CY151" s="11">
        <f>+COUNTIFS('muddati otgan'!C:C,A151,'muddati otgan'!J:J,"Next Cloudga yuklash")</f>
        <v>0</v>
      </c>
      <c r="CZ151" s="6">
        <f>+COUNTIFS('muddati otgan'!C:C,A151,'muddati otgan'!J:J,"Kelishish kutilmoqda")</f>
        <v>0</v>
      </c>
      <c r="DA151" s="6">
        <f>+COUNTIFS('muddati otgan'!C:C,A151,'muddati otgan'!J:J,"Yakunlandi")</f>
        <v>0</v>
      </c>
      <c r="DB151" s="10">
        <f>+COUNTIFS('muddati otgan'!C:C,A151,'muddati otgan'!J:J,"Rad etildi")</f>
        <v>0</v>
      </c>
      <c r="DC151" s="100">
        <f t="shared" si="5"/>
        <v>-2</v>
      </c>
      <c r="DD151" s="44">
        <f>COUNTIFS('jami 1-20 kunlik arizalar'!C:C,A:A,'jami 1-20 kunlik arizalar'!S:S,"1")</f>
        <v>0</v>
      </c>
      <c r="DE151" s="11">
        <f>COUNTIFS('jami 1-20 kunlik arizalar'!C:C,A:A,'jami 1-20 kunlik arizalar'!S:S,"2")</f>
        <v>0</v>
      </c>
      <c r="DF151" s="11">
        <f>COUNTIFS('jami 1-20 kunlik arizalar'!C:C,A:A,'jami 1-20 kunlik arizalar'!S:S,"3")</f>
        <v>0</v>
      </c>
      <c r="DG151" s="11">
        <f>COUNTIFS('jami 1-20 kunlik arizalar'!C:C,A:A,'jami 1-20 kunlik arizalar'!S:S,"4")</f>
        <v>0</v>
      </c>
      <c r="DH151" s="11">
        <f>COUNTIFS('jami 1-20 kunlik arizalar'!C:C,A:A,'jami 1-20 kunlik arizalar'!S:S,"5")</f>
        <v>1</v>
      </c>
      <c r="DI151" s="11">
        <f>SUM(COUNTIFS('jami 1-20 kunlik arizalar'!C:C,A:A, 'jami 1-20 kunlik arizalar'!S:S, {6,7,8,9,10}))</f>
        <v>1</v>
      </c>
      <c r="DJ151" s="12">
        <f>SUM(COUNTIFS('jami 1-20 kunlik arizalar'!C:C,A:A, 'jami 1-20 kunlik arizalar'!S:S, "&gt;10"))</f>
        <v>4</v>
      </c>
    </row>
    <row r="152" spans="1:114" ht="32.1" hidden="1" customHeight="1" outlineLevel="1" x14ac:dyDescent="0.25">
      <c r="A152" s="92" t="s">
        <v>698</v>
      </c>
      <c r="B152" s="74"/>
      <c r="C152" s="85" t="s">
        <v>851</v>
      </c>
      <c r="D152" s="80">
        <f>+COUNTIFS('muddati otgan'!C:C,A152,'muddati otgan'!C:C,A152)</f>
        <v>4</v>
      </c>
      <c r="E152" s="10">
        <f>SUMIFS('muddati otgan'!$V:V,'muddati otgan'!$C:C,$A:A)</f>
        <v>0</v>
      </c>
      <c r="F152" s="10">
        <f>SUMIFS('muddati otgan'!$W:W,'muddati otgan'!$C:C,$A:A)</f>
        <v>0</v>
      </c>
      <c r="G152" s="24">
        <f>SUMIFS('muddati otgan'!$U:U,'muddati otgan'!$C:C,$A:A)</f>
        <v>4</v>
      </c>
      <c r="H152" s="11">
        <f>SUMIFS('muddati otgan'!$G:G,'muddati otgan'!$C:C,$A:A)</f>
        <v>4</v>
      </c>
      <c r="I152" s="12">
        <f>SUMIFS('muddati otgan'!$H:H,'muddati otgan'!$C:C,$A:A)</f>
        <v>0</v>
      </c>
      <c r="J152" s="44">
        <f t="shared" si="23"/>
        <v>0</v>
      </c>
      <c r="K152" s="11">
        <f>+COUNTIFS('muddati otgan'!C:C,A152,'muddati otgan'!AA:AA,"Arizani qabul qilish")</f>
        <v>0</v>
      </c>
      <c r="L152" s="11">
        <f>+COUNTIFS('muddati otgan'!C:C,A152,'muddati otgan'!J:J,"Arizani rad etish")</f>
        <v>0</v>
      </c>
      <c r="M152" s="11">
        <f>+COUNTIFS('muddati otgan'!C:C,A152,'muddati otgan'!J:J,"Arizani tasdiqlash")</f>
        <v>0</v>
      </c>
      <c r="N152" s="11">
        <f>+COUNTIFS('muddati otgan'!C:C,A152,'muddati otgan'!J:J,"Arizani yo'naltirish")</f>
        <v>0</v>
      </c>
      <c r="O152" s="11">
        <f>+COUNTIFS('muddati otgan'!C:C,A152,'muddati otgan'!J:J,"Rad qilish sababini o'rganish")</f>
        <v>0</v>
      </c>
      <c r="P152" s="11">
        <f>+COUNTIFS('muddati otgan'!C:C,A152,'muddati otgan'!J:J,"Ko'chmas mulkni UZKAD ga migratsiya qilish")</f>
        <v>0</v>
      </c>
      <c r="Q152" s="11">
        <f>+COUNTIFS('muddati otgan'!C:C,A152,'muddati otgan'!J:J,"Migratisya qilingan obyekt holatini tekshirish")</f>
        <v>0</v>
      </c>
      <c r="R152" s="11">
        <f>+COUNTIFS('muddati otgan'!C:C,A152,'muddati otgan'!J:J,"Ko‘chmas mulkni tanlash")</f>
        <v>0</v>
      </c>
      <c r="S152" s="11">
        <f>+COUNTIFS('muddati otgan'!C:C,A152,'muddati otgan'!J:J,"Arizani ko'rib chiqish")</f>
        <v>0</v>
      </c>
      <c r="T152" s="11">
        <f>+COUNTIFS('muddati otgan'!C:C,A152,'muddati otgan'!J:J,"Kadastr muhandisini tanlash")</f>
        <v>0</v>
      </c>
      <c r="U152" s="11">
        <f>+COUNTIFS('muddati otgan'!C:C,A152,'muddati otgan'!J:J,"Ko'chmas mulk turini tanlahsh")</f>
        <v>0</v>
      </c>
      <c r="V152" s="11">
        <f>+COUNTIFS('muddati otgan'!C:C,A152,'muddati otgan'!AA:AA,"Rad qilish")</f>
        <v>0</v>
      </c>
      <c r="W152" s="11">
        <f>+COUNTIFS('muddati otgan'!C:C,A152,'muddati otgan'!J:J,"ijrochi tanlash")</f>
        <v>0</v>
      </c>
      <c r="X152" s="11">
        <f>+COUNTIFS('muddati otgan'!C:C,A152,'muddati otgan'!J:J,"Ko'chmas mulk turini tanlash")</f>
        <v>0</v>
      </c>
      <c r="Y152" s="11">
        <f t="shared" si="24"/>
        <v>0</v>
      </c>
      <c r="Z152" s="11">
        <f>+COUNTIFS('muddati otgan'!C:C,A152,'muddati otgan'!J:J,"Ijroga qabul qilish")</f>
        <v>0</v>
      </c>
      <c r="AA152" s="11">
        <f>+COUNTIFS('muddati otgan'!C:C,A152,'muddati otgan'!J:J,"Joyida o'rganish va ma'lumotlarni kiritish")</f>
        <v>0</v>
      </c>
      <c r="AB152" s="11">
        <f>+COUNTIFS('muddati otgan'!C:C,A152,'muddati otgan'!J:J,"Asosiy qismdan ajratish jarayonida")</f>
        <v>0</v>
      </c>
      <c r="AC152" s="11">
        <f>+COUNTIFS('muddati otgan'!C:C,A152,'muddati otgan'!J:J,"Umumiy foydalanishdagi obyekt yaratilish")</f>
        <v>0</v>
      </c>
      <c r="AD152" s="11">
        <f>+COUNTIFS('muddati otgan'!C:C,A152,'muddati otgan'!J:J,"Migratsiya qilinadigan kadastr raqamini kiritish")</f>
        <v>0</v>
      </c>
      <c r="AE152" s="11">
        <f>+COUNTIFS('muddati otgan'!C:C,A152,'muddati otgan'!J:J,"O'zida qolgan obyektni yaratish")</f>
        <v>0</v>
      </c>
      <c r="AF152" s="11">
        <f>+COUNTIFS('muddati otgan'!C:C,A152,'muddati otgan'!J:J,"O'lchov natijalarini kiritish")</f>
        <v>0</v>
      </c>
      <c r="AG152" s="11">
        <f>+COUNTIFS('muddati otgan'!C:C,A152,'muddati otgan'!J:J,"Topoxaritani tayyorlash (dwg, pdf)")</f>
        <v>0</v>
      </c>
      <c r="AH152" s="11">
        <f t="shared" si="25"/>
        <v>0</v>
      </c>
      <c r="AI152" s="11">
        <f>+COUNTIFS('muddati otgan'!C:C,A152,'muddati otgan'!J:J,"Yer uchastkasini yaratish")</f>
        <v>0</v>
      </c>
      <c r="AJ152" s="11">
        <f t="shared" si="26"/>
        <v>0</v>
      </c>
      <c r="AK152" s="11">
        <f>+COUNTIFS('muddati otgan'!C:C,A152,'muddati otgan'!J:J,"Kelishish (Boshqarma)")</f>
        <v>0</v>
      </c>
      <c r="AL152" s="11">
        <f t="shared" si="27"/>
        <v>0</v>
      </c>
      <c r="AM152" s="11">
        <f>+COUNTIFS('muddati otgan'!C:C,A152,'muddati otgan'!J:J,"Kelishish (DKP)")</f>
        <v>0</v>
      </c>
      <c r="AN152" s="11">
        <f>+COUNTIFS('muddati otgan'!C:C,A152,'muddati otgan'!J:J,"Kelishish")</f>
        <v>0</v>
      </c>
      <c r="AO152" s="11">
        <f>+COUNTIFS('muddati otgan'!C:C,A152,'muddati otgan'!J:J,"Kelishish (Registratsiya DKP)")</f>
        <v>0</v>
      </c>
      <c r="AP152" s="11">
        <f t="shared" si="28"/>
        <v>0</v>
      </c>
      <c r="AQ152" s="11">
        <f>+COUNTIFS('muddati otgan'!C:C,A152,'muddati otgan'!J:J,"Manzil biriktirish")</f>
        <v>0</v>
      </c>
      <c r="AR152" s="11">
        <f>+COUNTIFS('muddati otgan'!C:C,A152,'muddati otgan'!J:J,"Bino va inshootlarni yaratish")</f>
        <v>0</v>
      </c>
      <c r="AS152" s="11">
        <f>+COUNTIFS('muddati otgan'!C:C,A152,'muddati otgan'!J:J,"Dov daraxtlarni yaratish")</f>
        <v>0</v>
      </c>
      <c r="AT152" s="11">
        <f>+COUNTIFS('muddati otgan'!C:C,A152,'muddati otgan'!J:J,"Yer uchastkasini tahrirlash")</f>
        <v>0</v>
      </c>
      <c r="AU152" s="11">
        <f t="shared" si="29"/>
        <v>0</v>
      </c>
      <c r="AV152" s="11">
        <f>+COUNTIFS('muddati otgan'!C:C,A152,'muddati otgan'!J:J,"Yer toifasi va maqsadini kiritish")</f>
        <v>0</v>
      </c>
      <c r="AW152" s="11">
        <f>+COUNTIFS('muddati otgan'!C:C,A152,'muddati otgan'!J:J,"Auksion yer tekshirish")</f>
        <v>0</v>
      </c>
      <c r="AX152" s="11">
        <f>+COUNTIFS('muddati otgan'!C:C,A152,'muddati otgan'!J:J,"Yer turlarini kiritish")</f>
        <v>0</v>
      </c>
      <c r="AY152" s="11">
        <f>+COUNTIFS('muddati otgan'!C:C,A152,'muddati otgan'!J:J,"Ma'lumotlarni kiritish")</f>
        <v>0</v>
      </c>
      <c r="AZ152" s="11">
        <f>+COUNTIFS('muddati otgan'!C:C,A152,'muddati otgan'!J:J,"Yer tekshirish")</f>
        <v>0</v>
      </c>
      <c r="BA152" s="11">
        <f t="shared" si="30"/>
        <v>0</v>
      </c>
      <c r="BB152" s="11">
        <f>+COUNTIFS('muddati otgan'!C:C,A152,'muddati otgan'!J:J,"Bino va inshoot ma'lumotlarini to‘ldirish")</f>
        <v>0</v>
      </c>
      <c r="BC152" s="11">
        <f>+COUNTIFS('muddati otgan'!C:C,A152,'muddati otgan'!J:J,"Inventarizatsiya ma'lumotlarini to‘ldirish")</f>
        <v>0</v>
      </c>
      <c r="BD152" s="11">
        <f>+COUNTIFS('muddati otgan'!C:C,A152,'muddati otgan'!J:J,"Yer uchastkasiga huquqiy hujjatlarni kiritsh")</f>
        <v>0</v>
      </c>
      <c r="BE152" s="11">
        <f>+COUNTIFS('muddati otgan'!C:C,A152,'muddati otgan'!J:J,"Bino-inshootlarga huquqiy hujjatlarni kiritsh")</f>
        <v>0</v>
      </c>
      <c r="BF152" s="11">
        <f>+COUNTIFS('muddati otgan'!C:C,A152,'muddati otgan'!J:J,"Kadastr qiymatini hisoblash va kiritish")</f>
        <v>0</v>
      </c>
      <c r="BG152" s="11">
        <f>+COUNTIFS('muddati otgan'!C:C,A152,'muddati otgan'!J:J,"Kadastr raqam biriktirish")</f>
        <v>0</v>
      </c>
      <c r="BH152" s="11">
        <f>+COUNTIFS('muddati otgan'!C:C,A152,'muddati otgan'!J:J,"Kadastr yig'ma jildni tayyorlash")</f>
        <v>0</v>
      </c>
      <c r="BI152" s="11">
        <f>+COUNTIFS('muddati otgan'!C:C,A152,'muddati otgan'!J:J,"Huquqni yaratish")</f>
        <v>0</v>
      </c>
      <c r="BJ152" s="11">
        <f>+COUNTIFS('muddati otgan'!C:C,A152,'muddati otgan'!J:J,"Hujjatlarni o'rganish")</f>
        <v>0</v>
      </c>
      <c r="BK152" s="11">
        <f>+COUNTIFS('muddati otgan'!C:C,A152,'muddati otgan'!J:J,"Ma'lumotlarni tekshirish")</f>
        <v>0</v>
      </c>
      <c r="BL152" s="11">
        <f t="shared" si="31"/>
        <v>0</v>
      </c>
      <c r="BM152" s="11">
        <f>+COUNTIFS('muddati otgan'!C:C,A152,'muddati otgan'!J:J,"Tekshirish")</f>
        <v>0</v>
      </c>
      <c r="BN152" s="11">
        <f>+COUNTIFS('muddati otgan'!C:C,A152,'muddati otgan'!J:J,"Hujjatlarni tekshirish")</f>
        <v>0</v>
      </c>
      <c r="BO152" s="11">
        <f>+COUNTIFS('muddati otgan'!C:C,A152,'muddati otgan'!J:J,"Tasdiqlash")</f>
        <v>0</v>
      </c>
      <c r="BP152" s="11">
        <f>+COUNTIFS('muddati otgan'!C:C,A152,'muddati otgan'!J:J,"tekshirish/tasdiqlash")</f>
        <v>0</v>
      </c>
      <c r="BQ152" s="11">
        <f>+COUNTIFS('muddati otgan'!C:C,A152,'muddati otgan'!J:J,"Ma'lumotlarni tasdiqlash")</f>
        <v>0</v>
      </c>
      <c r="BR152" s="11">
        <f t="shared" si="32"/>
        <v>4</v>
      </c>
      <c r="BS152" s="11">
        <f>+COUNTIFS('muddati otgan'!C:C,A152,'muddati otgan'!J:J,"Ro'yxatdan o'tkazish ma'lumotlarini tekshirish")</f>
        <v>4</v>
      </c>
      <c r="BT152" s="11">
        <f>+COUNTIFS('muddati otgan'!C:C,A152,'muddati otgan'!J:J,"Kamchiliklar bo'yicha habarnoma yuborish va 3 kunga to'xtatish")</f>
        <v>0</v>
      </c>
      <c r="BU152" s="11">
        <f>+COUNTIFS('muddati otgan'!C:C,A152,'muddati otgan'!J:J,"Hisobga olish")</f>
        <v>0</v>
      </c>
      <c r="BV152" s="11">
        <f>+COUNTIFS('muddati otgan'!C:C,A152,'muddati otgan'!J:J,"Yer uchastkasiga huquq yaratish")</f>
        <v>0</v>
      </c>
      <c r="BW152" s="11">
        <f>+COUNTIFS('muddati otgan'!C:C,A152,'muddati otgan'!J:J,"Bino-inshootga huquq yaratish")</f>
        <v>0</v>
      </c>
      <c r="BX152" s="11">
        <f>+COUNTIFS('muddati otgan'!C:C,A152,'muddati otgan'!J:J,"Cheklov yaratish")</f>
        <v>0</v>
      </c>
      <c r="BY152" s="11">
        <f>+COUNTIFS('muddati otgan'!C:C,A152,'muddati otgan'!J:J,"Taqiq yaratish")</f>
        <v>0</v>
      </c>
      <c r="BZ152" s="11">
        <f t="shared" si="33"/>
        <v>0</v>
      </c>
      <c r="CA152" s="11">
        <f>+COUNTIFS('muddati otgan'!C:C,A152,'muddati otgan'!J:J,"Soliq maydonini tekshirish")</f>
        <v>0</v>
      </c>
      <c r="CB152" s="11">
        <f t="shared" si="34"/>
        <v>0</v>
      </c>
      <c r="CC152" s="11">
        <f>+COUNTIFS('muddati otgan'!C:C,A152,'muddati otgan'!J:J,"Kadastr yig'majildini shakllantirish")</f>
        <v>0</v>
      </c>
      <c r="CD152" s="11">
        <f t="shared" si="35"/>
        <v>0</v>
      </c>
      <c r="CE152" s="11">
        <f>+COUNTIFS('muddati otgan'!C:C,A152,'muddati otgan'!J:J,"Kadastr passportini shakllantirish")</f>
        <v>0</v>
      </c>
      <c r="CF152" s="11">
        <f>+COUNTIFS('muddati otgan'!C:C,A152,'muddati otgan'!J:J,"Yig'ma jildni tasdiqlash")</f>
        <v>0</v>
      </c>
      <c r="CG152" s="11">
        <f>+COUNTIFS('muddati otgan'!C:C,A152,'muddati otgan'!J:J,"To'lov yoki bepul tasdiqlash")</f>
        <v>0</v>
      </c>
      <c r="CH152" s="11">
        <f>+COUNTIFS('muddati otgan'!C:C,A152,'muddati otgan'!J:J,"Bog'liq arizani kutish")</f>
        <v>0</v>
      </c>
      <c r="CI152" s="11">
        <f>+COUNTIFS('muddati otgan'!C:C,A152,'muddati otgan'!J:J,"To'lovga chiqarish")</f>
        <v>0</v>
      </c>
      <c r="CJ152" s="11">
        <f>+COUNTIFS('muddati otgan'!C:C,A152,'muddati otgan'!J:J,"Hisobga qo'yish")</f>
        <v>0</v>
      </c>
      <c r="CK152" s="6">
        <f>+COUNTIFS('muddati otgan'!C:C,A152,'muddati otgan'!J:J,"To'lov kutilmoqda")</f>
        <v>0</v>
      </c>
      <c r="CL152" s="11">
        <f t="shared" si="36"/>
        <v>0</v>
      </c>
      <c r="CM152" s="11">
        <f>+COUNTIFS('muddati otgan'!C:C,A152,'muddati otgan'!AA:AA,"Arizani qabul qilish2")</f>
        <v>0</v>
      </c>
      <c r="CN152" s="11">
        <f>+COUNTIFS('muddati otgan'!C:C,A152,'muddati otgan'!J:J,"Huquqlarni tekshirish")</f>
        <v>0</v>
      </c>
      <c r="CO152" s="11">
        <f>+COUNTIFS('muddati otgan'!C:C,A152,'muddati otgan'!J:J,"Ko'chmas mulkni ro'yhatdan o'tkazishga qabul qilish")</f>
        <v>0</v>
      </c>
      <c r="CP152" s="11">
        <f>+COUNTIFS('muddati otgan'!C:C,A152,'muddati otgan'!J:J,"Ro'yxatdan o'tkazish")</f>
        <v>0</v>
      </c>
      <c r="CQ152" s="11">
        <f>+COUNTIFS('muddati otgan'!C:C,A152,'muddati otgan'!J:J,"Kadastr pasporti va ko'chirmani yuborish")</f>
        <v>0</v>
      </c>
      <c r="CR152" s="11">
        <f>+COUNTIFS('muddati otgan'!C:C,A152,'muddati otgan'!AA:AA,"Rad qilish2")</f>
        <v>0</v>
      </c>
      <c r="CS152" s="11">
        <f>+COUNTIFS('muddati otgan'!C:C,A152,'muddati otgan'!J:J,"Ko'chirmani yuborish")</f>
        <v>0</v>
      </c>
      <c r="CT152" s="11">
        <f>+COUNTIFS('muddati otgan'!C:C,A152,'muddati otgan'!J:J,"Ma‘lumotlarni tekshirish")</f>
        <v>0</v>
      </c>
      <c r="CU152" s="11">
        <f t="shared" si="37"/>
        <v>0</v>
      </c>
      <c r="CV152" s="11">
        <f>+COUNTIFS('muddati otgan'!C:C,A152,'muddati otgan'!J:J,"Kadastr yig'majildini chop etish va arxiv ishiga tikish")</f>
        <v>0</v>
      </c>
      <c r="CW152" s="11">
        <f t="shared" si="38"/>
        <v>0</v>
      </c>
      <c r="CX152" s="11">
        <f>+COUNTIFS('muddati otgan'!C:C,A152,'muddati otgan'!J:J,"Kadastr yig‘majildini qabul qilish, arizani yakunlash")</f>
        <v>0</v>
      </c>
      <c r="CY152" s="11">
        <f>+COUNTIFS('muddati otgan'!C:C,A152,'muddati otgan'!J:J,"Next Cloudga yuklash")</f>
        <v>0</v>
      </c>
      <c r="CZ152" s="6">
        <f>+COUNTIFS('muddati otgan'!C:C,A152,'muddati otgan'!J:J,"Kelishish kutilmoqda")</f>
        <v>0</v>
      </c>
      <c r="DA152" s="6">
        <f>+COUNTIFS('muddati otgan'!C:C,A152,'muddati otgan'!J:J,"Yakunlandi")</f>
        <v>0</v>
      </c>
      <c r="DB152" s="10">
        <f>+COUNTIFS('muddati otgan'!C:C,A152,'muddati otgan'!J:J,"Rad etildi")</f>
        <v>0</v>
      </c>
      <c r="DC152" s="100">
        <f t="shared" si="5"/>
        <v>-4</v>
      </c>
      <c r="DD152" s="44">
        <f>COUNTIFS('jami 1-20 kunlik arizalar'!C:C,A:A,'jami 1-20 kunlik arizalar'!S:S,"1")</f>
        <v>0</v>
      </c>
      <c r="DE152" s="11">
        <f>COUNTIFS('jami 1-20 kunlik arizalar'!C:C,A:A,'jami 1-20 kunlik arizalar'!S:S,"2")</f>
        <v>0</v>
      </c>
      <c r="DF152" s="11">
        <f>COUNTIFS('jami 1-20 kunlik arizalar'!C:C,A:A,'jami 1-20 kunlik arizalar'!S:S,"3")</f>
        <v>3</v>
      </c>
      <c r="DG152" s="11">
        <f>COUNTIFS('jami 1-20 kunlik arizalar'!C:C,A:A,'jami 1-20 kunlik arizalar'!S:S,"4")</f>
        <v>0</v>
      </c>
      <c r="DH152" s="11">
        <f>COUNTIFS('jami 1-20 kunlik arizalar'!C:C,A:A,'jami 1-20 kunlik arizalar'!S:S,"5")</f>
        <v>2</v>
      </c>
      <c r="DI152" s="11">
        <f>SUM(COUNTIFS('jami 1-20 kunlik arizalar'!C:C,A:A, 'jami 1-20 kunlik arizalar'!S:S, {6,7,8,9,10}))</f>
        <v>9</v>
      </c>
      <c r="DJ152" s="12">
        <f>SUM(COUNTIFS('jami 1-20 kunlik arizalar'!C:C,A:A, 'jami 1-20 kunlik arizalar'!S:S, "&gt;10"))</f>
        <v>15</v>
      </c>
    </row>
    <row r="153" spans="1:114" ht="32.1" hidden="1" customHeight="1" outlineLevel="1" x14ac:dyDescent="0.25">
      <c r="A153" s="92" t="s">
        <v>700</v>
      </c>
      <c r="B153" s="74"/>
      <c r="C153" s="85" t="s">
        <v>852</v>
      </c>
      <c r="D153" s="80">
        <f>+COUNTIFS('muddati otgan'!C:C,A153,'muddati otgan'!C:C,A153)</f>
        <v>3</v>
      </c>
      <c r="E153" s="10">
        <f>SUMIFS('muddati otgan'!$V:V,'muddati otgan'!$C:C,$A:A)</f>
        <v>1</v>
      </c>
      <c r="F153" s="10">
        <f>SUMIFS('muddati otgan'!$W:W,'muddati otgan'!$C:C,$A:A)</f>
        <v>0</v>
      </c>
      <c r="G153" s="24">
        <f>SUMIFS('muddati otgan'!$U:U,'muddati otgan'!$C:C,$A:A)</f>
        <v>2</v>
      </c>
      <c r="H153" s="11">
        <f>SUMIFS('muddati otgan'!$G:G,'muddati otgan'!$C:C,$A:A)</f>
        <v>3</v>
      </c>
      <c r="I153" s="12">
        <f>SUMIFS('muddati otgan'!$H:H,'muddati otgan'!$C:C,$A:A)</f>
        <v>0</v>
      </c>
      <c r="J153" s="44">
        <f t="shared" si="23"/>
        <v>0</v>
      </c>
      <c r="K153" s="11">
        <f>+COUNTIFS('muddati otgan'!C:C,A153,'muddati otgan'!AA:AA,"Arizani qabul qilish")</f>
        <v>0</v>
      </c>
      <c r="L153" s="11">
        <f>+COUNTIFS('muddati otgan'!C:C,A153,'muddati otgan'!J:J,"Arizani rad etish")</f>
        <v>0</v>
      </c>
      <c r="M153" s="11">
        <f>+COUNTIFS('muddati otgan'!C:C,A153,'muddati otgan'!J:J,"Arizani tasdiqlash")</f>
        <v>0</v>
      </c>
      <c r="N153" s="11">
        <f>+COUNTIFS('muddati otgan'!C:C,A153,'muddati otgan'!J:J,"Arizani yo'naltirish")</f>
        <v>0</v>
      </c>
      <c r="O153" s="11">
        <f>+COUNTIFS('muddati otgan'!C:C,A153,'muddati otgan'!J:J,"Rad qilish sababini o'rganish")</f>
        <v>0</v>
      </c>
      <c r="P153" s="11">
        <f>+COUNTIFS('muddati otgan'!C:C,A153,'muddati otgan'!J:J,"Ko'chmas mulkni UZKAD ga migratsiya qilish")</f>
        <v>0</v>
      </c>
      <c r="Q153" s="11">
        <f>+COUNTIFS('muddati otgan'!C:C,A153,'muddati otgan'!J:J,"Migratisya qilingan obyekt holatini tekshirish")</f>
        <v>0</v>
      </c>
      <c r="R153" s="11">
        <f>+COUNTIFS('muddati otgan'!C:C,A153,'muddati otgan'!J:J,"Ko‘chmas mulkni tanlash")</f>
        <v>0</v>
      </c>
      <c r="S153" s="11">
        <f>+COUNTIFS('muddati otgan'!C:C,A153,'muddati otgan'!J:J,"Arizani ko'rib chiqish")</f>
        <v>0</v>
      </c>
      <c r="T153" s="11">
        <f>+COUNTIFS('muddati otgan'!C:C,A153,'muddati otgan'!J:J,"Kadastr muhandisini tanlash")</f>
        <v>0</v>
      </c>
      <c r="U153" s="11">
        <f>+COUNTIFS('muddati otgan'!C:C,A153,'muddati otgan'!J:J,"Ko'chmas mulk turini tanlahsh")</f>
        <v>0</v>
      </c>
      <c r="V153" s="11">
        <f>+COUNTIFS('muddati otgan'!C:C,A153,'muddati otgan'!AA:AA,"Rad qilish")</f>
        <v>0</v>
      </c>
      <c r="W153" s="11">
        <f>+COUNTIFS('muddati otgan'!C:C,A153,'muddati otgan'!J:J,"ijrochi tanlash")</f>
        <v>0</v>
      </c>
      <c r="X153" s="11">
        <f>+COUNTIFS('muddati otgan'!C:C,A153,'muddati otgan'!J:J,"Ko'chmas mulk turini tanlash")</f>
        <v>0</v>
      </c>
      <c r="Y153" s="11">
        <f t="shared" si="24"/>
        <v>0</v>
      </c>
      <c r="Z153" s="11">
        <f>+COUNTIFS('muddati otgan'!C:C,A153,'muddati otgan'!J:J,"Ijroga qabul qilish")</f>
        <v>0</v>
      </c>
      <c r="AA153" s="11">
        <f>+COUNTIFS('muddati otgan'!C:C,A153,'muddati otgan'!J:J,"Joyida o'rganish va ma'lumotlarni kiritish")</f>
        <v>0</v>
      </c>
      <c r="AB153" s="11">
        <f>+COUNTIFS('muddati otgan'!C:C,A153,'muddati otgan'!J:J,"Asosiy qismdan ajratish jarayonida")</f>
        <v>0</v>
      </c>
      <c r="AC153" s="11">
        <f>+COUNTIFS('muddati otgan'!C:C,A153,'muddati otgan'!J:J,"Umumiy foydalanishdagi obyekt yaratilish")</f>
        <v>0</v>
      </c>
      <c r="AD153" s="11">
        <f>+COUNTIFS('muddati otgan'!C:C,A153,'muddati otgan'!J:J,"Migratsiya qilinadigan kadastr raqamini kiritish")</f>
        <v>0</v>
      </c>
      <c r="AE153" s="11">
        <f>+COUNTIFS('muddati otgan'!C:C,A153,'muddati otgan'!J:J,"O'zida qolgan obyektni yaratish")</f>
        <v>0</v>
      </c>
      <c r="AF153" s="11">
        <f>+COUNTIFS('muddati otgan'!C:C,A153,'muddati otgan'!J:J,"O'lchov natijalarini kiritish")</f>
        <v>0</v>
      </c>
      <c r="AG153" s="11">
        <f>+COUNTIFS('muddati otgan'!C:C,A153,'muddati otgan'!J:J,"Topoxaritani tayyorlash (dwg, pdf)")</f>
        <v>0</v>
      </c>
      <c r="AH153" s="11">
        <f t="shared" si="25"/>
        <v>0</v>
      </c>
      <c r="AI153" s="11">
        <f>+COUNTIFS('muddati otgan'!C:C,A153,'muddati otgan'!J:J,"Yer uchastkasini yaratish")</f>
        <v>0</v>
      </c>
      <c r="AJ153" s="11">
        <f t="shared" si="26"/>
        <v>0</v>
      </c>
      <c r="AK153" s="11">
        <f>+COUNTIFS('muddati otgan'!C:C,A153,'muddati otgan'!J:J,"Kelishish (Boshqarma)")</f>
        <v>0</v>
      </c>
      <c r="AL153" s="11">
        <f t="shared" si="27"/>
        <v>0</v>
      </c>
      <c r="AM153" s="11">
        <f>+COUNTIFS('muddati otgan'!C:C,A153,'muddati otgan'!J:J,"Kelishish (DKP)")</f>
        <v>0</v>
      </c>
      <c r="AN153" s="11">
        <f>+COUNTIFS('muddati otgan'!C:C,A153,'muddati otgan'!J:J,"Kelishish")</f>
        <v>0</v>
      </c>
      <c r="AO153" s="11">
        <f>+COUNTIFS('muddati otgan'!C:C,A153,'muddati otgan'!J:J,"Kelishish (Registratsiya DKP)")</f>
        <v>0</v>
      </c>
      <c r="AP153" s="11">
        <f t="shared" si="28"/>
        <v>0</v>
      </c>
      <c r="AQ153" s="11">
        <f>+COUNTIFS('muddati otgan'!C:C,A153,'muddati otgan'!J:J,"Manzil biriktirish")</f>
        <v>0</v>
      </c>
      <c r="AR153" s="11">
        <f>+COUNTIFS('muddati otgan'!C:C,A153,'muddati otgan'!J:J,"Bino va inshootlarni yaratish")</f>
        <v>0</v>
      </c>
      <c r="AS153" s="11">
        <f>+COUNTIFS('muddati otgan'!C:C,A153,'muddati otgan'!J:J,"Dov daraxtlarni yaratish")</f>
        <v>0</v>
      </c>
      <c r="AT153" s="11">
        <f>+COUNTIFS('muddati otgan'!C:C,A153,'muddati otgan'!J:J,"Yer uchastkasini tahrirlash")</f>
        <v>0</v>
      </c>
      <c r="AU153" s="11">
        <f t="shared" si="29"/>
        <v>0</v>
      </c>
      <c r="AV153" s="11">
        <f>+COUNTIFS('muddati otgan'!C:C,A153,'muddati otgan'!J:J,"Yer toifasi va maqsadini kiritish")</f>
        <v>0</v>
      </c>
      <c r="AW153" s="11">
        <f>+COUNTIFS('muddati otgan'!C:C,A153,'muddati otgan'!J:J,"Auksion yer tekshirish")</f>
        <v>0</v>
      </c>
      <c r="AX153" s="11">
        <f>+COUNTIFS('muddati otgan'!C:C,A153,'muddati otgan'!J:J,"Yer turlarini kiritish")</f>
        <v>0</v>
      </c>
      <c r="AY153" s="11">
        <f>+COUNTIFS('muddati otgan'!C:C,A153,'muddati otgan'!J:J,"Ma'lumotlarni kiritish")</f>
        <v>0</v>
      </c>
      <c r="AZ153" s="11">
        <f>+COUNTIFS('muddati otgan'!C:C,A153,'muddati otgan'!J:J,"Yer tekshirish")</f>
        <v>0</v>
      </c>
      <c r="BA153" s="11">
        <f t="shared" si="30"/>
        <v>0</v>
      </c>
      <c r="BB153" s="11">
        <f>+COUNTIFS('muddati otgan'!C:C,A153,'muddati otgan'!J:J,"Bino va inshoot ma'lumotlarini to‘ldirish")</f>
        <v>0</v>
      </c>
      <c r="BC153" s="11">
        <f>+COUNTIFS('muddati otgan'!C:C,A153,'muddati otgan'!J:J,"Inventarizatsiya ma'lumotlarini to‘ldirish")</f>
        <v>0</v>
      </c>
      <c r="BD153" s="11">
        <f>+COUNTIFS('muddati otgan'!C:C,A153,'muddati otgan'!J:J,"Yer uchastkasiga huquqiy hujjatlarni kiritsh")</f>
        <v>0</v>
      </c>
      <c r="BE153" s="11">
        <f>+COUNTIFS('muddati otgan'!C:C,A153,'muddati otgan'!J:J,"Bino-inshootlarga huquqiy hujjatlarni kiritsh")</f>
        <v>0</v>
      </c>
      <c r="BF153" s="11">
        <f>+COUNTIFS('muddati otgan'!C:C,A153,'muddati otgan'!J:J,"Kadastr qiymatini hisoblash va kiritish")</f>
        <v>0</v>
      </c>
      <c r="BG153" s="11">
        <f>+COUNTIFS('muddati otgan'!C:C,A153,'muddati otgan'!J:J,"Kadastr raqam biriktirish")</f>
        <v>0</v>
      </c>
      <c r="BH153" s="11">
        <f>+COUNTIFS('muddati otgan'!C:C,A153,'muddati otgan'!J:J,"Kadastr yig'ma jildni tayyorlash")</f>
        <v>0</v>
      </c>
      <c r="BI153" s="11">
        <f>+COUNTIFS('muddati otgan'!C:C,A153,'muddati otgan'!J:J,"Huquqni yaratish")</f>
        <v>0</v>
      </c>
      <c r="BJ153" s="11">
        <f>+COUNTIFS('muddati otgan'!C:C,A153,'muddati otgan'!J:J,"Hujjatlarni o'rganish")</f>
        <v>0</v>
      </c>
      <c r="BK153" s="11">
        <f>+COUNTIFS('muddati otgan'!C:C,A153,'muddati otgan'!J:J,"Ma'lumotlarni tekshirish")</f>
        <v>0</v>
      </c>
      <c r="BL153" s="11">
        <f t="shared" si="31"/>
        <v>0</v>
      </c>
      <c r="BM153" s="11">
        <f>+COUNTIFS('muddati otgan'!C:C,A153,'muddati otgan'!J:J,"Tekshirish")</f>
        <v>0</v>
      </c>
      <c r="BN153" s="11">
        <f>+COUNTIFS('muddati otgan'!C:C,A153,'muddati otgan'!J:J,"Hujjatlarni tekshirish")</f>
        <v>0</v>
      </c>
      <c r="BO153" s="11">
        <f>+COUNTIFS('muddati otgan'!C:C,A153,'muddati otgan'!J:J,"Tasdiqlash")</f>
        <v>0</v>
      </c>
      <c r="BP153" s="11">
        <f>+COUNTIFS('muddati otgan'!C:C,A153,'muddati otgan'!J:J,"tekshirish/tasdiqlash")</f>
        <v>0</v>
      </c>
      <c r="BQ153" s="11">
        <f>+COUNTIFS('muddati otgan'!C:C,A153,'muddati otgan'!J:J,"Ma'lumotlarni tasdiqlash")</f>
        <v>0</v>
      </c>
      <c r="BR153" s="11">
        <f t="shared" si="32"/>
        <v>2</v>
      </c>
      <c r="BS153" s="11">
        <f>+COUNTIFS('muddati otgan'!C:C,A153,'muddati otgan'!J:J,"Ro'yxatdan o'tkazish ma'lumotlarini tekshirish")</f>
        <v>2</v>
      </c>
      <c r="BT153" s="11">
        <f>+COUNTIFS('muddati otgan'!C:C,A153,'muddati otgan'!J:J,"Kamchiliklar bo'yicha habarnoma yuborish va 3 kunga to'xtatish")</f>
        <v>0</v>
      </c>
      <c r="BU153" s="11">
        <f>+COUNTIFS('muddati otgan'!C:C,A153,'muddati otgan'!J:J,"Hisobga olish")</f>
        <v>0</v>
      </c>
      <c r="BV153" s="11">
        <f>+COUNTIFS('muddati otgan'!C:C,A153,'muddati otgan'!J:J,"Yer uchastkasiga huquq yaratish")</f>
        <v>0</v>
      </c>
      <c r="BW153" s="11">
        <f>+COUNTIFS('muddati otgan'!C:C,A153,'muddati otgan'!J:J,"Bino-inshootga huquq yaratish")</f>
        <v>0</v>
      </c>
      <c r="BX153" s="11">
        <f>+COUNTIFS('muddati otgan'!C:C,A153,'muddati otgan'!J:J,"Cheklov yaratish")</f>
        <v>0</v>
      </c>
      <c r="BY153" s="11">
        <f>+COUNTIFS('muddati otgan'!C:C,A153,'muddati otgan'!J:J,"Taqiq yaratish")</f>
        <v>0</v>
      </c>
      <c r="BZ153" s="11">
        <f t="shared" si="33"/>
        <v>0</v>
      </c>
      <c r="CA153" s="11">
        <f>+COUNTIFS('muddati otgan'!C:C,A153,'muddati otgan'!J:J,"Soliq maydonini tekshirish")</f>
        <v>0</v>
      </c>
      <c r="CB153" s="11">
        <f t="shared" si="34"/>
        <v>0</v>
      </c>
      <c r="CC153" s="11">
        <f>+COUNTIFS('muddati otgan'!C:C,A153,'muddati otgan'!J:J,"Kadastr yig'majildini shakllantirish")</f>
        <v>0</v>
      </c>
      <c r="CD153" s="11">
        <f t="shared" si="35"/>
        <v>0</v>
      </c>
      <c r="CE153" s="11">
        <f>+COUNTIFS('muddati otgan'!C:C,A153,'muddati otgan'!J:J,"Kadastr passportini shakllantirish")</f>
        <v>0</v>
      </c>
      <c r="CF153" s="11">
        <f>+COUNTIFS('muddati otgan'!C:C,A153,'muddati otgan'!J:J,"Yig'ma jildni tasdiqlash")</f>
        <v>0</v>
      </c>
      <c r="CG153" s="11">
        <f>+COUNTIFS('muddati otgan'!C:C,A153,'muddati otgan'!J:J,"To'lov yoki bepul tasdiqlash")</f>
        <v>0</v>
      </c>
      <c r="CH153" s="11">
        <f>+COUNTIFS('muddati otgan'!C:C,A153,'muddati otgan'!J:J,"Bog'liq arizani kutish")</f>
        <v>0</v>
      </c>
      <c r="CI153" s="11">
        <f>+COUNTIFS('muddati otgan'!C:C,A153,'muddati otgan'!J:J,"To'lovga chiqarish")</f>
        <v>0</v>
      </c>
      <c r="CJ153" s="11">
        <f>+COUNTIFS('muddati otgan'!C:C,A153,'muddati otgan'!J:J,"Hisobga qo'yish")</f>
        <v>0</v>
      </c>
      <c r="CK153" s="6">
        <f>+COUNTIFS('muddati otgan'!C:C,A153,'muddati otgan'!J:J,"To'lov kutilmoqda")</f>
        <v>0</v>
      </c>
      <c r="CL153" s="11">
        <f t="shared" si="36"/>
        <v>0</v>
      </c>
      <c r="CM153" s="11">
        <f>+COUNTIFS('muddati otgan'!C:C,A153,'muddati otgan'!AA:AA,"Arizani qabul qilish2")</f>
        <v>0</v>
      </c>
      <c r="CN153" s="11">
        <f>+COUNTIFS('muddati otgan'!C:C,A153,'muddati otgan'!J:J,"Huquqlarni tekshirish")</f>
        <v>0</v>
      </c>
      <c r="CO153" s="11">
        <f>+COUNTIFS('muddati otgan'!C:C,A153,'muddati otgan'!J:J,"Ko'chmas mulkni ro'yhatdan o'tkazishga qabul qilish")</f>
        <v>0</v>
      </c>
      <c r="CP153" s="11">
        <f>+COUNTIFS('muddati otgan'!C:C,A153,'muddati otgan'!J:J,"Ro'yxatdan o'tkazish")</f>
        <v>0</v>
      </c>
      <c r="CQ153" s="11">
        <f>+COUNTIFS('muddati otgan'!C:C,A153,'muddati otgan'!J:J,"Kadastr pasporti va ko'chirmani yuborish")</f>
        <v>0</v>
      </c>
      <c r="CR153" s="11">
        <f>+COUNTIFS('muddati otgan'!C:C,A153,'muddati otgan'!AA:AA,"Rad qilish2")</f>
        <v>0</v>
      </c>
      <c r="CS153" s="11">
        <f>+COUNTIFS('muddati otgan'!C:C,A153,'muddati otgan'!J:J,"Ko'chirmani yuborish")</f>
        <v>0</v>
      </c>
      <c r="CT153" s="11">
        <f>+COUNTIFS('muddati otgan'!C:C,A153,'muddati otgan'!J:J,"Ma‘lumotlarni tekshirish")</f>
        <v>0</v>
      </c>
      <c r="CU153" s="11">
        <f t="shared" si="37"/>
        <v>0</v>
      </c>
      <c r="CV153" s="11">
        <f>+COUNTIFS('muddati otgan'!C:C,A153,'muddati otgan'!J:J,"Kadastr yig'majildini chop etish va arxiv ishiga tikish")</f>
        <v>0</v>
      </c>
      <c r="CW153" s="11">
        <f t="shared" si="38"/>
        <v>0</v>
      </c>
      <c r="CX153" s="11">
        <f>+COUNTIFS('muddati otgan'!C:C,A153,'muddati otgan'!J:J,"Kadastr yig‘majildini qabul qilish, arizani yakunlash")</f>
        <v>0</v>
      </c>
      <c r="CY153" s="11">
        <f>+COUNTIFS('muddati otgan'!C:C,A153,'muddati otgan'!J:J,"Next Cloudga yuklash")</f>
        <v>0</v>
      </c>
      <c r="CZ153" s="6">
        <f>+COUNTIFS('muddati otgan'!C:C,A153,'muddati otgan'!J:J,"Kelishish kutilmoqda")</f>
        <v>0</v>
      </c>
      <c r="DA153" s="6">
        <f>+COUNTIFS('muddati otgan'!C:C,A153,'muddati otgan'!J:J,"Yakunlandi")</f>
        <v>1</v>
      </c>
      <c r="DB153" s="10">
        <f>+COUNTIFS('muddati otgan'!C:C,A153,'muddati otgan'!J:J,"Rad etildi")</f>
        <v>0</v>
      </c>
      <c r="DC153" s="100">
        <f t="shared" si="5"/>
        <v>-2</v>
      </c>
      <c r="DD153" s="44">
        <f>COUNTIFS('jami 1-20 kunlik arizalar'!C:C,A:A,'jami 1-20 kunlik arizalar'!S:S,"1")</f>
        <v>0</v>
      </c>
      <c r="DE153" s="11">
        <f>COUNTIFS('jami 1-20 kunlik arizalar'!C:C,A:A,'jami 1-20 kunlik arizalar'!S:S,"2")</f>
        <v>0</v>
      </c>
      <c r="DF153" s="11">
        <f>COUNTIFS('jami 1-20 kunlik arizalar'!C:C,A:A,'jami 1-20 kunlik arizalar'!S:S,"3")</f>
        <v>7</v>
      </c>
      <c r="DG153" s="11">
        <f>COUNTIFS('jami 1-20 kunlik arizalar'!C:C,A:A,'jami 1-20 kunlik arizalar'!S:S,"4")</f>
        <v>3</v>
      </c>
      <c r="DH153" s="11">
        <f>COUNTIFS('jami 1-20 kunlik arizalar'!C:C,A:A,'jami 1-20 kunlik arizalar'!S:S,"5")</f>
        <v>3</v>
      </c>
      <c r="DI153" s="11">
        <f>SUM(COUNTIFS('jami 1-20 kunlik arizalar'!C:C,A:A, 'jami 1-20 kunlik arizalar'!S:S, {6,7,8,9,10}))</f>
        <v>6</v>
      </c>
      <c r="DJ153" s="12">
        <f>SUM(COUNTIFS('jami 1-20 kunlik arizalar'!C:C,A:A, 'jami 1-20 kunlik arizalar'!S:S, "&gt;10"))</f>
        <v>12</v>
      </c>
    </row>
    <row r="154" spans="1:114" ht="32.1" hidden="1" customHeight="1" outlineLevel="1" x14ac:dyDescent="0.25">
      <c r="A154" s="92" t="s">
        <v>689</v>
      </c>
      <c r="B154" s="74"/>
      <c r="C154" s="85" t="s">
        <v>853</v>
      </c>
      <c r="D154" s="80">
        <f>+COUNTIFS('muddati otgan'!C:C,A154,'muddati otgan'!C:C,A154)</f>
        <v>3</v>
      </c>
      <c r="E154" s="10">
        <f>SUMIFS('muddati otgan'!$V:V,'muddati otgan'!$C:C,$A:A)</f>
        <v>1</v>
      </c>
      <c r="F154" s="10">
        <f>SUMIFS('muddati otgan'!$W:W,'muddati otgan'!$C:C,$A:A)</f>
        <v>0</v>
      </c>
      <c r="G154" s="24">
        <f>SUMIFS('muddati otgan'!$U:U,'muddati otgan'!$C:C,$A:A)</f>
        <v>2</v>
      </c>
      <c r="H154" s="11">
        <f>SUMIFS('muddati otgan'!$G:G,'muddati otgan'!$C:C,$A:A)</f>
        <v>2</v>
      </c>
      <c r="I154" s="12">
        <f>SUMIFS('muddati otgan'!$H:H,'muddati otgan'!$C:C,$A:A)</f>
        <v>1</v>
      </c>
      <c r="J154" s="44">
        <f t="shared" si="23"/>
        <v>0</v>
      </c>
      <c r="K154" s="11">
        <f>+COUNTIFS('muddati otgan'!C:C,A154,'muddati otgan'!AA:AA,"Arizani qabul qilish")</f>
        <v>0</v>
      </c>
      <c r="L154" s="11">
        <f>+COUNTIFS('muddati otgan'!C:C,A154,'muddati otgan'!J:J,"Arizani rad etish")</f>
        <v>0</v>
      </c>
      <c r="M154" s="11">
        <f>+COUNTIFS('muddati otgan'!C:C,A154,'muddati otgan'!J:J,"Arizani tasdiqlash")</f>
        <v>0</v>
      </c>
      <c r="N154" s="11">
        <f>+COUNTIFS('muddati otgan'!C:C,A154,'muddati otgan'!J:J,"Arizani yo'naltirish")</f>
        <v>0</v>
      </c>
      <c r="O154" s="11">
        <f>+COUNTIFS('muddati otgan'!C:C,A154,'muddati otgan'!J:J,"Rad qilish sababini o'rganish")</f>
        <v>0</v>
      </c>
      <c r="P154" s="11">
        <f>+COUNTIFS('muddati otgan'!C:C,A154,'muddati otgan'!J:J,"Ko'chmas mulkni UZKAD ga migratsiya qilish")</f>
        <v>0</v>
      </c>
      <c r="Q154" s="11">
        <f>+COUNTIFS('muddati otgan'!C:C,A154,'muddati otgan'!J:J,"Migratisya qilingan obyekt holatini tekshirish")</f>
        <v>0</v>
      </c>
      <c r="R154" s="11">
        <f>+COUNTIFS('muddati otgan'!C:C,A154,'muddati otgan'!J:J,"Ko‘chmas mulkni tanlash")</f>
        <v>0</v>
      </c>
      <c r="S154" s="11">
        <f>+COUNTIFS('muddati otgan'!C:C,A154,'muddati otgan'!J:J,"Arizani ko'rib chiqish")</f>
        <v>0</v>
      </c>
      <c r="T154" s="11">
        <f>+COUNTIFS('muddati otgan'!C:C,A154,'muddati otgan'!J:J,"Kadastr muhandisini tanlash")</f>
        <v>0</v>
      </c>
      <c r="U154" s="11">
        <f>+COUNTIFS('muddati otgan'!C:C,A154,'muddati otgan'!J:J,"Ko'chmas mulk turini tanlahsh")</f>
        <v>0</v>
      </c>
      <c r="V154" s="11">
        <f>+COUNTIFS('muddati otgan'!C:C,A154,'muddati otgan'!AA:AA,"Rad qilish")</f>
        <v>0</v>
      </c>
      <c r="W154" s="11">
        <f>+COUNTIFS('muddati otgan'!C:C,A154,'muddati otgan'!J:J,"ijrochi tanlash")</f>
        <v>0</v>
      </c>
      <c r="X154" s="11">
        <f>+COUNTIFS('muddati otgan'!C:C,A154,'muddati otgan'!J:J,"Ko'chmas mulk turini tanlash")</f>
        <v>0</v>
      </c>
      <c r="Y154" s="11">
        <f t="shared" si="24"/>
        <v>0</v>
      </c>
      <c r="Z154" s="11">
        <f>+COUNTIFS('muddati otgan'!C:C,A154,'muddati otgan'!J:J,"Ijroga qabul qilish")</f>
        <v>0</v>
      </c>
      <c r="AA154" s="11">
        <f>+COUNTIFS('muddati otgan'!C:C,A154,'muddati otgan'!J:J,"Joyida o'rganish va ma'lumotlarni kiritish")</f>
        <v>0</v>
      </c>
      <c r="AB154" s="11">
        <f>+COUNTIFS('muddati otgan'!C:C,A154,'muddati otgan'!J:J,"Asosiy qismdan ajratish jarayonida")</f>
        <v>0</v>
      </c>
      <c r="AC154" s="11">
        <f>+COUNTIFS('muddati otgan'!C:C,A154,'muddati otgan'!J:J,"Umumiy foydalanishdagi obyekt yaratilish")</f>
        <v>0</v>
      </c>
      <c r="AD154" s="11">
        <f>+COUNTIFS('muddati otgan'!C:C,A154,'muddati otgan'!J:J,"Migratsiya qilinadigan kadastr raqamini kiritish")</f>
        <v>0</v>
      </c>
      <c r="AE154" s="11">
        <f>+COUNTIFS('muddati otgan'!C:C,A154,'muddati otgan'!J:J,"O'zida qolgan obyektni yaratish")</f>
        <v>0</v>
      </c>
      <c r="AF154" s="11">
        <f>+COUNTIFS('muddati otgan'!C:C,A154,'muddati otgan'!J:J,"O'lchov natijalarini kiritish")</f>
        <v>0</v>
      </c>
      <c r="AG154" s="11">
        <f>+COUNTIFS('muddati otgan'!C:C,A154,'muddati otgan'!J:J,"Topoxaritani tayyorlash (dwg, pdf)")</f>
        <v>0</v>
      </c>
      <c r="AH154" s="11">
        <f t="shared" si="25"/>
        <v>0</v>
      </c>
      <c r="AI154" s="11">
        <f>+COUNTIFS('muddati otgan'!C:C,A154,'muddati otgan'!J:J,"Yer uchastkasini yaratish")</f>
        <v>0</v>
      </c>
      <c r="AJ154" s="11">
        <f t="shared" si="26"/>
        <v>0</v>
      </c>
      <c r="AK154" s="11">
        <f>+COUNTIFS('muddati otgan'!C:C,A154,'muddati otgan'!J:J,"Kelishish (Boshqarma)")</f>
        <v>0</v>
      </c>
      <c r="AL154" s="11">
        <f t="shared" si="27"/>
        <v>0</v>
      </c>
      <c r="AM154" s="11">
        <f>+COUNTIFS('muddati otgan'!C:C,A154,'muddati otgan'!J:J,"Kelishish (DKP)")</f>
        <v>0</v>
      </c>
      <c r="AN154" s="11">
        <f>+COUNTIFS('muddati otgan'!C:C,A154,'muddati otgan'!J:J,"Kelishish")</f>
        <v>0</v>
      </c>
      <c r="AO154" s="11">
        <f>+COUNTIFS('muddati otgan'!C:C,A154,'muddati otgan'!J:J,"Kelishish (Registratsiya DKP)")</f>
        <v>0</v>
      </c>
      <c r="AP154" s="11">
        <f t="shared" si="28"/>
        <v>1</v>
      </c>
      <c r="AQ154" s="11">
        <f>+COUNTIFS('muddati otgan'!C:C,A154,'muddati otgan'!J:J,"Manzil biriktirish")</f>
        <v>1</v>
      </c>
      <c r="AR154" s="11">
        <f>+COUNTIFS('muddati otgan'!C:C,A154,'muddati otgan'!J:J,"Bino va inshootlarni yaratish")</f>
        <v>0</v>
      </c>
      <c r="AS154" s="11">
        <f>+COUNTIFS('muddati otgan'!C:C,A154,'muddati otgan'!J:J,"Dov daraxtlarni yaratish")</f>
        <v>0</v>
      </c>
      <c r="AT154" s="11">
        <f>+COUNTIFS('muddati otgan'!C:C,A154,'muddati otgan'!J:J,"Yer uchastkasini tahrirlash")</f>
        <v>0</v>
      </c>
      <c r="AU154" s="11">
        <f t="shared" si="29"/>
        <v>0</v>
      </c>
      <c r="AV154" s="11">
        <f>+COUNTIFS('muddati otgan'!C:C,A154,'muddati otgan'!J:J,"Yer toifasi va maqsadini kiritish")</f>
        <v>0</v>
      </c>
      <c r="AW154" s="11">
        <f>+COUNTIFS('muddati otgan'!C:C,A154,'muddati otgan'!J:J,"Auksion yer tekshirish")</f>
        <v>0</v>
      </c>
      <c r="AX154" s="11">
        <f>+COUNTIFS('muddati otgan'!C:C,A154,'muddati otgan'!J:J,"Yer turlarini kiritish")</f>
        <v>0</v>
      </c>
      <c r="AY154" s="11">
        <f>+COUNTIFS('muddati otgan'!C:C,A154,'muddati otgan'!J:J,"Ma'lumotlarni kiritish")</f>
        <v>0</v>
      </c>
      <c r="AZ154" s="11">
        <f>+COUNTIFS('muddati otgan'!C:C,A154,'muddati otgan'!J:J,"Yer tekshirish")</f>
        <v>0</v>
      </c>
      <c r="BA154" s="11">
        <f t="shared" si="30"/>
        <v>1</v>
      </c>
      <c r="BB154" s="11">
        <f>+COUNTIFS('muddati otgan'!C:C,A154,'muddati otgan'!J:J,"Bino va inshoot ma'lumotlarini to‘ldirish")</f>
        <v>0</v>
      </c>
      <c r="BC154" s="11">
        <f>+COUNTIFS('muddati otgan'!C:C,A154,'muddati otgan'!J:J,"Inventarizatsiya ma'lumotlarini to‘ldirish")</f>
        <v>1</v>
      </c>
      <c r="BD154" s="11">
        <f>+COUNTIFS('muddati otgan'!C:C,A154,'muddati otgan'!J:J,"Yer uchastkasiga huquqiy hujjatlarni kiritsh")</f>
        <v>0</v>
      </c>
      <c r="BE154" s="11">
        <f>+COUNTIFS('muddati otgan'!C:C,A154,'muddati otgan'!J:J,"Bino-inshootlarga huquqiy hujjatlarni kiritsh")</f>
        <v>0</v>
      </c>
      <c r="BF154" s="11">
        <f>+COUNTIFS('muddati otgan'!C:C,A154,'muddati otgan'!J:J,"Kadastr qiymatini hisoblash va kiritish")</f>
        <v>0</v>
      </c>
      <c r="BG154" s="11">
        <f>+COUNTIFS('muddati otgan'!C:C,A154,'muddati otgan'!J:J,"Kadastr raqam biriktirish")</f>
        <v>0</v>
      </c>
      <c r="BH154" s="11">
        <f>+COUNTIFS('muddati otgan'!C:C,A154,'muddati otgan'!J:J,"Kadastr yig'ma jildni tayyorlash")</f>
        <v>0</v>
      </c>
      <c r="BI154" s="11">
        <f>+COUNTIFS('muddati otgan'!C:C,A154,'muddati otgan'!J:J,"Huquqni yaratish")</f>
        <v>0</v>
      </c>
      <c r="BJ154" s="11">
        <f>+COUNTIFS('muddati otgan'!C:C,A154,'muddati otgan'!J:J,"Hujjatlarni o'rganish")</f>
        <v>0</v>
      </c>
      <c r="BK154" s="11">
        <f>+COUNTIFS('muddati otgan'!C:C,A154,'muddati otgan'!J:J,"Ma'lumotlarni tekshirish")</f>
        <v>0</v>
      </c>
      <c r="BL154" s="11">
        <f t="shared" si="31"/>
        <v>0</v>
      </c>
      <c r="BM154" s="11">
        <f>+COUNTIFS('muddati otgan'!C:C,A154,'muddati otgan'!J:J,"Tekshirish")</f>
        <v>0</v>
      </c>
      <c r="BN154" s="11">
        <f>+COUNTIFS('muddati otgan'!C:C,A154,'muddati otgan'!J:J,"Hujjatlarni tekshirish")</f>
        <v>0</v>
      </c>
      <c r="BO154" s="11">
        <f>+COUNTIFS('muddati otgan'!C:C,A154,'muddati otgan'!J:J,"Tasdiqlash")</f>
        <v>0</v>
      </c>
      <c r="BP154" s="11">
        <f>+COUNTIFS('muddati otgan'!C:C,A154,'muddati otgan'!J:J,"tekshirish/tasdiqlash")</f>
        <v>0</v>
      </c>
      <c r="BQ154" s="11">
        <f>+COUNTIFS('muddati otgan'!C:C,A154,'muddati otgan'!J:J,"Ma'lumotlarni tasdiqlash")</f>
        <v>0</v>
      </c>
      <c r="BR154" s="11">
        <f t="shared" si="32"/>
        <v>1</v>
      </c>
      <c r="BS154" s="11">
        <f>+COUNTIFS('muddati otgan'!C:C,A154,'muddati otgan'!J:J,"Ro'yxatdan o'tkazish ma'lumotlarini tekshirish")</f>
        <v>1</v>
      </c>
      <c r="BT154" s="11">
        <f>+COUNTIFS('muddati otgan'!C:C,A154,'muddati otgan'!J:J,"Kamchiliklar bo'yicha habarnoma yuborish va 3 kunga to'xtatish")</f>
        <v>0</v>
      </c>
      <c r="BU154" s="11">
        <f>+COUNTIFS('muddati otgan'!C:C,A154,'muddati otgan'!J:J,"Hisobga olish")</f>
        <v>0</v>
      </c>
      <c r="BV154" s="11">
        <f>+COUNTIFS('muddati otgan'!C:C,A154,'muddati otgan'!J:J,"Yer uchastkasiga huquq yaratish")</f>
        <v>0</v>
      </c>
      <c r="BW154" s="11">
        <f>+COUNTIFS('muddati otgan'!C:C,A154,'muddati otgan'!J:J,"Bino-inshootga huquq yaratish")</f>
        <v>0</v>
      </c>
      <c r="BX154" s="11">
        <f>+COUNTIFS('muddati otgan'!C:C,A154,'muddati otgan'!J:J,"Cheklov yaratish")</f>
        <v>0</v>
      </c>
      <c r="BY154" s="11">
        <f>+COUNTIFS('muddati otgan'!C:C,A154,'muddati otgan'!J:J,"Taqiq yaratish")</f>
        <v>0</v>
      </c>
      <c r="BZ154" s="11">
        <f t="shared" si="33"/>
        <v>0</v>
      </c>
      <c r="CA154" s="11">
        <f>+COUNTIFS('muddati otgan'!C:C,A154,'muddati otgan'!J:J,"Soliq maydonini tekshirish")</f>
        <v>0</v>
      </c>
      <c r="CB154" s="11">
        <f t="shared" si="34"/>
        <v>0</v>
      </c>
      <c r="CC154" s="11">
        <f>+COUNTIFS('muddati otgan'!C:C,A154,'muddati otgan'!J:J,"Kadastr yig'majildini shakllantirish")</f>
        <v>0</v>
      </c>
      <c r="CD154" s="11">
        <f t="shared" si="35"/>
        <v>0</v>
      </c>
      <c r="CE154" s="11">
        <f>+COUNTIFS('muddati otgan'!C:C,A154,'muddati otgan'!J:J,"Kadastr passportini shakllantirish")</f>
        <v>0</v>
      </c>
      <c r="CF154" s="11">
        <f>+COUNTIFS('muddati otgan'!C:C,A154,'muddati otgan'!J:J,"Yig'ma jildni tasdiqlash")</f>
        <v>0</v>
      </c>
      <c r="CG154" s="11">
        <f>+COUNTIFS('muddati otgan'!C:C,A154,'muddati otgan'!J:J,"To'lov yoki bepul tasdiqlash")</f>
        <v>0</v>
      </c>
      <c r="CH154" s="11">
        <f>+COUNTIFS('muddati otgan'!C:C,A154,'muddati otgan'!J:J,"Bog'liq arizani kutish")</f>
        <v>0</v>
      </c>
      <c r="CI154" s="11">
        <f>+COUNTIFS('muddati otgan'!C:C,A154,'muddati otgan'!J:J,"To'lovga chiqarish")</f>
        <v>0</v>
      </c>
      <c r="CJ154" s="11">
        <f>+COUNTIFS('muddati otgan'!C:C,A154,'muddati otgan'!J:J,"Hisobga qo'yish")</f>
        <v>0</v>
      </c>
      <c r="CK154" s="6">
        <f>+COUNTIFS('muddati otgan'!C:C,A154,'muddati otgan'!J:J,"To'lov kutilmoqda")</f>
        <v>0</v>
      </c>
      <c r="CL154" s="11">
        <f t="shared" si="36"/>
        <v>0</v>
      </c>
      <c r="CM154" s="11">
        <f>+COUNTIFS('muddati otgan'!C:C,A154,'muddati otgan'!AA:AA,"Arizani qabul qilish2")</f>
        <v>0</v>
      </c>
      <c r="CN154" s="11">
        <f>+COUNTIFS('muddati otgan'!C:C,A154,'muddati otgan'!J:J,"Huquqlarni tekshirish")</f>
        <v>0</v>
      </c>
      <c r="CO154" s="11">
        <f>+COUNTIFS('muddati otgan'!C:C,A154,'muddati otgan'!J:J,"Ko'chmas mulkni ro'yhatdan o'tkazishga qabul qilish")</f>
        <v>0</v>
      </c>
      <c r="CP154" s="11">
        <f>+COUNTIFS('muddati otgan'!C:C,A154,'muddati otgan'!J:J,"Ro'yxatdan o'tkazish")</f>
        <v>0</v>
      </c>
      <c r="CQ154" s="11">
        <f>+COUNTIFS('muddati otgan'!C:C,A154,'muddati otgan'!J:J,"Kadastr pasporti va ko'chirmani yuborish")</f>
        <v>0</v>
      </c>
      <c r="CR154" s="11">
        <f>+COUNTIFS('muddati otgan'!C:C,A154,'muddati otgan'!AA:AA,"Rad qilish2")</f>
        <v>0</v>
      </c>
      <c r="CS154" s="11">
        <f>+COUNTIFS('muddati otgan'!C:C,A154,'muddati otgan'!J:J,"Ko'chirmani yuborish")</f>
        <v>0</v>
      </c>
      <c r="CT154" s="11">
        <f>+COUNTIFS('muddati otgan'!C:C,A154,'muddati otgan'!J:J,"Ma‘lumotlarni tekshirish")</f>
        <v>0</v>
      </c>
      <c r="CU154" s="11">
        <f t="shared" si="37"/>
        <v>0</v>
      </c>
      <c r="CV154" s="11">
        <f>+COUNTIFS('muddati otgan'!C:C,A154,'muddati otgan'!J:J,"Kadastr yig'majildini chop etish va arxiv ishiga tikish")</f>
        <v>0</v>
      </c>
      <c r="CW154" s="11">
        <f t="shared" si="38"/>
        <v>0</v>
      </c>
      <c r="CX154" s="11">
        <f>+COUNTIFS('muddati otgan'!C:C,A154,'muddati otgan'!J:J,"Kadastr yig‘majildini qabul qilish, arizani yakunlash")</f>
        <v>0</v>
      </c>
      <c r="CY154" s="11">
        <f>+COUNTIFS('muddati otgan'!C:C,A154,'muddati otgan'!J:J,"Next Cloudga yuklash")</f>
        <v>0</v>
      </c>
      <c r="CZ154" s="6">
        <f>+COUNTIFS('muddati otgan'!C:C,A154,'muddati otgan'!J:J,"Kelishish kutilmoqda")</f>
        <v>0</v>
      </c>
      <c r="DA154" s="6">
        <f>+COUNTIFS('muddati otgan'!C:C,A154,'muddati otgan'!J:J,"Yakunlandi")</f>
        <v>0</v>
      </c>
      <c r="DB154" s="10">
        <f>+COUNTIFS('muddati otgan'!C:C,A154,'muddati otgan'!J:J,"Rad etildi")</f>
        <v>0</v>
      </c>
      <c r="DC154" s="100">
        <f t="shared" si="5"/>
        <v>-3</v>
      </c>
      <c r="DD154" s="44">
        <f>COUNTIFS('jami 1-20 kunlik arizalar'!C:C,A:A,'jami 1-20 kunlik arizalar'!S:S,"1")</f>
        <v>0</v>
      </c>
      <c r="DE154" s="11">
        <f>COUNTIFS('jami 1-20 kunlik arizalar'!C:C,A:A,'jami 1-20 kunlik arizalar'!S:S,"2")</f>
        <v>0</v>
      </c>
      <c r="DF154" s="11">
        <f>COUNTIFS('jami 1-20 kunlik arizalar'!C:C,A:A,'jami 1-20 kunlik arizalar'!S:S,"3")</f>
        <v>2</v>
      </c>
      <c r="DG154" s="11">
        <f>COUNTIFS('jami 1-20 kunlik arizalar'!C:C,A:A,'jami 1-20 kunlik arizalar'!S:S,"4")</f>
        <v>3</v>
      </c>
      <c r="DH154" s="11">
        <f>COUNTIFS('jami 1-20 kunlik arizalar'!C:C,A:A,'jami 1-20 kunlik arizalar'!S:S,"5")</f>
        <v>1</v>
      </c>
      <c r="DI154" s="11">
        <f>SUM(COUNTIFS('jami 1-20 kunlik arizalar'!C:C,A:A, 'jami 1-20 kunlik arizalar'!S:S, {6,7,8,9,10}))</f>
        <v>5</v>
      </c>
      <c r="DJ154" s="12">
        <f>SUM(COUNTIFS('jami 1-20 kunlik arizalar'!C:C,A:A, 'jami 1-20 kunlik arizalar'!S:S, "&gt;10"))</f>
        <v>4</v>
      </c>
    </row>
    <row r="155" spans="1:114" ht="32.1" hidden="1" customHeight="1" outlineLevel="1" x14ac:dyDescent="0.25">
      <c r="A155" s="92" t="s">
        <v>686</v>
      </c>
      <c r="B155" s="74"/>
      <c r="C155" s="85" t="s">
        <v>854</v>
      </c>
      <c r="D155" s="80">
        <f>+COUNTIFS('muddati otgan'!C:C,A155,'muddati otgan'!C:C,A155)</f>
        <v>3</v>
      </c>
      <c r="E155" s="10">
        <f>SUMIFS('muddati otgan'!$V:V,'muddati otgan'!$C:C,$A:A)</f>
        <v>0</v>
      </c>
      <c r="F155" s="10">
        <f>SUMIFS('muddati otgan'!$W:W,'muddati otgan'!$C:C,$A:A)</f>
        <v>0</v>
      </c>
      <c r="G155" s="24">
        <f>SUMIFS('muddati otgan'!$U:U,'muddati otgan'!$C:C,$A:A)</f>
        <v>3</v>
      </c>
      <c r="H155" s="11">
        <f>SUMIFS('muddati otgan'!$G:G,'muddati otgan'!$C:C,$A:A)</f>
        <v>3</v>
      </c>
      <c r="I155" s="12">
        <f>SUMIFS('muddati otgan'!$H:H,'muddati otgan'!$C:C,$A:A)</f>
        <v>0</v>
      </c>
      <c r="J155" s="44">
        <f t="shared" si="23"/>
        <v>0</v>
      </c>
      <c r="K155" s="11">
        <f>+COUNTIFS('muddati otgan'!C:C,A155,'muddati otgan'!AA:AA,"Arizani qabul qilish")</f>
        <v>0</v>
      </c>
      <c r="L155" s="11">
        <f>+COUNTIFS('muddati otgan'!C:C,A155,'muddati otgan'!J:J,"Arizani rad etish")</f>
        <v>0</v>
      </c>
      <c r="M155" s="11">
        <f>+COUNTIFS('muddati otgan'!C:C,A155,'muddati otgan'!J:J,"Arizani tasdiqlash")</f>
        <v>0</v>
      </c>
      <c r="N155" s="11">
        <f>+COUNTIFS('muddati otgan'!C:C,A155,'muddati otgan'!J:J,"Arizani yo'naltirish")</f>
        <v>0</v>
      </c>
      <c r="O155" s="11">
        <f>+COUNTIFS('muddati otgan'!C:C,A155,'muddati otgan'!J:J,"Rad qilish sababini o'rganish")</f>
        <v>0</v>
      </c>
      <c r="P155" s="11">
        <f>+COUNTIFS('muddati otgan'!C:C,A155,'muddati otgan'!J:J,"Ko'chmas mulkni UZKAD ga migratsiya qilish")</f>
        <v>0</v>
      </c>
      <c r="Q155" s="11">
        <f>+COUNTIFS('muddati otgan'!C:C,A155,'muddati otgan'!J:J,"Migratisya qilingan obyekt holatini tekshirish")</f>
        <v>0</v>
      </c>
      <c r="R155" s="11">
        <f>+COUNTIFS('muddati otgan'!C:C,A155,'muddati otgan'!J:J,"Ko‘chmas mulkni tanlash")</f>
        <v>0</v>
      </c>
      <c r="S155" s="11">
        <f>+COUNTIFS('muddati otgan'!C:C,A155,'muddati otgan'!J:J,"Arizani ko'rib chiqish")</f>
        <v>0</v>
      </c>
      <c r="T155" s="11">
        <f>+COUNTIFS('muddati otgan'!C:C,A155,'muddati otgan'!J:J,"Kadastr muhandisini tanlash")</f>
        <v>0</v>
      </c>
      <c r="U155" s="11">
        <f>+COUNTIFS('muddati otgan'!C:C,A155,'muddati otgan'!J:J,"Ko'chmas mulk turini tanlahsh")</f>
        <v>0</v>
      </c>
      <c r="V155" s="11">
        <f>+COUNTIFS('muddati otgan'!C:C,A155,'muddati otgan'!AA:AA,"Rad qilish")</f>
        <v>0</v>
      </c>
      <c r="W155" s="11">
        <f>+COUNTIFS('muddati otgan'!C:C,A155,'muddati otgan'!J:J,"ijrochi tanlash")</f>
        <v>0</v>
      </c>
      <c r="X155" s="11">
        <f>+COUNTIFS('muddati otgan'!C:C,A155,'muddati otgan'!J:J,"Ko'chmas mulk turini tanlash")</f>
        <v>0</v>
      </c>
      <c r="Y155" s="11">
        <f t="shared" si="24"/>
        <v>1</v>
      </c>
      <c r="Z155" s="11">
        <f>+COUNTIFS('muddati otgan'!C:C,A155,'muddati otgan'!J:J,"Ijroga qabul qilish")</f>
        <v>0</v>
      </c>
      <c r="AA155" s="11">
        <f>+COUNTIFS('muddati otgan'!C:C,A155,'muddati otgan'!J:J,"Joyida o'rganish va ma'lumotlarni kiritish")</f>
        <v>0</v>
      </c>
      <c r="AB155" s="11">
        <f>+COUNTIFS('muddati otgan'!C:C,A155,'muddati otgan'!J:J,"Asosiy qismdan ajratish jarayonida")</f>
        <v>1</v>
      </c>
      <c r="AC155" s="11">
        <f>+COUNTIFS('muddati otgan'!C:C,A155,'muddati otgan'!J:J,"Umumiy foydalanishdagi obyekt yaratilish")</f>
        <v>0</v>
      </c>
      <c r="AD155" s="11">
        <f>+COUNTIFS('muddati otgan'!C:C,A155,'muddati otgan'!J:J,"Migratsiya qilinadigan kadastr raqamini kiritish")</f>
        <v>0</v>
      </c>
      <c r="AE155" s="11">
        <f>+COUNTIFS('muddati otgan'!C:C,A155,'muddati otgan'!J:J,"O'zida qolgan obyektni yaratish")</f>
        <v>0</v>
      </c>
      <c r="AF155" s="11">
        <f>+COUNTIFS('muddati otgan'!C:C,A155,'muddati otgan'!J:J,"O'lchov natijalarini kiritish")</f>
        <v>0</v>
      </c>
      <c r="AG155" s="11">
        <f>+COUNTIFS('muddati otgan'!C:C,A155,'muddati otgan'!J:J,"Topoxaritani tayyorlash (dwg, pdf)")</f>
        <v>0</v>
      </c>
      <c r="AH155" s="11">
        <f t="shared" si="25"/>
        <v>0</v>
      </c>
      <c r="AI155" s="11">
        <f>+COUNTIFS('muddati otgan'!C:C,A155,'muddati otgan'!J:J,"Yer uchastkasini yaratish")</f>
        <v>0</v>
      </c>
      <c r="AJ155" s="11">
        <f t="shared" si="26"/>
        <v>0</v>
      </c>
      <c r="AK155" s="11">
        <f>+COUNTIFS('muddati otgan'!C:C,A155,'muddati otgan'!J:J,"Kelishish (Boshqarma)")</f>
        <v>0</v>
      </c>
      <c r="AL155" s="11">
        <f t="shared" si="27"/>
        <v>0</v>
      </c>
      <c r="AM155" s="11">
        <f>+COUNTIFS('muddati otgan'!C:C,A155,'muddati otgan'!J:J,"Kelishish (DKP)")</f>
        <v>0</v>
      </c>
      <c r="AN155" s="11">
        <f>+COUNTIFS('muddati otgan'!C:C,A155,'muddati otgan'!J:J,"Kelishish")</f>
        <v>0</v>
      </c>
      <c r="AO155" s="11">
        <f>+COUNTIFS('muddati otgan'!C:C,A155,'muddati otgan'!J:J,"Kelishish (Registratsiya DKP)")</f>
        <v>0</v>
      </c>
      <c r="AP155" s="11">
        <f t="shared" si="28"/>
        <v>0</v>
      </c>
      <c r="AQ155" s="11">
        <f>+COUNTIFS('muddati otgan'!C:C,A155,'muddati otgan'!J:J,"Manzil biriktirish")</f>
        <v>0</v>
      </c>
      <c r="AR155" s="11">
        <f>+COUNTIFS('muddati otgan'!C:C,A155,'muddati otgan'!J:J,"Bino va inshootlarni yaratish")</f>
        <v>0</v>
      </c>
      <c r="AS155" s="11">
        <f>+COUNTIFS('muddati otgan'!C:C,A155,'muddati otgan'!J:J,"Dov daraxtlarni yaratish")</f>
        <v>0</v>
      </c>
      <c r="AT155" s="11">
        <f>+COUNTIFS('muddati otgan'!C:C,A155,'muddati otgan'!J:J,"Yer uchastkasini tahrirlash")</f>
        <v>0</v>
      </c>
      <c r="AU155" s="11">
        <f t="shared" si="29"/>
        <v>0</v>
      </c>
      <c r="AV155" s="11">
        <f>+COUNTIFS('muddati otgan'!C:C,A155,'muddati otgan'!J:J,"Yer toifasi va maqsadini kiritish")</f>
        <v>0</v>
      </c>
      <c r="AW155" s="11">
        <f>+COUNTIFS('muddati otgan'!C:C,A155,'muddati otgan'!J:J,"Auksion yer tekshirish")</f>
        <v>0</v>
      </c>
      <c r="AX155" s="11">
        <f>+COUNTIFS('muddati otgan'!C:C,A155,'muddati otgan'!J:J,"Yer turlarini kiritish")</f>
        <v>0</v>
      </c>
      <c r="AY155" s="11">
        <f>+COUNTIFS('muddati otgan'!C:C,A155,'muddati otgan'!J:J,"Ma'lumotlarni kiritish")</f>
        <v>0</v>
      </c>
      <c r="AZ155" s="11">
        <f>+COUNTIFS('muddati otgan'!C:C,A155,'muddati otgan'!J:J,"Yer tekshirish")</f>
        <v>0</v>
      </c>
      <c r="BA155" s="11">
        <f t="shared" si="30"/>
        <v>0</v>
      </c>
      <c r="BB155" s="11">
        <f>+COUNTIFS('muddati otgan'!C:C,A155,'muddati otgan'!J:J,"Bino va inshoot ma'lumotlarini to‘ldirish")</f>
        <v>0</v>
      </c>
      <c r="BC155" s="11">
        <f>+COUNTIFS('muddati otgan'!C:C,A155,'muddati otgan'!J:J,"Inventarizatsiya ma'lumotlarini to‘ldirish")</f>
        <v>0</v>
      </c>
      <c r="BD155" s="11">
        <f>+COUNTIFS('muddati otgan'!C:C,A155,'muddati otgan'!J:J,"Yer uchastkasiga huquqiy hujjatlarni kiritsh")</f>
        <v>0</v>
      </c>
      <c r="BE155" s="11">
        <f>+COUNTIFS('muddati otgan'!C:C,A155,'muddati otgan'!J:J,"Bino-inshootlarga huquqiy hujjatlarni kiritsh")</f>
        <v>0</v>
      </c>
      <c r="BF155" s="11">
        <f>+COUNTIFS('muddati otgan'!C:C,A155,'muddati otgan'!J:J,"Kadastr qiymatini hisoblash va kiritish")</f>
        <v>0</v>
      </c>
      <c r="BG155" s="11">
        <f>+COUNTIFS('muddati otgan'!C:C,A155,'muddati otgan'!J:J,"Kadastr raqam biriktirish")</f>
        <v>0</v>
      </c>
      <c r="BH155" s="11">
        <f>+COUNTIFS('muddati otgan'!C:C,A155,'muddati otgan'!J:J,"Kadastr yig'ma jildni tayyorlash")</f>
        <v>0</v>
      </c>
      <c r="BI155" s="11">
        <f>+COUNTIFS('muddati otgan'!C:C,A155,'muddati otgan'!J:J,"Huquqni yaratish")</f>
        <v>0</v>
      </c>
      <c r="BJ155" s="11">
        <f>+COUNTIFS('muddati otgan'!C:C,A155,'muddati otgan'!J:J,"Hujjatlarni o'rganish")</f>
        <v>0</v>
      </c>
      <c r="BK155" s="11">
        <f>+COUNTIFS('muddati otgan'!C:C,A155,'muddati otgan'!J:J,"Ma'lumotlarni tekshirish")</f>
        <v>0</v>
      </c>
      <c r="BL155" s="11">
        <f t="shared" si="31"/>
        <v>0</v>
      </c>
      <c r="BM155" s="11">
        <f>+COUNTIFS('muddati otgan'!C:C,A155,'muddati otgan'!J:J,"Tekshirish")</f>
        <v>0</v>
      </c>
      <c r="BN155" s="11">
        <f>+COUNTIFS('muddati otgan'!C:C,A155,'muddati otgan'!J:J,"Hujjatlarni tekshirish")</f>
        <v>0</v>
      </c>
      <c r="BO155" s="11">
        <f>+COUNTIFS('muddati otgan'!C:C,A155,'muddati otgan'!J:J,"Tasdiqlash")</f>
        <v>0</v>
      </c>
      <c r="BP155" s="11">
        <f>+COUNTIFS('muddati otgan'!C:C,A155,'muddati otgan'!J:J,"tekshirish/tasdiqlash")</f>
        <v>0</v>
      </c>
      <c r="BQ155" s="11">
        <f>+COUNTIFS('muddati otgan'!C:C,A155,'muddati otgan'!J:J,"Ma'lumotlarni tasdiqlash")</f>
        <v>0</v>
      </c>
      <c r="BR155" s="11">
        <f t="shared" si="32"/>
        <v>1</v>
      </c>
      <c r="BS155" s="11">
        <f>+COUNTIFS('muddati otgan'!C:C,A155,'muddati otgan'!J:J,"Ro'yxatdan o'tkazish ma'lumotlarini tekshirish")</f>
        <v>1</v>
      </c>
      <c r="BT155" s="11">
        <f>+COUNTIFS('muddati otgan'!C:C,A155,'muddati otgan'!J:J,"Kamchiliklar bo'yicha habarnoma yuborish va 3 kunga to'xtatish")</f>
        <v>0</v>
      </c>
      <c r="BU155" s="11">
        <f>+COUNTIFS('muddati otgan'!C:C,A155,'muddati otgan'!J:J,"Hisobga olish")</f>
        <v>0</v>
      </c>
      <c r="BV155" s="11">
        <f>+COUNTIFS('muddati otgan'!C:C,A155,'muddati otgan'!J:J,"Yer uchastkasiga huquq yaratish")</f>
        <v>0</v>
      </c>
      <c r="BW155" s="11">
        <f>+COUNTIFS('muddati otgan'!C:C,A155,'muddati otgan'!J:J,"Bino-inshootga huquq yaratish")</f>
        <v>0</v>
      </c>
      <c r="BX155" s="11">
        <f>+COUNTIFS('muddati otgan'!C:C,A155,'muddati otgan'!J:J,"Cheklov yaratish")</f>
        <v>0</v>
      </c>
      <c r="BY155" s="11">
        <f>+COUNTIFS('muddati otgan'!C:C,A155,'muddati otgan'!J:J,"Taqiq yaratish")</f>
        <v>0</v>
      </c>
      <c r="BZ155" s="11">
        <f t="shared" si="33"/>
        <v>0</v>
      </c>
      <c r="CA155" s="11">
        <f>+COUNTIFS('muddati otgan'!C:C,A155,'muddati otgan'!J:J,"Soliq maydonini tekshirish")</f>
        <v>0</v>
      </c>
      <c r="CB155" s="11">
        <f t="shared" si="34"/>
        <v>1</v>
      </c>
      <c r="CC155" s="11">
        <f>+COUNTIFS('muddati otgan'!C:C,A155,'muddati otgan'!J:J,"Kadastr yig'majildini shakllantirish")</f>
        <v>1</v>
      </c>
      <c r="CD155" s="11">
        <f t="shared" si="35"/>
        <v>0</v>
      </c>
      <c r="CE155" s="11">
        <f>+COUNTIFS('muddati otgan'!C:C,A155,'muddati otgan'!J:J,"Kadastr passportini shakllantirish")</f>
        <v>0</v>
      </c>
      <c r="CF155" s="11">
        <f>+COUNTIFS('muddati otgan'!C:C,A155,'muddati otgan'!J:J,"Yig'ma jildni tasdiqlash")</f>
        <v>0</v>
      </c>
      <c r="CG155" s="11">
        <f>+COUNTIFS('muddati otgan'!C:C,A155,'muddati otgan'!J:J,"To'lov yoki bepul tasdiqlash")</f>
        <v>0</v>
      </c>
      <c r="CH155" s="11">
        <f>+COUNTIFS('muddati otgan'!C:C,A155,'muddati otgan'!J:J,"Bog'liq arizani kutish")</f>
        <v>0</v>
      </c>
      <c r="CI155" s="11">
        <f>+COUNTIFS('muddati otgan'!C:C,A155,'muddati otgan'!J:J,"To'lovga chiqarish")</f>
        <v>0</v>
      </c>
      <c r="CJ155" s="11">
        <f>+COUNTIFS('muddati otgan'!C:C,A155,'muddati otgan'!J:J,"Hisobga qo'yish")</f>
        <v>0</v>
      </c>
      <c r="CK155" s="6">
        <f>+COUNTIFS('muddati otgan'!C:C,A155,'muddati otgan'!J:J,"To'lov kutilmoqda")</f>
        <v>0</v>
      </c>
      <c r="CL155" s="11">
        <f t="shared" si="36"/>
        <v>0</v>
      </c>
      <c r="CM155" s="11">
        <f>+COUNTIFS('muddati otgan'!C:C,A155,'muddati otgan'!AA:AA,"Arizani qabul qilish2")</f>
        <v>0</v>
      </c>
      <c r="CN155" s="11">
        <f>+COUNTIFS('muddati otgan'!C:C,A155,'muddati otgan'!J:J,"Huquqlarni tekshirish")</f>
        <v>0</v>
      </c>
      <c r="CO155" s="11">
        <f>+COUNTIFS('muddati otgan'!C:C,A155,'muddati otgan'!J:J,"Ko'chmas mulkni ro'yhatdan o'tkazishga qabul qilish")</f>
        <v>0</v>
      </c>
      <c r="CP155" s="11">
        <f>+COUNTIFS('muddati otgan'!C:C,A155,'muddati otgan'!J:J,"Ro'yxatdan o'tkazish")</f>
        <v>0</v>
      </c>
      <c r="CQ155" s="11">
        <f>+COUNTIFS('muddati otgan'!C:C,A155,'muddati otgan'!J:J,"Kadastr pasporti va ko'chirmani yuborish")</f>
        <v>0</v>
      </c>
      <c r="CR155" s="11">
        <f>+COUNTIFS('muddati otgan'!C:C,A155,'muddati otgan'!AA:AA,"Rad qilish2")</f>
        <v>0</v>
      </c>
      <c r="CS155" s="11">
        <f>+COUNTIFS('muddati otgan'!C:C,A155,'muddati otgan'!J:J,"Ko'chirmani yuborish")</f>
        <v>0</v>
      </c>
      <c r="CT155" s="11">
        <f>+COUNTIFS('muddati otgan'!C:C,A155,'muddati otgan'!J:J,"Ma‘lumotlarni tekshirish")</f>
        <v>0</v>
      </c>
      <c r="CU155" s="11">
        <f t="shared" si="37"/>
        <v>0</v>
      </c>
      <c r="CV155" s="11">
        <f>+COUNTIFS('muddati otgan'!C:C,A155,'muddati otgan'!J:J,"Kadastr yig'majildini chop etish va arxiv ishiga tikish")</f>
        <v>0</v>
      </c>
      <c r="CW155" s="11">
        <f t="shared" si="38"/>
        <v>0</v>
      </c>
      <c r="CX155" s="11">
        <f>+COUNTIFS('muddati otgan'!C:C,A155,'muddati otgan'!J:J,"Kadastr yig‘majildini qabul qilish, arizani yakunlash")</f>
        <v>0</v>
      </c>
      <c r="CY155" s="11">
        <f>+COUNTIFS('muddati otgan'!C:C,A155,'muddati otgan'!J:J,"Next Cloudga yuklash")</f>
        <v>0</v>
      </c>
      <c r="CZ155" s="6">
        <f>+COUNTIFS('muddati otgan'!C:C,A155,'muddati otgan'!J:J,"Kelishish kutilmoqda")</f>
        <v>0</v>
      </c>
      <c r="DA155" s="6">
        <f>+COUNTIFS('muddati otgan'!C:C,A155,'muddati otgan'!J:J,"Yakunlandi")</f>
        <v>0</v>
      </c>
      <c r="DB155" s="10">
        <f>+COUNTIFS('muddati otgan'!C:C,A155,'muddati otgan'!J:J,"Rad etildi")</f>
        <v>0</v>
      </c>
      <c r="DC155" s="100">
        <f t="shared" si="5"/>
        <v>-3</v>
      </c>
      <c r="DD155" s="44">
        <f>COUNTIFS('jami 1-20 kunlik arizalar'!C:C,A:A,'jami 1-20 kunlik arizalar'!S:S,"1")</f>
        <v>0</v>
      </c>
      <c r="DE155" s="11">
        <f>COUNTIFS('jami 1-20 kunlik arizalar'!C:C,A:A,'jami 1-20 kunlik arizalar'!S:S,"2")</f>
        <v>0</v>
      </c>
      <c r="DF155" s="11">
        <f>COUNTIFS('jami 1-20 kunlik arizalar'!C:C,A:A,'jami 1-20 kunlik arizalar'!S:S,"3")</f>
        <v>4</v>
      </c>
      <c r="DG155" s="11">
        <f>COUNTIFS('jami 1-20 kunlik arizalar'!C:C,A:A,'jami 1-20 kunlik arizalar'!S:S,"4")</f>
        <v>3</v>
      </c>
      <c r="DH155" s="11">
        <f>COUNTIFS('jami 1-20 kunlik arizalar'!C:C,A:A,'jami 1-20 kunlik arizalar'!S:S,"5")</f>
        <v>4</v>
      </c>
      <c r="DI155" s="11">
        <f>SUM(COUNTIFS('jami 1-20 kunlik arizalar'!C:C,A:A, 'jami 1-20 kunlik arizalar'!S:S, {6,7,8,9,10}))</f>
        <v>6</v>
      </c>
      <c r="DJ155" s="12">
        <f>SUM(COUNTIFS('jami 1-20 kunlik arizalar'!C:C,A:A, 'jami 1-20 kunlik arizalar'!S:S, "&gt;10"))</f>
        <v>5</v>
      </c>
    </row>
    <row r="156" spans="1:114" ht="32.1" hidden="1" customHeight="1" outlineLevel="1" x14ac:dyDescent="0.25">
      <c r="A156" s="92" t="s">
        <v>690</v>
      </c>
      <c r="B156" s="74"/>
      <c r="C156" s="85" t="s">
        <v>855</v>
      </c>
      <c r="D156" s="80">
        <f>+COUNTIFS('muddati otgan'!C:C,A156,'muddati otgan'!C:C,A156)</f>
        <v>1</v>
      </c>
      <c r="E156" s="10">
        <f>SUMIFS('muddati otgan'!$V:V,'muddati otgan'!$C:C,$A:A)</f>
        <v>0</v>
      </c>
      <c r="F156" s="10">
        <f>SUMIFS('muddati otgan'!$W:W,'muddati otgan'!$C:C,$A:A)</f>
        <v>0</v>
      </c>
      <c r="G156" s="24">
        <f>SUMIFS('muddati otgan'!$U:U,'muddati otgan'!$C:C,$A:A)</f>
        <v>1</v>
      </c>
      <c r="H156" s="11">
        <f>SUMIFS('muddati otgan'!$G:G,'muddati otgan'!$C:C,$A:A)</f>
        <v>1</v>
      </c>
      <c r="I156" s="12">
        <f>SUMIFS('muddati otgan'!$H:H,'muddati otgan'!$C:C,$A:A)</f>
        <v>0</v>
      </c>
      <c r="J156" s="44">
        <f t="shared" si="23"/>
        <v>0</v>
      </c>
      <c r="K156" s="11">
        <f>+COUNTIFS('muddati otgan'!C:C,A156,'muddati otgan'!AA:AA,"Arizani qabul qilish")</f>
        <v>0</v>
      </c>
      <c r="L156" s="11">
        <f>+COUNTIFS('muddati otgan'!C:C,A156,'muddati otgan'!J:J,"Arizani rad etish")</f>
        <v>0</v>
      </c>
      <c r="M156" s="11">
        <f>+COUNTIFS('muddati otgan'!C:C,A156,'muddati otgan'!J:J,"Arizani tasdiqlash")</f>
        <v>0</v>
      </c>
      <c r="N156" s="11">
        <f>+COUNTIFS('muddati otgan'!C:C,A156,'muddati otgan'!J:J,"Arizani yo'naltirish")</f>
        <v>0</v>
      </c>
      <c r="O156" s="11">
        <f>+COUNTIFS('muddati otgan'!C:C,A156,'muddati otgan'!J:J,"Rad qilish sababini o'rganish")</f>
        <v>0</v>
      </c>
      <c r="P156" s="11">
        <f>+COUNTIFS('muddati otgan'!C:C,A156,'muddati otgan'!J:J,"Ko'chmas mulkni UZKAD ga migratsiya qilish")</f>
        <v>0</v>
      </c>
      <c r="Q156" s="11">
        <f>+COUNTIFS('muddati otgan'!C:C,A156,'muddati otgan'!J:J,"Migratisya qilingan obyekt holatini tekshirish")</f>
        <v>0</v>
      </c>
      <c r="R156" s="11">
        <f>+COUNTIFS('muddati otgan'!C:C,A156,'muddati otgan'!J:J,"Ko‘chmas mulkni tanlash")</f>
        <v>0</v>
      </c>
      <c r="S156" s="11">
        <f>+COUNTIFS('muddati otgan'!C:C,A156,'muddati otgan'!J:J,"Arizani ko'rib chiqish")</f>
        <v>0</v>
      </c>
      <c r="T156" s="11">
        <f>+COUNTIFS('muddati otgan'!C:C,A156,'muddati otgan'!J:J,"Kadastr muhandisini tanlash")</f>
        <v>0</v>
      </c>
      <c r="U156" s="11">
        <f>+COUNTIFS('muddati otgan'!C:C,A156,'muddati otgan'!J:J,"Ko'chmas mulk turini tanlahsh")</f>
        <v>0</v>
      </c>
      <c r="V156" s="11">
        <f>+COUNTIFS('muddati otgan'!C:C,A156,'muddati otgan'!AA:AA,"Rad qilish")</f>
        <v>0</v>
      </c>
      <c r="W156" s="11">
        <f>+COUNTIFS('muddati otgan'!C:C,A156,'muddati otgan'!J:J,"ijrochi tanlash")</f>
        <v>0</v>
      </c>
      <c r="X156" s="11">
        <f>+COUNTIFS('muddati otgan'!C:C,A156,'muddati otgan'!J:J,"Ko'chmas mulk turini tanlash")</f>
        <v>0</v>
      </c>
      <c r="Y156" s="11">
        <f t="shared" si="24"/>
        <v>0</v>
      </c>
      <c r="Z156" s="11">
        <f>+COUNTIFS('muddati otgan'!C:C,A156,'muddati otgan'!J:J,"Ijroga qabul qilish")</f>
        <v>0</v>
      </c>
      <c r="AA156" s="11">
        <f>+COUNTIFS('muddati otgan'!C:C,A156,'muddati otgan'!J:J,"Joyida o'rganish va ma'lumotlarni kiritish")</f>
        <v>0</v>
      </c>
      <c r="AB156" s="11">
        <f>+COUNTIFS('muddati otgan'!C:C,A156,'muddati otgan'!J:J,"Asosiy qismdan ajratish jarayonida")</f>
        <v>0</v>
      </c>
      <c r="AC156" s="11">
        <f>+COUNTIFS('muddati otgan'!C:C,A156,'muddati otgan'!J:J,"Umumiy foydalanishdagi obyekt yaratilish")</f>
        <v>0</v>
      </c>
      <c r="AD156" s="11">
        <f>+COUNTIFS('muddati otgan'!C:C,A156,'muddati otgan'!J:J,"Migratsiya qilinadigan kadastr raqamini kiritish")</f>
        <v>0</v>
      </c>
      <c r="AE156" s="11">
        <f>+COUNTIFS('muddati otgan'!C:C,A156,'muddati otgan'!J:J,"O'zida qolgan obyektni yaratish")</f>
        <v>0</v>
      </c>
      <c r="AF156" s="11">
        <f>+COUNTIFS('muddati otgan'!C:C,A156,'muddati otgan'!J:J,"O'lchov natijalarini kiritish")</f>
        <v>0</v>
      </c>
      <c r="AG156" s="11">
        <f>+COUNTIFS('muddati otgan'!C:C,A156,'muddati otgan'!J:J,"Topoxaritani tayyorlash (dwg, pdf)")</f>
        <v>0</v>
      </c>
      <c r="AH156" s="11">
        <f t="shared" si="25"/>
        <v>0</v>
      </c>
      <c r="AI156" s="11">
        <f>+COUNTIFS('muddati otgan'!C:C,A156,'muddati otgan'!J:J,"Yer uchastkasini yaratish")</f>
        <v>0</v>
      </c>
      <c r="AJ156" s="11">
        <f t="shared" si="26"/>
        <v>0</v>
      </c>
      <c r="AK156" s="11">
        <f>+COUNTIFS('muddati otgan'!C:C,A156,'muddati otgan'!J:J,"Kelishish (Boshqarma)")</f>
        <v>0</v>
      </c>
      <c r="AL156" s="11">
        <f t="shared" si="27"/>
        <v>0</v>
      </c>
      <c r="AM156" s="11">
        <f>+COUNTIFS('muddati otgan'!C:C,A156,'muddati otgan'!J:J,"Kelishish (DKP)")</f>
        <v>0</v>
      </c>
      <c r="AN156" s="11">
        <f>+COUNTIFS('muddati otgan'!C:C,A156,'muddati otgan'!J:J,"Kelishish")</f>
        <v>0</v>
      </c>
      <c r="AO156" s="11">
        <f>+COUNTIFS('muddati otgan'!C:C,A156,'muddati otgan'!J:J,"Kelishish (Registratsiya DKP)")</f>
        <v>0</v>
      </c>
      <c r="AP156" s="11">
        <f t="shared" si="28"/>
        <v>0</v>
      </c>
      <c r="AQ156" s="11">
        <f>+COUNTIFS('muddati otgan'!C:C,A156,'muddati otgan'!J:J,"Manzil biriktirish")</f>
        <v>0</v>
      </c>
      <c r="AR156" s="11">
        <f>+COUNTIFS('muddati otgan'!C:C,A156,'muddati otgan'!J:J,"Bino va inshootlarni yaratish")</f>
        <v>0</v>
      </c>
      <c r="AS156" s="11">
        <f>+COUNTIFS('muddati otgan'!C:C,A156,'muddati otgan'!J:J,"Dov daraxtlarni yaratish")</f>
        <v>0</v>
      </c>
      <c r="AT156" s="11">
        <f>+COUNTIFS('muddati otgan'!C:C,A156,'muddati otgan'!J:J,"Yer uchastkasini tahrirlash")</f>
        <v>0</v>
      </c>
      <c r="AU156" s="11">
        <f t="shared" si="29"/>
        <v>0</v>
      </c>
      <c r="AV156" s="11">
        <f>+COUNTIFS('muddati otgan'!C:C,A156,'muddati otgan'!J:J,"Yer toifasi va maqsadini kiritish")</f>
        <v>0</v>
      </c>
      <c r="AW156" s="11">
        <f>+COUNTIFS('muddati otgan'!C:C,A156,'muddati otgan'!J:J,"Auksion yer tekshirish")</f>
        <v>0</v>
      </c>
      <c r="AX156" s="11">
        <f>+COUNTIFS('muddati otgan'!C:C,A156,'muddati otgan'!J:J,"Yer turlarini kiritish")</f>
        <v>0</v>
      </c>
      <c r="AY156" s="11">
        <f>+COUNTIFS('muddati otgan'!C:C,A156,'muddati otgan'!J:J,"Ma'lumotlarni kiritish")</f>
        <v>0</v>
      </c>
      <c r="AZ156" s="11">
        <f>+COUNTIFS('muddati otgan'!C:C,A156,'muddati otgan'!J:J,"Yer tekshirish")</f>
        <v>0</v>
      </c>
      <c r="BA156" s="11">
        <f t="shared" si="30"/>
        <v>0</v>
      </c>
      <c r="BB156" s="11">
        <f>+COUNTIFS('muddati otgan'!C:C,A156,'muddati otgan'!J:J,"Bino va inshoot ma'lumotlarini to‘ldirish")</f>
        <v>0</v>
      </c>
      <c r="BC156" s="11">
        <f>+COUNTIFS('muddati otgan'!C:C,A156,'muddati otgan'!J:J,"Inventarizatsiya ma'lumotlarini to‘ldirish")</f>
        <v>0</v>
      </c>
      <c r="BD156" s="11">
        <f>+COUNTIFS('muddati otgan'!C:C,A156,'muddati otgan'!J:J,"Yer uchastkasiga huquqiy hujjatlarni kiritsh")</f>
        <v>0</v>
      </c>
      <c r="BE156" s="11">
        <f>+COUNTIFS('muddati otgan'!C:C,A156,'muddati otgan'!J:J,"Bino-inshootlarga huquqiy hujjatlarni kiritsh")</f>
        <v>0</v>
      </c>
      <c r="BF156" s="11">
        <f>+COUNTIFS('muddati otgan'!C:C,A156,'muddati otgan'!J:J,"Kadastr qiymatini hisoblash va kiritish")</f>
        <v>0</v>
      </c>
      <c r="BG156" s="11">
        <f>+COUNTIFS('muddati otgan'!C:C,A156,'muddati otgan'!J:J,"Kadastr raqam biriktirish")</f>
        <v>0</v>
      </c>
      <c r="BH156" s="11">
        <f>+COUNTIFS('muddati otgan'!C:C,A156,'muddati otgan'!J:J,"Kadastr yig'ma jildni tayyorlash")</f>
        <v>0</v>
      </c>
      <c r="BI156" s="11">
        <f>+COUNTIFS('muddati otgan'!C:C,A156,'muddati otgan'!J:J,"Huquqni yaratish")</f>
        <v>0</v>
      </c>
      <c r="BJ156" s="11">
        <f>+COUNTIFS('muddati otgan'!C:C,A156,'muddati otgan'!J:J,"Hujjatlarni o'rganish")</f>
        <v>0</v>
      </c>
      <c r="BK156" s="11">
        <f>+COUNTIFS('muddati otgan'!C:C,A156,'muddati otgan'!J:J,"Ma'lumotlarni tekshirish")</f>
        <v>0</v>
      </c>
      <c r="BL156" s="11">
        <f t="shared" si="31"/>
        <v>0</v>
      </c>
      <c r="BM156" s="11">
        <f>+COUNTIFS('muddati otgan'!C:C,A156,'muddati otgan'!J:J,"Tekshirish")</f>
        <v>0</v>
      </c>
      <c r="BN156" s="11">
        <f>+COUNTIFS('muddati otgan'!C:C,A156,'muddati otgan'!J:J,"Hujjatlarni tekshirish")</f>
        <v>0</v>
      </c>
      <c r="BO156" s="11">
        <f>+COUNTIFS('muddati otgan'!C:C,A156,'muddati otgan'!J:J,"Tasdiqlash")</f>
        <v>0</v>
      </c>
      <c r="BP156" s="11">
        <f>+COUNTIFS('muddati otgan'!C:C,A156,'muddati otgan'!J:J,"tekshirish/tasdiqlash")</f>
        <v>0</v>
      </c>
      <c r="BQ156" s="11">
        <f>+COUNTIFS('muddati otgan'!C:C,A156,'muddati otgan'!J:J,"Ma'lumotlarni tasdiqlash")</f>
        <v>0</v>
      </c>
      <c r="BR156" s="11">
        <f t="shared" si="32"/>
        <v>1</v>
      </c>
      <c r="BS156" s="11">
        <f>+COUNTIFS('muddati otgan'!C:C,A156,'muddati otgan'!J:J,"Ro'yxatdan o'tkazish ma'lumotlarini tekshirish")</f>
        <v>1</v>
      </c>
      <c r="BT156" s="11">
        <f>+COUNTIFS('muddati otgan'!C:C,A156,'muddati otgan'!J:J,"Kamchiliklar bo'yicha habarnoma yuborish va 3 kunga to'xtatish")</f>
        <v>0</v>
      </c>
      <c r="BU156" s="11">
        <f>+COUNTIFS('muddati otgan'!C:C,A156,'muddati otgan'!J:J,"Hisobga olish")</f>
        <v>0</v>
      </c>
      <c r="BV156" s="11">
        <f>+COUNTIFS('muddati otgan'!C:C,A156,'muddati otgan'!J:J,"Yer uchastkasiga huquq yaratish")</f>
        <v>0</v>
      </c>
      <c r="BW156" s="11">
        <f>+COUNTIFS('muddati otgan'!C:C,A156,'muddati otgan'!J:J,"Bino-inshootga huquq yaratish")</f>
        <v>0</v>
      </c>
      <c r="BX156" s="11">
        <f>+COUNTIFS('muddati otgan'!C:C,A156,'muddati otgan'!J:J,"Cheklov yaratish")</f>
        <v>0</v>
      </c>
      <c r="BY156" s="11">
        <f>+COUNTIFS('muddati otgan'!C:C,A156,'muddati otgan'!J:J,"Taqiq yaratish")</f>
        <v>0</v>
      </c>
      <c r="BZ156" s="11">
        <f t="shared" si="33"/>
        <v>0</v>
      </c>
      <c r="CA156" s="11">
        <f>+COUNTIFS('muddati otgan'!C:C,A156,'muddati otgan'!J:J,"Soliq maydonini tekshirish")</f>
        <v>0</v>
      </c>
      <c r="CB156" s="11">
        <f t="shared" si="34"/>
        <v>0</v>
      </c>
      <c r="CC156" s="11">
        <f>+COUNTIFS('muddati otgan'!C:C,A156,'muddati otgan'!J:J,"Kadastr yig'majildini shakllantirish")</f>
        <v>0</v>
      </c>
      <c r="CD156" s="11">
        <f t="shared" si="35"/>
        <v>0</v>
      </c>
      <c r="CE156" s="11">
        <f>+COUNTIFS('muddati otgan'!C:C,A156,'muddati otgan'!J:J,"Kadastr passportini shakllantirish")</f>
        <v>0</v>
      </c>
      <c r="CF156" s="11">
        <f>+COUNTIFS('muddati otgan'!C:C,A156,'muddati otgan'!J:J,"Yig'ma jildni tasdiqlash")</f>
        <v>0</v>
      </c>
      <c r="CG156" s="11">
        <f>+COUNTIFS('muddati otgan'!C:C,A156,'muddati otgan'!J:J,"To'lov yoki bepul tasdiqlash")</f>
        <v>0</v>
      </c>
      <c r="CH156" s="11">
        <f>+COUNTIFS('muddati otgan'!C:C,A156,'muddati otgan'!J:J,"Bog'liq arizani kutish")</f>
        <v>0</v>
      </c>
      <c r="CI156" s="11">
        <f>+COUNTIFS('muddati otgan'!C:C,A156,'muddati otgan'!J:J,"To'lovga chiqarish")</f>
        <v>0</v>
      </c>
      <c r="CJ156" s="11">
        <f>+COUNTIFS('muddati otgan'!C:C,A156,'muddati otgan'!J:J,"Hisobga qo'yish")</f>
        <v>0</v>
      </c>
      <c r="CK156" s="6">
        <f>+COUNTIFS('muddati otgan'!C:C,A156,'muddati otgan'!J:J,"To'lov kutilmoqda")</f>
        <v>0</v>
      </c>
      <c r="CL156" s="11">
        <f t="shared" si="36"/>
        <v>0</v>
      </c>
      <c r="CM156" s="11">
        <f>+COUNTIFS('muddati otgan'!C:C,A156,'muddati otgan'!AA:AA,"Arizani qabul qilish2")</f>
        <v>0</v>
      </c>
      <c r="CN156" s="11">
        <f>+COUNTIFS('muddati otgan'!C:C,A156,'muddati otgan'!J:J,"Huquqlarni tekshirish")</f>
        <v>0</v>
      </c>
      <c r="CO156" s="11">
        <f>+COUNTIFS('muddati otgan'!C:C,A156,'muddati otgan'!J:J,"Ko'chmas mulkni ro'yhatdan o'tkazishga qabul qilish")</f>
        <v>0</v>
      </c>
      <c r="CP156" s="11">
        <f>+COUNTIFS('muddati otgan'!C:C,A156,'muddati otgan'!J:J,"Ro'yxatdan o'tkazish")</f>
        <v>0</v>
      </c>
      <c r="CQ156" s="11">
        <f>+COUNTIFS('muddati otgan'!C:C,A156,'muddati otgan'!J:J,"Kadastr pasporti va ko'chirmani yuborish")</f>
        <v>0</v>
      </c>
      <c r="CR156" s="11">
        <f>+COUNTIFS('muddati otgan'!C:C,A156,'muddati otgan'!AA:AA,"Rad qilish2")</f>
        <v>0</v>
      </c>
      <c r="CS156" s="11">
        <f>+COUNTIFS('muddati otgan'!C:C,A156,'muddati otgan'!J:J,"Ko'chirmani yuborish")</f>
        <v>0</v>
      </c>
      <c r="CT156" s="11">
        <f>+COUNTIFS('muddati otgan'!C:C,A156,'muddati otgan'!J:J,"Ma‘lumotlarni tekshirish")</f>
        <v>0</v>
      </c>
      <c r="CU156" s="11">
        <f t="shared" si="37"/>
        <v>0</v>
      </c>
      <c r="CV156" s="11">
        <f>+COUNTIFS('muddati otgan'!C:C,A156,'muddati otgan'!J:J,"Kadastr yig'majildini chop etish va arxiv ishiga tikish")</f>
        <v>0</v>
      </c>
      <c r="CW156" s="11">
        <f t="shared" si="38"/>
        <v>0</v>
      </c>
      <c r="CX156" s="11">
        <f>+COUNTIFS('muddati otgan'!C:C,A156,'muddati otgan'!J:J,"Kadastr yig‘majildini qabul qilish, arizani yakunlash")</f>
        <v>0</v>
      </c>
      <c r="CY156" s="11">
        <f>+COUNTIFS('muddati otgan'!C:C,A156,'muddati otgan'!J:J,"Next Cloudga yuklash")</f>
        <v>0</v>
      </c>
      <c r="CZ156" s="6">
        <f>+COUNTIFS('muddati otgan'!C:C,A156,'muddati otgan'!J:J,"Kelishish kutilmoqda")</f>
        <v>0</v>
      </c>
      <c r="DA156" s="6">
        <f>+COUNTIFS('muddati otgan'!C:C,A156,'muddati otgan'!J:J,"Yakunlandi")</f>
        <v>0</v>
      </c>
      <c r="DB156" s="10">
        <f>+COUNTIFS('muddati otgan'!C:C,A156,'muddati otgan'!J:J,"Rad etildi")</f>
        <v>0</v>
      </c>
      <c r="DC156" s="100">
        <f t="shared" si="5"/>
        <v>-1</v>
      </c>
      <c r="DD156" s="44">
        <f>COUNTIFS('jami 1-20 kunlik arizalar'!C:C,A:A,'jami 1-20 kunlik arizalar'!S:S,"1")</f>
        <v>0</v>
      </c>
      <c r="DE156" s="11">
        <f>COUNTIFS('jami 1-20 kunlik arizalar'!C:C,A:A,'jami 1-20 kunlik arizalar'!S:S,"2")</f>
        <v>0</v>
      </c>
      <c r="DF156" s="11">
        <f>COUNTIFS('jami 1-20 kunlik arizalar'!C:C,A:A,'jami 1-20 kunlik arizalar'!S:S,"3")</f>
        <v>1</v>
      </c>
      <c r="DG156" s="11">
        <f>COUNTIFS('jami 1-20 kunlik arizalar'!C:C,A:A,'jami 1-20 kunlik arizalar'!S:S,"4")</f>
        <v>2</v>
      </c>
      <c r="DH156" s="11">
        <f>COUNTIFS('jami 1-20 kunlik arizalar'!C:C,A:A,'jami 1-20 kunlik arizalar'!S:S,"5")</f>
        <v>2</v>
      </c>
      <c r="DI156" s="11">
        <f>SUM(COUNTIFS('jami 1-20 kunlik arizalar'!C:C,A:A, 'jami 1-20 kunlik arizalar'!S:S, {6,7,8,9,10}))</f>
        <v>11</v>
      </c>
      <c r="DJ156" s="12">
        <f>SUM(COUNTIFS('jami 1-20 kunlik arizalar'!C:C,A:A, 'jami 1-20 kunlik arizalar'!S:S, "&gt;10"))</f>
        <v>5</v>
      </c>
    </row>
    <row r="157" spans="1:114" ht="32.1" hidden="1" customHeight="1" outlineLevel="1" x14ac:dyDescent="0.25">
      <c r="A157" s="92" t="s">
        <v>618</v>
      </c>
      <c r="B157" s="74"/>
      <c r="C157" s="85" t="s">
        <v>856</v>
      </c>
      <c r="D157" s="80">
        <f>+COUNTIFS('muddati otgan'!C:C,A157,'muddati otgan'!C:C,A157)</f>
        <v>1</v>
      </c>
      <c r="E157" s="10">
        <f>SUMIFS('muddati otgan'!$V:V,'muddati otgan'!$C:C,$A:A)</f>
        <v>1</v>
      </c>
      <c r="F157" s="10">
        <f>SUMIFS('muddati otgan'!$W:W,'muddati otgan'!$C:C,$A:A)</f>
        <v>0</v>
      </c>
      <c r="G157" s="24">
        <f>SUMIFS('muddati otgan'!$U:U,'muddati otgan'!$C:C,$A:A)</f>
        <v>0</v>
      </c>
      <c r="H157" s="11">
        <f>SUMIFS('muddati otgan'!$G:G,'muddati otgan'!$C:C,$A:A)</f>
        <v>0</v>
      </c>
      <c r="I157" s="12">
        <f>SUMIFS('muddati otgan'!$H:H,'muddati otgan'!$C:C,$A:A)</f>
        <v>1</v>
      </c>
      <c r="J157" s="44">
        <f t="shared" si="23"/>
        <v>0</v>
      </c>
      <c r="K157" s="11">
        <f>+COUNTIFS('muddati otgan'!C:C,A157,'muddati otgan'!AA:AA,"Arizani qabul qilish")</f>
        <v>0</v>
      </c>
      <c r="L157" s="11">
        <f>+COUNTIFS('muddati otgan'!C:C,A157,'muddati otgan'!J:J,"Arizani rad etish")</f>
        <v>0</v>
      </c>
      <c r="M157" s="11">
        <f>+COUNTIFS('muddati otgan'!C:C,A157,'muddati otgan'!J:J,"Arizani tasdiqlash")</f>
        <v>0</v>
      </c>
      <c r="N157" s="11">
        <f>+COUNTIFS('muddati otgan'!C:C,A157,'muddati otgan'!J:J,"Arizani yo'naltirish")</f>
        <v>0</v>
      </c>
      <c r="O157" s="11">
        <f>+COUNTIFS('muddati otgan'!C:C,A157,'muddati otgan'!J:J,"Rad qilish sababini o'rganish")</f>
        <v>0</v>
      </c>
      <c r="P157" s="11">
        <f>+COUNTIFS('muddati otgan'!C:C,A157,'muddati otgan'!J:J,"Ko'chmas mulkni UZKAD ga migratsiya qilish")</f>
        <v>0</v>
      </c>
      <c r="Q157" s="11">
        <f>+COUNTIFS('muddati otgan'!C:C,A157,'muddati otgan'!J:J,"Migratisya qilingan obyekt holatini tekshirish")</f>
        <v>0</v>
      </c>
      <c r="R157" s="11">
        <f>+COUNTIFS('muddati otgan'!C:C,A157,'muddati otgan'!J:J,"Ko‘chmas mulkni tanlash")</f>
        <v>0</v>
      </c>
      <c r="S157" s="11">
        <f>+COUNTIFS('muddati otgan'!C:C,A157,'muddati otgan'!J:J,"Arizani ko'rib chiqish")</f>
        <v>0</v>
      </c>
      <c r="T157" s="11">
        <f>+COUNTIFS('muddati otgan'!C:C,A157,'muddati otgan'!J:J,"Kadastr muhandisini tanlash")</f>
        <v>0</v>
      </c>
      <c r="U157" s="11">
        <f>+COUNTIFS('muddati otgan'!C:C,A157,'muddati otgan'!J:J,"Ko'chmas mulk turini tanlahsh")</f>
        <v>0</v>
      </c>
      <c r="V157" s="11">
        <f>+COUNTIFS('muddati otgan'!C:C,A157,'muddati otgan'!AA:AA,"Rad qilish")</f>
        <v>0</v>
      </c>
      <c r="W157" s="11">
        <f>+COUNTIFS('muddati otgan'!C:C,A157,'muddati otgan'!J:J,"ijrochi tanlash")</f>
        <v>0</v>
      </c>
      <c r="X157" s="11">
        <f>+COUNTIFS('muddati otgan'!C:C,A157,'muddati otgan'!J:J,"Ko'chmas mulk turini tanlash")</f>
        <v>0</v>
      </c>
      <c r="Y157" s="11">
        <f t="shared" si="24"/>
        <v>0</v>
      </c>
      <c r="Z157" s="11">
        <f>+COUNTIFS('muddati otgan'!C:C,A157,'muddati otgan'!J:J,"Ijroga qabul qilish")</f>
        <v>0</v>
      </c>
      <c r="AA157" s="11">
        <f>+COUNTIFS('muddati otgan'!C:C,A157,'muddati otgan'!J:J,"Joyida o'rganish va ma'lumotlarni kiritish")</f>
        <v>0</v>
      </c>
      <c r="AB157" s="11">
        <f>+COUNTIFS('muddati otgan'!C:C,A157,'muddati otgan'!J:J,"Asosiy qismdan ajratish jarayonida")</f>
        <v>0</v>
      </c>
      <c r="AC157" s="11">
        <f>+COUNTIFS('muddati otgan'!C:C,A157,'muddati otgan'!J:J,"Umumiy foydalanishdagi obyekt yaratilish")</f>
        <v>0</v>
      </c>
      <c r="AD157" s="11">
        <f>+COUNTIFS('muddati otgan'!C:C,A157,'muddati otgan'!J:J,"Migratsiya qilinadigan kadastr raqamini kiritish")</f>
        <v>0</v>
      </c>
      <c r="AE157" s="11">
        <f>+COUNTIFS('muddati otgan'!C:C,A157,'muddati otgan'!J:J,"O'zida qolgan obyektni yaratish")</f>
        <v>0</v>
      </c>
      <c r="AF157" s="11">
        <f>+COUNTIFS('muddati otgan'!C:C,A157,'muddati otgan'!J:J,"O'lchov natijalarini kiritish")</f>
        <v>0</v>
      </c>
      <c r="AG157" s="11">
        <f>+COUNTIFS('muddati otgan'!C:C,A157,'muddati otgan'!J:J,"Topoxaritani tayyorlash (dwg, pdf)")</f>
        <v>0</v>
      </c>
      <c r="AH157" s="11">
        <f t="shared" si="25"/>
        <v>0</v>
      </c>
      <c r="AI157" s="11">
        <f>+COUNTIFS('muddati otgan'!C:C,A157,'muddati otgan'!J:J,"Yer uchastkasini yaratish")</f>
        <v>0</v>
      </c>
      <c r="AJ157" s="11">
        <f t="shared" si="26"/>
        <v>0</v>
      </c>
      <c r="AK157" s="11">
        <f>+COUNTIFS('muddati otgan'!C:C,A157,'muddati otgan'!J:J,"Kelishish (Boshqarma)")</f>
        <v>0</v>
      </c>
      <c r="AL157" s="11">
        <f t="shared" si="27"/>
        <v>0</v>
      </c>
      <c r="AM157" s="11">
        <f>+COUNTIFS('muddati otgan'!C:C,A157,'muddati otgan'!J:J,"Kelishish (DKP)")</f>
        <v>0</v>
      </c>
      <c r="AN157" s="11">
        <f>+COUNTIFS('muddati otgan'!C:C,A157,'muddati otgan'!J:J,"Kelishish")</f>
        <v>0</v>
      </c>
      <c r="AO157" s="11">
        <f>+COUNTIFS('muddati otgan'!C:C,A157,'muddati otgan'!J:J,"Kelishish (Registratsiya DKP)")</f>
        <v>0</v>
      </c>
      <c r="AP157" s="11">
        <f t="shared" si="28"/>
        <v>0</v>
      </c>
      <c r="AQ157" s="11">
        <f>+COUNTIFS('muddati otgan'!C:C,A157,'muddati otgan'!J:J,"Manzil biriktirish")</f>
        <v>0</v>
      </c>
      <c r="AR157" s="11">
        <f>+COUNTIFS('muddati otgan'!C:C,A157,'muddati otgan'!J:J,"Bino va inshootlarni yaratish")</f>
        <v>0</v>
      </c>
      <c r="AS157" s="11">
        <f>+COUNTIFS('muddati otgan'!C:C,A157,'muddati otgan'!J:J,"Dov daraxtlarni yaratish")</f>
        <v>0</v>
      </c>
      <c r="AT157" s="11">
        <f>+COUNTIFS('muddati otgan'!C:C,A157,'muddati otgan'!J:J,"Yer uchastkasini tahrirlash")</f>
        <v>0</v>
      </c>
      <c r="AU157" s="11">
        <f t="shared" si="29"/>
        <v>0</v>
      </c>
      <c r="AV157" s="11">
        <f>+COUNTIFS('muddati otgan'!C:C,A157,'muddati otgan'!J:J,"Yer toifasi va maqsadini kiritish")</f>
        <v>0</v>
      </c>
      <c r="AW157" s="11">
        <f>+COUNTIFS('muddati otgan'!C:C,A157,'muddati otgan'!J:J,"Auksion yer tekshirish")</f>
        <v>0</v>
      </c>
      <c r="AX157" s="11">
        <f>+COUNTIFS('muddati otgan'!C:C,A157,'muddati otgan'!J:J,"Yer turlarini kiritish")</f>
        <v>0</v>
      </c>
      <c r="AY157" s="11">
        <f>+COUNTIFS('muddati otgan'!C:C,A157,'muddati otgan'!J:J,"Ma'lumotlarni kiritish")</f>
        <v>0</v>
      </c>
      <c r="AZ157" s="11">
        <f>+COUNTIFS('muddati otgan'!C:C,A157,'muddati otgan'!J:J,"Yer tekshirish")</f>
        <v>0</v>
      </c>
      <c r="BA157" s="11">
        <f t="shared" si="30"/>
        <v>0</v>
      </c>
      <c r="BB157" s="11">
        <f>+COUNTIFS('muddati otgan'!C:C,A157,'muddati otgan'!J:J,"Bino va inshoot ma'lumotlarini to‘ldirish")</f>
        <v>0</v>
      </c>
      <c r="BC157" s="11">
        <f>+COUNTIFS('muddati otgan'!C:C,A157,'muddati otgan'!J:J,"Inventarizatsiya ma'lumotlarini to‘ldirish")</f>
        <v>0</v>
      </c>
      <c r="BD157" s="11">
        <f>+COUNTIFS('muddati otgan'!C:C,A157,'muddati otgan'!J:J,"Yer uchastkasiga huquqiy hujjatlarni kiritsh")</f>
        <v>0</v>
      </c>
      <c r="BE157" s="11">
        <f>+COUNTIFS('muddati otgan'!C:C,A157,'muddati otgan'!J:J,"Bino-inshootlarga huquqiy hujjatlarni kiritsh")</f>
        <v>0</v>
      </c>
      <c r="BF157" s="11">
        <f>+COUNTIFS('muddati otgan'!C:C,A157,'muddati otgan'!J:J,"Kadastr qiymatini hisoblash va kiritish")</f>
        <v>0</v>
      </c>
      <c r="BG157" s="11">
        <f>+COUNTIFS('muddati otgan'!C:C,A157,'muddati otgan'!J:J,"Kadastr raqam biriktirish")</f>
        <v>0</v>
      </c>
      <c r="BH157" s="11">
        <f>+COUNTIFS('muddati otgan'!C:C,A157,'muddati otgan'!J:J,"Kadastr yig'ma jildni tayyorlash")</f>
        <v>0</v>
      </c>
      <c r="BI157" s="11">
        <f>+COUNTIFS('muddati otgan'!C:C,A157,'muddati otgan'!J:J,"Huquqni yaratish")</f>
        <v>0</v>
      </c>
      <c r="BJ157" s="11">
        <f>+COUNTIFS('muddati otgan'!C:C,A157,'muddati otgan'!J:J,"Hujjatlarni o'rganish")</f>
        <v>0</v>
      </c>
      <c r="BK157" s="11">
        <f>+COUNTIFS('muddati otgan'!C:C,A157,'muddati otgan'!J:J,"Ma'lumotlarni tekshirish")</f>
        <v>0</v>
      </c>
      <c r="BL157" s="11">
        <f t="shared" si="31"/>
        <v>0</v>
      </c>
      <c r="BM157" s="11">
        <f>+COUNTIFS('muddati otgan'!C:C,A157,'muddati otgan'!J:J,"Tekshirish")</f>
        <v>0</v>
      </c>
      <c r="BN157" s="11">
        <f>+COUNTIFS('muddati otgan'!C:C,A157,'muddati otgan'!J:J,"Hujjatlarni tekshirish")</f>
        <v>0</v>
      </c>
      <c r="BO157" s="11">
        <f>+COUNTIFS('muddati otgan'!C:C,A157,'muddati otgan'!J:J,"Tasdiqlash")</f>
        <v>0</v>
      </c>
      <c r="BP157" s="11">
        <f>+COUNTIFS('muddati otgan'!C:C,A157,'muddati otgan'!J:J,"tekshirish/tasdiqlash")</f>
        <v>0</v>
      </c>
      <c r="BQ157" s="11">
        <f>+COUNTIFS('muddati otgan'!C:C,A157,'muddati otgan'!J:J,"Ma'lumotlarni tasdiqlash")</f>
        <v>0</v>
      </c>
      <c r="BR157" s="11">
        <f t="shared" si="32"/>
        <v>0</v>
      </c>
      <c r="BS157" s="11">
        <f>+COUNTIFS('muddati otgan'!C:C,A157,'muddati otgan'!J:J,"Ro'yxatdan o'tkazish ma'lumotlarini tekshirish")</f>
        <v>0</v>
      </c>
      <c r="BT157" s="11">
        <f>+COUNTIFS('muddati otgan'!C:C,A157,'muddati otgan'!J:J,"Kamchiliklar bo'yicha habarnoma yuborish va 3 kunga to'xtatish")</f>
        <v>0</v>
      </c>
      <c r="BU157" s="11">
        <f>+COUNTIFS('muddati otgan'!C:C,A157,'muddati otgan'!J:J,"Hisobga olish")</f>
        <v>0</v>
      </c>
      <c r="BV157" s="11">
        <f>+COUNTIFS('muddati otgan'!C:C,A157,'muddati otgan'!J:J,"Yer uchastkasiga huquq yaratish")</f>
        <v>0</v>
      </c>
      <c r="BW157" s="11">
        <f>+COUNTIFS('muddati otgan'!C:C,A157,'muddati otgan'!J:J,"Bino-inshootga huquq yaratish")</f>
        <v>0</v>
      </c>
      <c r="BX157" s="11">
        <f>+COUNTIFS('muddati otgan'!C:C,A157,'muddati otgan'!J:J,"Cheklov yaratish")</f>
        <v>0</v>
      </c>
      <c r="BY157" s="11">
        <f>+COUNTIFS('muddati otgan'!C:C,A157,'muddati otgan'!J:J,"Taqiq yaratish")</f>
        <v>0</v>
      </c>
      <c r="BZ157" s="11">
        <f t="shared" si="33"/>
        <v>0</v>
      </c>
      <c r="CA157" s="11">
        <f>+COUNTIFS('muddati otgan'!C:C,A157,'muddati otgan'!J:J,"Soliq maydonini tekshirish")</f>
        <v>0</v>
      </c>
      <c r="CB157" s="11">
        <f t="shared" si="34"/>
        <v>0</v>
      </c>
      <c r="CC157" s="11">
        <f>+COUNTIFS('muddati otgan'!C:C,A157,'muddati otgan'!J:J,"Kadastr yig'majildini shakllantirish")</f>
        <v>0</v>
      </c>
      <c r="CD157" s="11">
        <f t="shared" si="35"/>
        <v>0</v>
      </c>
      <c r="CE157" s="11">
        <f>+COUNTIFS('muddati otgan'!C:C,A157,'muddati otgan'!J:J,"Kadastr passportini shakllantirish")</f>
        <v>0</v>
      </c>
      <c r="CF157" s="11">
        <f>+COUNTIFS('muddati otgan'!C:C,A157,'muddati otgan'!J:J,"Yig'ma jildni tasdiqlash")</f>
        <v>0</v>
      </c>
      <c r="CG157" s="11">
        <f>+COUNTIFS('muddati otgan'!C:C,A157,'muddati otgan'!J:J,"To'lov yoki bepul tasdiqlash")</f>
        <v>0</v>
      </c>
      <c r="CH157" s="11">
        <f>+COUNTIFS('muddati otgan'!C:C,A157,'muddati otgan'!J:J,"Bog'liq arizani kutish")</f>
        <v>0</v>
      </c>
      <c r="CI157" s="11">
        <f>+COUNTIFS('muddati otgan'!C:C,A157,'muddati otgan'!J:J,"To'lovga chiqarish")</f>
        <v>0</v>
      </c>
      <c r="CJ157" s="11">
        <f>+COUNTIFS('muddati otgan'!C:C,A157,'muddati otgan'!J:J,"Hisobga qo'yish")</f>
        <v>0</v>
      </c>
      <c r="CK157" s="6">
        <f>+COUNTIFS('muddati otgan'!C:C,A157,'muddati otgan'!J:J,"To'lov kutilmoqda")</f>
        <v>0</v>
      </c>
      <c r="CL157" s="11">
        <f t="shared" si="36"/>
        <v>0</v>
      </c>
      <c r="CM157" s="11">
        <f>+COUNTIFS('muddati otgan'!C:C,A157,'muddati otgan'!AA:AA,"Arizani qabul qilish2")</f>
        <v>0</v>
      </c>
      <c r="CN157" s="11">
        <f>+COUNTIFS('muddati otgan'!C:C,A157,'muddati otgan'!J:J,"Huquqlarni tekshirish")</f>
        <v>0</v>
      </c>
      <c r="CO157" s="11">
        <f>+COUNTIFS('muddati otgan'!C:C,A157,'muddati otgan'!J:J,"Ko'chmas mulkni ro'yhatdan o'tkazishga qabul qilish")</f>
        <v>0</v>
      </c>
      <c r="CP157" s="11">
        <f>+COUNTIFS('muddati otgan'!C:C,A157,'muddati otgan'!J:J,"Ro'yxatdan o'tkazish")</f>
        <v>0</v>
      </c>
      <c r="CQ157" s="11">
        <f>+COUNTIFS('muddati otgan'!C:C,A157,'muddati otgan'!J:J,"Kadastr pasporti va ko'chirmani yuborish")</f>
        <v>0</v>
      </c>
      <c r="CR157" s="11">
        <f>+COUNTIFS('muddati otgan'!C:C,A157,'muddati otgan'!AA:AA,"Rad qilish2")</f>
        <v>0</v>
      </c>
      <c r="CS157" s="11">
        <f>+COUNTIFS('muddati otgan'!C:C,A157,'muddati otgan'!J:J,"Ko'chirmani yuborish")</f>
        <v>0</v>
      </c>
      <c r="CT157" s="11">
        <f>+COUNTIFS('muddati otgan'!C:C,A157,'muddati otgan'!J:J,"Ma‘lumotlarni tekshirish")</f>
        <v>0</v>
      </c>
      <c r="CU157" s="11">
        <f t="shared" si="37"/>
        <v>0</v>
      </c>
      <c r="CV157" s="11">
        <f>+COUNTIFS('muddati otgan'!C:C,A157,'muddati otgan'!J:J,"Kadastr yig'majildini chop etish va arxiv ishiga tikish")</f>
        <v>0</v>
      </c>
      <c r="CW157" s="11">
        <f t="shared" si="38"/>
        <v>0</v>
      </c>
      <c r="CX157" s="11">
        <f>+COUNTIFS('muddati otgan'!C:C,A157,'muddati otgan'!J:J,"Kadastr yig‘majildini qabul qilish, arizani yakunlash")</f>
        <v>0</v>
      </c>
      <c r="CY157" s="11">
        <f>+COUNTIFS('muddati otgan'!C:C,A157,'muddati otgan'!J:J,"Next Cloudga yuklash")</f>
        <v>0</v>
      </c>
      <c r="CZ157" s="6">
        <f>+COUNTIFS('muddati otgan'!C:C,A157,'muddati otgan'!J:J,"Kelishish kutilmoqda")</f>
        <v>0</v>
      </c>
      <c r="DA157" s="6">
        <f>+COUNTIFS('muddati otgan'!C:C,A157,'muddati otgan'!J:J,"Yakunlandi")</f>
        <v>1</v>
      </c>
      <c r="DB157" s="10">
        <f>+COUNTIFS('muddati otgan'!C:C,A157,'muddati otgan'!J:J,"Rad etildi")</f>
        <v>0</v>
      </c>
      <c r="DC157" s="100">
        <f t="shared" si="5"/>
        <v>0</v>
      </c>
      <c r="DD157" s="44">
        <f>COUNTIFS('jami 1-20 kunlik arizalar'!C:C,A:A,'jami 1-20 kunlik arizalar'!S:S,"1")</f>
        <v>0</v>
      </c>
      <c r="DE157" s="11">
        <f>COUNTIFS('jami 1-20 kunlik arizalar'!C:C,A:A,'jami 1-20 kunlik arizalar'!S:S,"2")</f>
        <v>0</v>
      </c>
      <c r="DF157" s="11">
        <f>COUNTIFS('jami 1-20 kunlik arizalar'!C:C,A:A,'jami 1-20 kunlik arizalar'!S:S,"3")</f>
        <v>3</v>
      </c>
      <c r="DG157" s="11">
        <f>COUNTIFS('jami 1-20 kunlik arizalar'!C:C,A:A,'jami 1-20 kunlik arizalar'!S:S,"4")</f>
        <v>5</v>
      </c>
      <c r="DH157" s="11">
        <f>COUNTIFS('jami 1-20 kunlik arizalar'!C:C,A:A,'jami 1-20 kunlik arizalar'!S:S,"5")</f>
        <v>2</v>
      </c>
      <c r="DI157" s="11">
        <f>SUM(COUNTIFS('jami 1-20 kunlik arizalar'!C:C,A:A, 'jami 1-20 kunlik arizalar'!S:S, {6,7,8,9,10}))</f>
        <v>3</v>
      </c>
      <c r="DJ157" s="12">
        <f>SUM(COUNTIFS('jami 1-20 kunlik arizalar'!C:C,A:A, 'jami 1-20 kunlik arizalar'!S:S, "&gt;10"))</f>
        <v>5</v>
      </c>
    </row>
    <row r="158" spans="1:114" ht="32.1" hidden="1" customHeight="1" outlineLevel="1" x14ac:dyDescent="0.25">
      <c r="A158" s="92" t="s">
        <v>699</v>
      </c>
      <c r="B158" s="74"/>
      <c r="C158" s="85" t="s">
        <v>857</v>
      </c>
      <c r="D158" s="80">
        <f>+COUNTIFS('muddati otgan'!C:C,A158,'muddati otgan'!C:C,A158)</f>
        <v>1</v>
      </c>
      <c r="E158" s="10">
        <f>SUMIFS('muddati otgan'!$V:V,'muddati otgan'!$C:C,$A:A)</f>
        <v>0</v>
      </c>
      <c r="F158" s="10">
        <f>SUMIFS('muddati otgan'!$W:W,'muddati otgan'!$C:C,$A:A)</f>
        <v>0</v>
      </c>
      <c r="G158" s="24">
        <f>SUMIFS('muddati otgan'!$U:U,'muddati otgan'!$C:C,$A:A)</f>
        <v>1</v>
      </c>
      <c r="H158" s="11">
        <f>SUMIFS('muddati otgan'!$G:G,'muddati otgan'!$C:C,$A:A)</f>
        <v>1</v>
      </c>
      <c r="I158" s="12">
        <f>SUMIFS('muddati otgan'!$H:H,'muddati otgan'!$C:C,$A:A)</f>
        <v>0</v>
      </c>
      <c r="J158" s="44">
        <f t="shared" si="23"/>
        <v>0</v>
      </c>
      <c r="K158" s="11">
        <f>+COUNTIFS('muddati otgan'!C:C,A158,'muddati otgan'!AA:AA,"Arizani qabul qilish")</f>
        <v>0</v>
      </c>
      <c r="L158" s="11">
        <f>+COUNTIFS('muddati otgan'!C:C,A158,'muddati otgan'!J:J,"Arizani rad etish")</f>
        <v>0</v>
      </c>
      <c r="M158" s="11">
        <f>+COUNTIFS('muddati otgan'!C:C,A158,'muddati otgan'!J:J,"Arizani tasdiqlash")</f>
        <v>0</v>
      </c>
      <c r="N158" s="11">
        <f>+COUNTIFS('muddati otgan'!C:C,A158,'muddati otgan'!J:J,"Arizani yo'naltirish")</f>
        <v>0</v>
      </c>
      <c r="O158" s="11">
        <f>+COUNTIFS('muddati otgan'!C:C,A158,'muddati otgan'!J:J,"Rad qilish sababini o'rganish")</f>
        <v>0</v>
      </c>
      <c r="P158" s="11">
        <f>+COUNTIFS('muddati otgan'!C:C,A158,'muddati otgan'!J:J,"Ko'chmas mulkni UZKAD ga migratsiya qilish")</f>
        <v>0</v>
      </c>
      <c r="Q158" s="11">
        <f>+COUNTIFS('muddati otgan'!C:C,A158,'muddati otgan'!J:J,"Migratisya qilingan obyekt holatini tekshirish")</f>
        <v>0</v>
      </c>
      <c r="R158" s="11">
        <f>+COUNTIFS('muddati otgan'!C:C,A158,'muddati otgan'!J:J,"Ko‘chmas mulkni tanlash")</f>
        <v>0</v>
      </c>
      <c r="S158" s="11">
        <f>+COUNTIFS('muddati otgan'!C:C,A158,'muddati otgan'!J:J,"Arizani ko'rib chiqish")</f>
        <v>0</v>
      </c>
      <c r="T158" s="11">
        <f>+COUNTIFS('muddati otgan'!C:C,A158,'muddati otgan'!J:J,"Kadastr muhandisini tanlash")</f>
        <v>0</v>
      </c>
      <c r="U158" s="11">
        <f>+COUNTIFS('muddati otgan'!C:C,A158,'muddati otgan'!J:J,"Ko'chmas mulk turini tanlahsh")</f>
        <v>0</v>
      </c>
      <c r="V158" s="11">
        <f>+COUNTIFS('muddati otgan'!C:C,A158,'muddati otgan'!AA:AA,"Rad qilish")</f>
        <v>0</v>
      </c>
      <c r="W158" s="11">
        <f>+COUNTIFS('muddati otgan'!C:C,A158,'muddati otgan'!J:J,"ijrochi tanlash")</f>
        <v>0</v>
      </c>
      <c r="X158" s="11">
        <f>+COUNTIFS('muddati otgan'!C:C,A158,'muddati otgan'!J:J,"Ko'chmas mulk turini tanlash")</f>
        <v>0</v>
      </c>
      <c r="Y158" s="11">
        <f t="shared" si="24"/>
        <v>0</v>
      </c>
      <c r="Z158" s="11">
        <f>+COUNTIFS('muddati otgan'!C:C,A158,'muddati otgan'!J:J,"Ijroga qabul qilish")</f>
        <v>0</v>
      </c>
      <c r="AA158" s="11">
        <f>+COUNTIFS('muddati otgan'!C:C,A158,'muddati otgan'!J:J,"Joyida o'rganish va ma'lumotlarni kiritish")</f>
        <v>0</v>
      </c>
      <c r="AB158" s="11">
        <f>+COUNTIFS('muddati otgan'!C:C,A158,'muddati otgan'!J:J,"Asosiy qismdan ajratish jarayonida")</f>
        <v>0</v>
      </c>
      <c r="AC158" s="11">
        <f>+COUNTIFS('muddati otgan'!C:C,A158,'muddati otgan'!J:J,"Umumiy foydalanishdagi obyekt yaratilish")</f>
        <v>0</v>
      </c>
      <c r="AD158" s="11">
        <f>+COUNTIFS('muddati otgan'!C:C,A158,'muddati otgan'!J:J,"Migratsiya qilinadigan kadastr raqamini kiritish")</f>
        <v>0</v>
      </c>
      <c r="AE158" s="11">
        <f>+COUNTIFS('muddati otgan'!C:C,A158,'muddati otgan'!J:J,"O'zida qolgan obyektni yaratish")</f>
        <v>0</v>
      </c>
      <c r="AF158" s="11">
        <f>+COUNTIFS('muddati otgan'!C:C,A158,'muddati otgan'!J:J,"O'lchov natijalarini kiritish")</f>
        <v>0</v>
      </c>
      <c r="AG158" s="11">
        <f>+COUNTIFS('muddati otgan'!C:C,A158,'muddati otgan'!J:J,"Topoxaritani tayyorlash (dwg, pdf)")</f>
        <v>0</v>
      </c>
      <c r="AH158" s="11">
        <f t="shared" si="25"/>
        <v>0</v>
      </c>
      <c r="AI158" s="11">
        <f>+COUNTIFS('muddati otgan'!C:C,A158,'muddati otgan'!J:J,"Yer uchastkasini yaratish")</f>
        <v>0</v>
      </c>
      <c r="AJ158" s="11">
        <f t="shared" si="26"/>
        <v>0</v>
      </c>
      <c r="AK158" s="11">
        <f>+COUNTIFS('muddati otgan'!C:C,A158,'muddati otgan'!J:J,"Kelishish (Boshqarma)")</f>
        <v>0</v>
      </c>
      <c r="AL158" s="11">
        <f t="shared" si="27"/>
        <v>0</v>
      </c>
      <c r="AM158" s="11">
        <f>+COUNTIFS('muddati otgan'!C:C,A158,'muddati otgan'!J:J,"Kelishish (DKP)")</f>
        <v>0</v>
      </c>
      <c r="AN158" s="11">
        <f>+COUNTIFS('muddati otgan'!C:C,A158,'muddati otgan'!J:J,"Kelishish")</f>
        <v>0</v>
      </c>
      <c r="AO158" s="11">
        <f>+COUNTIFS('muddati otgan'!C:C,A158,'muddati otgan'!J:J,"Kelishish (Registratsiya DKP)")</f>
        <v>0</v>
      </c>
      <c r="AP158" s="11">
        <f t="shared" si="28"/>
        <v>0</v>
      </c>
      <c r="AQ158" s="11">
        <f>+COUNTIFS('muddati otgan'!C:C,A158,'muddati otgan'!J:J,"Manzil biriktirish")</f>
        <v>0</v>
      </c>
      <c r="AR158" s="11">
        <f>+COUNTIFS('muddati otgan'!C:C,A158,'muddati otgan'!J:J,"Bino va inshootlarni yaratish")</f>
        <v>0</v>
      </c>
      <c r="AS158" s="11">
        <f>+COUNTIFS('muddati otgan'!C:C,A158,'muddati otgan'!J:J,"Dov daraxtlarni yaratish")</f>
        <v>0</v>
      </c>
      <c r="AT158" s="11">
        <f>+COUNTIFS('muddati otgan'!C:C,A158,'muddati otgan'!J:J,"Yer uchastkasini tahrirlash")</f>
        <v>0</v>
      </c>
      <c r="AU158" s="11">
        <f t="shared" si="29"/>
        <v>0</v>
      </c>
      <c r="AV158" s="11">
        <f>+COUNTIFS('muddati otgan'!C:C,A158,'muddati otgan'!J:J,"Yer toifasi va maqsadini kiritish")</f>
        <v>0</v>
      </c>
      <c r="AW158" s="11">
        <f>+COUNTIFS('muddati otgan'!C:C,A158,'muddati otgan'!J:J,"Auksion yer tekshirish")</f>
        <v>0</v>
      </c>
      <c r="AX158" s="11">
        <f>+COUNTIFS('muddati otgan'!C:C,A158,'muddati otgan'!J:J,"Yer turlarini kiritish")</f>
        <v>0</v>
      </c>
      <c r="AY158" s="11">
        <f>+COUNTIFS('muddati otgan'!C:C,A158,'muddati otgan'!J:J,"Ma'lumotlarni kiritish")</f>
        <v>0</v>
      </c>
      <c r="AZ158" s="11">
        <f>+COUNTIFS('muddati otgan'!C:C,A158,'muddati otgan'!J:J,"Yer tekshirish")</f>
        <v>0</v>
      </c>
      <c r="BA158" s="11">
        <f t="shared" si="30"/>
        <v>0</v>
      </c>
      <c r="BB158" s="11">
        <f>+COUNTIFS('muddati otgan'!C:C,A158,'muddati otgan'!J:J,"Bino va inshoot ma'lumotlarini to‘ldirish")</f>
        <v>0</v>
      </c>
      <c r="BC158" s="11">
        <f>+COUNTIFS('muddati otgan'!C:C,A158,'muddati otgan'!J:J,"Inventarizatsiya ma'lumotlarini to‘ldirish")</f>
        <v>0</v>
      </c>
      <c r="BD158" s="11">
        <f>+COUNTIFS('muddati otgan'!C:C,A158,'muddati otgan'!J:J,"Yer uchastkasiga huquqiy hujjatlarni kiritsh")</f>
        <v>0</v>
      </c>
      <c r="BE158" s="11">
        <f>+COUNTIFS('muddati otgan'!C:C,A158,'muddati otgan'!J:J,"Bino-inshootlarga huquqiy hujjatlarni kiritsh")</f>
        <v>0</v>
      </c>
      <c r="BF158" s="11">
        <f>+COUNTIFS('muddati otgan'!C:C,A158,'muddati otgan'!J:J,"Kadastr qiymatini hisoblash va kiritish")</f>
        <v>0</v>
      </c>
      <c r="BG158" s="11">
        <f>+COUNTIFS('muddati otgan'!C:C,A158,'muddati otgan'!J:J,"Kadastr raqam biriktirish")</f>
        <v>0</v>
      </c>
      <c r="BH158" s="11">
        <f>+COUNTIFS('muddati otgan'!C:C,A158,'muddati otgan'!J:J,"Kadastr yig'ma jildni tayyorlash")</f>
        <v>0</v>
      </c>
      <c r="BI158" s="11">
        <f>+COUNTIFS('muddati otgan'!C:C,A158,'muddati otgan'!J:J,"Huquqni yaratish")</f>
        <v>0</v>
      </c>
      <c r="BJ158" s="11">
        <f>+COUNTIFS('muddati otgan'!C:C,A158,'muddati otgan'!J:J,"Hujjatlarni o'rganish")</f>
        <v>0</v>
      </c>
      <c r="BK158" s="11">
        <f>+COUNTIFS('muddati otgan'!C:C,A158,'muddati otgan'!J:J,"Ma'lumotlarni tekshirish")</f>
        <v>0</v>
      </c>
      <c r="BL158" s="11">
        <f t="shared" si="31"/>
        <v>0</v>
      </c>
      <c r="BM158" s="11">
        <f>+COUNTIFS('muddati otgan'!C:C,A158,'muddati otgan'!J:J,"Tekshirish")</f>
        <v>0</v>
      </c>
      <c r="BN158" s="11">
        <f>+COUNTIFS('muddati otgan'!C:C,A158,'muddati otgan'!J:J,"Hujjatlarni tekshirish")</f>
        <v>0</v>
      </c>
      <c r="BO158" s="11">
        <f>+COUNTIFS('muddati otgan'!C:C,A158,'muddati otgan'!J:J,"Tasdiqlash")</f>
        <v>0</v>
      </c>
      <c r="BP158" s="11">
        <f>+COUNTIFS('muddati otgan'!C:C,A158,'muddati otgan'!J:J,"tekshirish/tasdiqlash")</f>
        <v>0</v>
      </c>
      <c r="BQ158" s="11">
        <f>+COUNTIFS('muddati otgan'!C:C,A158,'muddati otgan'!J:J,"Ma'lumotlarni tasdiqlash")</f>
        <v>0</v>
      </c>
      <c r="BR158" s="11">
        <f t="shared" si="32"/>
        <v>1</v>
      </c>
      <c r="BS158" s="11">
        <f>+COUNTIFS('muddati otgan'!C:C,A158,'muddati otgan'!J:J,"Ro'yxatdan o'tkazish ma'lumotlarini tekshirish")</f>
        <v>1</v>
      </c>
      <c r="BT158" s="11">
        <f>+COUNTIFS('muddati otgan'!C:C,A158,'muddati otgan'!J:J,"Kamchiliklar bo'yicha habarnoma yuborish va 3 kunga to'xtatish")</f>
        <v>0</v>
      </c>
      <c r="BU158" s="11">
        <f>+COUNTIFS('muddati otgan'!C:C,A158,'muddati otgan'!J:J,"Hisobga olish")</f>
        <v>0</v>
      </c>
      <c r="BV158" s="11">
        <f>+COUNTIFS('muddati otgan'!C:C,A158,'muddati otgan'!J:J,"Yer uchastkasiga huquq yaratish")</f>
        <v>0</v>
      </c>
      <c r="BW158" s="11">
        <f>+COUNTIFS('muddati otgan'!C:C,A158,'muddati otgan'!J:J,"Bino-inshootga huquq yaratish")</f>
        <v>0</v>
      </c>
      <c r="BX158" s="11">
        <f>+COUNTIFS('muddati otgan'!C:C,A158,'muddati otgan'!J:J,"Cheklov yaratish")</f>
        <v>0</v>
      </c>
      <c r="BY158" s="11">
        <f>+COUNTIFS('muddati otgan'!C:C,A158,'muddati otgan'!J:J,"Taqiq yaratish")</f>
        <v>0</v>
      </c>
      <c r="BZ158" s="11">
        <f t="shared" si="33"/>
        <v>0</v>
      </c>
      <c r="CA158" s="11">
        <f>+COUNTIFS('muddati otgan'!C:C,A158,'muddati otgan'!J:J,"Soliq maydonini tekshirish")</f>
        <v>0</v>
      </c>
      <c r="CB158" s="11">
        <f t="shared" si="34"/>
        <v>0</v>
      </c>
      <c r="CC158" s="11">
        <f>+COUNTIFS('muddati otgan'!C:C,A158,'muddati otgan'!J:J,"Kadastr yig'majildini shakllantirish")</f>
        <v>0</v>
      </c>
      <c r="CD158" s="11">
        <f t="shared" si="35"/>
        <v>0</v>
      </c>
      <c r="CE158" s="11">
        <f>+COUNTIFS('muddati otgan'!C:C,A158,'muddati otgan'!J:J,"Kadastr passportini shakllantirish")</f>
        <v>0</v>
      </c>
      <c r="CF158" s="11">
        <f>+COUNTIFS('muddati otgan'!C:C,A158,'muddati otgan'!J:J,"Yig'ma jildni tasdiqlash")</f>
        <v>0</v>
      </c>
      <c r="CG158" s="11">
        <f>+COUNTIFS('muddati otgan'!C:C,A158,'muddati otgan'!J:J,"To'lov yoki bepul tasdiqlash")</f>
        <v>0</v>
      </c>
      <c r="CH158" s="11">
        <f>+COUNTIFS('muddati otgan'!C:C,A158,'muddati otgan'!J:J,"Bog'liq arizani kutish")</f>
        <v>0</v>
      </c>
      <c r="CI158" s="11">
        <f>+COUNTIFS('muddati otgan'!C:C,A158,'muddati otgan'!J:J,"To'lovga chiqarish")</f>
        <v>0</v>
      </c>
      <c r="CJ158" s="11">
        <f>+COUNTIFS('muddati otgan'!C:C,A158,'muddati otgan'!J:J,"Hisobga qo'yish")</f>
        <v>0</v>
      </c>
      <c r="CK158" s="6">
        <f>+COUNTIFS('muddati otgan'!C:C,A158,'muddati otgan'!J:J,"To'lov kutilmoqda")</f>
        <v>0</v>
      </c>
      <c r="CL158" s="11">
        <f t="shared" si="36"/>
        <v>0</v>
      </c>
      <c r="CM158" s="11">
        <f>+COUNTIFS('muddati otgan'!C:C,A158,'muddati otgan'!AA:AA,"Arizani qabul qilish2")</f>
        <v>0</v>
      </c>
      <c r="CN158" s="11">
        <f>+COUNTIFS('muddati otgan'!C:C,A158,'muddati otgan'!J:J,"Huquqlarni tekshirish")</f>
        <v>0</v>
      </c>
      <c r="CO158" s="11">
        <f>+COUNTIFS('muddati otgan'!C:C,A158,'muddati otgan'!J:J,"Ko'chmas mulkni ro'yhatdan o'tkazishga qabul qilish")</f>
        <v>0</v>
      </c>
      <c r="CP158" s="11">
        <f>+COUNTIFS('muddati otgan'!C:C,A158,'muddati otgan'!J:J,"Ro'yxatdan o'tkazish")</f>
        <v>0</v>
      </c>
      <c r="CQ158" s="11">
        <f>+COUNTIFS('muddati otgan'!C:C,A158,'muddati otgan'!J:J,"Kadastr pasporti va ko'chirmani yuborish")</f>
        <v>0</v>
      </c>
      <c r="CR158" s="11">
        <f>+COUNTIFS('muddati otgan'!C:C,A158,'muddati otgan'!AA:AA,"Rad qilish2")</f>
        <v>0</v>
      </c>
      <c r="CS158" s="11">
        <f>+COUNTIFS('muddati otgan'!C:C,A158,'muddati otgan'!J:J,"Ko'chirmani yuborish")</f>
        <v>0</v>
      </c>
      <c r="CT158" s="11">
        <f>+COUNTIFS('muddati otgan'!C:C,A158,'muddati otgan'!J:J,"Ma‘lumotlarni tekshirish")</f>
        <v>0</v>
      </c>
      <c r="CU158" s="11">
        <f t="shared" si="37"/>
        <v>0</v>
      </c>
      <c r="CV158" s="11">
        <f>+COUNTIFS('muddati otgan'!C:C,A158,'muddati otgan'!J:J,"Kadastr yig'majildini chop etish va arxiv ishiga tikish")</f>
        <v>0</v>
      </c>
      <c r="CW158" s="11">
        <f t="shared" si="38"/>
        <v>0</v>
      </c>
      <c r="CX158" s="11">
        <f>+COUNTIFS('muddati otgan'!C:C,A158,'muddati otgan'!J:J,"Kadastr yig‘majildini qabul qilish, arizani yakunlash")</f>
        <v>0</v>
      </c>
      <c r="CY158" s="11">
        <f>+COUNTIFS('muddati otgan'!C:C,A158,'muddati otgan'!J:J,"Next Cloudga yuklash")</f>
        <v>0</v>
      </c>
      <c r="CZ158" s="6">
        <f>+COUNTIFS('muddati otgan'!C:C,A158,'muddati otgan'!J:J,"Kelishish kutilmoqda")</f>
        <v>0</v>
      </c>
      <c r="DA158" s="6">
        <f>+COUNTIFS('muddati otgan'!C:C,A158,'muddati otgan'!J:J,"Yakunlandi")</f>
        <v>0</v>
      </c>
      <c r="DB158" s="10">
        <f>+COUNTIFS('muddati otgan'!C:C,A158,'muddati otgan'!J:J,"Rad etildi")</f>
        <v>0</v>
      </c>
      <c r="DC158" s="100">
        <f t="shared" si="5"/>
        <v>-1</v>
      </c>
      <c r="DD158" s="44">
        <f>COUNTIFS('jami 1-20 kunlik arizalar'!C:C,A:A,'jami 1-20 kunlik arizalar'!S:S,"1")</f>
        <v>0</v>
      </c>
      <c r="DE158" s="11">
        <f>COUNTIFS('jami 1-20 kunlik arizalar'!C:C,A:A,'jami 1-20 kunlik arizalar'!S:S,"2")</f>
        <v>0</v>
      </c>
      <c r="DF158" s="11">
        <f>COUNTIFS('jami 1-20 kunlik arizalar'!C:C,A:A,'jami 1-20 kunlik arizalar'!S:S,"3")</f>
        <v>0</v>
      </c>
      <c r="DG158" s="11">
        <f>COUNTIFS('jami 1-20 kunlik arizalar'!C:C,A:A,'jami 1-20 kunlik arizalar'!S:S,"4")</f>
        <v>1</v>
      </c>
      <c r="DH158" s="11">
        <f>COUNTIFS('jami 1-20 kunlik arizalar'!C:C,A:A,'jami 1-20 kunlik arizalar'!S:S,"5")</f>
        <v>0</v>
      </c>
      <c r="DI158" s="11">
        <f>SUM(COUNTIFS('jami 1-20 kunlik arizalar'!C:C,A:A, 'jami 1-20 kunlik arizalar'!S:S, {6,7,8,9,10}))</f>
        <v>4</v>
      </c>
      <c r="DJ158" s="12">
        <f>SUM(COUNTIFS('jami 1-20 kunlik arizalar'!C:C,A:A, 'jami 1-20 kunlik arizalar'!S:S, "&gt;10"))</f>
        <v>3</v>
      </c>
    </row>
    <row r="159" spans="1:114" ht="32.1" hidden="1" customHeight="1" outlineLevel="1" x14ac:dyDescent="0.25">
      <c r="A159" s="92" t="s">
        <v>702</v>
      </c>
      <c r="B159" s="74"/>
      <c r="C159" s="85" t="s">
        <v>858</v>
      </c>
      <c r="D159" s="80">
        <f>+COUNTIFS('muddati otgan'!C:C,A159,'muddati otgan'!C:C,A159)</f>
        <v>0</v>
      </c>
      <c r="E159" s="10">
        <f>SUMIFS('muddati otgan'!$V:V,'muddati otgan'!$C:C,$A:A)</f>
        <v>0</v>
      </c>
      <c r="F159" s="10">
        <f>SUMIFS('muddati otgan'!$W:W,'muddati otgan'!$C:C,$A:A)</f>
        <v>0</v>
      </c>
      <c r="G159" s="24">
        <f>SUMIFS('muddati otgan'!$U:U,'muddati otgan'!$C:C,$A:A)</f>
        <v>0</v>
      </c>
      <c r="H159" s="11">
        <f>SUMIFS('muddati otgan'!$G:G,'muddati otgan'!$C:C,$A:A)</f>
        <v>0</v>
      </c>
      <c r="I159" s="12">
        <f>SUMIFS('muddati otgan'!$H:H,'muddati otgan'!$C:C,$A:A)</f>
        <v>0</v>
      </c>
      <c r="J159" s="44">
        <f t="shared" si="23"/>
        <v>0</v>
      </c>
      <c r="K159" s="11">
        <f>+COUNTIFS('muddati otgan'!C:C,A159,'muddati otgan'!AA:AA,"Arizani qabul qilish")</f>
        <v>0</v>
      </c>
      <c r="L159" s="11">
        <f>+COUNTIFS('muddati otgan'!C:C,A159,'muddati otgan'!J:J,"Arizani rad etish")</f>
        <v>0</v>
      </c>
      <c r="M159" s="11">
        <f>+COUNTIFS('muddati otgan'!C:C,A159,'muddati otgan'!J:J,"Arizani tasdiqlash")</f>
        <v>0</v>
      </c>
      <c r="N159" s="11">
        <f>+COUNTIFS('muddati otgan'!C:C,A159,'muddati otgan'!J:J,"Arizani yo'naltirish")</f>
        <v>0</v>
      </c>
      <c r="O159" s="11">
        <f>+COUNTIFS('muddati otgan'!C:C,A159,'muddati otgan'!J:J,"Rad qilish sababini o'rganish")</f>
        <v>0</v>
      </c>
      <c r="P159" s="11">
        <f>+COUNTIFS('muddati otgan'!C:C,A159,'muddati otgan'!J:J,"Ko'chmas mulkni UZKAD ga migratsiya qilish")</f>
        <v>0</v>
      </c>
      <c r="Q159" s="11">
        <f>+COUNTIFS('muddati otgan'!C:C,A159,'muddati otgan'!J:J,"Migratisya qilingan obyekt holatini tekshirish")</f>
        <v>0</v>
      </c>
      <c r="R159" s="11">
        <f>+COUNTIFS('muddati otgan'!C:C,A159,'muddati otgan'!J:J,"Ko‘chmas mulkni tanlash")</f>
        <v>0</v>
      </c>
      <c r="S159" s="11">
        <f>+COUNTIFS('muddati otgan'!C:C,A159,'muddati otgan'!J:J,"Arizani ko'rib chiqish")</f>
        <v>0</v>
      </c>
      <c r="T159" s="11">
        <f>+COUNTIFS('muddati otgan'!C:C,A159,'muddati otgan'!J:J,"Kadastr muhandisini tanlash")</f>
        <v>0</v>
      </c>
      <c r="U159" s="11">
        <f>+COUNTIFS('muddati otgan'!C:C,A159,'muddati otgan'!J:J,"Ko'chmas mulk turini tanlahsh")</f>
        <v>0</v>
      </c>
      <c r="V159" s="11">
        <f>+COUNTIFS('muddati otgan'!C:C,A159,'muddati otgan'!AA:AA,"Rad qilish")</f>
        <v>0</v>
      </c>
      <c r="W159" s="11">
        <f>+COUNTIFS('muddati otgan'!C:C,A159,'muddati otgan'!J:J,"ijrochi tanlash")</f>
        <v>0</v>
      </c>
      <c r="X159" s="11">
        <f>+COUNTIFS('muddati otgan'!C:C,A159,'muddati otgan'!J:J,"Ko'chmas mulk turini tanlash")</f>
        <v>0</v>
      </c>
      <c r="Y159" s="11">
        <f t="shared" si="24"/>
        <v>0</v>
      </c>
      <c r="Z159" s="11">
        <f>+COUNTIFS('muddati otgan'!C:C,A159,'muddati otgan'!J:J,"Ijroga qabul qilish")</f>
        <v>0</v>
      </c>
      <c r="AA159" s="11">
        <f>+COUNTIFS('muddati otgan'!C:C,A159,'muddati otgan'!J:J,"Joyida o'rganish va ma'lumotlarni kiritish")</f>
        <v>0</v>
      </c>
      <c r="AB159" s="11">
        <f>+COUNTIFS('muddati otgan'!C:C,A159,'muddati otgan'!J:J,"Asosiy qismdan ajratish jarayonida")</f>
        <v>0</v>
      </c>
      <c r="AC159" s="11">
        <f>+COUNTIFS('muddati otgan'!C:C,A159,'muddati otgan'!J:J,"Umumiy foydalanishdagi obyekt yaratilish")</f>
        <v>0</v>
      </c>
      <c r="AD159" s="11">
        <f>+COUNTIFS('muddati otgan'!C:C,A159,'muddati otgan'!J:J,"Migratsiya qilinadigan kadastr raqamini kiritish")</f>
        <v>0</v>
      </c>
      <c r="AE159" s="11">
        <f>+COUNTIFS('muddati otgan'!C:C,A159,'muddati otgan'!J:J,"O'zida qolgan obyektni yaratish")</f>
        <v>0</v>
      </c>
      <c r="AF159" s="11">
        <f>+COUNTIFS('muddati otgan'!C:C,A159,'muddati otgan'!J:J,"O'lchov natijalarini kiritish")</f>
        <v>0</v>
      </c>
      <c r="AG159" s="11">
        <f>+COUNTIFS('muddati otgan'!C:C,A159,'muddati otgan'!J:J,"Topoxaritani tayyorlash (dwg, pdf)")</f>
        <v>0</v>
      </c>
      <c r="AH159" s="11">
        <f t="shared" si="25"/>
        <v>0</v>
      </c>
      <c r="AI159" s="11">
        <f>+COUNTIFS('muddati otgan'!C:C,A159,'muddati otgan'!J:J,"Yer uchastkasini yaratish")</f>
        <v>0</v>
      </c>
      <c r="AJ159" s="11">
        <f t="shared" si="26"/>
        <v>0</v>
      </c>
      <c r="AK159" s="11">
        <f>+COUNTIFS('muddati otgan'!C:C,A159,'muddati otgan'!J:J,"Kelishish (Boshqarma)")</f>
        <v>0</v>
      </c>
      <c r="AL159" s="11">
        <f t="shared" si="27"/>
        <v>0</v>
      </c>
      <c r="AM159" s="11">
        <f>+COUNTIFS('muddati otgan'!C:C,A159,'muddati otgan'!J:J,"Kelishish (DKP)")</f>
        <v>0</v>
      </c>
      <c r="AN159" s="11">
        <f>+COUNTIFS('muddati otgan'!C:C,A159,'muddati otgan'!J:J,"Kelishish")</f>
        <v>0</v>
      </c>
      <c r="AO159" s="11">
        <f>+COUNTIFS('muddati otgan'!C:C,A159,'muddati otgan'!J:J,"Kelishish (Registratsiya DKP)")</f>
        <v>0</v>
      </c>
      <c r="AP159" s="11">
        <f t="shared" si="28"/>
        <v>0</v>
      </c>
      <c r="AQ159" s="11">
        <f>+COUNTIFS('muddati otgan'!C:C,A159,'muddati otgan'!J:J,"Manzil biriktirish")</f>
        <v>0</v>
      </c>
      <c r="AR159" s="11">
        <f>+COUNTIFS('muddati otgan'!C:C,A159,'muddati otgan'!J:J,"Bino va inshootlarni yaratish")</f>
        <v>0</v>
      </c>
      <c r="AS159" s="11">
        <f>+COUNTIFS('muddati otgan'!C:C,A159,'muddati otgan'!J:J,"Dov daraxtlarni yaratish")</f>
        <v>0</v>
      </c>
      <c r="AT159" s="11">
        <f>+COUNTIFS('muddati otgan'!C:C,A159,'muddati otgan'!J:J,"Yer uchastkasini tahrirlash")</f>
        <v>0</v>
      </c>
      <c r="AU159" s="11">
        <f t="shared" si="29"/>
        <v>0</v>
      </c>
      <c r="AV159" s="11">
        <f>+COUNTIFS('muddati otgan'!C:C,A159,'muddati otgan'!J:J,"Yer toifasi va maqsadini kiritish")</f>
        <v>0</v>
      </c>
      <c r="AW159" s="11">
        <f>+COUNTIFS('muddati otgan'!C:C,A159,'muddati otgan'!J:J,"Auksion yer tekshirish")</f>
        <v>0</v>
      </c>
      <c r="AX159" s="11">
        <f>+COUNTIFS('muddati otgan'!C:C,A159,'muddati otgan'!J:J,"Yer turlarini kiritish")</f>
        <v>0</v>
      </c>
      <c r="AY159" s="11">
        <f>+COUNTIFS('muddati otgan'!C:C,A159,'muddati otgan'!J:J,"Ma'lumotlarni kiritish")</f>
        <v>0</v>
      </c>
      <c r="AZ159" s="11">
        <f>+COUNTIFS('muddati otgan'!C:C,A159,'muddati otgan'!J:J,"Yer tekshirish")</f>
        <v>0</v>
      </c>
      <c r="BA159" s="11">
        <f t="shared" si="30"/>
        <v>0</v>
      </c>
      <c r="BB159" s="11">
        <f>+COUNTIFS('muddati otgan'!C:C,A159,'muddati otgan'!J:J,"Bino va inshoot ma'lumotlarini to‘ldirish")</f>
        <v>0</v>
      </c>
      <c r="BC159" s="11">
        <f>+COUNTIFS('muddati otgan'!C:C,A159,'muddati otgan'!J:J,"Inventarizatsiya ma'lumotlarini to‘ldirish")</f>
        <v>0</v>
      </c>
      <c r="BD159" s="11">
        <f>+COUNTIFS('muddati otgan'!C:C,A159,'muddati otgan'!J:J,"Yer uchastkasiga huquqiy hujjatlarni kiritsh")</f>
        <v>0</v>
      </c>
      <c r="BE159" s="11">
        <f>+COUNTIFS('muddati otgan'!C:C,A159,'muddati otgan'!J:J,"Bino-inshootlarga huquqiy hujjatlarni kiritsh")</f>
        <v>0</v>
      </c>
      <c r="BF159" s="11">
        <f>+COUNTIFS('muddati otgan'!C:C,A159,'muddati otgan'!J:J,"Kadastr qiymatini hisoblash va kiritish")</f>
        <v>0</v>
      </c>
      <c r="BG159" s="11">
        <f>+COUNTIFS('muddati otgan'!C:C,A159,'muddati otgan'!J:J,"Kadastr raqam biriktirish")</f>
        <v>0</v>
      </c>
      <c r="BH159" s="11">
        <f>+COUNTIFS('muddati otgan'!C:C,A159,'muddati otgan'!J:J,"Kadastr yig'ma jildni tayyorlash")</f>
        <v>0</v>
      </c>
      <c r="BI159" s="11">
        <f>+COUNTIFS('muddati otgan'!C:C,A159,'muddati otgan'!J:J,"Huquqni yaratish")</f>
        <v>0</v>
      </c>
      <c r="BJ159" s="11">
        <f>+COUNTIFS('muddati otgan'!C:C,A159,'muddati otgan'!J:J,"Hujjatlarni o'rganish")</f>
        <v>0</v>
      </c>
      <c r="BK159" s="11">
        <f>+COUNTIFS('muddati otgan'!C:C,A159,'muddati otgan'!J:J,"Ma'lumotlarni tekshirish")</f>
        <v>0</v>
      </c>
      <c r="BL159" s="11">
        <f t="shared" si="31"/>
        <v>0</v>
      </c>
      <c r="BM159" s="11">
        <f>+COUNTIFS('muddati otgan'!C:C,A159,'muddati otgan'!J:J,"Tekshirish")</f>
        <v>0</v>
      </c>
      <c r="BN159" s="11">
        <f>+COUNTIFS('muddati otgan'!C:C,A159,'muddati otgan'!J:J,"Hujjatlarni tekshirish")</f>
        <v>0</v>
      </c>
      <c r="BO159" s="11">
        <f>+COUNTIFS('muddati otgan'!C:C,A159,'muddati otgan'!J:J,"Tasdiqlash")</f>
        <v>0</v>
      </c>
      <c r="BP159" s="11">
        <f>+COUNTIFS('muddati otgan'!C:C,A159,'muddati otgan'!J:J,"tekshirish/tasdiqlash")</f>
        <v>0</v>
      </c>
      <c r="BQ159" s="11">
        <f>+COUNTIFS('muddati otgan'!C:C,A159,'muddati otgan'!J:J,"Ma'lumotlarni tasdiqlash")</f>
        <v>0</v>
      </c>
      <c r="BR159" s="11">
        <f t="shared" si="32"/>
        <v>0</v>
      </c>
      <c r="BS159" s="11">
        <f>+COUNTIFS('muddati otgan'!C:C,A159,'muddati otgan'!J:J,"Ro'yxatdan o'tkazish ma'lumotlarini tekshirish")</f>
        <v>0</v>
      </c>
      <c r="BT159" s="11">
        <f>+COUNTIFS('muddati otgan'!C:C,A159,'muddati otgan'!J:J,"Kamchiliklar bo'yicha habarnoma yuborish va 3 kunga to'xtatish")</f>
        <v>0</v>
      </c>
      <c r="BU159" s="11">
        <f>+COUNTIFS('muddati otgan'!C:C,A159,'muddati otgan'!J:J,"Hisobga olish")</f>
        <v>0</v>
      </c>
      <c r="BV159" s="11">
        <f>+COUNTIFS('muddati otgan'!C:C,A159,'muddati otgan'!J:J,"Yer uchastkasiga huquq yaratish")</f>
        <v>0</v>
      </c>
      <c r="BW159" s="11">
        <f>+COUNTIFS('muddati otgan'!C:C,A159,'muddati otgan'!J:J,"Bino-inshootga huquq yaratish")</f>
        <v>0</v>
      </c>
      <c r="BX159" s="11">
        <f>+COUNTIFS('muddati otgan'!C:C,A159,'muddati otgan'!J:J,"Cheklov yaratish")</f>
        <v>0</v>
      </c>
      <c r="BY159" s="11">
        <f>+COUNTIFS('muddati otgan'!C:C,A159,'muddati otgan'!J:J,"Taqiq yaratish")</f>
        <v>0</v>
      </c>
      <c r="BZ159" s="11">
        <f t="shared" si="33"/>
        <v>0</v>
      </c>
      <c r="CA159" s="11">
        <f>+COUNTIFS('muddati otgan'!C:C,A159,'muddati otgan'!J:J,"Soliq maydonini tekshirish")</f>
        <v>0</v>
      </c>
      <c r="CB159" s="11">
        <f t="shared" si="34"/>
        <v>0</v>
      </c>
      <c r="CC159" s="11">
        <f>+COUNTIFS('muddati otgan'!C:C,A159,'muddati otgan'!J:J,"Kadastr yig'majildini shakllantirish")</f>
        <v>0</v>
      </c>
      <c r="CD159" s="11">
        <f t="shared" si="35"/>
        <v>0</v>
      </c>
      <c r="CE159" s="11">
        <f>+COUNTIFS('muddati otgan'!C:C,A159,'muddati otgan'!J:J,"Kadastr passportini shakllantirish")</f>
        <v>0</v>
      </c>
      <c r="CF159" s="11">
        <f>+COUNTIFS('muddati otgan'!C:C,A159,'muddati otgan'!J:J,"Yig'ma jildni tasdiqlash")</f>
        <v>0</v>
      </c>
      <c r="CG159" s="11">
        <f>+COUNTIFS('muddati otgan'!C:C,A159,'muddati otgan'!J:J,"To'lov yoki bepul tasdiqlash")</f>
        <v>0</v>
      </c>
      <c r="CH159" s="11">
        <f>+COUNTIFS('muddati otgan'!C:C,A159,'muddati otgan'!J:J,"Bog'liq arizani kutish")</f>
        <v>0</v>
      </c>
      <c r="CI159" s="11">
        <f>+COUNTIFS('muddati otgan'!C:C,A159,'muddati otgan'!J:J,"To'lovga chiqarish")</f>
        <v>0</v>
      </c>
      <c r="CJ159" s="11">
        <f>+COUNTIFS('muddati otgan'!C:C,A159,'muddati otgan'!J:J,"Hisobga qo'yish")</f>
        <v>0</v>
      </c>
      <c r="CK159" s="6">
        <f>+COUNTIFS('muddati otgan'!C:C,A159,'muddati otgan'!J:J,"To'lov kutilmoqda")</f>
        <v>0</v>
      </c>
      <c r="CL159" s="11">
        <f t="shared" si="36"/>
        <v>0</v>
      </c>
      <c r="CM159" s="11">
        <f>+COUNTIFS('muddati otgan'!C:C,A159,'muddati otgan'!AA:AA,"Arizani qabul qilish2")</f>
        <v>0</v>
      </c>
      <c r="CN159" s="11">
        <f>+COUNTIFS('muddati otgan'!C:C,A159,'muddati otgan'!J:J,"Huquqlarni tekshirish")</f>
        <v>0</v>
      </c>
      <c r="CO159" s="11">
        <f>+COUNTIFS('muddati otgan'!C:C,A159,'muddati otgan'!J:J,"Ko'chmas mulkni ro'yhatdan o'tkazishga qabul qilish")</f>
        <v>0</v>
      </c>
      <c r="CP159" s="11">
        <f>+COUNTIFS('muddati otgan'!C:C,A159,'muddati otgan'!J:J,"Ro'yxatdan o'tkazish")</f>
        <v>0</v>
      </c>
      <c r="CQ159" s="11">
        <f>+COUNTIFS('muddati otgan'!C:C,A159,'muddati otgan'!J:J,"Kadastr pasporti va ko'chirmani yuborish")</f>
        <v>0</v>
      </c>
      <c r="CR159" s="11">
        <f>+COUNTIFS('muddati otgan'!C:C,A159,'muddati otgan'!AA:AA,"Rad qilish2")</f>
        <v>0</v>
      </c>
      <c r="CS159" s="11">
        <f>+COUNTIFS('muddati otgan'!C:C,A159,'muddati otgan'!J:J,"Ko'chirmani yuborish")</f>
        <v>0</v>
      </c>
      <c r="CT159" s="11">
        <f>+COUNTIFS('muddati otgan'!C:C,A159,'muddati otgan'!J:J,"Ma‘lumotlarni tekshirish")</f>
        <v>0</v>
      </c>
      <c r="CU159" s="11">
        <f t="shared" si="37"/>
        <v>0</v>
      </c>
      <c r="CV159" s="11">
        <f>+COUNTIFS('muddati otgan'!C:C,A159,'muddati otgan'!J:J,"Kadastr yig'majildini chop etish va arxiv ishiga tikish")</f>
        <v>0</v>
      </c>
      <c r="CW159" s="11">
        <f t="shared" si="38"/>
        <v>0</v>
      </c>
      <c r="CX159" s="11">
        <f>+COUNTIFS('muddati otgan'!C:C,A159,'muddati otgan'!J:J,"Kadastr yig‘majildini qabul qilish, arizani yakunlash")</f>
        <v>0</v>
      </c>
      <c r="CY159" s="11">
        <f>+COUNTIFS('muddati otgan'!C:C,A159,'muddati otgan'!J:J,"Next Cloudga yuklash")</f>
        <v>0</v>
      </c>
      <c r="CZ159" s="6">
        <f>+COUNTIFS('muddati otgan'!C:C,A159,'muddati otgan'!J:J,"Kelishish kutilmoqda")</f>
        <v>0</v>
      </c>
      <c r="DA159" s="6">
        <f>+COUNTIFS('muddati otgan'!C:C,A159,'muddati otgan'!J:J,"Yakunlandi")</f>
        <v>0</v>
      </c>
      <c r="DB159" s="10">
        <f>+COUNTIFS('muddati otgan'!C:C,A159,'muddati otgan'!J:J,"Rad etildi")</f>
        <v>0</v>
      </c>
      <c r="DC159" s="100">
        <f t="shared" si="5"/>
        <v>0</v>
      </c>
      <c r="DD159" s="44">
        <f>COUNTIFS('jami 1-20 kunlik arizalar'!C:C,A:A,'jami 1-20 kunlik arizalar'!S:S,"1")</f>
        <v>0</v>
      </c>
      <c r="DE159" s="11">
        <f>COUNTIFS('jami 1-20 kunlik arizalar'!C:C,A:A,'jami 1-20 kunlik arizalar'!S:S,"2")</f>
        <v>0</v>
      </c>
      <c r="DF159" s="11">
        <f>COUNTIFS('jami 1-20 kunlik arizalar'!C:C,A:A,'jami 1-20 kunlik arizalar'!S:S,"3")</f>
        <v>0</v>
      </c>
      <c r="DG159" s="11">
        <f>COUNTIFS('jami 1-20 kunlik arizalar'!C:C,A:A,'jami 1-20 kunlik arizalar'!S:S,"4")</f>
        <v>0</v>
      </c>
      <c r="DH159" s="11">
        <f>COUNTIFS('jami 1-20 kunlik arizalar'!C:C,A:A,'jami 1-20 kunlik arizalar'!S:S,"5")</f>
        <v>0</v>
      </c>
      <c r="DI159" s="11">
        <f>SUM(COUNTIFS('jami 1-20 kunlik arizalar'!C:C,A:A, 'jami 1-20 kunlik arizalar'!S:S, {6,7,8,9,10}))</f>
        <v>0</v>
      </c>
      <c r="DJ159" s="12">
        <f>SUM(COUNTIFS('jami 1-20 kunlik arizalar'!C:C,A:A, 'jami 1-20 kunlik arizalar'!S:S, "&gt;10"))</f>
        <v>0</v>
      </c>
    </row>
    <row r="160" spans="1:114" ht="57.95" hidden="1" customHeight="1" outlineLevel="1" thickBot="1" x14ac:dyDescent="0.3">
      <c r="A160" s="92"/>
      <c r="B160" s="77"/>
      <c r="C160" s="86" t="s">
        <v>930</v>
      </c>
      <c r="D160" s="81">
        <f>+D141-(SUM(D142:D159))</f>
        <v>0</v>
      </c>
      <c r="E160" s="21"/>
      <c r="F160" s="21"/>
      <c r="G160" s="21"/>
      <c r="H160" s="41"/>
      <c r="I160" s="42"/>
      <c r="J160" s="45"/>
      <c r="K160" s="22"/>
      <c r="L160" s="22"/>
      <c r="M160" s="22"/>
      <c r="N160" s="22"/>
      <c r="O160" s="22"/>
      <c r="P160" s="22"/>
      <c r="Q160" s="22"/>
      <c r="R160" s="22"/>
      <c r="S160" s="22"/>
      <c r="T160" s="22"/>
      <c r="U160" s="22"/>
      <c r="V160" s="22"/>
      <c r="W160" s="22"/>
      <c r="X160" s="22"/>
      <c r="Y160" s="41"/>
      <c r="Z160" s="22"/>
      <c r="AA160" s="22"/>
      <c r="AB160" s="22"/>
      <c r="AC160" s="22"/>
      <c r="AD160" s="22"/>
      <c r="AE160" s="22"/>
      <c r="AF160" s="22"/>
      <c r="AG160" s="41"/>
      <c r="AH160" s="41"/>
      <c r="AI160" s="22"/>
      <c r="AJ160" s="41"/>
      <c r="AK160" s="22"/>
      <c r="AL160" s="41"/>
      <c r="AM160" s="22"/>
      <c r="AN160" s="22"/>
      <c r="AO160" s="22"/>
      <c r="AP160" s="41"/>
      <c r="AQ160" s="22"/>
      <c r="AR160" s="22"/>
      <c r="AS160" s="22"/>
      <c r="AT160" s="22"/>
      <c r="AU160" s="41"/>
      <c r="AV160" s="22"/>
      <c r="AW160" s="22"/>
      <c r="AX160" s="22"/>
      <c r="AY160" s="22"/>
      <c r="AZ160" s="22"/>
      <c r="BA160" s="41"/>
      <c r="BB160" s="22"/>
      <c r="BC160" s="22"/>
      <c r="BD160" s="22"/>
      <c r="BE160" s="22"/>
      <c r="BF160" s="22"/>
      <c r="BG160" s="22"/>
      <c r="BH160" s="22"/>
      <c r="BI160" s="22"/>
      <c r="BJ160" s="22"/>
      <c r="BK160" s="22"/>
      <c r="BL160" s="41"/>
      <c r="BM160" s="22"/>
      <c r="BN160" s="22"/>
      <c r="BO160" s="22"/>
      <c r="BP160" s="22"/>
      <c r="BQ160" s="22"/>
      <c r="BR160" s="41"/>
      <c r="BS160" s="22"/>
      <c r="BT160" s="22"/>
      <c r="BU160" s="22"/>
      <c r="BV160" s="22"/>
      <c r="BW160" s="22"/>
      <c r="BX160" s="22"/>
      <c r="BY160" s="22"/>
      <c r="BZ160" s="41"/>
      <c r="CA160" s="22"/>
      <c r="CB160" s="41"/>
      <c r="CC160" s="22"/>
      <c r="CD160" s="41"/>
      <c r="CE160" s="22"/>
      <c r="CF160" s="22"/>
      <c r="CG160" s="22"/>
      <c r="CH160" s="22"/>
      <c r="CI160" s="22"/>
      <c r="CJ160" s="22"/>
      <c r="CK160" s="68"/>
      <c r="CL160" s="41"/>
      <c r="CM160" s="22"/>
      <c r="CN160" s="22"/>
      <c r="CO160" s="22"/>
      <c r="CP160" s="22"/>
      <c r="CQ160" s="22"/>
      <c r="CR160" s="22"/>
      <c r="CS160" s="22"/>
      <c r="CT160" s="22"/>
      <c r="CU160" s="41"/>
      <c r="CV160" s="22"/>
      <c r="CW160" s="41"/>
      <c r="CX160" s="22"/>
      <c r="CY160" s="22"/>
      <c r="CZ160" s="68"/>
      <c r="DA160" s="68"/>
      <c r="DB160" s="21"/>
      <c r="DC160" s="101"/>
      <c r="DD160" s="45">
        <f t="shared" ref="DD160:DJ160" si="290">+DD141-(SUM(DD142:DD159))</f>
        <v>0</v>
      </c>
      <c r="DE160" s="41">
        <f t="shared" si="290"/>
        <v>0</v>
      </c>
      <c r="DF160" s="41">
        <f t="shared" si="290"/>
        <v>0</v>
      </c>
      <c r="DG160" s="41">
        <f t="shared" si="290"/>
        <v>0</v>
      </c>
      <c r="DH160" s="41">
        <f t="shared" si="290"/>
        <v>0</v>
      </c>
      <c r="DI160" s="41">
        <f t="shared" si="290"/>
        <v>0</v>
      </c>
      <c r="DJ160" s="42">
        <f t="shared" si="290"/>
        <v>4</v>
      </c>
    </row>
    <row r="161" spans="1:115" s="29" customFormat="1" ht="57.95" customHeight="1" collapsed="1" thickBot="1" x14ac:dyDescent="0.3">
      <c r="A161" s="91" t="s">
        <v>79</v>
      </c>
      <c r="B161" s="76">
        <v>8</v>
      </c>
      <c r="C161" s="87" t="s">
        <v>67</v>
      </c>
      <c r="D161" s="79">
        <f>+COUNTIFS('muddati otgan'!B:B,A161,'muddati otgan'!B:B,"UYCT")</f>
        <v>32</v>
      </c>
      <c r="E161" s="37">
        <f>SUMIFS('muddati otgan'!$V:V,'muddati otgan'!$B:B,$A:A)</f>
        <v>10</v>
      </c>
      <c r="F161" s="37">
        <f>SUMIFS('muddati otgan'!$W:W,'muddati otgan'!$B:B,$A:A)</f>
        <v>4</v>
      </c>
      <c r="G161" s="38">
        <f>SUMIFS('muddati otgan'!$U:U,'muddati otgan'!$B:B,$A:A)</f>
        <v>18</v>
      </c>
      <c r="H161" s="39">
        <f>SUMIFS('muddati otgan'!$G:G,'muddati otgan'!$B:B,$A:A)</f>
        <v>26</v>
      </c>
      <c r="I161" s="40">
        <f>SUMIFS('muddati otgan'!$H:H,'muddati otgan'!$B:B,$A:A)</f>
        <v>6</v>
      </c>
      <c r="J161" s="43">
        <f t="shared" si="23"/>
        <v>0</v>
      </c>
      <c r="K161" s="39">
        <f>+COUNTIFS('muddati otgan'!B:B,A161,'muddati otgan'!AA:AA,"Arizani qabul qilish")</f>
        <v>0</v>
      </c>
      <c r="L161" s="39">
        <f>+COUNTIFS('muddati otgan'!B:B,A161,'muddati otgan'!J:J,"Arizani rad etish")</f>
        <v>0</v>
      </c>
      <c r="M161" s="39">
        <f>+COUNTIFS('muddati otgan'!B:B,A161,'muddati otgan'!J:J,"Arizani tasdiqlash")</f>
        <v>0</v>
      </c>
      <c r="N161" s="39">
        <f>+COUNTIFS('muddati otgan'!B:B,A161,'muddati otgan'!J:J,"Arizani yo'naltirish")</f>
        <v>0</v>
      </c>
      <c r="O161" s="39">
        <f>+COUNTIFS('muddati otgan'!B:B,A161,'muddati otgan'!J:J,"Rad qilish sababini o'rganish")</f>
        <v>0</v>
      </c>
      <c r="P161" s="39">
        <f>+COUNTIFS('muddati otgan'!B:B,A161,'muddati otgan'!J:J,"Ko'chmas mulkni UZKAD ga migratsiya qilish")</f>
        <v>0</v>
      </c>
      <c r="Q161" s="39">
        <f>+COUNTIFS('muddati otgan'!B:B,A161,'muddati otgan'!J:J,"Migratisya qilingan obyekt holatini tekshirish")</f>
        <v>0</v>
      </c>
      <c r="R161" s="39">
        <f>+COUNTIFS('muddati otgan'!B:B,A161,'muddati otgan'!J:J,"Ko‘chmas mulkni tanlash")</f>
        <v>0</v>
      </c>
      <c r="S161" s="39">
        <f>+COUNTIFS('muddati otgan'!B:B,A161,'muddati otgan'!J:J,"Arizani ko'rib chiqish")</f>
        <v>0</v>
      </c>
      <c r="T161" s="39">
        <f>+COUNTIFS('muddati otgan'!B:B,A161,'muddati otgan'!J:J,"Kadastr muhandisini tanlash")</f>
        <v>0</v>
      </c>
      <c r="U161" s="39">
        <f>+COUNTIFS('muddati otgan'!B:B,A161,'muddati otgan'!J:J,"Ko'chmas mulk turini tanlahsh")</f>
        <v>0</v>
      </c>
      <c r="V161" s="39">
        <f>+COUNTIFS('muddati otgan'!B:B,A161,'muddati otgan'!AA:AA,"Rad qilish")</f>
        <v>0</v>
      </c>
      <c r="W161" s="39">
        <f>+COUNTIFS('muddati otgan'!B:B,A161,'muddati otgan'!J:J,"ijrochi tanlash")</f>
        <v>0</v>
      </c>
      <c r="X161" s="39">
        <f>+COUNTIFS('muddati otgan'!B:B,A161,'muddati otgan'!J:J,"Ko'chmas mulk turini tanlash")</f>
        <v>0</v>
      </c>
      <c r="Y161" s="39">
        <f t="shared" si="24"/>
        <v>2</v>
      </c>
      <c r="Z161" s="39">
        <f>+COUNTIFS('muddati otgan'!B:B,A161,'muddati otgan'!J:J,"Ijroga qabul qilish")</f>
        <v>0</v>
      </c>
      <c r="AA161" s="39">
        <f>+COUNTIFS('muddati otgan'!B:B,A161,'muddati otgan'!J:J,"Joyida o'rganish va ma'lumotlarni kiritish")</f>
        <v>0</v>
      </c>
      <c r="AB161" s="39">
        <f>+COUNTIFS('muddati otgan'!B:B,A161,'muddati otgan'!J:J,"Asosiy qismdan ajratish jarayonida")</f>
        <v>1</v>
      </c>
      <c r="AC161" s="39">
        <f>+COUNTIFS('muddati otgan'!B:B,A161,'muddati otgan'!J:J,"Umumiy foydalanishdagi obyekt yaratilish")</f>
        <v>0</v>
      </c>
      <c r="AD161" s="39">
        <f>+COUNTIFS('muddati otgan'!B:B,A161,'muddati otgan'!J:J,"Migratsiya qilinadigan kadastr raqamini kiritish")</f>
        <v>0</v>
      </c>
      <c r="AE161" s="39">
        <f>+COUNTIFS('muddati otgan'!B:B,A161,'muddati otgan'!J:J,"O'zida qolgan obyektni yaratish")</f>
        <v>0</v>
      </c>
      <c r="AF161" s="39">
        <f>+COUNTIFS('muddati otgan'!B:B,A161,'muddati otgan'!J:J,"O'lchov natijalarini kiritish")</f>
        <v>1</v>
      </c>
      <c r="AG161" s="39">
        <f>+COUNTIFS('muddati otgan'!B:B,A161,'muddati otgan'!J:J,"Topoxaritani tayyorlash (dwg, pdf)")</f>
        <v>0</v>
      </c>
      <c r="AH161" s="39">
        <f t="shared" si="25"/>
        <v>0</v>
      </c>
      <c r="AI161" s="39">
        <f>+COUNTIFS('muddati otgan'!B:B,A161,'muddati otgan'!J:J,"Yer uchastkasini yaratish")</f>
        <v>0</v>
      </c>
      <c r="AJ161" s="39">
        <f t="shared" si="26"/>
        <v>0</v>
      </c>
      <c r="AK161" s="39">
        <f>+COUNTIFS('muddati otgan'!B:B,A161,'muddati otgan'!J:J,"Kelishish (Boshqarma)")</f>
        <v>0</v>
      </c>
      <c r="AL161" s="39">
        <f t="shared" si="27"/>
        <v>0</v>
      </c>
      <c r="AM161" s="39">
        <f>+COUNTIFS('muddati otgan'!B:B,A161,'muddati otgan'!J:J,"Kelishish (DKP)")</f>
        <v>0</v>
      </c>
      <c r="AN161" s="39">
        <f>+COUNTIFS('muddati otgan'!B:B,A161,'muddati otgan'!J:J,"Kelishish")</f>
        <v>0</v>
      </c>
      <c r="AO161" s="39">
        <f>+COUNTIFS('muddati otgan'!B:B,A161,'muddati otgan'!J:J,"Kelishish (Registratsiya DKP)")</f>
        <v>0</v>
      </c>
      <c r="AP161" s="39">
        <f t="shared" si="28"/>
        <v>0</v>
      </c>
      <c r="AQ161" s="39">
        <f>+COUNTIFS('muddati otgan'!B:B,A161,'muddati otgan'!J:J,"Manzil biriktirish")</f>
        <v>0</v>
      </c>
      <c r="AR161" s="39">
        <f>+COUNTIFS('muddati otgan'!B:B,A161,'muddati otgan'!J:J,"Bino va inshootlarni yaratish")</f>
        <v>0</v>
      </c>
      <c r="AS161" s="39">
        <f>+COUNTIFS('muddati otgan'!B:B,A161,'muddati otgan'!J:J,"Dov daraxtlarni yaratish")</f>
        <v>0</v>
      </c>
      <c r="AT161" s="39">
        <f>+COUNTIFS('muddati otgan'!B:B,A161,'muddati otgan'!J:J,"Yer uchastkasini tahrirlash")</f>
        <v>0</v>
      </c>
      <c r="AU161" s="39">
        <f t="shared" si="29"/>
        <v>1</v>
      </c>
      <c r="AV161" s="39">
        <f>+COUNTIFS('muddati otgan'!B:B,A161,'muddati otgan'!J:J,"Yer toifasi va maqsadini kiritish")</f>
        <v>1</v>
      </c>
      <c r="AW161" s="39">
        <f>+COUNTIFS('muddati otgan'!B:B,A161,'muddati otgan'!J:J,"Auksion yer tekshirish")</f>
        <v>0</v>
      </c>
      <c r="AX161" s="39">
        <f>+COUNTIFS('muddati otgan'!B:B,A161,'muddati otgan'!J:J,"Yer turlarini kiritish")</f>
        <v>0</v>
      </c>
      <c r="AY161" s="39">
        <f>+COUNTIFS('muddati otgan'!B:B,A161,'muddati otgan'!J:J,"Ma'lumotlarni kiritish")</f>
        <v>0</v>
      </c>
      <c r="AZ161" s="39">
        <f>+COUNTIFS('muddati otgan'!B:B,A161,'muddati otgan'!J:J,"Yer tekshirish")</f>
        <v>0</v>
      </c>
      <c r="BA161" s="39">
        <f t="shared" si="30"/>
        <v>1</v>
      </c>
      <c r="BB161" s="39">
        <f>+COUNTIFS('muddati otgan'!B:B,A161,'muddati otgan'!J:J,"Bino va inshoot ma'lumotlarini to‘ldirish")</f>
        <v>0</v>
      </c>
      <c r="BC161" s="39">
        <f>+COUNTIFS('muddati otgan'!B:B,A161,'muddati otgan'!J:J,"Inventarizatsiya ma'lumotlarini to‘ldirish")</f>
        <v>0</v>
      </c>
      <c r="BD161" s="39">
        <f>+COUNTIFS('muddati otgan'!B:B,A161,'muddati otgan'!J:J,"Yer uchastkasiga huquqiy hujjatlarni kiritsh")</f>
        <v>0</v>
      </c>
      <c r="BE161" s="39">
        <f>+COUNTIFS('muddati otgan'!B:B,A161,'muddati otgan'!J:J,"Bino-inshootlarga huquqiy hujjatlarni kiritsh")</f>
        <v>1</v>
      </c>
      <c r="BF161" s="39">
        <f>+COUNTIFS('muddati otgan'!B:B,A161,'muddati otgan'!J:J,"Kadastr qiymatini hisoblash va kiritish")</f>
        <v>0</v>
      </c>
      <c r="BG161" s="39">
        <f>+COUNTIFS('muddati otgan'!B:B,A161,'muddati otgan'!J:J,"Kadastr raqam biriktirish")</f>
        <v>0</v>
      </c>
      <c r="BH161" s="39">
        <f>+COUNTIFS('muddati otgan'!B:B,A161,'muddati otgan'!J:J,"Kadastr yig'ma jildni tayyorlash")</f>
        <v>0</v>
      </c>
      <c r="BI161" s="39">
        <f>+COUNTIFS('muddati otgan'!B:B,A161,'muddati otgan'!J:J,"Huquqni yaratish")</f>
        <v>0</v>
      </c>
      <c r="BJ161" s="39">
        <f>+COUNTIFS('muddati otgan'!B:B,A161,'muddati otgan'!J:J,"Hujjatlarni o'rganish")</f>
        <v>0</v>
      </c>
      <c r="BK161" s="39">
        <f>+COUNTIFS('muddati otgan'!B:B,A161,'muddati otgan'!J:J,"Ma'lumotlarni tekshirish")</f>
        <v>0</v>
      </c>
      <c r="BL161" s="39">
        <f t="shared" si="31"/>
        <v>1</v>
      </c>
      <c r="BM161" s="39">
        <f>+COUNTIFS('muddati otgan'!B:B,A161,'muddati otgan'!J:J,"Tekshirish")</f>
        <v>1</v>
      </c>
      <c r="BN161" s="39">
        <f>+COUNTIFS('muddati otgan'!B:B,A161,'muddati otgan'!J:J,"Hujjatlarni tekshirish")</f>
        <v>0</v>
      </c>
      <c r="BO161" s="39"/>
      <c r="BP161" s="39">
        <f>+COUNTIFS('muddati otgan'!B:B,A161,'muddati otgan'!J:J,"tekshirish/tasdiqlash")</f>
        <v>0</v>
      </c>
      <c r="BQ161" s="39">
        <f>+COUNTIFS('muddati otgan'!B:B,A161,'muddati otgan'!J:J,"Ma'lumotlarni tasdiqlash")</f>
        <v>0</v>
      </c>
      <c r="BR161" s="39">
        <f t="shared" si="32"/>
        <v>8</v>
      </c>
      <c r="BS161" s="39">
        <f>+COUNTIFS('muddati otgan'!B:B,A161,'muddati otgan'!J:J,"Ro'yxatdan o'tkazish ma'lumotlarini tekshirish")</f>
        <v>8</v>
      </c>
      <c r="BT161" s="39">
        <f>+COUNTIFS('muddati otgan'!B:B,A161,'muddati otgan'!J:J,"Kamchiliklar bo'yicha habarnoma yuborish va 3 kunga to'xtatish")</f>
        <v>0</v>
      </c>
      <c r="BU161" s="39">
        <f>+COUNTIFS('muddati otgan'!B:B,A161,'muddati otgan'!J:J,"Hisobga olish")</f>
        <v>0</v>
      </c>
      <c r="BV161" s="39">
        <f>+COUNTIFS('muddati otgan'!B:B,A161,'muddati otgan'!J:J,"Yer uchastkasiga huquq yaratish")</f>
        <v>0</v>
      </c>
      <c r="BW161" s="39">
        <f>+COUNTIFS('muddati otgan'!B:B,A161,'muddati otgan'!J:J,"Bino-inshootga huquq yaratish")</f>
        <v>0</v>
      </c>
      <c r="BX161" s="39">
        <f>+COUNTIFS('muddati otgan'!B:B,A161,'muddati otgan'!J:J,"Cheklov yaratish")</f>
        <v>0</v>
      </c>
      <c r="BY161" s="39">
        <f>+COUNTIFS('muddati otgan'!B:B,A161,'muddati otgan'!J:J,"Taqiq yaratish")</f>
        <v>0</v>
      </c>
      <c r="BZ161" s="39">
        <f t="shared" si="33"/>
        <v>0</v>
      </c>
      <c r="CA161" s="39">
        <f>+COUNTIFS('muddati otgan'!B:B,A161,'muddati otgan'!J:J,"Soliq maydonini tekshirish")</f>
        <v>0</v>
      </c>
      <c r="CB161" s="39">
        <f t="shared" si="34"/>
        <v>1</v>
      </c>
      <c r="CC161" s="39">
        <f>+COUNTIFS('muddati otgan'!B:B,A161,'muddati otgan'!J:J,"Kadastr yig'majildini shakllantirish")</f>
        <v>1</v>
      </c>
      <c r="CD161" s="39">
        <f t="shared" si="35"/>
        <v>0</v>
      </c>
      <c r="CE161" s="39">
        <f>+COUNTIFS('muddati otgan'!B:B,A161,'muddati otgan'!J:J,"Kadastr passportini shakllantirish")</f>
        <v>0</v>
      </c>
      <c r="CF161" s="39">
        <f>+COUNTIFS('muddati otgan'!B:B,A161,'muddati otgan'!J:J,"Yig'ma jildni tasdiqlash")</f>
        <v>0</v>
      </c>
      <c r="CG161" s="39">
        <f>+COUNTIFS('muddati otgan'!B:B,A161,'muddati otgan'!J:J,"To'lov yoki bepul tasdiqlash")</f>
        <v>0</v>
      </c>
      <c r="CH161" s="39">
        <f>+COUNTIFS('muddati otgan'!B:B,A161,'muddati otgan'!J:J,"Bog'liq arizani kutish")</f>
        <v>0</v>
      </c>
      <c r="CI161" s="39">
        <f>+COUNTIFS('muddati otgan'!B:B,A161,'muddati otgan'!J:J,"To'lovga chiqarish")</f>
        <v>0</v>
      </c>
      <c r="CJ161" s="39">
        <f>+COUNTIFS('muddati otgan'!B:B,A161,'muddati otgan'!J:J,"Hisobga qo'yish")</f>
        <v>0</v>
      </c>
      <c r="CK161" s="67">
        <f>+COUNTIFS('muddati otgan'!B:B,A161,'muddati otgan'!J:J,"To'lov kutilmoqda")</f>
        <v>2</v>
      </c>
      <c r="CL161" s="39">
        <f t="shared" si="36"/>
        <v>1</v>
      </c>
      <c r="CM161" s="39">
        <f>+COUNTIFS('muddati otgan'!B:B,A161,'muddati otgan'!AA:AA,"Arizani qabul qilish2")</f>
        <v>0</v>
      </c>
      <c r="CN161" s="39">
        <f>+COUNTIFS('muddati otgan'!B:B,A161,'muddati otgan'!J:J,"Huquqlarni tekshirish")</f>
        <v>0</v>
      </c>
      <c r="CO161" s="39">
        <f>+COUNTIFS('muddati otgan'!B:B,A161,'muddati otgan'!J:J,"Ko'chmas mulkni ro'yhatdan o'tkazishga qabul qilish")</f>
        <v>0</v>
      </c>
      <c r="CP161" s="39">
        <f>+COUNTIFS('muddati otgan'!B:B,A161,'muddati otgan'!J:J,"Ro'yxatdan o'tkazish")</f>
        <v>1</v>
      </c>
      <c r="CQ161" s="39">
        <f>+COUNTIFS('muddati otgan'!B:B,A161,'muddati otgan'!J:J,"Kadastr pasporti va ko'chirmani yuborish")</f>
        <v>0</v>
      </c>
      <c r="CR161" s="39">
        <f>+COUNTIFS('muddati otgan'!B:B,A161,'muddati otgan'!AA:AA,"Rad qilish2")</f>
        <v>0</v>
      </c>
      <c r="CS161" s="39">
        <f>+COUNTIFS('muddati otgan'!B:B,A161,'muddati otgan'!J:J,"Ko'chirmani yuborish")</f>
        <v>0</v>
      </c>
      <c r="CT161" s="39">
        <f>+COUNTIFS('muddati otgan'!B:B,A161,'muddati otgan'!J:J,"Ma‘lumotlarni tekshirish")</f>
        <v>0</v>
      </c>
      <c r="CU161" s="39">
        <f t="shared" si="37"/>
        <v>0</v>
      </c>
      <c r="CV161" s="39">
        <f>+COUNTIFS('muddati otgan'!B:B,A161,'muddati otgan'!J:J,"Kadastr yig'majildini chop etish va arxiv ishiga tikish")</f>
        <v>0</v>
      </c>
      <c r="CW161" s="39">
        <f t="shared" si="38"/>
        <v>0</v>
      </c>
      <c r="CX161" s="39">
        <f>+COUNTIFS('muddati otgan'!B:B,A161,'muddati otgan'!J:J,"Kadastr yig‘majildini qabul qilish, arizani yakunlash")</f>
        <v>0</v>
      </c>
      <c r="CY161" s="39">
        <f>+COUNTIFS('muddati otgan'!B:B,A161,'muddati otgan'!J:J,"Next Cloudga yuklash")</f>
        <v>0</v>
      </c>
      <c r="CZ161" s="67">
        <f>+COUNTIFS('muddati otgan'!B:B,A161,'muddati otgan'!J:J,"Kelishish kutilmoqda")</f>
        <v>0</v>
      </c>
      <c r="DA161" s="67">
        <f>+COUNTIFS('muddati otgan'!B:B,A161,'muddati otgan'!J:J,"Yakunlandi")</f>
        <v>15</v>
      </c>
      <c r="DB161" s="37">
        <f>+COUNTIFS('muddati otgan'!B:B,A161,'muddati otgan'!J:J,"Rad etildi")</f>
        <v>0</v>
      </c>
      <c r="DC161" s="99">
        <f t="shared" si="5"/>
        <v>-15</v>
      </c>
      <c r="DD161" s="43">
        <f>COUNTIFS('jami 1-20 kunlik arizalar'!B:B,A:A,'jami 1-20 kunlik arizalar'!S:S,"1")</f>
        <v>0</v>
      </c>
      <c r="DE161" s="39">
        <f>COUNTIFS('jami 1-20 kunlik arizalar'!B:B,A:A,'jami 1-20 kunlik arizalar'!S:S,"2")</f>
        <v>0</v>
      </c>
      <c r="DF161" s="39">
        <f>COUNTIFS('jami 1-20 kunlik arizalar'!B:B,A:A,'jami 1-20 kunlik arizalar'!S:S,"3")</f>
        <v>25</v>
      </c>
      <c r="DG161" s="39">
        <f>COUNTIFS('jami 1-20 kunlik arizalar'!B:B,A:A,'jami 1-20 kunlik arizalar'!S:S,"4")</f>
        <v>14</v>
      </c>
      <c r="DH161" s="39">
        <f>COUNTIFS('jami 1-20 kunlik arizalar'!B:B,A:A,'jami 1-20 kunlik arizalar'!S:S,"5")</f>
        <v>20</v>
      </c>
      <c r="DI161" s="39">
        <f>SUM(COUNTIFS('jami 1-20 kunlik arizalar'!B:B,A:A, 'jami 1-20 kunlik arizalar'!S:S, {6,7,8,9,10}))</f>
        <v>87</v>
      </c>
      <c r="DJ161" s="40">
        <f>SUMPRODUCT(('jami 1-20 kunlik arizalar'!B:B=A161)*('jami 1-20 kunlik arizalar'!S:S&gt;10))</f>
        <v>71</v>
      </c>
      <c r="DK161" s="34"/>
    </row>
    <row r="162" spans="1:115" ht="35.1" hidden="1" customHeight="1" outlineLevel="1" x14ac:dyDescent="0.25">
      <c r="A162" s="92" t="s">
        <v>719</v>
      </c>
      <c r="B162" s="74"/>
      <c r="C162" s="85" t="s">
        <v>859</v>
      </c>
      <c r="D162" s="80">
        <f>+COUNTIFS('muddati otgan'!C:C,A162,'muddati otgan'!C:C,A162)</f>
        <v>1</v>
      </c>
      <c r="E162" s="10">
        <f>SUMIFS('muddati otgan'!$V:V,'muddati otgan'!$C:C,$A:A)</f>
        <v>0</v>
      </c>
      <c r="F162" s="10">
        <f>SUMIFS('muddati otgan'!$W:W,'muddati otgan'!$C:C,$A:A)</f>
        <v>0</v>
      </c>
      <c r="G162" s="24">
        <f>SUMIFS('muddati otgan'!$U:U,'muddati otgan'!$C:C,$A:A)</f>
        <v>1</v>
      </c>
      <c r="H162" s="11">
        <f>SUMIFS('muddati otgan'!$G:G,'muddati otgan'!$C:C,$A:A)</f>
        <v>1</v>
      </c>
      <c r="I162" s="12">
        <f>SUMIFS('muddati otgan'!$H:H,'muddati otgan'!$C:C,$A:A)</f>
        <v>0</v>
      </c>
      <c r="J162" s="44">
        <f t="shared" si="23"/>
        <v>0</v>
      </c>
      <c r="K162" s="11">
        <f>+COUNTIFS('muddati otgan'!C:C,A162,'muddati otgan'!AA:AA,"Arizani qabul qilish")</f>
        <v>0</v>
      </c>
      <c r="L162" s="11">
        <f>+COUNTIFS('muddati otgan'!C:C,A162,'muddati otgan'!J:J,"Arizani rad etish")</f>
        <v>0</v>
      </c>
      <c r="M162" s="11">
        <f>+COUNTIFS('muddati otgan'!C:C,A162,'muddati otgan'!J:J,"Arizani tasdiqlash")</f>
        <v>0</v>
      </c>
      <c r="N162" s="11">
        <f>+COUNTIFS('muddati otgan'!C:C,A162,'muddati otgan'!J:J,"Arizani yo'naltirish")</f>
        <v>0</v>
      </c>
      <c r="O162" s="11">
        <f>+COUNTIFS('muddati otgan'!C:C,A162,'muddati otgan'!J:J,"Rad qilish sababini o'rganish")</f>
        <v>0</v>
      </c>
      <c r="P162" s="11">
        <f>+COUNTIFS('muddati otgan'!C:C,A162,'muddati otgan'!J:J,"Ko'chmas mulkni UZKAD ga migratsiya qilish")</f>
        <v>0</v>
      </c>
      <c r="Q162" s="11">
        <f>+COUNTIFS('muddati otgan'!C:C,A162,'muddati otgan'!J:J,"Migratisya qilingan obyekt holatini tekshirish")</f>
        <v>0</v>
      </c>
      <c r="R162" s="11">
        <f>+COUNTIFS('muddati otgan'!C:C,A162,'muddati otgan'!J:J,"Ko‘chmas mulkni tanlash")</f>
        <v>0</v>
      </c>
      <c r="S162" s="11">
        <f>+COUNTIFS('muddati otgan'!C:C,A162,'muddati otgan'!J:J,"Arizani ko'rib chiqish")</f>
        <v>0</v>
      </c>
      <c r="T162" s="11">
        <f>+COUNTIFS('muddati otgan'!C:C,A162,'muddati otgan'!J:J,"Kadastr muhandisini tanlash")</f>
        <v>0</v>
      </c>
      <c r="U162" s="11">
        <f>+COUNTIFS('muddati otgan'!C:C,A162,'muddati otgan'!J:J,"Ko'chmas mulk turini tanlahsh")</f>
        <v>0</v>
      </c>
      <c r="V162" s="11">
        <f>+COUNTIFS('muddati otgan'!C:C,A162,'muddati otgan'!AA:AA,"Rad qilish")</f>
        <v>0</v>
      </c>
      <c r="W162" s="11">
        <f>+COUNTIFS('muddati otgan'!C:C,A162,'muddati otgan'!J:J,"ijrochi tanlash")</f>
        <v>0</v>
      </c>
      <c r="X162" s="11">
        <f>+COUNTIFS('muddati otgan'!C:C,A162,'muddati otgan'!J:J,"Ko'chmas mulk turini tanlash")</f>
        <v>0</v>
      </c>
      <c r="Y162" s="11">
        <f t="shared" si="24"/>
        <v>0</v>
      </c>
      <c r="Z162" s="11">
        <f>+COUNTIFS('muddati otgan'!C:C,A162,'muddati otgan'!J:J,"Ijroga qabul qilish")</f>
        <v>0</v>
      </c>
      <c r="AA162" s="11">
        <f>+COUNTIFS('muddati otgan'!C:C,A162,'muddati otgan'!J:J,"Joyida o'rganish va ma'lumotlarni kiritish")</f>
        <v>0</v>
      </c>
      <c r="AB162" s="11">
        <f>+COUNTIFS('muddati otgan'!C:C,A162,'muddati otgan'!J:J,"Asosiy qismdan ajratish jarayonida")</f>
        <v>0</v>
      </c>
      <c r="AC162" s="11">
        <f>+COUNTIFS('muddati otgan'!C:C,A162,'muddati otgan'!J:J,"Umumiy foydalanishdagi obyekt yaratilish")</f>
        <v>0</v>
      </c>
      <c r="AD162" s="11">
        <f>+COUNTIFS('muddati otgan'!C:C,A162,'muddati otgan'!J:J,"Migratsiya qilinadigan kadastr raqamini kiritish")</f>
        <v>0</v>
      </c>
      <c r="AE162" s="11">
        <f>+COUNTIFS('muddati otgan'!C:C,A162,'muddati otgan'!J:J,"O'zida qolgan obyektni yaratish")</f>
        <v>0</v>
      </c>
      <c r="AF162" s="11">
        <f>+COUNTIFS('muddati otgan'!C:C,A162,'muddati otgan'!J:J,"O'lchov natijalarini kiritish")</f>
        <v>0</v>
      </c>
      <c r="AG162" s="11">
        <f>+COUNTIFS('muddati otgan'!C:C,A162,'muddati otgan'!J:J,"Topoxaritani tayyorlash (dwg, pdf)")</f>
        <v>0</v>
      </c>
      <c r="AH162" s="11">
        <f t="shared" si="25"/>
        <v>0</v>
      </c>
      <c r="AI162" s="11">
        <f>+COUNTIFS('muddati otgan'!C:C,A162,'muddati otgan'!J:J,"Yer uchastkasini yaratish")</f>
        <v>0</v>
      </c>
      <c r="AJ162" s="11">
        <f t="shared" si="26"/>
        <v>0</v>
      </c>
      <c r="AK162" s="11">
        <f>+COUNTIFS('muddati otgan'!C:C,A162,'muddati otgan'!J:J,"Kelishish (Boshqarma)")</f>
        <v>0</v>
      </c>
      <c r="AL162" s="11">
        <f t="shared" si="27"/>
        <v>0</v>
      </c>
      <c r="AM162" s="11">
        <f>+COUNTIFS('muddati otgan'!C:C,A162,'muddati otgan'!J:J,"Kelishish (DKP)")</f>
        <v>0</v>
      </c>
      <c r="AN162" s="11">
        <f>+COUNTIFS('muddati otgan'!C:C,A162,'muddati otgan'!J:J,"Kelishish")</f>
        <v>0</v>
      </c>
      <c r="AO162" s="11">
        <f>+COUNTIFS('muddati otgan'!C:C,A162,'muddati otgan'!J:J,"Kelishish (Registratsiya DKP)")</f>
        <v>0</v>
      </c>
      <c r="AP162" s="11">
        <f t="shared" si="28"/>
        <v>0</v>
      </c>
      <c r="AQ162" s="11">
        <f>+COUNTIFS('muddati otgan'!C:C,A162,'muddati otgan'!J:J,"Manzil biriktirish")</f>
        <v>0</v>
      </c>
      <c r="AR162" s="11">
        <f>+COUNTIFS('muddati otgan'!C:C,A162,'muddati otgan'!J:J,"Bino va inshootlarni yaratish")</f>
        <v>0</v>
      </c>
      <c r="AS162" s="11">
        <f>+COUNTIFS('muddati otgan'!C:C,A162,'muddati otgan'!J:J,"Dov daraxtlarni yaratish")</f>
        <v>0</v>
      </c>
      <c r="AT162" s="11">
        <f>+COUNTIFS('muddati otgan'!C:C,A162,'muddati otgan'!J:J,"Yer uchastkasini tahrirlash")</f>
        <v>0</v>
      </c>
      <c r="AU162" s="11">
        <f t="shared" si="29"/>
        <v>0</v>
      </c>
      <c r="AV162" s="11">
        <f>+COUNTIFS('muddati otgan'!C:C,A162,'muddati otgan'!J:J,"Yer toifasi va maqsadini kiritish")</f>
        <v>0</v>
      </c>
      <c r="AW162" s="11">
        <f>+COUNTIFS('muddati otgan'!C:C,A162,'muddati otgan'!J:J,"Auksion yer tekshirish")</f>
        <v>0</v>
      </c>
      <c r="AX162" s="11">
        <f>+COUNTIFS('muddati otgan'!C:C,A162,'muddati otgan'!J:J,"Yer turlarini kiritish")</f>
        <v>0</v>
      </c>
      <c r="AY162" s="11">
        <f>+COUNTIFS('muddati otgan'!C:C,A162,'muddati otgan'!J:J,"Ma'lumotlarni kiritish")</f>
        <v>0</v>
      </c>
      <c r="AZ162" s="11">
        <f>+COUNTIFS('muddati otgan'!C:C,A162,'muddati otgan'!J:J,"Yer tekshirish")</f>
        <v>0</v>
      </c>
      <c r="BA162" s="11">
        <f t="shared" si="30"/>
        <v>0</v>
      </c>
      <c r="BB162" s="11">
        <f>+COUNTIFS('muddati otgan'!C:C,A162,'muddati otgan'!J:J,"Bino va inshoot ma'lumotlarini to‘ldirish")</f>
        <v>0</v>
      </c>
      <c r="BC162" s="11">
        <f>+COUNTIFS('muddati otgan'!C:C,A162,'muddati otgan'!J:J,"Inventarizatsiya ma'lumotlarini to‘ldirish")</f>
        <v>0</v>
      </c>
      <c r="BD162" s="11">
        <f>+COUNTIFS('muddati otgan'!C:C,A162,'muddati otgan'!J:J,"Yer uchastkasiga huquqiy hujjatlarni kiritsh")</f>
        <v>0</v>
      </c>
      <c r="BE162" s="11">
        <f>+COUNTIFS('muddati otgan'!C:C,A162,'muddati otgan'!J:J,"Bino-inshootlarga huquqiy hujjatlarni kiritsh")</f>
        <v>0</v>
      </c>
      <c r="BF162" s="11">
        <f>+COUNTIFS('muddati otgan'!C:C,A162,'muddati otgan'!J:J,"Kadastr qiymatini hisoblash va kiritish")</f>
        <v>0</v>
      </c>
      <c r="BG162" s="11">
        <f>+COUNTIFS('muddati otgan'!C:C,A162,'muddati otgan'!J:J,"Kadastr raqam biriktirish")</f>
        <v>0</v>
      </c>
      <c r="BH162" s="11">
        <f>+COUNTIFS('muddati otgan'!C:C,A162,'muddati otgan'!J:J,"Kadastr yig'ma jildni tayyorlash")</f>
        <v>0</v>
      </c>
      <c r="BI162" s="11">
        <f>+COUNTIFS('muddati otgan'!C:C,A162,'muddati otgan'!J:J,"Huquqni yaratish")</f>
        <v>0</v>
      </c>
      <c r="BJ162" s="11">
        <f>+COUNTIFS('muddati otgan'!C:C,A162,'muddati otgan'!J:J,"Hujjatlarni o'rganish")</f>
        <v>0</v>
      </c>
      <c r="BK162" s="11">
        <f>+COUNTIFS('muddati otgan'!C:C,A162,'muddati otgan'!J:J,"Ma'lumotlarni tekshirish")</f>
        <v>0</v>
      </c>
      <c r="BL162" s="11">
        <f t="shared" si="31"/>
        <v>0</v>
      </c>
      <c r="BM162" s="11">
        <f>+COUNTIFS('muddati otgan'!C:C,A162,'muddati otgan'!J:J,"Tekshirish")</f>
        <v>0</v>
      </c>
      <c r="BN162" s="11">
        <f>+COUNTIFS('muddati otgan'!C:C,A162,'muddati otgan'!J:J,"Hujjatlarni tekshirish")</f>
        <v>0</v>
      </c>
      <c r="BO162" s="11">
        <f>+COUNTIFS('muddati otgan'!C:C,A162,'muddati otgan'!J:J,"Tasdiqlash")</f>
        <v>0</v>
      </c>
      <c r="BP162" s="11">
        <f>+COUNTIFS('muddati otgan'!C:C,A162,'muddati otgan'!J:J,"tekshirish/tasdiqlash")</f>
        <v>0</v>
      </c>
      <c r="BQ162" s="11">
        <f>+COUNTIFS('muddati otgan'!C:C,A162,'muddati otgan'!J:J,"Ma'lumotlarni tasdiqlash")</f>
        <v>0</v>
      </c>
      <c r="BR162" s="11">
        <f t="shared" si="32"/>
        <v>1</v>
      </c>
      <c r="BS162" s="11">
        <f>+COUNTIFS('muddati otgan'!C:C,A162,'muddati otgan'!J:J,"Ro'yxatdan o'tkazish ma'lumotlarini tekshirish")</f>
        <v>1</v>
      </c>
      <c r="BT162" s="11">
        <f>+COUNTIFS('muddati otgan'!C:C,A162,'muddati otgan'!J:J,"Kamchiliklar bo'yicha habarnoma yuborish va 3 kunga to'xtatish")</f>
        <v>0</v>
      </c>
      <c r="BU162" s="11">
        <f>+COUNTIFS('muddati otgan'!C:C,A162,'muddati otgan'!J:J,"Hisobga olish")</f>
        <v>0</v>
      </c>
      <c r="BV162" s="11">
        <f>+COUNTIFS('muddati otgan'!C:C,A162,'muddati otgan'!J:J,"Yer uchastkasiga huquq yaratish")</f>
        <v>0</v>
      </c>
      <c r="BW162" s="11">
        <f>+COUNTIFS('muddati otgan'!C:C,A162,'muddati otgan'!J:J,"Bino-inshootga huquq yaratish")</f>
        <v>0</v>
      </c>
      <c r="BX162" s="11">
        <f>+COUNTIFS('muddati otgan'!C:C,A162,'muddati otgan'!J:J,"Cheklov yaratish")</f>
        <v>0</v>
      </c>
      <c r="BY162" s="11">
        <f>+COUNTIFS('muddati otgan'!C:C,A162,'muddati otgan'!J:J,"Taqiq yaratish")</f>
        <v>0</v>
      </c>
      <c r="BZ162" s="11">
        <f t="shared" si="33"/>
        <v>0</v>
      </c>
      <c r="CA162" s="11">
        <f>+COUNTIFS('muddati otgan'!C:C,A162,'muddati otgan'!J:J,"Soliq maydonini tekshirish")</f>
        <v>0</v>
      </c>
      <c r="CB162" s="11">
        <f t="shared" si="34"/>
        <v>0</v>
      </c>
      <c r="CC162" s="11">
        <f>+COUNTIFS('muddati otgan'!C:C,A162,'muddati otgan'!J:J,"Kadastr yig'majildini shakllantirish")</f>
        <v>0</v>
      </c>
      <c r="CD162" s="11">
        <f t="shared" si="35"/>
        <v>0</v>
      </c>
      <c r="CE162" s="11">
        <f>+COUNTIFS('muddati otgan'!C:C,A162,'muddati otgan'!J:J,"Kadastr passportini shakllantirish")</f>
        <v>0</v>
      </c>
      <c r="CF162" s="11">
        <f>+COUNTIFS('muddati otgan'!C:C,A162,'muddati otgan'!J:J,"Yig'ma jildni tasdiqlash")</f>
        <v>0</v>
      </c>
      <c r="CG162" s="11">
        <f>+COUNTIFS('muddati otgan'!C:C,A162,'muddati otgan'!J:J,"To'lov yoki bepul tasdiqlash")</f>
        <v>0</v>
      </c>
      <c r="CH162" s="11">
        <f>+COUNTIFS('muddati otgan'!C:C,A162,'muddati otgan'!J:J,"Bog'liq arizani kutish")</f>
        <v>0</v>
      </c>
      <c r="CI162" s="11">
        <f>+COUNTIFS('muddati otgan'!C:C,A162,'muddati otgan'!J:J,"To'lovga chiqarish")</f>
        <v>0</v>
      </c>
      <c r="CJ162" s="11">
        <f>+COUNTIFS('muddati otgan'!C:C,A162,'muddati otgan'!J:J,"Hisobga qo'yish")</f>
        <v>0</v>
      </c>
      <c r="CK162" s="6">
        <f>+COUNTIFS('muddati otgan'!C:C,A162,'muddati otgan'!J:J,"To'lov kutilmoqda")</f>
        <v>0</v>
      </c>
      <c r="CL162" s="11">
        <f t="shared" si="36"/>
        <v>0</v>
      </c>
      <c r="CM162" s="11">
        <f>+COUNTIFS('muddati otgan'!C:C,A162,'muddati otgan'!AA:AA,"Arizani qabul qilish2")</f>
        <v>0</v>
      </c>
      <c r="CN162" s="11">
        <f>+COUNTIFS('muddati otgan'!C:C,A162,'muddati otgan'!J:J,"Huquqlarni tekshirish")</f>
        <v>0</v>
      </c>
      <c r="CO162" s="11">
        <f>+COUNTIFS('muddati otgan'!C:C,A162,'muddati otgan'!J:J,"Ko'chmas mulkni ro'yhatdan o'tkazishga qabul qilish")</f>
        <v>0</v>
      </c>
      <c r="CP162" s="11">
        <f>+COUNTIFS('muddati otgan'!C:C,A162,'muddati otgan'!J:J,"Ro'yxatdan o'tkazish")</f>
        <v>0</v>
      </c>
      <c r="CQ162" s="11">
        <f>+COUNTIFS('muddati otgan'!C:C,A162,'muddati otgan'!J:J,"Kadastr pasporti va ko'chirmani yuborish")</f>
        <v>0</v>
      </c>
      <c r="CR162" s="11">
        <f>+COUNTIFS('muddati otgan'!C:C,A162,'muddati otgan'!AA:AA,"Rad qilish2")</f>
        <v>0</v>
      </c>
      <c r="CS162" s="11">
        <f>+COUNTIFS('muddati otgan'!C:C,A162,'muddati otgan'!J:J,"Ko'chirmani yuborish")</f>
        <v>0</v>
      </c>
      <c r="CT162" s="11">
        <f>+COUNTIFS('muddati otgan'!C:C,A162,'muddati otgan'!J:J,"Ma‘lumotlarni tekshirish")</f>
        <v>0</v>
      </c>
      <c r="CU162" s="11">
        <f t="shared" si="37"/>
        <v>0</v>
      </c>
      <c r="CV162" s="11">
        <f>+COUNTIFS('muddati otgan'!C:C,A162,'muddati otgan'!J:J,"Kadastr yig'majildini chop etish va arxiv ishiga tikish")</f>
        <v>0</v>
      </c>
      <c r="CW162" s="11">
        <f t="shared" si="38"/>
        <v>0</v>
      </c>
      <c r="CX162" s="11">
        <f>+COUNTIFS('muddati otgan'!C:C,A162,'muddati otgan'!J:J,"Kadastr yig‘majildini qabul qilish, arizani yakunlash")</f>
        <v>0</v>
      </c>
      <c r="CY162" s="11">
        <f>+COUNTIFS('muddati otgan'!C:C,A162,'muddati otgan'!J:J,"Next Cloudga yuklash")</f>
        <v>0</v>
      </c>
      <c r="CZ162" s="6">
        <f>+COUNTIFS('muddati otgan'!C:C,A162,'muddati otgan'!J:J,"Kelishish kutilmoqda")</f>
        <v>0</v>
      </c>
      <c r="DA162" s="6">
        <f>+COUNTIFS('muddati otgan'!C:C,A162,'muddati otgan'!J:J,"Yakunlandi")</f>
        <v>0</v>
      </c>
      <c r="DB162" s="10">
        <f>+COUNTIFS('muddati otgan'!C:C,A162,'muddati otgan'!J:J,"Rad etildi")</f>
        <v>0</v>
      </c>
      <c r="DC162" s="100">
        <f t="shared" si="5"/>
        <v>-1</v>
      </c>
      <c r="DD162" s="44">
        <f>COUNTIFS('jami 1-20 kunlik arizalar'!C:C,A:A,'jami 1-20 kunlik arizalar'!S:S,"1")</f>
        <v>0</v>
      </c>
      <c r="DE162" s="11">
        <f>COUNTIFS('jami 1-20 kunlik arizalar'!C:C,A:A,'jami 1-20 kunlik arizalar'!S:S,"2")</f>
        <v>0</v>
      </c>
      <c r="DF162" s="11">
        <f>COUNTIFS('jami 1-20 kunlik arizalar'!C:C,A:A,'jami 1-20 kunlik arizalar'!S:S,"3")</f>
        <v>0</v>
      </c>
      <c r="DG162" s="11">
        <f>COUNTIFS('jami 1-20 kunlik arizalar'!C:C,A:A,'jami 1-20 kunlik arizalar'!S:S,"4")</f>
        <v>0</v>
      </c>
      <c r="DH162" s="11">
        <f>COUNTIFS('jami 1-20 kunlik arizalar'!C:C,A:A,'jami 1-20 kunlik arizalar'!S:S,"5")</f>
        <v>0</v>
      </c>
      <c r="DI162" s="11">
        <f>SUM(COUNTIFS('jami 1-20 kunlik arizalar'!C:C,A:A, 'jami 1-20 kunlik arizalar'!S:S, {6,7,8,9,10}))</f>
        <v>1</v>
      </c>
      <c r="DJ162" s="12">
        <f>SUM(COUNTIFS('jami 1-20 kunlik arizalar'!C:C,A:A, 'jami 1-20 kunlik arizalar'!S:S, "&gt;10"))</f>
        <v>1</v>
      </c>
    </row>
    <row r="163" spans="1:115" ht="35.1" hidden="1" customHeight="1" outlineLevel="1" x14ac:dyDescent="0.25">
      <c r="A163" s="92" t="s">
        <v>717</v>
      </c>
      <c r="B163" s="74"/>
      <c r="C163" s="85" t="s">
        <v>860</v>
      </c>
      <c r="D163" s="80">
        <f>+COUNTIFS('muddati otgan'!C:C,A163,'muddati otgan'!C:C,A163)</f>
        <v>3</v>
      </c>
      <c r="E163" s="10">
        <f>SUMIFS('muddati otgan'!$V:V,'muddati otgan'!$C:C,$A:A)</f>
        <v>2</v>
      </c>
      <c r="F163" s="10">
        <f>SUMIFS('muddati otgan'!$W:W,'muddati otgan'!$C:C,$A:A)</f>
        <v>1</v>
      </c>
      <c r="G163" s="24">
        <f>SUMIFS('muddati otgan'!$U:U,'muddati otgan'!$C:C,$A:A)</f>
        <v>0</v>
      </c>
      <c r="H163" s="11">
        <f>SUMIFS('muddati otgan'!$G:G,'muddati otgan'!$C:C,$A:A)</f>
        <v>1</v>
      </c>
      <c r="I163" s="12">
        <f>SUMIFS('muddati otgan'!$H:H,'muddati otgan'!$C:C,$A:A)</f>
        <v>2</v>
      </c>
      <c r="J163" s="44">
        <f t="shared" si="23"/>
        <v>0</v>
      </c>
      <c r="K163" s="11">
        <f>+COUNTIFS('muddati otgan'!C:C,A163,'muddati otgan'!AA:AA,"Arizani qabul qilish")</f>
        <v>0</v>
      </c>
      <c r="L163" s="11">
        <f>+COUNTIFS('muddati otgan'!C:C,A163,'muddati otgan'!J:J,"Arizani rad etish")</f>
        <v>0</v>
      </c>
      <c r="M163" s="11">
        <f>+COUNTIFS('muddati otgan'!C:C,A163,'muddati otgan'!J:J,"Arizani tasdiqlash")</f>
        <v>0</v>
      </c>
      <c r="N163" s="11">
        <f>+COUNTIFS('muddati otgan'!C:C,A163,'muddati otgan'!J:J,"Arizani yo'naltirish")</f>
        <v>0</v>
      </c>
      <c r="O163" s="11">
        <f>+COUNTIFS('muddati otgan'!C:C,A163,'muddati otgan'!J:J,"Rad qilish sababini o'rganish")</f>
        <v>0</v>
      </c>
      <c r="P163" s="11">
        <f>+COUNTIFS('muddati otgan'!C:C,A163,'muddati otgan'!J:J,"Ko'chmas mulkni UZKAD ga migratsiya qilish")</f>
        <v>0</v>
      </c>
      <c r="Q163" s="11">
        <f>+COUNTIFS('muddati otgan'!C:C,A163,'muddati otgan'!J:J,"Migratisya qilingan obyekt holatini tekshirish")</f>
        <v>0</v>
      </c>
      <c r="R163" s="11">
        <f>+COUNTIFS('muddati otgan'!C:C,A163,'muddati otgan'!J:J,"Ko‘chmas mulkni tanlash")</f>
        <v>0</v>
      </c>
      <c r="S163" s="11">
        <f>+COUNTIFS('muddati otgan'!C:C,A163,'muddati otgan'!J:J,"Arizani ko'rib chiqish")</f>
        <v>0</v>
      </c>
      <c r="T163" s="11">
        <f>+COUNTIFS('muddati otgan'!C:C,A163,'muddati otgan'!J:J,"Kadastr muhandisini tanlash")</f>
        <v>0</v>
      </c>
      <c r="U163" s="11">
        <f>+COUNTIFS('muddati otgan'!C:C,A163,'muddati otgan'!J:J,"Ko'chmas mulk turini tanlahsh")</f>
        <v>0</v>
      </c>
      <c r="V163" s="11">
        <f>+COUNTIFS('muddati otgan'!C:C,A163,'muddati otgan'!AA:AA,"Rad qilish")</f>
        <v>0</v>
      </c>
      <c r="W163" s="11">
        <f>+COUNTIFS('muddati otgan'!C:C,A163,'muddati otgan'!J:J,"ijrochi tanlash")</f>
        <v>0</v>
      </c>
      <c r="X163" s="11">
        <f>+COUNTIFS('muddati otgan'!C:C,A163,'muddati otgan'!J:J,"Ko'chmas mulk turini tanlash")</f>
        <v>0</v>
      </c>
      <c r="Y163" s="11">
        <f t="shared" si="24"/>
        <v>0</v>
      </c>
      <c r="Z163" s="11">
        <f>+COUNTIFS('muddati otgan'!C:C,A163,'muddati otgan'!J:J,"Ijroga qabul qilish")</f>
        <v>0</v>
      </c>
      <c r="AA163" s="11">
        <f>+COUNTIFS('muddati otgan'!C:C,A163,'muddati otgan'!J:J,"Joyida o'rganish va ma'lumotlarni kiritish")</f>
        <v>0</v>
      </c>
      <c r="AB163" s="11">
        <f>+COUNTIFS('muddati otgan'!C:C,A163,'muddati otgan'!J:J,"Asosiy qismdan ajratish jarayonida")</f>
        <v>0</v>
      </c>
      <c r="AC163" s="11">
        <f>+COUNTIFS('muddati otgan'!C:C,A163,'muddati otgan'!J:J,"Umumiy foydalanishdagi obyekt yaratilish")</f>
        <v>0</v>
      </c>
      <c r="AD163" s="11">
        <f>+COUNTIFS('muddati otgan'!C:C,A163,'muddati otgan'!J:J,"Migratsiya qilinadigan kadastr raqamini kiritish")</f>
        <v>0</v>
      </c>
      <c r="AE163" s="11">
        <f>+COUNTIFS('muddati otgan'!C:C,A163,'muddati otgan'!J:J,"O'zida qolgan obyektni yaratish")</f>
        <v>0</v>
      </c>
      <c r="AF163" s="11">
        <f>+COUNTIFS('muddati otgan'!C:C,A163,'muddati otgan'!J:J,"O'lchov natijalarini kiritish")</f>
        <v>0</v>
      </c>
      <c r="AG163" s="11">
        <f>+COUNTIFS('muddati otgan'!C:C,A163,'muddati otgan'!J:J,"Topoxaritani tayyorlash (dwg, pdf)")</f>
        <v>0</v>
      </c>
      <c r="AH163" s="11">
        <f t="shared" si="25"/>
        <v>0</v>
      </c>
      <c r="AI163" s="11">
        <f>+COUNTIFS('muddati otgan'!C:C,A163,'muddati otgan'!J:J,"Yer uchastkasini yaratish")</f>
        <v>0</v>
      </c>
      <c r="AJ163" s="11">
        <f t="shared" si="26"/>
        <v>0</v>
      </c>
      <c r="AK163" s="11">
        <f>+COUNTIFS('muddati otgan'!C:C,A163,'muddati otgan'!J:J,"Kelishish (Boshqarma)")</f>
        <v>0</v>
      </c>
      <c r="AL163" s="11">
        <f t="shared" si="27"/>
        <v>0</v>
      </c>
      <c r="AM163" s="11">
        <f>+COUNTIFS('muddati otgan'!C:C,A163,'muddati otgan'!J:J,"Kelishish (DKP)")</f>
        <v>0</v>
      </c>
      <c r="AN163" s="11">
        <f>+COUNTIFS('muddati otgan'!C:C,A163,'muddati otgan'!J:J,"Kelishish")</f>
        <v>0</v>
      </c>
      <c r="AO163" s="11">
        <f>+COUNTIFS('muddati otgan'!C:C,A163,'muddati otgan'!J:J,"Kelishish (Registratsiya DKP)")</f>
        <v>0</v>
      </c>
      <c r="AP163" s="11">
        <f t="shared" si="28"/>
        <v>0</v>
      </c>
      <c r="AQ163" s="11">
        <f>+COUNTIFS('muddati otgan'!C:C,A163,'muddati otgan'!J:J,"Manzil biriktirish")</f>
        <v>0</v>
      </c>
      <c r="AR163" s="11">
        <f>+COUNTIFS('muddati otgan'!C:C,A163,'muddati otgan'!J:J,"Bino va inshootlarni yaratish")</f>
        <v>0</v>
      </c>
      <c r="AS163" s="11">
        <f>+COUNTIFS('muddati otgan'!C:C,A163,'muddati otgan'!J:J,"Dov daraxtlarni yaratish")</f>
        <v>0</v>
      </c>
      <c r="AT163" s="11">
        <f>+COUNTIFS('muddati otgan'!C:C,A163,'muddati otgan'!J:J,"Yer uchastkasini tahrirlash")</f>
        <v>0</v>
      </c>
      <c r="AU163" s="11">
        <f t="shared" si="29"/>
        <v>0</v>
      </c>
      <c r="AV163" s="11">
        <f>+COUNTIFS('muddati otgan'!C:C,A163,'muddati otgan'!J:J,"Yer toifasi va maqsadini kiritish")</f>
        <v>0</v>
      </c>
      <c r="AW163" s="11">
        <f>+COUNTIFS('muddati otgan'!C:C,A163,'muddati otgan'!J:J,"Auksion yer tekshirish")</f>
        <v>0</v>
      </c>
      <c r="AX163" s="11">
        <f>+COUNTIFS('muddati otgan'!C:C,A163,'muddati otgan'!J:J,"Yer turlarini kiritish")</f>
        <v>0</v>
      </c>
      <c r="AY163" s="11">
        <f>+COUNTIFS('muddati otgan'!C:C,A163,'muddati otgan'!J:J,"Ma'lumotlarni kiritish")</f>
        <v>0</v>
      </c>
      <c r="AZ163" s="11">
        <f>+COUNTIFS('muddati otgan'!C:C,A163,'muddati otgan'!J:J,"Yer tekshirish")</f>
        <v>0</v>
      </c>
      <c r="BA163" s="11">
        <f t="shared" si="30"/>
        <v>0</v>
      </c>
      <c r="BB163" s="11">
        <f>+COUNTIFS('muddati otgan'!C:C,A163,'muddati otgan'!J:J,"Bino va inshoot ma'lumotlarini to‘ldirish")</f>
        <v>0</v>
      </c>
      <c r="BC163" s="11">
        <f>+COUNTIFS('muddati otgan'!C:C,A163,'muddati otgan'!J:J,"Inventarizatsiya ma'lumotlarini to‘ldirish")</f>
        <v>0</v>
      </c>
      <c r="BD163" s="11">
        <f>+COUNTIFS('muddati otgan'!C:C,A163,'muddati otgan'!J:J,"Yer uchastkasiga huquqiy hujjatlarni kiritsh")</f>
        <v>0</v>
      </c>
      <c r="BE163" s="11">
        <f>+COUNTIFS('muddati otgan'!C:C,A163,'muddati otgan'!J:J,"Bino-inshootlarga huquqiy hujjatlarni kiritsh")</f>
        <v>0</v>
      </c>
      <c r="BF163" s="11">
        <f>+COUNTIFS('muddati otgan'!C:C,A163,'muddati otgan'!J:J,"Kadastr qiymatini hisoblash va kiritish")</f>
        <v>0</v>
      </c>
      <c r="BG163" s="11">
        <f>+COUNTIFS('muddati otgan'!C:C,A163,'muddati otgan'!J:J,"Kadastr raqam biriktirish")</f>
        <v>0</v>
      </c>
      <c r="BH163" s="11">
        <f>+COUNTIFS('muddati otgan'!C:C,A163,'muddati otgan'!J:J,"Kadastr yig'ma jildni tayyorlash")</f>
        <v>0</v>
      </c>
      <c r="BI163" s="11">
        <f>+COUNTIFS('muddati otgan'!C:C,A163,'muddati otgan'!J:J,"Huquqni yaratish")</f>
        <v>0</v>
      </c>
      <c r="BJ163" s="11">
        <f>+COUNTIFS('muddati otgan'!C:C,A163,'muddati otgan'!J:J,"Hujjatlarni o'rganish")</f>
        <v>0</v>
      </c>
      <c r="BK163" s="11">
        <f>+COUNTIFS('muddati otgan'!C:C,A163,'muddati otgan'!J:J,"Ma'lumotlarni tekshirish")</f>
        <v>0</v>
      </c>
      <c r="BL163" s="11">
        <f t="shared" si="31"/>
        <v>0</v>
      </c>
      <c r="BM163" s="11">
        <f>+COUNTIFS('muddati otgan'!C:C,A163,'muddati otgan'!J:J,"Tekshirish")</f>
        <v>0</v>
      </c>
      <c r="BN163" s="11">
        <f>+COUNTIFS('muddati otgan'!C:C,A163,'muddati otgan'!J:J,"Hujjatlarni tekshirish")</f>
        <v>0</v>
      </c>
      <c r="BO163" s="11">
        <f>+COUNTIFS('muddati otgan'!C:C,A163,'muddati otgan'!J:J,"Tasdiqlash")</f>
        <v>0</v>
      </c>
      <c r="BP163" s="11">
        <f>+COUNTIFS('muddati otgan'!C:C,A163,'muddati otgan'!J:J,"tekshirish/tasdiqlash")</f>
        <v>0</v>
      </c>
      <c r="BQ163" s="11">
        <f>+COUNTIFS('muddati otgan'!C:C,A163,'muddati otgan'!J:J,"Ma'lumotlarni tasdiqlash")</f>
        <v>0</v>
      </c>
      <c r="BR163" s="11">
        <f t="shared" si="32"/>
        <v>0</v>
      </c>
      <c r="BS163" s="11">
        <f>+COUNTIFS('muddati otgan'!C:C,A163,'muddati otgan'!J:J,"Ro'yxatdan o'tkazish ma'lumotlarini tekshirish")</f>
        <v>0</v>
      </c>
      <c r="BT163" s="11">
        <f>+COUNTIFS('muddati otgan'!C:C,A163,'muddati otgan'!J:J,"Kamchiliklar bo'yicha habarnoma yuborish va 3 kunga to'xtatish")</f>
        <v>0</v>
      </c>
      <c r="BU163" s="11">
        <f>+COUNTIFS('muddati otgan'!C:C,A163,'muddati otgan'!J:J,"Hisobga olish")</f>
        <v>0</v>
      </c>
      <c r="BV163" s="11">
        <f>+COUNTIFS('muddati otgan'!C:C,A163,'muddati otgan'!J:J,"Yer uchastkasiga huquq yaratish")</f>
        <v>0</v>
      </c>
      <c r="BW163" s="11">
        <f>+COUNTIFS('muddati otgan'!C:C,A163,'muddati otgan'!J:J,"Bino-inshootga huquq yaratish")</f>
        <v>0</v>
      </c>
      <c r="BX163" s="11">
        <f>+COUNTIFS('muddati otgan'!C:C,A163,'muddati otgan'!J:J,"Cheklov yaratish")</f>
        <v>0</v>
      </c>
      <c r="BY163" s="11">
        <f>+COUNTIFS('muddati otgan'!C:C,A163,'muddati otgan'!J:J,"Taqiq yaratish")</f>
        <v>0</v>
      </c>
      <c r="BZ163" s="11">
        <f t="shared" si="33"/>
        <v>0</v>
      </c>
      <c r="CA163" s="11">
        <f>+COUNTIFS('muddati otgan'!C:C,A163,'muddati otgan'!J:J,"Soliq maydonini tekshirish")</f>
        <v>0</v>
      </c>
      <c r="CB163" s="11">
        <f t="shared" si="34"/>
        <v>0</v>
      </c>
      <c r="CC163" s="11">
        <f>+COUNTIFS('muddati otgan'!C:C,A163,'muddati otgan'!J:J,"Kadastr yig'majildini shakllantirish")</f>
        <v>0</v>
      </c>
      <c r="CD163" s="11">
        <f t="shared" si="35"/>
        <v>0</v>
      </c>
      <c r="CE163" s="11">
        <f>+COUNTIFS('muddati otgan'!C:C,A163,'muddati otgan'!J:J,"Kadastr passportini shakllantirish")</f>
        <v>0</v>
      </c>
      <c r="CF163" s="11">
        <f>+COUNTIFS('muddati otgan'!C:C,A163,'muddati otgan'!J:J,"Yig'ma jildni tasdiqlash")</f>
        <v>0</v>
      </c>
      <c r="CG163" s="11">
        <f>+COUNTIFS('muddati otgan'!C:C,A163,'muddati otgan'!J:J,"To'lov yoki bepul tasdiqlash")</f>
        <v>0</v>
      </c>
      <c r="CH163" s="11">
        <f>+COUNTIFS('muddati otgan'!C:C,A163,'muddati otgan'!J:J,"Bog'liq arizani kutish")</f>
        <v>0</v>
      </c>
      <c r="CI163" s="11">
        <f>+COUNTIFS('muddati otgan'!C:C,A163,'muddati otgan'!J:J,"To'lovga chiqarish")</f>
        <v>0</v>
      </c>
      <c r="CJ163" s="11">
        <f>+COUNTIFS('muddati otgan'!C:C,A163,'muddati otgan'!J:J,"Hisobga qo'yish")</f>
        <v>0</v>
      </c>
      <c r="CK163" s="6">
        <f>+COUNTIFS('muddati otgan'!C:C,A163,'muddati otgan'!J:J,"To'lov kutilmoqda")</f>
        <v>0</v>
      </c>
      <c r="CL163" s="11">
        <f t="shared" si="36"/>
        <v>0</v>
      </c>
      <c r="CM163" s="11">
        <f>+COUNTIFS('muddati otgan'!C:C,A163,'muddati otgan'!AA:AA,"Arizani qabul qilish2")</f>
        <v>0</v>
      </c>
      <c r="CN163" s="11">
        <f>+COUNTIFS('muddati otgan'!C:C,A163,'muddati otgan'!J:J,"Huquqlarni tekshirish")</f>
        <v>0</v>
      </c>
      <c r="CO163" s="11">
        <f>+COUNTIFS('muddati otgan'!C:C,A163,'muddati otgan'!J:J,"Ko'chmas mulkni ro'yhatdan o'tkazishga qabul qilish")</f>
        <v>0</v>
      </c>
      <c r="CP163" s="11">
        <f>+COUNTIFS('muddati otgan'!C:C,A163,'muddati otgan'!J:J,"Ro'yxatdan o'tkazish")</f>
        <v>0</v>
      </c>
      <c r="CQ163" s="11">
        <f>+COUNTIFS('muddati otgan'!C:C,A163,'muddati otgan'!J:J,"Kadastr pasporti va ko'chirmani yuborish")</f>
        <v>0</v>
      </c>
      <c r="CR163" s="11">
        <f>+COUNTIFS('muddati otgan'!C:C,A163,'muddati otgan'!AA:AA,"Rad qilish2")</f>
        <v>0</v>
      </c>
      <c r="CS163" s="11">
        <f>+COUNTIFS('muddati otgan'!C:C,A163,'muddati otgan'!J:J,"Ko'chirmani yuborish")</f>
        <v>0</v>
      </c>
      <c r="CT163" s="11">
        <f>+COUNTIFS('muddati otgan'!C:C,A163,'muddati otgan'!J:J,"Ma‘lumotlarni tekshirish")</f>
        <v>0</v>
      </c>
      <c r="CU163" s="11">
        <f t="shared" si="37"/>
        <v>0</v>
      </c>
      <c r="CV163" s="11">
        <f>+COUNTIFS('muddati otgan'!C:C,A163,'muddati otgan'!J:J,"Kadastr yig'majildini chop etish va arxiv ishiga tikish")</f>
        <v>0</v>
      </c>
      <c r="CW163" s="11">
        <f t="shared" si="38"/>
        <v>0</v>
      </c>
      <c r="CX163" s="11">
        <f>+COUNTIFS('muddati otgan'!C:C,A163,'muddati otgan'!J:J,"Kadastr yig‘majildini qabul qilish, arizani yakunlash")</f>
        <v>0</v>
      </c>
      <c r="CY163" s="11">
        <f>+COUNTIFS('muddati otgan'!C:C,A163,'muddati otgan'!J:J,"Next Cloudga yuklash")</f>
        <v>0</v>
      </c>
      <c r="CZ163" s="6">
        <f>+COUNTIFS('muddati otgan'!C:C,A163,'muddati otgan'!J:J,"Kelishish kutilmoqda")</f>
        <v>0</v>
      </c>
      <c r="DA163" s="6">
        <f>+COUNTIFS('muddati otgan'!C:C,A163,'muddati otgan'!J:J,"Yakunlandi")</f>
        <v>3</v>
      </c>
      <c r="DB163" s="10">
        <f>+COUNTIFS('muddati otgan'!C:C,A163,'muddati otgan'!J:J,"Rad etildi")</f>
        <v>0</v>
      </c>
      <c r="DC163" s="100">
        <f t="shared" si="5"/>
        <v>0</v>
      </c>
      <c r="DD163" s="44">
        <f>COUNTIFS('jami 1-20 kunlik arizalar'!C:C,A:A,'jami 1-20 kunlik arizalar'!S:S,"1")</f>
        <v>0</v>
      </c>
      <c r="DE163" s="11">
        <f>COUNTIFS('jami 1-20 kunlik arizalar'!C:C,A:A,'jami 1-20 kunlik arizalar'!S:S,"2")</f>
        <v>0</v>
      </c>
      <c r="DF163" s="11">
        <f>COUNTIFS('jami 1-20 kunlik arizalar'!C:C,A:A,'jami 1-20 kunlik arizalar'!S:S,"3")</f>
        <v>3</v>
      </c>
      <c r="DG163" s="11">
        <f>COUNTIFS('jami 1-20 kunlik arizalar'!C:C,A:A,'jami 1-20 kunlik arizalar'!S:S,"4")</f>
        <v>1</v>
      </c>
      <c r="DH163" s="11">
        <f>COUNTIFS('jami 1-20 kunlik arizalar'!C:C,A:A,'jami 1-20 kunlik arizalar'!S:S,"5")</f>
        <v>0</v>
      </c>
      <c r="DI163" s="11">
        <f>SUM(COUNTIFS('jami 1-20 kunlik arizalar'!C:C,A:A, 'jami 1-20 kunlik arizalar'!S:S, {6,7,8,9,10}))</f>
        <v>6</v>
      </c>
      <c r="DJ163" s="12">
        <f>SUM(COUNTIFS('jami 1-20 kunlik arizalar'!C:C,A:A, 'jami 1-20 kunlik arizalar'!S:S, "&gt;10"))</f>
        <v>1</v>
      </c>
    </row>
    <row r="164" spans="1:115" ht="35.1" hidden="1" customHeight="1" outlineLevel="1" x14ac:dyDescent="0.25">
      <c r="A164" s="30" t="s">
        <v>967</v>
      </c>
      <c r="B164" s="74"/>
      <c r="C164" s="85" t="s">
        <v>968</v>
      </c>
      <c r="D164" s="80">
        <f>+COUNTIFS('muddati otgan'!C:C,A164,'muddati otgan'!C:C,A164)</f>
        <v>3</v>
      </c>
      <c r="E164" s="10">
        <f>SUMIFS('muddati otgan'!$V:V,'muddati otgan'!$C:C,$A:A)</f>
        <v>1</v>
      </c>
      <c r="F164" s="10">
        <f>SUMIFS('muddati otgan'!$W:W,'muddati otgan'!$C:C,$A:A)</f>
        <v>0</v>
      </c>
      <c r="G164" s="24">
        <f>SUMIFS('muddati otgan'!$U:U,'muddati otgan'!$C:C,$A:A)</f>
        <v>2</v>
      </c>
      <c r="H164" s="11">
        <f>SUMIFS('muddati otgan'!$G:G,'muddati otgan'!$C:C,$A:A)</f>
        <v>3</v>
      </c>
      <c r="I164" s="12">
        <f>SUMIFS('muddati otgan'!$H:H,'muddati otgan'!$C:C,$A:A)</f>
        <v>0</v>
      </c>
      <c r="J164" s="44">
        <f t="shared" ref="J164" si="291">K164+P164+Q164+R164+S164+T164+U164+V164+W164+L164+O164+M164+N164+X164</f>
        <v>0</v>
      </c>
      <c r="K164" s="11">
        <f>+COUNTIFS('muddati otgan'!C:C,A164,'muddati otgan'!AA:AA,"Arizani qabul qilish")</f>
        <v>0</v>
      </c>
      <c r="L164" s="11">
        <f>+COUNTIFS('muddati otgan'!C:C,A164,'muddati otgan'!J:J,"Arizani rad etish")</f>
        <v>0</v>
      </c>
      <c r="M164" s="11">
        <f>+COUNTIFS('muddati otgan'!C:C,A164,'muddati otgan'!J:J,"Arizani tasdiqlash")</f>
        <v>0</v>
      </c>
      <c r="N164" s="11">
        <f>+COUNTIFS('muddati otgan'!C:C,A164,'muddati otgan'!J:J,"Arizani yo'naltirish")</f>
        <v>0</v>
      </c>
      <c r="O164" s="11">
        <f>+COUNTIFS('muddati otgan'!C:C,A164,'muddati otgan'!J:J,"Rad qilish sababini o'rganish")</f>
        <v>0</v>
      </c>
      <c r="P164" s="11">
        <f>+COUNTIFS('muddati otgan'!C:C,A164,'muddati otgan'!J:J,"Ko'chmas mulkni UZKAD ga migratsiya qilish")</f>
        <v>0</v>
      </c>
      <c r="Q164" s="11">
        <f>+COUNTIFS('muddati otgan'!C:C,A164,'muddati otgan'!J:J,"Migratisya qilingan obyekt holatini tekshirish")</f>
        <v>0</v>
      </c>
      <c r="R164" s="11">
        <f>+COUNTIFS('muddati otgan'!C:C,A164,'muddati otgan'!J:J,"Ko‘chmas mulkni tanlash")</f>
        <v>0</v>
      </c>
      <c r="S164" s="11">
        <f>+COUNTIFS('muddati otgan'!C:C,A164,'muddati otgan'!J:J,"Arizani ko'rib chiqish")</f>
        <v>0</v>
      </c>
      <c r="T164" s="11">
        <f>+COUNTIFS('muddati otgan'!C:C,A164,'muddati otgan'!J:J,"Kadastr muhandisini tanlash")</f>
        <v>0</v>
      </c>
      <c r="U164" s="11">
        <f>+COUNTIFS('muddati otgan'!C:C,A164,'muddati otgan'!J:J,"Ko'chmas mulk turini tanlahsh")</f>
        <v>0</v>
      </c>
      <c r="V164" s="11">
        <f>+COUNTIFS('muddati otgan'!C:C,A164,'muddati otgan'!AA:AA,"Rad qilish")</f>
        <v>0</v>
      </c>
      <c r="W164" s="11">
        <f>+COUNTIFS('muddati otgan'!C:C,A164,'muddati otgan'!J:J,"ijrochi tanlash")</f>
        <v>0</v>
      </c>
      <c r="X164" s="11">
        <f>+COUNTIFS('muddati otgan'!C:C,A164,'muddati otgan'!J:J,"Ko'chmas mulk turini tanlash")</f>
        <v>0</v>
      </c>
      <c r="Y164" s="11">
        <f t="shared" ref="Y164" si="292">Z164+AD164+AF164+AE164+AC164+AB164+AA164</f>
        <v>0</v>
      </c>
      <c r="Z164" s="11">
        <f>+COUNTIFS('muddati otgan'!C:C,A164,'muddati otgan'!J:J,"Ijroga qabul qilish")</f>
        <v>0</v>
      </c>
      <c r="AA164" s="11">
        <f>+COUNTIFS('muddati otgan'!C:C,A164,'muddati otgan'!J:J,"Joyida o'rganish va ma'lumotlarni kiritish")</f>
        <v>0</v>
      </c>
      <c r="AB164" s="11">
        <f>+COUNTIFS('muddati otgan'!C:C,A164,'muddati otgan'!J:J,"Asosiy qismdan ajratish jarayonida")</f>
        <v>0</v>
      </c>
      <c r="AC164" s="11">
        <f>+COUNTIFS('muddati otgan'!C:C,A164,'muddati otgan'!J:J,"Umumiy foydalanishdagi obyekt yaratilish")</f>
        <v>0</v>
      </c>
      <c r="AD164" s="11">
        <f>+COUNTIFS('muddati otgan'!C:C,A164,'muddati otgan'!J:J,"Migratsiya qilinadigan kadastr raqamini kiritish")</f>
        <v>0</v>
      </c>
      <c r="AE164" s="11">
        <f>+COUNTIFS('muddati otgan'!C:C,A164,'muddati otgan'!J:J,"O'zida qolgan obyektni yaratish")</f>
        <v>0</v>
      </c>
      <c r="AF164" s="11">
        <f>+COUNTIFS('muddati otgan'!C:C,A164,'muddati otgan'!J:J,"O'lchov natijalarini kiritish")</f>
        <v>0</v>
      </c>
      <c r="AG164" s="11">
        <f>+COUNTIFS('muddati otgan'!C:C,A164,'muddati otgan'!J:J,"Topoxaritani tayyorlash (dwg, pdf)")</f>
        <v>0</v>
      </c>
      <c r="AH164" s="11">
        <f t="shared" ref="AH164" si="293">AI164</f>
        <v>0</v>
      </c>
      <c r="AI164" s="11">
        <f>+COUNTIFS('muddati otgan'!C:C,A164,'muddati otgan'!J:J,"Yer uchastkasini yaratish")</f>
        <v>0</v>
      </c>
      <c r="AJ164" s="11">
        <f t="shared" ref="AJ164" si="294">AK164</f>
        <v>0</v>
      </c>
      <c r="AK164" s="11">
        <f>+COUNTIFS('muddati otgan'!C:C,A164,'muddati otgan'!J:J,"Kelishish (Boshqarma)")</f>
        <v>0</v>
      </c>
      <c r="AL164" s="11">
        <f t="shared" ref="AL164" si="295">AM164+AN164+AO164</f>
        <v>0</v>
      </c>
      <c r="AM164" s="11">
        <f>+COUNTIFS('muddati otgan'!C:C,A164,'muddati otgan'!J:J,"Kelishish (DKP)")</f>
        <v>0</v>
      </c>
      <c r="AN164" s="11">
        <f>+COUNTIFS('muddati otgan'!C:C,A164,'muddati otgan'!J:J,"Kelishish")</f>
        <v>0</v>
      </c>
      <c r="AO164" s="11">
        <f>+COUNTIFS('muddati otgan'!C:C,A164,'muddati otgan'!J:J,"Kelishish (Registratsiya DKP)")</f>
        <v>0</v>
      </c>
      <c r="AP164" s="11">
        <f t="shared" ref="AP164" si="296">AQ164+AR164+AS164+AT164</f>
        <v>0</v>
      </c>
      <c r="AQ164" s="11">
        <f>+COUNTIFS('muddati otgan'!C:C,A164,'muddati otgan'!J:J,"Manzil biriktirish")</f>
        <v>0</v>
      </c>
      <c r="AR164" s="11">
        <f>+COUNTIFS('muddati otgan'!C:C,A164,'muddati otgan'!J:J,"Bino va inshootlarni yaratish")</f>
        <v>0</v>
      </c>
      <c r="AS164" s="11">
        <f>+COUNTIFS('muddati otgan'!C:C,A164,'muddati otgan'!J:J,"Dov daraxtlarni yaratish")</f>
        <v>0</v>
      </c>
      <c r="AT164" s="11">
        <f>+COUNTIFS('muddati otgan'!C:C,A164,'muddati otgan'!J:J,"Yer uchastkasini tahrirlash")</f>
        <v>0</v>
      </c>
      <c r="AU164" s="11">
        <f t="shared" ref="AU164" si="297">AV164+AW164+AX164+AY164+AZ164</f>
        <v>1</v>
      </c>
      <c r="AV164" s="11">
        <f>+COUNTIFS('muddati otgan'!C:C,A164,'muddati otgan'!J:J,"Yer toifasi va maqsadini kiritish")</f>
        <v>1</v>
      </c>
      <c r="AW164" s="11">
        <f>+COUNTIFS('muddati otgan'!C:C,A164,'muddati otgan'!J:J,"Auksion yer tekshirish")</f>
        <v>0</v>
      </c>
      <c r="AX164" s="11">
        <f>+COUNTIFS('muddati otgan'!C:C,A164,'muddati otgan'!J:J,"Yer turlarini kiritish")</f>
        <v>0</v>
      </c>
      <c r="AY164" s="11">
        <f>+COUNTIFS('muddati otgan'!C:C,A164,'muddati otgan'!J:J,"Ma'lumotlarni kiritish")</f>
        <v>0</v>
      </c>
      <c r="AZ164" s="11">
        <f>+COUNTIFS('muddati otgan'!C:C,A164,'muddati otgan'!J:J,"Yer tekshirish")</f>
        <v>0</v>
      </c>
      <c r="BA164" s="11">
        <f t="shared" ref="BA164" si="298">BB164+BC164+BD164+BE164+BF164+BG164+BH164+BI164+BJ164+BK164</f>
        <v>0</v>
      </c>
      <c r="BB164" s="11">
        <f>+COUNTIFS('muddati otgan'!C:C,A164,'muddati otgan'!J:J,"Bino va inshoot ma'lumotlarini to‘ldirish")</f>
        <v>0</v>
      </c>
      <c r="BC164" s="11">
        <f>+COUNTIFS('muddati otgan'!C:C,A164,'muddati otgan'!J:J,"Inventarizatsiya ma'lumotlarini to‘ldirish")</f>
        <v>0</v>
      </c>
      <c r="BD164" s="11">
        <f>+COUNTIFS('muddati otgan'!C:C,A164,'muddati otgan'!J:J,"Yer uchastkasiga huquqiy hujjatlarni kiritsh")</f>
        <v>0</v>
      </c>
      <c r="BE164" s="11">
        <f>+COUNTIFS('muddati otgan'!C:C,A164,'muddati otgan'!J:J,"Bino-inshootlarga huquqiy hujjatlarni kiritsh")</f>
        <v>0</v>
      </c>
      <c r="BF164" s="11">
        <f>+COUNTIFS('muddati otgan'!C:C,A164,'muddati otgan'!J:J,"Kadastr qiymatini hisoblash va kiritish")</f>
        <v>0</v>
      </c>
      <c r="BG164" s="11">
        <f>+COUNTIFS('muddati otgan'!C:C,A164,'muddati otgan'!J:J,"Kadastr raqam biriktirish")</f>
        <v>0</v>
      </c>
      <c r="BH164" s="11">
        <f>+COUNTIFS('muddati otgan'!C:C,A164,'muddati otgan'!J:J,"Kadastr yig'ma jildni tayyorlash")</f>
        <v>0</v>
      </c>
      <c r="BI164" s="11">
        <f>+COUNTIFS('muddati otgan'!C:C,A164,'muddati otgan'!J:J,"Huquqni yaratish")</f>
        <v>0</v>
      </c>
      <c r="BJ164" s="11">
        <f>+COUNTIFS('muddati otgan'!C:C,A164,'muddati otgan'!J:J,"Hujjatlarni o'rganish")</f>
        <v>0</v>
      </c>
      <c r="BK164" s="11">
        <f>+COUNTIFS('muddati otgan'!C:C,A164,'muddati otgan'!J:J,"Ma'lumotlarni tekshirish")</f>
        <v>0</v>
      </c>
      <c r="BL164" s="11">
        <f t="shared" ref="BL164" si="299">BM164+BN164+BP164+BO164+BQ164</f>
        <v>0</v>
      </c>
      <c r="BM164" s="11">
        <f>+COUNTIFS('muddati otgan'!C:C,A164,'muddati otgan'!J:J,"Tekshirish")</f>
        <v>0</v>
      </c>
      <c r="BN164" s="11">
        <f>+COUNTIFS('muddati otgan'!C:C,A164,'muddati otgan'!J:J,"Hujjatlarni tekshirish")</f>
        <v>0</v>
      </c>
      <c r="BO164" s="11">
        <f>+COUNTIFS('muddati otgan'!C:C,A164,'muddati otgan'!J:J,"Tasdiqlash")</f>
        <v>0</v>
      </c>
      <c r="BP164" s="11">
        <f>+COUNTIFS('muddati otgan'!C:C,A164,'muddati otgan'!J:J,"tekshirish/tasdiqlash")</f>
        <v>0</v>
      </c>
      <c r="BQ164" s="11">
        <f>+COUNTIFS('muddati otgan'!C:C,A164,'muddati otgan'!J:J,"Ma'lumotlarni tasdiqlash")</f>
        <v>0</v>
      </c>
      <c r="BR164" s="11">
        <f t="shared" ref="BR164" si="300">BS164+BU164+BV164+BW164+BX164+BY164-BT164</f>
        <v>1</v>
      </c>
      <c r="BS164" s="11">
        <f>+COUNTIFS('muddati otgan'!C:C,A164,'muddati otgan'!J:J,"Ro'yxatdan o'tkazish ma'lumotlarini tekshirish")</f>
        <v>1</v>
      </c>
      <c r="BT164" s="11">
        <f>+COUNTIFS('muddati otgan'!C:C,A164,'muddati otgan'!J:J,"Kamchiliklar bo'yicha habarnoma yuborish va 3 kunga to'xtatish")</f>
        <v>0</v>
      </c>
      <c r="BU164" s="11">
        <f>+COUNTIFS('muddati otgan'!C:C,A164,'muddati otgan'!J:J,"Hisobga olish")</f>
        <v>0</v>
      </c>
      <c r="BV164" s="11">
        <f>+COUNTIFS('muddati otgan'!C:C,A164,'muddati otgan'!J:J,"Yer uchastkasiga huquq yaratish")</f>
        <v>0</v>
      </c>
      <c r="BW164" s="11">
        <f>+COUNTIFS('muddati otgan'!C:C,A164,'muddati otgan'!J:J,"Bino-inshootga huquq yaratish")</f>
        <v>0</v>
      </c>
      <c r="BX164" s="11">
        <f>+COUNTIFS('muddati otgan'!C:C,A164,'muddati otgan'!J:J,"Cheklov yaratish")</f>
        <v>0</v>
      </c>
      <c r="BY164" s="11">
        <f>+COUNTIFS('muddati otgan'!C:C,A164,'muddati otgan'!J:J,"Taqiq yaratish")</f>
        <v>0</v>
      </c>
      <c r="BZ164" s="11">
        <f t="shared" ref="BZ164" si="301">CA164</f>
        <v>0</v>
      </c>
      <c r="CA164" s="11">
        <f>+COUNTIFS('muddati otgan'!C:C,A164,'muddati otgan'!J:J,"Soliq maydonini tekshirish")</f>
        <v>0</v>
      </c>
      <c r="CB164" s="11">
        <f t="shared" ref="CB164" si="302">CC164</f>
        <v>0</v>
      </c>
      <c r="CC164" s="11">
        <f>+COUNTIFS('muddati otgan'!C:C,A164,'muddati otgan'!J:J,"Kadastr yig'majildini shakllantirish")</f>
        <v>0</v>
      </c>
      <c r="CD164" s="11">
        <f t="shared" ref="CD164" si="303">CE164+CF164+CG164+CI164+CJ164+CH164</f>
        <v>0</v>
      </c>
      <c r="CE164" s="11">
        <f>+COUNTIFS('muddati otgan'!C:C,A164,'muddati otgan'!J:J,"Kadastr passportini shakllantirish")</f>
        <v>0</v>
      </c>
      <c r="CF164" s="11">
        <f>+COUNTIFS('muddati otgan'!C:C,A164,'muddati otgan'!J:J,"Yig'ma jildni tasdiqlash")</f>
        <v>0</v>
      </c>
      <c r="CG164" s="11">
        <f>+COUNTIFS('muddati otgan'!C:C,A164,'muddati otgan'!J:J,"To'lov yoki bepul tasdiqlash")</f>
        <v>0</v>
      </c>
      <c r="CH164" s="11">
        <f>+COUNTIFS('muddati otgan'!C:C,A164,'muddati otgan'!J:J,"Bog'liq arizani kutish")</f>
        <v>0</v>
      </c>
      <c r="CI164" s="11">
        <f>+COUNTIFS('muddati otgan'!C:C,A164,'muddati otgan'!J:J,"To'lovga chiqarish")</f>
        <v>0</v>
      </c>
      <c r="CJ164" s="11">
        <f>+COUNTIFS('muddati otgan'!C:C,A164,'muddati otgan'!J:J,"Hisobga qo'yish")</f>
        <v>0</v>
      </c>
      <c r="CK164" s="6">
        <f>+COUNTIFS('muddati otgan'!C:C,A164,'muddati otgan'!J:J,"To'lov kutilmoqda")</f>
        <v>0</v>
      </c>
      <c r="CL164" s="11">
        <f t="shared" ref="CL164" si="304">CM164+CN164+CO164+CP164+CQ164+CR164+CS164+CT164</f>
        <v>0</v>
      </c>
      <c r="CM164" s="11">
        <f>+COUNTIFS('muddati otgan'!C:C,A164,'muddati otgan'!AA:AA,"Arizani qabul qilish2")</f>
        <v>0</v>
      </c>
      <c r="CN164" s="11">
        <f>+COUNTIFS('muddati otgan'!C:C,A164,'muddati otgan'!J:J,"Huquqlarni tekshirish")</f>
        <v>0</v>
      </c>
      <c r="CO164" s="11">
        <f>+COUNTIFS('muddati otgan'!C:C,A164,'muddati otgan'!J:J,"Ko'chmas mulkni ro'yhatdan o'tkazishga qabul qilish")</f>
        <v>0</v>
      </c>
      <c r="CP164" s="11">
        <f>+COUNTIFS('muddati otgan'!C:C,A164,'muddati otgan'!J:J,"Ro'yxatdan o'tkazish")</f>
        <v>0</v>
      </c>
      <c r="CQ164" s="11">
        <f>+COUNTIFS('muddati otgan'!C:C,A164,'muddati otgan'!J:J,"Kadastr pasporti va ko'chirmani yuborish")</f>
        <v>0</v>
      </c>
      <c r="CR164" s="11">
        <f>+COUNTIFS('muddati otgan'!C:C,A164,'muddati otgan'!AA:AA,"Rad qilish2")</f>
        <v>0</v>
      </c>
      <c r="CS164" s="11">
        <f>+COUNTIFS('muddati otgan'!C:C,A164,'muddati otgan'!J:J,"Ko'chirmani yuborish")</f>
        <v>0</v>
      </c>
      <c r="CT164" s="11">
        <f>+COUNTIFS('muddati otgan'!C:C,A164,'muddati otgan'!J:J,"Ma‘lumotlarni tekshirish")</f>
        <v>0</v>
      </c>
      <c r="CU164" s="11">
        <f t="shared" ref="CU164" si="305">CV164</f>
        <v>0</v>
      </c>
      <c r="CV164" s="11">
        <f>+COUNTIFS('muddati otgan'!C:C,A164,'muddati otgan'!J:J,"Kadastr yig'majildini chop etish va arxiv ishiga tikish")</f>
        <v>0</v>
      </c>
      <c r="CW164" s="11">
        <f t="shared" ref="CW164" si="306">CX164+CY164</f>
        <v>0</v>
      </c>
      <c r="CX164" s="11">
        <f>+COUNTIFS('muddati otgan'!C:C,A164,'muddati otgan'!J:J,"Kadastr yig‘majildini qabul qilish, arizani yakunlash")</f>
        <v>0</v>
      </c>
      <c r="CY164" s="11">
        <f>+COUNTIFS('muddati otgan'!C:C,A164,'muddati otgan'!J:J,"Next Cloudga yuklash")</f>
        <v>0</v>
      </c>
      <c r="CZ164" s="6">
        <f>+COUNTIFS('muddati otgan'!C:C,A164,'muddati otgan'!J:J,"Kelishish kutilmoqda")</f>
        <v>0</v>
      </c>
      <c r="DA164" s="6">
        <f>+COUNTIFS('muddati otgan'!C:C,A164,'muddati otgan'!J:J,"Yakunlandi")</f>
        <v>1</v>
      </c>
      <c r="DB164" s="10">
        <f>+COUNTIFS('muddati otgan'!C:C,A164,'muddati otgan'!J:J,"Rad etildi")</f>
        <v>0</v>
      </c>
      <c r="DC164" s="100">
        <f t="shared" ref="DC164" si="307">CK164+CZ164+DA164+DB164-D164</f>
        <v>-2</v>
      </c>
      <c r="DD164" s="44">
        <f>COUNTIFS('jami 1-20 kunlik arizalar'!C:C,A:A,'jami 1-20 kunlik arizalar'!S:S,"1")</f>
        <v>0</v>
      </c>
      <c r="DE164" s="11">
        <f>COUNTIFS('jami 1-20 kunlik arizalar'!C:C,A:A,'jami 1-20 kunlik arizalar'!S:S,"2")</f>
        <v>0</v>
      </c>
      <c r="DF164" s="11">
        <f>COUNTIFS('jami 1-20 kunlik arizalar'!C:C,A:A,'jami 1-20 kunlik arizalar'!S:S,"3")</f>
        <v>0</v>
      </c>
      <c r="DG164" s="11">
        <f>COUNTIFS('jami 1-20 kunlik arizalar'!C:C,A:A,'jami 1-20 kunlik arizalar'!S:S,"4")</f>
        <v>0</v>
      </c>
      <c r="DH164" s="11">
        <f>COUNTIFS('jami 1-20 kunlik arizalar'!C:C,A:A,'jami 1-20 kunlik arizalar'!S:S,"5")</f>
        <v>1</v>
      </c>
      <c r="DI164" s="11">
        <f>SUM(COUNTIFS('jami 1-20 kunlik arizalar'!C:C,A:A, 'jami 1-20 kunlik arizalar'!S:S, {6,7,8,9,10}))</f>
        <v>1</v>
      </c>
      <c r="DJ164" s="12">
        <f>SUM(COUNTIFS('jami 1-20 kunlik arizalar'!C:C,A:A, 'jami 1-20 kunlik arizalar'!S:S, "&gt;10"))</f>
        <v>4</v>
      </c>
    </row>
    <row r="165" spans="1:115" ht="35.1" hidden="1" customHeight="1" outlineLevel="1" x14ac:dyDescent="0.25">
      <c r="A165" s="92" t="s">
        <v>465</v>
      </c>
      <c r="B165" s="74"/>
      <c r="C165" s="85" t="s">
        <v>861</v>
      </c>
      <c r="D165" s="80">
        <f>+COUNTIFS('muddati otgan'!C:C,A165,'muddati otgan'!C:C,A165)</f>
        <v>2</v>
      </c>
      <c r="E165" s="10">
        <f>SUMIFS('muddati otgan'!$V:V,'muddati otgan'!$C:C,$A:A)</f>
        <v>0</v>
      </c>
      <c r="F165" s="10">
        <f>SUMIFS('muddati otgan'!$W:W,'muddati otgan'!$C:C,$A:A)</f>
        <v>0</v>
      </c>
      <c r="G165" s="24">
        <f>SUMIFS('muddati otgan'!$U:U,'muddati otgan'!$C:C,$A:A)</f>
        <v>2</v>
      </c>
      <c r="H165" s="11">
        <f>SUMIFS('muddati otgan'!$G:G,'muddati otgan'!$C:C,$A:A)</f>
        <v>2</v>
      </c>
      <c r="I165" s="12">
        <f>SUMIFS('muddati otgan'!$H:H,'muddati otgan'!$C:C,$A:A)</f>
        <v>0</v>
      </c>
      <c r="J165" s="44">
        <f t="shared" si="23"/>
        <v>0</v>
      </c>
      <c r="K165" s="11">
        <f>+COUNTIFS('muddati otgan'!C:C,A165,'muddati otgan'!AA:AA,"Arizani qabul qilish")</f>
        <v>0</v>
      </c>
      <c r="L165" s="11">
        <f>+COUNTIFS('muddati otgan'!C:C,A165,'muddati otgan'!J:J,"Arizani rad etish")</f>
        <v>0</v>
      </c>
      <c r="M165" s="11">
        <f>+COUNTIFS('muddati otgan'!C:C,A165,'muddati otgan'!J:J,"Arizani tasdiqlash")</f>
        <v>0</v>
      </c>
      <c r="N165" s="11">
        <f>+COUNTIFS('muddati otgan'!C:C,A165,'muddati otgan'!J:J,"Arizani yo'naltirish")</f>
        <v>0</v>
      </c>
      <c r="O165" s="11">
        <f>+COUNTIFS('muddati otgan'!C:C,A165,'muddati otgan'!J:J,"Rad qilish sababini o'rganish")</f>
        <v>0</v>
      </c>
      <c r="P165" s="11">
        <f>+COUNTIFS('muddati otgan'!C:C,A165,'muddati otgan'!J:J,"Ko'chmas mulkni UZKAD ga migratsiya qilish")</f>
        <v>0</v>
      </c>
      <c r="Q165" s="11">
        <f>+COUNTIFS('muddati otgan'!C:C,A165,'muddati otgan'!J:J,"Migratisya qilingan obyekt holatini tekshirish")</f>
        <v>0</v>
      </c>
      <c r="R165" s="11">
        <f>+COUNTIFS('muddati otgan'!C:C,A165,'muddati otgan'!J:J,"Ko‘chmas mulkni tanlash")</f>
        <v>0</v>
      </c>
      <c r="S165" s="11">
        <f>+COUNTIFS('muddati otgan'!C:C,A165,'muddati otgan'!J:J,"Arizani ko'rib chiqish")</f>
        <v>0</v>
      </c>
      <c r="T165" s="11">
        <f>+COUNTIFS('muddati otgan'!C:C,A165,'muddati otgan'!J:J,"Kadastr muhandisini tanlash")</f>
        <v>0</v>
      </c>
      <c r="U165" s="11">
        <f>+COUNTIFS('muddati otgan'!C:C,A165,'muddati otgan'!J:J,"Ko'chmas mulk turini tanlahsh")</f>
        <v>0</v>
      </c>
      <c r="V165" s="11">
        <f>+COUNTIFS('muddati otgan'!C:C,A165,'muddati otgan'!AA:AA,"Rad qilish")</f>
        <v>0</v>
      </c>
      <c r="W165" s="11">
        <f>+COUNTIFS('muddati otgan'!C:C,A165,'muddati otgan'!J:J,"ijrochi tanlash")</f>
        <v>0</v>
      </c>
      <c r="X165" s="11">
        <f>+COUNTIFS('muddati otgan'!C:C,A165,'muddati otgan'!J:J,"Ko'chmas mulk turini tanlash")</f>
        <v>0</v>
      </c>
      <c r="Y165" s="11">
        <f t="shared" si="24"/>
        <v>0</v>
      </c>
      <c r="Z165" s="11">
        <f>+COUNTIFS('muddati otgan'!C:C,A165,'muddati otgan'!J:J,"Ijroga qabul qilish")</f>
        <v>0</v>
      </c>
      <c r="AA165" s="11">
        <f>+COUNTIFS('muddati otgan'!C:C,A165,'muddati otgan'!J:J,"Joyida o'rganish va ma'lumotlarni kiritish")</f>
        <v>0</v>
      </c>
      <c r="AB165" s="11">
        <f>+COUNTIFS('muddati otgan'!C:C,A165,'muddati otgan'!J:J,"Asosiy qismdan ajratish jarayonida")</f>
        <v>0</v>
      </c>
      <c r="AC165" s="11">
        <f>+COUNTIFS('muddati otgan'!C:C,A165,'muddati otgan'!J:J,"Umumiy foydalanishdagi obyekt yaratilish")</f>
        <v>0</v>
      </c>
      <c r="AD165" s="11">
        <f>+COUNTIFS('muddati otgan'!C:C,A165,'muddati otgan'!J:J,"Migratsiya qilinadigan kadastr raqamini kiritish")</f>
        <v>0</v>
      </c>
      <c r="AE165" s="11">
        <f>+COUNTIFS('muddati otgan'!C:C,A165,'muddati otgan'!J:J,"O'zida qolgan obyektni yaratish")</f>
        <v>0</v>
      </c>
      <c r="AF165" s="11">
        <f>+COUNTIFS('muddati otgan'!C:C,A165,'muddati otgan'!J:J,"O'lchov natijalarini kiritish")</f>
        <v>0</v>
      </c>
      <c r="AG165" s="11">
        <f>+COUNTIFS('muddati otgan'!C:C,A165,'muddati otgan'!J:J,"Topoxaritani tayyorlash (dwg, pdf)")</f>
        <v>0</v>
      </c>
      <c r="AH165" s="11">
        <f t="shared" si="25"/>
        <v>0</v>
      </c>
      <c r="AI165" s="11">
        <f>+COUNTIFS('muddati otgan'!C:C,A165,'muddati otgan'!J:J,"Yer uchastkasini yaratish")</f>
        <v>0</v>
      </c>
      <c r="AJ165" s="11">
        <f t="shared" si="26"/>
        <v>0</v>
      </c>
      <c r="AK165" s="11">
        <f>+COUNTIFS('muddati otgan'!C:C,A165,'muddati otgan'!J:J,"Kelishish (Boshqarma)")</f>
        <v>0</v>
      </c>
      <c r="AL165" s="11">
        <f t="shared" si="27"/>
        <v>0</v>
      </c>
      <c r="AM165" s="11">
        <f>+COUNTIFS('muddati otgan'!C:C,A165,'muddati otgan'!J:J,"Kelishish (DKP)")</f>
        <v>0</v>
      </c>
      <c r="AN165" s="11">
        <f>+COUNTIFS('muddati otgan'!C:C,A165,'muddati otgan'!J:J,"Kelishish")</f>
        <v>0</v>
      </c>
      <c r="AO165" s="11">
        <f>+COUNTIFS('muddati otgan'!C:C,A165,'muddati otgan'!J:J,"Kelishish (Registratsiya DKP)")</f>
        <v>0</v>
      </c>
      <c r="AP165" s="11">
        <f t="shared" si="28"/>
        <v>0</v>
      </c>
      <c r="AQ165" s="11">
        <f>+COUNTIFS('muddati otgan'!C:C,A165,'muddati otgan'!J:J,"Manzil biriktirish")</f>
        <v>0</v>
      </c>
      <c r="AR165" s="11">
        <f>+COUNTIFS('muddati otgan'!C:C,A165,'muddati otgan'!J:J,"Bino va inshootlarni yaratish")</f>
        <v>0</v>
      </c>
      <c r="AS165" s="11">
        <f>+COUNTIFS('muddati otgan'!C:C,A165,'muddati otgan'!J:J,"Dov daraxtlarni yaratish")</f>
        <v>0</v>
      </c>
      <c r="AT165" s="11">
        <f>+COUNTIFS('muddati otgan'!C:C,A165,'muddati otgan'!J:J,"Yer uchastkasini tahrirlash")</f>
        <v>0</v>
      </c>
      <c r="AU165" s="11">
        <f t="shared" si="29"/>
        <v>0</v>
      </c>
      <c r="AV165" s="11">
        <f>+COUNTIFS('muddati otgan'!C:C,A165,'muddati otgan'!J:J,"Yer toifasi va maqsadini kiritish")</f>
        <v>0</v>
      </c>
      <c r="AW165" s="11">
        <f>+COUNTIFS('muddati otgan'!C:C,A165,'muddati otgan'!J:J,"Auksion yer tekshirish")</f>
        <v>0</v>
      </c>
      <c r="AX165" s="11">
        <f>+COUNTIFS('muddati otgan'!C:C,A165,'muddati otgan'!J:J,"Yer turlarini kiritish")</f>
        <v>0</v>
      </c>
      <c r="AY165" s="11">
        <f>+COUNTIFS('muddati otgan'!C:C,A165,'muddati otgan'!J:J,"Ma'lumotlarni kiritish")</f>
        <v>0</v>
      </c>
      <c r="AZ165" s="11">
        <f>+COUNTIFS('muddati otgan'!C:C,A165,'muddati otgan'!J:J,"Yer tekshirish")</f>
        <v>0</v>
      </c>
      <c r="BA165" s="11">
        <f t="shared" si="30"/>
        <v>0</v>
      </c>
      <c r="BB165" s="11">
        <f>+COUNTIFS('muddati otgan'!C:C,A165,'muddati otgan'!J:J,"Bino va inshoot ma'lumotlarini to‘ldirish")</f>
        <v>0</v>
      </c>
      <c r="BC165" s="11">
        <f>+COUNTIFS('muddati otgan'!C:C,A165,'muddati otgan'!J:J,"Inventarizatsiya ma'lumotlarini to‘ldirish")</f>
        <v>0</v>
      </c>
      <c r="BD165" s="11">
        <f>+COUNTIFS('muddati otgan'!C:C,A165,'muddati otgan'!J:J,"Yer uchastkasiga huquqiy hujjatlarni kiritsh")</f>
        <v>0</v>
      </c>
      <c r="BE165" s="11">
        <f>+COUNTIFS('muddati otgan'!C:C,A165,'muddati otgan'!J:J,"Bino-inshootlarga huquqiy hujjatlarni kiritsh")</f>
        <v>0</v>
      </c>
      <c r="BF165" s="11">
        <f>+COUNTIFS('muddati otgan'!C:C,A165,'muddati otgan'!J:J,"Kadastr qiymatini hisoblash va kiritish")</f>
        <v>0</v>
      </c>
      <c r="BG165" s="11">
        <f>+COUNTIFS('muddati otgan'!C:C,A165,'muddati otgan'!J:J,"Kadastr raqam biriktirish")</f>
        <v>0</v>
      </c>
      <c r="BH165" s="11">
        <f>+COUNTIFS('muddati otgan'!C:C,A165,'muddati otgan'!J:J,"Kadastr yig'ma jildni tayyorlash")</f>
        <v>0</v>
      </c>
      <c r="BI165" s="11">
        <f>+COUNTIFS('muddati otgan'!C:C,A165,'muddati otgan'!J:J,"Huquqni yaratish")</f>
        <v>0</v>
      </c>
      <c r="BJ165" s="11">
        <f>+COUNTIFS('muddati otgan'!C:C,A165,'muddati otgan'!J:J,"Hujjatlarni o'rganish")</f>
        <v>0</v>
      </c>
      <c r="BK165" s="11">
        <f>+COUNTIFS('muddati otgan'!C:C,A165,'muddati otgan'!J:J,"Ma'lumotlarni tekshirish")</f>
        <v>0</v>
      </c>
      <c r="BL165" s="11">
        <f t="shared" si="31"/>
        <v>0</v>
      </c>
      <c r="BM165" s="11">
        <f>+COUNTIFS('muddati otgan'!C:C,A165,'muddati otgan'!J:J,"Tekshirish")</f>
        <v>0</v>
      </c>
      <c r="BN165" s="11">
        <f>+COUNTIFS('muddati otgan'!C:C,A165,'muddati otgan'!J:J,"Hujjatlarni tekshirish")</f>
        <v>0</v>
      </c>
      <c r="BO165" s="11">
        <f>+COUNTIFS('muddati otgan'!C:C,A165,'muddati otgan'!J:J,"Tasdiqlash")</f>
        <v>0</v>
      </c>
      <c r="BP165" s="11">
        <f>+COUNTIFS('muddati otgan'!C:C,A165,'muddati otgan'!J:J,"tekshirish/tasdiqlash")</f>
        <v>0</v>
      </c>
      <c r="BQ165" s="11">
        <f>+COUNTIFS('muddati otgan'!C:C,A165,'muddati otgan'!J:J,"Ma'lumotlarni tasdiqlash")</f>
        <v>0</v>
      </c>
      <c r="BR165" s="11">
        <f t="shared" si="32"/>
        <v>0</v>
      </c>
      <c r="BS165" s="11">
        <f>+COUNTIFS('muddati otgan'!C:C,A165,'muddati otgan'!J:J,"Ro'yxatdan o'tkazish ma'lumotlarini tekshirish")</f>
        <v>0</v>
      </c>
      <c r="BT165" s="11">
        <f>+COUNTIFS('muddati otgan'!C:C,A165,'muddati otgan'!J:J,"Kamchiliklar bo'yicha habarnoma yuborish va 3 kunga to'xtatish")</f>
        <v>0</v>
      </c>
      <c r="BU165" s="11">
        <f>+COUNTIFS('muddati otgan'!C:C,A165,'muddati otgan'!J:J,"Hisobga olish")</f>
        <v>0</v>
      </c>
      <c r="BV165" s="11">
        <f>+COUNTIFS('muddati otgan'!C:C,A165,'muddati otgan'!J:J,"Yer uchastkasiga huquq yaratish")</f>
        <v>0</v>
      </c>
      <c r="BW165" s="11">
        <f>+COUNTIFS('muddati otgan'!C:C,A165,'muddati otgan'!J:J,"Bino-inshootga huquq yaratish")</f>
        <v>0</v>
      </c>
      <c r="BX165" s="11">
        <f>+COUNTIFS('muddati otgan'!C:C,A165,'muddati otgan'!J:J,"Cheklov yaratish")</f>
        <v>0</v>
      </c>
      <c r="BY165" s="11">
        <f>+COUNTIFS('muddati otgan'!C:C,A165,'muddati otgan'!J:J,"Taqiq yaratish")</f>
        <v>0</v>
      </c>
      <c r="BZ165" s="11">
        <f t="shared" si="33"/>
        <v>0</v>
      </c>
      <c r="CA165" s="11">
        <f>+COUNTIFS('muddati otgan'!C:C,A165,'muddati otgan'!J:J,"Soliq maydonini tekshirish")</f>
        <v>0</v>
      </c>
      <c r="CB165" s="11">
        <f t="shared" si="34"/>
        <v>0</v>
      </c>
      <c r="CC165" s="11">
        <f>+COUNTIFS('muddati otgan'!C:C,A165,'muddati otgan'!J:J,"Kadastr yig'majildini shakllantirish")</f>
        <v>0</v>
      </c>
      <c r="CD165" s="11">
        <f t="shared" si="35"/>
        <v>0</v>
      </c>
      <c r="CE165" s="11">
        <f>+COUNTIFS('muddati otgan'!C:C,A165,'muddati otgan'!J:J,"Kadastr passportini shakllantirish")</f>
        <v>0</v>
      </c>
      <c r="CF165" s="11">
        <f>+COUNTIFS('muddati otgan'!C:C,A165,'muddati otgan'!J:J,"Yig'ma jildni tasdiqlash")</f>
        <v>0</v>
      </c>
      <c r="CG165" s="11">
        <f>+COUNTIFS('muddati otgan'!C:C,A165,'muddati otgan'!J:J,"To'lov yoki bepul tasdiqlash")</f>
        <v>0</v>
      </c>
      <c r="CH165" s="11">
        <f>+COUNTIFS('muddati otgan'!C:C,A165,'muddati otgan'!J:J,"Bog'liq arizani kutish")</f>
        <v>0</v>
      </c>
      <c r="CI165" s="11">
        <f>+COUNTIFS('muddati otgan'!C:C,A165,'muddati otgan'!J:J,"To'lovga chiqarish")</f>
        <v>0</v>
      </c>
      <c r="CJ165" s="11">
        <f>+COUNTIFS('muddati otgan'!C:C,A165,'muddati otgan'!J:J,"Hisobga qo'yish")</f>
        <v>0</v>
      </c>
      <c r="CK165" s="6">
        <f>+COUNTIFS('muddati otgan'!C:C,A165,'muddati otgan'!J:J,"To'lov kutilmoqda")</f>
        <v>0</v>
      </c>
      <c r="CL165" s="11">
        <f t="shared" si="36"/>
        <v>0</v>
      </c>
      <c r="CM165" s="11">
        <f>+COUNTIFS('muddati otgan'!C:C,A165,'muddati otgan'!AA:AA,"Arizani qabul qilish2")</f>
        <v>0</v>
      </c>
      <c r="CN165" s="11">
        <f>+COUNTIFS('muddati otgan'!C:C,A165,'muddati otgan'!J:J,"Huquqlarni tekshirish")</f>
        <v>0</v>
      </c>
      <c r="CO165" s="11">
        <f>+COUNTIFS('muddati otgan'!C:C,A165,'muddati otgan'!J:J,"Ko'chmas mulkni ro'yhatdan o'tkazishga qabul qilish")</f>
        <v>0</v>
      </c>
      <c r="CP165" s="11">
        <f>+COUNTIFS('muddati otgan'!C:C,A165,'muddati otgan'!J:J,"Ro'yxatdan o'tkazish")</f>
        <v>0</v>
      </c>
      <c r="CQ165" s="11">
        <f>+COUNTIFS('muddati otgan'!C:C,A165,'muddati otgan'!J:J,"Kadastr pasporti va ko'chirmani yuborish")</f>
        <v>0</v>
      </c>
      <c r="CR165" s="11">
        <f>+COUNTIFS('muddati otgan'!C:C,A165,'muddati otgan'!AA:AA,"Rad qilish2")</f>
        <v>0</v>
      </c>
      <c r="CS165" s="11">
        <f>+COUNTIFS('muddati otgan'!C:C,A165,'muddati otgan'!J:J,"Ko'chirmani yuborish")</f>
        <v>0</v>
      </c>
      <c r="CT165" s="11">
        <f>+COUNTIFS('muddati otgan'!C:C,A165,'muddati otgan'!J:J,"Ma‘lumotlarni tekshirish")</f>
        <v>0</v>
      </c>
      <c r="CU165" s="11">
        <f t="shared" si="37"/>
        <v>0</v>
      </c>
      <c r="CV165" s="11">
        <f>+COUNTIFS('muddati otgan'!C:C,A165,'muddati otgan'!J:J,"Kadastr yig'majildini chop etish va arxiv ishiga tikish")</f>
        <v>0</v>
      </c>
      <c r="CW165" s="11">
        <f t="shared" si="38"/>
        <v>0</v>
      </c>
      <c r="CX165" s="11">
        <f>+COUNTIFS('muddati otgan'!C:C,A165,'muddati otgan'!J:J,"Kadastr yig‘majildini qabul qilish, arizani yakunlash")</f>
        <v>0</v>
      </c>
      <c r="CY165" s="11">
        <f>+COUNTIFS('muddati otgan'!C:C,A165,'muddati otgan'!J:J,"Next Cloudga yuklash")</f>
        <v>0</v>
      </c>
      <c r="CZ165" s="6">
        <f>+COUNTIFS('muddati otgan'!C:C,A165,'muddati otgan'!J:J,"Kelishish kutilmoqda")</f>
        <v>0</v>
      </c>
      <c r="DA165" s="6">
        <f>+COUNTIFS('muddati otgan'!C:C,A165,'muddati otgan'!J:J,"Yakunlandi")</f>
        <v>2</v>
      </c>
      <c r="DB165" s="10">
        <f>+COUNTIFS('muddati otgan'!C:C,A165,'muddati otgan'!J:J,"Rad etildi")</f>
        <v>0</v>
      </c>
      <c r="DC165" s="100">
        <f t="shared" si="5"/>
        <v>0</v>
      </c>
      <c r="DD165" s="44">
        <f>COUNTIFS('jami 1-20 kunlik arizalar'!C:C,A:A,'jami 1-20 kunlik arizalar'!S:S,"1")</f>
        <v>0</v>
      </c>
      <c r="DE165" s="11">
        <f>COUNTIFS('jami 1-20 kunlik arizalar'!C:C,A:A,'jami 1-20 kunlik arizalar'!S:S,"2")</f>
        <v>0</v>
      </c>
      <c r="DF165" s="11">
        <f>COUNTIFS('jami 1-20 kunlik arizalar'!C:C,A:A,'jami 1-20 kunlik arizalar'!S:S,"3")</f>
        <v>0</v>
      </c>
      <c r="DG165" s="11">
        <f>COUNTIFS('jami 1-20 kunlik arizalar'!C:C,A:A,'jami 1-20 kunlik arizalar'!S:S,"4")</f>
        <v>0</v>
      </c>
      <c r="DH165" s="11">
        <f>COUNTIFS('jami 1-20 kunlik arizalar'!C:C,A:A,'jami 1-20 kunlik arizalar'!S:S,"5")</f>
        <v>0</v>
      </c>
      <c r="DI165" s="11">
        <f>SUM(COUNTIFS('jami 1-20 kunlik arizalar'!C:C,A:A, 'jami 1-20 kunlik arizalar'!S:S, {6,7,8,9,10}))</f>
        <v>3</v>
      </c>
      <c r="DJ165" s="12">
        <f>SUM(COUNTIFS('jami 1-20 kunlik arizalar'!C:C,A:A, 'jami 1-20 kunlik arizalar'!S:S, "&gt;10"))</f>
        <v>7</v>
      </c>
    </row>
    <row r="166" spans="1:115" ht="35.1" hidden="1" customHeight="1" outlineLevel="1" x14ac:dyDescent="0.25">
      <c r="A166" s="92" t="s">
        <v>503</v>
      </c>
      <c r="B166" s="74"/>
      <c r="C166" s="85" t="s">
        <v>862</v>
      </c>
      <c r="D166" s="80">
        <f>+COUNTIFS('muddati otgan'!C:C,A166,'muddati otgan'!C:C,A166)</f>
        <v>7</v>
      </c>
      <c r="E166" s="10">
        <f>SUMIFS('muddati otgan'!$V:V,'muddati otgan'!$C:C,$A:A)</f>
        <v>5</v>
      </c>
      <c r="F166" s="10">
        <f>SUMIFS('muddati otgan'!$W:W,'muddati otgan'!$C:C,$A:A)</f>
        <v>0</v>
      </c>
      <c r="G166" s="24">
        <f>SUMIFS('muddati otgan'!$U:U,'muddati otgan'!$C:C,$A:A)</f>
        <v>2</v>
      </c>
      <c r="H166" s="11">
        <f>SUMIFS('muddati otgan'!$G:G,'muddati otgan'!$C:C,$A:A)</f>
        <v>6</v>
      </c>
      <c r="I166" s="12">
        <f>SUMIFS('muddati otgan'!$H:H,'muddati otgan'!$C:C,$A:A)</f>
        <v>1</v>
      </c>
      <c r="J166" s="44">
        <f t="shared" si="23"/>
        <v>0</v>
      </c>
      <c r="K166" s="11">
        <f>+COUNTIFS('muddati otgan'!C:C,A166,'muddati otgan'!AA:AA,"Arizani qabul qilish")</f>
        <v>0</v>
      </c>
      <c r="L166" s="11">
        <f>+COUNTIFS('muddati otgan'!C:C,A166,'muddati otgan'!J:J,"Arizani rad etish")</f>
        <v>0</v>
      </c>
      <c r="M166" s="11">
        <f>+COUNTIFS('muddati otgan'!C:C,A166,'muddati otgan'!J:J,"Arizani tasdiqlash")</f>
        <v>0</v>
      </c>
      <c r="N166" s="11">
        <f>+COUNTIFS('muddati otgan'!C:C,A166,'muddati otgan'!J:J,"Arizani yo'naltirish")</f>
        <v>0</v>
      </c>
      <c r="O166" s="11">
        <f>+COUNTIFS('muddati otgan'!C:C,A166,'muddati otgan'!J:J,"Rad qilish sababini o'rganish")</f>
        <v>0</v>
      </c>
      <c r="P166" s="11">
        <f>+COUNTIFS('muddati otgan'!C:C,A166,'muddati otgan'!J:J,"Ko'chmas mulkni UZKAD ga migratsiya qilish")</f>
        <v>0</v>
      </c>
      <c r="Q166" s="11">
        <f>+COUNTIFS('muddati otgan'!C:C,A166,'muddati otgan'!J:J,"Migratisya qilingan obyekt holatini tekshirish")</f>
        <v>0</v>
      </c>
      <c r="R166" s="11">
        <f>+COUNTIFS('muddati otgan'!C:C,A166,'muddati otgan'!J:J,"Ko‘chmas mulkni tanlash")</f>
        <v>0</v>
      </c>
      <c r="S166" s="11">
        <f>+COUNTIFS('muddati otgan'!C:C,A166,'muddati otgan'!J:J,"Arizani ko'rib chiqish")</f>
        <v>0</v>
      </c>
      <c r="T166" s="11">
        <f>+COUNTIFS('muddati otgan'!C:C,A166,'muddati otgan'!J:J,"Kadastr muhandisini tanlash")</f>
        <v>0</v>
      </c>
      <c r="U166" s="11">
        <f>+COUNTIFS('muddati otgan'!C:C,A166,'muddati otgan'!J:J,"Ko'chmas mulk turini tanlahsh")</f>
        <v>0</v>
      </c>
      <c r="V166" s="11">
        <f>+COUNTIFS('muddati otgan'!C:C,A166,'muddati otgan'!AA:AA,"Rad qilish")</f>
        <v>0</v>
      </c>
      <c r="W166" s="11">
        <f>+COUNTIFS('muddati otgan'!C:C,A166,'muddati otgan'!J:J,"ijrochi tanlash")</f>
        <v>0</v>
      </c>
      <c r="X166" s="11">
        <f>+COUNTIFS('muddati otgan'!C:C,A166,'muddati otgan'!J:J,"Ko'chmas mulk turini tanlash")</f>
        <v>0</v>
      </c>
      <c r="Y166" s="11">
        <f t="shared" si="24"/>
        <v>2</v>
      </c>
      <c r="Z166" s="11">
        <f>+COUNTIFS('muddati otgan'!C:C,A166,'muddati otgan'!J:J,"Ijroga qabul qilish")</f>
        <v>0</v>
      </c>
      <c r="AA166" s="11">
        <f>+COUNTIFS('muddati otgan'!C:C,A166,'muddati otgan'!J:J,"Joyida o'rganish va ma'lumotlarni kiritish")</f>
        <v>0</v>
      </c>
      <c r="AB166" s="11">
        <f>+COUNTIFS('muddati otgan'!C:C,A166,'muddati otgan'!J:J,"Asosiy qismdan ajratish jarayonida")</f>
        <v>1</v>
      </c>
      <c r="AC166" s="11">
        <f>+COUNTIFS('muddati otgan'!C:C,A166,'muddati otgan'!J:J,"Umumiy foydalanishdagi obyekt yaratilish")</f>
        <v>0</v>
      </c>
      <c r="AD166" s="11">
        <f>+COUNTIFS('muddati otgan'!C:C,A166,'muddati otgan'!J:J,"Migratsiya qilinadigan kadastr raqamini kiritish")</f>
        <v>0</v>
      </c>
      <c r="AE166" s="11">
        <f>+COUNTIFS('muddati otgan'!C:C,A166,'muddati otgan'!J:J,"O'zida qolgan obyektni yaratish")</f>
        <v>0</v>
      </c>
      <c r="AF166" s="11">
        <f>+COUNTIFS('muddati otgan'!C:C,A166,'muddati otgan'!J:J,"O'lchov natijalarini kiritish")</f>
        <v>1</v>
      </c>
      <c r="AG166" s="11">
        <f>+COUNTIFS('muddati otgan'!C:C,A166,'muddati otgan'!J:J,"Topoxaritani tayyorlash (dwg, pdf)")</f>
        <v>0</v>
      </c>
      <c r="AH166" s="11">
        <f t="shared" si="25"/>
        <v>0</v>
      </c>
      <c r="AI166" s="11">
        <f>+COUNTIFS('muddati otgan'!C:C,A166,'muddati otgan'!J:J,"Yer uchastkasini yaratish")</f>
        <v>0</v>
      </c>
      <c r="AJ166" s="11">
        <f t="shared" si="26"/>
        <v>0</v>
      </c>
      <c r="AK166" s="11">
        <f>+COUNTIFS('muddati otgan'!C:C,A166,'muddati otgan'!J:J,"Kelishish (Boshqarma)")</f>
        <v>0</v>
      </c>
      <c r="AL166" s="11">
        <f t="shared" si="27"/>
        <v>0</v>
      </c>
      <c r="AM166" s="11">
        <f>+COUNTIFS('muddati otgan'!C:C,A166,'muddati otgan'!J:J,"Kelishish (DKP)")</f>
        <v>0</v>
      </c>
      <c r="AN166" s="11">
        <f>+COUNTIFS('muddati otgan'!C:C,A166,'muddati otgan'!J:J,"Kelishish")</f>
        <v>0</v>
      </c>
      <c r="AO166" s="11">
        <f>+COUNTIFS('muddati otgan'!C:C,A166,'muddati otgan'!J:J,"Kelishish (Registratsiya DKP)")</f>
        <v>0</v>
      </c>
      <c r="AP166" s="11">
        <f t="shared" si="28"/>
        <v>0</v>
      </c>
      <c r="AQ166" s="11">
        <f>+COUNTIFS('muddati otgan'!C:C,A166,'muddati otgan'!J:J,"Manzil biriktirish")</f>
        <v>0</v>
      </c>
      <c r="AR166" s="11">
        <f>+COUNTIFS('muddati otgan'!C:C,A166,'muddati otgan'!J:J,"Bino va inshootlarni yaratish")</f>
        <v>0</v>
      </c>
      <c r="AS166" s="11">
        <f>+COUNTIFS('muddati otgan'!C:C,A166,'muddati otgan'!J:J,"Dov daraxtlarni yaratish")</f>
        <v>0</v>
      </c>
      <c r="AT166" s="11">
        <f>+COUNTIFS('muddati otgan'!C:C,A166,'muddati otgan'!J:J,"Yer uchastkasini tahrirlash")</f>
        <v>0</v>
      </c>
      <c r="AU166" s="11">
        <f t="shared" si="29"/>
        <v>0</v>
      </c>
      <c r="AV166" s="11">
        <f>+COUNTIFS('muddati otgan'!C:C,A166,'muddati otgan'!J:J,"Yer toifasi va maqsadini kiritish")</f>
        <v>0</v>
      </c>
      <c r="AW166" s="11">
        <f>+COUNTIFS('muddati otgan'!C:C,A166,'muddati otgan'!J:J,"Auksion yer tekshirish")</f>
        <v>0</v>
      </c>
      <c r="AX166" s="11">
        <f>+COUNTIFS('muddati otgan'!C:C,A166,'muddati otgan'!J:J,"Yer turlarini kiritish")</f>
        <v>0</v>
      </c>
      <c r="AY166" s="11">
        <f>+COUNTIFS('muddati otgan'!C:C,A166,'muddati otgan'!J:J,"Ma'lumotlarni kiritish")</f>
        <v>0</v>
      </c>
      <c r="AZ166" s="11">
        <f>+COUNTIFS('muddati otgan'!C:C,A166,'muddati otgan'!J:J,"Yer tekshirish")</f>
        <v>0</v>
      </c>
      <c r="BA166" s="11">
        <f t="shared" si="30"/>
        <v>0</v>
      </c>
      <c r="BB166" s="11">
        <f>+COUNTIFS('muddati otgan'!C:C,A166,'muddati otgan'!J:J,"Bino va inshoot ma'lumotlarini to‘ldirish")</f>
        <v>0</v>
      </c>
      <c r="BC166" s="11">
        <f>+COUNTIFS('muddati otgan'!C:C,A166,'muddati otgan'!J:J,"Inventarizatsiya ma'lumotlarini to‘ldirish")</f>
        <v>0</v>
      </c>
      <c r="BD166" s="11">
        <f>+COUNTIFS('muddati otgan'!C:C,A166,'muddati otgan'!J:J,"Yer uchastkasiga huquqiy hujjatlarni kiritsh")</f>
        <v>0</v>
      </c>
      <c r="BE166" s="11">
        <f>+COUNTIFS('muddati otgan'!C:C,A166,'muddati otgan'!J:J,"Bino-inshootlarga huquqiy hujjatlarni kiritsh")</f>
        <v>0</v>
      </c>
      <c r="BF166" s="11">
        <f>+COUNTIFS('muddati otgan'!C:C,A166,'muddati otgan'!J:J,"Kadastr qiymatini hisoblash va kiritish")</f>
        <v>0</v>
      </c>
      <c r="BG166" s="11">
        <f>+COUNTIFS('muddati otgan'!C:C,A166,'muddati otgan'!J:J,"Kadastr raqam biriktirish")</f>
        <v>0</v>
      </c>
      <c r="BH166" s="11">
        <f>+COUNTIFS('muddati otgan'!C:C,A166,'muddati otgan'!J:J,"Kadastr yig'ma jildni tayyorlash")</f>
        <v>0</v>
      </c>
      <c r="BI166" s="11">
        <f>+COUNTIFS('muddati otgan'!C:C,A166,'muddati otgan'!J:J,"Huquqni yaratish")</f>
        <v>0</v>
      </c>
      <c r="BJ166" s="11">
        <f>+COUNTIFS('muddati otgan'!C:C,A166,'muddati otgan'!J:J,"Hujjatlarni o'rganish")</f>
        <v>0</v>
      </c>
      <c r="BK166" s="11">
        <f>+COUNTIFS('muddati otgan'!C:C,A166,'muddati otgan'!J:J,"Ma'lumotlarni tekshirish")</f>
        <v>0</v>
      </c>
      <c r="BL166" s="11">
        <f t="shared" si="31"/>
        <v>0</v>
      </c>
      <c r="BM166" s="11">
        <f>+COUNTIFS('muddati otgan'!C:C,A166,'muddati otgan'!J:J,"Tekshirish")</f>
        <v>0</v>
      </c>
      <c r="BN166" s="11">
        <f>+COUNTIFS('muddati otgan'!C:C,A166,'muddati otgan'!J:J,"Hujjatlarni tekshirish")</f>
        <v>0</v>
      </c>
      <c r="BO166" s="11">
        <f>+COUNTIFS('muddati otgan'!C:C,A166,'muddati otgan'!J:J,"Tasdiqlash")</f>
        <v>0</v>
      </c>
      <c r="BP166" s="11">
        <f>+COUNTIFS('muddati otgan'!C:C,A166,'muddati otgan'!J:J,"tekshirish/tasdiqlash")</f>
        <v>0</v>
      </c>
      <c r="BQ166" s="11">
        <f>+COUNTIFS('muddati otgan'!C:C,A166,'muddati otgan'!J:J,"Ma'lumotlarni tasdiqlash")</f>
        <v>0</v>
      </c>
      <c r="BR166" s="11">
        <f t="shared" si="32"/>
        <v>2</v>
      </c>
      <c r="BS166" s="11">
        <f>+COUNTIFS('muddati otgan'!C:C,A166,'muddati otgan'!J:J,"Ro'yxatdan o'tkazish ma'lumotlarini tekshirish")</f>
        <v>2</v>
      </c>
      <c r="BT166" s="11">
        <f>+COUNTIFS('muddati otgan'!C:C,A166,'muddati otgan'!J:J,"Kamchiliklar bo'yicha habarnoma yuborish va 3 kunga to'xtatish")</f>
        <v>0</v>
      </c>
      <c r="BU166" s="11">
        <f>+COUNTIFS('muddati otgan'!C:C,A166,'muddati otgan'!J:J,"Hisobga olish")</f>
        <v>0</v>
      </c>
      <c r="BV166" s="11">
        <f>+COUNTIFS('muddati otgan'!C:C,A166,'muddati otgan'!J:J,"Yer uchastkasiga huquq yaratish")</f>
        <v>0</v>
      </c>
      <c r="BW166" s="11">
        <f>+COUNTIFS('muddati otgan'!C:C,A166,'muddati otgan'!J:J,"Bino-inshootga huquq yaratish")</f>
        <v>0</v>
      </c>
      <c r="BX166" s="11">
        <f>+COUNTIFS('muddati otgan'!C:C,A166,'muddati otgan'!J:J,"Cheklov yaratish")</f>
        <v>0</v>
      </c>
      <c r="BY166" s="11">
        <f>+COUNTIFS('muddati otgan'!C:C,A166,'muddati otgan'!J:J,"Taqiq yaratish")</f>
        <v>0</v>
      </c>
      <c r="BZ166" s="11">
        <f t="shared" si="33"/>
        <v>0</v>
      </c>
      <c r="CA166" s="11">
        <f>+COUNTIFS('muddati otgan'!C:C,A166,'muddati otgan'!J:J,"Soliq maydonini tekshirish")</f>
        <v>0</v>
      </c>
      <c r="CB166" s="11">
        <f t="shared" si="34"/>
        <v>0</v>
      </c>
      <c r="CC166" s="11">
        <f>+COUNTIFS('muddati otgan'!C:C,A166,'muddati otgan'!J:J,"Kadastr yig'majildini shakllantirish")</f>
        <v>0</v>
      </c>
      <c r="CD166" s="11">
        <f t="shared" si="35"/>
        <v>0</v>
      </c>
      <c r="CE166" s="11">
        <f>+COUNTIFS('muddati otgan'!C:C,A166,'muddati otgan'!J:J,"Kadastr passportini shakllantirish")</f>
        <v>0</v>
      </c>
      <c r="CF166" s="11">
        <f>+COUNTIFS('muddati otgan'!C:C,A166,'muddati otgan'!J:J,"Yig'ma jildni tasdiqlash")</f>
        <v>0</v>
      </c>
      <c r="CG166" s="11">
        <f>+COUNTIFS('muddati otgan'!C:C,A166,'muddati otgan'!J:J,"To'lov yoki bepul tasdiqlash")</f>
        <v>0</v>
      </c>
      <c r="CH166" s="11">
        <f>+COUNTIFS('muddati otgan'!C:C,A166,'muddati otgan'!J:J,"Bog'liq arizani kutish")</f>
        <v>0</v>
      </c>
      <c r="CI166" s="11">
        <f>+COUNTIFS('muddati otgan'!C:C,A166,'muddati otgan'!J:J,"To'lovga chiqarish")</f>
        <v>0</v>
      </c>
      <c r="CJ166" s="11">
        <f>+COUNTIFS('muddati otgan'!C:C,A166,'muddati otgan'!J:J,"Hisobga qo'yish")</f>
        <v>0</v>
      </c>
      <c r="CK166" s="6">
        <f>+COUNTIFS('muddati otgan'!C:C,A166,'muddati otgan'!J:J,"To'lov kutilmoqda")</f>
        <v>1</v>
      </c>
      <c r="CL166" s="11">
        <f t="shared" si="36"/>
        <v>0</v>
      </c>
      <c r="CM166" s="11">
        <f>+COUNTIFS('muddati otgan'!C:C,A166,'muddati otgan'!AA:AA,"Arizani qabul qilish2")</f>
        <v>0</v>
      </c>
      <c r="CN166" s="11">
        <f>+COUNTIFS('muddati otgan'!C:C,A166,'muddati otgan'!J:J,"Huquqlarni tekshirish")</f>
        <v>0</v>
      </c>
      <c r="CO166" s="11">
        <f>+COUNTIFS('muddati otgan'!C:C,A166,'muddati otgan'!J:J,"Ko'chmas mulkni ro'yhatdan o'tkazishga qabul qilish")</f>
        <v>0</v>
      </c>
      <c r="CP166" s="11">
        <f>+COUNTIFS('muddati otgan'!C:C,A166,'muddati otgan'!J:J,"Ro'yxatdan o'tkazish")</f>
        <v>0</v>
      </c>
      <c r="CQ166" s="11">
        <f>+COUNTIFS('muddati otgan'!C:C,A166,'muddati otgan'!J:J,"Kadastr pasporti va ko'chirmani yuborish")</f>
        <v>0</v>
      </c>
      <c r="CR166" s="11">
        <f>+COUNTIFS('muddati otgan'!C:C,A166,'muddati otgan'!AA:AA,"Rad qilish2")</f>
        <v>0</v>
      </c>
      <c r="CS166" s="11">
        <f>+COUNTIFS('muddati otgan'!C:C,A166,'muddati otgan'!J:J,"Ko'chirmani yuborish")</f>
        <v>0</v>
      </c>
      <c r="CT166" s="11">
        <f>+COUNTIFS('muddati otgan'!C:C,A166,'muddati otgan'!J:J,"Ma‘lumotlarni tekshirish")</f>
        <v>0</v>
      </c>
      <c r="CU166" s="11">
        <f t="shared" si="37"/>
        <v>0</v>
      </c>
      <c r="CV166" s="11">
        <f>+COUNTIFS('muddati otgan'!C:C,A166,'muddati otgan'!J:J,"Kadastr yig'majildini chop etish va arxiv ishiga tikish")</f>
        <v>0</v>
      </c>
      <c r="CW166" s="11">
        <f t="shared" si="38"/>
        <v>0</v>
      </c>
      <c r="CX166" s="11">
        <f>+COUNTIFS('muddati otgan'!C:C,A166,'muddati otgan'!J:J,"Kadastr yig‘majildini qabul qilish, arizani yakunlash")</f>
        <v>0</v>
      </c>
      <c r="CY166" s="11">
        <f>+COUNTIFS('muddati otgan'!C:C,A166,'muddati otgan'!J:J,"Next Cloudga yuklash")</f>
        <v>0</v>
      </c>
      <c r="CZ166" s="6">
        <f>+COUNTIFS('muddati otgan'!C:C,A166,'muddati otgan'!J:J,"Kelishish kutilmoqda")</f>
        <v>0</v>
      </c>
      <c r="DA166" s="6">
        <f>+COUNTIFS('muddati otgan'!C:C,A166,'muddati otgan'!J:J,"Yakunlandi")</f>
        <v>2</v>
      </c>
      <c r="DB166" s="10">
        <f>+COUNTIFS('muddati otgan'!C:C,A166,'muddati otgan'!J:J,"Rad etildi")</f>
        <v>0</v>
      </c>
      <c r="DC166" s="100">
        <f t="shared" si="5"/>
        <v>-4</v>
      </c>
      <c r="DD166" s="44">
        <f>COUNTIFS('jami 1-20 kunlik arizalar'!C:C,A:A,'jami 1-20 kunlik arizalar'!S:S,"1")</f>
        <v>0</v>
      </c>
      <c r="DE166" s="11">
        <f>COUNTIFS('jami 1-20 kunlik arizalar'!C:C,A:A,'jami 1-20 kunlik arizalar'!S:S,"2")</f>
        <v>0</v>
      </c>
      <c r="DF166" s="11">
        <f>COUNTIFS('jami 1-20 kunlik arizalar'!C:C,A:A,'jami 1-20 kunlik arizalar'!S:S,"3")</f>
        <v>3</v>
      </c>
      <c r="DG166" s="11">
        <f>COUNTIFS('jami 1-20 kunlik arizalar'!C:C,A:A,'jami 1-20 kunlik arizalar'!S:S,"4")</f>
        <v>1</v>
      </c>
      <c r="DH166" s="11">
        <f>COUNTIFS('jami 1-20 kunlik arizalar'!C:C,A:A,'jami 1-20 kunlik arizalar'!S:S,"5")</f>
        <v>0</v>
      </c>
      <c r="DI166" s="11">
        <f>SUM(COUNTIFS('jami 1-20 kunlik arizalar'!C:C,A:A, 'jami 1-20 kunlik arizalar'!S:S, {6,7,8,9,10}))</f>
        <v>10</v>
      </c>
      <c r="DJ166" s="12">
        <f>SUM(COUNTIFS('jami 1-20 kunlik arizalar'!C:C,A:A, 'jami 1-20 kunlik arizalar'!S:S, "&gt;10"))</f>
        <v>3</v>
      </c>
    </row>
    <row r="167" spans="1:115" ht="35.1" hidden="1" customHeight="1" outlineLevel="1" x14ac:dyDescent="0.25">
      <c r="A167" s="92" t="s">
        <v>724</v>
      </c>
      <c r="B167" s="74"/>
      <c r="C167" s="85" t="s">
        <v>863</v>
      </c>
      <c r="D167" s="80">
        <f>+COUNTIFS('muddati otgan'!C:C,A167,'muddati otgan'!C:C,A167)</f>
        <v>0</v>
      </c>
      <c r="E167" s="10">
        <f>SUMIFS('muddati otgan'!$V:V,'muddati otgan'!$C:C,$A:A)</f>
        <v>0</v>
      </c>
      <c r="F167" s="10">
        <f>SUMIFS('muddati otgan'!$W:W,'muddati otgan'!$C:C,$A:A)</f>
        <v>0</v>
      </c>
      <c r="G167" s="24">
        <f>SUMIFS('muddati otgan'!$U:U,'muddati otgan'!$C:C,$A:A)</f>
        <v>0</v>
      </c>
      <c r="H167" s="11">
        <f>SUMIFS('muddati otgan'!$G:G,'muddati otgan'!$C:C,$A:A)</f>
        <v>0</v>
      </c>
      <c r="I167" s="12">
        <f>SUMIFS('muddati otgan'!$H:H,'muddati otgan'!$C:C,$A:A)</f>
        <v>0</v>
      </c>
      <c r="J167" s="44">
        <f t="shared" si="23"/>
        <v>0</v>
      </c>
      <c r="K167" s="11">
        <f>+COUNTIFS('muddati otgan'!C:C,A167,'muddati otgan'!AA:AA,"Arizani qabul qilish")</f>
        <v>0</v>
      </c>
      <c r="L167" s="11">
        <f>+COUNTIFS('muddati otgan'!C:C,A167,'muddati otgan'!J:J,"Arizani rad etish")</f>
        <v>0</v>
      </c>
      <c r="M167" s="11">
        <f>+COUNTIFS('muddati otgan'!C:C,A167,'muddati otgan'!J:J,"Arizani tasdiqlash")</f>
        <v>0</v>
      </c>
      <c r="N167" s="11">
        <f>+COUNTIFS('muddati otgan'!C:C,A167,'muddati otgan'!J:J,"Arizani yo'naltirish")</f>
        <v>0</v>
      </c>
      <c r="O167" s="11">
        <f>+COUNTIFS('muddati otgan'!C:C,A167,'muddati otgan'!J:J,"Rad qilish sababini o'rganish")</f>
        <v>0</v>
      </c>
      <c r="P167" s="11">
        <f>+COUNTIFS('muddati otgan'!C:C,A167,'muddati otgan'!J:J,"Ko'chmas mulkni UZKAD ga migratsiya qilish")</f>
        <v>0</v>
      </c>
      <c r="Q167" s="11">
        <f>+COUNTIFS('muddati otgan'!C:C,A167,'muddati otgan'!J:J,"Migratisya qilingan obyekt holatini tekshirish")</f>
        <v>0</v>
      </c>
      <c r="R167" s="11">
        <f>+COUNTIFS('muddati otgan'!C:C,A167,'muddati otgan'!J:J,"Ko‘chmas mulkni tanlash")</f>
        <v>0</v>
      </c>
      <c r="S167" s="11">
        <f>+COUNTIFS('muddati otgan'!C:C,A167,'muddati otgan'!J:J,"Arizani ko'rib chiqish")</f>
        <v>0</v>
      </c>
      <c r="T167" s="11">
        <f>+COUNTIFS('muddati otgan'!C:C,A167,'muddati otgan'!J:J,"Kadastr muhandisini tanlash")</f>
        <v>0</v>
      </c>
      <c r="U167" s="11">
        <f>+COUNTIFS('muddati otgan'!C:C,A167,'muddati otgan'!J:J,"Ko'chmas mulk turini tanlahsh")</f>
        <v>0</v>
      </c>
      <c r="V167" s="11">
        <f>+COUNTIFS('muddati otgan'!C:C,A167,'muddati otgan'!AA:AA,"Rad qilish")</f>
        <v>0</v>
      </c>
      <c r="W167" s="11">
        <f>+COUNTIFS('muddati otgan'!C:C,A167,'muddati otgan'!J:J,"ijrochi tanlash")</f>
        <v>0</v>
      </c>
      <c r="X167" s="11">
        <f>+COUNTIFS('muddati otgan'!C:C,A167,'muddati otgan'!J:J,"Ko'chmas mulk turini tanlash")</f>
        <v>0</v>
      </c>
      <c r="Y167" s="11">
        <f t="shared" si="24"/>
        <v>0</v>
      </c>
      <c r="Z167" s="11">
        <f>+COUNTIFS('muddati otgan'!C:C,A167,'muddati otgan'!J:J,"Ijroga qabul qilish")</f>
        <v>0</v>
      </c>
      <c r="AA167" s="11">
        <f>+COUNTIFS('muddati otgan'!C:C,A167,'muddati otgan'!J:J,"Joyida o'rganish va ma'lumotlarni kiritish")</f>
        <v>0</v>
      </c>
      <c r="AB167" s="11">
        <f>+COUNTIFS('muddati otgan'!C:C,A167,'muddati otgan'!J:J,"Asosiy qismdan ajratish jarayonida")</f>
        <v>0</v>
      </c>
      <c r="AC167" s="11">
        <f>+COUNTIFS('muddati otgan'!C:C,A167,'muddati otgan'!J:J,"Umumiy foydalanishdagi obyekt yaratilish")</f>
        <v>0</v>
      </c>
      <c r="AD167" s="11">
        <f>+COUNTIFS('muddati otgan'!C:C,A167,'muddati otgan'!J:J,"Migratsiya qilinadigan kadastr raqamini kiritish")</f>
        <v>0</v>
      </c>
      <c r="AE167" s="11">
        <f>+COUNTIFS('muddati otgan'!C:C,A167,'muddati otgan'!J:J,"O'zida qolgan obyektni yaratish")</f>
        <v>0</v>
      </c>
      <c r="AF167" s="11">
        <f>+COUNTIFS('muddati otgan'!C:C,A167,'muddati otgan'!J:J,"O'lchov natijalarini kiritish")</f>
        <v>0</v>
      </c>
      <c r="AG167" s="11">
        <f>+COUNTIFS('muddati otgan'!C:C,A167,'muddati otgan'!J:J,"Topoxaritani tayyorlash (dwg, pdf)")</f>
        <v>0</v>
      </c>
      <c r="AH167" s="11">
        <f t="shared" si="25"/>
        <v>0</v>
      </c>
      <c r="AI167" s="11">
        <f>+COUNTIFS('muddati otgan'!C:C,A167,'muddati otgan'!J:J,"Yer uchastkasini yaratish")</f>
        <v>0</v>
      </c>
      <c r="AJ167" s="11">
        <f t="shared" si="26"/>
        <v>0</v>
      </c>
      <c r="AK167" s="11">
        <f>+COUNTIFS('muddati otgan'!C:C,A167,'muddati otgan'!J:J,"Kelishish (Boshqarma)")</f>
        <v>0</v>
      </c>
      <c r="AL167" s="11">
        <f t="shared" si="27"/>
        <v>0</v>
      </c>
      <c r="AM167" s="11">
        <f>+COUNTIFS('muddati otgan'!C:C,A167,'muddati otgan'!J:J,"Kelishish (DKP)")</f>
        <v>0</v>
      </c>
      <c r="AN167" s="11">
        <f>+COUNTIFS('muddati otgan'!C:C,A167,'muddati otgan'!J:J,"Kelishish")</f>
        <v>0</v>
      </c>
      <c r="AO167" s="11">
        <f>+COUNTIFS('muddati otgan'!C:C,A167,'muddati otgan'!J:J,"Kelishish (Registratsiya DKP)")</f>
        <v>0</v>
      </c>
      <c r="AP167" s="11">
        <f t="shared" si="28"/>
        <v>0</v>
      </c>
      <c r="AQ167" s="11">
        <f>+COUNTIFS('muddati otgan'!C:C,A167,'muddati otgan'!J:J,"Manzil biriktirish")</f>
        <v>0</v>
      </c>
      <c r="AR167" s="11">
        <f>+COUNTIFS('muddati otgan'!C:C,A167,'muddati otgan'!J:J,"Bino va inshootlarni yaratish")</f>
        <v>0</v>
      </c>
      <c r="AS167" s="11">
        <f>+COUNTIFS('muddati otgan'!C:C,A167,'muddati otgan'!J:J,"Dov daraxtlarni yaratish")</f>
        <v>0</v>
      </c>
      <c r="AT167" s="11">
        <f>+COUNTIFS('muddati otgan'!C:C,A167,'muddati otgan'!J:J,"Yer uchastkasini tahrirlash")</f>
        <v>0</v>
      </c>
      <c r="AU167" s="11">
        <f t="shared" si="29"/>
        <v>0</v>
      </c>
      <c r="AV167" s="11">
        <f>+COUNTIFS('muddati otgan'!C:C,A167,'muddati otgan'!J:J,"Yer toifasi va maqsadini kiritish")</f>
        <v>0</v>
      </c>
      <c r="AW167" s="11">
        <f>+COUNTIFS('muddati otgan'!C:C,A167,'muddati otgan'!J:J,"Auksion yer tekshirish")</f>
        <v>0</v>
      </c>
      <c r="AX167" s="11">
        <f>+COUNTIFS('muddati otgan'!C:C,A167,'muddati otgan'!J:J,"Yer turlarini kiritish")</f>
        <v>0</v>
      </c>
      <c r="AY167" s="11">
        <f>+COUNTIFS('muddati otgan'!C:C,A167,'muddati otgan'!J:J,"Ma'lumotlarni kiritish")</f>
        <v>0</v>
      </c>
      <c r="AZ167" s="11">
        <f>+COUNTIFS('muddati otgan'!C:C,A167,'muddati otgan'!J:J,"Yer tekshirish")</f>
        <v>0</v>
      </c>
      <c r="BA167" s="11">
        <f t="shared" si="30"/>
        <v>0</v>
      </c>
      <c r="BB167" s="11">
        <f>+COUNTIFS('muddati otgan'!C:C,A167,'muddati otgan'!J:J,"Bino va inshoot ma'lumotlarini to‘ldirish")</f>
        <v>0</v>
      </c>
      <c r="BC167" s="11">
        <f>+COUNTIFS('muddati otgan'!C:C,A167,'muddati otgan'!J:J,"Inventarizatsiya ma'lumotlarini to‘ldirish")</f>
        <v>0</v>
      </c>
      <c r="BD167" s="11">
        <f>+COUNTIFS('muddati otgan'!C:C,A167,'muddati otgan'!J:J,"Yer uchastkasiga huquqiy hujjatlarni kiritsh")</f>
        <v>0</v>
      </c>
      <c r="BE167" s="11">
        <f>+COUNTIFS('muddati otgan'!C:C,A167,'muddati otgan'!J:J,"Bino-inshootlarga huquqiy hujjatlarni kiritsh")</f>
        <v>0</v>
      </c>
      <c r="BF167" s="11">
        <f>+COUNTIFS('muddati otgan'!C:C,A167,'muddati otgan'!J:J,"Kadastr qiymatini hisoblash va kiritish")</f>
        <v>0</v>
      </c>
      <c r="BG167" s="11">
        <f>+COUNTIFS('muddati otgan'!C:C,A167,'muddati otgan'!J:J,"Kadastr raqam biriktirish")</f>
        <v>0</v>
      </c>
      <c r="BH167" s="11">
        <f>+COUNTIFS('muddati otgan'!C:C,A167,'muddati otgan'!J:J,"Kadastr yig'ma jildni tayyorlash")</f>
        <v>0</v>
      </c>
      <c r="BI167" s="11">
        <f>+COUNTIFS('muddati otgan'!C:C,A167,'muddati otgan'!J:J,"Huquqni yaratish")</f>
        <v>0</v>
      </c>
      <c r="BJ167" s="11">
        <f>+COUNTIFS('muddati otgan'!C:C,A167,'muddati otgan'!J:J,"Hujjatlarni o'rganish")</f>
        <v>0</v>
      </c>
      <c r="BK167" s="11">
        <f>+COUNTIFS('muddati otgan'!C:C,A167,'muddati otgan'!J:J,"Ma'lumotlarni tekshirish")</f>
        <v>0</v>
      </c>
      <c r="BL167" s="11">
        <f t="shared" si="31"/>
        <v>0</v>
      </c>
      <c r="BM167" s="11">
        <f>+COUNTIFS('muddati otgan'!C:C,A167,'muddati otgan'!J:J,"Tekshirish")</f>
        <v>0</v>
      </c>
      <c r="BN167" s="11">
        <f>+COUNTIFS('muddati otgan'!C:C,A167,'muddati otgan'!J:J,"Hujjatlarni tekshirish")</f>
        <v>0</v>
      </c>
      <c r="BO167" s="11">
        <f>+COUNTIFS('muddati otgan'!C:C,A167,'muddati otgan'!J:J,"Tasdiqlash")</f>
        <v>0</v>
      </c>
      <c r="BP167" s="11">
        <f>+COUNTIFS('muddati otgan'!C:C,A167,'muddati otgan'!J:J,"tekshirish/tasdiqlash")</f>
        <v>0</v>
      </c>
      <c r="BQ167" s="11">
        <f>+COUNTIFS('muddati otgan'!C:C,A167,'muddati otgan'!J:J,"Ma'lumotlarni tasdiqlash")</f>
        <v>0</v>
      </c>
      <c r="BR167" s="11">
        <f t="shared" si="32"/>
        <v>0</v>
      </c>
      <c r="BS167" s="11">
        <f>+COUNTIFS('muddati otgan'!C:C,A167,'muddati otgan'!J:J,"Ro'yxatdan o'tkazish ma'lumotlarini tekshirish")</f>
        <v>0</v>
      </c>
      <c r="BT167" s="11">
        <f>+COUNTIFS('muddati otgan'!C:C,A167,'muddati otgan'!J:J,"Kamchiliklar bo'yicha habarnoma yuborish va 3 kunga to'xtatish")</f>
        <v>0</v>
      </c>
      <c r="BU167" s="11">
        <f>+COUNTIFS('muddati otgan'!C:C,A167,'muddati otgan'!J:J,"Hisobga olish")</f>
        <v>0</v>
      </c>
      <c r="BV167" s="11">
        <f>+COUNTIFS('muddati otgan'!C:C,A167,'muddati otgan'!J:J,"Yer uchastkasiga huquq yaratish")</f>
        <v>0</v>
      </c>
      <c r="BW167" s="11">
        <f>+COUNTIFS('muddati otgan'!C:C,A167,'muddati otgan'!J:J,"Bino-inshootga huquq yaratish")</f>
        <v>0</v>
      </c>
      <c r="BX167" s="11">
        <f>+COUNTIFS('muddati otgan'!C:C,A167,'muddati otgan'!J:J,"Cheklov yaratish")</f>
        <v>0</v>
      </c>
      <c r="BY167" s="11">
        <f>+COUNTIFS('muddati otgan'!C:C,A167,'muddati otgan'!J:J,"Taqiq yaratish")</f>
        <v>0</v>
      </c>
      <c r="BZ167" s="11">
        <f t="shared" si="33"/>
        <v>0</v>
      </c>
      <c r="CA167" s="11">
        <f>+COUNTIFS('muddati otgan'!C:C,A167,'muddati otgan'!J:J,"Soliq maydonini tekshirish")</f>
        <v>0</v>
      </c>
      <c r="CB167" s="11">
        <f t="shared" si="34"/>
        <v>0</v>
      </c>
      <c r="CC167" s="11">
        <f>+COUNTIFS('muddati otgan'!C:C,A167,'muddati otgan'!J:J,"Kadastr yig'majildini shakllantirish")</f>
        <v>0</v>
      </c>
      <c r="CD167" s="11">
        <f t="shared" si="35"/>
        <v>0</v>
      </c>
      <c r="CE167" s="11">
        <f>+COUNTIFS('muddati otgan'!C:C,A167,'muddati otgan'!J:J,"Kadastr passportini shakllantirish")</f>
        <v>0</v>
      </c>
      <c r="CF167" s="11">
        <f>+COUNTIFS('muddati otgan'!C:C,A167,'muddati otgan'!J:J,"Yig'ma jildni tasdiqlash")</f>
        <v>0</v>
      </c>
      <c r="CG167" s="11">
        <f>+COUNTIFS('muddati otgan'!C:C,A167,'muddati otgan'!J:J,"To'lov yoki bepul tasdiqlash")</f>
        <v>0</v>
      </c>
      <c r="CH167" s="11">
        <f>+COUNTIFS('muddati otgan'!C:C,A167,'muddati otgan'!J:J,"Bog'liq arizani kutish")</f>
        <v>0</v>
      </c>
      <c r="CI167" s="11">
        <f>+COUNTIFS('muddati otgan'!C:C,A167,'muddati otgan'!J:J,"To'lovga chiqarish")</f>
        <v>0</v>
      </c>
      <c r="CJ167" s="11">
        <f>+COUNTIFS('muddati otgan'!C:C,A167,'muddati otgan'!J:J,"Hisobga qo'yish")</f>
        <v>0</v>
      </c>
      <c r="CK167" s="6">
        <f>+COUNTIFS('muddati otgan'!C:C,A167,'muddati otgan'!J:J,"To'lov kutilmoqda")</f>
        <v>0</v>
      </c>
      <c r="CL167" s="11">
        <f t="shared" si="36"/>
        <v>0</v>
      </c>
      <c r="CM167" s="11">
        <f>+COUNTIFS('muddati otgan'!C:C,A167,'muddati otgan'!AA:AA,"Arizani qabul qilish2")</f>
        <v>0</v>
      </c>
      <c r="CN167" s="11">
        <f>+COUNTIFS('muddati otgan'!C:C,A167,'muddati otgan'!J:J,"Huquqlarni tekshirish")</f>
        <v>0</v>
      </c>
      <c r="CO167" s="11">
        <f>+COUNTIFS('muddati otgan'!C:C,A167,'muddati otgan'!J:J,"Ko'chmas mulkni ro'yhatdan o'tkazishga qabul qilish")</f>
        <v>0</v>
      </c>
      <c r="CP167" s="11">
        <f>+COUNTIFS('muddati otgan'!C:C,A167,'muddati otgan'!J:J,"Ro'yxatdan o'tkazish")</f>
        <v>0</v>
      </c>
      <c r="CQ167" s="11">
        <f>+COUNTIFS('muddati otgan'!C:C,A167,'muddati otgan'!J:J,"Kadastr pasporti va ko'chirmani yuborish")</f>
        <v>0</v>
      </c>
      <c r="CR167" s="11">
        <f>+COUNTIFS('muddati otgan'!C:C,A167,'muddati otgan'!AA:AA,"Rad qilish2")</f>
        <v>0</v>
      </c>
      <c r="CS167" s="11">
        <f>+COUNTIFS('muddati otgan'!C:C,A167,'muddati otgan'!J:J,"Ko'chirmani yuborish")</f>
        <v>0</v>
      </c>
      <c r="CT167" s="11">
        <f>+COUNTIFS('muddati otgan'!C:C,A167,'muddati otgan'!J:J,"Ma‘lumotlarni tekshirish")</f>
        <v>0</v>
      </c>
      <c r="CU167" s="11">
        <f t="shared" si="37"/>
        <v>0</v>
      </c>
      <c r="CV167" s="11">
        <f>+COUNTIFS('muddati otgan'!C:C,A167,'muddati otgan'!J:J,"Kadastr yig'majildini chop etish va arxiv ishiga tikish")</f>
        <v>0</v>
      </c>
      <c r="CW167" s="11">
        <f t="shared" si="38"/>
        <v>0</v>
      </c>
      <c r="CX167" s="11">
        <f>+COUNTIFS('muddati otgan'!C:C,A167,'muddati otgan'!J:J,"Kadastr yig‘majildini qabul qilish, arizani yakunlash")</f>
        <v>0</v>
      </c>
      <c r="CY167" s="11">
        <f>+COUNTIFS('muddati otgan'!C:C,A167,'muddati otgan'!J:J,"Next Cloudga yuklash")</f>
        <v>0</v>
      </c>
      <c r="CZ167" s="6">
        <f>+COUNTIFS('muddati otgan'!C:C,A167,'muddati otgan'!J:J,"Kelishish kutilmoqda")</f>
        <v>0</v>
      </c>
      <c r="DA167" s="6">
        <f>+COUNTIFS('muddati otgan'!C:C,A167,'muddati otgan'!J:J,"Yakunlandi")</f>
        <v>0</v>
      </c>
      <c r="DB167" s="10">
        <f>+COUNTIFS('muddati otgan'!C:C,A167,'muddati otgan'!J:J,"Rad etildi")</f>
        <v>0</v>
      </c>
      <c r="DC167" s="100">
        <f t="shared" si="5"/>
        <v>0</v>
      </c>
      <c r="DD167" s="44">
        <f>COUNTIFS('jami 1-20 kunlik arizalar'!C:C,A:A,'jami 1-20 kunlik arizalar'!S:S,"1")</f>
        <v>0</v>
      </c>
      <c r="DE167" s="11">
        <f>COUNTIFS('jami 1-20 kunlik arizalar'!C:C,A:A,'jami 1-20 kunlik arizalar'!S:S,"2")</f>
        <v>0</v>
      </c>
      <c r="DF167" s="11">
        <f>COUNTIFS('jami 1-20 kunlik arizalar'!C:C,A:A,'jami 1-20 kunlik arizalar'!S:S,"3")</f>
        <v>2</v>
      </c>
      <c r="DG167" s="11">
        <f>COUNTIFS('jami 1-20 kunlik arizalar'!C:C,A:A,'jami 1-20 kunlik arizalar'!S:S,"4")</f>
        <v>0</v>
      </c>
      <c r="DH167" s="11">
        <f>COUNTIFS('jami 1-20 kunlik arizalar'!C:C,A:A,'jami 1-20 kunlik arizalar'!S:S,"5")</f>
        <v>0</v>
      </c>
      <c r="DI167" s="11">
        <f>SUM(COUNTIFS('jami 1-20 kunlik arizalar'!C:C,A:A, 'jami 1-20 kunlik arizalar'!S:S, {6,7,8,9,10}))</f>
        <v>4</v>
      </c>
      <c r="DJ167" s="12">
        <f>SUM(COUNTIFS('jami 1-20 kunlik arizalar'!C:C,A:A, 'jami 1-20 kunlik arizalar'!S:S, "&gt;10"))</f>
        <v>9</v>
      </c>
    </row>
    <row r="168" spans="1:115" ht="35.1" hidden="1" customHeight="1" outlineLevel="1" x14ac:dyDescent="0.25">
      <c r="A168" s="92" t="s">
        <v>715</v>
      </c>
      <c r="B168" s="74"/>
      <c r="C168" s="85" t="s">
        <v>864</v>
      </c>
      <c r="D168" s="80">
        <f>+COUNTIFS('muddati otgan'!C:C,A168,'muddati otgan'!C:C,A168)</f>
        <v>3</v>
      </c>
      <c r="E168" s="10">
        <f>SUMIFS('muddati otgan'!$V:V,'muddati otgan'!$C:C,$A:A)</f>
        <v>0</v>
      </c>
      <c r="F168" s="10">
        <f>SUMIFS('muddati otgan'!$W:W,'muddati otgan'!$C:C,$A:A)</f>
        <v>0</v>
      </c>
      <c r="G168" s="24">
        <f>SUMIFS('muddati otgan'!$U:U,'muddati otgan'!$C:C,$A:A)</f>
        <v>3</v>
      </c>
      <c r="H168" s="11">
        <f>SUMIFS('muddati otgan'!$G:G,'muddati otgan'!$C:C,$A:A)</f>
        <v>3</v>
      </c>
      <c r="I168" s="12">
        <f>SUMIFS('muddati otgan'!$H:H,'muddati otgan'!$C:C,$A:A)</f>
        <v>0</v>
      </c>
      <c r="J168" s="44">
        <f t="shared" si="23"/>
        <v>0</v>
      </c>
      <c r="K168" s="11">
        <f>+COUNTIFS('muddati otgan'!C:C,A168,'muddati otgan'!AA:AA,"Arizani qabul qilish")</f>
        <v>0</v>
      </c>
      <c r="L168" s="11">
        <f>+COUNTIFS('muddati otgan'!C:C,A168,'muddati otgan'!J:J,"Arizani rad etish")</f>
        <v>0</v>
      </c>
      <c r="M168" s="11">
        <f>+COUNTIFS('muddati otgan'!C:C,A168,'muddati otgan'!J:J,"Arizani tasdiqlash")</f>
        <v>0</v>
      </c>
      <c r="N168" s="11">
        <f>+COUNTIFS('muddati otgan'!C:C,A168,'muddati otgan'!J:J,"Arizani yo'naltirish")</f>
        <v>0</v>
      </c>
      <c r="O168" s="11">
        <f>+COUNTIFS('muddati otgan'!C:C,A168,'muddati otgan'!J:J,"Rad qilish sababini o'rganish")</f>
        <v>0</v>
      </c>
      <c r="P168" s="11">
        <f>+COUNTIFS('muddati otgan'!C:C,A168,'muddati otgan'!J:J,"Ko'chmas mulkni UZKAD ga migratsiya qilish")</f>
        <v>0</v>
      </c>
      <c r="Q168" s="11">
        <f>+COUNTIFS('muddati otgan'!C:C,A168,'muddati otgan'!J:J,"Migratisya qilingan obyekt holatini tekshirish")</f>
        <v>0</v>
      </c>
      <c r="R168" s="11">
        <f>+COUNTIFS('muddati otgan'!C:C,A168,'muddati otgan'!J:J,"Ko‘chmas mulkni tanlash")</f>
        <v>0</v>
      </c>
      <c r="S168" s="11">
        <f>+COUNTIFS('muddati otgan'!C:C,A168,'muddati otgan'!J:J,"Arizani ko'rib chiqish")</f>
        <v>0</v>
      </c>
      <c r="T168" s="11">
        <f>+COUNTIFS('muddati otgan'!C:C,A168,'muddati otgan'!J:J,"Kadastr muhandisini tanlash")</f>
        <v>0</v>
      </c>
      <c r="U168" s="11">
        <f>+COUNTIFS('muddati otgan'!C:C,A168,'muddati otgan'!J:J,"Ko'chmas mulk turini tanlahsh")</f>
        <v>0</v>
      </c>
      <c r="V168" s="11">
        <f>+COUNTIFS('muddati otgan'!C:C,A168,'muddati otgan'!AA:AA,"Rad qilish")</f>
        <v>0</v>
      </c>
      <c r="W168" s="11">
        <f>+COUNTIFS('muddati otgan'!C:C,A168,'muddati otgan'!J:J,"ijrochi tanlash")</f>
        <v>0</v>
      </c>
      <c r="X168" s="11">
        <f>+COUNTIFS('muddati otgan'!C:C,A168,'muddati otgan'!J:J,"Ko'chmas mulk turini tanlash")</f>
        <v>0</v>
      </c>
      <c r="Y168" s="11">
        <f t="shared" si="24"/>
        <v>0</v>
      </c>
      <c r="Z168" s="11">
        <f>+COUNTIFS('muddati otgan'!C:C,A168,'muddati otgan'!J:J,"Ijroga qabul qilish")</f>
        <v>0</v>
      </c>
      <c r="AA168" s="11">
        <f>+COUNTIFS('muddati otgan'!C:C,A168,'muddati otgan'!J:J,"Joyida o'rganish va ma'lumotlarni kiritish")</f>
        <v>0</v>
      </c>
      <c r="AB168" s="11">
        <f>+COUNTIFS('muddati otgan'!C:C,A168,'muddati otgan'!J:J,"Asosiy qismdan ajratish jarayonida")</f>
        <v>0</v>
      </c>
      <c r="AC168" s="11">
        <f>+COUNTIFS('muddati otgan'!C:C,A168,'muddati otgan'!J:J,"Umumiy foydalanishdagi obyekt yaratilish")</f>
        <v>0</v>
      </c>
      <c r="AD168" s="11">
        <f>+COUNTIFS('muddati otgan'!C:C,A168,'muddati otgan'!J:J,"Migratsiya qilinadigan kadastr raqamini kiritish")</f>
        <v>0</v>
      </c>
      <c r="AE168" s="11">
        <f>+COUNTIFS('muddati otgan'!C:C,A168,'muddati otgan'!J:J,"O'zida qolgan obyektni yaratish")</f>
        <v>0</v>
      </c>
      <c r="AF168" s="11">
        <f>+COUNTIFS('muddati otgan'!C:C,A168,'muddati otgan'!J:J,"O'lchov natijalarini kiritish")</f>
        <v>0</v>
      </c>
      <c r="AG168" s="11">
        <f>+COUNTIFS('muddati otgan'!C:C,A168,'muddati otgan'!J:J,"Topoxaritani tayyorlash (dwg, pdf)")</f>
        <v>0</v>
      </c>
      <c r="AH168" s="11">
        <f t="shared" si="25"/>
        <v>0</v>
      </c>
      <c r="AI168" s="11">
        <f>+COUNTIFS('muddati otgan'!C:C,A168,'muddati otgan'!J:J,"Yer uchastkasini yaratish")</f>
        <v>0</v>
      </c>
      <c r="AJ168" s="11">
        <f t="shared" si="26"/>
        <v>0</v>
      </c>
      <c r="AK168" s="11">
        <f>+COUNTIFS('muddati otgan'!C:C,A168,'muddati otgan'!J:J,"Kelishish (Boshqarma)")</f>
        <v>0</v>
      </c>
      <c r="AL168" s="11">
        <f t="shared" si="27"/>
        <v>0</v>
      </c>
      <c r="AM168" s="11">
        <f>+COUNTIFS('muddati otgan'!C:C,A168,'muddati otgan'!J:J,"Kelishish (DKP)")</f>
        <v>0</v>
      </c>
      <c r="AN168" s="11">
        <f>+COUNTIFS('muddati otgan'!C:C,A168,'muddati otgan'!J:J,"Kelishish")</f>
        <v>0</v>
      </c>
      <c r="AO168" s="11">
        <f>+COUNTIFS('muddati otgan'!C:C,A168,'muddati otgan'!J:J,"Kelishish (Registratsiya DKP)")</f>
        <v>0</v>
      </c>
      <c r="AP168" s="11">
        <f t="shared" si="28"/>
        <v>0</v>
      </c>
      <c r="AQ168" s="11">
        <f>+COUNTIFS('muddati otgan'!C:C,A168,'muddati otgan'!J:J,"Manzil biriktirish")</f>
        <v>0</v>
      </c>
      <c r="AR168" s="11">
        <f>+COUNTIFS('muddati otgan'!C:C,A168,'muddati otgan'!J:J,"Bino va inshootlarni yaratish")</f>
        <v>0</v>
      </c>
      <c r="AS168" s="11">
        <f>+COUNTIFS('muddati otgan'!C:C,A168,'muddati otgan'!J:J,"Dov daraxtlarni yaratish")</f>
        <v>0</v>
      </c>
      <c r="AT168" s="11">
        <f>+COUNTIFS('muddati otgan'!C:C,A168,'muddati otgan'!J:J,"Yer uchastkasini tahrirlash")</f>
        <v>0</v>
      </c>
      <c r="AU168" s="11">
        <f t="shared" si="29"/>
        <v>0</v>
      </c>
      <c r="AV168" s="11">
        <f>+COUNTIFS('muddati otgan'!C:C,A168,'muddati otgan'!J:J,"Yer toifasi va maqsadini kiritish")</f>
        <v>0</v>
      </c>
      <c r="AW168" s="11">
        <f>+COUNTIFS('muddati otgan'!C:C,A168,'muddati otgan'!J:J,"Auksion yer tekshirish")</f>
        <v>0</v>
      </c>
      <c r="AX168" s="11">
        <f>+COUNTIFS('muddati otgan'!C:C,A168,'muddati otgan'!J:J,"Yer turlarini kiritish")</f>
        <v>0</v>
      </c>
      <c r="AY168" s="11">
        <f>+COUNTIFS('muddati otgan'!C:C,A168,'muddati otgan'!J:J,"Ma'lumotlarni kiritish")</f>
        <v>0</v>
      </c>
      <c r="AZ168" s="11">
        <f>+COUNTIFS('muddati otgan'!C:C,A168,'muddati otgan'!J:J,"Yer tekshirish")</f>
        <v>0</v>
      </c>
      <c r="BA168" s="11">
        <f t="shared" si="30"/>
        <v>0</v>
      </c>
      <c r="BB168" s="11">
        <f>+COUNTIFS('muddati otgan'!C:C,A168,'muddati otgan'!J:J,"Bino va inshoot ma'lumotlarini to‘ldirish")</f>
        <v>0</v>
      </c>
      <c r="BC168" s="11">
        <f>+COUNTIFS('muddati otgan'!C:C,A168,'muddati otgan'!J:J,"Inventarizatsiya ma'lumotlarini to‘ldirish")</f>
        <v>0</v>
      </c>
      <c r="BD168" s="11">
        <f>+COUNTIFS('muddati otgan'!C:C,A168,'muddati otgan'!J:J,"Yer uchastkasiga huquqiy hujjatlarni kiritsh")</f>
        <v>0</v>
      </c>
      <c r="BE168" s="11">
        <f>+COUNTIFS('muddati otgan'!C:C,A168,'muddati otgan'!J:J,"Bino-inshootlarga huquqiy hujjatlarni kiritsh")</f>
        <v>0</v>
      </c>
      <c r="BF168" s="11">
        <f>+COUNTIFS('muddati otgan'!C:C,A168,'muddati otgan'!J:J,"Kadastr qiymatini hisoblash va kiritish")</f>
        <v>0</v>
      </c>
      <c r="BG168" s="11">
        <f>+COUNTIFS('muddati otgan'!C:C,A168,'muddati otgan'!J:J,"Kadastr raqam biriktirish")</f>
        <v>0</v>
      </c>
      <c r="BH168" s="11">
        <f>+COUNTIFS('muddati otgan'!C:C,A168,'muddati otgan'!J:J,"Kadastr yig'ma jildni tayyorlash")</f>
        <v>0</v>
      </c>
      <c r="BI168" s="11">
        <f>+COUNTIFS('muddati otgan'!C:C,A168,'muddati otgan'!J:J,"Huquqni yaratish")</f>
        <v>0</v>
      </c>
      <c r="BJ168" s="11">
        <f>+COUNTIFS('muddati otgan'!C:C,A168,'muddati otgan'!J:J,"Hujjatlarni o'rganish")</f>
        <v>0</v>
      </c>
      <c r="BK168" s="11">
        <f>+COUNTIFS('muddati otgan'!C:C,A168,'muddati otgan'!J:J,"Ma'lumotlarni tekshirish")</f>
        <v>0</v>
      </c>
      <c r="BL168" s="11">
        <f t="shared" si="31"/>
        <v>0</v>
      </c>
      <c r="BM168" s="11">
        <f>+COUNTIFS('muddati otgan'!C:C,A168,'muddati otgan'!J:J,"Tekshirish")</f>
        <v>0</v>
      </c>
      <c r="BN168" s="11">
        <f>+COUNTIFS('muddati otgan'!C:C,A168,'muddati otgan'!J:J,"Hujjatlarni tekshirish")</f>
        <v>0</v>
      </c>
      <c r="BO168" s="11">
        <f>+COUNTIFS('muddati otgan'!C:C,A168,'muddati otgan'!J:J,"Tasdiqlash")</f>
        <v>0</v>
      </c>
      <c r="BP168" s="11">
        <f>+COUNTIFS('muddati otgan'!C:C,A168,'muddati otgan'!J:J,"tekshirish/tasdiqlash")</f>
        <v>0</v>
      </c>
      <c r="BQ168" s="11">
        <f>+COUNTIFS('muddati otgan'!C:C,A168,'muddati otgan'!J:J,"Ma'lumotlarni tasdiqlash")</f>
        <v>0</v>
      </c>
      <c r="BR168" s="11">
        <f t="shared" si="32"/>
        <v>1</v>
      </c>
      <c r="BS168" s="11">
        <f>+COUNTIFS('muddati otgan'!C:C,A168,'muddati otgan'!J:J,"Ro'yxatdan o'tkazish ma'lumotlarini tekshirish")</f>
        <v>1</v>
      </c>
      <c r="BT168" s="11">
        <f>+COUNTIFS('muddati otgan'!C:C,A168,'muddati otgan'!J:J,"Kamchiliklar bo'yicha habarnoma yuborish va 3 kunga to'xtatish")</f>
        <v>0</v>
      </c>
      <c r="BU168" s="11">
        <f>+COUNTIFS('muddati otgan'!C:C,A168,'muddati otgan'!J:J,"Hisobga olish")</f>
        <v>0</v>
      </c>
      <c r="BV168" s="11">
        <f>+COUNTIFS('muddati otgan'!C:C,A168,'muddati otgan'!J:J,"Yer uchastkasiga huquq yaratish")</f>
        <v>0</v>
      </c>
      <c r="BW168" s="11">
        <f>+COUNTIFS('muddati otgan'!C:C,A168,'muddati otgan'!J:J,"Bino-inshootga huquq yaratish")</f>
        <v>0</v>
      </c>
      <c r="BX168" s="11">
        <f>+COUNTIFS('muddati otgan'!C:C,A168,'muddati otgan'!J:J,"Cheklov yaratish")</f>
        <v>0</v>
      </c>
      <c r="BY168" s="11">
        <f>+COUNTIFS('muddati otgan'!C:C,A168,'muddati otgan'!J:J,"Taqiq yaratish")</f>
        <v>0</v>
      </c>
      <c r="BZ168" s="11">
        <f t="shared" si="33"/>
        <v>0</v>
      </c>
      <c r="CA168" s="11">
        <f>+COUNTIFS('muddati otgan'!C:C,A168,'muddati otgan'!J:J,"Soliq maydonini tekshirish")</f>
        <v>0</v>
      </c>
      <c r="CB168" s="11">
        <f t="shared" si="34"/>
        <v>1</v>
      </c>
      <c r="CC168" s="11">
        <f>+COUNTIFS('muddati otgan'!C:C,A168,'muddati otgan'!J:J,"Kadastr yig'majildini shakllantirish")</f>
        <v>1</v>
      </c>
      <c r="CD168" s="11">
        <f t="shared" si="35"/>
        <v>0</v>
      </c>
      <c r="CE168" s="11">
        <f>+COUNTIFS('muddati otgan'!C:C,A168,'muddati otgan'!J:J,"Kadastr passportini shakllantirish")</f>
        <v>0</v>
      </c>
      <c r="CF168" s="11">
        <f>+COUNTIFS('muddati otgan'!C:C,A168,'muddati otgan'!J:J,"Yig'ma jildni tasdiqlash")</f>
        <v>0</v>
      </c>
      <c r="CG168" s="11">
        <f>+COUNTIFS('muddati otgan'!C:C,A168,'muddati otgan'!J:J,"To'lov yoki bepul tasdiqlash")</f>
        <v>0</v>
      </c>
      <c r="CH168" s="11">
        <f>+COUNTIFS('muddati otgan'!C:C,A168,'muddati otgan'!J:J,"Bog'liq arizani kutish")</f>
        <v>0</v>
      </c>
      <c r="CI168" s="11">
        <f>+COUNTIFS('muddati otgan'!C:C,A168,'muddati otgan'!J:J,"To'lovga chiqarish")</f>
        <v>0</v>
      </c>
      <c r="CJ168" s="11">
        <f>+COUNTIFS('muddati otgan'!C:C,A168,'muddati otgan'!J:J,"Hisobga qo'yish")</f>
        <v>0</v>
      </c>
      <c r="CK168" s="6">
        <f>+COUNTIFS('muddati otgan'!C:C,A168,'muddati otgan'!J:J,"To'lov kutilmoqda")</f>
        <v>0</v>
      </c>
      <c r="CL168" s="11">
        <f t="shared" si="36"/>
        <v>0</v>
      </c>
      <c r="CM168" s="11">
        <f>+COUNTIFS('muddati otgan'!C:C,A168,'muddati otgan'!AA:AA,"Arizani qabul qilish2")</f>
        <v>0</v>
      </c>
      <c r="CN168" s="11">
        <f>+COUNTIFS('muddati otgan'!C:C,A168,'muddati otgan'!J:J,"Huquqlarni tekshirish")</f>
        <v>0</v>
      </c>
      <c r="CO168" s="11">
        <f>+COUNTIFS('muddati otgan'!C:C,A168,'muddati otgan'!J:J,"Ko'chmas mulkni ro'yhatdan o'tkazishga qabul qilish")</f>
        <v>0</v>
      </c>
      <c r="CP168" s="11">
        <f>+COUNTIFS('muddati otgan'!C:C,A168,'muddati otgan'!J:J,"Ro'yxatdan o'tkazish")</f>
        <v>0</v>
      </c>
      <c r="CQ168" s="11">
        <f>+COUNTIFS('muddati otgan'!C:C,A168,'muddati otgan'!J:J,"Kadastr pasporti va ko'chirmani yuborish")</f>
        <v>0</v>
      </c>
      <c r="CR168" s="11">
        <f>+COUNTIFS('muddati otgan'!C:C,A168,'muddati otgan'!AA:AA,"Rad qilish2")</f>
        <v>0</v>
      </c>
      <c r="CS168" s="11">
        <f>+COUNTIFS('muddati otgan'!C:C,A168,'muddati otgan'!J:J,"Ko'chirmani yuborish")</f>
        <v>0</v>
      </c>
      <c r="CT168" s="11">
        <f>+COUNTIFS('muddati otgan'!C:C,A168,'muddati otgan'!J:J,"Ma‘lumotlarni tekshirish")</f>
        <v>0</v>
      </c>
      <c r="CU168" s="11">
        <f t="shared" si="37"/>
        <v>0</v>
      </c>
      <c r="CV168" s="11">
        <f>+COUNTIFS('muddati otgan'!C:C,A168,'muddati otgan'!J:J,"Kadastr yig'majildini chop etish va arxiv ishiga tikish")</f>
        <v>0</v>
      </c>
      <c r="CW168" s="11">
        <f t="shared" si="38"/>
        <v>0</v>
      </c>
      <c r="CX168" s="11">
        <f>+COUNTIFS('muddati otgan'!C:C,A168,'muddati otgan'!J:J,"Kadastr yig‘majildini qabul qilish, arizani yakunlash")</f>
        <v>0</v>
      </c>
      <c r="CY168" s="11">
        <f>+COUNTIFS('muddati otgan'!C:C,A168,'muddati otgan'!J:J,"Next Cloudga yuklash")</f>
        <v>0</v>
      </c>
      <c r="CZ168" s="6">
        <f>+COUNTIFS('muddati otgan'!C:C,A168,'muddati otgan'!J:J,"Kelishish kutilmoqda")</f>
        <v>0</v>
      </c>
      <c r="DA168" s="6">
        <f>+COUNTIFS('muddati otgan'!C:C,A168,'muddati otgan'!J:J,"Yakunlandi")</f>
        <v>1</v>
      </c>
      <c r="DB168" s="10">
        <f>+COUNTIFS('muddati otgan'!C:C,A168,'muddati otgan'!J:J,"Rad etildi")</f>
        <v>0</v>
      </c>
      <c r="DC168" s="100">
        <f t="shared" si="5"/>
        <v>-2</v>
      </c>
      <c r="DD168" s="44">
        <f>COUNTIFS('jami 1-20 kunlik arizalar'!C:C,A:A,'jami 1-20 kunlik arizalar'!S:S,"1")</f>
        <v>0</v>
      </c>
      <c r="DE168" s="11">
        <f>COUNTIFS('jami 1-20 kunlik arizalar'!C:C,A:A,'jami 1-20 kunlik arizalar'!S:S,"2")</f>
        <v>0</v>
      </c>
      <c r="DF168" s="11">
        <f>COUNTIFS('jami 1-20 kunlik arizalar'!C:C,A:A,'jami 1-20 kunlik arizalar'!S:S,"3")</f>
        <v>3</v>
      </c>
      <c r="DG168" s="11">
        <f>COUNTIFS('jami 1-20 kunlik arizalar'!C:C,A:A,'jami 1-20 kunlik arizalar'!S:S,"4")</f>
        <v>3</v>
      </c>
      <c r="DH168" s="11">
        <f>COUNTIFS('jami 1-20 kunlik arizalar'!C:C,A:A,'jami 1-20 kunlik arizalar'!S:S,"5")</f>
        <v>2</v>
      </c>
      <c r="DI168" s="11">
        <f>SUM(COUNTIFS('jami 1-20 kunlik arizalar'!C:C,A:A, 'jami 1-20 kunlik arizalar'!S:S, {6,7,8,9,10}))</f>
        <v>7</v>
      </c>
      <c r="DJ168" s="12">
        <f>SUM(COUNTIFS('jami 1-20 kunlik arizalar'!C:C,A:A, 'jami 1-20 kunlik arizalar'!S:S, "&gt;10"))</f>
        <v>5</v>
      </c>
    </row>
    <row r="169" spans="1:115" ht="35.1" hidden="1" customHeight="1" outlineLevel="1" x14ac:dyDescent="0.25">
      <c r="A169" s="92" t="s">
        <v>725</v>
      </c>
      <c r="B169" s="74"/>
      <c r="C169" s="85" t="s">
        <v>865</v>
      </c>
      <c r="D169" s="80">
        <f>+COUNTIFS('muddati otgan'!C:C,A169,'muddati otgan'!C:C,A169)</f>
        <v>0</v>
      </c>
      <c r="E169" s="10">
        <f>SUMIFS('muddati otgan'!$V:V,'muddati otgan'!$C:C,$A:A)</f>
        <v>0</v>
      </c>
      <c r="F169" s="10">
        <f>SUMIFS('muddati otgan'!$W:W,'muddati otgan'!$C:C,$A:A)</f>
        <v>0</v>
      </c>
      <c r="G169" s="24">
        <f>SUMIFS('muddati otgan'!$U:U,'muddati otgan'!$C:C,$A:A)</f>
        <v>0</v>
      </c>
      <c r="H169" s="11">
        <f>SUMIFS('muddati otgan'!$G:G,'muddati otgan'!$C:C,$A:A)</f>
        <v>0</v>
      </c>
      <c r="I169" s="12">
        <f>SUMIFS('muddati otgan'!$H:H,'muddati otgan'!$C:C,$A:A)</f>
        <v>0</v>
      </c>
      <c r="J169" s="44">
        <f t="shared" si="23"/>
        <v>0</v>
      </c>
      <c r="K169" s="11">
        <f>+COUNTIFS('muddati otgan'!C:C,A169,'muddati otgan'!AA:AA,"Arizani qabul qilish")</f>
        <v>0</v>
      </c>
      <c r="L169" s="11">
        <f>+COUNTIFS('muddati otgan'!C:C,A169,'muddati otgan'!J:J,"Arizani rad etish")</f>
        <v>0</v>
      </c>
      <c r="M169" s="11">
        <f>+COUNTIFS('muddati otgan'!C:C,A169,'muddati otgan'!J:J,"Arizani tasdiqlash")</f>
        <v>0</v>
      </c>
      <c r="N169" s="11">
        <f>+COUNTIFS('muddati otgan'!C:C,A169,'muddati otgan'!J:J,"Arizani yo'naltirish")</f>
        <v>0</v>
      </c>
      <c r="O169" s="11">
        <f>+COUNTIFS('muddati otgan'!C:C,A169,'muddati otgan'!J:J,"Rad qilish sababini o'rganish")</f>
        <v>0</v>
      </c>
      <c r="P169" s="11">
        <f>+COUNTIFS('muddati otgan'!C:C,A169,'muddati otgan'!J:J,"Ko'chmas mulkni UZKAD ga migratsiya qilish")</f>
        <v>0</v>
      </c>
      <c r="Q169" s="11">
        <f>+COUNTIFS('muddati otgan'!C:C,A169,'muddati otgan'!J:J,"Migratisya qilingan obyekt holatini tekshirish")</f>
        <v>0</v>
      </c>
      <c r="R169" s="11">
        <f>+COUNTIFS('muddati otgan'!C:C,A169,'muddati otgan'!J:J,"Ko‘chmas mulkni tanlash")</f>
        <v>0</v>
      </c>
      <c r="S169" s="11">
        <f>+COUNTIFS('muddati otgan'!C:C,A169,'muddati otgan'!J:J,"Arizani ko'rib chiqish")</f>
        <v>0</v>
      </c>
      <c r="T169" s="11">
        <f>+COUNTIFS('muddati otgan'!C:C,A169,'muddati otgan'!J:J,"Kadastr muhandisini tanlash")</f>
        <v>0</v>
      </c>
      <c r="U169" s="11">
        <f>+COUNTIFS('muddati otgan'!C:C,A169,'muddati otgan'!J:J,"Ko'chmas mulk turini tanlahsh")</f>
        <v>0</v>
      </c>
      <c r="V169" s="11">
        <f>+COUNTIFS('muddati otgan'!C:C,A169,'muddati otgan'!AA:AA,"Rad qilish")</f>
        <v>0</v>
      </c>
      <c r="W169" s="11">
        <f>+COUNTIFS('muddati otgan'!C:C,A169,'muddati otgan'!J:J,"ijrochi tanlash")</f>
        <v>0</v>
      </c>
      <c r="X169" s="11">
        <f>+COUNTIFS('muddati otgan'!C:C,A169,'muddati otgan'!J:J,"Ko'chmas mulk turini tanlash")</f>
        <v>0</v>
      </c>
      <c r="Y169" s="11">
        <f t="shared" si="24"/>
        <v>0</v>
      </c>
      <c r="Z169" s="11">
        <f>+COUNTIFS('muddati otgan'!C:C,A169,'muddati otgan'!J:J,"Ijroga qabul qilish")</f>
        <v>0</v>
      </c>
      <c r="AA169" s="11">
        <f>+COUNTIFS('muddati otgan'!C:C,A169,'muddati otgan'!J:J,"Joyida o'rganish va ma'lumotlarni kiritish")</f>
        <v>0</v>
      </c>
      <c r="AB169" s="11">
        <f>+COUNTIFS('muddati otgan'!C:C,A169,'muddati otgan'!J:J,"Asosiy qismdan ajratish jarayonida")</f>
        <v>0</v>
      </c>
      <c r="AC169" s="11">
        <f>+COUNTIFS('muddati otgan'!C:C,A169,'muddati otgan'!J:J,"Umumiy foydalanishdagi obyekt yaratilish")</f>
        <v>0</v>
      </c>
      <c r="AD169" s="11">
        <f>+COUNTIFS('muddati otgan'!C:C,A169,'muddati otgan'!J:J,"Migratsiya qilinadigan kadastr raqamini kiritish")</f>
        <v>0</v>
      </c>
      <c r="AE169" s="11">
        <f>+COUNTIFS('muddati otgan'!C:C,A169,'muddati otgan'!J:J,"O'zida qolgan obyektni yaratish")</f>
        <v>0</v>
      </c>
      <c r="AF169" s="11">
        <f>+COUNTIFS('muddati otgan'!C:C,A169,'muddati otgan'!J:J,"O'lchov natijalarini kiritish")</f>
        <v>0</v>
      </c>
      <c r="AG169" s="11">
        <f>+COUNTIFS('muddati otgan'!C:C,A169,'muddati otgan'!J:J,"Topoxaritani tayyorlash (dwg, pdf)")</f>
        <v>0</v>
      </c>
      <c r="AH169" s="11">
        <f t="shared" si="25"/>
        <v>0</v>
      </c>
      <c r="AI169" s="11">
        <f>+COUNTIFS('muddati otgan'!C:C,A169,'muddati otgan'!J:J,"Yer uchastkasini yaratish")</f>
        <v>0</v>
      </c>
      <c r="AJ169" s="11">
        <f t="shared" si="26"/>
        <v>0</v>
      </c>
      <c r="AK169" s="11">
        <f>+COUNTIFS('muddati otgan'!C:C,A169,'muddati otgan'!J:J,"Kelishish (Boshqarma)")</f>
        <v>0</v>
      </c>
      <c r="AL169" s="11">
        <f t="shared" si="27"/>
        <v>0</v>
      </c>
      <c r="AM169" s="11">
        <f>+COUNTIFS('muddati otgan'!C:C,A169,'muddati otgan'!J:J,"Kelishish (DKP)")</f>
        <v>0</v>
      </c>
      <c r="AN169" s="11">
        <f>+COUNTIFS('muddati otgan'!C:C,A169,'muddati otgan'!J:J,"Kelishish")</f>
        <v>0</v>
      </c>
      <c r="AO169" s="11">
        <f>+COUNTIFS('muddati otgan'!C:C,A169,'muddati otgan'!J:J,"Kelishish (Registratsiya DKP)")</f>
        <v>0</v>
      </c>
      <c r="AP169" s="11">
        <f t="shared" si="28"/>
        <v>0</v>
      </c>
      <c r="AQ169" s="11">
        <f>+COUNTIFS('muddati otgan'!C:C,A169,'muddati otgan'!J:J,"Manzil biriktirish")</f>
        <v>0</v>
      </c>
      <c r="AR169" s="11">
        <f>+COUNTIFS('muddati otgan'!C:C,A169,'muddati otgan'!J:J,"Bino va inshootlarni yaratish")</f>
        <v>0</v>
      </c>
      <c r="AS169" s="11">
        <f>+COUNTIFS('muddati otgan'!C:C,A169,'muddati otgan'!J:J,"Dov daraxtlarni yaratish")</f>
        <v>0</v>
      </c>
      <c r="AT169" s="11">
        <f>+COUNTIFS('muddati otgan'!C:C,A169,'muddati otgan'!J:J,"Yer uchastkasini tahrirlash")</f>
        <v>0</v>
      </c>
      <c r="AU169" s="11">
        <f t="shared" si="29"/>
        <v>0</v>
      </c>
      <c r="AV169" s="11">
        <f>+COUNTIFS('muddati otgan'!C:C,A169,'muddati otgan'!J:J,"Yer toifasi va maqsadini kiritish")</f>
        <v>0</v>
      </c>
      <c r="AW169" s="11">
        <f>+COUNTIFS('muddati otgan'!C:C,A169,'muddati otgan'!J:J,"Auksion yer tekshirish")</f>
        <v>0</v>
      </c>
      <c r="AX169" s="11">
        <f>+COUNTIFS('muddati otgan'!C:C,A169,'muddati otgan'!J:J,"Yer turlarini kiritish")</f>
        <v>0</v>
      </c>
      <c r="AY169" s="11">
        <f>+COUNTIFS('muddati otgan'!C:C,A169,'muddati otgan'!J:J,"Ma'lumotlarni kiritish")</f>
        <v>0</v>
      </c>
      <c r="AZ169" s="11">
        <f>+COUNTIFS('muddati otgan'!C:C,A169,'muddati otgan'!J:J,"Yer tekshirish")</f>
        <v>0</v>
      </c>
      <c r="BA169" s="11">
        <f t="shared" si="30"/>
        <v>0</v>
      </c>
      <c r="BB169" s="11">
        <f>+COUNTIFS('muddati otgan'!C:C,A169,'muddati otgan'!J:J,"Bino va inshoot ma'lumotlarini to‘ldirish")</f>
        <v>0</v>
      </c>
      <c r="BC169" s="11">
        <f>+COUNTIFS('muddati otgan'!C:C,A169,'muddati otgan'!J:J,"Inventarizatsiya ma'lumotlarini to‘ldirish")</f>
        <v>0</v>
      </c>
      <c r="BD169" s="11">
        <f>+COUNTIFS('muddati otgan'!C:C,A169,'muddati otgan'!J:J,"Yer uchastkasiga huquqiy hujjatlarni kiritsh")</f>
        <v>0</v>
      </c>
      <c r="BE169" s="11">
        <f>+COUNTIFS('muddati otgan'!C:C,A169,'muddati otgan'!J:J,"Bino-inshootlarga huquqiy hujjatlarni kiritsh")</f>
        <v>0</v>
      </c>
      <c r="BF169" s="11">
        <f>+COUNTIFS('muddati otgan'!C:C,A169,'muddati otgan'!J:J,"Kadastr qiymatini hisoblash va kiritish")</f>
        <v>0</v>
      </c>
      <c r="BG169" s="11">
        <f>+COUNTIFS('muddati otgan'!C:C,A169,'muddati otgan'!J:J,"Kadastr raqam biriktirish")</f>
        <v>0</v>
      </c>
      <c r="BH169" s="11">
        <f>+COUNTIFS('muddati otgan'!C:C,A169,'muddati otgan'!J:J,"Kadastr yig'ma jildni tayyorlash")</f>
        <v>0</v>
      </c>
      <c r="BI169" s="11">
        <f>+COUNTIFS('muddati otgan'!C:C,A169,'muddati otgan'!J:J,"Huquqni yaratish")</f>
        <v>0</v>
      </c>
      <c r="BJ169" s="11">
        <f>+COUNTIFS('muddati otgan'!C:C,A169,'muddati otgan'!J:J,"Hujjatlarni o'rganish")</f>
        <v>0</v>
      </c>
      <c r="BK169" s="11">
        <f>+COUNTIFS('muddati otgan'!C:C,A169,'muddati otgan'!J:J,"Ma'lumotlarni tekshirish")</f>
        <v>0</v>
      </c>
      <c r="BL169" s="11">
        <f t="shared" si="31"/>
        <v>0</v>
      </c>
      <c r="BM169" s="11">
        <f>+COUNTIFS('muddati otgan'!C:C,A169,'muddati otgan'!J:J,"Tekshirish")</f>
        <v>0</v>
      </c>
      <c r="BN169" s="11">
        <f>+COUNTIFS('muddati otgan'!C:C,A169,'muddati otgan'!J:J,"Hujjatlarni tekshirish")</f>
        <v>0</v>
      </c>
      <c r="BO169" s="11">
        <f>+COUNTIFS('muddati otgan'!C:C,A169,'muddati otgan'!J:J,"Tasdiqlash")</f>
        <v>0</v>
      </c>
      <c r="BP169" s="11">
        <f>+COUNTIFS('muddati otgan'!C:C,A169,'muddati otgan'!J:J,"tekshirish/tasdiqlash")</f>
        <v>0</v>
      </c>
      <c r="BQ169" s="11">
        <f>+COUNTIFS('muddati otgan'!C:C,A169,'muddati otgan'!J:J,"Ma'lumotlarni tasdiqlash")</f>
        <v>0</v>
      </c>
      <c r="BR169" s="11">
        <f t="shared" si="32"/>
        <v>0</v>
      </c>
      <c r="BS169" s="11">
        <f>+COUNTIFS('muddati otgan'!C:C,A169,'muddati otgan'!J:J,"Ro'yxatdan o'tkazish ma'lumotlarini tekshirish")</f>
        <v>0</v>
      </c>
      <c r="BT169" s="11">
        <f>+COUNTIFS('muddati otgan'!C:C,A169,'muddati otgan'!J:J,"Kamchiliklar bo'yicha habarnoma yuborish va 3 kunga to'xtatish")</f>
        <v>0</v>
      </c>
      <c r="BU169" s="11">
        <f>+COUNTIFS('muddati otgan'!C:C,A169,'muddati otgan'!J:J,"Hisobga olish")</f>
        <v>0</v>
      </c>
      <c r="BV169" s="11">
        <f>+COUNTIFS('muddati otgan'!C:C,A169,'muddati otgan'!J:J,"Yer uchastkasiga huquq yaratish")</f>
        <v>0</v>
      </c>
      <c r="BW169" s="11">
        <f>+COUNTIFS('muddati otgan'!C:C,A169,'muddati otgan'!J:J,"Bino-inshootga huquq yaratish")</f>
        <v>0</v>
      </c>
      <c r="BX169" s="11">
        <f>+COUNTIFS('muddati otgan'!C:C,A169,'muddati otgan'!J:J,"Cheklov yaratish")</f>
        <v>0</v>
      </c>
      <c r="BY169" s="11">
        <f>+COUNTIFS('muddati otgan'!C:C,A169,'muddati otgan'!J:J,"Taqiq yaratish")</f>
        <v>0</v>
      </c>
      <c r="BZ169" s="11">
        <f t="shared" si="33"/>
        <v>0</v>
      </c>
      <c r="CA169" s="11">
        <f>+COUNTIFS('muddati otgan'!C:C,A169,'muddati otgan'!J:J,"Soliq maydonini tekshirish")</f>
        <v>0</v>
      </c>
      <c r="CB169" s="11">
        <f t="shared" si="34"/>
        <v>0</v>
      </c>
      <c r="CC169" s="11">
        <f>+COUNTIFS('muddati otgan'!C:C,A169,'muddati otgan'!J:J,"Kadastr yig'majildini shakllantirish")</f>
        <v>0</v>
      </c>
      <c r="CD169" s="11">
        <f t="shared" si="35"/>
        <v>0</v>
      </c>
      <c r="CE169" s="11">
        <f>+COUNTIFS('muddati otgan'!C:C,A169,'muddati otgan'!J:J,"Kadastr passportini shakllantirish")</f>
        <v>0</v>
      </c>
      <c r="CF169" s="11">
        <f>+COUNTIFS('muddati otgan'!C:C,A169,'muddati otgan'!J:J,"Yig'ma jildni tasdiqlash")</f>
        <v>0</v>
      </c>
      <c r="CG169" s="11">
        <f>+COUNTIFS('muddati otgan'!C:C,A169,'muddati otgan'!J:J,"To'lov yoki bepul tasdiqlash")</f>
        <v>0</v>
      </c>
      <c r="CH169" s="11">
        <f>+COUNTIFS('muddati otgan'!C:C,A169,'muddati otgan'!J:J,"Bog'liq arizani kutish")</f>
        <v>0</v>
      </c>
      <c r="CI169" s="11">
        <f>+COUNTIFS('muddati otgan'!C:C,A169,'muddati otgan'!J:J,"To'lovga chiqarish")</f>
        <v>0</v>
      </c>
      <c r="CJ169" s="11">
        <f>+COUNTIFS('muddati otgan'!C:C,A169,'muddati otgan'!J:J,"Hisobga qo'yish")</f>
        <v>0</v>
      </c>
      <c r="CK169" s="6">
        <f>+COUNTIFS('muddati otgan'!C:C,A169,'muddati otgan'!J:J,"To'lov kutilmoqda")</f>
        <v>0</v>
      </c>
      <c r="CL169" s="11">
        <f t="shared" si="36"/>
        <v>0</v>
      </c>
      <c r="CM169" s="11">
        <f>+COUNTIFS('muddati otgan'!C:C,A169,'muddati otgan'!AA:AA,"Arizani qabul qilish2")</f>
        <v>0</v>
      </c>
      <c r="CN169" s="11">
        <f>+COUNTIFS('muddati otgan'!C:C,A169,'muddati otgan'!J:J,"Huquqlarni tekshirish")</f>
        <v>0</v>
      </c>
      <c r="CO169" s="11">
        <f>+COUNTIFS('muddati otgan'!C:C,A169,'muddati otgan'!J:J,"Ko'chmas mulkni ro'yhatdan o'tkazishga qabul qilish")</f>
        <v>0</v>
      </c>
      <c r="CP169" s="11">
        <f>+COUNTIFS('muddati otgan'!C:C,A169,'muddati otgan'!J:J,"Ro'yxatdan o'tkazish")</f>
        <v>0</v>
      </c>
      <c r="CQ169" s="11">
        <f>+COUNTIFS('muddati otgan'!C:C,A169,'muddati otgan'!J:J,"Kadastr pasporti va ko'chirmani yuborish")</f>
        <v>0</v>
      </c>
      <c r="CR169" s="11">
        <f>+COUNTIFS('muddati otgan'!C:C,A169,'muddati otgan'!AA:AA,"Rad qilish2")</f>
        <v>0</v>
      </c>
      <c r="CS169" s="11">
        <f>+COUNTIFS('muddati otgan'!C:C,A169,'muddati otgan'!J:J,"Ko'chirmani yuborish")</f>
        <v>0</v>
      </c>
      <c r="CT169" s="11">
        <f>+COUNTIFS('muddati otgan'!C:C,A169,'muddati otgan'!J:J,"Ma‘lumotlarni tekshirish")</f>
        <v>0</v>
      </c>
      <c r="CU169" s="11">
        <f t="shared" si="37"/>
        <v>0</v>
      </c>
      <c r="CV169" s="11">
        <f>+COUNTIFS('muddati otgan'!C:C,A169,'muddati otgan'!J:J,"Kadastr yig'majildini chop etish va arxiv ishiga tikish")</f>
        <v>0</v>
      </c>
      <c r="CW169" s="11">
        <f t="shared" si="38"/>
        <v>0</v>
      </c>
      <c r="CX169" s="11">
        <f>+COUNTIFS('muddati otgan'!C:C,A169,'muddati otgan'!J:J,"Kadastr yig‘majildini qabul qilish, arizani yakunlash")</f>
        <v>0</v>
      </c>
      <c r="CY169" s="11">
        <f>+COUNTIFS('muddati otgan'!C:C,A169,'muddati otgan'!J:J,"Next Cloudga yuklash")</f>
        <v>0</v>
      </c>
      <c r="CZ169" s="6">
        <f>+COUNTIFS('muddati otgan'!C:C,A169,'muddati otgan'!J:J,"Kelishish kutilmoqda")</f>
        <v>0</v>
      </c>
      <c r="DA169" s="6">
        <f>+COUNTIFS('muddati otgan'!C:C,A169,'muddati otgan'!J:J,"Yakunlandi")</f>
        <v>0</v>
      </c>
      <c r="DB169" s="10">
        <f>+COUNTIFS('muddati otgan'!C:C,A169,'muddati otgan'!J:J,"Rad etildi")</f>
        <v>0</v>
      </c>
      <c r="DC169" s="100">
        <f t="shared" si="5"/>
        <v>0</v>
      </c>
      <c r="DD169" s="44">
        <f>COUNTIFS('jami 1-20 kunlik arizalar'!C:C,A:A,'jami 1-20 kunlik arizalar'!S:S,"1")</f>
        <v>0</v>
      </c>
      <c r="DE169" s="11">
        <f>COUNTIFS('jami 1-20 kunlik arizalar'!C:C,A:A,'jami 1-20 kunlik arizalar'!S:S,"2")</f>
        <v>0</v>
      </c>
      <c r="DF169" s="11">
        <f>COUNTIFS('jami 1-20 kunlik arizalar'!C:C,A:A,'jami 1-20 kunlik arizalar'!S:S,"3")</f>
        <v>0</v>
      </c>
      <c r="DG169" s="11">
        <f>COUNTIFS('jami 1-20 kunlik arizalar'!C:C,A:A,'jami 1-20 kunlik arizalar'!S:S,"4")</f>
        <v>0</v>
      </c>
      <c r="DH169" s="11">
        <f>COUNTIFS('jami 1-20 kunlik arizalar'!C:C,A:A,'jami 1-20 kunlik arizalar'!S:S,"5")</f>
        <v>0</v>
      </c>
      <c r="DI169" s="11">
        <f>SUM(COUNTIFS('jami 1-20 kunlik arizalar'!C:C,A:A, 'jami 1-20 kunlik arizalar'!S:S, {6,7,8,9,10}))</f>
        <v>0</v>
      </c>
      <c r="DJ169" s="12">
        <f>SUM(COUNTIFS('jami 1-20 kunlik arizalar'!C:C,A:A, 'jami 1-20 kunlik arizalar'!S:S, "&gt;10"))</f>
        <v>0</v>
      </c>
    </row>
    <row r="170" spans="1:115" ht="35.1" hidden="1" customHeight="1" outlineLevel="1" x14ac:dyDescent="0.25">
      <c r="A170" s="92" t="s">
        <v>721</v>
      </c>
      <c r="B170" s="74"/>
      <c r="C170" s="85" t="s">
        <v>866</v>
      </c>
      <c r="D170" s="80">
        <f>+COUNTIFS('muddati otgan'!C:C,A170,'muddati otgan'!C:C,A170)</f>
        <v>2</v>
      </c>
      <c r="E170" s="10">
        <f>SUMIFS('muddati otgan'!$V:V,'muddati otgan'!$C:C,$A:A)</f>
        <v>0</v>
      </c>
      <c r="F170" s="10">
        <f>SUMIFS('muddati otgan'!$W:W,'muddati otgan'!$C:C,$A:A)</f>
        <v>1</v>
      </c>
      <c r="G170" s="24">
        <f>SUMIFS('muddati otgan'!$U:U,'muddati otgan'!$C:C,$A:A)</f>
        <v>1</v>
      </c>
      <c r="H170" s="11">
        <f>SUMIFS('muddati otgan'!$G:G,'muddati otgan'!$C:C,$A:A)</f>
        <v>2</v>
      </c>
      <c r="I170" s="12">
        <f>SUMIFS('muddati otgan'!$H:H,'muddati otgan'!$C:C,$A:A)</f>
        <v>0</v>
      </c>
      <c r="J170" s="44">
        <f t="shared" si="23"/>
        <v>0</v>
      </c>
      <c r="K170" s="11">
        <f>+COUNTIFS('muddati otgan'!C:C,A170,'muddati otgan'!AA:AA,"Arizani qabul qilish")</f>
        <v>0</v>
      </c>
      <c r="L170" s="11">
        <f>+COUNTIFS('muddati otgan'!C:C,A170,'muddati otgan'!J:J,"Arizani rad etish")</f>
        <v>0</v>
      </c>
      <c r="M170" s="11">
        <f>+COUNTIFS('muddati otgan'!C:C,A170,'muddati otgan'!J:J,"Arizani tasdiqlash")</f>
        <v>0</v>
      </c>
      <c r="N170" s="11">
        <f>+COUNTIFS('muddati otgan'!C:C,A170,'muddati otgan'!J:J,"Arizani yo'naltirish")</f>
        <v>0</v>
      </c>
      <c r="O170" s="11">
        <f>+COUNTIFS('muddati otgan'!C:C,A170,'muddati otgan'!J:J,"Rad qilish sababini o'rganish")</f>
        <v>0</v>
      </c>
      <c r="P170" s="11">
        <f>+COUNTIFS('muddati otgan'!C:C,A170,'muddati otgan'!J:J,"Ko'chmas mulkni UZKAD ga migratsiya qilish")</f>
        <v>0</v>
      </c>
      <c r="Q170" s="11">
        <f>+COUNTIFS('muddati otgan'!C:C,A170,'muddati otgan'!J:J,"Migratisya qilingan obyekt holatini tekshirish")</f>
        <v>0</v>
      </c>
      <c r="R170" s="11">
        <f>+COUNTIFS('muddati otgan'!C:C,A170,'muddati otgan'!J:J,"Ko‘chmas mulkni tanlash")</f>
        <v>0</v>
      </c>
      <c r="S170" s="11">
        <f>+COUNTIFS('muddati otgan'!C:C,A170,'muddati otgan'!J:J,"Arizani ko'rib chiqish")</f>
        <v>0</v>
      </c>
      <c r="T170" s="11">
        <f>+COUNTIFS('muddati otgan'!C:C,A170,'muddati otgan'!J:J,"Kadastr muhandisini tanlash")</f>
        <v>0</v>
      </c>
      <c r="U170" s="11">
        <f>+COUNTIFS('muddati otgan'!C:C,A170,'muddati otgan'!J:J,"Ko'chmas mulk turini tanlahsh")</f>
        <v>0</v>
      </c>
      <c r="V170" s="11">
        <f>+COUNTIFS('muddati otgan'!C:C,A170,'muddati otgan'!AA:AA,"Rad qilish")</f>
        <v>0</v>
      </c>
      <c r="W170" s="11">
        <f>+COUNTIFS('muddati otgan'!C:C,A170,'muddati otgan'!J:J,"ijrochi tanlash")</f>
        <v>0</v>
      </c>
      <c r="X170" s="11">
        <f>+COUNTIFS('muddati otgan'!C:C,A170,'muddati otgan'!J:J,"Ko'chmas mulk turini tanlash")</f>
        <v>0</v>
      </c>
      <c r="Y170" s="11">
        <f t="shared" si="24"/>
        <v>0</v>
      </c>
      <c r="Z170" s="11">
        <f>+COUNTIFS('muddati otgan'!C:C,A170,'muddati otgan'!J:J,"Ijroga qabul qilish")</f>
        <v>0</v>
      </c>
      <c r="AA170" s="11">
        <f>+COUNTIFS('muddati otgan'!C:C,A170,'muddati otgan'!J:J,"Joyida o'rganish va ma'lumotlarni kiritish")</f>
        <v>0</v>
      </c>
      <c r="AB170" s="11">
        <f>+COUNTIFS('muddati otgan'!C:C,A170,'muddati otgan'!J:J,"Asosiy qismdan ajratish jarayonida")</f>
        <v>0</v>
      </c>
      <c r="AC170" s="11">
        <f>+COUNTIFS('muddati otgan'!C:C,A170,'muddati otgan'!J:J,"Umumiy foydalanishdagi obyekt yaratilish")</f>
        <v>0</v>
      </c>
      <c r="AD170" s="11">
        <f>+COUNTIFS('muddati otgan'!C:C,A170,'muddati otgan'!J:J,"Migratsiya qilinadigan kadastr raqamini kiritish")</f>
        <v>0</v>
      </c>
      <c r="AE170" s="11">
        <f>+COUNTIFS('muddati otgan'!C:C,A170,'muddati otgan'!J:J,"O'zida qolgan obyektni yaratish")</f>
        <v>0</v>
      </c>
      <c r="AF170" s="11">
        <f>+COUNTIFS('muddati otgan'!C:C,A170,'muddati otgan'!J:J,"O'lchov natijalarini kiritish")</f>
        <v>0</v>
      </c>
      <c r="AG170" s="11">
        <f>+COUNTIFS('muddati otgan'!C:C,A170,'muddati otgan'!J:J,"Topoxaritani tayyorlash (dwg, pdf)")</f>
        <v>0</v>
      </c>
      <c r="AH170" s="11">
        <f t="shared" si="25"/>
        <v>0</v>
      </c>
      <c r="AI170" s="11">
        <f>+COUNTIFS('muddati otgan'!C:C,A170,'muddati otgan'!J:J,"Yer uchastkasini yaratish")</f>
        <v>0</v>
      </c>
      <c r="AJ170" s="11">
        <f t="shared" si="26"/>
        <v>0</v>
      </c>
      <c r="AK170" s="11">
        <f>+COUNTIFS('muddati otgan'!C:C,A170,'muddati otgan'!J:J,"Kelishish (Boshqarma)")</f>
        <v>0</v>
      </c>
      <c r="AL170" s="11">
        <f t="shared" si="27"/>
        <v>0</v>
      </c>
      <c r="AM170" s="11">
        <f>+COUNTIFS('muddati otgan'!C:C,A170,'muddati otgan'!J:J,"Kelishish (DKP)")</f>
        <v>0</v>
      </c>
      <c r="AN170" s="11">
        <f>+COUNTIFS('muddati otgan'!C:C,A170,'muddati otgan'!J:J,"Kelishish")</f>
        <v>0</v>
      </c>
      <c r="AO170" s="11">
        <f>+COUNTIFS('muddati otgan'!C:C,A170,'muddati otgan'!J:J,"Kelishish (Registratsiya DKP)")</f>
        <v>0</v>
      </c>
      <c r="AP170" s="11">
        <f t="shared" si="28"/>
        <v>0</v>
      </c>
      <c r="AQ170" s="11">
        <f>+COUNTIFS('muddati otgan'!C:C,A170,'muddati otgan'!J:J,"Manzil biriktirish")</f>
        <v>0</v>
      </c>
      <c r="AR170" s="11">
        <f>+COUNTIFS('muddati otgan'!C:C,A170,'muddati otgan'!J:J,"Bino va inshootlarni yaratish")</f>
        <v>0</v>
      </c>
      <c r="AS170" s="11">
        <f>+COUNTIFS('muddati otgan'!C:C,A170,'muddati otgan'!J:J,"Dov daraxtlarni yaratish")</f>
        <v>0</v>
      </c>
      <c r="AT170" s="11">
        <f>+COUNTIFS('muddati otgan'!C:C,A170,'muddati otgan'!J:J,"Yer uchastkasini tahrirlash")</f>
        <v>0</v>
      </c>
      <c r="AU170" s="11">
        <f t="shared" si="29"/>
        <v>0</v>
      </c>
      <c r="AV170" s="11">
        <f>+COUNTIFS('muddati otgan'!C:C,A170,'muddati otgan'!J:J,"Yer toifasi va maqsadini kiritish")</f>
        <v>0</v>
      </c>
      <c r="AW170" s="11">
        <f>+COUNTIFS('muddati otgan'!C:C,A170,'muddati otgan'!J:J,"Auksion yer tekshirish")</f>
        <v>0</v>
      </c>
      <c r="AX170" s="11">
        <f>+COUNTIFS('muddati otgan'!C:C,A170,'muddati otgan'!J:J,"Yer turlarini kiritish")</f>
        <v>0</v>
      </c>
      <c r="AY170" s="11">
        <f>+COUNTIFS('muddati otgan'!C:C,A170,'muddati otgan'!J:J,"Ma'lumotlarni kiritish")</f>
        <v>0</v>
      </c>
      <c r="AZ170" s="11">
        <f>+COUNTIFS('muddati otgan'!C:C,A170,'muddati otgan'!J:J,"Yer tekshirish")</f>
        <v>0</v>
      </c>
      <c r="BA170" s="11">
        <f t="shared" si="30"/>
        <v>0</v>
      </c>
      <c r="BB170" s="11">
        <f>+COUNTIFS('muddati otgan'!C:C,A170,'muddati otgan'!J:J,"Bino va inshoot ma'lumotlarini to‘ldirish")</f>
        <v>0</v>
      </c>
      <c r="BC170" s="11">
        <f>+COUNTIFS('muddati otgan'!C:C,A170,'muddati otgan'!J:J,"Inventarizatsiya ma'lumotlarini to‘ldirish")</f>
        <v>0</v>
      </c>
      <c r="BD170" s="11">
        <f>+COUNTIFS('muddati otgan'!C:C,A170,'muddati otgan'!J:J,"Yer uchastkasiga huquqiy hujjatlarni kiritsh")</f>
        <v>0</v>
      </c>
      <c r="BE170" s="11">
        <f>+COUNTIFS('muddati otgan'!C:C,A170,'muddati otgan'!J:J,"Bino-inshootlarga huquqiy hujjatlarni kiritsh")</f>
        <v>0</v>
      </c>
      <c r="BF170" s="11">
        <f>+COUNTIFS('muddati otgan'!C:C,A170,'muddati otgan'!J:J,"Kadastr qiymatini hisoblash va kiritish")</f>
        <v>0</v>
      </c>
      <c r="BG170" s="11">
        <f>+COUNTIFS('muddati otgan'!C:C,A170,'muddati otgan'!J:J,"Kadastr raqam biriktirish")</f>
        <v>0</v>
      </c>
      <c r="BH170" s="11">
        <f>+COUNTIFS('muddati otgan'!C:C,A170,'muddati otgan'!J:J,"Kadastr yig'ma jildni tayyorlash")</f>
        <v>0</v>
      </c>
      <c r="BI170" s="11">
        <f>+COUNTIFS('muddati otgan'!C:C,A170,'muddati otgan'!J:J,"Huquqni yaratish")</f>
        <v>0</v>
      </c>
      <c r="BJ170" s="11">
        <f>+COUNTIFS('muddati otgan'!C:C,A170,'muddati otgan'!J:J,"Hujjatlarni o'rganish")</f>
        <v>0</v>
      </c>
      <c r="BK170" s="11">
        <f>+COUNTIFS('muddati otgan'!C:C,A170,'muddati otgan'!J:J,"Ma'lumotlarni tekshirish")</f>
        <v>0</v>
      </c>
      <c r="BL170" s="11">
        <f t="shared" si="31"/>
        <v>0</v>
      </c>
      <c r="BM170" s="11">
        <f>+COUNTIFS('muddati otgan'!C:C,A170,'muddati otgan'!J:J,"Tekshirish")</f>
        <v>0</v>
      </c>
      <c r="BN170" s="11">
        <f>+COUNTIFS('muddati otgan'!C:C,A170,'muddati otgan'!J:J,"Hujjatlarni tekshirish")</f>
        <v>0</v>
      </c>
      <c r="BO170" s="11">
        <f>+COUNTIFS('muddati otgan'!C:C,A170,'muddati otgan'!J:J,"Tasdiqlash")</f>
        <v>0</v>
      </c>
      <c r="BP170" s="11">
        <f>+COUNTIFS('muddati otgan'!C:C,A170,'muddati otgan'!J:J,"tekshirish/tasdiqlash")</f>
        <v>0</v>
      </c>
      <c r="BQ170" s="11">
        <f>+COUNTIFS('muddati otgan'!C:C,A170,'muddati otgan'!J:J,"Ma'lumotlarni tasdiqlash")</f>
        <v>0</v>
      </c>
      <c r="BR170" s="11">
        <f t="shared" si="32"/>
        <v>1</v>
      </c>
      <c r="BS170" s="11">
        <f>+COUNTIFS('muddati otgan'!C:C,A170,'muddati otgan'!J:J,"Ro'yxatdan o'tkazish ma'lumotlarini tekshirish")</f>
        <v>1</v>
      </c>
      <c r="BT170" s="11">
        <f>+COUNTIFS('muddati otgan'!C:C,A170,'muddati otgan'!J:J,"Kamchiliklar bo'yicha habarnoma yuborish va 3 kunga to'xtatish")</f>
        <v>0</v>
      </c>
      <c r="BU170" s="11">
        <f>+COUNTIFS('muddati otgan'!C:C,A170,'muddati otgan'!J:J,"Hisobga olish")</f>
        <v>0</v>
      </c>
      <c r="BV170" s="11">
        <f>+COUNTIFS('muddati otgan'!C:C,A170,'muddati otgan'!J:J,"Yer uchastkasiga huquq yaratish")</f>
        <v>0</v>
      </c>
      <c r="BW170" s="11">
        <f>+COUNTIFS('muddati otgan'!C:C,A170,'muddati otgan'!J:J,"Bino-inshootga huquq yaratish")</f>
        <v>0</v>
      </c>
      <c r="BX170" s="11">
        <f>+COUNTIFS('muddati otgan'!C:C,A170,'muddati otgan'!J:J,"Cheklov yaratish")</f>
        <v>0</v>
      </c>
      <c r="BY170" s="11">
        <f>+COUNTIFS('muddati otgan'!C:C,A170,'muddati otgan'!J:J,"Taqiq yaratish")</f>
        <v>0</v>
      </c>
      <c r="BZ170" s="11">
        <f t="shared" si="33"/>
        <v>0</v>
      </c>
      <c r="CA170" s="11">
        <f>+COUNTIFS('muddati otgan'!C:C,A170,'muddati otgan'!J:J,"Soliq maydonini tekshirish")</f>
        <v>0</v>
      </c>
      <c r="CB170" s="11">
        <f t="shared" si="34"/>
        <v>0</v>
      </c>
      <c r="CC170" s="11">
        <f>+COUNTIFS('muddati otgan'!C:C,A170,'muddati otgan'!J:J,"Kadastr yig'majildini shakllantirish")</f>
        <v>0</v>
      </c>
      <c r="CD170" s="11">
        <f t="shared" si="35"/>
        <v>0</v>
      </c>
      <c r="CE170" s="11">
        <f>+COUNTIFS('muddati otgan'!C:C,A170,'muddati otgan'!J:J,"Kadastr passportini shakllantirish")</f>
        <v>0</v>
      </c>
      <c r="CF170" s="11">
        <f>+COUNTIFS('muddati otgan'!C:C,A170,'muddati otgan'!J:J,"Yig'ma jildni tasdiqlash")</f>
        <v>0</v>
      </c>
      <c r="CG170" s="11">
        <f>+COUNTIFS('muddati otgan'!C:C,A170,'muddati otgan'!J:J,"To'lov yoki bepul tasdiqlash")</f>
        <v>0</v>
      </c>
      <c r="CH170" s="11">
        <f>+COUNTIFS('muddati otgan'!C:C,A170,'muddati otgan'!J:J,"Bog'liq arizani kutish")</f>
        <v>0</v>
      </c>
      <c r="CI170" s="11">
        <f>+COUNTIFS('muddati otgan'!C:C,A170,'muddati otgan'!J:J,"To'lovga chiqarish")</f>
        <v>0</v>
      </c>
      <c r="CJ170" s="11">
        <f>+COUNTIFS('muddati otgan'!C:C,A170,'muddati otgan'!J:J,"Hisobga qo'yish")</f>
        <v>0</v>
      </c>
      <c r="CK170" s="6">
        <f>+COUNTIFS('muddati otgan'!C:C,A170,'muddati otgan'!J:J,"To'lov kutilmoqda")</f>
        <v>0</v>
      </c>
      <c r="CL170" s="11">
        <f t="shared" si="36"/>
        <v>0</v>
      </c>
      <c r="CM170" s="11">
        <f>+COUNTIFS('muddati otgan'!C:C,A170,'muddati otgan'!AA:AA,"Arizani qabul qilish2")</f>
        <v>0</v>
      </c>
      <c r="CN170" s="11">
        <f>+COUNTIFS('muddati otgan'!C:C,A170,'muddati otgan'!J:J,"Huquqlarni tekshirish")</f>
        <v>0</v>
      </c>
      <c r="CO170" s="11">
        <f>+COUNTIFS('muddati otgan'!C:C,A170,'muddati otgan'!J:J,"Ko'chmas mulkni ro'yhatdan o'tkazishga qabul qilish")</f>
        <v>0</v>
      </c>
      <c r="CP170" s="11">
        <f>+COUNTIFS('muddati otgan'!C:C,A170,'muddati otgan'!J:J,"Ro'yxatdan o'tkazish")</f>
        <v>0</v>
      </c>
      <c r="CQ170" s="11">
        <f>+COUNTIFS('muddati otgan'!C:C,A170,'muddati otgan'!J:J,"Kadastr pasporti va ko'chirmani yuborish")</f>
        <v>0</v>
      </c>
      <c r="CR170" s="11">
        <f>+COUNTIFS('muddati otgan'!C:C,A170,'muddati otgan'!AA:AA,"Rad qilish2")</f>
        <v>0</v>
      </c>
      <c r="CS170" s="11">
        <f>+COUNTIFS('muddati otgan'!C:C,A170,'muddati otgan'!J:J,"Ko'chirmani yuborish")</f>
        <v>0</v>
      </c>
      <c r="CT170" s="11">
        <f>+COUNTIFS('muddati otgan'!C:C,A170,'muddati otgan'!J:J,"Ma‘lumotlarni tekshirish")</f>
        <v>0</v>
      </c>
      <c r="CU170" s="11">
        <f t="shared" si="37"/>
        <v>0</v>
      </c>
      <c r="CV170" s="11">
        <f>+COUNTIFS('muddati otgan'!C:C,A170,'muddati otgan'!J:J,"Kadastr yig'majildini chop etish va arxiv ishiga tikish")</f>
        <v>0</v>
      </c>
      <c r="CW170" s="11">
        <f t="shared" si="38"/>
        <v>0</v>
      </c>
      <c r="CX170" s="11">
        <f>+COUNTIFS('muddati otgan'!C:C,A170,'muddati otgan'!J:J,"Kadastr yig‘majildini qabul qilish, arizani yakunlash")</f>
        <v>0</v>
      </c>
      <c r="CY170" s="11">
        <f>+COUNTIFS('muddati otgan'!C:C,A170,'muddati otgan'!J:J,"Next Cloudga yuklash")</f>
        <v>0</v>
      </c>
      <c r="CZ170" s="6">
        <f>+COUNTIFS('muddati otgan'!C:C,A170,'muddati otgan'!J:J,"Kelishish kutilmoqda")</f>
        <v>0</v>
      </c>
      <c r="DA170" s="6">
        <f>+COUNTIFS('muddati otgan'!C:C,A170,'muddati otgan'!J:J,"Yakunlandi")</f>
        <v>1</v>
      </c>
      <c r="DB170" s="10">
        <f>+COUNTIFS('muddati otgan'!C:C,A170,'muddati otgan'!J:J,"Rad etildi")</f>
        <v>0</v>
      </c>
      <c r="DC170" s="100">
        <f t="shared" si="5"/>
        <v>-1</v>
      </c>
      <c r="DD170" s="44">
        <f>COUNTIFS('jami 1-20 kunlik arizalar'!C:C,A:A,'jami 1-20 kunlik arizalar'!S:S,"1")</f>
        <v>0</v>
      </c>
      <c r="DE170" s="11">
        <f>COUNTIFS('jami 1-20 kunlik arizalar'!C:C,A:A,'jami 1-20 kunlik arizalar'!S:S,"2")</f>
        <v>0</v>
      </c>
      <c r="DF170" s="11">
        <f>COUNTIFS('jami 1-20 kunlik arizalar'!C:C,A:A,'jami 1-20 kunlik arizalar'!S:S,"3")</f>
        <v>1</v>
      </c>
      <c r="DG170" s="11">
        <f>COUNTIFS('jami 1-20 kunlik arizalar'!C:C,A:A,'jami 1-20 kunlik arizalar'!S:S,"4")</f>
        <v>1</v>
      </c>
      <c r="DH170" s="11">
        <f>COUNTIFS('jami 1-20 kunlik arizalar'!C:C,A:A,'jami 1-20 kunlik arizalar'!S:S,"5")</f>
        <v>2</v>
      </c>
      <c r="DI170" s="11">
        <f>SUM(COUNTIFS('jami 1-20 kunlik arizalar'!C:C,A:A, 'jami 1-20 kunlik arizalar'!S:S, {6,7,8,9,10}))</f>
        <v>10</v>
      </c>
      <c r="DJ170" s="12">
        <f>SUM(COUNTIFS('jami 1-20 kunlik arizalar'!C:C,A:A, 'jami 1-20 kunlik arizalar'!S:S, "&gt;10"))</f>
        <v>8</v>
      </c>
    </row>
    <row r="171" spans="1:115" ht="35.1" hidden="1" customHeight="1" outlineLevel="1" x14ac:dyDescent="0.25">
      <c r="A171" s="92" t="s">
        <v>713</v>
      </c>
      <c r="B171" s="74"/>
      <c r="C171" s="85" t="s">
        <v>867</v>
      </c>
      <c r="D171" s="80">
        <f>+COUNTIFS('muddati otgan'!C:C,A171,'muddati otgan'!C:C,A171)</f>
        <v>2</v>
      </c>
      <c r="E171" s="10">
        <f>SUMIFS('muddati otgan'!$V:V,'muddati otgan'!$C:C,$A:A)</f>
        <v>0</v>
      </c>
      <c r="F171" s="10">
        <f>SUMIFS('muddati otgan'!$W:W,'muddati otgan'!$C:C,$A:A)</f>
        <v>1</v>
      </c>
      <c r="G171" s="24">
        <f>SUMIFS('muddati otgan'!$U:U,'muddati otgan'!$C:C,$A:A)</f>
        <v>1</v>
      </c>
      <c r="H171" s="11">
        <f>SUMIFS('muddati otgan'!$G:G,'muddati otgan'!$C:C,$A:A)</f>
        <v>0</v>
      </c>
      <c r="I171" s="12">
        <f>SUMIFS('muddati otgan'!$H:H,'muddati otgan'!$C:C,$A:A)</f>
        <v>2</v>
      </c>
      <c r="J171" s="44">
        <f t="shared" si="23"/>
        <v>0</v>
      </c>
      <c r="K171" s="11">
        <f>+COUNTIFS('muddati otgan'!C:C,A171,'muddati otgan'!AA:AA,"Arizani qabul qilish")</f>
        <v>0</v>
      </c>
      <c r="L171" s="11">
        <f>+COUNTIFS('muddati otgan'!C:C,A171,'muddati otgan'!J:J,"Arizani rad etish")</f>
        <v>0</v>
      </c>
      <c r="M171" s="11">
        <f>+COUNTIFS('muddati otgan'!C:C,A171,'muddati otgan'!J:J,"Arizani tasdiqlash")</f>
        <v>0</v>
      </c>
      <c r="N171" s="11">
        <f>+COUNTIFS('muddati otgan'!C:C,A171,'muddati otgan'!J:J,"Arizani yo'naltirish")</f>
        <v>0</v>
      </c>
      <c r="O171" s="11">
        <f>+COUNTIFS('muddati otgan'!C:C,A171,'muddati otgan'!J:J,"Rad qilish sababini o'rganish")</f>
        <v>0</v>
      </c>
      <c r="P171" s="11">
        <f>+COUNTIFS('muddati otgan'!C:C,A171,'muddati otgan'!J:J,"Ko'chmas mulkni UZKAD ga migratsiya qilish")</f>
        <v>0</v>
      </c>
      <c r="Q171" s="11">
        <f>+COUNTIFS('muddati otgan'!C:C,A171,'muddati otgan'!J:J,"Migratisya qilingan obyekt holatini tekshirish")</f>
        <v>0</v>
      </c>
      <c r="R171" s="11">
        <f>+COUNTIFS('muddati otgan'!C:C,A171,'muddati otgan'!J:J,"Ko‘chmas mulkni tanlash")</f>
        <v>0</v>
      </c>
      <c r="S171" s="11">
        <f>+COUNTIFS('muddati otgan'!C:C,A171,'muddati otgan'!J:J,"Arizani ko'rib chiqish")</f>
        <v>0</v>
      </c>
      <c r="T171" s="11">
        <f>+COUNTIFS('muddati otgan'!C:C,A171,'muddati otgan'!J:J,"Kadastr muhandisini tanlash")</f>
        <v>0</v>
      </c>
      <c r="U171" s="11">
        <f>+COUNTIFS('muddati otgan'!C:C,A171,'muddati otgan'!J:J,"Ko'chmas mulk turini tanlahsh")</f>
        <v>0</v>
      </c>
      <c r="V171" s="11">
        <f>+COUNTIFS('muddati otgan'!C:C,A171,'muddati otgan'!AA:AA,"Rad qilish")</f>
        <v>0</v>
      </c>
      <c r="W171" s="11">
        <f>+COUNTIFS('muddati otgan'!C:C,A171,'muddati otgan'!J:J,"ijrochi tanlash")</f>
        <v>0</v>
      </c>
      <c r="X171" s="11">
        <f>+COUNTIFS('muddati otgan'!C:C,A171,'muddati otgan'!J:J,"Ko'chmas mulk turini tanlash")</f>
        <v>0</v>
      </c>
      <c r="Y171" s="11">
        <f t="shared" si="24"/>
        <v>0</v>
      </c>
      <c r="Z171" s="11">
        <f>+COUNTIFS('muddati otgan'!C:C,A171,'muddati otgan'!J:J,"Ijroga qabul qilish")</f>
        <v>0</v>
      </c>
      <c r="AA171" s="11">
        <f>+COUNTIFS('muddati otgan'!C:C,A171,'muddati otgan'!J:J,"Joyida o'rganish va ma'lumotlarni kiritish")</f>
        <v>0</v>
      </c>
      <c r="AB171" s="11">
        <f>+COUNTIFS('muddati otgan'!C:C,A171,'muddati otgan'!J:J,"Asosiy qismdan ajratish jarayonida")</f>
        <v>0</v>
      </c>
      <c r="AC171" s="11">
        <f>+COUNTIFS('muddati otgan'!C:C,A171,'muddati otgan'!J:J,"Umumiy foydalanishdagi obyekt yaratilish")</f>
        <v>0</v>
      </c>
      <c r="AD171" s="11">
        <f>+COUNTIFS('muddati otgan'!C:C,A171,'muddati otgan'!J:J,"Migratsiya qilinadigan kadastr raqamini kiritish")</f>
        <v>0</v>
      </c>
      <c r="AE171" s="11">
        <f>+COUNTIFS('muddati otgan'!C:C,A171,'muddati otgan'!J:J,"O'zida qolgan obyektni yaratish")</f>
        <v>0</v>
      </c>
      <c r="AF171" s="11">
        <f>+COUNTIFS('muddati otgan'!C:C,A171,'muddati otgan'!J:J,"O'lchov natijalarini kiritish")</f>
        <v>0</v>
      </c>
      <c r="AG171" s="11">
        <f>+COUNTIFS('muddati otgan'!C:C,A171,'muddati otgan'!J:J,"Topoxaritani tayyorlash (dwg, pdf)")</f>
        <v>0</v>
      </c>
      <c r="AH171" s="11">
        <f t="shared" si="25"/>
        <v>0</v>
      </c>
      <c r="AI171" s="11">
        <f>+COUNTIFS('muddati otgan'!C:C,A171,'muddati otgan'!J:J,"Yer uchastkasini yaratish")</f>
        <v>0</v>
      </c>
      <c r="AJ171" s="11">
        <f t="shared" si="26"/>
        <v>0</v>
      </c>
      <c r="AK171" s="11">
        <f>+COUNTIFS('muddati otgan'!C:C,A171,'muddati otgan'!J:J,"Kelishish (Boshqarma)")</f>
        <v>0</v>
      </c>
      <c r="AL171" s="11">
        <f t="shared" si="27"/>
        <v>0</v>
      </c>
      <c r="AM171" s="11">
        <f>+COUNTIFS('muddati otgan'!C:C,A171,'muddati otgan'!J:J,"Kelishish (DKP)")</f>
        <v>0</v>
      </c>
      <c r="AN171" s="11">
        <f>+COUNTIFS('muddati otgan'!C:C,A171,'muddati otgan'!J:J,"Kelishish")</f>
        <v>0</v>
      </c>
      <c r="AO171" s="11">
        <f>+COUNTIFS('muddati otgan'!C:C,A171,'muddati otgan'!J:J,"Kelishish (Registratsiya DKP)")</f>
        <v>0</v>
      </c>
      <c r="AP171" s="11">
        <f t="shared" si="28"/>
        <v>0</v>
      </c>
      <c r="AQ171" s="11">
        <f>+COUNTIFS('muddati otgan'!C:C,A171,'muddati otgan'!J:J,"Manzil biriktirish")</f>
        <v>0</v>
      </c>
      <c r="AR171" s="11">
        <f>+COUNTIFS('muddati otgan'!C:C,A171,'muddati otgan'!J:J,"Bino va inshootlarni yaratish")</f>
        <v>0</v>
      </c>
      <c r="AS171" s="11">
        <f>+COUNTIFS('muddati otgan'!C:C,A171,'muddati otgan'!J:J,"Dov daraxtlarni yaratish")</f>
        <v>0</v>
      </c>
      <c r="AT171" s="11">
        <f>+COUNTIFS('muddati otgan'!C:C,A171,'muddati otgan'!J:J,"Yer uchastkasini tahrirlash")</f>
        <v>0</v>
      </c>
      <c r="AU171" s="11">
        <f t="shared" si="29"/>
        <v>0</v>
      </c>
      <c r="AV171" s="11">
        <f>+COUNTIFS('muddati otgan'!C:C,A171,'muddati otgan'!J:J,"Yer toifasi va maqsadini kiritish")</f>
        <v>0</v>
      </c>
      <c r="AW171" s="11">
        <f>+COUNTIFS('muddati otgan'!C:C,A171,'muddati otgan'!J:J,"Auksion yer tekshirish")</f>
        <v>0</v>
      </c>
      <c r="AX171" s="11">
        <f>+COUNTIFS('muddati otgan'!C:C,A171,'muddati otgan'!J:J,"Yer turlarini kiritish")</f>
        <v>0</v>
      </c>
      <c r="AY171" s="11">
        <f>+COUNTIFS('muddati otgan'!C:C,A171,'muddati otgan'!J:J,"Ma'lumotlarni kiritish")</f>
        <v>0</v>
      </c>
      <c r="AZ171" s="11">
        <f>+COUNTIFS('muddati otgan'!C:C,A171,'muddati otgan'!J:J,"Yer tekshirish")</f>
        <v>0</v>
      </c>
      <c r="BA171" s="11">
        <f t="shared" si="30"/>
        <v>0</v>
      </c>
      <c r="BB171" s="11">
        <f>+COUNTIFS('muddati otgan'!C:C,A171,'muddati otgan'!J:J,"Bino va inshoot ma'lumotlarini to‘ldirish")</f>
        <v>0</v>
      </c>
      <c r="BC171" s="11">
        <f>+COUNTIFS('muddati otgan'!C:C,A171,'muddati otgan'!J:J,"Inventarizatsiya ma'lumotlarini to‘ldirish")</f>
        <v>0</v>
      </c>
      <c r="BD171" s="11">
        <f>+COUNTIFS('muddati otgan'!C:C,A171,'muddati otgan'!J:J,"Yer uchastkasiga huquqiy hujjatlarni kiritsh")</f>
        <v>0</v>
      </c>
      <c r="BE171" s="11">
        <f>+COUNTIFS('muddati otgan'!C:C,A171,'muddati otgan'!J:J,"Bino-inshootlarga huquqiy hujjatlarni kiritsh")</f>
        <v>0</v>
      </c>
      <c r="BF171" s="11">
        <f>+COUNTIFS('muddati otgan'!C:C,A171,'muddati otgan'!J:J,"Kadastr qiymatini hisoblash va kiritish")</f>
        <v>0</v>
      </c>
      <c r="BG171" s="11">
        <f>+COUNTIFS('muddati otgan'!C:C,A171,'muddati otgan'!J:J,"Kadastr raqam biriktirish")</f>
        <v>0</v>
      </c>
      <c r="BH171" s="11">
        <f>+COUNTIFS('muddati otgan'!C:C,A171,'muddati otgan'!J:J,"Kadastr yig'ma jildni tayyorlash")</f>
        <v>0</v>
      </c>
      <c r="BI171" s="11">
        <f>+COUNTIFS('muddati otgan'!C:C,A171,'muddati otgan'!J:J,"Huquqni yaratish")</f>
        <v>0</v>
      </c>
      <c r="BJ171" s="11">
        <f>+COUNTIFS('muddati otgan'!C:C,A171,'muddati otgan'!J:J,"Hujjatlarni o'rganish")</f>
        <v>0</v>
      </c>
      <c r="BK171" s="11">
        <f>+COUNTIFS('muddati otgan'!C:C,A171,'muddati otgan'!J:J,"Ma'lumotlarni tekshirish")</f>
        <v>0</v>
      </c>
      <c r="BL171" s="11">
        <f t="shared" si="31"/>
        <v>0</v>
      </c>
      <c r="BM171" s="11">
        <f>+COUNTIFS('muddati otgan'!C:C,A171,'muddati otgan'!J:J,"Tekshirish")</f>
        <v>0</v>
      </c>
      <c r="BN171" s="11">
        <f>+COUNTIFS('muddati otgan'!C:C,A171,'muddati otgan'!J:J,"Hujjatlarni tekshirish")</f>
        <v>0</v>
      </c>
      <c r="BO171" s="11">
        <f>+COUNTIFS('muddati otgan'!C:C,A171,'muddati otgan'!J:J,"Tasdiqlash")</f>
        <v>0</v>
      </c>
      <c r="BP171" s="11">
        <f>+COUNTIFS('muddati otgan'!C:C,A171,'muddati otgan'!J:J,"tekshirish/tasdiqlash")</f>
        <v>0</v>
      </c>
      <c r="BQ171" s="11">
        <f>+COUNTIFS('muddati otgan'!C:C,A171,'muddati otgan'!J:J,"Ma'lumotlarni tasdiqlash")</f>
        <v>0</v>
      </c>
      <c r="BR171" s="11">
        <f t="shared" si="32"/>
        <v>1</v>
      </c>
      <c r="BS171" s="11">
        <f>+COUNTIFS('muddati otgan'!C:C,A171,'muddati otgan'!J:J,"Ro'yxatdan o'tkazish ma'lumotlarini tekshirish")</f>
        <v>1</v>
      </c>
      <c r="BT171" s="11">
        <f>+COUNTIFS('muddati otgan'!C:C,A171,'muddati otgan'!J:J,"Kamchiliklar bo'yicha habarnoma yuborish va 3 kunga to'xtatish")</f>
        <v>0</v>
      </c>
      <c r="BU171" s="11">
        <f>+COUNTIFS('muddati otgan'!C:C,A171,'muddati otgan'!J:J,"Hisobga olish")</f>
        <v>0</v>
      </c>
      <c r="BV171" s="11">
        <f>+COUNTIFS('muddati otgan'!C:C,A171,'muddati otgan'!J:J,"Yer uchastkasiga huquq yaratish")</f>
        <v>0</v>
      </c>
      <c r="BW171" s="11">
        <f>+COUNTIFS('muddati otgan'!C:C,A171,'muddati otgan'!J:J,"Bino-inshootga huquq yaratish")</f>
        <v>0</v>
      </c>
      <c r="BX171" s="11">
        <f>+COUNTIFS('muddati otgan'!C:C,A171,'muddati otgan'!J:J,"Cheklov yaratish")</f>
        <v>0</v>
      </c>
      <c r="BY171" s="11">
        <f>+COUNTIFS('muddati otgan'!C:C,A171,'muddati otgan'!J:J,"Taqiq yaratish")</f>
        <v>0</v>
      </c>
      <c r="BZ171" s="11">
        <f t="shared" si="33"/>
        <v>0</v>
      </c>
      <c r="CA171" s="11">
        <f>+COUNTIFS('muddati otgan'!C:C,A171,'muddati otgan'!J:J,"Soliq maydonini tekshirish")</f>
        <v>0</v>
      </c>
      <c r="CB171" s="11">
        <f t="shared" si="34"/>
        <v>0</v>
      </c>
      <c r="CC171" s="11">
        <f>+COUNTIFS('muddati otgan'!C:C,A171,'muddati otgan'!J:J,"Kadastr yig'majildini shakllantirish")</f>
        <v>0</v>
      </c>
      <c r="CD171" s="11">
        <f t="shared" si="35"/>
        <v>0</v>
      </c>
      <c r="CE171" s="11">
        <f>+COUNTIFS('muddati otgan'!C:C,A171,'muddati otgan'!J:J,"Kadastr passportini shakllantirish")</f>
        <v>0</v>
      </c>
      <c r="CF171" s="11">
        <f>+COUNTIFS('muddati otgan'!C:C,A171,'muddati otgan'!J:J,"Yig'ma jildni tasdiqlash")</f>
        <v>0</v>
      </c>
      <c r="CG171" s="11">
        <f>+COUNTIFS('muddati otgan'!C:C,A171,'muddati otgan'!J:J,"To'lov yoki bepul tasdiqlash")</f>
        <v>0</v>
      </c>
      <c r="CH171" s="11">
        <f>+COUNTIFS('muddati otgan'!C:C,A171,'muddati otgan'!J:J,"Bog'liq arizani kutish")</f>
        <v>0</v>
      </c>
      <c r="CI171" s="11">
        <f>+COUNTIFS('muddati otgan'!C:C,A171,'muddati otgan'!J:J,"To'lovga chiqarish")</f>
        <v>0</v>
      </c>
      <c r="CJ171" s="11">
        <f>+COUNTIFS('muddati otgan'!C:C,A171,'muddati otgan'!J:J,"Hisobga qo'yish")</f>
        <v>0</v>
      </c>
      <c r="CK171" s="6">
        <f>+COUNTIFS('muddati otgan'!C:C,A171,'muddati otgan'!J:J,"To'lov kutilmoqda")</f>
        <v>0</v>
      </c>
      <c r="CL171" s="11">
        <f t="shared" si="36"/>
        <v>1</v>
      </c>
      <c r="CM171" s="11">
        <f>+COUNTIFS('muddati otgan'!C:C,A171,'muddati otgan'!AA:AA,"Arizani qabul qilish2")</f>
        <v>0</v>
      </c>
      <c r="CN171" s="11">
        <f>+COUNTIFS('muddati otgan'!C:C,A171,'muddati otgan'!J:J,"Huquqlarni tekshirish")</f>
        <v>0</v>
      </c>
      <c r="CO171" s="11">
        <f>+COUNTIFS('muddati otgan'!C:C,A171,'muddati otgan'!J:J,"Ko'chmas mulkni ro'yhatdan o'tkazishga qabul qilish")</f>
        <v>0</v>
      </c>
      <c r="CP171" s="11">
        <f>+COUNTIFS('muddati otgan'!C:C,A171,'muddati otgan'!J:J,"Ro'yxatdan o'tkazish")</f>
        <v>1</v>
      </c>
      <c r="CQ171" s="11">
        <f>+COUNTIFS('muddati otgan'!C:C,A171,'muddati otgan'!J:J,"Kadastr pasporti va ko'chirmani yuborish")</f>
        <v>0</v>
      </c>
      <c r="CR171" s="11">
        <f>+COUNTIFS('muddati otgan'!C:C,A171,'muddati otgan'!AA:AA,"Rad qilish2")</f>
        <v>0</v>
      </c>
      <c r="CS171" s="11">
        <f>+COUNTIFS('muddati otgan'!C:C,A171,'muddati otgan'!J:J,"Ko'chirmani yuborish")</f>
        <v>0</v>
      </c>
      <c r="CT171" s="11">
        <f>+COUNTIFS('muddati otgan'!C:C,A171,'muddati otgan'!J:J,"Ma‘lumotlarni tekshirish")</f>
        <v>0</v>
      </c>
      <c r="CU171" s="11">
        <f t="shared" si="37"/>
        <v>0</v>
      </c>
      <c r="CV171" s="11">
        <f>+COUNTIFS('muddati otgan'!C:C,A171,'muddati otgan'!J:J,"Kadastr yig'majildini chop etish va arxiv ishiga tikish")</f>
        <v>0</v>
      </c>
      <c r="CW171" s="11">
        <f t="shared" si="38"/>
        <v>0</v>
      </c>
      <c r="CX171" s="11">
        <f>+COUNTIFS('muddati otgan'!C:C,A171,'muddati otgan'!J:J,"Kadastr yig‘majildini qabul qilish, arizani yakunlash")</f>
        <v>0</v>
      </c>
      <c r="CY171" s="11">
        <f>+COUNTIFS('muddati otgan'!C:C,A171,'muddati otgan'!J:J,"Next Cloudga yuklash")</f>
        <v>0</v>
      </c>
      <c r="CZ171" s="6">
        <f>+COUNTIFS('muddati otgan'!C:C,A171,'muddati otgan'!J:J,"Kelishish kutilmoqda")</f>
        <v>0</v>
      </c>
      <c r="DA171" s="6">
        <f>+COUNTIFS('muddati otgan'!C:C,A171,'muddati otgan'!J:J,"Yakunlandi")</f>
        <v>0</v>
      </c>
      <c r="DB171" s="10">
        <f>+COUNTIFS('muddati otgan'!C:C,A171,'muddati otgan'!J:J,"Rad etildi")</f>
        <v>0</v>
      </c>
      <c r="DC171" s="100">
        <f t="shared" si="5"/>
        <v>-2</v>
      </c>
      <c r="DD171" s="44">
        <f>COUNTIFS('jami 1-20 kunlik arizalar'!C:C,A:A,'jami 1-20 kunlik arizalar'!S:S,"1")</f>
        <v>0</v>
      </c>
      <c r="DE171" s="11">
        <f>COUNTIFS('jami 1-20 kunlik arizalar'!C:C,A:A,'jami 1-20 kunlik arizalar'!S:S,"2")</f>
        <v>0</v>
      </c>
      <c r="DF171" s="11">
        <f>COUNTIFS('jami 1-20 kunlik arizalar'!C:C,A:A,'jami 1-20 kunlik arizalar'!S:S,"3")</f>
        <v>1</v>
      </c>
      <c r="DG171" s="11">
        <f>COUNTIFS('jami 1-20 kunlik arizalar'!C:C,A:A,'jami 1-20 kunlik arizalar'!S:S,"4")</f>
        <v>0</v>
      </c>
      <c r="DH171" s="11">
        <f>COUNTIFS('jami 1-20 kunlik arizalar'!C:C,A:A,'jami 1-20 kunlik arizalar'!S:S,"5")</f>
        <v>2</v>
      </c>
      <c r="DI171" s="11">
        <f>SUM(COUNTIFS('jami 1-20 kunlik arizalar'!C:C,A:A, 'jami 1-20 kunlik arizalar'!S:S, {6,7,8,9,10}))</f>
        <v>6</v>
      </c>
      <c r="DJ171" s="12">
        <f>SUM(COUNTIFS('jami 1-20 kunlik arizalar'!C:C,A:A, 'jami 1-20 kunlik arizalar'!S:S, "&gt;10"))</f>
        <v>3</v>
      </c>
    </row>
    <row r="172" spans="1:115" ht="35.1" hidden="1" customHeight="1" outlineLevel="1" x14ac:dyDescent="0.25">
      <c r="A172" s="92" t="s">
        <v>723</v>
      </c>
      <c r="B172" s="74"/>
      <c r="C172" s="85" t="s">
        <v>868</v>
      </c>
      <c r="D172" s="80">
        <f>+COUNTIFS('muddati otgan'!C:C,A172,'muddati otgan'!C:C,A172)</f>
        <v>0</v>
      </c>
      <c r="E172" s="10">
        <f>SUMIFS('muddati otgan'!$V:V,'muddati otgan'!$C:C,$A:A)</f>
        <v>0</v>
      </c>
      <c r="F172" s="10">
        <f>SUMIFS('muddati otgan'!$W:W,'muddati otgan'!$C:C,$A:A)</f>
        <v>0</v>
      </c>
      <c r="G172" s="24">
        <f>SUMIFS('muddati otgan'!$U:U,'muddati otgan'!$C:C,$A:A)</f>
        <v>0</v>
      </c>
      <c r="H172" s="11">
        <f>SUMIFS('muddati otgan'!$G:G,'muddati otgan'!$C:C,$A:A)</f>
        <v>0</v>
      </c>
      <c r="I172" s="12">
        <f>SUMIFS('muddati otgan'!$H:H,'muddati otgan'!$C:C,$A:A)</f>
        <v>0</v>
      </c>
      <c r="J172" s="44">
        <f t="shared" si="23"/>
        <v>0</v>
      </c>
      <c r="K172" s="11">
        <f>+COUNTIFS('muddati otgan'!C:C,A172,'muddati otgan'!AA:AA,"Arizani qabul qilish")</f>
        <v>0</v>
      </c>
      <c r="L172" s="11">
        <f>+COUNTIFS('muddati otgan'!C:C,A172,'muddati otgan'!J:J,"Arizani rad etish")</f>
        <v>0</v>
      </c>
      <c r="M172" s="11">
        <f>+COUNTIFS('muddati otgan'!C:C,A172,'muddati otgan'!J:J,"Arizani tasdiqlash")</f>
        <v>0</v>
      </c>
      <c r="N172" s="11">
        <f>+COUNTIFS('muddati otgan'!C:C,A172,'muddati otgan'!J:J,"Arizani yo'naltirish")</f>
        <v>0</v>
      </c>
      <c r="O172" s="11">
        <f>+COUNTIFS('muddati otgan'!C:C,A172,'muddati otgan'!J:J,"Rad qilish sababini o'rganish")</f>
        <v>0</v>
      </c>
      <c r="P172" s="11">
        <f>+COUNTIFS('muddati otgan'!C:C,A172,'muddati otgan'!J:J,"Ko'chmas mulkni UZKAD ga migratsiya qilish")</f>
        <v>0</v>
      </c>
      <c r="Q172" s="11">
        <f>+COUNTIFS('muddati otgan'!C:C,A172,'muddati otgan'!J:J,"Migratisya qilingan obyekt holatini tekshirish")</f>
        <v>0</v>
      </c>
      <c r="R172" s="11">
        <f>+COUNTIFS('muddati otgan'!C:C,A172,'muddati otgan'!J:J,"Ko‘chmas mulkni tanlash")</f>
        <v>0</v>
      </c>
      <c r="S172" s="11">
        <f>+COUNTIFS('muddati otgan'!C:C,A172,'muddati otgan'!J:J,"Arizani ko'rib chiqish")</f>
        <v>0</v>
      </c>
      <c r="T172" s="11">
        <f>+COUNTIFS('muddati otgan'!C:C,A172,'muddati otgan'!J:J,"Kadastr muhandisini tanlash")</f>
        <v>0</v>
      </c>
      <c r="U172" s="11">
        <f>+COUNTIFS('muddati otgan'!C:C,A172,'muddati otgan'!J:J,"Ko'chmas mulk turini tanlahsh")</f>
        <v>0</v>
      </c>
      <c r="V172" s="11">
        <f>+COUNTIFS('muddati otgan'!C:C,A172,'muddati otgan'!AA:AA,"Rad qilish")</f>
        <v>0</v>
      </c>
      <c r="W172" s="11">
        <f>+COUNTIFS('muddati otgan'!C:C,A172,'muddati otgan'!J:J,"ijrochi tanlash")</f>
        <v>0</v>
      </c>
      <c r="X172" s="11">
        <f>+COUNTIFS('muddati otgan'!C:C,A172,'muddati otgan'!J:J,"Ko'chmas mulk turini tanlash")</f>
        <v>0</v>
      </c>
      <c r="Y172" s="11">
        <f t="shared" si="24"/>
        <v>0</v>
      </c>
      <c r="Z172" s="11">
        <f>+COUNTIFS('muddati otgan'!C:C,A172,'muddati otgan'!J:J,"Ijroga qabul qilish")</f>
        <v>0</v>
      </c>
      <c r="AA172" s="11">
        <f>+COUNTIFS('muddati otgan'!C:C,A172,'muddati otgan'!J:J,"Joyida o'rganish va ma'lumotlarni kiritish")</f>
        <v>0</v>
      </c>
      <c r="AB172" s="11">
        <f>+COUNTIFS('muddati otgan'!C:C,A172,'muddati otgan'!J:J,"Asosiy qismdan ajratish jarayonida")</f>
        <v>0</v>
      </c>
      <c r="AC172" s="11">
        <f>+COUNTIFS('muddati otgan'!C:C,A172,'muddati otgan'!J:J,"Umumiy foydalanishdagi obyekt yaratilish")</f>
        <v>0</v>
      </c>
      <c r="AD172" s="11">
        <f>+COUNTIFS('muddati otgan'!C:C,A172,'muddati otgan'!J:J,"Migratsiya qilinadigan kadastr raqamini kiritish")</f>
        <v>0</v>
      </c>
      <c r="AE172" s="11">
        <f>+COUNTIFS('muddati otgan'!C:C,A172,'muddati otgan'!J:J,"O'zida qolgan obyektni yaratish")</f>
        <v>0</v>
      </c>
      <c r="AF172" s="11">
        <f>+COUNTIFS('muddati otgan'!C:C,A172,'muddati otgan'!J:J,"O'lchov natijalarini kiritish")</f>
        <v>0</v>
      </c>
      <c r="AG172" s="11">
        <f>+COUNTIFS('muddati otgan'!C:C,A172,'muddati otgan'!J:J,"Topoxaritani tayyorlash (dwg, pdf)")</f>
        <v>0</v>
      </c>
      <c r="AH172" s="11">
        <f t="shared" si="25"/>
        <v>0</v>
      </c>
      <c r="AI172" s="11">
        <f>+COUNTIFS('muddati otgan'!C:C,A172,'muddati otgan'!J:J,"Yer uchastkasini yaratish")</f>
        <v>0</v>
      </c>
      <c r="AJ172" s="11">
        <f t="shared" si="26"/>
        <v>0</v>
      </c>
      <c r="AK172" s="11">
        <f>+COUNTIFS('muddati otgan'!C:C,A172,'muddati otgan'!J:J,"Kelishish (Boshqarma)")</f>
        <v>0</v>
      </c>
      <c r="AL172" s="11">
        <f t="shared" si="27"/>
        <v>0</v>
      </c>
      <c r="AM172" s="11">
        <f>+COUNTIFS('muddati otgan'!C:C,A172,'muddati otgan'!J:J,"Kelishish (DKP)")</f>
        <v>0</v>
      </c>
      <c r="AN172" s="11">
        <f>+COUNTIFS('muddati otgan'!C:C,A172,'muddati otgan'!J:J,"Kelishish")</f>
        <v>0</v>
      </c>
      <c r="AO172" s="11">
        <f>+COUNTIFS('muddati otgan'!C:C,A172,'muddati otgan'!J:J,"Kelishish (Registratsiya DKP)")</f>
        <v>0</v>
      </c>
      <c r="AP172" s="11">
        <f t="shared" si="28"/>
        <v>0</v>
      </c>
      <c r="AQ172" s="11">
        <f>+COUNTIFS('muddati otgan'!C:C,A172,'muddati otgan'!J:J,"Manzil biriktirish")</f>
        <v>0</v>
      </c>
      <c r="AR172" s="11">
        <f>+COUNTIFS('muddati otgan'!C:C,A172,'muddati otgan'!J:J,"Bino va inshootlarni yaratish")</f>
        <v>0</v>
      </c>
      <c r="AS172" s="11">
        <f>+COUNTIFS('muddati otgan'!C:C,A172,'muddati otgan'!J:J,"Dov daraxtlarni yaratish")</f>
        <v>0</v>
      </c>
      <c r="AT172" s="11">
        <f>+COUNTIFS('muddati otgan'!C:C,A172,'muddati otgan'!J:J,"Yer uchastkasini tahrirlash")</f>
        <v>0</v>
      </c>
      <c r="AU172" s="11">
        <f t="shared" si="29"/>
        <v>0</v>
      </c>
      <c r="AV172" s="11">
        <f>+COUNTIFS('muddati otgan'!C:C,A172,'muddati otgan'!J:J,"Yer toifasi va maqsadini kiritish")</f>
        <v>0</v>
      </c>
      <c r="AW172" s="11">
        <f>+COUNTIFS('muddati otgan'!C:C,A172,'muddati otgan'!J:J,"Auksion yer tekshirish")</f>
        <v>0</v>
      </c>
      <c r="AX172" s="11">
        <f>+COUNTIFS('muddati otgan'!C:C,A172,'muddati otgan'!J:J,"Yer turlarini kiritish")</f>
        <v>0</v>
      </c>
      <c r="AY172" s="11">
        <f>+COUNTIFS('muddati otgan'!C:C,A172,'muddati otgan'!J:J,"Ma'lumotlarni kiritish")</f>
        <v>0</v>
      </c>
      <c r="AZ172" s="11">
        <f>+COUNTIFS('muddati otgan'!C:C,A172,'muddati otgan'!J:J,"Yer tekshirish")</f>
        <v>0</v>
      </c>
      <c r="BA172" s="11">
        <f t="shared" si="30"/>
        <v>0</v>
      </c>
      <c r="BB172" s="11">
        <f>+COUNTIFS('muddati otgan'!C:C,A172,'muddati otgan'!J:J,"Bino va inshoot ma'lumotlarini to‘ldirish")</f>
        <v>0</v>
      </c>
      <c r="BC172" s="11">
        <f>+COUNTIFS('muddati otgan'!C:C,A172,'muddati otgan'!J:J,"Inventarizatsiya ma'lumotlarini to‘ldirish")</f>
        <v>0</v>
      </c>
      <c r="BD172" s="11">
        <f>+COUNTIFS('muddati otgan'!C:C,A172,'muddati otgan'!J:J,"Yer uchastkasiga huquqiy hujjatlarni kiritsh")</f>
        <v>0</v>
      </c>
      <c r="BE172" s="11">
        <f>+COUNTIFS('muddati otgan'!C:C,A172,'muddati otgan'!J:J,"Bino-inshootlarga huquqiy hujjatlarni kiritsh")</f>
        <v>0</v>
      </c>
      <c r="BF172" s="11">
        <f>+COUNTIFS('muddati otgan'!C:C,A172,'muddati otgan'!J:J,"Kadastr qiymatini hisoblash va kiritish")</f>
        <v>0</v>
      </c>
      <c r="BG172" s="11">
        <f>+COUNTIFS('muddati otgan'!C:C,A172,'muddati otgan'!J:J,"Kadastr raqam biriktirish")</f>
        <v>0</v>
      </c>
      <c r="BH172" s="11">
        <f>+COUNTIFS('muddati otgan'!C:C,A172,'muddati otgan'!J:J,"Kadastr yig'ma jildni tayyorlash")</f>
        <v>0</v>
      </c>
      <c r="BI172" s="11">
        <f>+COUNTIFS('muddati otgan'!C:C,A172,'muddati otgan'!J:J,"Huquqni yaratish")</f>
        <v>0</v>
      </c>
      <c r="BJ172" s="11">
        <f>+COUNTIFS('muddati otgan'!C:C,A172,'muddati otgan'!J:J,"Hujjatlarni o'rganish")</f>
        <v>0</v>
      </c>
      <c r="BK172" s="11">
        <f>+COUNTIFS('muddati otgan'!C:C,A172,'muddati otgan'!J:J,"Ma'lumotlarni tekshirish")</f>
        <v>0</v>
      </c>
      <c r="BL172" s="11">
        <f t="shared" si="31"/>
        <v>0</v>
      </c>
      <c r="BM172" s="11">
        <f>+COUNTIFS('muddati otgan'!C:C,A172,'muddati otgan'!J:J,"Tekshirish")</f>
        <v>0</v>
      </c>
      <c r="BN172" s="11">
        <f>+COUNTIFS('muddati otgan'!C:C,A172,'muddati otgan'!J:J,"Hujjatlarni tekshirish")</f>
        <v>0</v>
      </c>
      <c r="BO172" s="11">
        <f>+COUNTIFS('muddati otgan'!C:C,A172,'muddati otgan'!J:J,"Tasdiqlash")</f>
        <v>0</v>
      </c>
      <c r="BP172" s="11">
        <f>+COUNTIFS('muddati otgan'!C:C,A172,'muddati otgan'!J:J,"tekshirish/tasdiqlash")</f>
        <v>0</v>
      </c>
      <c r="BQ172" s="11">
        <f>+COUNTIFS('muddati otgan'!C:C,A172,'muddati otgan'!J:J,"Ma'lumotlarni tasdiqlash")</f>
        <v>0</v>
      </c>
      <c r="BR172" s="11">
        <f t="shared" si="32"/>
        <v>0</v>
      </c>
      <c r="BS172" s="11">
        <f>+COUNTIFS('muddati otgan'!C:C,A172,'muddati otgan'!J:J,"Ro'yxatdan o'tkazish ma'lumotlarini tekshirish")</f>
        <v>0</v>
      </c>
      <c r="BT172" s="11">
        <f>+COUNTIFS('muddati otgan'!C:C,A172,'muddati otgan'!J:J,"Kamchiliklar bo'yicha habarnoma yuborish va 3 kunga to'xtatish")</f>
        <v>0</v>
      </c>
      <c r="BU172" s="11">
        <f>+COUNTIFS('muddati otgan'!C:C,A172,'muddati otgan'!J:J,"Hisobga olish")</f>
        <v>0</v>
      </c>
      <c r="BV172" s="11">
        <f>+COUNTIFS('muddati otgan'!C:C,A172,'muddati otgan'!J:J,"Yer uchastkasiga huquq yaratish")</f>
        <v>0</v>
      </c>
      <c r="BW172" s="11">
        <f>+COUNTIFS('muddati otgan'!C:C,A172,'muddati otgan'!J:J,"Bino-inshootga huquq yaratish")</f>
        <v>0</v>
      </c>
      <c r="BX172" s="11">
        <f>+COUNTIFS('muddati otgan'!C:C,A172,'muddati otgan'!J:J,"Cheklov yaratish")</f>
        <v>0</v>
      </c>
      <c r="BY172" s="11">
        <f>+COUNTIFS('muddati otgan'!C:C,A172,'muddati otgan'!J:J,"Taqiq yaratish")</f>
        <v>0</v>
      </c>
      <c r="BZ172" s="11">
        <f t="shared" si="33"/>
        <v>0</v>
      </c>
      <c r="CA172" s="11">
        <f>+COUNTIFS('muddati otgan'!C:C,A172,'muddati otgan'!J:J,"Soliq maydonini tekshirish")</f>
        <v>0</v>
      </c>
      <c r="CB172" s="11">
        <f t="shared" si="34"/>
        <v>0</v>
      </c>
      <c r="CC172" s="11">
        <f>+COUNTIFS('muddati otgan'!C:C,A172,'muddati otgan'!J:J,"Kadastr yig'majildini shakllantirish")</f>
        <v>0</v>
      </c>
      <c r="CD172" s="11">
        <f t="shared" si="35"/>
        <v>0</v>
      </c>
      <c r="CE172" s="11">
        <f>+COUNTIFS('muddati otgan'!C:C,A172,'muddati otgan'!J:J,"Kadastr passportini shakllantirish")</f>
        <v>0</v>
      </c>
      <c r="CF172" s="11">
        <f>+COUNTIFS('muddati otgan'!C:C,A172,'muddati otgan'!J:J,"Yig'ma jildni tasdiqlash")</f>
        <v>0</v>
      </c>
      <c r="CG172" s="11">
        <f>+COUNTIFS('muddati otgan'!C:C,A172,'muddati otgan'!J:J,"To'lov yoki bepul tasdiqlash")</f>
        <v>0</v>
      </c>
      <c r="CH172" s="11">
        <f>+COUNTIFS('muddati otgan'!C:C,A172,'muddati otgan'!J:J,"Bog'liq arizani kutish")</f>
        <v>0</v>
      </c>
      <c r="CI172" s="11">
        <f>+COUNTIFS('muddati otgan'!C:C,A172,'muddati otgan'!J:J,"To'lovga chiqarish")</f>
        <v>0</v>
      </c>
      <c r="CJ172" s="11">
        <f>+COUNTIFS('muddati otgan'!C:C,A172,'muddati otgan'!J:J,"Hisobga qo'yish")</f>
        <v>0</v>
      </c>
      <c r="CK172" s="6">
        <f>+COUNTIFS('muddati otgan'!C:C,A172,'muddati otgan'!J:J,"To'lov kutilmoqda")</f>
        <v>0</v>
      </c>
      <c r="CL172" s="11">
        <f t="shared" si="36"/>
        <v>0</v>
      </c>
      <c r="CM172" s="11">
        <f>+COUNTIFS('muddati otgan'!C:C,A172,'muddati otgan'!AA:AA,"Arizani qabul qilish2")</f>
        <v>0</v>
      </c>
      <c r="CN172" s="11">
        <f>+COUNTIFS('muddati otgan'!C:C,A172,'muddati otgan'!J:J,"Huquqlarni tekshirish")</f>
        <v>0</v>
      </c>
      <c r="CO172" s="11">
        <f>+COUNTIFS('muddati otgan'!C:C,A172,'muddati otgan'!J:J,"Ko'chmas mulkni ro'yhatdan o'tkazishga qabul qilish")</f>
        <v>0</v>
      </c>
      <c r="CP172" s="11">
        <f>+COUNTIFS('muddati otgan'!C:C,A172,'muddati otgan'!J:J,"Ro'yxatdan o'tkazish")</f>
        <v>0</v>
      </c>
      <c r="CQ172" s="11">
        <f>+COUNTIFS('muddati otgan'!C:C,A172,'muddati otgan'!J:J,"Kadastr pasporti va ko'chirmani yuborish")</f>
        <v>0</v>
      </c>
      <c r="CR172" s="11">
        <f>+COUNTIFS('muddati otgan'!C:C,A172,'muddati otgan'!AA:AA,"Rad qilish2")</f>
        <v>0</v>
      </c>
      <c r="CS172" s="11">
        <f>+COUNTIFS('muddati otgan'!C:C,A172,'muddati otgan'!J:J,"Ko'chirmani yuborish")</f>
        <v>0</v>
      </c>
      <c r="CT172" s="11">
        <f>+COUNTIFS('muddati otgan'!C:C,A172,'muddati otgan'!J:J,"Ma‘lumotlarni tekshirish")</f>
        <v>0</v>
      </c>
      <c r="CU172" s="11">
        <f t="shared" si="37"/>
        <v>0</v>
      </c>
      <c r="CV172" s="11">
        <f>+COUNTIFS('muddati otgan'!C:C,A172,'muddati otgan'!J:J,"Kadastr yig'majildini chop etish va arxiv ishiga tikish")</f>
        <v>0</v>
      </c>
      <c r="CW172" s="11">
        <f t="shared" si="38"/>
        <v>0</v>
      </c>
      <c r="CX172" s="11">
        <f>+COUNTIFS('muddati otgan'!C:C,A172,'muddati otgan'!J:J,"Kadastr yig‘majildini qabul qilish, arizani yakunlash")</f>
        <v>0</v>
      </c>
      <c r="CY172" s="11">
        <f>+COUNTIFS('muddati otgan'!C:C,A172,'muddati otgan'!J:J,"Next Cloudga yuklash")</f>
        <v>0</v>
      </c>
      <c r="CZ172" s="6">
        <f>+COUNTIFS('muddati otgan'!C:C,A172,'muddati otgan'!J:J,"Kelishish kutilmoqda")</f>
        <v>0</v>
      </c>
      <c r="DA172" s="6">
        <f>+COUNTIFS('muddati otgan'!C:C,A172,'muddati otgan'!J:J,"Yakunlandi")</f>
        <v>0</v>
      </c>
      <c r="DB172" s="10">
        <f>+COUNTIFS('muddati otgan'!C:C,A172,'muddati otgan'!J:J,"Rad etildi")</f>
        <v>0</v>
      </c>
      <c r="DC172" s="100">
        <f t="shared" si="5"/>
        <v>0</v>
      </c>
      <c r="DD172" s="44">
        <f>COUNTIFS('jami 1-20 kunlik arizalar'!C:C,A:A,'jami 1-20 kunlik arizalar'!S:S,"1")</f>
        <v>0</v>
      </c>
      <c r="DE172" s="11">
        <f>COUNTIFS('jami 1-20 kunlik arizalar'!C:C,A:A,'jami 1-20 kunlik arizalar'!S:S,"2")</f>
        <v>0</v>
      </c>
      <c r="DF172" s="11">
        <f>COUNTIFS('jami 1-20 kunlik arizalar'!C:C,A:A,'jami 1-20 kunlik arizalar'!S:S,"3")</f>
        <v>3</v>
      </c>
      <c r="DG172" s="11">
        <f>COUNTIFS('jami 1-20 kunlik arizalar'!C:C,A:A,'jami 1-20 kunlik arizalar'!S:S,"4")</f>
        <v>0</v>
      </c>
      <c r="DH172" s="11">
        <f>COUNTIFS('jami 1-20 kunlik arizalar'!C:C,A:A,'jami 1-20 kunlik arizalar'!S:S,"5")</f>
        <v>4</v>
      </c>
      <c r="DI172" s="11">
        <f>SUM(COUNTIFS('jami 1-20 kunlik arizalar'!C:C,A:A, 'jami 1-20 kunlik arizalar'!S:S, {6,7,8,9,10}))</f>
        <v>10</v>
      </c>
      <c r="DJ172" s="12">
        <f>SUM(COUNTIFS('jami 1-20 kunlik arizalar'!C:C,A:A, 'jami 1-20 kunlik arizalar'!S:S, "&gt;10"))</f>
        <v>4</v>
      </c>
    </row>
    <row r="173" spans="1:115" ht="35.1" hidden="1" customHeight="1" outlineLevel="1" x14ac:dyDescent="0.25">
      <c r="A173" s="92" t="s">
        <v>714</v>
      </c>
      <c r="B173" s="74"/>
      <c r="C173" s="85" t="s">
        <v>869</v>
      </c>
      <c r="D173" s="80">
        <f>+COUNTIFS('muddati otgan'!C:C,A173,'muddati otgan'!C:C,A173)</f>
        <v>1</v>
      </c>
      <c r="E173" s="10">
        <f>SUMIFS('muddati otgan'!$V:V,'muddati otgan'!$C:C,$A:A)</f>
        <v>0</v>
      </c>
      <c r="F173" s="10">
        <f>SUMIFS('muddati otgan'!$W:W,'muddati otgan'!$C:C,$A:A)</f>
        <v>0</v>
      </c>
      <c r="G173" s="24">
        <f>SUMIFS('muddati otgan'!$U:U,'muddati otgan'!$C:C,$A:A)</f>
        <v>1</v>
      </c>
      <c r="H173" s="11">
        <f>SUMIFS('muddati otgan'!$G:G,'muddati otgan'!$C:C,$A:A)</f>
        <v>1</v>
      </c>
      <c r="I173" s="12">
        <f>SUMIFS('muddati otgan'!$H:H,'muddati otgan'!$C:C,$A:A)</f>
        <v>0</v>
      </c>
      <c r="J173" s="44">
        <f t="shared" si="23"/>
        <v>0</v>
      </c>
      <c r="K173" s="11">
        <f>+COUNTIFS('muddati otgan'!C:C,A173,'muddati otgan'!AA:AA,"Arizani qabul qilish")</f>
        <v>0</v>
      </c>
      <c r="L173" s="11">
        <f>+COUNTIFS('muddati otgan'!C:C,A173,'muddati otgan'!J:J,"Arizani rad etish")</f>
        <v>0</v>
      </c>
      <c r="M173" s="11">
        <f>+COUNTIFS('muddati otgan'!C:C,A173,'muddati otgan'!J:J,"Arizani tasdiqlash")</f>
        <v>0</v>
      </c>
      <c r="N173" s="11">
        <f>+COUNTIFS('muddati otgan'!C:C,A173,'muddati otgan'!J:J,"Arizani yo'naltirish")</f>
        <v>0</v>
      </c>
      <c r="O173" s="11">
        <f>+COUNTIFS('muddati otgan'!C:C,A173,'muddati otgan'!J:J,"Rad qilish sababini o'rganish")</f>
        <v>0</v>
      </c>
      <c r="P173" s="11">
        <f>+COUNTIFS('muddati otgan'!C:C,A173,'muddati otgan'!J:J,"Ko'chmas mulkni UZKAD ga migratsiya qilish")</f>
        <v>0</v>
      </c>
      <c r="Q173" s="11">
        <f>+COUNTIFS('muddati otgan'!C:C,A173,'muddati otgan'!J:J,"Migratisya qilingan obyekt holatini tekshirish")</f>
        <v>0</v>
      </c>
      <c r="R173" s="11">
        <f>+COUNTIFS('muddati otgan'!C:C,A173,'muddati otgan'!J:J,"Ko‘chmas mulkni tanlash")</f>
        <v>0</v>
      </c>
      <c r="S173" s="11">
        <f>+COUNTIFS('muddati otgan'!C:C,A173,'muddati otgan'!J:J,"Arizani ko'rib chiqish")</f>
        <v>0</v>
      </c>
      <c r="T173" s="11">
        <f>+COUNTIFS('muddati otgan'!C:C,A173,'muddati otgan'!J:J,"Kadastr muhandisini tanlash")</f>
        <v>0</v>
      </c>
      <c r="U173" s="11">
        <f>+COUNTIFS('muddati otgan'!C:C,A173,'muddati otgan'!J:J,"Ko'chmas mulk turini tanlahsh")</f>
        <v>0</v>
      </c>
      <c r="V173" s="11">
        <f>+COUNTIFS('muddati otgan'!C:C,A173,'muddati otgan'!AA:AA,"Rad qilish")</f>
        <v>0</v>
      </c>
      <c r="W173" s="11">
        <f>+COUNTIFS('muddati otgan'!C:C,A173,'muddati otgan'!J:J,"ijrochi tanlash")</f>
        <v>0</v>
      </c>
      <c r="X173" s="11">
        <f>+COUNTIFS('muddati otgan'!C:C,A173,'muddati otgan'!J:J,"Ko'chmas mulk turini tanlash")</f>
        <v>0</v>
      </c>
      <c r="Y173" s="11">
        <f t="shared" si="24"/>
        <v>0</v>
      </c>
      <c r="Z173" s="11">
        <f>+COUNTIFS('muddati otgan'!C:C,A173,'muddati otgan'!J:J,"Ijroga qabul qilish")</f>
        <v>0</v>
      </c>
      <c r="AA173" s="11">
        <f>+COUNTIFS('muddati otgan'!C:C,A173,'muddati otgan'!J:J,"Joyida o'rganish va ma'lumotlarni kiritish")</f>
        <v>0</v>
      </c>
      <c r="AB173" s="11">
        <f>+COUNTIFS('muddati otgan'!C:C,A173,'muddati otgan'!J:J,"Asosiy qismdan ajratish jarayonida")</f>
        <v>0</v>
      </c>
      <c r="AC173" s="11">
        <f>+COUNTIFS('muddati otgan'!C:C,A173,'muddati otgan'!J:J,"Umumiy foydalanishdagi obyekt yaratilish")</f>
        <v>0</v>
      </c>
      <c r="AD173" s="11">
        <f>+COUNTIFS('muddati otgan'!C:C,A173,'muddati otgan'!J:J,"Migratsiya qilinadigan kadastr raqamini kiritish")</f>
        <v>0</v>
      </c>
      <c r="AE173" s="11">
        <f>+COUNTIFS('muddati otgan'!C:C,A173,'muddati otgan'!J:J,"O'zida qolgan obyektni yaratish")</f>
        <v>0</v>
      </c>
      <c r="AF173" s="11">
        <f>+COUNTIFS('muddati otgan'!C:C,A173,'muddati otgan'!J:J,"O'lchov natijalarini kiritish")</f>
        <v>0</v>
      </c>
      <c r="AG173" s="11">
        <f>+COUNTIFS('muddati otgan'!C:C,A173,'muddati otgan'!J:J,"Topoxaritani tayyorlash (dwg, pdf)")</f>
        <v>0</v>
      </c>
      <c r="AH173" s="11">
        <f t="shared" si="25"/>
        <v>0</v>
      </c>
      <c r="AI173" s="11">
        <f>+COUNTIFS('muddati otgan'!C:C,A173,'muddati otgan'!J:J,"Yer uchastkasini yaratish")</f>
        <v>0</v>
      </c>
      <c r="AJ173" s="11">
        <f t="shared" si="26"/>
        <v>0</v>
      </c>
      <c r="AK173" s="11">
        <f>+COUNTIFS('muddati otgan'!C:C,A173,'muddati otgan'!J:J,"Kelishish (Boshqarma)")</f>
        <v>0</v>
      </c>
      <c r="AL173" s="11">
        <f t="shared" si="27"/>
        <v>0</v>
      </c>
      <c r="AM173" s="11">
        <f>+COUNTIFS('muddati otgan'!C:C,A173,'muddati otgan'!J:J,"Kelishish (DKP)")</f>
        <v>0</v>
      </c>
      <c r="AN173" s="11">
        <f>+COUNTIFS('muddati otgan'!C:C,A173,'muddati otgan'!J:J,"Kelishish")</f>
        <v>0</v>
      </c>
      <c r="AO173" s="11">
        <f>+COUNTIFS('muddati otgan'!C:C,A173,'muddati otgan'!J:J,"Kelishish (Registratsiya DKP)")</f>
        <v>0</v>
      </c>
      <c r="AP173" s="11">
        <f t="shared" si="28"/>
        <v>0</v>
      </c>
      <c r="AQ173" s="11">
        <f>+COUNTIFS('muddati otgan'!C:C,A173,'muddati otgan'!J:J,"Manzil biriktirish")</f>
        <v>0</v>
      </c>
      <c r="AR173" s="11">
        <f>+COUNTIFS('muddati otgan'!C:C,A173,'muddati otgan'!J:J,"Bino va inshootlarni yaratish")</f>
        <v>0</v>
      </c>
      <c r="AS173" s="11">
        <f>+COUNTIFS('muddati otgan'!C:C,A173,'muddati otgan'!J:J,"Dov daraxtlarni yaratish")</f>
        <v>0</v>
      </c>
      <c r="AT173" s="11">
        <f>+COUNTIFS('muddati otgan'!C:C,A173,'muddati otgan'!J:J,"Yer uchastkasini tahrirlash")</f>
        <v>0</v>
      </c>
      <c r="AU173" s="11">
        <f t="shared" si="29"/>
        <v>0</v>
      </c>
      <c r="AV173" s="11">
        <f>+COUNTIFS('muddati otgan'!C:C,A173,'muddati otgan'!J:J,"Yer toifasi va maqsadini kiritish")</f>
        <v>0</v>
      </c>
      <c r="AW173" s="11">
        <f>+COUNTIFS('muddati otgan'!C:C,A173,'muddati otgan'!J:J,"Auksion yer tekshirish")</f>
        <v>0</v>
      </c>
      <c r="AX173" s="11">
        <f>+COUNTIFS('muddati otgan'!C:C,A173,'muddati otgan'!J:J,"Yer turlarini kiritish")</f>
        <v>0</v>
      </c>
      <c r="AY173" s="11">
        <f>+COUNTIFS('muddati otgan'!C:C,A173,'muddati otgan'!J:J,"Ma'lumotlarni kiritish")</f>
        <v>0</v>
      </c>
      <c r="AZ173" s="11">
        <f>+COUNTIFS('muddati otgan'!C:C,A173,'muddati otgan'!J:J,"Yer tekshirish")</f>
        <v>0</v>
      </c>
      <c r="BA173" s="11">
        <f t="shared" si="30"/>
        <v>0</v>
      </c>
      <c r="BB173" s="11">
        <f>+COUNTIFS('muddati otgan'!C:C,A173,'muddati otgan'!J:J,"Bino va inshoot ma'lumotlarini to‘ldirish")</f>
        <v>0</v>
      </c>
      <c r="BC173" s="11">
        <f>+COUNTIFS('muddati otgan'!C:C,A173,'muddati otgan'!J:J,"Inventarizatsiya ma'lumotlarini to‘ldirish")</f>
        <v>0</v>
      </c>
      <c r="BD173" s="11">
        <f>+COUNTIFS('muddati otgan'!C:C,A173,'muddati otgan'!J:J,"Yer uchastkasiga huquqiy hujjatlarni kiritsh")</f>
        <v>0</v>
      </c>
      <c r="BE173" s="11">
        <f>+COUNTIFS('muddati otgan'!C:C,A173,'muddati otgan'!J:J,"Bino-inshootlarga huquqiy hujjatlarni kiritsh")</f>
        <v>0</v>
      </c>
      <c r="BF173" s="11">
        <f>+COUNTIFS('muddati otgan'!C:C,A173,'muddati otgan'!J:J,"Kadastr qiymatini hisoblash va kiritish")</f>
        <v>0</v>
      </c>
      <c r="BG173" s="11">
        <f>+COUNTIFS('muddati otgan'!C:C,A173,'muddati otgan'!J:J,"Kadastr raqam biriktirish")</f>
        <v>0</v>
      </c>
      <c r="BH173" s="11">
        <f>+COUNTIFS('muddati otgan'!C:C,A173,'muddati otgan'!J:J,"Kadastr yig'ma jildni tayyorlash")</f>
        <v>0</v>
      </c>
      <c r="BI173" s="11">
        <f>+COUNTIFS('muddati otgan'!C:C,A173,'muddati otgan'!J:J,"Huquqni yaratish")</f>
        <v>0</v>
      </c>
      <c r="BJ173" s="11">
        <f>+COUNTIFS('muddati otgan'!C:C,A173,'muddati otgan'!J:J,"Hujjatlarni o'rganish")</f>
        <v>0</v>
      </c>
      <c r="BK173" s="11">
        <f>+COUNTIFS('muddati otgan'!C:C,A173,'muddati otgan'!J:J,"Ma'lumotlarni tekshirish")</f>
        <v>0</v>
      </c>
      <c r="BL173" s="11">
        <f t="shared" si="31"/>
        <v>0</v>
      </c>
      <c r="BM173" s="11">
        <f>+COUNTIFS('muddati otgan'!C:C,A173,'muddati otgan'!J:J,"Tekshirish")</f>
        <v>0</v>
      </c>
      <c r="BN173" s="11">
        <f>+COUNTIFS('muddati otgan'!C:C,A173,'muddati otgan'!J:J,"Hujjatlarni tekshirish")</f>
        <v>0</v>
      </c>
      <c r="BO173" s="11">
        <f>+COUNTIFS('muddati otgan'!C:C,A173,'muddati otgan'!J:J,"Tasdiqlash")</f>
        <v>0</v>
      </c>
      <c r="BP173" s="11">
        <f>+COUNTIFS('muddati otgan'!C:C,A173,'muddati otgan'!J:J,"tekshirish/tasdiqlash")</f>
        <v>0</v>
      </c>
      <c r="BQ173" s="11">
        <f>+COUNTIFS('muddati otgan'!C:C,A173,'muddati otgan'!J:J,"Ma'lumotlarni tasdiqlash")</f>
        <v>0</v>
      </c>
      <c r="BR173" s="11">
        <f t="shared" si="32"/>
        <v>0</v>
      </c>
      <c r="BS173" s="11">
        <f>+COUNTIFS('muddati otgan'!C:C,A173,'muddati otgan'!J:J,"Ro'yxatdan o'tkazish ma'lumotlarini tekshirish")</f>
        <v>0</v>
      </c>
      <c r="BT173" s="11">
        <f>+COUNTIFS('muddati otgan'!C:C,A173,'muddati otgan'!J:J,"Kamchiliklar bo'yicha habarnoma yuborish va 3 kunga to'xtatish")</f>
        <v>0</v>
      </c>
      <c r="BU173" s="11">
        <f>+COUNTIFS('muddati otgan'!C:C,A173,'muddati otgan'!J:J,"Hisobga olish")</f>
        <v>0</v>
      </c>
      <c r="BV173" s="11">
        <f>+COUNTIFS('muddati otgan'!C:C,A173,'muddati otgan'!J:J,"Yer uchastkasiga huquq yaratish")</f>
        <v>0</v>
      </c>
      <c r="BW173" s="11">
        <f>+COUNTIFS('muddati otgan'!C:C,A173,'muddati otgan'!J:J,"Bino-inshootga huquq yaratish")</f>
        <v>0</v>
      </c>
      <c r="BX173" s="11">
        <f>+COUNTIFS('muddati otgan'!C:C,A173,'muddati otgan'!J:J,"Cheklov yaratish")</f>
        <v>0</v>
      </c>
      <c r="BY173" s="11">
        <f>+COUNTIFS('muddati otgan'!C:C,A173,'muddati otgan'!J:J,"Taqiq yaratish")</f>
        <v>0</v>
      </c>
      <c r="BZ173" s="11">
        <f t="shared" si="33"/>
        <v>0</v>
      </c>
      <c r="CA173" s="11">
        <f>+COUNTIFS('muddati otgan'!C:C,A173,'muddati otgan'!J:J,"Soliq maydonini tekshirish")</f>
        <v>0</v>
      </c>
      <c r="CB173" s="11">
        <f t="shared" si="34"/>
        <v>0</v>
      </c>
      <c r="CC173" s="11">
        <f>+COUNTIFS('muddati otgan'!C:C,A173,'muddati otgan'!J:J,"Kadastr yig'majildini shakllantirish")</f>
        <v>0</v>
      </c>
      <c r="CD173" s="11">
        <f t="shared" si="35"/>
        <v>0</v>
      </c>
      <c r="CE173" s="11">
        <f>+COUNTIFS('muddati otgan'!C:C,A173,'muddati otgan'!J:J,"Kadastr passportini shakllantirish")</f>
        <v>0</v>
      </c>
      <c r="CF173" s="11">
        <f>+COUNTIFS('muddati otgan'!C:C,A173,'muddati otgan'!J:J,"Yig'ma jildni tasdiqlash")</f>
        <v>0</v>
      </c>
      <c r="CG173" s="11">
        <f>+COUNTIFS('muddati otgan'!C:C,A173,'muddati otgan'!J:J,"To'lov yoki bepul tasdiqlash")</f>
        <v>0</v>
      </c>
      <c r="CH173" s="11">
        <f>+COUNTIFS('muddati otgan'!C:C,A173,'muddati otgan'!J:J,"Bog'liq arizani kutish")</f>
        <v>0</v>
      </c>
      <c r="CI173" s="11">
        <f>+COUNTIFS('muddati otgan'!C:C,A173,'muddati otgan'!J:J,"To'lovga chiqarish")</f>
        <v>0</v>
      </c>
      <c r="CJ173" s="11">
        <f>+COUNTIFS('muddati otgan'!C:C,A173,'muddati otgan'!J:J,"Hisobga qo'yish")</f>
        <v>0</v>
      </c>
      <c r="CK173" s="6">
        <f>+COUNTIFS('muddati otgan'!C:C,A173,'muddati otgan'!J:J,"To'lov kutilmoqda")</f>
        <v>0</v>
      </c>
      <c r="CL173" s="11">
        <f t="shared" si="36"/>
        <v>0</v>
      </c>
      <c r="CM173" s="11">
        <f>+COUNTIFS('muddati otgan'!C:C,A173,'muddati otgan'!AA:AA,"Arizani qabul qilish2")</f>
        <v>0</v>
      </c>
      <c r="CN173" s="11">
        <f>+COUNTIFS('muddati otgan'!C:C,A173,'muddati otgan'!J:J,"Huquqlarni tekshirish")</f>
        <v>0</v>
      </c>
      <c r="CO173" s="11">
        <f>+COUNTIFS('muddati otgan'!C:C,A173,'muddati otgan'!J:J,"Ko'chmas mulkni ro'yhatdan o'tkazishga qabul qilish")</f>
        <v>0</v>
      </c>
      <c r="CP173" s="11">
        <f>+COUNTIFS('muddati otgan'!C:C,A173,'muddati otgan'!J:J,"Ro'yxatdan o'tkazish")</f>
        <v>0</v>
      </c>
      <c r="CQ173" s="11">
        <f>+COUNTIFS('muddati otgan'!C:C,A173,'muddati otgan'!J:J,"Kadastr pasporti va ko'chirmani yuborish")</f>
        <v>0</v>
      </c>
      <c r="CR173" s="11">
        <f>+COUNTIFS('muddati otgan'!C:C,A173,'muddati otgan'!AA:AA,"Rad qilish2")</f>
        <v>0</v>
      </c>
      <c r="CS173" s="11">
        <f>+COUNTIFS('muddati otgan'!C:C,A173,'muddati otgan'!J:J,"Ko'chirmani yuborish")</f>
        <v>0</v>
      </c>
      <c r="CT173" s="11">
        <f>+COUNTIFS('muddati otgan'!C:C,A173,'muddati otgan'!J:J,"Ma‘lumotlarni tekshirish")</f>
        <v>0</v>
      </c>
      <c r="CU173" s="11">
        <f t="shared" si="37"/>
        <v>0</v>
      </c>
      <c r="CV173" s="11">
        <f>+COUNTIFS('muddati otgan'!C:C,A173,'muddati otgan'!J:J,"Kadastr yig'majildini chop etish va arxiv ishiga tikish")</f>
        <v>0</v>
      </c>
      <c r="CW173" s="11">
        <f t="shared" si="38"/>
        <v>0</v>
      </c>
      <c r="CX173" s="11">
        <f>+COUNTIFS('muddati otgan'!C:C,A173,'muddati otgan'!J:J,"Kadastr yig‘majildini qabul qilish, arizani yakunlash")</f>
        <v>0</v>
      </c>
      <c r="CY173" s="11">
        <f>+COUNTIFS('muddati otgan'!C:C,A173,'muddati otgan'!J:J,"Next Cloudga yuklash")</f>
        <v>0</v>
      </c>
      <c r="CZ173" s="6">
        <f>+COUNTIFS('muddati otgan'!C:C,A173,'muddati otgan'!J:J,"Kelishish kutilmoqda")</f>
        <v>0</v>
      </c>
      <c r="DA173" s="6">
        <f>+COUNTIFS('muddati otgan'!C:C,A173,'muddati otgan'!J:J,"Yakunlandi")</f>
        <v>1</v>
      </c>
      <c r="DB173" s="10">
        <f>+COUNTIFS('muddati otgan'!C:C,A173,'muddati otgan'!J:J,"Rad etildi")</f>
        <v>0</v>
      </c>
      <c r="DC173" s="100">
        <f t="shared" si="5"/>
        <v>0</v>
      </c>
      <c r="DD173" s="44">
        <f>COUNTIFS('jami 1-20 kunlik arizalar'!C:C,A:A,'jami 1-20 kunlik arizalar'!S:S,"1")</f>
        <v>0</v>
      </c>
      <c r="DE173" s="11">
        <f>COUNTIFS('jami 1-20 kunlik arizalar'!C:C,A:A,'jami 1-20 kunlik arizalar'!S:S,"2")</f>
        <v>0</v>
      </c>
      <c r="DF173" s="11">
        <f>COUNTIFS('jami 1-20 kunlik arizalar'!C:C,A:A,'jami 1-20 kunlik arizalar'!S:S,"3")</f>
        <v>0</v>
      </c>
      <c r="DG173" s="11">
        <f>COUNTIFS('jami 1-20 kunlik arizalar'!C:C,A:A,'jami 1-20 kunlik arizalar'!S:S,"4")</f>
        <v>2</v>
      </c>
      <c r="DH173" s="11">
        <f>COUNTIFS('jami 1-20 kunlik arizalar'!C:C,A:A,'jami 1-20 kunlik arizalar'!S:S,"5")</f>
        <v>0</v>
      </c>
      <c r="DI173" s="11">
        <f>SUM(COUNTIFS('jami 1-20 kunlik arizalar'!C:C,A:A, 'jami 1-20 kunlik arizalar'!S:S, {6,7,8,9,10}))</f>
        <v>6</v>
      </c>
      <c r="DJ173" s="12">
        <f>SUM(COUNTIFS('jami 1-20 kunlik arizalar'!C:C,A:A, 'jami 1-20 kunlik arizalar'!S:S, "&gt;10"))</f>
        <v>5</v>
      </c>
    </row>
    <row r="174" spans="1:115" ht="35.1" hidden="1" customHeight="1" outlineLevel="1" x14ac:dyDescent="0.25">
      <c r="A174" s="92" t="s">
        <v>606</v>
      </c>
      <c r="B174" s="74"/>
      <c r="C174" s="85" t="s">
        <v>870</v>
      </c>
      <c r="D174" s="80">
        <f>+COUNTIFS('muddati otgan'!C:C,A174,'muddati otgan'!C:C,A174)</f>
        <v>3</v>
      </c>
      <c r="E174" s="10">
        <f>SUMIFS('muddati otgan'!$V:V,'muddati otgan'!$C:C,$A:A)</f>
        <v>0</v>
      </c>
      <c r="F174" s="10">
        <f>SUMIFS('muddati otgan'!$W:W,'muddati otgan'!$C:C,$A:A)</f>
        <v>0</v>
      </c>
      <c r="G174" s="24">
        <f>SUMIFS('muddati otgan'!$U:U,'muddati otgan'!$C:C,$A:A)</f>
        <v>3</v>
      </c>
      <c r="H174" s="11">
        <f>SUMIFS('muddati otgan'!$G:G,'muddati otgan'!$C:C,$A:A)</f>
        <v>3</v>
      </c>
      <c r="I174" s="12">
        <f>SUMIFS('muddati otgan'!$H:H,'muddati otgan'!$C:C,$A:A)</f>
        <v>0</v>
      </c>
      <c r="J174" s="44">
        <f t="shared" si="23"/>
        <v>0</v>
      </c>
      <c r="K174" s="11">
        <f>+COUNTIFS('muddati otgan'!C:C,A174,'muddati otgan'!AA:AA,"Arizani qabul qilish")</f>
        <v>0</v>
      </c>
      <c r="L174" s="11">
        <f>+COUNTIFS('muddati otgan'!C:C,A174,'muddati otgan'!J:J,"Arizani rad etish")</f>
        <v>0</v>
      </c>
      <c r="M174" s="11">
        <f>+COUNTIFS('muddati otgan'!C:C,A174,'muddati otgan'!J:J,"Arizani tasdiqlash")</f>
        <v>0</v>
      </c>
      <c r="N174" s="11">
        <f>+COUNTIFS('muddati otgan'!C:C,A174,'muddati otgan'!J:J,"Arizani yo'naltirish")</f>
        <v>0</v>
      </c>
      <c r="O174" s="11">
        <f>+COUNTIFS('muddati otgan'!C:C,A174,'muddati otgan'!J:J,"Rad qilish sababini o'rganish")</f>
        <v>0</v>
      </c>
      <c r="P174" s="11">
        <f>+COUNTIFS('muddati otgan'!C:C,A174,'muddati otgan'!J:J,"Ko'chmas mulkni UZKAD ga migratsiya qilish")</f>
        <v>0</v>
      </c>
      <c r="Q174" s="11">
        <f>+COUNTIFS('muddati otgan'!C:C,A174,'muddati otgan'!J:J,"Migratisya qilingan obyekt holatini tekshirish")</f>
        <v>0</v>
      </c>
      <c r="R174" s="11">
        <f>+COUNTIFS('muddati otgan'!C:C,A174,'muddati otgan'!J:J,"Ko‘chmas mulkni tanlash")</f>
        <v>0</v>
      </c>
      <c r="S174" s="11">
        <f>+COUNTIFS('muddati otgan'!C:C,A174,'muddati otgan'!J:J,"Arizani ko'rib chiqish")</f>
        <v>0</v>
      </c>
      <c r="T174" s="11">
        <f>+COUNTIFS('muddati otgan'!C:C,A174,'muddati otgan'!J:J,"Kadastr muhandisini tanlash")</f>
        <v>0</v>
      </c>
      <c r="U174" s="11">
        <f>+COUNTIFS('muddati otgan'!C:C,A174,'muddati otgan'!J:J,"Ko'chmas mulk turini tanlahsh")</f>
        <v>0</v>
      </c>
      <c r="V174" s="11">
        <f>+COUNTIFS('muddati otgan'!C:C,A174,'muddati otgan'!AA:AA,"Rad qilish")</f>
        <v>0</v>
      </c>
      <c r="W174" s="11">
        <f>+COUNTIFS('muddati otgan'!C:C,A174,'muddati otgan'!J:J,"ijrochi tanlash")</f>
        <v>0</v>
      </c>
      <c r="X174" s="11">
        <f>+COUNTIFS('muddati otgan'!C:C,A174,'muddati otgan'!J:J,"Ko'chmas mulk turini tanlash")</f>
        <v>0</v>
      </c>
      <c r="Y174" s="11">
        <f t="shared" si="24"/>
        <v>0</v>
      </c>
      <c r="Z174" s="11">
        <f>+COUNTIFS('muddati otgan'!C:C,A174,'muddati otgan'!J:J,"Ijroga qabul qilish")</f>
        <v>0</v>
      </c>
      <c r="AA174" s="11">
        <f>+COUNTIFS('muddati otgan'!C:C,A174,'muddati otgan'!J:J,"Joyida o'rganish va ma'lumotlarni kiritish")</f>
        <v>0</v>
      </c>
      <c r="AB174" s="11">
        <f>+COUNTIFS('muddati otgan'!C:C,A174,'muddati otgan'!J:J,"Asosiy qismdan ajratish jarayonida")</f>
        <v>0</v>
      </c>
      <c r="AC174" s="11">
        <f>+COUNTIFS('muddati otgan'!C:C,A174,'muddati otgan'!J:J,"Umumiy foydalanishdagi obyekt yaratilish")</f>
        <v>0</v>
      </c>
      <c r="AD174" s="11">
        <f>+COUNTIFS('muddati otgan'!C:C,A174,'muddati otgan'!J:J,"Migratsiya qilinadigan kadastr raqamini kiritish")</f>
        <v>0</v>
      </c>
      <c r="AE174" s="11">
        <f>+COUNTIFS('muddati otgan'!C:C,A174,'muddati otgan'!J:J,"O'zida qolgan obyektni yaratish")</f>
        <v>0</v>
      </c>
      <c r="AF174" s="11">
        <f>+COUNTIFS('muddati otgan'!C:C,A174,'muddati otgan'!J:J,"O'lchov natijalarini kiritish")</f>
        <v>0</v>
      </c>
      <c r="AG174" s="11">
        <f>+COUNTIFS('muddati otgan'!C:C,A174,'muddati otgan'!J:J,"Topoxaritani tayyorlash (dwg, pdf)")</f>
        <v>0</v>
      </c>
      <c r="AH174" s="11">
        <f t="shared" si="25"/>
        <v>0</v>
      </c>
      <c r="AI174" s="11">
        <f>+COUNTIFS('muddati otgan'!C:C,A174,'muddati otgan'!J:J,"Yer uchastkasini yaratish")</f>
        <v>0</v>
      </c>
      <c r="AJ174" s="11">
        <f t="shared" si="26"/>
        <v>0</v>
      </c>
      <c r="AK174" s="11">
        <f>+COUNTIFS('muddati otgan'!C:C,A174,'muddati otgan'!J:J,"Kelishish (Boshqarma)")</f>
        <v>0</v>
      </c>
      <c r="AL174" s="11">
        <f t="shared" si="27"/>
        <v>0</v>
      </c>
      <c r="AM174" s="11">
        <f>+COUNTIFS('muddati otgan'!C:C,A174,'muddati otgan'!J:J,"Kelishish (DKP)")</f>
        <v>0</v>
      </c>
      <c r="AN174" s="11">
        <f>+COUNTIFS('muddati otgan'!C:C,A174,'muddati otgan'!J:J,"Kelishish")</f>
        <v>0</v>
      </c>
      <c r="AO174" s="11">
        <f>+COUNTIFS('muddati otgan'!C:C,A174,'muddati otgan'!J:J,"Kelishish (Registratsiya DKP)")</f>
        <v>0</v>
      </c>
      <c r="AP174" s="11">
        <f t="shared" si="28"/>
        <v>0</v>
      </c>
      <c r="AQ174" s="11">
        <f>+COUNTIFS('muddati otgan'!C:C,A174,'muddati otgan'!J:J,"Manzil biriktirish")</f>
        <v>0</v>
      </c>
      <c r="AR174" s="11">
        <f>+COUNTIFS('muddati otgan'!C:C,A174,'muddati otgan'!J:J,"Bino va inshootlarni yaratish")</f>
        <v>0</v>
      </c>
      <c r="AS174" s="11">
        <f>+COUNTIFS('muddati otgan'!C:C,A174,'muddati otgan'!J:J,"Dov daraxtlarni yaratish")</f>
        <v>0</v>
      </c>
      <c r="AT174" s="11">
        <f>+COUNTIFS('muddati otgan'!C:C,A174,'muddati otgan'!J:J,"Yer uchastkasini tahrirlash")</f>
        <v>0</v>
      </c>
      <c r="AU174" s="11">
        <f t="shared" si="29"/>
        <v>0</v>
      </c>
      <c r="AV174" s="11">
        <f>+COUNTIFS('muddati otgan'!C:C,A174,'muddati otgan'!J:J,"Yer toifasi va maqsadini kiritish")</f>
        <v>0</v>
      </c>
      <c r="AW174" s="11">
        <f>+COUNTIFS('muddati otgan'!C:C,A174,'muddati otgan'!J:J,"Auksion yer tekshirish")</f>
        <v>0</v>
      </c>
      <c r="AX174" s="11">
        <f>+COUNTIFS('muddati otgan'!C:C,A174,'muddati otgan'!J:J,"Yer turlarini kiritish")</f>
        <v>0</v>
      </c>
      <c r="AY174" s="11">
        <f>+COUNTIFS('muddati otgan'!C:C,A174,'muddati otgan'!J:J,"Ma'lumotlarni kiritish")</f>
        <v>0</v>
      </c>
      <c r="AZ174" s="11">
        <f>+COUNTIFS('muddati otgan'!C:C,A174,'muddati otgan'!J:J,"Yer tekshirish")</f>
        <v>0</v>
      </c>
      <c r="BA174" s="11">
        <f t="shared" si="30"/>
        <v>0</v>
      </c>
      <c r="BB174" s="11">
        <f>+COUNTIFS('muddati otgan'!C:C,A174,'muddati otgan'!J:J,"Bino va inshoot ma'lumotlarini to‘ldirish")</f>
        <v>0</v>
      </c>
      <c r="BC174" s="11">
        <f>+COUNTIFS('muddati otgan'!C:C,A174,'muddati otgan'!J:J,"Inventarizatsiya ma'lumotlarini to‘ldirish")</f>
        <v>0</v>
      </c>
      <c r="BD174" s="11">
        <f>+COUNTIFS('muddati otgan'!C:C,A174,'muddati otgan'!J:J,"Yer uchastkasiga huquqiy hujjatlarni kiritsh")</f>
        <v>0</v>
      </c>
      <c r="BE174" s="11">
        <f>+COUNTIFS('muddati otgan'!C:C,A174,'muddati otgan'!J:J,"Bino-inshootlarga huquqiy hujjatlarni kiritsh")</f>
        <v>0</v>
      </c>
      <c r="BF174" s="11">
        <f>+COUNTIFS('muddati otgan'!C:C,A174,'muddati otgan'!J:J,"Kadastr qiymatini hisoblash va kiritish")</f>
        <v>0</v>
      </c>
      <c r="BG174" s="11">
        <f>+COUNTIFS('muddati otgan'!C:C,A174,'muddati otgan'!J:J,"Kadastr raqam biriktirish")</f>
        <v>0</v>
      </c>
      <c r="BH174" s="11">
        <f>+COUNTIFS('muddati otgan'!C:C,A174,'muddati otgan'!J:J,"Kadastr yig'ma jildni tayyorlash")</f>
        <v>0</v>
      </c>
      <c r="BI174" s="11">
        <f>+COUNTIFS('muddati otgan'!C:C,A174,'muddati otgan'!J:J,"Huquqni yaratish")</f>
        <v>0</v>
      </c>
      <c r="BJ174" s="11">
        <f>+COUNTIFS('muddati otgan'!C:C,A174,'muddati otgan'!J:J,"Hujjatlarni o'rganish")</f>
        <v>0</v>
      </c>
      <c r="BK174" s="11">
        <f>+COUNTIFS('muddati otgan'!C:C,A174,'muddati otgan'!J:J,"Ma'lumotlarni tekshirish")</f>
        <v>0</v>
      </c>
      <c r="BL174" s="11">
        <f t="shared" si="31"/>
        <v>0</v>
      </c>
      <c r="BM174" s="11">
        <f>+COUNTIFS('muddati otgan'!C:C,A174,'muddati otgan'!J:J,"Tekshirish")</f>
        <v>0</v>
      </c>
      <c r="BN174" s="11">
        <f>+COUNTIFS('muddati otgan'!C:C,A174,'muddati otgan'!J:J,"Hujjatlarni tekshirish")</f>
        <v>0</v>
      </c>
      <c r="BO174" s="11">
        <f>+COUNTIFS('muddati otgan'!C:C,A174,'muddati otgan'!J:J,"Tasdiqlash")</f>
        <v>0</v>
      </c>
      <c r="BP174" s="11">
        <f>+COUNTIFS('muddati otgan'!C:C,A174,'muddati otgan'!J:J,"tekshirish/tasdiqlash")</f>
        <v>0</v>
      </c>
      <c r="BQ174" s="11">
        <f>+COUNTIFS('muddati otgan'!C:C,A174,'muddati otgan'!J:J,"Ma'lumotlarni tasdiqlash")</f>
        <v>0</v>
      </c>
      <c r="BR174" s="11">
        <f t="shared" si="32"/>
        <v>0</v>
      </c>
      <c r="BS174" s="11">
        <f>+COUNTIFS('muddati otgan'!C:C,A174,'muddati otgan'!J:J,"Ro'yxatdan o'tkazish ma'lumotlarini tekshirish")</f>
        <v>0</v>
      </c>
      <c r="BT174" s="11">
        <f>+COUNTIFS('muddati otgan'!C:C,A174,'muddati otgan'!J:J,"Kamchiliklar bo'yicha habarnoma yuborish va 3 kunga to'xtatish")</f>
        <v>0</v>
      </c>
      <c r="BU174" s="11">
        <f>+COUNTIFS('muddati otgan'!C:C,A174,'muddati otgan'!J:J,"Hisobga olish")</f>
        <v>0</v>
      </c>
      <c r="BV174" s="11">
        <f>+COUNTIFS('muddati otgan'!C:C,A174,'muddati otgan'!J:J,"Yer uchastkasiga huquq yaratish")</f>
        <v>0</v>
      </c>
      <c r="BW174" s="11">
        <f>+COUNTIFS('muddati otgan'!C:C,A174,'muddati otgan'!J:J,"Bino-inshootga huquq yaratish")</f>
        <v>0</v>
      </c>
      <c r="BX174" s="11">
        <f>+COUNTIFS('muddati otgan'!C:C,A174,'muddati otgan'!J:J,"Cheklov yaratish")</f>
        <v>0</v>
      </c>
      <c r="BY174" s="11">
        <f>+COUNTIFS('muddati otgan'!C:C,A174,'muddati otgan'!J:J,"Taqiq yaratish")</f>
        <v>0</v>
      </c>
      <c r="BZ174" s="11">
        <f t="shared" si="33"/>
        <v>0</v>
      </c>
      <c r="CA174" s="11">
        <f>+COUNTIFS('muddati otgan'!C:C,A174,'muddati otgan'!J:J,"Soliq maydonini tekshirish")</f>
        <v>0</v>
      </c>
      <c r="CB174" s="11">
        <f t="shared" si="34"/>
        <v>0</v>
      </c>
      <c r="CC174" s="11">
        <f>+COUNTIFS('muddati otgan'!C:C,A174,'muddati otgan'!J:J,"Kadastr yig'majildini shakllantirish")</f>
        <v>0</v>
      </c>
      <c r="CD174" s="11">
        <f t="shared" si="35"/>
        <v>0</v>
      </c>
      <c r="CE174" s="11">
        <f>+COUNTIFS('muddati otgan'!C:C,A174,'muddati otgan'!J:J,"Kadastr passportini shakllantirish")</f>
        <v>0</v>
      </c>
      <c r="CF174" s="11">
        <f>+COUNTIFS('muddati otgan'!C:C,A174,'muddati otgan'!J:J,"Yig'ma jildni tasdiqlash")</f>
        <v>0</v>
      </c>
      <c r="CG174" s="11">
        <f>+COUNTIFS('muddati otgan'!C:C,A174,'muddati otgan'!J:J,"To'lov yoki bepul tasdiqlash")</f>
        <v>0</v>
      </c>
      <c r="CH174" s="11">
        <f>+COUNTIFS('muddati otgan'!C:C,A174,'muddati otgan'!J:J,"Bog'liq arizani kutish")</f>
        <v>0</v>
      </c>
      <c r="CI174" s="11">
        <f>+COUNTIFS('muddati otgan'!C:C,A174,'muddati otgan'!J:J,"To'lovga chiqarish")</f>
        <v>0</v>
      </c>
      <c r="CJ174" s="11">
        <f>+COUNTIFS('muddati otgan'!C:C,A174,'muddati otgan'!J:J,"Hisobga qo'yish")</f>
        <v>0</v>
      </c>
      <c r="CK174" s="6">
        <f>+COUNTIFS('muddati otgan'!C:C,A174,'muddati otgan'!J:J,"To'lov kutilmoqda")</f>
        <v>1</v>
      </c>
      <c r="CL174" s="11">
        <f t="shared" si="36"/>
        <v>0</v>
      </c>
      <c r="CM174" s="11">
        <f>+COUNTIFS('muddati otgan'!C:C,A174,'muddati otgan'!AA:AA,"Arizani qabul qilish2")</f>
        <v>0</v>
      </c>
      <c r="CN174" s="11">
        <f>+COUNTIFS('muddati otgan'!C:C,A174,'muddati otgan'!J:J,"Huquqlarni tekshirish")</f>
        <v>0</v>
      </c>
      <c r="CO174" s="11">
        <f>+COUNTIFS('muddati otgan'!C:C,A174,'muddati otgan'!J:J,"Ko'chmas mulkni ro'yhatdan o'tkazishga qabul qilish")</f>
        <v>0</v>
      </c>
      <c r="CP174" s="11">
        <f>+COUNTIFS('muddati otgan'!C:C,A174,'muddati otgan'!J:J,"Ro'yxatdan o'tkazish")</f>
        <v>0</v>
      </c>
      <c r="CQ174" s="11">
        <f>+COUNTIFS('muddati otgan'!C:C,A174,'muddati otgan'!J:J,"Kadastr pasporti va ko'chirmani yuborish")</f>
        <v>0</v>
      </c>
      <c r="CR174" s="11">
        <f>+COUNTIFS('muddati otgan'!C:C,A174,'muddati otgan'!AA:AA,"Rad qilish2")</f>
        <v>0</v>
      </c>
      <c r="CS174" s="11">
        <f>+COUNTIFS('muddati otgan'!C:C,A174,'muddati otgan'!J:J,"Ko'chirmani yuborish")</f>
        <v>0</v>
      </c>
      <c r="CT174" s="11">
        <f>+COUNTIFS('muddati otgan'!C:C,A174,'muddati otgan'!J:J,"Ma‘lumotlarni tekshirish")</f>
        <v>0</v>
      </c>
      <c r="CU174" s="11">
        <f t="shared" si="37"/>
        <v>0</v>
      </c>
      <c r="CV174" s="11">
        <f>+COUNTIFS('muddati otgan'!C:C,A174,'muddati otgan'!J:J,"Kadastr yig'majildini chop etish va arxiv ishiga tikish")</f>
        <v>0</v>
      </c>
      <c r="CW174" s="11">
        <f t="shared" si="38"/>
        <v>0</v>
      </c>
      <c r="CX174" s="11">
        <f>+COUNTIFS('muddati otgan'!C:C,A174,'muddati otgan'!J:J,"Kadastr yig‘majildini qabul qilish, arizani yakunlash")</f>
        <v>0</v>
      </c>
      <c r="CY174" s="11">
        <f>+COUNTIFS('muddati otgan'!C:C,A174,'muddati otgan'!J:J,"Next Cloudga yuklash")</f>
        <v>0</v>
      </c>
      <c r="CZ174" s="6">
        <f>+COUNTIFS('muddati otgan'!C:C,A174,'muddati otgan'!J:J,"Kelishish kutilmoqda")</f>
        <v>0</v>
      </c>
      <c r="DA174" s="6">
        <f>+COUNTIFS('muddati otgan'!C:C,A174,'muddati otgan'!J:J,"Yakunlandi")</f>
        <v>2</v>
      </c>
      <c r="DB174" s="10">
        <f>+COUNTIFS('muddati otgan'!C:C,A174,'muddati otgan'!J:J,"Rad etildi")</f>
        <v>0</v>
      </c>
      <c r="DC174" s="100">
        <f t="shared" si="5"/>
        <v>0</v>
      </c>
      <c r="DD174" s="44">
        <f>COUNTIFS('jami 1-20 kunlik arizalar'!C:C,A:A,'jami 1-20 kunlik arizalar'!S:S,"1")</f>
        <v>0</v>
      </c>
      <c r="DE174" s="11">
        <f>COUNTIFS('jami 1-20 kunlik arizalar'!C:C,A:A,'jami 1-20 kunlik arizalar'!S:S,"2")</f>
        <v>0</v>
      </c>
      <c r="DF174" s="11">
        <f>COUNTIFS('jami 1-20 kunlik arizalar'!C:C,A:A,'jami 1-20 kunlik arizalar'!S:S,"3")</f>
        <v>5</v>
      </c>
      <c r="DG174" s="11">
        <f>COUNTIFS('jami 1-20 kunlik arizalar'!C:C,A:A,'jami 1-20 kunlik arizalar'!S:S,"4")</f>
        <v>1</v>
      </c>
      <c r="DH174" s="11">
        <f>COUNTIFS('jami 1-20 kunlik arizalar'!C:C,A:A,'jami 1-20 kunlik arizalar'!S:S,"5")</f>
        <v>5</v>
      </c>
      <c r="DI174" s="11">
        <f>SUM(COUNTIFS('jami 1-20 kunlik arizalar'!C:C,A:A, 'jami 1-20 kunlik arizalar'!S:S, {6,7,8,9,10}))</f>
        <v>9</v>
      </c>
      <c r="DJ174" s="12">
        <f>SUM(COUNTIFS('jami 1-20 kunlik arizalar'!C:C,A:A, 'jami 1-20 kunlik arizalar'!S:S, "&gt;10"))</f>
        <v>5</v>
      </c>
    </row>
    <row r="175" spans="1:115" ht="35.1" hidden="1" customHeight="1" outlineLevel="1" x14ac:dyDescent="0.25">
      <c r="A175" s="92" t="s">
        <v>720</v>
      </c>
      <c r="B175" s="74"/>
      <c r="C175" s="85" t="s">
        <v>871</v>
      </c>
      <c r="D175" s="80">
        <f>+COUNTIFS('muddati otgan'!C:C,A175,'muddati otgan'!C:C,A175)</f>
        <v>0</v>
      </c>
      <c r="E175" s="10">
        <f>SUMIFS('muddati otgan'!$V:V,'muddati otgan'!$C:C,$A:A)</f>
        <v>0</v>
      </c>
      <c r="F175" s="10">
        <f>SUMIFS('muddati otgan'!$W:W,'muddati otgan'!$C:C,$A:A)</f>
        <v>0</v>
      </c>
      <c r="G175" s="24">
        <f>SUMIFS('muddati otgan'!$U:U,'muddati otgan'!$C:C,$A:A)</f>
        <v>0</v>
      </c>
      <c r="H175" s="11">
        <f>SUMIFS('muddati otgan'!$G:G,'muddati otgan'!$C:C,$A:A)</f>
        <v>0</v>
      </c>
      <c r="I175" s="12">
        <f>SUMIFS('muddati otgan'!$H:H,'muddati otgan'!$C:C,$A:A)</f>
        <v>0</v>
      </c>
      <c r="J175" s="44">
        <f t="shared" si="23"/>
        <v>0</v>
      </c>
      <c r="K175" s="11">
        <f>+COUNTIFS('muddati otgan'!C:C,A175,'muddati otgan'!AA:AA,"Arizani qabul qilish")</f>
        <v>0</v>
      </c>
      <c r="L175" s="11">
        <f>+COUNTIFS('muddati otgan'!C:C,A175,'muddati otgan'!J:J,"Arizani rad etish")</f>
        <v>0</v>
      </c>
      <c r="M175" s="11">
        <f>+COUNTIFS('muddati otgan'!C:C,A175,'muddati otgan'!J:J,"Arizani tasdiqlash")</f>
        <v>0</v>
      </c>
      <c r="N175" s="11">
        <f>+COUNTIFS('muddati otgan'!C:C,A175,'muddati otgan'!J:J,"Arizani yo'naltirish")</f>
        <v>0</v>
      </c>
      <c r="O175" s="11">
        <f>+COUNTIFS('muddati otgan'!C:C,A175,'muddati otgan'!J:J,"Rad qilish sababini o'rganish")</f>
        <v>0</v>
      </c>
      <c r="P175" s="11">
        <f>+COUNTIFS('muddati otgan'!C:C,A175,'muddati otgan'!J:J,"Ko'chmas mulkni UZKAD ga migratsiya qilish")</f>
        <v>0</v>
      </c>
      <c r="Q175" s="11">
        <f>+COUNTIFS('muddati otgan'!C:C,A175,'muddati otgan'!J:J,"Migratisya qilingan obyekt holatini tekshirish")</f>
        <v>0</v>
      </c>
      <c r="R175" s="11">
        <f>+COUNTIFS('muddati otgan'!C:C,A175,'muddati otgan'!J:J,"Ko‘chmas mulkni tanlash")</f>
        <v>0</v>
      </c>
      <c r="S175" s="11">
        <f>+COUNTIFS('muddati otgan'!C:C,A175,'muddati otgan'!J:J,"Arizani ko'rib chiqish")</f>
        <v>0</v>
      </c>
      <c r="T175" s="11">
        <f>+COUNTIFS('muddati otgan'!C:C,A175,'muddati otgan'!J:J,"Kadastr muhandisini tanlash")</f>
        <v>0</v>
      </c>
      <c r="U175" s="11">
        <f>+COUNTIFS('muddati otgan'!C:C,A175,'muddati otgan'!J:J,"Ko'chmas mulk turini tanlahsh")</f>
        <v>0</v>
      </c>
      <c r="V175" s="11">
        <f>+COUNTIFS('muddati otgan'!C:C,A175,'muddati otgan'!AA:AA,"Rad qilish")</f>
        <v>0</v>
      </c>
      <c r="W175" s="11">
        <f>+COUNTIFS('muddati otgan'!C:C,A175,'muddati otgan'!J:J,"ijrochi tanlash")</f>
        <v>0</v>
      </c>
      <c r="X175" s="11">
        <f>+COUNTIFS('muddati otgan'!C:C,A175,'muddati otgan'!J:J,"Ko'chmas mulk turini tanlash")</f>
        <v>0</v>
      </c>
      <c r="Y175" s="11">
        <f t="shared" si="24"/>
        <v>0</v>
      </c>
      <c r="Z175" s="11">
        <f>+COUNTIFS('muddati otgan'!C:C,A175,'muddati otgan'!J:J,"Ijroga qabul qilish")</f>
        <v>0</v>
      </c>
      <c r="AA175" s="11">
        <f>+COUNTIFS('muddati otgan'!C:C,A175,'muddati otgan'!J:J,"Joyida o'rganish va ma'lumotlarni kiritish")</f>
        <v>0</v>
      </c>
      <c r="AB175" s="11">
        <f>+COUNTIFS('muddati otgan'!C:C,A175,'muddati otgan'!J:J,"Asosiy qismdan ajratish jarayonida")</f>
        <v>0</v>
      </c>
      <c r="AC175" s="11">
        <f>+COUNTIFS('muddati otgan'!C:C,A175,'muddati otgan'!J:J,"Umumiy foydalanishdagi obyekt yaratilish")</f>
        <v>0</v>
      </c>
      <c r="AD175" s="11">
        <f>+COUNTIFS('muddati otgan'!C:C,A175,'muddati otgan'!J:J,"Migratsiya qilinadigan kadastr raqamini kiritish")</f>
        <v>0</v>
      </c>
      <c r="AE175" s="11">
        <f>+COUNTIFS('muddati otgan'!C:C,A175,'muddati otgan'!J:J,"O'zida qolgan obyektni yaratish")</f>
        <v>0</v>
      </c>
      <c r="AF175" s="11">
        <f>+COUNTIFS('muddati otgan'!C:C,A175,'muddati otgan'!J:J,"O'lchov natijalarini kiritish")</f>
        <v>0</v>
      </c>
      <c r="AG175" s="11">
        <f>+COUNTIFS('muddati otgan'!C:C,A175,'muddati otgan'!J:J,"Topoxaritani tayyorlash (dwg, pdf)")</f>
        <v>0</v>
      </c>
      <c r="AH175" s="11">
        <f t="shared" si="25"/>
        <v>0</v>
      </c>
      <c r="AI175" s="11">
        <f>+COUNTIFS('muddati otgan'!C:C,A175,'muddati otgan'!J:J,"Yer uchastkasini yaratish")</f>
        <v>0</v>
      </c>
      <c r="AJ175" s="11">
        <f t="shared" si="26"/>
        <v>0</v>
      </c>
      <c r="AK175" s="11">
        <f>+COUNTIFS('muddati otgan'!C:C,A175,'muddati otgan'!J:J,"Kelishish (Boshqarma)")</f>
        <v>0</v>
      </c>
      <c r="AL175" s="11">
        <f t="shared" si="27"/>
        <v>0</v>
      </c>
      <c r="AM175" s="11">
        <f>+COUNTIFS('muddati otgan'!C:C,A175,'muddati otgan'!J:J,"Kelishish (DKP)")</f>
        <v>0</v>
      </c>
      <c r="AN175" s="11">
        <f>+COUNTIFS('muddati otgan'!C:C,A175,'muddati otgan'!J:J,"Kelishish")</f>
        <v>0</v>
      </c>
      <c r="AO175" s="11">
        <f>+COUNTIFS('muddati otgan'!C:C,A175,'muddati otgan'!J:J,"Kelishish (Registratsiya DKP)")</f>
        <v>0</v>
      </c>
      <c r="AP175" s="11">
        <f t="shared" si="28"/>
        <v>0</v>
      </c>
      <c r="AQ175" s="11">
        <f>+COUNTIFS('muddati otgan'!C:C,A175,'muddati otgan'!J:J,"Manzil biriktirish")</f>
        <v>0</v>
      </c>
      <c r="AR175" s="11">
        <f>+COUNTIFS('muddati otgan'!C:C,A175,'muddati otgan'!J:J,"Bino va inshootlarni yaratish")</f>
        <v>0</v>
      </c>
      <c r="AS175" s="11">
        <f>+COUNTIFS('muddati otgan'!C:C,A175,'muddati otgan'!J:J,"Dov daraxtlarni yaratish")</f>
        <v>0</v>
      </c>
      <c r="AT175" s="11">
        <f>+COUNTIFS('muddati otgan'!C:C,A175,'muddati otgan'!J:J,"Yer uchastkasini tahrirlash")</f>
        <v>0</v>
      </c>
      <c r="AU175" s="11">
        <f t="shared" si="29"/>
        <v>0</v>
      </c>
      <c r="AV175" s="11">
        <f>+COUNTIFS('muddati otgan'!C:C,A175,'muddati otgan'!J:J,"Yer toifasi va maqsadini kiritish")</f>
        <v>0</v>
      </c>
      <c r="AW175" s="11">
        <f>+COUNTIFS('muddati otgan'!C:C,A175,'muddati otgan'!J:J,"Auksion yer tekshirish")</f>
        <v>0</v>
      </c>
      <c r="AX175" s="11">
        <f>+COUNTIFS('muddati otgan'!C:C,A175,'muddati otgan'!J:J,"Yer turlarini kiritish")</f>
        <v>0</v>
      </c>
      <c r="AY175" s="11">
        <f>+COUNTIFS('muddati otgan'!C:C,A175,'muddati otgan'!J:J,"Ma'lumotlarni kiritish")</f>
        <v>0</v>
      </c>
      <c r="AZ175" s="11">
        <f>+COUNTIFS('muddati otgan'!C:C,A175,'muddati otgan'!J:J,"Yer tekshirish")</f>
        <v>0</v>
      </c>
      <c r="BA175" s="11">
        <f t="shared" si="30"/>
        <v>0</v>
      </c>
      <c r="BB175" s="11">
        <f>+COUNTIFS('muddati otgan'!C:C,A175,'muddati otgan'!J:J,"Bino va inshoot ma'lumotlarini to‘ldirish")</f>
        <v>0</v>
      </c>
      <c r="BC175" s="11">
        <f>+COUNTIFS('muddati otgan'!C:C,A175,'muddati otgan'!J:J,"Inventarizatsiya ma'lumotlarini to‘ldirish")</f>
        <v>0</v>
      </c>
      <c r="BD175" s="11">
        <f>+COUNTIFS('muddati otgan'!C:C,A175,'muddati otgan'!J:J,"Yer uchastkasiga huquqiy hujjatlarni kiritsh")</f>
        <v>0</v>
      </c>
      <c r="BE175" s="11">
        <f>+COUNTIFS('muddati otgan'!C:C,A175,'muddati otgan'!J:J,"Bino-inshootlarga huquqiy hujjatlarni kiritsh")</f>
        <v>0</v>
      </c>
      <c r="BF175" s="11">
        <f>+COUNTIFS('muddati otgan'!C:C,A175,'muddati otgan'!J:J,"Kadastr qiymatini hisoblash va kiritish")</f>
        <v>0</v>
      </c>
      <c r="BG175" s="11">
        <f>+COUNTIFS('muddati otgan'!C:C,A175,'muddati otgan'!J:J,"Kadastr raqam biriktirish")</f>
        <v>0</v>
      </c>
      <c r="BH175" s="11">
        <f>+COUNTIFS('muddati otgan'!C:C,A175,'muddati otgan'!J:J,"Kadastr yig'ma jildni tayyorlash")</f>
        <v>0</v>
      </c>
      <c r="BI175" s="11">
        <f>+COUNTIFS('muddati otgan'!C:C,A175,'muddati otgan'!J:J,"Huquqni yaratish")</f>
        <v>0</v>
      </c>
      <c r="BJ175" s="11">
        <f>+COUNTIFS('muddati otgan'!C:C,A175,'muddati otgan'!J:J,"Hujjatlarni o'rganish")</f>
        <v>0</v>
      </c>
      <c r="BK175" s="11">
        <f>+COUNTIFS('muddati otgan'!C:C,A175,'muddati otgan'!J:J,"Ma'lumotlarni tekshirish")</f>
        <v>0</v>
      </c>
      <c r="BL175" s="11">
        <f t="shared" si="31"/>
        <v>0</v>
      </c>
      <c r="BM175" s="11">
        <f>+COUNTIFS('muddati otgan'!C:C,A175,'muddati otgan'!J:J,"Tekshirish")</f>
        <v>0</v>
      </c>
      <c r="BN175" s="11">
        <f>+COUNTIFS('muddati otgan'!C:C,A175,'muddati otgan'!J:J,"Hujjatlarni tekshirish")</f>
        <v>0</v>
      </c>
      <c r="BO175" s="11">
        <f>+COUNTIFS('muddati otgan'!C:C,A175,'muddati otgan'!J:J,"Tasdiqlash")</f>
        <v>0</v>
      </c>
      <c r="BP175" s="11">
        <f>+COUNTIFS('muddati otgan'!C:C,A175,'muddati otgan'!J:J,"tekshirish/tasdiqlash")</f>
        <v>0</v>
      </c>
      <c r="BQ175" s="11">
        <f>+COUNTIFS('muddati otgan'!C:C,A175,'muddati otgan'!J:J,"Ma'lumotlarni tasdiqlash")</f>
        <v>0</v>
      </c>
      <c r="BR175" s="11">
        <f t="shared" si="32"/>
        <v>0</v>
      </c>
      <c r="BS175" s="11">
        <f>+COUNTIFS('muddati otgan'!C:C,A175,'muddati otgan'!J:J,"Ro'yxatdan o'tkazish ma'lumotlarini tekshirish")</f>
        <v>0</v>
      </c>
      <c r="BT175" s="11">
        <f>+COUNTIFS('muddati otgan'!C:C,A175,'muddati otgan'!J:J,"Kamchiliklar bo'yicha habarnoma yuborish va 3 kunga to'xtatish")</f>
        <v>0</v>
      </c>
      <c r="BU175" s="11">
        <f>+COUNTIFS('muddati otgan'!C:C,A175,'muddati otgan'!J:J,"Hisobga olish")</f>
        <v>0</v>
      </c>
      <c r="BV175" s="11">
        <f>+COUNTIFS('muddati otgan'!C:C,A175,'muddati otgan'!J:J,"Yer uchastkasiga huquq yaratish")</f>
        <v>0</v>
      </c>
      <c r="BW175" s="11">
        <f>+COUNTIFS('muddati otgan'!C:C,A175,'muddati otgan'!J:J,"Bino-inshootga huquq yaratish")</f>
        <v>0</v>
      </c>
      <c r="BX175" s="11">
        <f>+COUNTIFS('muddati otgan'!C:C,A175,'muddati otgan'!J:J,"Cheklov yaratish")</f>
        <v>0</v>
      </c>
      <c r="BY175" s="11">
        <f>+COUNTIFS('muddati otgan'!C:C,A175,'muddati otgan'!J:J,"Taqiq yaratish")</f>
        <v>0</v>
      </c>
      <c r="BZ175" s="11">
        <f t="shared" si="33"/>
        <v>0</v>
      </c>
      <c r="CA175" s="11">
        <f>+COUNTIFS('muddati otgan'!C:C,A175,'muddati otgan'!J:J,"Soliq maydonini tekshirish")</f>
        <v>0</v>
      </c>
      <c r="CB175" s="11">
        <f t="shared" si="34"/>
        <v>0</v>
      </c>
      <c r="CC175" s="11">
        <f>+COUNTIFS('muddati otgan'!C:C,A175,'muddati otgan'!J:J,"Kadastr yig'majildini shakllantirish")</f>
        <v>0</v>
      </c>
      <c r="CD175" s="11">
        <f t="shared" si="35"/>
        <v>0</v>
      </c>
      <c r="CE175" s="11">
        <f>+COUNTIFS('muddati otgan'!C:C,A175,'muddati otgan'!J:J,"Kadastr passportini shakllantirish")</f>
        <v>0</v>
      </c>
      <c r="CF175" s="11">
        <f>+COUNTIFS('muddati otgan'!C:C,A175,'muddati otgan'!J:J,"Yig'ma jildni tasdiqlash")</f>
        <v>0</v>
      </c>
      <c r="CG175" s="11">
        <f>+COUNTIFS('muddati otgan'!C:C,A175,'muddati otgan'!J:J,"To'lov yoki bepul tasdiqlash")</f>
        <v>0</v>
      </c>
      <c r="CH175" s="11">
        <f>+COUNTIFS('muddati otgan'!C:C,A175,'muddati otgan'!J:J,"Bog'liq arizani kutish")</f>
        <v>0</v>
      </c>
      <c r="CI175" s="11">
        <f>+COUNTIFS('muddati otgan'!C:C,A175,'muddati otgan'!J:J,"To'lovga chiqarish")</f>
        <v>0</v>
      </c>
      <c r="CJ175" s="11">
        <f>+COUNTIFS('muddati otgan'!C:C,A175,'muddati otgan'!J:J,"Hisobga qo'yish")</f>
        <v>0</v>
      </c>
      <c r="CK175" s="6">
        <f>+COUNTIFS('muddati otgan'!C:C,A175,'muddati otgan'!J:J,"To'lov kutilmoqda")</f>
        <v>0</v>
      </c>
      <c r="CL175" s="11">
        <f t="shared" si="36"/>
        <v>0</v>
      </c>
      <c r="CM175" s="11">
        <f>+COUNTIFS('muddati otgan'!C:C,A175,'muddati otgan'!AA:AA,"Arizani qabul qilish2")</f>
        <v>0</v>
      </c>
      <c r="CN175" s="11">
        <f>+COUNTIFS('muddati otgan'!C:C,A175,'muddati otgan'!J:J,"Huquqlarni tekshirish")</f>
        <v>0</v>
      </c>
      <c r="CO175" s="11">
        <f>+COUNTIFS('muddati otgan'!C:C,A175,'muddati otgan'!J:J,"Ko'chmas mulkni ro'yhatdan o'tkazishga qabul qilish")</f>
        <v>0</v>
      </c>
      <c r="CP175" s="11">
        <f>+COUNTIFS('muddati otgan'!C:C,A175,'muddati otgan'!J:J,"Ro'yxatdan o'tkazish")</f>
        <v>0</v>
      </c>
      <c r="CQ175" s="11">
        <f>+COUNTIFS('muddati otgan'!C:C,A175,'muddati otgan'!J:J,"Kadastr pasporti va ko'chirmani yuborish")</f>
        <v>0</v>
      </c>
      <c r="CR175" s="11">
        <f>+COUNTIFS('muddati otgan'!C:C,A175,'muddati otgan'!AA:AA,"Rad qilish2")</f>
        <v>0</v>
      </c>
      <c r="CS175" s="11">
        <f>+COUNTIFS('muddati otgan'!C:C,A175,'muddati otgan'!J:J,"Ko'chirmani yuborish")</f>
        <v>0</v>
      </c>
      <c r="CT175" s="11">
        <f>+COUNTIFS('muddati otgan'!C:C,A175,'muddati otgan'!J:J,"Ma‘lumotlarni tekshirish")</f>
        <v>0</v>
      </c>
      <c r="CU175" s="11">
        <f t="shared" si="37"/>
        <v>0</v>
      </c>
      <c r="CV175" s="11">
        <f>+COUNTIFS('muddati otgan'!C:C,A175,'muddati otgan'!J:J,"Kadastr yig'majildini chop etish va arxiv ishiga tikish")</f>
        <v>0</v>
      </c>
      <c r="CW175" s="11">
        <f t="shared" si="38"/>
        <v>0</v>
      </c>
      <c r="CX175" s="11">
        <f>+COUNTIFS('muddati otgan'!C:C,A175,'muddati otgan'!J:J,"Kadastr yig‘majildini qabul qilish, arizani yakunlash")</f>
        <v>0</v>
      </c>
      <c r="CY175" s="11">
        <f>+COUNTIFS('muddati otgan'!C:C,A175,'muddati otgan'!J:J,"Next Cloudga yuklash")</f>
        <v>0</v>
      </c>
      <c r="CZ175" s="6">
        <f>+COUNTIFS('muddati otgan'!C:C,A175,'muddati otgan'!J:J,"Kelishish kutilmoqda")</f>
        <v>0</v>
      </c>
      <c r="DA175" s="6">
        <f>+COUNTIFS('muddati otgan'!C:C,A175,'muddati otgan'!J:J,"Yakunlandi")</f>
        <v>0</v>
      </c>
      <c r="DB175" s="10">
        <f>+COUNTIFS('muddati otgan'!C:C,A175,'muddati otgan'!J:J,"Rad etildi")</f>
        <v>0</v>
      </c>
      <c r="DC175" s="100">
        <f t="shared" si="5"/>
        <v>0</v>
      </c>
      <c r="DD175" s="44">
        <f>COUNTIFS('jami 1-20 kunlik arizalar'!C:C,A:A,'jami 1-20 kunlik arizalar'!S:S,"1")</f>
        <v>0</v>
      </c>
      <c r="DE175" s="11">
        <f>COUNTIFS('jami 1-20 kunlik arizalar'!C:C,A:A,'jami 1-20 kunlik arizalar'!S:S,"2")</f>
        <v>0</v>
      </c>
      <c r="DF175" s="11">
        <f>COUNTIFS('jami 1-20 kunlik arizalar'!C:C,A:A,'jami 1-20 kunlik arizalar'!S:S,"3")</f>
        <v>4</v>
      </c>
      <c r="DG175" s="11">
        <f>COUNTIFS('jami 1-20 kunlik arizalar'!C:C,A:A,'jami 1-20 kunlik arizalar'!S:S,"4")</f>
        <v>0</v>
      </c>
      <c r="DH175" s="11">
        <f>COUNTIFS('jami 1-20 kunlik arizalar'!C:C,A:A,'jami 1-20 kunlik arizalar'!S:S,"5")</f>
        <v>0</v>
      </c>
      <c r="DI175" s="11">
        <f>SUM(COUNTIFS('jami 1-20 kunlik arizalar'!C:C,A:A, 'jami 1-20 kunlik arizalar'!S:S, {6,7,8,9,10}))</f>
        <v>3</v>
      </c>
      <c r="DJ175" s="12">
        <f>SUM(COUNTIFS('jami 1-20 kunlik arizalar'!C:C,A:A, 'jami 1-20 kunlik arizalar'!S:S, "&gt;10"))</f>
        <v>4</v>
      </c>
    </row>
    <row r="176" spans="1:115" ht="35.1" hidden="1" customHeight="1" outlineLevel="1" x14ac:dyDescent="0.25">
      <c r="A176" s="92" t="s">
        <v>722</v>
      </c>
      <c r="B176" s="74"/>
      <c r="C176" s="85" t="s">
        <v>872</v>
      </c>
      <c r="D176" s="80">
        <f>+COUNTIFS('muddati otgan'!C:C,A176,'muddati otgan'!C:C,A176)</f>
        <v>2</v>
      </c>
      <c r="E176" s="10">
        <f>SUMIFS('muddati otgan'!$V:V,'muddati otgan'!$C:C,$A:A)</f>
        <v>1</v>
      </c>
      <c r="F176" s="10">
        <f>SUMIFS('muddati otgan'!$W:W,'muddati otgan'!$C:C,$A:A)</f>
        <v>1</v>
      </c>
      <c r="G176" s="24">
        <f>SUMIFS('muddati otgan'!$U:U,'muddati otgan'!$C:C,$A:A)</f>
        <v>0</v>
      </c>
      <c r="H176" s="11">
        <f>SUMIFS('muddati otgan'!$G:G,'muddati otgan'!$C:C,$A:A)</f>
        <v>2</v>
      </c>
      <c r="I176" s="12">
        <f>SUMIFS('muddati otgan'!$H:H,'muddati otgan'!$C:C,$A:A)</f>
        <v>0</v>
      </c>
      <c r="J176" s="44">
        <f t="shared" si="23"/>
        <v>0</v>
      </c>
      <c r="K176" s="11">
        <f>+COUNTIFS('muddati otgan'!C:C,A176,'muddati otgan'!AA:AA,"Arizani qabul qilish")</f>
        <v>0</v>
      </c>
      <c r="L176" s="11">
        <f>+COUNTIFS('muddati otgan'!C:C,A176,'muddati otgan'!J:J,"Arizani rad etish")</f>
        <v>0</v>
      </c>
      <c r="M176" s="11">
        <f>+COUNTIFS('muddati otgan'!C:C,A176,'muddati otgan'!J:J,"Arizani tasdiqlash")</f>
        <v>0</v>
      </c>
      <c r="N176" s="11">
        <f>+COUNTIFS('muddati otgan'!C:C,A176,'muddati otgan'!J:J,"Arizani yo'naltirish")</f>
        <v>0</v>
      </c>
      <c r="O176" s="11">
        <f>+COUNTIFS('muddati otgan'!C:C,A176,'muddati otgan'!J:J,"Rad qilish sababini o'rganish")</f>
        <v>0</v>
      </c>
      <c r="P176" s="11">
        <f>+COUNTIFS('muddati otgan'!C:C,A176,'muddati otgan'!J:J,"Ko'chmas mulkni UZKAD ga migratsiya qilish")</f>
        <v>0</v>
      </c>
      <c r="Q176" s="11">
        <f>+COUNTIFS('muddati otgan'!C:C,A176,'muddati otgan'!J:J,"Migratisya qilingan obyekt holatini tekshirish")</f>
        <v>0</v>
      </c>
      <c r="R176" s="11">
        <f>+COUNTIFS('muddati otgan'!C:C,A176,'muddati otgan'!J:J,"Ko‘chmas mulkni tanlash")</f>
        <v>0</v>
      </c>
      <c r="S176" s="11">
        <f>+COUNTIFS('muddati otgan'!C:C,A176,'muddati otgan'!J:J,"Arizani ko'rib chiqish")</f>
        <v>0</v>
      </c>
      <c r="T176" s="11">
        <f>+COUNTIFS('muddati otgan'!C:C,A176,'muddati otgan'!J:J,"Kadastr muhandisini tanlash")</f>
        <v>0</v>
      </c>
      <c r="U176" s="11">
        <f>+COUNTIFS('muddati otgan'!C:C,A176,'muddati otgan'!J:J,"Ko'chmas mulk turini tanlahsh")</f>
        <v>0</v>
      </c>
      <c r="V176" s="11">
        <f>+COUNTIFS('muddati otgan'!C:C,A176,'muddati otgan'!AA:AA,"Rad qilish")</f>
        <v>0</v>
      </c>
      <c r="W176" s="11">
        <f>+COUNTIFS('muddati otgan'!C:C,A176,'muddati otgan'!J:J,"ijrochi tanlash")</f>
        <v>0</v>
      </c>
      <c r="X176" s="11">
        <f>+COUNTIFS('muddati otgan'!C:C,A176,'muddati otgan'!J:J,"Ko'chmas mulk turini tanlash")</f>
        <v>0</v>
      </c>
      <c r="Y176" s="11">
        <f t="shared" si="24"/>
        <v>0</v>
      </c>
      <c r="Z176" s="11">
        <f>+COUNTIFS('muddati otgan'!C:C,A176,'muddati otgan'!J:J,"Ijroga qabul qilish")</f>
        <v>0</v>
      </c>
      <c r="AA176" s="11">
        <f>+COUNTIFS('muddati otgan'!C:C,A176,'muddati otgan'!J:J,"Joyida o'rganish va ma'lumotlarni kiritish")</f>
        <v>0</v>
      </c>
      <c r="AB176" s="11">
        <f>+COUNTIFS('muddati otgan'!C:C,A176,'muddati otgan'!J:J,"Asosiy qismdan ajratish jarayonida")</f>
        <v>0</v>
      </c>
      <c r="AC176" s="11">
        <f>+COUNTIFS('muddati otgan'!C:C,A176,'muddati otgan'!J:J,"Umumiy foydalanishdagi obyekt yaratilish")</f>
        <v>0</v>
      </c>
      <c r="AD176" s="11">
        <f>+COUNTIFS('muddati otgan'!C:C,A176,'muddati otgan'!J:J,"Migratsiya qilinadigan kadastr raqamini kiritish")</f>
        <v>0</v>
      </c>
      <c r="AE176" s="11">
        <f>+COUNTIFS('muddati otgan'!C:C,A176,'muddati otgan'!J:J,"O'zida qolgan obyektni yaratish")</f>
        <v>0</v>
      </c>
      <c r="AF176" s="11">
        <f>+COUNTIFS('muddati otgan'!C:C,A176,'muddati otgan'!J:J,"O'lchov natijalarini kiritish")</f>
        <v>0</v>
      </c>
      <c r="AG176" s="11">
        <f>+COUNTIFS('muddati otgan'!C:C,A176,'muddati otgan'!J:J,"Topoxaritani tayyorlash (dwg, pdf)")</f>
        <v>0</v>
      </c>
      <c r="AH176" s="11">
        <f t="shared" si="25"/>
        <v>0</v>
      </c>
      <c r="AI176" s="11">
        <f>+COUNTIFS('muddati otgan'!C:C,A176,'muddati otgan'!J:J,"Yer uchastkasini yaratish")</f>
        <v>0</v>
      </c>
      <c r="AJ176" s="11">
        <f t="shared" si="26"/>
        <v>0</v>
      </c>
      <c r="AK176" s="11">
        <f>+COUNTIFS('muddati otgan'!C:C,A176,'muddati otgan'!J:J,"Kelishish (Boshqarma)")</f>
        <v>0</v>
      </c>
      <c r="AL176" s="11">
        <f t="shared" si="27"/>
        <v>0</v>
      </c>
      <c r="AM176" s="11">
        <f>+COUNTIFS('muddati otgan'!C:C,A176,'muddati otgan'!J:J,"Kelishish (DKP)")</f>
        <v>0</v>
      </c>
      <c r="AN176" s="11">
        <f>+COUNTIFS('muddati otgan'!C:C,A176,'muddati otgan'!J:J,"Kelishish")</f>
        <v>0</v>
      </c>
      <c r="AO176" s="11">
        <f>+COUNTIFS('muddati otgan'!C:C,A176,'muddati otgan'!J:J,"Kelishish (Registratsiya DKP)")</f>
        <v>0</v>
      </c>
      <c r="AP176" s="11">
        <f t="shared" si="28"/>
        <v>0</v>
      </c>
      <c r="AQ176" s="11">
        <f>+COUNTIFS('muddati otgan'!C:C,A176,'muddati otgan'!J:J,"Manzil biriktirish")</f>
        <v>0</v>
      </c>
      <c r="AR176" s="11">
        <f>+COUNTIFS('muddati otgan'!C:C,A176,'muddati otgan'!J:J,"Bino va inshootlarni yaratish")</f>
        <v>0</v>
      </c>
      <c r="AS176" s="11">
        <f>+COUNTIFS('muddati otgan'!C:C,A176,'muddati otgan'!J:J,"Dov daraxtlarni yaratish")</f>
        <v>0</v>
      </c>
      <c r="AT176" s="11">
        <f>+COUNTIFS('muddati otgan'!C:C,A176,'muddati otgan'!J:J,"Yer uchastkasini tahrirlash")</f>
        <v>0</v>
      </c>
      <c r="AU176" s="11">
        <f t="shared" si="29"/>
        <v>0</v>
      </c>
      <c r="AV176" s="11">
        <f>+COUNTIFS('muddati otgan'!C:C,A176,'muddati otgan'!J:J,"Yer toifasi va maqsadini kiritish")</f>
        <v>0</v>
      </c>
      <c r="AW176" s="11">
        <f>+COUNTIFS('muddati otgan'!C:C,A176,'muddati otgan'!J:J,"Auksion yer tekshirish")</f>
        <v>0</v>
      </c>
      <c r="AX176" s="11">
        <f>+COUNTIFS('muddati otgan'!C:C,A176,'muddati otgan'!J:J,"Yer turlarini kiritish")</f>
        <v>0</v>
      </c>
      <c r="AY176" s="11">
        <f>+COUNTIFS('muddati otgan'!C:C,A176,'muddati otgan'!J:J,"Ma'lumotlarni kiritish")</f>
        <v>0</v>
      </c>
      <c r="AZ176" s="11">
        <f>+COUNTIFS('muddati otgan'!C:C,A176,'muddati otgan'!J:J,"Yer tekshirish")</f>
        <v>0</v>
      </c>
      <c r="BA176" s="11">
        <f t="shared" si="30"/>
        <v>0</v>
      </c>
      <c r="BB176" s="11">
        <f>+COUNTIFS('muddati otgan'!C:C,A176,'muddati otgan'!J:J,"Bino va inshoot ma'lumotlarini to‘ldirish")</f>
        <v>0</v>
      </c>
      <c r="BC176" s="11">
        <f>+COUNTIFS('muddati otgan'!C:C,A176,'muddati otgan'!J:J,"Inventarizatsiya ma'lumotlarini to‘ldirish")</f>
        <v>0</v>
      </c>
      <c r="BD176" s="11">
        <f>+COUNTIFS('muddati otgan'!C:C,A176,'muddati otgan'!J:J,"Yer uchastkasiga huquqiy hujjatlarni kiritsh")</f>
        <v>0</v>
      </c>
      <c r="BE176" s="11">
        <f>+COUNTIFS('muddati otgan'!C:C,A176,'muddati otgan'!J:J,"Bino-inshootlarga huquqiy hujjatlarni kiritsh")</f>
        <v>0</v>
      </c>
      <c r="BF176" s="11">
        <f>+COUNTIFS('muddati otgan'!C:C,A176,'muddati otgan'!J:J,"Kadastr qiymatini hisoblash va kiritish")</f>
        <v>0</v>
      </c>
      <c r="BG176" s="11">
        <f>+COUNTIFS('muddati otgan'!C:C,A176,'muddati otgan'!J:J,"Kadastr raqam biriktirish")</f>
        <v>0</v>
      </c>
      <c r="BH176" s="11">
        <f>+COUNTIFS('muddati otgan'!C:C,A176,'muddati otgan'!J:J,"Kadastr yig'ma jildni tayyorlash")</f>
        <v>0</v>
      </c>
      <c r="BI176" s="11">
        <f>+COUNTIFS('muddati otgan'!C:C,A176,'muddati otgan'!J:J,"Huquqni yaratish")</f>
        <v>0</v>
      </c>
      <c r="BJ176" s="11">
        <f>+COUNTIFS('muddati otgan'!C:C,A176,'muddati otgan'!J:J,"Hujjatlarni o'rganish")</f>
        <v>0</v>
      </c>
      <c r="BK176" s="11">
        <f>+COUNTIFS('muddati otgan'!C:C,A176,'muddati otgan'!J:J,"Ma'lumotlarni tekshirish")</f>
        <v>0</v>
      </c>
      <c r="BL176" s="11">
        <f t="shared" si="31"/>
        <v>1</v>
      </c>
      <c r="BM176" s="11">
        <f>+COUNTIFS('muddati otgan'!C:C,A176,'muddati otgan'!J:J,"Tekshirish")</f>
        <v>1</v>
      </c>
      <c r="BN176" s="11">
        <f>+COUNTIFS('muddati otgan'!C:C,A176,'muddati otgan'!J:J,"Hujjatlarni tekshirish")</f>
        <v>0</v>
      </c>
      <c r="BO176" s="11">
        <f>+COUNTIFS('muddati otgan'!C:C,A176,'muddati otgan'!J:J,"Tasdiqlash")</f>
        <v>0</v>
      </c>
      <c r="BP176" s="11">
        <f>+COUNTIFS('muddati otgan'!C:C,A176,'muddati otgan'!J:J,"tekshirish/tasdiqlash")</f>
        <v>0</v>
      </c>
      <c r="BQ176" s="11">
        <f>+COUNTIFS('muddati otgan'!C:C,A176,'muddati otgan'!J:J,"Ma'lumotlarni tasdiqlash")</f>
        <v>0</v>
      </c>
      <c r="BR176" s="11">
        <f t="shared" si="32"/>
        <v>0</v>
      </c>
      <c r="BS176" s="11">
        <f>+COUNTIFS('muddati otgan'!C:C,A176,'muddati otgan'!J:J,"Ro'yxatdan o'tkazish ma'lumotlarini tekshirish")</f>
        <v>0</v>
      </c>
      <c r="BT176" s="11">
        <f>+COUNTIFS('muddati otgan'!C:C,A176,'muddati otgan'!J:J,"Kamchiliklar bo'yicha habarnoma yuborish va 3 kunga to'xtatish")</f>
        <v>0</v>
      </c>
      <c r="BU176" s="11">
        <f>+COUNTIFS('muddati otgan'!C:C,A176,'muddati otgan'!J:J,"Hisobga olish")</f>
        <v>0</v>
      </c>
      <c r="BV176" s="11">
        <f>+COUNTIFS('muddati otgan'!C:C,A176,'muddati otgan'!J:J,"Yer uchastkasiga huquq yaratish")</f>
        <v>0</v>
      </c>
      <c r="BW176" s="11">
        <f>+COUNTIFS('muddati otgan'!C:C,A176,'muddati otgan'!J:J,"Bino-inshootga huquq yaratish")</f>
        <v>0</v>
      </c>
      <c r="BX176" s="11">
        <f>+COUNTIFS('muddati otgan'!C:C,A176,'muddati otgan'!J:J,"Cheklov yaratish")</f>
        <v>0</v>
      </c>
      <c r="BY176" s="11">
        <f>+COUNTIFS('muddati otgan'!C:C,A176,'muddati otgan'!J:J,"Taqiq yaratish")</f>
        <v>0</v>
      </c>
      <c r="BZ176" s="11">
        <f t="shared" si="33"/>
        <v>0</v>
      </c>
      <c r="CA176" s="11">
        <f>+COUNTIFS('muddati otgan'!C:C,A176,'muddati otgan'!J:J,"Soliq maydonini tekshirish")</f>
        <v>0</v>
      </c>
      <c r="CB176" s="11">
        <f t="shared" si="34"/>
        <v>0</v>
      </c>
      <c r="CC176" s="11">
        <f>+COUNTIFS('muddati otgan'!C:C,A176,'muddati otgan'!J:J,"Kadastr yig'majildini shakllantirish")</f>
        <v>0</v>
      </c>
      <c r="CD176" s="11">
        <f t="shared" si="35"/>
        <v>0</v>
      </c>
      <c r="CE176" s="11">
        <f>+COUNTIFS('muddati otgan'!C:C,A176,'muddati otgan'!J:J,"Kadastr passportini shakllantirish")</f>
        <v>0</v>
      </c>
      <c r="CF176" s="11">
        <f>+COUNTIFS('muddati otgan'!C:C,A176,'muddati otgan'!J:J,"Yig'ma jildni tasdiqlash")</f>
        <v>0</v>
      </c>
      <c r="CG176" s="11">
        <f>+COUNTIFS('muddati otgan'!C:C,A176,'muddati otgan'!J:J,"To'lov yoki bepul tasdiqlash")</f>
        <v>0</v>
      </c>
      <c r="CH176" s="11">
        <f>+COUNTIFS('muddati otgan'!C:C,A176,'muddati otgan'!J:J,"Bog'liq arizani kutish")</f>
        <v>0</v>
      </c>
      <c r="CI176" s="11">
        <f>+COUNTIFS('muddati otgan'!C:C,A176,'muddati otgan'!J:J,"To'lovga chiqarish")</f>
        <v>0</v>
      </c>
      <c r="CJ176" s="11">
        <f>+COUNTIFS('muddati otgan'!C:C,A176,'muddati otgan'!J:J,"Hisobga qo'yish")</f>
        <v>0</v>
      </c>
      <c r="CK176" s="6">
        <f>+COUNTIFS('muddati otgan'!C:C,A176,'muddati otgan'!J:J,"To'lov kutilmoqda")</f>
        <v>0</v>
      </c>
      <c r="CL176" s="11">
        <f t="shared" si="36"/>
        <v>0</v>
      </c>
      <c r="CM176" s="11">
        <f>+COUNTIFS('muddati otgan'!C:C,A176,'muddati otgan'!AA:AA,"Arizani qabul qilish2")</f>
        <v>0</v>
      </c>
      <c r="CN176" s="11">
        <f>+COUNTIFS('muddati otgan'!C:C,A176,'muddati otgan'!J:J,"Huquqlarni tekshirish")</f>
        <v>0</v>
      </c>
      <c r="CO176" s="11">
        <f>+COUNTIFS('muddati otgan'!C:C,A176,'muddati otgan'!J:J,"Ko'chmas mulkni ro'yhatdan o'tkazishga qabul qilish")</f>
        <v>0</v>
      </c>
      <c r="CP176" s="11">
        <f>+COUNTIFS('muddati otgan'!C:C,A176,'muddati otgan'!J:J,"Ro'yxatdan o'tkazish")</f>
        <v>0</v>
      </c>
      <c r="CQ176" s="11">
        <f>+COUNTIFS('muddati otgan'!C:C,A176,'muddati otgan'!J:J,"Kadastr pasporti va ko'chirmani yuborish")</f>
        <v>0</v>
      </c>
      <c r="CR176" s="11">
        <f>+COUNTIFS('muddati otgan'!C:C,A176,'muddati otgan'!AA:AA,"Rad qilish2")</f>
        <v>0</v>
      </c>
      <c r="CS176" s="11">
        <f>+COUNTIFS('muddati otgan'!C:C,A176,'muddati otgan'!J:J,"Ko'chirmani yuborish")</f>
        <v>0</v>
      </c>
      <c r="CT176" s="11">
        <f>+COUNTIFS('muddati otgan'!C:C,A176,'muddati otgan'!J:J,"Ma‘lumotlarni tekshirish")</f>
        <v>0</v>
      </c>
      <c r="CU176" s="11">
        <f t="shared" si="37"/>
        <v>0</v>
      </c>
      <c r="CV176" s="11">
        <f>+COUNTIFS('muddati otgan'!C:C,A176,'muddati otgan'!J:J,"Kadastr yig'majildini chop etish va arxiv ishiga tikish")</f>
        <v>0</v>
      </c>
      <c r="CW176" s="11">
        <f t="shared" si="38"/>
        <v>0</v>
      </c>
      <c r="CX176" s="11">
        <f>+COUNTIFS('muddati otgan'!C:C,A176,'muddati otgan'!J:J,"Kadastr yig‘majildini qabul qilish, arizani yakunlash")</f>
        <v>0</v>
      </c>
      <c r="CY176" s="11">
        <f>+COUNTIFS('muddati otgan'!C:C,A176,'muddati otgan'!J:J,"Next Cloudga yuklash")</f>
        <v>0</v>
      </c>
      <c r="CZ176" s="6">
        <f>+COUNTIFS('muddati otgan'!C:C,A176,'muddati otgan'!J:J,"Kelishish kutilmoqda")</f>
        <v>0</v>
      </c>
      <c r="DA176" s="6">
        <f>+COUNTIFS('muddati otgan'!C:C,A176,'muddati otgan'!J:J,"Yakunlandi")</f>
        <v>1</v>
      </c>
      <c r="DB176" s="10">
        <f>+COUNTIFS('muddati otgan'!C:C,A176,'muddati otgan'!J:J,"Rad etildi")</f>
        <v>0</v>
      </c>
      <c r="DC176" s="100">
        <f t="shared" si="5"/>
        <v>-1</v>
      </c>
      <c r="DD176" s="44">
        <f>COUNTIFS('jami 1-20 kunlik arizalar'!C:C,A:A,'jami 1-20 kunlik arizalar'!S:S,"1")</f>
        <v>0</v>
      </c>
      <c r="DE176" s="11">
        <f>COUNTIFS('jami 1-20 kunlik arizalar'!C:C,A:A,'jami 1-20 kunlik arizalar'!S:S,"2")</f>
        <v>0</v>
      </c>
      <c r="DF176" s="11">
        <f>COUNTIFS('jami 1-20 kunlik arizalar'!C:C,A:A,'jami 1-20 kunlik arizalar'!S:S,"3")</f>
        <v>0</v>
      </c>
      <c r="DG176" s="11">
        <f>COUNTIFS('jami 1-20 kunlik arizalar'!C:C,A:A,'jami 1-20 kunlik arizalar'!S:S,"4")</f>
        <v>3</v>
      </c>
      <c r="DH176" s="11">
        <f>COUNTIFS('jami 1-20 kunlik arizalar'!C:C,A:A,'jami 1-20 kunlik arizalar'!S:S,"5")</f>
        <v>2</v>
      </c>
      <c r="DI176" s="11">
        <f>SUM(COUNTIFS('jami 1-20 kunlik arizalar'!C:C,A:A, 'jami 1-20 kunlik arizalar'!S:S, {6,7,8,9,10}))</f>
        <v>4</v>
      </c>
      <c r="DJ176" s="12">
        <f>SUM(COUNTIFS('jami 1-20 kunlik arizalar'!C:C,A:A, 'jami 1-20 kunlik arizalar'!S:S, "&gt;10"))</f>
        <v>1</v>
      </c>
    </row>
    <row r="177" spans="1:115" ht="35.1" hidden="1" customHeight="1" outlineLevel="1" x14ac:dyDescent="0.25">
      <c r="A177" s="92" t="s">
        <v>718</v>
      </c>
      <c r="B177" s="74"/>
      <c r="C177" s="85" t="s">
        <v>873</v>
      </c>
      <c r="D177" s="80">
        <f>+COUNTIFS('muddati otgan'!C:C,A177,'muddati otgan'!C:C,A177)</f>
        <v>2</v>
      </c>
      <c r="E177" s="10">
        <f>SUMIFS('muddati otgan'!$V:V,'muddati otgan'!$C:C,$A:A)</f>
        <v>1</v>
      </c>
      <c r="F177" s="10">
        <f>SUMIFS('muddati otgan'!$W:W,'muddati otgan'!$C:C,$A:A)</f>
        <v>0</v>
      </c>
      <c r="G177" s="24">
        <f>SUMIFS('muddati otgan'!$U:U,'muddati otgan'!$C:C,$A:A)</f>
        <v>1</v>
      </c>
      <c r="H177" s="11">
        <f>SUMIFS('muddati otgan'!$G:G,'muddati otgan'!$C:C,$A:A)</f>
        <v>1</v>
      </c>
      <c r="I177" s="12">
        <f>SUMIFS('muddati otgan'!$H:H,'muddati otgan'!$C:C,$A:A)</f>
        <v>1</v>
      </c>
      <c r="J177" s="44">
        <f t="shared" si="23"/>
        <v>0</v>
      </c>
      <c r="K177" s="11">
        <f>+COUNTIFS('muddati otgan'!C:C,A177,'muddati otgan'!AA:AA,"Arizani qabul qilish")</f>
        <v>0</v>
      </c>
      <c r="L177" s="11">
        <f>+COUNTIFS('muddati otgan'!C:C,A177,'muddati otgan'!J:J,"Arizani rad etish")</f>
        <v>0</v>
      </c>
      <c r="M177" s="11">
        <f>+COUNTIFS('muddati otgan'!C:C,A177,'muddati otgan'!J:J,"Arizani tasdiqlash")</f>
        <v>0</v>
      </c>
      <c r="N177" s="11">
        <f>+COUNTIFS('muddati otgan'!C:C,A177,'muddati otgan'!J:J,"Arizani yo'naltirish")</f>
        <v>0</v>
      </c>
      <c r="O177" s="11">
        <f>+COUNTIFS('muddati otgan'!C:C,A177,'muddati otgan'!J:J,"Rad qilish sababini o'rganish")</f>
        <v>0</v>
      </c>
      <c r="P177" s="11">
        <f>+COUNTIFS('muddati otgan'!C:C,A177,'muddati otgan'!J:J,"Ko'chmas mulkni UZKAD ga migratsiya qilish")</f>
        <v>0</v>
      </c>
      <c r="Q177" s="11">
        <f>+COUNTIFS('muddati otgan'!C:C,A177,'muddati otgan'!J:J,"Migratisya qilingan obyekt holatini tekshirish")</f>
        <v>0</v>
      </c>
      <c r="R177" s="11">
        <f>+COUNTIFS('muddati otgan'!C:C,A177,'muddati otgan'!J:J,"Ko‘chmas mulkni tanlash")</f>
        <v>0</v>
      </c>
      <c r="S177" s="11">
        <f>+COUNTIFS('muddati otgan'!C:C,A177,'muddati otgan'!J:J,"Arizani ko'rib chiqish")</f>
        <v>0</v>
      </c>
      <c r="T177" s="11">
        <f>+COUNTIFS('muddati otgan'!C:C,A177,'muddati otgan'!J:J,"Kadastr muhandisini tanlash")</f>
        <v>0</v>
      </c>
      <c r="U177" s="11">
        <f>+COUNTIFS('muddati otgan'!C:C,A177,'muddati otgan'!J:J,"Ko'chmas mulk turini tanlahsh")</f>
        <v>0</v>
      </c>
      <c r="V177" s="11">
        <f>+COUNTIFS('muddati otgan'!C:C,A177,'muddati otgan'!AA:AA,"Rad qilish")</f>
        <v>0</v>
      </c>
      <c r="W177" s="11">
        <f>+COUNTIFS('muddati otgan'!C:C,A177,'muddati otgan'!J:J,"ijrochi tanlash")</f>
        <v>0</v>
      </c>
      <c r="X177" s="11">
        <f>+COUNTIFS('muddati otgan'!C:C,A177,'muddati otgan'!J:J,"Ko'chmas mulk turini tanlash")</f>
        <v>0</v>
      </c>
      <c r="Y177" s="11">
        <f t="shared" si="24"/>
        <v>0</v>
      </c>
      <c r="Z177" s="11">
        <f>+COUNTIFS('muddati otgan'!C:C,A177,'muddati otgan'!J:J,"Ijroga qabul qilish")</f>
        <v>0</v>
      </c>
      <c r="AA177" s="11">
        <f>+COUNTIFS('muddati otgan'!C:C,A177,'muddati otgan'!J:J,"Joyida o'rganish va ma'lumotlarni kiritish")</f>
        <v>0</v>
      </c>
      <c r="AB177" s="11">
        <f>+COUNTIFS('muddati otgan'!C:C,A177,'muddati otgan'!J:J,"Asosiy qismdan ajratish jarayonida")</f>
        <v>0</v>
      </c>
      <c r="AC177" s="11">
        <f>+COUNTIFS('muddati otgan'!C:C,A177,'muddati otgan'!J:J,"Umumiy foydalanishdagi obyekt yaratilish")</f>
        <v>0</v>
      </c>
      <c r="AD177" s="11">
        <f>+COUNTIFS('muddati otgan'!C:C,A177,'muddati otgan'!J:J,"Migratsiya qilinadigan kadastr raqamini kiritish")</f>
        <v>0</v>
      </c>
      <c r="AE177" s="11">
        <f>+COUNTIFS('muddati otgan'!C:C,A177,'muddati otgan'!J:J,"O'zida qolgan obyektni yaratish")</f>
        <v>0</v>
      </c>
      <c r="AF177" s="11">
        <f>+COUNTIFS('muddati otgan'!C:C,A177,'muddati otgan'!J:J,"O'lchov natijalarini kiritish")</f>
        <v>0</v>
      </c>
      <c r="AG177" s="11">
        <f>+COUNTIFS('muddati otgan'!C:C,A177,'muddati otgan'!J:J,"Topoxaritani tayyorlash (dwg, pdf)")</f>
        <v>0</v>
      </c>
      <c r="AH177" s="11">
        <f t="shared" si="25"/>
        <v>0</v>
      </c>
      <c r="AI177" s="11">
        <f>+COUNTIFS('muddati otgan'!C:C,A177,'muddati otgan'!J:J,"Yer uchastkasini yaratish")</f>
        <v>0</v>
      </c>
      <c r="AJ177" s="11">
        <f t="shared" si="26"/>
        <v>0</v>
      </c>
      <c r="AK177" s="11">
        <f>+COUNTIFS('muddati otgan'!C:C,A177,'muddati otgan'!J:J,"Kelishish (Boshqarma)")</f>
        <v>0</v>
      </c>
      <c r="AL177" s="11">
        <f t="shared" si="27"/>
        <v>0</v>
      </c>
      <c r="AM177" s="11">
        <f>+COUNTIFS('muddati otgan'!C:C,A177,'muddati otgan'!J:J,"Kelishish (DKP)")</f>
        <v>0</v>
      </c>
      <c r="AN177" s="11">
        <f>+COUNTIFS('muddati otgan'!C:C,A177,'muddati otgan'!J:J,"Kelishish")</f>
        <v>0</v>
      </c>
      <c r="AO177" s="11">
        <f>+COUNTIFS('muddati otgan'!C:C,A177,'muddati otgan'!J:J,"Kelishish (Registratsiya DKP)")</f>
        <v>0</v>
      </c>
      <c r="AP177" s="11">
        <f t="shared" si="28"/>
        <v>0</v>
      </c>
      <c r="AQ177" s="11">
        <f>+COUNTIFS('muddati otgan'!C:C,A177,'muddati otgan'!J:J,"Manzil biriktirish")</f>
        <v>0</v>
      </c>
      <c r="AR177" s="11">
        <f>+COUNTIFS('muddati otgan'!C:C,A177,'muddati otgan'!J:J,"Bino va inshootlarni yaratish")</f>
        <v>0</v>
      </c>
      <c r="AS177" s="11">
        <f>+COUNTIFS('muddati otgan'!C:C,A177,'muddati otgan'!J:J,"Dov daraxtlarni yaratish")</f>
        <v>0</v>
      </c>
      <c r="AT177" s="11">
        <f>+COUNTIFS('muddati otgan'!C:C,A177,'muddati otgan'!J:J,"Yer uchastkasini tahrirlash")</f>
        <v>0</v>
      </c>
      <c r="AU177" s="11">
        <f t="shared" si="29"/>
        <v>0</v>
      </c>
      <c r="AV177" s="11">
        <f>+COUNTIFS('muddati otgan'!C:C,A177,'muddati otgan'!J:J,"Yer toifasi va maqsadini kiritish")</f>
        <v>0</v>
      </c>
      <c r="AW177" s="11">
        <f>+COUNTIFS('muddati otgan'!C:C,A177,'muddati otgan'!J:J,"Auksion yer tekshirish")</f>
        <v>0</v>
      </c>
      <c r="AX177" s="11">
        <f>+COUNTIFS('muddati otgan'!C:C,A177,'muddati otgan'!J:J,"Yer turlarini kiritish")</f>
        <v>0</v>
      </c>
      <c r="AY177" s="11">
        <f>+COUNTIFS('muddati otgan'!C:C,A177,'muddati otgan'!J:J,"Ma'lumotlarni kiritish")</f>
        <v>0</v>
      </c>
      <c r="AZ177" s="11">
        <f>+COUNTIFS('muddati otgan'!C:C,A177,'muddati otgan'!J:J,"Yer tekshirish")</f>
        <v>0</v>
      </c>
      <c r="BA177" s="11">
        <f t="shared" si="30"/>
        <v>1</v>
      </c>
      <c r="BB177" s="11">
        <f>+COUNTIFS('muddati otgan'!C:C,A177,'muddati otgan'!J:J,"Bino va inshoot ma'lumotlarini to‘ldirish")</f>
        <v>0</v>
      </c>
      <c r="BC177" s="11">
        <f>+COUNTIFS('muddati otgan'!C:C,A177,'muddati otgan'!J:J,"Inventarizatsiya ma'lumotlarini to‘ldirish")</f>
        <v>0</v>
      </c>
      <c r="BD177" s="11">
        <f>+COUNTIFS('muddati otgan'!C:C,A177,'muddati otgan'!J:J,"Yer uchastkasiga huquqiy hujjatlarni kiritsh")</f>
        <v>0</v>
      </c>
      <c r="BE177" s="11">
        <f>+COUNTIFS('muddati otgan'!C:C,A177,'muddati otgan'!J:J,"Bino-inshootlarga huquqiy hujjatlarni kiritsh")</f>
        <v>1</v>
      </c>
      <c r="BF177" s="11">
        <f>+COUNTIFS('muddati otgan'!C:C,A177,'muddati otgan'!J:J,"Kadastr qiymatini hisoblash va kiritish")</f>
        <v>0</v>
      </c>
      <c r="BG177" s="11">
        <f>+COUNTIFS('muddati otgan'!C:C,A177,'muddati otgan'!J:J,"Kadastr raqam biriktirish")</f>
        <v>0</v>
      </c>
      <c r="BH177" s="11">
        <f>+COUNTIFS('muddati otgan'!C:C,A177,'muddati otgan'!J:J,"Kadastr yig'ma jildni tayyorlash")</f>
        <v>0</v>
      </c>
      <c r="BI177" s="11">
        <f>+COUNTIFS('muddati otgan'!C:C,A177,'muddati otgan'!J:J,"Huquqni yaratish")</f>
        <v>0</v>
      </c>
      <c r="BJ177" s="11">
        <f>+COUNTIFS('muddati otgan'!C:C,A177,'muddati otgan'!J:J,"Hujjatlarni o'rganish")</f>
        <v>0</v>
      </c>
      <c r="BK177" s="11">
        <f>+COUNTIFS('muddati otgan'!C:C,A177,'muddati otgan'!J:J,"Ma'lumotlarni tekshirish")</f>
        <v>0</v>
      </c>
      <c r="BL177" s="11">
        <f t="shared" si="31"/>
        <v>0</v>
      </c>
      <c r="BM177" s="11">
        <f>+COUNTIFS('muddati otgan'!C:C,A177,'muddati otgan'!J:J,"Tekshirish")</f>
        <v>0</v>
      </c>
      <c r="BN177" s="11">
        <f>+COUNTIFS('muddati otgan'!C:C,A177,'muddati otgan'!J:J,"Hujjatlarni tekshirish")</f>
        <v>0</v>
      </c>
      <c r="BO177" s="11">
        <f>+COUNTIFS('muddati otgan'!C:C,A177,'muddati otgan'!J:J,"Tasdiqlash")</f>
        <v>0</v>
      </c>
      <c r="BP177" s="11">
        <f>+COUNTIFS('muddati otgan'!C:C,A177,'muddati otgan'!J:J,"tekshirish/tasdiqlash")</f>
        <v>0</v>
      </c>
      <c r="BQ177" s="11">
        <f>+COUNTIFS('muddati otgan'!C:C,A177,'muddati otgan'!J:J,"Ma'lumotlarni tasdiqlash")</f>
        <v>0</v>
      </c>
      <c r="BR177" s="11">
        <f t="shared" si="32"/>
        <v>1</v>
      </c>
      <c r="BS177" s="11">
        <f>+COUNTIFS('muddati otgan'!C:C,A177,'muddati otgan'!J:J,"Ro'yxatdan o'tkazish ma'lumotlarini tekshirish")</f>
        <v>1</v>
      </c>
      <c r="BT177" s="11">
        <f>+COUNTIFS('muddati otgan'!C:C,A177,'muddati otgan'!J:J,"Kamchiliklar bo'yicha habarnoma yuborish va 3 kunga to'xtatish")</f>
        <v>0</v>
      </c>
      <c r="BU177" s="11">
        <f>+COUNTIFS('muddati otgan'!C:C,A177,'muddati otgan'!J:J,"Hisobga olish")</f>
        <v>0</v>
      </c>
      <c r="BV177" s="11">
        <f>+COUNTIFS('muddati otgan'!C:C,A177,'muddati otgan'!J:J,"Yer uchastkasiga huquq yaratish")</f>
        <v>0</v>
      </c>
      <c r="BW177" s="11">
        <f>+COUNTIFS('muddati otgan'!C:C,A177,'muddati otgan'!J:J,"Bino-inshootga huquq yaratish")</f>
        <v>0</v>
      </c>
      <c r="BX177" s="11">
        <f>+COUNTIFS('muddati otgan'!C:C,A177,'muddati otgan'!J:J,"Cheklov yaratish")</f>
        <v>0</v>
      </c>
      <c r="BY177" s="11">
        <f>+COUNTIFS('muddati otgan'!C:C,A177,'muddati otgan'!J:J,"Taqiq yaratish")</f>
        <v>0</v>
      </c>
      <c r="BZ177" s="11">
        <f t="shared" si="33"/>
        <v>0</v>
      </c>
      <c r="CA177" s="11">
        <f>+COUNTIFS('muddati otgan'!C:C,A177,'muddati otgan'!J:J,"Soliq maydonini tekshirish")</f>
        <v>0</v>
      </c>
      <c r="CB177" s="11">
        <f t="shared" si="34"/>
        <v>0</v>
      </c>
      <c r="CC177" s="11">
        <f>+COUNTIFS('muddati otgan'!C:C,A177,'muddati otgan'!J:J,"Kadastr yig'majildini shakllantirish")</f>
        <v>0</v>
      </c>
      <c r="CD177" s="11">
        <f t="shared" si="35"/>
        <v>0</v>
      </c>
      <c r="CE177" s="11">
        <f>+COUNTIFS('muddati otgan'!C:C,A177,'muddati otgan'!J:J,"Kadastr passportini shakllantirish")</f>
        <v>0</v>
      </c>
      <c r="CF177" s="11">
        <f>+COUNTIFS('muddati otgan'!C:C,A177,'muddati otgan'!J:J,"Yig'ma jildni tasdiqlash")</f>
        <v>0</v>
      </c>
      <c r="CG177" s="11">
        <f>+COUNTIFS('muddati otgan'!C:C,A177,'muddati otgan'!J:J,"To'lov yoki bepul tasdiqlash")</f>
        <v>0</v>
      </c>
      <c r="CH177" s="11">
        <f>+COUNTIFS('muddati otgan'!C:C,A177,'muddati otgan'!J:J,"Bog'liq arizani kutish")</f>
        <v>0</v>
      </c>
      <c r="CI177" s="11">
        <f>+COUNTIFS('muddati otgan'!C:C,A177,'muddati otgan'!J:J,"To'lovga chiqarish")</f>
        <v>0</v>
      </c>
      <c r="CJ177" s="11">
        <f>+COUNTIFS('muddati otgan'!C:C,A177,'muddati otgan'!J:J,"Hisobga qo'yish")</f>
        <v>0</v>
      </c>
      <c r="CK177" s="6">
        <f>+COUNTIFS('muddati otgan'!C:C,A177,'muddati otgan'!J:J,"To'lov kutilmoqda")</f>
        <v>0</v>
      </c>
      <c r="CL177" s="11">
        <f t="shared" si="36"/>
        <v>0</v>
      </c>
      <c r="CM177" s="11">
        <f>+COUNTIFS('muddati otgan'!C:C,A177,'muddati otgan'!AA:AA,"Arizani qabul qilish2")</f>
        <v>0</v>
      </c>
      <c r="CN177" s="11">
        <f>+COUNTIFS('muddati otgan'!C:C,A177,'muddati otgan'!J:J,"Huquqlarni tekshirish")</f>
        <v>0</v>
      </c>
      <c r="CO177" s="11">
        <f>+COUNTIFS('muddati otgan'!C:C,A177,'muddati otgan'!J:J,"Ko'chmas mulkni ro'yhatdan o'tkazishga qabul qilish")</f>
        <v>0</v>
      </c>
      <c r="CP177" s="11">
        <f>+COUNTIFS('muddati otgan'!C:C,A177,'muddati otgan'!J:J,"Ro'yxatdan o'tkazish")</f>
        <v>0</v>
      </c>
      <c r="CQ177" s="11">
        <f>+COUNTIFS('muddati otgan'!C:C,A177,'muddati otgan'!J:J,"Kadastr pasporti va ko'chirmani yuborish")</f>
        <v>0</v>
      </c>
      <c r="CR177" s="11">
        <f>+COUNTIFS('muddati otgan'!C:C,A177,'muddati otgan'!AA:AA,"Rad qilish2")</f>
        <v>0</v>
      </c>
      <c r="CS177" s="11">
        <f>+COUNTIFS('muddati otgan'!C:C,A177,'muddati otgan'!J:J,"Ko'chirmani yuborish")</f>
        <v>0</v>
      </c>
      <c r="CT177" s="11">
        <f>+COUNTIFS('muddati otgan'!C:C,A177,'muddati otgan'!J:J,"Ma‘lumotlarni tekshirish")</f>
        <v>0</v>
      </c>
      <c r="CU177" s="11">
        <f t="shared" si="37"/>
        <v>0</v>
      </c>
      <c r="CV177" s="11">
        <f>+COUNTIFS('muddati otgan'!C:C,A177,'muddati otgan'!J:J,"Kadastr yig'majildini chop etish va arxiv ishiga tikish")</f>
        <v>0</v>
      </c>
      <c r="CW177" s="11">
        <f t="shared" si="38"/>
        <v>0</v>
      </c>
      <c r="CX177" s="11">
        <f>+COUNTIFS('muddati otgan'!C:C,A177,'muddati otgan'!J:J,"Kadastr yig‘majildini qabul qilish, arizani yakunlash")</f>
        <v>0</v>
      </c>
      <c r="CY177" s="11">
        <f>+COUNTIFS('muddati otgan'!C:C,A177,'muddati otgan'!J:J,"Next Cloudga yuklash")</f>
        <v>0</v>
      </c>
      <c r="CZ177" s="6">
        <f>+COUNTIFS('muddati otgan'!C:C,A177,'muddati otgan'!J:J,"Kelishish kutilmoqda")</f>
        <v>0</v>
      </c>
      <c r="DA177" s="6">
        <f>+COUNTIFS('muddati otgan'!C:C,A177,'muddati otgan'!J:J,"Yakunlandi")</f>
        <v>0</v>
      </c>
      <c r="DB177" s="10">
        <f>+COUNTIFS('muddati otgan'!C:C,A177,'muddati otgan'!J:J,"Rad etildi")</f>
        <v>0</v>
      </c>
      <c r="DC177" s="100">
        <f t="shared" si="5"/>
        <v>-2</v>
      </c>
      <c r="DD177" s="44">
        <f>COUNTIFS('jami 1-20 kunlik arizalar'!C:C,A:A,'jami 1-20 kunlik arizalar'!S:S,"1")</f>
        <v>0</v>
      </c>
      <c r="DE177" s="11">
        <f>COUNTIFS('jami 1-20 kunlik arizalar'!C:C,A:A,'jami 1-20 kunlik arizalar'!S:S,"2")</f>
        <v>0</v>
      </c>
      <c r="DF177" s="11">
        <f>COUNTIFS('jami 1-20 kunlik arizalar'!C:C,A:A,'jami 1-20 kunlik arizalar'!S:S,"3")</f>
        <v>0</v>
      </c>
      <c r="DG177" s="11">
        <f>COUNTIFS('jami 1-20 kunlik arizalar'!C:C,A:A,'jami 1-20 kunlik arizalar'!S:S,"4")</f>
        <v>2</v>
      </c>
      <c r="DH177" s="11">
        <f>COUNTIFS('jami 1-20 kunlik arizalar'!C:C,A:A,'jami 1-20 kunlik arizalar'!S:S,"5")</f>
        <v>2</v>
      </c>
      <c r="DI177" s="11">
        <f>SUM(COUNTIFS('jami 1-20 kunlik arizalar'!C:C,A:A, 'jami 1-20 kunlik arizalar'!S:S, {6,7,8,9,10}))</f>
        <v>7</v>
      </c>
      <c r="DJ177" s="12">
        <f>SUM(COUNTIFS('jami 1-20 kunlik arizalar'!C:C,A:A, 'jami 1-20 kunlik arizalar'!S:S, "&gt;10"))</f>
        <v>6</v>
      </c>
    </row>
    <row r="178" spans="1:115" ht="35.1" hidden="1" customHeight="1" outlineLevel="1" x14ac:dyDescent="0.25">
      <c r="A178" s="92" t="s">
        <v>716</v>
      </c>
      <c r="B178" s="74"/>
      <c r="C178" s="85" t="s">
        <v>874</v>
      </c>
      <c r="D178" s="80">
        <f>+COUNTIFS('muddati otgan'!C:C,A178,'muddati otgan'!C:C,A178)</f>
        <v>0</v>
      </c>
      <c r="E178" s="10">
        <f>SUMIFS('muddati otgan'!$V:V,'muddati otgan'!$C:C,$A:A)</f>
        <v>0</v>
      </c>
      <c r="F178" s="10">
        <f>SUMIFS('muddati otgan'!$W:W,'muddati otgan'!$C:C,$A:A)</f>
        <v>0</v>
      </c>
      <c r="G178" s="24">
        <f>SUMIFS('muddati otgan'!$U:U,'muddati otgan'!$C:C,$A:A)</f>
        <v>0</v>
      </c>
      <c r="H178" s="11">
        <f>SUMIFS('muddati otgan'!$G:G,'muddati otgan'!$C:C,$A:A)</f>
        <v>0</v>
      </c>
      <c r="I178" s="12">
        <f>SUMIFS('muddati otgan'!$H:H,'muddati otgan'!$C:C,$A:A)</f>
        <v>0</v>
      </c>
      <c r="J178" s="44">
        <f t="shared" si="23"/>
        <v>0</v>
      </c>
      <c r="K178" s="11">
        <f>+COUNTIFS('muddati otgan'!C:C,A178,'muddati otgan'!AA:AA,"Arizani qabul qilish")</f>
        <v>0</v>
      </c>
      <c r="L178" s="11">
        <f>+COUNTIFS('muddati otgan'!C:C,A178,'muddati otgan'!J:J,"Arizani rad etish")</f>
        <v>0</v>
      </c>
      <c r="M178" s="11">
        <f>+COUNTIFS('muddati otgan'!C:C,A178,'muddati otgan'!J:J,"Arizani tasdiqlash")</f>
        <v>0</v>
      </c>
      <c r="N178" s="11">
        <f>+COUNTIFS('muddati otgan'!C:C,A178,'muddati otgan'!J:J,"Arizani yo'naltirish")</f>
        <v>0</v>
      </c>
      <c r="O178" s="11">
        <f>+COUNTIFS('muddati otgan'!C:C,A178,'muddati otgan'!J:J,"Rad qilish sababini o'rganish")</f>
        <v>0</v>
      </c>
      <c r="P178" s="11">
        <f>+COUNTIFS('muddati otgan'!C:C,A178,'muddati otgan'!J:J,"Ko'chmas mulkni UZKAD ga migratsiya qilish")</f>
        <v>0</v>
      </c>
      <c r="Q178" s="11">
        <f>+COUNTIFS('muddati otgan'!C:C,A178,'muddati otgan'!J:J,"Migratisya qilingan obyekt holatini tekshirish")</f>
        <v>0</v>
      </c>
      <c r="R178" s="11">
        <f>+COUNTIFS('muddati otgan'!C:C,A178,'muddati otgan'!J:J,"Ko‘chmas mulkni tanlash")</f>
        <v>0</v>
      </c>
      <c r="S178" s="11">
        <f>+COUNTIFS('muddati otgan'!C:C,A178,'muddati otgan'!J:J,"Arizani ko'rib chiqish")</f>
        <v>0</v>
      </c>
      <c r="T178" s="11">
        <f>+COUNTIFS('muddati otgan'!C:C,A178,'muddati otgan'!J:J,"Kadastr muhandisini tanlash")</f>
        <v>0</v>
      </c>
      <c r="U178" s="11">
        <f>+COUNTIFS('muddati otgan'!C:C,A178,'muddati otgan'!J:J,"Ko'chmas mulk turini tanlahsh")</f>
        <v>0</v>
      </c>
      <c r="V178" s="11">
        <f>+COUNTIFS('muddati otgan'!C:C,A178,'muddati otgan'!AA:AA,"Rad qilish")</f>
        <v>0</v>
      </c>
      <c r="W178" s="11">
        <f>+COUNTIFS('muddati otgan'!C:C,A178,'muddati otgan'!J:J,"ijrochi tanlash")</f>
        <v>0</v>
      </c>
      <c r="X178" s="11">
        <f>+COUNTIFS('muddati otgan'!C:C,A178,'muddati otgan'!J:J,"Ko'chmas mulk turini tanlash")</f>
        <v>0</v>
      </c>
      <c r="Y178" s="11">
        <f t="shared" si="24"/>
        <v>0</v>
      </c>
      <c r="Z178" s="11">
        <f>+COUNTIFS('muddati otgan'!C:C,A178,'muddati otgan'!J:J,"Ijroga qabul qilish")</f>
        <v>0</v>
      </c>
      <c r="AA178" s="11">
        <f>+COUNTIFS('muddati otgan'!C:C,A178,'muddati otgan'!J:J,"Joyida o'rganish va ma'lumotlarni kiritish")</f>
        <v>0</v>
      </c>
      <c r="AB178" s="11">
        <f>+COUNTIFS('muddati otgan'!C:C,A178,'muddati otgan'!J:J,"Asosiy qismdan ajratish jarayonida")</f>
        <v>0</v>
      </c>
      <c r="AC178" s="11">
        <f>+COUNTIFS('muddati otgan'!C:C,A178,'muddati otgan'!J:J,"Umumiy foydalanishdagi obyekt yaratilish")</f>
        <v>0</v>
      </c>
      <c r="AD178" s="11">
        <f>+COUNTIFS('muddati otgan'!C:C,A178,'muddati otgan'!J:J,"Migratsiya qilinadigan kadastr raqamini kiritish")</f>
        <v>0</v>
      </c>
      <c r="AE178" s="11">
        <f>+COUNTIFS('muddati otgan'!C:C,A178,'muddati otgan'!J:J,"O'zida qolgan obyektni yaratish")</f>
        <v>0</v>
      </c>
      <c r="AF178" s="11">
        <f>+COUNTIFS('muddati otgan'!C:C,A178,'muddati otgan'!J:J,"O'lchov natijalarini kiritish")</f>
        <v>0</v>
      </c>
      <c r="AG178" s="11">
        <f>+COUNTIFS('muddati otgan'!C:C,A178,'muddati otgan'!J:J,"Topoxaritani tayyorlash (dwg, pdf)")</f>
        <v>0</v>
      </c>
      <c r="AH178" s="11">
        <f t="shared" si="25"/>
        <v>0</v>
      </c>
      <c r="AI178" s="11">
        <f>+COUNTIFS('muddati otgan'!C:C,A178,'muddati otgan'!J:J,"Yer uchastkasini yaratish")</f>
        <v>0</v>
      </c>
      <c r="AJ178" s="11">
        <f t="shared" si="26"/>
        <v>0</v>
      </c>
      <c r="AK178" s="11">
        <f>+COUNTIFS('muddati otgan'!C:C,A178,'muddati otgan'!J:J,"Kelishish (Boshqarma)")</f>
        <v>0</v>
      </c>
      <c r="AL178" s="11">
        <f t="shared" si="27"/>
        <v>0</v>
      </c>
      <c r="AM178" s="11">
        <f>+COUNTIFS('muddati otgan'!C:C,A178,'muddati otgan'!J:J,"Kelishish (DKP)")</f>
        <v>0</v>
      </c>
      <c r="AN178" s="11">
        <f>+COUNTIFS('muddati otgan'!C:C,A178,'muddati otgan'!J:J,"Kelishish")</f>
        <v>0</v>
      </c>
      <c r="AO178" s="11">
        <f>+COUNTIFS('muddati otgan'!C:C,A178,'muddati otgan'!J:J,"Kelishish (Registratsiya DKP)")</f>
        <v>0</v>
      </c>
      <c r="AP178" s="11">
        <f t="shared" si="28"/>
        <v>0</v>
      </c>
      <c r="AQ178" s="11">
        <f>+COUNTIFS('muddati otgan'!C:C,A178,'muddati otgan'!J:J,"Manzil biriktirish")</f>
        <v>0</v>
      </c>
      <c r="AR178" s="11">
        <f>+COUNTIFS('muddati otgan'!C:C,A178,'muddati otgan'!J:J,"Bino va inshootlarni yaratish")</f>
        <v>0</v>
      </c>
      <c r="AS178" s="11">
        <f>+COUNTIFS('muddati otgan'!C:C,A178,'muddati otgan'!J:J,"Dov daraxtlarni yaratish")</f>
        <v>0</v>
      </c>
      <c r="AT178" s="11">
        <f>+COUNTIFS('muddati otgan'!C:C,A178,'muddati otgan'!J:J,"Yer uchastkasini tahrirlash")</f>
        <v>0</v>
      </c>
      <c r="AU178" s="11">
        <f t="shared" si="29"/>
        <v>0</v>
      </c>
      <c r="AV178" s="11">
        <f>+COUNTIFS('muddati otgan'!C:C,A178,'muddati otgan'!J:J,"Yer toifasi va maqsadini kiritish")</f>
        <v>0</v>
      </c>
      <c r="AW178" s="11">
        <f>+COUNTIFS('muddati otgan'!C:C,A178,'muddati otgan'!J:J,"Auksion yer tekshirish")</f>
        <v>0</v>
      </c>
      <c r="AX178" s="11">
        <f>+COUNTIFS('muddati otgan'!C:C,A178,'muddati otgan'!J:J,"Yer turlarini kiritish")</f>
        <v>0</v>
      </c>
      <c r="AY178" s="11">
        <f>+COUNTIFS('muddati otgan'!C:C,A178,'muddati otgan'!J:J,"Ma'lumotlarni kiritish")</f>
        <v>0</v>
      </c>
      <c r="AZ178" s="11">
        <f>+COUNTIFS('muddati otgan'!C:C,A178,'muddati otgan'!J:J,"Yer tekshirish")</f>
        <v>0</v>
      </c>
      <c r="BA178" s="11">
        <f t="shared" si="30"/>
        <v>0</v>
      </c>
      <c r="BB178" s="11">
        <f>+COUNTIFS('muddati otgan'!C:C,A178,'muddati otgan'!J:J,"Bino va inshoot ma'lumotlarini to‘ldirish")</f>
        <v>0</v>
      </c>
      <c r="BC178" s="11">
        <f>+COUNTIFS('muddati otgan'!C:C,A178,'muddati otgan'!J:J,"Inventarizatsiya ma'lumotlarini to‘ldirish")</f>
        <v>0</v>
      </c>
      <c r="BD178" s="11">
        <f>+COUNTIFS('muddati otgan'!C:C,A178,'muddati otgan'!J:J,"Yer uchastkasiga huquqiy hujjatlarni kiritsh")</f>
        <v>0</v>
      </c>
      <c r="BE178" s="11">
        <f>+COUNTIFS('muddati otgan'!C:C,A178,'muddati otgan'!J:J,"Bino-inshootlarga huquqiy hujjatlarni kiritsh")</f>
        <v>0</v>
      </c>
      <c r="BF178" s="11">
        <f>+COUNTIFS('muddati otgan'!C:C,A178,'muddati otgan'!J:J,"Kadastr qiymatini hisoblash va kiritish")</f>
        <v>0</v>
      </c>
      <c r="BG178" s="11">
        <f>+COUNTIFS('muddati otgan'!C:C,A178,'muddati otgan'!J:J,"Kadastr raqam biriktirish")</f>
        <v>0</v>
      </c>
      <c r="BH178" s="11">
        <f>+COUNTIFS('muddati otgan'!C:C,A178,'muddati otgan'!J:J,"Kadastr yig'ma jildni tayyorlash")</f>
        <v>0</v>
      </c>
      <c r="BI178" s="11">
        <f>+COUNTIFS('muddati otgan'!C:C,A178,'muddati otgan'!J:J,"Huquqni yaratish")</f>
        <v>0</v>
      </c>
      <c r="BJ178" s="11">
        <f>+COUNTIFS('muddati otgan'!C:C,A178,'muddati otgan'!J:J,"Hujjatlarni o'rganish")</f>
        <v>0</v>
      </c>
      <c r="BK178" s="11">
        <f>+COUNTIFS('muddati otgan'!C:C,A178,'muddati otgan'!J:J,"Ma'lumotlarni tekshirish")</f>
        <v>0</v>
      </c>
      <c r="BL178" s="11">
        <f t="shared" si="31"/>
        <v>0</v>
      </c>
      <c r="BM178" s="11">
        <f>+COUNTIFS('muddati otgan'!C:C,A178,'muddati otgan'!J:J,"Tekshirish")</f>
        <v>0</v>
      </c>
      <c r="BN178" s="11">
        <f>+COUNTIFS('muddati otgan'!C:C,A178,'muddati otgan'!J:J,"Hujjatlarni tekshirish")</f>
        <v>0</v>
      </c>
      <c r="BO178" s="11">
        <f>+COUNTIFS('muddati otgan'!C:C,A178,'muddati otgan'!J:J,"Tasdiqlash")</f>
        <v>0</v>
      </c>
      <c r="BP178" s="11">
        <f>+COUNTIFS('muddati otgan'!C:C,A178,'muddati otgan'!J:J,"tekshirish/tasdiqlash")</f>
        <v>0</v>
      </c>
      <c r="BQ178" s="11">
        <f>+COUNTIFS('muddati otgan'!C:C,A178,'muddati otgan'!J:J,"Ma'lumotlarni tasdiqlash")</f>
        <v>0</v>
      </c>
      <c r="BR178" s="11">
        <f t="shared" si="32"/>
        <v>0</v>
      </c>
      <c r="BS178" s="11">
        <f>+COUNTIFS('muddati otgan'!C:C,A178,'muddati otgan'!J:J,"Ro'yxatdan o'tkazish ma'lumotlarini tekshirish")</f>
        <v>0</v>
      </c>
      <c r="BT178" s="11">
        <f>+COUNTIFS('muddati otgan'!C:C,A178,'muddati otgan'!J:J,"Kamchiliklar bo'yicha habarnoma yuborish va 3 kunga to'xtatish")</f>
        <v>0</v>
      </c>
      <c r="BU178" s="11">
        <f>+COUNTIFS('muddati otgan'!C:C,A178,'muddati otgan'!J:J,"Hisobga olish")</f>
        <v>0</v>
      </c>
      <c r="BV178" s="11">
        <f>+COUNTIFS('muddati otgan'!C:C,A178,'muddati otgan'!J:J,"Yer uchastkasiga huquq yaratish")</f>
        <v>0</v>
      </c>
      <c r="BW178" s="11">
        <f>+COUNTIFS('muddati otgan'!C:C,A178,'muddati otgan'!J:J,"Bino-inshootga huquq yaratish")</f>
        <v>0</v>
      </c>
      <c r="BX178" s="11">
        <f>+COUNTIFS('muddati otgan'!C:C,A178,'muddati otgan'!J:J,"Cheklov yaratish")</f>
        <v>0</v>
      </c>
      <c r="BY178" s="11">
        <f>+COUNTIFS('muddati otgan'!C:C,A178,'muddati otgan'!J:J,"Taqiq yaratish")</f>
        <v>0</v>
      </c>
      <c r="BZ178" s="11">
        <f t="shared" si="33"/>
        <v>0</v>
      </c>
      <c r="CA178" s="11">
        <f>+COUNTIFS('muddati otgan'!C:C,A178,'muddati otgan'!J:J,"Soliq maydonini tekshirish")</f>
        <v>0</v>
      </c>
      <c r="CB178" s="11">
        <f t="shared" si="34"/>
        <v>0</v>
      </c>
      <c r="CC178" s="11">
        <f>+COUNTIFS('muddati otgan'!C:C,A178,'muddati otgan'!J:J,"Kadastr yig'majildini shakllantirish")</f>
        <v>0</v>
      </c>
      <c r="CD178" s="11">
        <f t="shared" si="35"/>
        <v>0</v>
      </c>
      <c r="CE178" s="11">
        <f>+COUNTIFS('muddati otgan'!C:C,A178,'muddati otgan'!J:J,"Kadastr passportini shakllantirish")</f>
        <v>0</v>
      </c>
      <c r="CF178" s="11">
        <f>+COUNTIFS('muddati otgan'!C:C,A178,'muddati otgan'!J:J,"Yig'ma jildni tasdiqlash")</f>
        <v>0</v>
      </c>
      <c r="CG178" s="11">
        <f>+COUNTIFS('muddati otgan'!C:C,A178,'muddati otgan'!J:J,"To'lov yoki bepul tasdiqlash")</f>
        <v>0</v>
      </c>
      <c r="CH178" s="11">
        <f>+COUNTIFS('muddati otgan'!C:C,A178,'muddati otgan'!J:J,"Bog'liq arizani kutish")</f>
        <v>0</v>
      </c>
      <c r="CI178" s="11">
        <f>+COUNTIFS('muddati otgan'!C:C,A178,'muddati otgan'!J:J,"To'lovga chiqarish")</f>
        <v>0</v>
      </c>
      <c r="CJ178" s="11">
        <f>+COUNTIFS('muddati otgan'!C:C,A178,'muddati otgan'!J:J,"Hisobga qo'yish")</f>
        <v>0</v>
      </c>
      <c r="CK178" s="6">
        <f>+COUNTIFS('muddati otgan'!C:C,A178,'muddati otgan'!J:J,"To'lov kutilmoqda")</f>
        <v>0</v>
      </c>
      <c r="CL178" s="11">
        <f t="shared" si="36"/>
        <v>0</v>
      </c>
      <c r="CM178" s="11">
        <f>+COUNTIFS('muddati otgan'!C:C,A178,'muddati otgan'!AA:AA,"Arizani qabul qilish2")</f>
        <v>0</v>
      </c>
      <c r="CN178" s="11">
        <f>+COUNTIFS('muddati otgan'!C:C,A178,'muddati otgan'!J:J,"Huquqlarni tekshirish")</f>
        <v>0</v>
      </c>
      <c r="CO178" s="11">
        <f>+COUNTIFS('muddati otgan'!C:C,A178,'muddati otgan'!J:J,"Ko'chmas mulkni ro'yhatdan o'tkazishga qabul qilish")</f>
        <v>0</v>
      </c>
      <c r="CP178" s="11">
        <f>+COUNTIFS('muddati otgan'!C:C,A178,'muddati otgan'!J:J,"Ro'yxatdan o'tkazish")</f>
        <v>0</v>
      </c>
      <c r="CQ178" s="11">
        <f>+COUNTIFS('muddati otgan'!C:C,A178,'muddati otgan'!J:J,"Kadastr pasporti va ko'chirmani yuborish")</f>
        <v>0</v>
      </c>
      <c r="CR178" s="11">
        <f>+COUNTIFS('muddati otgan'!C:C,A178,'muddati otgan'!AA:AA,"Rad qilish2")</f>
        <v>0</v>
      </c>
      <c r="CS178" s="11">
        <f>+COUNTIFS('muddati otgan'!C:C,A178,'muddati otgan'!J:J,"Ko'chirmani yuborish")</f>
        <v>0</v>
      </c>
      <c r="CT178" s="11">
        <f>+COUNTIFS('muddati otgan'!C:C,A178,'muddati otgan'!J:J,"Ma‘lumotlarni tekshirish")</f>
        <v>0</v>
      </c>
      <c r="CU178" s="11">
        <f t="shared" si="37"/>
        <v>0</v>
      </c>
      <c r="CV178" s="11">
        <f>+COUNTIFS('muddati otgan'!C:C,A178,'muddati otgan'!J:J,"Kadastr yig'majildini chop etish va arxiv ishiga tikish")</f>
        <v>0</v>
      </c>
      <c r="CW178" s="11">
        <f t="shared" si="38"/>
        <v>0</v>
      </c>
      <c r="CX178" s="11">
        <f>+COUNTIFS('muddati otgan'!C:C,A178,'muddati otgan'!J:J,"Kadastr yig‘majildini qabul qilish, arizani yakunlash")</f>
        <v>0</v>
      </c>
      <c r="CY178" s="11">
        <f>+COUNTIFS('muddati otgan'!C:C,A178,'muddati otgan'!J:J,"Next Cloudga yuklash")</f>
        <v>0</v>
      </c>
      <c r="CZ178" s="6">
        <f>+COUNTIFS('muddati otgan'!C:C,A178,'muddati otgan'!J:J,"Kelishish kutilmoqda")</f>
        <v>0</v>
      </c>
      <c r="DA178" s="6">
        <f>+COUNTIFS('muddati otgan'!C:C,A178,'muddati otgan'!J:J,"Yakunlandi")</f>
        <v>0</v>
      </c>
      <c r="DB178" s="10">
        <f>+COUNTIFS('muddati otgan'!C:C,A178,'muddati otgan'!J:J,"Rad etildi")</f>
        <v>0</v>
      </c>
      <c r="DC178" s="100">
        <f t="shared" si="5"/>
        <v>0</v>
      </c>
      <c r="DD178" s="44">
        <f>COUNTIFS('jami 1-20 kunlik arizalar'!C:C,A:A,'jami 1-20 kunlik arizalar'!S:S,"1")</f>
        <v>0</v>
      </c>
      <c r="DE178" s="11">
        <f>COUNTIFS('jami 1-20 kunlik arizalar'!C:C,A:A,'jami 1-20 kunlik arizalar'!S:S,"2")</f>
        <v>0</v>
      </c>
      <c r="DF178" s="11">
        <f>COUNTIFS('jami 1-20 kunlik arizalar'!C:C,A:A,'jami 1-20 kunlik arizalar'!S:S,"3")</f>
        <v>0</v>
      </c>
      <c r="DG178" s="11">
        <f>COUNTIFS('jami 1-20 kunlik arizalar'!C:C,A:A,'jami 1-20 kunlik arizalar'!S:S,"4")</f>
        <v>0</v>
      </c>
      <c r="DH178" s="11">
        <f>COUNTIFS('jami 1-20 kunlik arizalar'!C:C,A:A,'jami 1-20 kunlik arizalar'!S:S,"5")</f>
        <v>0</v>
      </c>
      <c r="DI178" s="11">
        <f>SUM(COUNTIFS('jami 1-20 kunlik arizalar'!C:C,A:A, 'jami 1-20 kunlik arizalar'!S:S, {6,7,8,9,10}))</f>
        <v>0</v>
      </c>
      <c r="DJ178" s="12">
        <f>SUM(COUNTIFS('jami 1-20 kunlik arizalar'!C:C,A:A, 'jami 1-20 kunlik arizalar'!S:S, "&gt;10"))</f>
        <v>0</v>
      </c>
    </row>
    <row r="179" spans="1:115" ht="57.95" hidden="1" customHeight="1" outlineLevel="1" thickBot="1" x14ac:dyDescent="0.3">
      <c r="A179" s="92"/>
      <c r="B179" s="77"/>
      <c r="C179" s="86" t="s">
        <v>930</v>
      </c>
      <c r="D179" s="81">
        <f>+D161-(SUM(D162:D178))</f>
        <v>1</v>
      </c>
      <c r="E179" s="21"/>
      <c r="F179" s="21"/>
      <c r="G179" s="21"/>
      <c r="H179" s="41"/>
      <c r="I179" s="42"/>
      <c r="J179" s="45"/>
      <c r="K179" s="22"/>
      <c r="L179" s="22"/>
      <c r="M179" s="22"/>
      <c r="N179" s="22"/>
      <c r="O179" s="22"/>
      <c r="P179" s="22"/>
      <c r="Q179" s="22"/>
      <c r="R179" s="22"/>
      <c r="S179" s="22"/>
      <c r="T179" s="22"/>
      <c r="U179" s="22"/>
      <c r="V179" s="22"/>
      <c r="W179" s="22"/>
      <c r="X179" s="22"/>
      <c r="Y179" s="41"/>
      <c r="Z179" s="22"/>
      <c r="AA179" s="22"/>
      <c r="AB179" s="22"/>
      <c r="AC179" s="22"/>
      <c r="AD179" s="22"/>
      <c r="AE179" s="22"/>
      <c r="AF179" s="22"/>
      <c r="AG179" s="41"/>
      <c r="AH179" s="41"/>
      <c r="AI179" s="22"/>
      <c r="AJ179" s="41"/>
      <c r="AK179" s="22"/>
      <c r="AL179" s="41"/>
      <c r="AM179" s="22"/>
      <c r="AN179" s="22"/>
      <c r="AO179" s="22"/>
      <c r="AP179" s="41"/>
      <c r="AQ179" s="22"/>
      <c r="AR179" s="22"/>
      <c r="AS179" s="22"/>
      <c r="AT179" s="22"/>
      <c r="AU179" s="41"/>
      <c r="AV179" s="22"/>
      <c r="AW179" s="22"/>
      <c r="AX179" s="22"/>
      <c r="AY179" s="22"/>
      <c r="AZ179" s="22"/>
      <c r="BA179" s="41"/>
      <c r="BB179" s="22"/>
      <c r="BC179" s="22"/>
      <c r="BD179" s="22"/>
      <c r="BE179" s="22"/>
      <c r="BF179" s="22"/>
      <c r="BG179" s="22"/>
      <c r="BH179" s="22"/>
      <c r="BI179" s="22"/>
      <c r="BJ179" s="22"/>
      <c r="BK179" s="22"/>
      <c r="BL179" s="41"/>
      <c r="BM179" s="22"/>
      <c r="BN179" s="22"/>
      <c r="BO179" s="22"/>
      <c r="BP179" s="22"/>
      <c r="BQ179" s="22"/>
      <c r="BR179" s="41"/>
      <c r="BS179" s="22"/>
      <c r="BT179" s="22"/>
      <c r="BU179" s="22"/>
      <c r="BV179" s="22"/>
      <c r="BW179" s="22"/>
      <c r="BX179" s="22"/>
      <c r="BY179" s="22"/>
      <c r="BZ179" s="41"/>
      <c r="CA179" s="22"/>
      <c r="CB179" s="41"/>
      <c r="CC179" s="22"/>
      <c r="CD179" s="41"/>
      <c r="CE179" s="22"/>
      <c r="CF179" s="22"/>
      <c r="CG179" s="22"/>
      <c r="CH179" s="22"/>
      <c r="CI179" s="22"/>
      <c r="CJ179" s="22"/>
      <c r="CK179" s="68"/>
      <c r="CL179" s="41"/>
      <c r="CM179" s="22"/>
      <c r="CN179" s="22"/>
      <c r="CO179" s="22"/>
      <c r="CP179" s="22"/>
      <c r="CQ179" s="22"/>
      <c r="CR179" s="22"/>
      <c r="CS179" s="22"/>
      <c r="CT179" s="22"/>
      <c r="CU179" s="41"/>
      <c r="CV179" s="22"/>
      <c r="CW179" s="41"/>
      <c r="CX179" s="22"/>
      <c r="CY179" s="22"/>
      <c r="CZ179" s="68"/>
      <c r="DA179" s="68"/>
      <c r="DB179" s="21"/>
      <c r="DC179" s="101"/>
      <c r="DD179" s="45">
        <f t="shared" ref="DD179:DJ179" si="308">+DD161-(SUM(DD162:DD178))</f>
        <v>0</v>
      </c>
      <c r="DE179" s="41">
        <f t="shared" si="308"/>
        <v>0</v>
      </c>
      <c r="DF179" s="41">
        <f t="shared" si="308"/>
        <v>0</v>
      </c>
      <c r="DG179" s="41">
        <f t="shared" si="308"/>
        <v>0</v>
      </c>
      <c r="DH179" s="41">
        <f t="shared" si="308"/>
        <v>0</v>
      </c>
      <c r="DI179" s="41">
        <f t="shared" si="308"/>
        <v>0</v>
      </c>
      <c r="DJ179" s="42">
        <f t="shared" si="308"/>
        <v>5</v>
      </c>
    </row>
    <row r="180" spans="1:115" s="29" customFormat="1" ht="57.95" customHeight="1" collapsed="1" thickBot="1" x14ac:dyDescent="0.3">
      <c r="A180" s="105" t="s">
        <v>80</v>
      </c>
      <c r="B180" s="76">
        <v>9</v>
      </c>
      <c r="C180" s="87" t="s">
        <v>68</v>
      </c>
      <c r="D180" s="79">
        <f>+COUNTIFS('muddati otgan'!B:B,A180,'muddati otgan'!B:B,"UCQT")</f>
        <v>28</v>
      </c>
      <c r="E180" s="37">
        <f>SUMIFS('muddati otgan'!$V:V,'muddati otgan'!$B:B,$A:A)</f>
        <v>2</v>
      </c>
      <c r="F180" s="37">
        <f>SUMIFS('muddati otgan'!$W:W,'muddati otgan'!$B:B,$A:A)</f>
        <v>0</v>
      </c>
      <c r="G180" s="38">
        <f>SUMIFS('muddati otgan'!$U:U,'muddati otgan'!$B:B,$A:A)</f>
        <v>26</v>
      </c>
      <c r="H180" s="39">
        <f>SUMIFS('muddati otgan'!$G:G,'muddati otgan'!$B:B,$A:A)</f>
        <v>27</v>
      </c>
      <c r="I180" s="40">
        <f>SUMIFS('muddati otgan'!$H:H,'muddati otgan'!$B:B,$A:A)</f>
        <v>1</v>
      </c>
      <c r="J180" s="43">
        <f t="shared" si="23"/>
        <v>0</v>
      </c>
      <c r="K180" s="39">
        <f>+COUNTIFS('muddati otgan'!B:B,A180,'muddati otgan'!AA:AA,"Arizani qabul qilish")</f>
        <v>0</v>
      </c>
      <c r="L180" s="39">
        <f>+COUNTIFS('muddati otgan'!B:B,A180,'muddati otgan'!J:J,"Arizani rad etish")</f>
        <v>0</v>
      </c>
      <c r="M180" s="39">
        <f>+COUNTIFS('muddati otgan'!B:B,A180,'muddati otgan'!J:J,"Arizani tasdiqlash")</f>
        <v>0</v>
      </c>
      <c r="N180" s="39">
        <f>+COUNTIFS('muddati otgan'!B:B,A180,'muddati otgan'!J:J,"Arizani yo'naltirish")</f>
        <v>0</v>
      </c>
      <c r="O180" s="39">
        <f>+COUNTIFS('muddati otgan'!B:B,A180,'muddati otgan'!J:J,"Rad qilish sababini o'rganish")</f>
        <v>0</v>
      </c>
      <c r="P180" s="39">
        <f>+COUNTIFS('muddati otgan'!B:B,A180,'muddati otgan'!J:J,"Ko'chmas mulkni UZKAD ga migratsiya qilish")</f>
        <v>0</v>
      </c>
      <c r="Q180" s="39">
        <f>+COUNTIFS('muddati otgan'!B:B,A180,'muddati otgan'!J:J,"Migratisya qilingan obyekt holatini tekshirish")</f>
        <v>0</v>
      </c>
      <c r="R180" s="39">
        <f>+COUNTIFS('muddati otgan'!B:B,A180,'muddati otgan'!J:J,"Ko‘chmas mulkni tanlash")</f>
        <v>0</v>
      </c>
      <c r="S180" s="39">
        <f>+COUNTIFS('muddati otgan'!B:B,A180,'muddati otgan'!J:J,"Arizani ko'rib chiqish")</f>
        <v>0</v>
      </c>
      <c r="T180" s="39">
        <f>+COUNTIFS('muddati otgan'!B:B,A180,'muddati otgan'!J:J,"Kadastr muhandisini tanlash")</f>
        <v>0</v>
      </c>
      <c r="U180" s="39">
        <f>+COUNTIFS('muddati otgan'!B:B,A180,'muddati otgan'!J:J,"Ko'chmas mulk turini tanlahsh")</f>
        <v>0</v>
      </c>
      <c r="V180" s="39">
        <f>+COUNTIFS('muddati otgan'!B:B,A180,'muddati otgan'!AA:AA,"Rad qilish")</f>
        <v>0</v>
      </c>
      <c r="W180" s="39">
        <f>+COUNTIFS('muddati otgan'!B:B,A180,'muddati otgan'!J:J,"ijrochi tanlash")</f>
        <v>0</v>
      </c>
      <c r="X180" s="39">
        <f>+COUNTIFS('muddati otgan'!B:B,A180,'muddati otgan'!J:J,"Ko'chmas mulk turini tanlash")</f>
        <v>0</v>
      </c>
      <c r="Y180" s="39">
        <f t="shared" si="24"/>
        <v>3</v>
      </c>
      <c r="Z180" s="39">
        <f>+COUNTIFS('muddati otgan'!B:B,A180,'muddati otgan'!J:J,"Ijroga qabul qilish")</f>
        <v>0</v>
      </c>
      <c r="AA180" s="39">
        <f>+COUNTIFS('muddati otgan'!B:B,A180,'muddati otgan'!J:J,"Joyida o'rganish va ma'lumotlarni kiritish")</f>
        <v>0</v>
      </c>
      <c r="AB180" s="39">
        <f>+COUNTIFS('muddati otgan'!B:B,A180,'muddati otgan'!J:J,"Asosiy qismdan ajratish jarayonida")</f>
        <v>1</v>
      </c>
      <c r="AC180" s="39">
        <f>+COUNTIFS('muddati otgan'!B:B,A180,'muddati otgan'!J:J,"Umumiy foydalanishdagi obyekt yaratilish")</f>
        <v>1</v>
      </c>
      <c r="AD180" s="39">
        <f>+COUNTIFS('muddati otgan'!B:B,A180,'muddati otgan'!J:J,"Migratsiya qilinadigan kadastr raqamini kiritish")</f>
        <v>0</v>
      </c>
      <c r="AE180" s="39">
        <f>+COUNTIFS('muddati otgan'!B:B,A180,'muddati otgan'!J:J,"O'zida qolgan obyektni yaratish")</f>
        <v>0</v>
      </c>
      <c r="AF180" s="39">
        <f>+COUNTIFS('muddati otgan'!B:B,A180,'muddati otgan'!J:J,"O'lchov natijalarini kiritish")</f>
        <v>1</v>
      </c>
      <c r="AG180" s="39">
        <f>+COUNTIFS('muddati otgan'!B:B,A180,'muddati otgan'!J:J,"Topoxaritani tayyorlash (dwg, pdf)")</f>
        <v>0</v>
      </c>
      <c r="AH180" s="39">
        <f t="shared" si="25"/>
        <v>0</v>
      </c>
      <c r="AI180" s="39">
        <f>+COUNTIFS('muddati otgan'!B:B,A180,'muddati otgan'!J:J,"Yer uchastkasini yaratish")</f>
        <v>0</v>
      </c>
      <c r="AJ180" s="39">
        <f t="shared" si="26"/>
        <v>1</v>
      </c>
      <c r="AK180" s="39">
        <f>+COUNTIFS('muddati otgan'!B:B,A180,'muddati otgan'!J:J,"Kelishish (Boshqarma)")</f>
        <v>1</v>
      </c>
      <c r="AL180" s="39">
        <f t="shared" si="27"/>
        <v>0</v>
      </c>
      <c r="AM180" s="39">
        <f>+COUNTIFS('muddati otgan'!B:B,A180,'muddati otgan'!J:J,"Kelishish (DKP)")</f>
        <v>0</v>
      </c>
      <c r="AN180" s="39">
        <f>+COUNTIFS('muddati otgan'!B:B,A180,'muddati otgan'!J:J,"Kelishish")</f>
        <v>0</v>
      </c>
      <c r="AO180" s="39">
        <f>+COUNTIFS('muddati otgan'!B:B,A180,'muddati otgan'!J:J,"Kelishish (Registratsiya DKP)")</f>
        <v>0</v>
      </c>
      <c r="AP180" s="39">
        <f t="shared" si="28"/>
        <v>0</v>
      </c>
      <c r="AQ180" s="39">
        <f>+COUNTIFS('muddati otgan'!B:B,A180,'muddati otgan'!J:J,"Manzil biriktirish")</f>
        <v>0</v>
      </c>
      <c r="AR180" s="39">
        <f>+COUNTIFS('muddati otgan'!B:B,A180,'muddati otgan'!J:J,"Bino va inshootlarni yaratish")</f>
        <v>0</v>
      </c>
      <c r="AS180" s="39">
        <f>+COUNTIFS('muddati otgan'!B:B,A180,'muddati otgan'!J:J,"Dov daraxtlarni yaratish")</f>
        <v>0</v>
      </c>
      <c r="AT180" s="39">
        <f>+COUNTIFS('muddati otgan'!B:B,A180,'muddati otgan'!J:J,"Yer uchastkasini tahrirlash")</f>
        <v>0</v>
      </c>
      <c r="AU180" s="39">
        <f t="shared" si="29"/>
        <v>0</v>
      </c>
      <c r="AV180" s="39">
        <f>+COUNTIFS('muddati otgan'!B:B,A180,'muddati otgan'!J:J,"Yer toifasi va maqsadini kiritish")</f>
        <v>0</v>
      </c>
      <c r="AW180" s="39">
        <f>+COUNTIFS('muddati otgan'!B:B,A180,'muddati otgan'!J:J,"Auksion yer tekshirish")</f>
        <v>0</v>
      </c>
      <c r="AX180" s="39">
        <f>+COUNTIFS('muddati otgan'!B:B,A180,'muddati otgan'!J:J,"Yer turlarini kiritish")</f>
        <v>0</v>
      </c>
      <c r="AY180" s="39">
        <f>+COUNTIFS('muddati otgan'!B:B,A180,'muddati otgan'!J:J,"Ma'lumotlarni kiritish")</f>
        <v>0</v>
      </c>
      <c r="AZ180" s="39">
        <f>+COUNTIFS('muddati otgan'!B:B,A180,'muddati otgan'!J:J,"Yer tekshirish")</f>
        <v>0</v>
      </c>
      <c r="BA180" s="39">
        <f t="shared" si="30"/>
        <v>4</v>
      </c>
      <c r="BB180" s="39">
        <f>+COUNTIFS('muddati otgan'!B:B,A180,'muddati otgan'!J:J,"Bino va inshoot ma'lumotlarini to‘ldirish")</f>
        <v>3</v>
      </c>
      <c r="BC180" s="39">
        <f>+COUNTIFS('muddati otgan'!B:B,A180,'muddati otgan'!J:J,"Inventarizatsiya ma'lumotlarini to‘ldirish")</f>
        <v>1</v>
      </c>
      <c r="BD180" s="39">
        <f>+COUNTIFS('muddati otgan'!B:B,A180,'muddati otgan'!J:J,"Yer uchastkasiga huquqiy hujjatlarni kiritsh")</f>
        <v>0</v>
      </c>
      <c r="BE180" s="39">
        <f>+COUNTIFS('muddati otgan'!B:B,A180,'muddati otgan'!J:J,"Bino-inshootlarga huquqiy hujjatlarni kiritsh")</f>
        <v>0</v>
      </c>
      <c r="BF180" s="39">
        <f>+COUNTIFS('muddati otgan'!B:B,A180,'muddati otgan'!J:J,"Kadastr qiymatini hisoblash va kiritish")</f>
        <v>0</v>
      </c>
      <c r="BG180" s="39">
        <f>+COUNTIFS('muddati otgan'!B:B,A180,'muddati otgan'!J:J,"Kadastr raqam biriktirish")</f>
        <v>0</v>
      </c>
      <c r="BH180" s="39">
        <f>+COUNTIFS('muddati otgan'!B:B,A180,'muddati otgan'!J:J,"Kadastr yig'ma jildni tayyorlash")</f>
        <v>0</v>
      </c>
      <c r="BI180" s="39">
        <f>+COUNTIFS('muddati otgan'!B:B,A180,'muddati otgan'!J:J,"Huquqni yaratish")</f>
        <v>0</v>
      </c>
      <c r="BJ180" s="39">
        <f>+COUNTIFS('muddati otgan'!B:B,A180,'muddati otgan'!J:J,"Hujjatlarni o'rganish")</f>
        <v>0</v>
      </c>
      <c r="BK180" s="39">
        <f>+COUNTIFS('muddati otgan'!B:B,A180,'muddati otgan'!J:J,"Ma'lumotlarni tekshirish")</f>
        <v>0</v>
      </c>
      <c r="BL180" s="39">
        <f t="shared" si="31"/>
        <v>6</v>
      </c>
      <c r="BM180" s="39">
        <f>+COUNTIFS('muddati otgan'!B:B,A180,'muddati otgan'!J:J,"Tekshirish")</f>
        <v>6</v>
      </c>
      <c r="BN180" s="39">
        <f>+COUNTIFS('muddati otgan'!B:B,A180,'muddati otgan'!J:J,"Hujjatlarni tekshirish")</f>
        <v>0</v>
      </c>
      <c r="BO180" s="39"/>
      <c r="BP180" s="39">
        <f>+COUNTIFS('muddati otgan'!B:B,A180,'muddati otgan'!J:J,"tekshirish/tasdiqlash")</f>
        <v>0</v>
      </c>
      <c r="BQ180" s="39">
        <f>+COUNTIFS('muddati otgan'!B:B,A180,'muddati otgan'!J:J,"Ma'lumotlarni tasdiqlash")</f>
        <v>0</v>
      </c>
      <c r="BR180" s="39">
        <f t="shared" si="32"/>
        <v>6</v>
      </c>
      <c r="BS180" s="39">
        <f>+COUNTIFS('muddati otgan'!B:B,A180,'muddati otgan'!J:J,"Ro'yxatdan o'tkazish ma'lumotlarini tekshirish")</f>
        <v>6</v>
      </c>
      <c r="BT180" s="39">
        <f>+COUNTIFS('muddati otgan'!B:B,A180,'muddati otgan'!J:J,"Kamchiliklar bo'yicha habarnoma yuborish va 3 kunga to'xtatish")</f>
        <v>0</v>
      </c>
      <c r="BU180" s="39">
        <f>+COUNTIFS('muddati otgan'!B:B,A180,'muddati otgan'!J:J,"Hisobga olish")</f>
        <v>0</v>
      </c>
      <c r="BV180" s="39">
        <f>+COUNTIFS('muddati otgan'!B:B,A180,'muddati otgan'!J:J,"Yer uchastkasiga huquq yaratish")</f>
        <v>0</v>
      </c>
      <c r="BW180" s="39">
        <f>+COUNTIFS('muddati otgan'!B:B,A180,'muddati otgan'!J:J,"Bino-inshootga huquq yaratish")</f>
        <v>0</v>
      </c>
      <c r="BX180" s="39">
        <f>+COUNTIFS('muddati otgan'!B:B,A180,'muddati otgan'!J:J,"Cheklov yaratish")</f>
        <v>0</v>
      </c>
      <c r="BY180" s="39">
        <f>+COUNTIFS('muddati otgan'!B:B,A180,'muddati otgan'!J:J,"Taqiq yaratish")</f>
        <v>0</v>
      </c>
      <c r="BZ180" s="39">
        <f t="shared" si="33"/>
        <v>0</v>
      </c>
      <c r="CA180" s="39">
        <f>+COUNTIFS('muddati otgan'!B:B,A180,'muddati otgan'!J:J,"Soliq maydonini tekshirish")</f>
        <v>0</v>
      </c>
      <c r="CB180" s="39">
        <f t="shared" si="34"/>
        <v>1</v>
      </c>
      <c r="CC180" s="39">
        <f>+COUNTIFS('muddati otgan'!B:B,A180,'muddati otgan'!J:J,"Kadastr yig'majildini shakllantirish")</f>
        <v>1</v>
      </c>
      <c r="CD180" s="39">
        <f t="shared" si="35"/>
        <v>1</v>
      </c>
      <c r="CE180" s="67">
        <f>+COUNTIFS('muddati otgan'!B:B,A180,'muddati otgan'!J:J,"Kadastr passportini shakllantirish")</f>
        <v>1</v>
      </c>
      <c r="CF180" s="67">
        <f>+COUNTIFS('muddati otgan'!B:B,A180,'muddati otgan'!J:J,"Yig'ma jildni tasdiqlash")</f>
        <v>0</v>
      </c>
      <c r="CG180" s="67">
        <f>+COUNTIFS('muddati otgan'!B:B,A180,'muddati otgan'!J:J,"To'lov yoki bepul tasdiqlash")</f>
        <v>0</v>
      </c>
      <c r="CH180" s="67">
        <f>+COUNTIFS('muddati otgan'!B:B,A180,'muddati otgan'!J:J,"Bog'liq arizani kutish")</f>
        <v>0</v>
      </c>
      <c r="CI180" s="67">
        <f>+COUNTIFS('muddati otgan'!B:B,A180,'muddati otgan'!J:J,"To'lovga chiqarish")</f>
        <v>0</v>
      </c>
      <c r="CJ180" s="67">
        <f>+COUNTIFS('muddati otgan'!B:B,A180,'muddati otgan'!J:J,"Hisobga qo'yish")</f>
        <v>0</v>
      </c>
      <c r="CK180" s="67">
        <f>+COUNTIFS('muddati otgan'!B:B,A180,'muddati otgan'!J:J,"To'lov kutilmoqda")</f>
        <v>0</v>
      </c>
      <c r="CL180" s="124">
        <f t="shared" si="36"/>
        <v>1</v>
      </c>
      <c r="CM180" s="124">
        <f>+COUNTIFS('muddati otgan'!B:B,A180,'muddati otgan'!AA:AA,"Arizani qabul qilish2")</f>
        <v>0</v>
      </c>
      <c r="CN180" s="124">
        <f>+COUNTIFS('muddati otgan'!B:B,A180,'muddati otgan'!J:J,"Huquqlarni tekshirish")</f>
        <v>1</v>
      </c>
      <c r="CO180" s="124">
        <f>+COUNTIFS('muddati otgan'!B:B,A180,'muddati otgan'!J:J,"Ko'chmas mulkni ro'yhatdan o'tkazishga qabul qilish")</f>
        <v>0</v>
      </c>
      <c r="CP180" s="124">
        <f>+COUNTIFS('muddati otgan'!B:B,A180,'muddati otgan'!J:J,"Ro'yxatdan o'tkazish")</f>
        <v>0</v>
      </c>
      <c r="CQ180" s="124">
        <f>+COUNTIFS('muddati otgan'!B:B,A180,'muddati otgan'!J:J,"Kadastr pasporti va ko'chirmani yuborish")</f>
        <v>0</v>
      </c>
      <c r="CR180" s="124">
        <f>+COUNTIFS('muddati otgan'!B:B,A180,'muddati otgan'!AA:AA,"Rad qilish2")</f>
        <v>0</v>
      </c>
      <c r="CS180" s="124">
        <f>+COUNTIFS('muddati otgan'!B:B,A180,'muddati otgan'!J:J,"Ko'chirmani yuborish")</f>
        <v>0</v>
      </c>
      <c r="CT180" s="124">
        <f>+COUNTIFS('muddati otgan'!B:B,A180,'muddati otgan'!J:J,"Ma‘lumotlarni tekshirish")</f>
        <v>0</v>
      </c>
      <c r="CU180" s="124">
        <f t="shared" si="37"/>
        <v>0</v>
      </c>
      <c r="CV180" s="124">
        <f>+COUNTIFS('muddati otgan'!B:B,A180,'muddati otgan'!J:J,"Kadastr yig'majildini chop etish va arxiv ishiga tikish")</f>
        <v>0</v>
      </c>
      <c r="CW180" s="124">
        <f t="shared" si="38"/>
        <v>0</v>
      </c>
      <c r="CX180" s="67">
        <f>+COUNTIFS('muddati otgan'!B:B,A180,'muddati otgan'!J:J,"Kadastr yig‘majildini qabul qilish, arizani yakunlash")</f>
        <v>0</v>
      </c>
      <c r="CY180" s="67">
        <f>+COUNTIFS('muddati otgan'!B:B,A180,'muddati otgan'!J:J,"Next Cloudga yuklash")</f>
        <v>0</v>
      </c>
      <c r="CZ180" s="67">
        <f>+COUNTIFS('muddati otgan'!B:B,A180,'muddati otgan'!J:J,"Kelishish kutilmoqda")</f>
        <v>0</v>
      </c>
      <c r="DA180" s="67">
        <f>+COUNTIFS('muddati otgan'!B:B,A180,'muddati otgan'!J:J,"Yakunlandi")</f>
        <v>5</v>
      </c>
      <c r="DB180" s="104">
        <f>+COUNTIFS('muddati otgan'!B:B,A180,'muddati otgan'!J:J,"Rad etildi")</f>
        <v>0</v>
      </c>
      <c r="DC180" s="99">
        <f t="shared" si="5"/>
        <v>-23</v>
      </c>
      <c r="DD180" s="43">
        <f>COUNTIFS('jami 1-20 kunlik arizalar'!B:B,A:A,'jami 1-20 kunlik arizalar'!S:S,"1")</f>
        <v>0</v>
      </c>
      <c r="DE180" s="39">
        <f>COUNTIFS('jami 1-20 kunlik arizalar'!B:B,A:A,'jami 1-20 kunlik arizalar'!S:S,"2")</f>
        <v>0</v>
      </c>
      <c r="DF180" s="39">
        <f>COUNTIFS('jami 1-20 kunlik arizalar'!B:B,A:A,'jami 1-20 kunlik arizalar'!S:S,"3")</f>
        <v>19</v>
      </c>
      <c r="DG180" s="39">
        <f>COUNTIFS('jami 1-20 kunlik arizalar'!B:B,A:A,'jami 1-20 kunlik arizalar'!S:S,"4")</f>
        <v>9</v>
      </c>
      <c r="DH180" s="39">
        <f>COUNTIFS('jami 1-20 kunlik arizalar'!B:B,A:A,'jami 1-20 kunlik arizalar'!S:S,"5")</f>
        <v>18</v>
      </c>
      <c r="DI180" s="39">
        <f>SUM(COUNTIFS('jami 1-20 kunlik arizalar'!B:B,A:A, 'jami 1-20 kunlik arizalar'!S:S, {6,7,8,9,10}))</f>
        <v>66</v>
      </c>
      <c r="DJ180" s="40">
        <f>SUMPRODUCT(('jami 1-20 kunlik arizalar'!B:B=A180)*('jami 1-20 kunlik arizalar'!S:S&gt;10))</f>
        <v>53</v>
      </c>
      <c r="DK180" s="34"/>
    </row>
    <row r="181" spans="1:115" ht="48" hidden="1" customHeight="1" outlineLevel="1" x14ac:dyDescent="0.25">
      <c r="A181" s="92" t="s">
        <v>704</v>
      </c>
      <c r="B181" s="74"/>
      <c r="C181" s="85" t="s">
        <v>875</v>
      </c>
      <c r="D181" s="80">
        <f>+COUNTIFS('muddati otgan'!C:C,A181,'muddati otgan'!C:C,A181)</f>
        <v>5</v>
      </c>
      <c r="E181" s="10">
        <f>SUMIFS('muddati otgan'!$V:V,'muddati otgan'!$C:C,$A:A)</f>
        <v>1</v>
      </c>
      <c r="F181" s="10">
        <f>SUMIFS('muddati otgan'!$W:W,'muddati otgan'!$C:C,$A:A)</f>
        <v>0</v>
      </c>
      <c r="G181" s="24">
        <f>SUMIFS('muddati otgan'!$U:U,'muddati otgan'!$C:C,$A:A)</f>
        <v>4</v>
      </c>
      <c r="H181" s="11">
        <f>SUMIFS('muddati otgan'!$G:G,'muddati otgan'!$C:C,$A:A)</f>
        <v>5</v>
      </c>
      <c r="I181" s="12">
        <f>SUMIFS('muddati otgan'!$H:H,'muddati otgan'!$C:C,$A:A)</f>
        <v>0</v>
      </c>
      <c r="J181" s="44">
        <f t="shared" si="23"/>
        <v>0</v>
      </c>
      <c r="K181" s="11">
        <f>+COUNTIFS('muddati otgan'!C:C,A181,'muddati otgan'!AA:AA,"Arizani qabul qilish")</f>
        <v>0</v>
      </c>
      <c r="L181" s="11">
        <f>+COUNTIFS('muddati otgan'!C:C,A181,'muddati otgan'!J:J,"Arizani rad etish")</f>
        <v>0</v>
      </c>
      <c r="M181" s="11">
        <f>+COUNTIFS('muddati otgan'!C:C,A181,'muddati otgan'!J:J,"Arizani tasdiqlash")</f>
        <v>0</v>
      </c>
      <c r="N181" s="11">
        <f>+COUNTIFS('muddati otgan'!C:C,A181,'muddati otgan'!J:J,"Arizani yo'naltirish")</f>
        <v>0</v>
      </c>
      <c r="O181" s="11">
        <f>+COUNTIFS('muddati otgan'!C:C,A181,'muddati otgan'!J:J,"Rad qilish sababini o'rganish")</f>
        <v>0</v>
      </c>
      <c r="P181" s="11">
        <f>+COUNTIFS('muddati otgan'!C:C,A181,'muddati otgan'!J:J,"Ko'chmas mulkni UZKAD ga migratsiya qilish")</f>
        <v>0</v>
      </c>
      <c r="Q181" s="11">
        <f>+COUNTIFS('muddati otgan'!C:C,A181,'muddati otgan'!J:J,"Migratisya qilingan obyekt holatini tekshirish")</f>
        <v>0</v>
      </c>
      <c r="R181" s="11">
        <f>+COUNTIFS('muddati otgan'!C:C,A181,'muddati otgan'!J:J,"Ko‘chmas mulkni tanlash")</f>
        <v>0</v>
      </c>
      <c r="S181" s="11">
        <f>+COUNTIFS('muddati otgan'!C:C,A181,'muddati otgan'!J:J,"Arizani ko'rib chiqish")</f>
        <v>0</v>
      </c>
      <c r="T181" s="11">
        <f>+COUNTIFS('muddati otgan'!C:C,A181,'muddati otgan'!J:J,"Kadastr muhandisini tanlash")</f>
        <v>0</v>
      </c>
      <c r="U181" s="11">
        <f>+COUNTIFS('muddati otgan'!C:C,A181,'muddati otgan'!J:J,"Ko'chmas mulk turini tanlahsh")</f>
        <v>0</v>
      </c>
      <c r="V181" s="11">
        <f>+COUNTIFS('muddati otgan'!C:C,A181,'muddati otgan'!AA:AA,"Rad qilish")</f>
        <v>0</v>
      </c>
      <c r="W181" s="11">
        <f>+COUNTIFS('muddati otgan'!C:C,A181,'muddati otgan'!J:J,"ijrochi tanlash")</f>
        <v>0</v>
      </c>
      <c r="X181" s="11">
        <f>+COUNTIFS('muddati otgan'!C:C,A181,'muddati otgan'!J:J,"Ko'chmas mulk turini tanlash")</f>
        <v>0</v>
      </c>
      <c r="Y181" s="11">
        <f t="shared" si="24"/>
        <v>0</v>
      </c>
      <c r="Z181" s="11">
        <f>+COUNTIFS('muddati otgan'!C:C,A181,'muddati otgan'!J:J,"Ijroga qabul qilish")</f>
        <v>0</v>
      </c>
      <c r="AA181" s="11">
        <f>+COUNTIFS('muddati otgan'!C:C,A181,'muddati otgan'!J:J,"Joyida o'rganish va ma'lumotlarni kiritish")</f>
        <v>0</v>
      </c>
      <c r="AB181" s="11">
        <f>+COUNTIFS('muddati otgan'!C:C,A181,'muddati otgan'!J:J,"Asosiy qismdan ajratish jarayonida")</f>
        <v>0</v>
      </c>
      <c r="AC181" s="11">
        <f>+COUNTIFS('muddati otgan'!C:C,A181,'muddati otgan'!J:J,"Umumiy foydalanishdagi obyekt yaratilish")</f>
        <v>0</v>
      </c>
      <c r="AD181" s="11">
        <f>+COUNTIFS('muddati otgan'!C:C,A181,'muddati otgan'!J:J,"Migratsiya qilinadigan kadastr raqamini kiritish")</f>
        <v>0</v>
      </c>
      <c r="AE181" s="11">
        <f>+COUNTIFS('muddati otgan'!C:C,A181,'muddati otgan'!J:J,"O'zida qolgan obyektni yaratish")</f>
        <v>0</v>
      </c>
      <c r="AF181" s="11">
        <f>+COUNTIFS('muddati otgan'!C:C,A181,'muddati otgan'!J:J,"O'lchov natijalarini kiritish")</f>
        <v>0</v>
      </c>
      <c r="AG181" s="11">
        <f>+COUNTIFS('muddati otgan'!C:C,A181,'muddati otgan'!J:J,"Topoxaritani tayyorlash (dwg, pdf)")</f>
        <v>0</v>
      </c>
      <c r="AH181" s="11">
        <f t="shared" si="25"/>
        <v>0</v>
      </c>
      <c r="AI181" s="11">
        <f>+COUNTIFS('muddati otgan'!C:C,A181,'muddati otgan'!J:J,"Yer uchastkasini yaratish")</f>
        <v>0</v>
      </c>
      <c r="AJ181" s="11">
        <f t="shared" si="26"/>
        <v>0</v>
      </c>
      <c r="AK181" s="11">
        <f>+COUNTIFS('muddati otgan'!C:C,A181,'muddati otgan'!J:J,"Kelishish (Boshqarma)")</f>
        <v>0</v>
      </c>
      <c r="AL181" s="11">
        <f t="shared" si="27"/>
        <v>0</v>
      </c>
      <c r="AM181" s="11">
        <f>+COUNTIFS('muddati otgan'!C:C,A181,'muddati otgan'!J:J,"Kelishish (DKP)")</f>
        <v>0</v>
      </c>
      <c r="AN181" s="11">
        <f>+COUNTIFS('muddati otgan'!C:C,A181,'muddati otgan'!J:J,"Kelishish")</f>
        <v>0</v>
      </c>
      <c r="AO181" s="11">
        <f>+COUNTIFS('muddati otgan'!C:C,A181,'muddati otgan'!J:J,"Kelishish (Registratsiya DKP)")</f>
        <v>0</v>
      </c>
      <c r="AP181" s="11">
        <f t="shared" si="28"/>
        <v>0</v>
      </c>
      <c r="AQ181" s="11">
        <f>+COUNTIFS('muddati otgan'!C:C,A181,'muddati otgan'!J:J,"Manzil biriktirish")</f>
        <v>0</v>
      </c>
      <c r="AR181" s="11">
        <f>+COUNTIFS('muddati otgan'!C:C,A181,'muddati otgan'!J:J,"Bino va inshootlarni yaratish")</f>
        <v>0</v>
      </c>
      <c r="AS181" s="11">
        <f>+COUNTIFS('muddati otgan'!C:C,A181,'muddati otgan'!J:J,"Dov daraxtlarni yaratish")</f>
        <v>0</v>
      </c>
      <c r="AT181" s="11">
        <f>+COUNTIFS('muddati otgan'!C:C,A181,'muddati otgan'!J:J,"Yer uchastkasini tahrirlash")</f>
        <v>0</v>
      </c>
      <c r="AU181" s="11">
        <f t="shared" si="29"/>
        <v>0</v>
      </c>
      <c r="AV181" s="11">
        <f>+COUNTIFS('muddati otgan'!C:C,A181,'muddati otgan'!J:J,"Yer toifasi va maqsadini kiritish")</f>
        <v>0</v>
      </c>
      <c r="AW181" s="11">
        <f>+COUNTIFS('muddati otgan'!C:C,A181,'muddati otgan'!J:J,"Auksion yer tekshirish")</f>
        <v>0</v>
      </c>
      <c r="AX181" s="11">
        <f>+COUNTIFS('muddati otgan'!C:C,A181,'muddati otgan'!J:J,"Yer turlarini kiritish")</f>
        <v>0</v>
      </c>
      <c r="AY181" s="11">
        <f>+COUNTIFS('muddati otgan'!C:C,A181,'muddati otgan'!J:J,"Ma'lumotlarni kiritish")</f>
        <v>0</v>
      </c>
      <c r="AZ181" s="11">
        <f>+COUNTIFS('muddati otgan'!C:C,A181,'muddati otgan'!J:J,"Yer tekshirish")</f>
        <v>0</v>
      </c>
      <c r="BA181" s="11">
        <f t="shared" si="30"/>
        <v>0</v>
      </c>
      <c r="BB181" s="11">
        <f>+COUNTIFS('muddati otgan'!C:C,A181,'muddati otgan'!J:J,"Bino va inshoot ma'lumotlarini to‘ldirish")</f>
        <v>0</v>
      </c>
      <c r="BC181" s="11">
        <f>+COUNTIFS('muddati otgan'!C:C,A181,'muddati otgan'!J:J,"Inventarizatsiya ma'lumotlarini to‘ldirish")</f>
        <v>0</v>
      </c>
      <c r="BD181" s="11">
        <f>+COUNTIFS('muddati otgan'!C:C,A181,'muddati otgan'!J:J,"Yer uchastkasiga huquqiy hujjatlarni kiritsh")</f>
        <v>0</v>
      </c>
      <c r="BE181" s="11">
        <f>+COUNTIFS('muddati otgan'!C:C,A181,'muddati otgan'!J:J,"Bino-inshootlarga huquqiy hujjatlarni kiritsh")</f>
        <v>0</v>
      </c>
      <c r="BF181" s="11">
        <f>+COUNTIFS('muddati otgan'!C:C,A181,'muddati otgan'!J:J,"Kadastr qiymatini hisoblash va kiritish")</f>
        <v>0</v>
      </c>
      <c r="BG181" s="11">
        <f>+COUNTIFS('muddati otgan'!C:C,A181,'muddati otgan'!J:J,"Kadastr raqam biriktirish")</f>
        <v>0</v>
      </c>
      <c r="BH181" s="11">
        <f>+COUNTIFS('muddati otgan'!C:C,A181,'muddati otgan'!J:J,"Kadastr yig'ma jildni tayyorlash")</f>
        <v>0</v>
      </c>
      <c r="BI181" s="11">
        <f>+COUNTIFS('muddati otgan'!C:C,A181,'muddati otgan'!J:J,"Huquqni yaratish")</f>
        <v>0</v>
      </c>
      <c r="BJ181" s="11">
        <f>+COUNTIFS('muddati otgan'!C:C,A181,'muddati otgan'!J:J,"Hujjatlarni o'rganish")</f>
        <v>0</v>
      </c>
      <c r="BK181" s="11">
        <f>+COUNTIFS('muddati otgan'!C:C,A181,'muddati otgan'!J:J,"Ma'lumotlarni tekshirish")</f>
        <v>0</v>
      </c>
      <c r="BL181" s="11">
        <f t="shared" si="31"/>
        <v>2</v>
      </c>
      <c r="BM181" s="11">
        <f>+COUNTIFS('muddati otgan'!C:C,A181,'muddati otgan'!J:J,"Tekshirish")</f>
        <v>2</v>
      </c>
      <c r="BN181" s="11">
        <f>+COUNTIFS('muddati otgan'!C:C,A181,'muddati otgan'!J:J,"Hujjatlarni tekshirish")</f>
        <v>0</v>
      </c>
      <c r="BO181" s="11">
        <f>+COUNTIFS('muddati otgan'!C:C,A181,'muddati otgan'!J:J,"Tasdiqlash")</f>
        <v>0</v>
      </c>
      <c r="BP181" s="11">
        <f>+COUNTIFS('muddati otgan'!C:C,A181,'muddati otgan'!J:J,"tekshirish/tasdiqlash")</f>
        <v>0</v>
      </c>
      <c r="BQ181" s="11">
        <f>+COUNTIFS('muddati otgan'!C:C,A181,'muddati otgan'!J:J,"Ma'lumotlarni tasdiqlash")</f>
        <v>0</v>
      </c>
      <c r="BR181" s="11">
        <f t="shared" si="32"/>
        <v>0</v>
      </c>
      <c r="BS181" s="11">
        <f>+COUNTIFS('muddati otgan'!C:C,A181,'muddati otgan'!J:J,"Ro'yxatdan o'tkazish ma'lumotlarini tekshirish")</f>
        <v>0</v>
      </c>
      <c r="BT181" s="11">
        <f>+COUNTIFS('muddati otgan'!C:C,A181,'muddati otgan'!J:J,"Kamchiliklar bo'yicha habarnoma yuborish va 3 kunga to'xtatish")</f>
        <v>0</v>
      </c>
      <c r="BU181" s="11">
        <f>+COUNTIFS('muddati otgan'!C:C,A181,'muddati otgan'!J:J,"Hisobga olish")</f>
        <v>0</v>
      </c>
      <c r="BV181" s="11">
        <f>+COUNTIFS('muddati otgan'!C:C,A181,'muddati otgan'!J:J,"Yer uchastkasiga huquq yaratish")</f>
        <v>0</v>
      </c>
      <c r="BW181" s="11">
        <f>+COUNTIFS('muddati otgan'!C:C,A181,'muddati otgan'!J:J,"Bino-inshootga huquq yaratish")</f>
        <v>0</v>
      </c>
      <c r="BX181" s="11">
        <f>+COUNTIFS('muddati otgan'!C:C,A181,'muddati otgan'!J:J,"Cheklov yaratish")</f>
        <v>0</v>
      </c>
      <c r="BY181" s="11">
        <f>+COUNTIFS('muddati otgan'!C:C,A181,'muddati otgan'!J:J,"Taqiq yaratish")</f>
        <v>0</v>
      </c>
      <c r="BZ181" s="11">
        <f t="shared" si="33"/>
        <v>0</v>
      </c>
      <c r="CA181" s="11">
        <f>+COUNTIFS('muddati otgan'!C:C,A181,'muddati otgan'!J:J,"Soliq maydonini tekshirish")</f>
        <v>0</v>
      </c>
      <c r="CB181" s="11">
        <f t="shared" si="34"/>
        <v>0</v>
      </c>
      <c r="CC181" s="11">
        <f>+COUNTIFS('muddati otgan'!C:C,A181,'muddati otgan'!J:J,"Kadastr yig'majildini shakllantirish")</f>
        <v>0</v>
      </c>
      <c r="CD181" s="11">
        <f t="shared" si="35"/>
        <v>0</v>
      </c>
      <c r="CE181" s="11">
        <f>+COUNTIFS('muddati otgan'!C:C,A181,'muddati otgan'!J:J,"Kadastr passportini shakllantirish")</f>
        <v>0</v>
      </c>
      <c r="CF181" s="11">
        <f>+COUNTIFS('muddati otgan'!C:C,A181,'muddati otgan'!J:J,"Yig'ma jildni tasdiqlash")</f>
        <v>0</v>
      </c>
      <c r="CG181" s="11">
        <f>+COUNTIFS('muddati otgan'!C:C,A181,'muddati otgan'!J:J,"To'lov yoki bepul tasdiqlash")</f>
        <v>0</v>
      </c>
      <c r="CH181" s="11">
        <f>+COUNTIFS('muddati otgan'!C:C,A181,'muddati otgan'!J:J,"Bog'liq arizani kutish")</f>
        <v>0</v>
      </c>
      <c r="CI181" s="11">
        <f>+COUNTIFS('muddati otgan'!C:C,A181,'muddati otgan'!J:J,"To'lovga chiqarish")</f>
        <v>0</v>
      </c>
      <c r="CJ181" s="11">
        <f>+COUNTIFS('muddati otgan'!C:C,A181,'muddati otgan'!J:J,"Hisobga qo'yish")</f>
        <v>0</v>
      </c>
      <c r="CK181" s="6">
        <f>+COUNTIFS('muddati otgan'!C:C,A181,'muddati otgan'!J:J,"To'lov kutilmoqda")</f>
        <v>0</v>
      </c>
      <c r="CL181" s="125">
        <f t="shared" si="36"/>
        <v>1</v>
      </c>
      <c r="CM181" s="125">
        <f>+COUNTIFS('muddati otgan'!C:C,A181,'muddati otgan'!AA:AA,"Arizani qabul qilish2")</f>
        <v>0</v>
      </c>
      <c r="CN181" s="125">
        <f>+COUNTIFS('muddati otgan'!C:C,A181,'muddati otgan'!J:J,"Huquqlarni tekshirish")</f>
        <v>1</v>
      </c>
      <c r="CO181" s="125">
        <f>+COUNTIFS('muddati otgan'!C:C,A181,'muddati otgan'!J:J,"Ko'chmas mulkni ro'yhatdan o'tkazishga qabul qilish")</f>
        <v>0</v>
      </c>
      <c r="CP181" s="125">
        <f>+COUNTIFS('muddati otgan'!C:C,A181,'muddati otgan'!J:J,"Ro'yxatdan o'tkazish")</f>
        <v>0</v>
      </c>
      <c r="CQ181" s="125">
        <f>+COUNTIFS('muddati otgan'!C:C,A181,'muddati otgan'!J:J,"Kadastr pasporti va ko'chirmani yuborish")</f>
        <v>0</v>
      </c>
      <c r="CR181" s="125">
        <f>+COUNTIFS('muddati otgan'!C:C,A181,'muddati otgan'!AA:AA,"Rad qilish2")</f>
        <v>0</v>
      </c>
      <c r="CS181" s="125">
        <f>+COUNTIFS('muddati otgan'!C:C,A181,'muddati otgan'!J:J,"Ko'chirmani yuborish")</f>
        <v>0</v>
      </c>
      <c r="CT181" s="125">
        <f>+COUNTIFS('muddati otgan'!C:C,A181,'muddati otgan'!J:J,"Ma‘lumotlarni tekshirish")</f>
        <v>0</v>
      </c>
      <c r="CU181" s="125">
        <f t="shared" si="37"/>
        <v>0</v>
      </c>
      <c r="CV181" s="125">
        <f>+COUNTIFS('muddati otgan'!C:C,A181,'muddati otgan'!J:J,"Kadastr yig'majildini chop etish va arxiv ishiga tikish")</f>
        <v>0</v>
      </c>
      <c r="CW181" s="125">
        <f t="shared" si="38"/>
        <v>0</v>
      </c>
      <c r="CX181" s="11">
        <f>+COUNTIFS('muddati otgan'!C:C,A181,'muddati otgan'!J:J,"Kadastr yig‘majildini qabul qilish, arizani yakunlash")</f>
        <v>0</v>
      </c>
      <c r="CY181" s="11">
        <f>+COUNTIFS('muddati otgan'!C:C,A181,'muddati otgan'!J:J,"Next Cloudga yuklash")</f>
        <v>0</v>
      </c>
      <c r="CZ181" s="6">
        <f>+COUNTIFS('muddati otgan'!C:C,A181,'muddati otgan'!J:J,"Kelishish kutilmoqda")</f>
        <v>0</v>
      </c>
      <c r="DA181" s="6">
        <f>+COUNTIFS('muddati otgan'!C:C,A181,'muddati otgan'!J:J,"Yakunlandi")</f>
        <v>2</v>
      </c>
      <c r="DB181" s="10">
        <f>+COUNTIFS('muddati otgan'!C:C,A181,'muddati otgan'!J:J,"Rad etildi")</f>
        <v>0</v>
      </c>
      <c r="DC181" s="100">
        <f t="shared" si="5"/>
        <v>-3</v>
      </c>
      <c r="DD181" s="44">
        <f>COUNTIFS('jami 1-20 kunlik arizalar'!C:C,A:A,'jami 1-20 kunlik arizalar'!S:S,"1")</f>
        <v>0</v>
      </c>
      <c r="DE181" s="11">
        <f>COUNTIFS('jami 1-20 kunlik arizalar'!C:C,A:A,'jami 1-20 kunlik arizalar'!S:S,"2")</f>
        <v>0</v>
      </c>
      <c r="DF181" s="11">
        <f>COUNTIFS('jami 1-20 kunlik arizalar'!C:C,A:A,'jami 1-20 kunlik arizalar'!S:S,"3")</f>
        <v>2</v>
      </c>
      <c r="DG181" s="11">
        <f>COUNTIFS('jami 1-20 kunlik arizalar'!C:C,A:A,'jami 1-20 kunlik arizalar'!S:S,"4")</f>
        <v>1</v>
      </c>
      <c r="DH181" s="11">
        <f>COUNTIFS('jami 1-20 kunlik arizalar'!C:C,A:A,'jami 1-20 kunlik arizalar'!S:S,"5")</f>
        <v>0</v>
      </c>
      <c r="DI181" s="11">
        <f>SUM(COUNTIFS('jami 1-20 kunlik arizalar'!C:C,A:A, 'jami 1-20 kunlik arizalar'!S:S, {6,7,8,9,10}))</f>
        <v>3</v>
      </c>
      <c r="DJ181" s="12">
        <f>SUM(COUNTIFS('jami 1-20 kunlik arizalar'!C:C,A:A, 'jami 1-20 kunlik arizalar'!S:S, "&gt;10"))</f>
        <v>3</v>
      </c>
    </row>
    <row r="182" spans="1:115" ht="48" hidden="1" customHeight="1" outlineLevel="1" x14ac:dyDescent="0.25">
      <c r="A182" s="92" t="s">
        <v>708</v>
      </c>
      <c r="B182" s="74"/>
      <c r="C182" s="85" t="s">
        <v>876</v>
      </c>
      <c r="D182" s="80">
        <f>+COUNTIFS('muddati otgan'!C:C,A182,'muddati otgan'!C:C,A182)</f>
        <v>1</v>
      </c>
      <c r="E182" s="10">
        <f>SUMIFS('muddati otgan'!$V:V,'muddati otgan'!$C:C,$A:A)</f>
        <v>0</v>
      </c>
      <c r="F182" s="10">
        <f>SUMIFS('muddati otgan'!$W:W,'muddati otgan'!$C:C,$A:A)</f>
        <v>0</v>
      </c>
      <c r="G182" s="24">
        <f>SUMIFS('muddati otgan'!$U:U,'muddati otgan'!$C:C,$A:A)</f>
        <v>1</v>
      </c>
      <c r="H182" s="11">
        <f>SUMIFS('muddati otgan'!$G:G,'muddati otgan'!$C:C,$A:A)</f>
        <v>1</v>
      </c>
      <c r="I182" s="12">
        <f>SUMIFS('muddati otgan'!$H:H,'muddati otgan'!$C:C,$A:A)</f>
        <v>0</v>
      </c>
      <c r="J182" s="44">
        <f t="shared" si="23"/>
        <v>0</v>
      </c>
      <c r="K182" s="11">
        <f>+COUNTIFS('muddati otgan'!C:C,A182,'muddati otgan'!AA:AA,"Arizani qabul qilish")</f>
        <v>0</v>
      </c>
      <c r="L182" s="11">
        <f>+COUNTIFS('muddati otgan'!C:C,A182,'muddati otgan'!J:J,"Arizani rad etish")</f>
        <v>0</v>
      </c>
      <c r="M182" s="11">
        <f>+COUNTIFS('muddati otgan'!C:C,A182,'muddati otgan'!J:J,"Arizani tasdiqlash")</f>
        <v>0</v>
      </c>
      <c r="N182" s="11">
        <f>+COUNTIFS('muddati otgan'!C:C,A182,'muddati otgan'!J:J,"Arizani yo'naltirish")</f>
        <v>0</v>
      </c>
      <c r="O182" s="11">
        <f>+COUNTIFS('muddati otgan'!C:C,A182,'muddati otgan'!J:J,"Rad qilish sababini o'rganish")</f>
        <v>0</v>
      </c>
      <c r="P182" s="11">
        <f>+COUNTIFS('muddati otgan'!C:C,A182,'muddati otgan'!J:J,"Ko'chmas mulkni UZKAD ga migratsiya qilish")</f>
        <v>0</v>
      </c>
      <c r="Q182" s="11">
        <f>+COUNTIFS('muddati otgan'!C:C,A182,'muddati otgan'!J:J,"Migratisya qilingan obyekt holatini tekshirish")</f>
        <v>0</v>
      </c>
      <c r="R182" s="11">
        <f>+COUNTIFS('muddati otgan'!C:C,A182,'muddati otgan'!J:J,"Ko‘chmas mulkni tanlash")</f>
        <v>0</v>
      </c>
      <c r="S182" s="11">
        <f>+COUNTIFS('muddati otgan'!C:C,A182,'muddati otgan'!J:J,"Arizani ko'rib chiqish")</f>
        <v>0</v>
      </c>
      <c r="T182" s="11">
        <f>+COUNTIFS('muddati otgan'!C:C,A182,'muddati otgan'!J:J,"Kadastr muhandisini tanlash")</f>
        <v>0</v>
      </c>
      <c r="U182" s="11">
        <f>+COUNTIFS('muddati otgan'!C:C,A182,'muddati otgan'!J:J,"Ko'chmas mulk turini tanlahsh")</f>
        <v>0</v>
      </c>
      <c r="V182" s="11">
        <f>+COUNTIFS('muddati otgan'!C:C,A182,'muddati otgan'!AA:AA,"Rad qilish")</f>
        <v>0</v>
      </c>
      <c r="W182" s="11">
        <f>+COUNTIFS('muddati otgan'!C:C,A182,'muddati otgan'!J:J,"ijrochi tanlash")</f>
        <v>0</v>
      </c>
      <c r="X182" s="11">
        <f>+COUNTIFS('muddati otgan'!C:C,A182,'muddati otgan'!J:J,"Ko'chmas mulk turini tanlash")</f>
        <v>0</v>
      </c>
      <c r="Y182" s="11">
        <f t="shared" si="24"/>
        <v>0</v>
      </c>
      <c r="Z182" s="11">
        <f>+COUNTIFS('muddati otgan'!C:C,A182,'muddati otgan'!J:J,"Ijroga qabul qilish")</f>
        <v>0</v>
      </c>
      <c r="AA182" s="11">
        <f>+COUNTIFS('muddati otgan'!C:C,A182,'muddati otgan'!J:J,"Joyida o'rganish va ma'lumotlarni kiritish")</f>
        <v>0</v>
      </c>
      <c r="AB182" s="11">
        <f>+COUNTIFS('muddati otgan'!C:C,A182,'muddati otgan'!J:J,"Asosiy qismdan ajratish jarayonida")</f>
        <v>0</v>
      </c>
      <c r="AC182" s="11">
        <f>+COUNTIFS('muddati otgan'!C:C,A182,'muddati otgan'!J:J,"Umumiy foydalanishdagi obyekt yaratilish")</f>
        <v>0</v>
      </c>
      <c r="AD182" s="11">
        <f>+COUNTIFS('muddati otgan'!C:C,A182,'muddati otgan'!J:J,"Migratsiya qilinadigan kadastr raqamini kiritish")</f>
        <v>0</v>
      </c>
      <c r="AE182" s="11">
        <f>+COUNTIFS('muddati otgan'!C:C,A182,'muddati otgan'!J:J,"O'zida qolgan obyektni yaratish")</f>
        <v>0</v>
      </c>
      <c r="AF182" s="11">
        <f>+COUNTIFS('muddati otgan'!C:C,A182,'muddati otgan'!J:J,"O'lchov natijalarini kiritish")</f>
        <v>0</v>
      </c>
      <c r="AG182" s="11">
        <f>+COUNTIFS('muddati otgan'!C:C,A182,'muddati otgan'!J:J,"Topoxaritani tayyorlash (dwg, pdf)")</f>
        <v>0</v>
      </c>
      <c r="AH182" s="11">
        <f t="shared" si="25"/>
        <v>0</v>
      </c>
      <c r="AI182" s="11">
        <f>+COUNTIFS('muddati otgan'!C:C,A182,'muddati otgan'!J:J,"Yer uchastkasini yaratish")</f>
        <v>0</v>
      </c>
      <c r="AJ182" s="11">
        <f t="shared" si="26"/>
        <v>0</v>
      </c>
      <c r="AK182" s="11">
        <f>+COUNTIFS('muddati otgan'!C:C,A182,'muddati otgan'!J:J,"Kelishish (Boshqarma)")</f>
        <v>0</v>
      </c>
      <c r="AL182" s="11">
        <f t="shared" si="27"/>
        <v>0</v>
      </c>
      <c r="AM182" s="11">
        <f>+COUNTIFS('muddati otgan'!C:C,A182,'muddati otgan'!J:J,"Kelishish (DKP)")</f>
        <v>0</v>
      </c>
      <c r="AN182" s="11">
        <f>+COUNTIFS('muddati otgan'!C:C,A182,'muddati otgan'!J:J,"Kelishish")</f>
        <v>0</v>
      </c>
      <c r="AO182" s="11">
        <f>+COUNTIFS('muddati otgan'!C:C,A182,'muddati otgan'!J:J,"Kelishish (Registratsiya DKP)")</f>
        <v>0</v>
      </c>
      <c r="AP182" s="11">
        <f t="shared" si="28"/>
        <v>0</v>
      </c>
      <c r="AQ182" s="11">
        <f>+COUNTIFS('muddati otgan'!C:C,A182,'muddati otgan'!J:J,"Manzil biriktirish")</f>
        <v>0</v>
      </c>
      <c r="AR182" s="11">
        <f>+COUNTIFS('muddati otgan'!C:C,A182,'muddati otgan'!J:J,"Bino va inshootlarni yaratish")</f>
        <v>0</v>
      </c>
      <c r="AS182" s="11">
        <f>+COUNTIFS('muddati otgan'!C:C,A182,'muddati otgan'!J:J,"Dov daraxtlarni yaratish")</f>
        <v>0</v>
      </c>
      <c r="AT182" s="11">
        <f>+COUNTIFS('muddati otgan'!C:C,A182,'muddati otgan'!J:J,"Yer uchastkasini tahrirlash")</f>
        <v>0</v>
      </c>
      <c r="AU182" s="11">
        <f t="shared" si="29"/>
        <v>0</v>
      </c>
      <c r="AV182" s="11">
        <f>+COUNTIFS('muddati otgan'!C:C,A182,'muddati otgan'!J:J,"Yer toifasi va maqsadini kiritish")</f>
        <v>0</v>
      </c>
      <c r="AW182" s="11">
        <f>+COUNTIFS('muddati otgan'!C:C,A182,'muddati otgan'!J:J,"Auksion yer tekshirish")</f>
        <v>0</v>
      </c>
      <c r="AX182" s="11">
        <f>+COUNTIFS('muddati otgan'!C:C,A182,'muddati otgan'!J:J,"Yer turlarini kiritish")</f>
        <v>0</v>
      </c>
      <c r="AY182" s="11">
        <f>+COUNTIFS('muddati otgan'!C:C,A182,'muddati otgan'!J:J,"Ma'lumotlarni kiritish")</f>
        <v>0</v>
      </c>
      <c r="AZ182" s="11">
        <f>+COUNTIFS('muddati otgan'!C:C,A182,'muddati otgan'!J:J,"Yer tekshirish")</f>
        <v>0</v>
      </c>
      <c r="BA182" s="11">
        <f t="shared" si="30"/>
        <v>0</v>
      </c>
      <c r="BB182" s="11">
        <f>+COUNTIFS('muddati otgan'!C:C,A182,'muddati otgan'!J:J,"Bino va inshoot ma'lumotlarini to‘ldirish")</f>
        <v>0</v>
      </c>
      <c r="BC182" s="11">
        <f>+COUNTIFS('muddati otgan'!C:C,A182,'muddati otgan'!J:J,"Inventarizatsiya ma'lumotlarini to‘ldirish")</f>
        <v>0</v>
      </c>
      <c r="BD182" s="11">
        <f>+COUNTIFS('muddati otgan'!C:C,A182,'muddati otgan'!J:J,"Yer uchastkasiga huquqiy hujjatlarni kiritsh")</f>
        <v>0</v>
      </c>
      <c r="BE182" s="11">
        <f>+COUNTIFS('muddati otgan'!C:C,A182,'muddati otgan'!J:J,"Bino-inshootlarga huquqiy hujjatlarni kiritsh")</f>
        <v>0</v>
      </c>
      <c r="BF182" s="11">
        <f>+COUNTIFS('muddati otgan'!C:C,A182,'muddati otgan'!J:J,"Kadastr qiymatini hisoblash va kiritish")</f>
        <v>0</v>
      </c>
      <c r="BG182" s="11">
        <f>+COUNTIFS('muddati otgan'!C:C,A182,'muddati otgan'!J:J,"Kadastr raqam biriktirish")</f>
        <v>0</v>
      </c>
      <c r="BH182" s="11">
        <f>+COUNTIFS('muddati otgan'!C:C,A182,'muddati otgan'!J:J,"Kadastr yig'ma jildni tayyorlash")</f>
        <v>0</v>
      </c>
      <c r="BI182" s="11">
        <f>+COUNTIFS('muddati otgan'!C:C,A182,'muddati otgan'!J:J,"Huquqni yaratish")</f>
        <v>0</v>
      </c>
      <c r="BJ182" s="11">
        <f>+COUNTIFS('muddati otgan'!C:C,A182,'muddati otgan'!J:J,"Hujjatlarni o'rganish")</f>
        <v>0</v>
      </c>
      <c r="BK182" s="11">
        <f>+COUNTIFS('muddati otgan'!C:C,A182,'muddati otgan'!J:J,"Ma'lumotlarni tekshirish")</f>
        <v>0</v>
      </c>
      <c r="BL182" s="11">
        <f t="shared" si="31"/>
        <v>0</v>
      </c>
      <c r="BM182" s="11">
        <f>+COUNTIFS('muddati otgan'!C:C,A182,'muddati otgan'!J:J,"Tekshirish")</f>
        <v>0</v>
      </c>
      <c r="BN182" s="11">
        <f>+COUNTIFS('muddati otgan'!C:C,A182,'muddati otgan'!J:J,"Hujjatlarni tekshirish")</f>
        <v>0</v>
      </c>
      <c r="BO182" s="11">
        <f>+COUNTIFS('muddati otgan'!C:C,A182,'muddati otgan'!J:J,"Tasdiqlash")</f>
        <v>0</v>
      </c>
      <c r="BP182" s="11">
        <f>+COUNTIFS('muddati otgan'!C:C,A182,'muddati otgan'!J:J,"tekshirish/tasdiqlash")</f>
        <v>0</v>
      </c>
      <c r="BQ182" s="11">
        <f>+COUNTIFS('muddati otgan'!C:C,A182,'muddati otgan'!J:J,"Ma'lumotlarni tasdiqlash")</f>
        <v>0</v>
      </c>
      <c r="BR182" s="11">
        <f t="shared" si="32"/>
        <v>1</v>
      </c>
      <c r="BS182" s="11">
        <f>+COUNTIFS('muddati otgan'!C:C,A182,'muddati otgan'!J:J,"Ro'yxatdan o'tkazish ma'lumotlarini tekshirish")</f>
        <v>1</v>
      </c>
      <c r="BT182" s="11">
        <f>+COUNTIFS('muddati otgan'!C:C,A182,'muddati otgan'!J:J,"Kamchiliklar bo'yicha habarnoma yuborish va 3 kunga to'xtatish")</f>
        <v>0</v>
      </c>
      <c r="BU182" s="11">
        <f>+COUNTIFS('muddati otgan'!C:C,A182,'muddati otgan'!J:J,"Hisobga olish")</f>
        <v>0</v>
      </c>
      <c r="BV182" s="11">
        <f>+COUNTIFS('muddati otgan'!C:C,A182,'muddati otgan'!J:J,"Yer uchastkasiga huquq yaratish")</f>
        <v>0</v>
      </c>
      <c r="BW182" s="11">
        <f>+COUNTIFS('muddati otgan'!C:C,A182,'muddati otgan'!J:J,"Bino-inshootga huquq yaratish")</f>
        <v>0</v>
      </c>
      <c r="BX182" s="11">
        <f>+COUNTIFS('muddati otgan'!C:C,A182,'muddati otgan'!J:J,"Cheklov yaratish")</f>
        <v>0</v>
      </c>
      <c r="BY182" s="11">
        <f>+COUNTIFS('muddati otgan'!C:C,A182,'muddati otgan'!J:J,"Taqiq yaratish")</f>
        <v>0</v>
      </c>
      <c r="BZ182" s="11">
        <f t="shared" si="33"/>
        <v>0</v>
      </c>
      <c r="CA182" s="11">
        <f>+COUNTIFS('muddati otgan'!C:C,A182,'muddati otgan'!J:J,"Soliq maydonini tekshirish")</f>
        <v>0</v>
      </c>
      <c r="CB182" s="11">
        <f t="shared" si="34"/>
        <v>0</v>
      </c>
      <c r="CC182" s="11">
        <f>+COUNTIFS('muddati otgan'!C:C,A182,'muddati otgan'!J:J,"Kadastr yig'majildini shakllantirish")</f>
        <v>0</v>
      </c>
      <c r="CD182" s="11">
        <f t="shared" si="35"/>
        <v>0</v>
      </c>
      <c r="CE182" s="11">
        <f>+COUNTIFS('muddati otgan'!C:C,A182,'muddati otgan'!J:J,"Kadastr passportini shakllantirish")</f>
        <v>0</v>
      </c>
      <c r="CF182" s="11">
        <f>+COUNTIFS('muddati otgan'!C:C,A182,'muddati otgan'!J:J,"Yig'ma jildni tasdiqlash")</f>
        <v>0</v>
      </c>
      <c r="CG182" s="11">
        <f>+COUNTIFS('muddati otgan'!C:C,A182,'muddati otgan'!J:J,"To'lov yoki bepul tasdiqlash")</f>
        <v>0</v>
      </c>
      <c r="CH182" s="11">
        <f>+COUNTIFS('muddati otgan'!C:C,A182,'muddati otgan'!J:J,"Bog'liq arizani kutish")</f>
        <v>0</v>
      </c>
      <c r="CI182" s="11">
        <f>+COUNTIFS('muddati otgan'!C:C,A182,'muddati otgan'!J:J,"To'lovga chiqarish")</f>
        <v>0</v>
      </c>
      <c r="CJ182" s="11">
        <f>+COUNTIFS('muddati otgan'!C:C,A182,'muddati otgan'!J:J,"Hisobga qo'yish")</f>
        <v>0</v>
      </c>
      <c r="CK182" s="6">
        <f>+COUNTIFS('muddati otgan'!C:C,A182,'muddati otgan'!J:J,"To'lov kutilmoqda")</f>
        <v>0</v>
      </c>
      <c r="CL182" s="125">
        <f t="shared" si="36"/>
        <v>0</v>
      </c>
      <c r="CM182" s="125">
        <f>+COUNTIFS('muddati otgan'!C:C,A182,'muddati otgan'!AA:AA,"Arizani qabul qilish2")</f>
        <v>0</v>
      </c>
      <c r="CN182" s="125">
        <f>+COUNTIFS('muddati otgan'!C:C,A182,'muddati otgan'!J:J,"Huquqlarni tekshirish")</f>
        <v>0</v>
      </c>
      <c r="CO182" s="125">
        <f>+COUNTIFS('muddati otgan'!C:C,A182,'muddati otgan'!J:J,"Ko'chmas mulkni ro'yhatdan o'tkazishga qabul qilish")</f>
        <v>0</v>
      </c>
      <c r="CP182" s="125">
        <f>+COUNTIFS('muddati otgan'!C:C,A182,'muddati otgan'!J:J,"Ro'yxatdan o'tkazish")</f>
        <v>0</v>
      </c>
      <c r="CQ182" s="125">
        <f>+COUNTIFS('muddati otgan'!C:C,A182,'muddati otgan'!J:J,"Kadastr pasporti va ko'chirmani yuborish")</f>
        <v>0</v>
      </c>
      <c r="CR182" s="125">
        <f>+COUNTIFS('muddati otgan'!C:C,A182,'muddati otgan'!AA:AA,"Rad qilish2")</f>
        <v>0</v>
      </c>
      <c r="CS182" s="125">
        <f>+COUNTIFS('muddati otgan'!C:C,A182,'muddati otgan'!J:J,"Ko'chirmani yuborish")</f>
        <v>0</v>
      </c>
      <c r="CT182" s="125">
        <f>+COUNTIFS('muddati otgan'!C:C,A182,'muddati otgan'!J:J,"Ma‘lumotlarni tekshirish")</f>
        <v>0</v>
      </c>
      <c r="CU182" s="125">
        <f t="shared" si="37"/>
        <v>0</v>
      </c>
      <c r="CV182" s="125">
        <f>+COUNTIFS('muddati otgan'!C:C,A182,'muddati otgan'!J:J,"Kadastr yig'majildini chop etish va arxiv ishiga tikish")</f>
        <v>0</v>
      </c>
      <c r="CW182" s="125">
        <f t="shared" si="38"/>
        <v>0</v>
      </c>
      <c r="CX182" s="11">
        <f>+COUNTIFS('muddati otgan'!C:C,A182,'muddati otgan'!J:J,"Kadastr yig‘majildini qabul qilish, arizani yakunlash")</f>
        <v>0</v>
      </c>
      <c r="CY182" s="11">
        <f>+COUNTIFS('muddati otgan'!C:C,A182,'muddati otgan'!J:J,"Next Cloudga yuklash")</f>
        <v>0</v>
      </c>
      <c r="CZ182" s="6">
        <f>+COUNTIFS('muddati otgan'!C:C,A182,'muddati otgan'!J:J,"Kelishish kutilmoqda")</f>
        <v>0</v>
      </c>
      <c r="DA182" s="6">
        <f>+COUNTIFS('muddati otgan'!C:C,A182,'muddati otgan'!J:J,"Yakunlandi")</f>
        <v>0</v>
      </c>
      <c r="DB182" s="10">
        <f>+COUNTIFS('muddati otgan'!C:C,A182,'muddati otgan'!J:J,"Rad etildi")</f>
        <v>0</v>
      </c>
      <c r="DC182" s="100">
        <f t="shared" si="5"/>
        <v>-1</v>
      </c>
      <c r="DD182" s="44">
        <f>COUNTIFS('jami 1-20 kunlik arizalar'!C:C,A:A,'jami 1-20 kunlik arizalar'!S:S,"1")</f>
        <v>0</v>
      </c>
      <c r="DE182" s="11">
        <f>COUNTIFS('jami 1-20 kunlik arizalar'!C:C,A:A,'jami 1-20 kunlik arizalar'!S:S,"2")</f>
        <v>0</v>
      </c>
      <c r="DF182" s="11">
        <f>COUNTIFS('jami 1-20 kunlik arizalar'!C:C,A:A,'jami 1-20 kunlik arizalar'!S:S,"3")</f>
        <v>0</v>
      </c>
      <c r="DG182" s="11">
        <f>COUNTIFS('jami 1-20 kunlik arizalar'!C:C,A:A,'jami 1-20 kunlik arizalar'!S:S,"4")</f>
        <v>0</v>
      </c>
      <c r="DH182" s="11">
        <f>COUNTIFS('jami 1-20 kunlik arizalar'!C:C,A:A,'jami 1-20 kunlik arizalar'!S:S,"5")</f>
        <v>0</v>
      </c>
      <c r="DI182" s="11">
        <f>SUM(COUNTIFS('jami 1-20 kunlik arizalar'!C:C,A:A, 'jami 1-20 kunlik arizalar'!S:S, {6,7,8,9,10}))</f>
        <v>1</v>
      </c>
      <c r="DJ182" s="12">
        <f>SUM(COUNTIFS('jami 1-20 kunlik arizalar'!C:C,A:A, 'jami 1-20 kunlik arizalar'!S:S, "&gt;10"))</f>
        <v>0</v>
      </c>
    </row>
    <row r="183" spans="1:115" ht="48" hidden="1" customHeight="1" outlineLevel="1" x14ac:dyDescent="0.25">
      <c r="A183" s="92" t="s">
        <v>709</v>
      </c>
      <c r="B183" s="74"/>
      <c r="C183" s="85" t="s">
        <v>877</v>
      </c>
      <c r="D183" s="80">
        <f>+COUNTIFS('muddati otgan'!C:C,A183,'muddati otgan'!C:C,A183)</f>
        <v>7</v>
      </c>
      <c r="E183" s="10">
        <f>SUMIFS('muddati otgan'!$V:V,'muddati otgan'!$C:C,$A:A)</f>
        <v>1</v>
      </c>
      <c r="F183" s="10">
        <f>SUMIFS('muddati otgan'!$W:W,'muddati otgan'!$C:C,$A:A)</f>
        <v>0</v>
      </c>
      <c r="G183" s="24">
        <f>SUMIFS('muddati otgan'!$U:U,'muddati otgan'!$C:C,$A:A)</f>
        <v>6</v>
      </c>
      <c r="H183" s="11">
        <f>SUMIFS('muddati otgan'!$G:G,'muddati otgan'!$C:C,$A:A)</f>
        <v>7</v>
      </c>
      <c r="I183" s="12">
        <f>SUMIFS('muddati otgan'!$H:H,'muddati otgan'!$C:C,$A:A)</f>
        <v>0</v>
      </c>
      <c r="J183" s="44">
        <f t="shared" si="23"/>
        <v>0</v>
      </c>
      <c r="K183" s="11">
        <f>+COUNTIFS('muddati otgan'!C:C,A183,'muddati otgan'!AA:AA,"Arizani qabul qilish")</f>
        <v>0</v>
      </c>
      <c r="L183" s="11">
        <f>+COUNTIFS('muddati otgan'!C:C,A183,'muddati otgan'!J:J,"Arizani rad etish")</f>
        <v>0</v>
      </c>
      <c r="M183" s="11">
        <f>+COUNTIFS('muddati otgan'!C:C,A183,'muddati otgan'!J:J,"Arizani tasdiqlash")</f>
        <v>0</v>
      </c>
      <c r="N183" s="11">
        <f>+COUNTIFS('muddati otgan'!C:C,A183,'muddati otgan'!J:J,"Arizani yo'naltirish")</f>
        <v>0</v>
      </c>
      <c r="O183" s="11">
        <f>+COUNTIFS('muddati otgan'!C:C,A183,'muddati otgan'!J:J,"Rad qilish sababini o'rganish")</f>
        <v>0</v>
      </c>
      <c r="P183" s="11">
        <f>+COUNTIFS('muddati otgan'!C:C,A183,'muddati otgan'!J:J,"Ko'chmas mulkni UZKAD ga migratsiya qilish")</f>
        <v>0</v>
      </c>
      <c r="Q183" s="11">
        <f>+COUNTIFS('muddati otgan'!C:C,A183,'muddati otgan'!J:J,"Migratisya qilingan obyekt holatini tekshirish")</f>
        <v>0</v>
      </c>
      <c r="R183" s="11">
        <f>+COUNTIFS('muddati otgan'!C:C,A183,'muddati otgan'!J:J,"Ko‘chmas mulkni tanlash")</f>
        <v>0</v>
      </c>
      <c r="S183" s="11">
        <f>+COUNTIFS('muddati otgan'!C:C,A183,'muddati otgan'!J:J,"Arizani ko'rib chiqish")</f>
        <v>0</v>
      </c>
      <c r="T183" s="11">
        <f>+COUNTIFS('muddati otgan'!C:C,A183,'muddati otgan'!J:J,"Kadastr muhandisini tanlash")</f>
        <v>0</v>
      </c>
      <c r="U183" s="11">
        <f>+COUNTIFS('muddati otgan'!C:C,A183,'muddati otgan'!J:J,"Ko'chmas mulk turini tanlahsh")</f>
        <v>0</v>
      </c>
      <c r="V183" s="11">
        <f>+COUNTIFS('muddati otgan'!C:C,A183,'muddati otgan'!AA:AA,"Rad qilish")</f>
        <v>0</v>
      </c>
      <c r="W183" s="11">
        <f>+COUNTIFS('muddati otgan'!C:C,A183,'muddati otgan'!J:J,"ijrochi tanlash")</f>
        <v>0</v>
      </c>
      <c r="X183" s="11">
        <f>+COUNTIFS('muddati otgan'!C:C,A183,'muddati otgan'!J:J,"Ko'chmas mulk turini tanlash")</f>
        <v>0</v>
      </c>
      <c r="Y183" s="11">
        <f t="shared" si="24"/>
        <v>0</v>
      </c>
      <c r="Z183" s="11">
        <f>+COUNTIFS('muddati otgan'!C:C,A183,'muddati otgan'!J:J,"Ijroga qabul qilish")</f>
        <v>0</v>
      </c>
      <c r="AA183" s="11">
        <f>+COUNTIFS('muddati otgan'!C:C,A183,'muddati otgan'!J:J,"Joyida o'rganish va ma'lumotlarni kiritish")</f>
        <v>0</v>
      </c>
      <c r="AB183" s="11">
        <f>+COUNTIFS('muddati otgan'!C:C,A183,'muddati otgan'!J:J,"Asosiy qismdan ajratish jarayonida")</f>
        <v>0</v>
      </c>
      <c r="AC183" s="11">
        <f>+COUNTIFS('muddati otgan'!C:C,A183,'muddati otgan'!J:J,"Umumiy foydalanishdagi obyekt yaratilish")</f>
        <v>0</v>
      </c>
      <c r="AD183" s="11">
        <f>+COUNTIFS('muddati otgan'!C:C,A183,'muddati otgan'!J:J,"Migratsiya qilinadigan kadastr raqamini kiritish")</f>
        <v>0</v>
      </c>
      <c r="AE183" s="11">
        <f>+COUNTIFS('muddati otgan'!C:C,A183,'muddati otgan'!J:J,"O'zida qolgan obyektni yaratish")</f>
        <v>0</v>
      </c>
      <c r="AF183" s="11">
        <f>+COUNTIFS('muddati otgan'!C:C,A183,'muddati otgan'!J:J,"O'lchov natijalarini kiritish")</f>
        <v>0</v>
      </c>
      <c r="AG183" s="11">
        <f>+COUNTIFS('muddati otgan'!C:C,A183,'muddati otgan'!J:J,"Topoxaritani tayyorlash (dwg, pdf)")</f>
        <v>0</v>
      </c>
      <c r="AH183" s="11">
        <f t="shared" si="25"/>
        <v>0</v>
      </c>
      <c r="AI183" s="11">
        <f>+COUNTIFS('muddati otgan'!C:C,A183,'muddati otgan'!J:J,"Yer uchastkasini yaratish")</f>
        <v>0</v>
      </c>
      <c r="AJ183" s="11">
        <f t="shared" si="26"/>
        <v>0</v>
      </c>
      <c r="AK183" s="11">
        <f>+COUNTIFS('muddati otgan'!C:C,A183,'muddati otgan'!J:J,"Kelishish (Boshqarma)")</f>
        <v>0</v>
      </c>
      <c r="AL183" s="11">
        <f t="shared" si="27"/>
        <v>0</v>
      </c>
      <c r="AM183" s="11">
        <f>+COUNTIFS('muddati otgan'!C:C,A183,'muddati otgan'!J:J,"Kelishish (DKP)")</f>
        <v>0</v>
      </c>
      <c r="AN183" s="11">
        <f>+COUNTIFS('muddati otgan'!C:C,A183,'muddati otgan'!J:J,"Kelishish")</f>
        <v>0</v>
      </c>
      <c r="AO183" s="11">
        <f>+COUNTIFS('muddati otgan'!C:C,A183,'muddati otgan'!J:J,"Kelishish (Registratsiya DKP)")</f>
        <v>0</v>
      </c>
      <c r="AP183" s="11">
        <f t="shared" si="28"/>
        <v>0</v>
      </c>
      <c r="AQ183" s="11">
        <f>+COUNTIFS('muddati otgan'!C:C,A183,'muddati otgan'!J:J,"Manzil biriktirish")</f>
        <v>0</v>
      </c>
      <c r="AR183" s="11">
        <f>+COUNTIFS('muddati otgan'!C:C,A183,'muddati otgan'!J:J,"Bino va inshootlarni yaratish")</f>
        <v>0</v>
      </c>
      <c r="AS183" s="11">
        <f>+COUNTIFS('muddati otgan'!C:C,A183,'muddati otgan'!J:J,"Dov daraxtlarni yaratish")</f>
        <v>0</v>
      </c>
      <c r="AT183" s="11">
        <f>+COUNTIFS('muddati otgan'!C:C,A183,'muddati otgan'!J:J,"Yer uchastkasini tahrirlash")</f>
        <v>0</v>
      </c>
      <c r="AU183" s="11">
        <f t="shared" si="29"/>
        <v>0</v>
      </c>
      <c r="AV183" s="11">
        <f>+COUNTIFS('muddati otgan'!C:C,A183,'muddati otgan'!J:J,"Yer toifasi va maqsadini kiritish")</f>
        <v>0</v>
      </c>
      <c r="AW183" s="11">
        <f>+COUNTIFS('muddati otgan'!C:C,A183,'muddati otgan'!J:J,"Auksion yer tekshirish")</f>
        <v>0</v>
      </c>
      <c r="AX183" s="11">
        <f>+COUNTIFS('muddati otgan'!C:C,A183,'muddati otgan'!J:J,"Yer turlarini kiritish")</f>
        <v>0</v>
      </c>
      <c r="AY183" s="11">
        <f>+COUNTIFS('muddati otgan'!C:C,A183,'muddati otgan'!J:J,"Ma'lumotlarni kiritish")</f>
        <v>0</v>
      </c>
      <c r="AZ183" s="11">
        <f>+COUNTIFS('muddati otgan'!C:C,A183,'muddati otgan'!J:J,"Yer tekshirish")</f>
        <v>0</v>
      </c>
      <c r="BA183" s="11">
        <f t="shared" si="30"/>
        <v>1</v>
      </c>
      <c r="BB183" s="11">
        <f>+COUNTIFS('muddati otgan'!C:C,A183,'muddati otgan'!J:J,"Bino va inshoot ma'lumotlarini to‘ldirish")</f>
        <v>1</v>
      </c>
      <c r="BC183" s="11">
        <f>+COUNTIFS('muddati otgan'!C:C,A183,'muddati otgan'!J:J,"Inventarizatsiya ma'lumotlarini to‘ldirish")</f>
        <v>0</v>
      </c>
      <c r="BD183" s="11">
        <f>+COUNTIFS('muddati otgan'!C:C,A183,'muddati otgan'!J:J,"Yer uchastkasiga huquqiy hujjatlarni kiritsh")</f>
        <v>0</v>
      </c>
      <c r="BE183" s="11">
        <f>+COUNTIFS('muddati otgan'!C:C,A183,'muddati otgan'!J:J,"Bino-inshootlarga huquqiy hujjatlarni kiritsh")</f>
        <v>0</v>
      </c>
      <c r="BF183" s="11">
        <f>+COUNTIFS('muddati otgan'!C:C,A183,'muddati otgan'!J:J,"Kadastr qiymatini hisoblash va kiritish")</f>
        <v>0</v>
      </c>
      <c r="BG183" s="11">
        <f>+COUNTIFS('muddati otgan'!C:C,A183,'muddati otgan'!J:J,"Kadastr raqam biriktirish")</f>
        <v>0</v>
      </c>
      <c r="BH183" s="11">
        <f>+COUNTIFS('muddati otgan'!C:C,A183,'muddati otgan'!J:J,"Kadastr yig'ma jildni tayyorlash")</f>
        <v>0</v>
      </c>
      <c r="BI183" s="11">
        <f>+COUNTIFS('muddati otgan'!C:C,A183,'muddati otgan'!J:J,"Huquqni yaratish")</f>
        <v>0</v>
      </c>
      <c r="BJ183" s="11">
        <f>+COUNTIFS('muddati otgan'!C:C,A183,'muddati otgan'!J:J,"Hujjatlarni o'rganish")</f>
        <v>0</v>
      </c>
      <c r="BK183" s="11">
        <f>+COUNTIFS('muddati otgan'!C:C,A183,'muddati otgan'!J:J,"Ma'lumotlarni tekshirish")</f>
        <v>0</v>
      </c>
      <c r="BL183" s="11">
        <f t="shared" si="31"/>
        <v>2</v>
      </c>
      <c r="BM183" s="11">
        <f>+COUNTIFS('muddati otgan'!C:C,A183,'muddati otgan'!J:J,"Tekshirish")</f>
        <v>2</v>
      </c>
      <c r="BN183" s="11">
        <f>+COUNTIFS('muddati otgan'!C:C,A183,'muddati otgan'!J:J,"Hujjatlarni tekshirish")</f>
        <v>0</v>
      </c>
      <c r="BO183" s="11">
        <f>+COUNTIFS('muddati otgan'!C:C,A183,'muddati otgan'!J:J,"Tasdiqlash")</f>
        <v>0</v>
      </c>
      <c r="BP183" s="11">
        <f>+COUNTIFS('muddati otgan'!C:C,A183,'muddati otgan'!J:J,"tekshirish/tasdiqlash")</f>
        <v>0</v>
      </c>
      <c r="BQ183" s="11">
        <f>+COUNTIFS('muddati otgan'!C:C,A183,'muddati otgan'!J:J,"Ma'lumotlarni tasdiqlash")</f>
        <v>0</v>
      </c>
      <c r="BR183" s="11">
        <f t="shared" si="32"/>
        <v>2</v>
      </c>
      <c r="BS183" s="11">
        <f>+COUNTIFS('muddati otgan'!C:C,A183,'muddati otgan'!J:J,"Ro'yxatdan o'tkazish ma'lumotlarini tekshirish")</f>
        <v>2</v>
      </c>
      <c r="BT183" s="11">
        <f>+COUNTIFS('muddati otgan'!C:C,A183,'muddati otgan'!J:J,"Kamchiliklar bo'yicha habarnoma yuborish va 3 kunga to'xtatish")</f>
        <v>0</v>
      </c>
      <c r="BU183" s="11">
        <f>+COUNTIFS('muddati otgan'!C:C,A183,'muddati otgan'!J:J,"Hisobga olish")</f>
        <v>0</v>
      </c>
      <c r="BV183" s="11">
        <f>+COUNTIFS('muddati otgan'!C:C,A183,'muddati otgan'!J:J,"Yer uchastkasiga huquq yaratish")</f>
        <v>0</v>
      </c>
      <c r="BW183" s="11">
        <f>+COUNTIFS('muddati otgan'!C:C,A183,'muddati otgan'!J:J,"Bino-inshootga huquq yaratish")</f>
        <v>0</v>
      </c>
      <c r="BX183" s="11">
        <f>+COUNTIFS('muddati otgan'!C:C,A183,'muddati otgan'!J:J,"Cheklov yaratish")</f>
        <v>0</v>
      </c>
      <c r="BY183" s="11">
        <f>+COUNTIFS('muddati otgan'!C:C,A183,'muddati otgan'!J:J,"Taqiq yaratish")</f>
        <v>0</v>
      </c>
      <c r="BZ183" s="11">
        <f t="shared" si="33"/>
        <v>0</v>
      </c>
      <c r="CA183" s="11">
        <f>+COUNTIFS('muddati otgan'!C:C,A183,'muddati otgan'!J:J,"Soliq maydonini tekshirish")</f>
        <v>0</v>
      </c>
      <c r="CB183" s="11">
        <f t="shared" si="34"/>
        <v>0</v>
      </c>
      <c r="CC183" s="11">
        <f>+COUNTIFS('muddati otgan'!C:C,A183,'muddati otgan'!J:J,"Kadastr yig'majildini shakllantirish")</f>
        <v>0</v>
      </c>
      <c r="CD183" s="11">
        <f t="shared" si="35"/>
        <v>1</v>
      </c>
      <c r="CE183" s="11">
        <f>+COUNTIFS('muddati otgan'!C:C,A183,'muddati otgan'!J:J,"Kadastr passportini shakllantirish")</f>
        <v>1</v>
      </c>
      <c r="CF183" s="11">
        <f>+COUNTIFS('muddati otgan'!C:C,A183,'muddati otgan'!J:J,"Yig'ma jildni tasdiqlash")</f>
        <v>0</v>
      </c>
      <c r="CG183" s="11">
        <f>+COUNTIFS('muddati otgan'!C:C,A183,'muddati otgan'!J:J,"To'lov yoki bepul tasdiqlash")</f>
        <v>0</v>
      </c>
      <c r="CH183" s="11">
        <f>+COUNTIFS('muddati otgan'!C:C,A183,'muddati otgan'!J:J,"Bog'liq arizani kutish")</f>
        <v>0</v>
      </c>
      <c r="CI183" s="11">
        <f>+COUNTIFS('muddati otgan'!C:C,A183,'muddati otgan'!J:J,"To'lovga chiqarish")</f>
        <v>0</v>
      </c>
      <c r="CJ183" s="11">
        <f>+COUNTIFS('muddati otgan'!C:C,A183,'muddati otgan'!J:J,"Hisobga qo'yish")</f>
        <v>0</v>
      </c>
      <c r="CK183" s="6">
        <f>+COUNTIFS('muddati otgan'!C:C,A183,'muddati otgan'!J:J,"To'lov kutilmoqda")</f>
        <v>0</v>
      </c>
      <c r="CL183" s="125">
        <f t="shared" si="36"/>
        <v>0</v>
      </c>
      <c r="CM183" s="125">
        <f>+COUNTIFS('muddati otgan'!C:C,A183,'muddati otgan'!AA:AA,"Arizani qabul qilish2")</f>
        <v>0</v>
      </c>
      <c r="CN183" s="125">
        <f>+COUNTIFS('muddati otgan'!C:C,A183,'muddati otgan'!J:J,"Huquqlarni tekshirish")</f>
        <v>0</v>
      </c>
      <c r="CO183" s="125">
        <f>+COUNTIFS('muddati otgan'!C:C,A183,'muddati otgan'!J:J,"Ko'chmas mulkni ro'yhatdan o'tkazishga qabul qilish")</f>
        <v>0</v>
      </c>
      <c r="CP183" s="125">
        <f>+COUNTIFS('muddati otgan'!C:C,A183,'muddati otgan'!J:J,"Ro'yxatdan o'tkazish")</f>
        <v>0</v>
      </c>
      <c r="CQ183" s="125">
        <f>+COUNTIFS('muddati otgan'!C:C,A183,'muddati otgan'!J:J,"Kadastr pasporti va ko'chirmani yuborish")</f>
        <v>0</v>
      </c>
      <c r="CR183" s="125">
        <f>+COUNTIFS('muddati otgan'!C:C,A183,'muddati otgan'!AA:AA,"Rad qilish2")</f>
        <v>0</v>
      </c>
      <c r="CS183" s="125">
        <f>+COUNTIFS('muddati otgan'!C:C,A183,'muddati otgan'!J:J,"Ko'chirmani yuborish")</f>
        <v>0</v>
      </c>
      <c r="CT183" s="125">
        <f>+COUNTIFS('muddati otgan'!C:C,A183,'muddati otgan'!J:J,"Ma‘lumotlarni tekshirish")</f>
        <v>0</v>
      </c>
      <c r="CU183" s="125">
        <f t="shared" si="37"/>
        <v>0</v>
      </c>
      <c r="CV183" s="125">
        <f>+COUNTIFS('muddati otgan'!C:C,A183,'muddati otgan'!J:J,"Kadastr yig'majildini chop etish va arxiv ishiga tikish")</f>
        <v>0</v>
      </c>
      <c r="CW183" s="125">
        <f t="shared" si="38"/>
        <v>0</v>
      </c>
      <c r="CX183" s="11">
        <f>+COUNTIFS('muddati otgan'!C:C,A183,'muddati otgan'!J:J,"Kadastr yig‘majildini qabul qilish, arizani yakunlash")</f>
        <v>0</v>
      </c>
      <c r="CY183" s="11">
        <f>+COUNTIFS('muddati otgan'!C:C,A183,'muddati otgan'!J:J,"Next Cloudga yuklash")</f>
        <v>0</v>
      </c>
      <c r="CZ183" s="6">
        <f>+COUNTIFS('muddati otgan'!C:C,A183,'muddati otgan'!J:J,"Kelishish kutilmoqda")</f>
        <v>0</v>
      </c>
      <c r="DA183" s="6">
        <f>+COUNTIFS('muddati otgan'!C:C,A183,'muddati otgan'!J:J,"Yakunlandi")</f>
        <v>1</v>
      </c>
      <c r="DB183" s="10">
        <f>+COUNTIFS('muddati otgan'!C:C,A183,'muddati otgan'!J:J,"Rad etildi")</f>
        <v>0</v>
      </c>
      <c r="DC183" s="100">
        <f t="shared" si="5"/>
        <v>-6</v>
      </c>
      <c r="DD183" s="44">
        <f>COUNTIFS('jami 1-20 kunlik arizalar'!C:C,A:A,'jami 1-20 kunlik arizalar'!S:S,"1")</f>
        <v>0</v>
      </c>
      <c r="DE183" s="11">
        <f>COUNTIFS('jami 1-20 kunlik arizalar'!C:C,A:A,'jami 1-20 kunlik arizalar'!S:S,"2")</f>
        <v>0</v>
      </c>
      <c r="DF183" s="11">
        <f>COUNTIFS('jami 1-20 kunlik arizalar'!C:C,A:A,'jami 1-20 kunlik arizalar'!S:S,"3")</f>
        <v>3</v>
      </c>
      <c r="DG183" s="11">
        <f>COUNTIFS('jami 1-20 kunlik arizalar'!C:C,A:A,'jami 1-20 kunlik arizalar'!S:S,"4")</f>
        <v>0</v>
      </c>
      <c r="DH183" s="11">
        <f>COUNTIFS('jami 1-20 kunlik arizalar'!C:C,A:A,'jami 1-20 kunlik arizalar'!S:S,"5")</f>
        <v>2</v>
      </c>
      <c r="DI183" s="11">
        <f>SUM(COUNTIFS('jami 1-20 kunlik arizalar'!C:C,A:A, 'jami 1-20 kunlik arizalar'!S:S, {6,7,8,9,10}))</f>
        <v>2</v>
      </c>
      <c r="DJ183" s="12">
        <f>SUM(COUNTIFS('jami 1-20 kunlik arizalar'!C:C,A:A, 'jami 1-20 kunlik arizalar'!S:S, "&gt;10"))</f>
        <v>0</v>
      </c>
    </row>
    <row r="184" spans="1:115" ht="48" hidden="1" customHeight="1" outlineLevel="1" x14ac:dyDescent="0.25">
      <c r="A184" s="92" t="s">
        <v>710</v>
      </c>
      <c r="B184" s="74"/>
      <c r="C184" s="85" t="s">
        <v>878</v>
      </c>
      <c r="D184" s="80">
        <f>+COUNTIFS('muddati otgan'!C:C,A184,'muddati otgan'!C:C,A184)</f>
        <v>2</v>
      </c>
      <c r="E184" s="10">
        <f>SUMIFS('muddati otgan'!$V:V,'muddati otgan'!$C:C,$A:A)</f>
        <v>0</v>
      </c>
      <c r="F184" s="10">
        <f>SUMIFS('muddati otgan'!$W:W,'muddati otgan'!$C:C,$A:A)</f>
        <v>0</v>
      </c>
      <c r="G184" s="24">
        <f>SUMIFS('muddati otgan'!$U:U,'muddati otgan'!$C:C,$A:A)</f>
        <v>2</v>
      </c>
      <c r="H184" s="11">
        <f>SUMIFS('muddati otgan'!$G:G,'muddati otgan'!$C:C,$A:A)</f>
        <v>2</v>
      </c>
      <c r="I184" s="12">
        <f>SUMIFS('muddati otgan'!$H:H,'muddati otgan'!$C:C,$A:A)</f>
        <v>0</v>
      </c>
      <c r="J184" s="44">
        <f t="shared" si="23"/>
        <v>0</v>
      </c>
      <c r="K184" s="11">
        <f>+COUNTIFS('muddati otgan'!C:C,A184,'muddati otgan'!AA:AA,"Arizani qabul qilish")</f>
        <v>0</v>
      </c>
      <c r="L184" s="11">
        <f>+COUNTIFS('muddati otgan'!C:C,A184,'muddati otgan'!J:J,"Arizani rad etish")</f>
        <v>0</v>
      </c>
      <c r="M184" s="11">
        <f>+COUNTIFS('muddati otgan'!C:C,A184,'muddati otgan'!J:J,"Arizani tasdiqlash")</f>
        <v>0</v>
      </c>
      <c r="N184" s="11">
        <f>+COUNTIFS('muddati otgan'!C:C,A184,'muddati otgan'!J:J,"Arizani yo'naltirish")</f>
        <v>0</v>
      </c>
      <c r="O184" s="11">
        <f>+COUNTIFS('muddati otgan'!C:C,A184,'muddati otgan'!J:J,"Rad qilish sababini o'rganish")</f>
        <v>0</v>
      </c>
      <c r="P184" s="11">
        <f>+COUNTIFS('muddati otgan'!C:C,A184,'muddati otgan'!J:J,"Ko'chmas mulkni UZKAD ga migratsiya qilish")</f>
        <v>0</v>
      </c>
      <c r="Q184" s="11">
        <f>+COUNTIFS('muddati otgan'!C:C,A184,'muddati otgan'!J:J,"Migratisya qilingan obyekt holatini tekshirish")</f>
        <v>0</v>
      </c>
      <c r="R184" s="11">
        <f>+COUNTIFS('muddati otgan'!C:C,A184,'muddati otgan'!J:J,"Ko‘chmas mulkni tanlash")</f>
        <v>0</v>
      </c>
      <c r="S184" s="11">
        <f>+COUNTIFS('muddati otgan'!C:C,A184,'muddati otgan'!J:J,"Arizani ko'rib chiqish")</f>
        <v>0</v>
      </c>
      <c r="T184" s="11">
        <f>+COUNTIFS('muddati otgan'!C:C,A184,'muddati otgan'!J:J,"Kadastr muhandisini tanlash")</f>
        <v>0</v>
      </c>
      <c r="U184" s="11">
        <f>+COUNTIFS('muddati otgan'!C:C,A184,'muddati otgan'!J:J,"Ko'chmas mulk turini tanlahsh")</f>
        <v>0</v>
      </c>
      <c r="V184" s="11">
        <f>+COUNTIFS('muddati otgan'!C:C,A184,'muddati otgan'!AA:AA,"Rad qilish")</f>
        <v>0</v>
      </c>
      <c r="W184" s="11">
        <f>+COUNTIFS('muddati otgan'!C:C,A184,'muddati otgan'!J:J,"ijrochi tanlash")</f>
        <v>0</v>
      </c>
      <c r="X184" s="11">
        <f>+COUNTIFS('muddati otgan'!C:C,A184,'muddati otgan'!J:J,"Ko'chmas mulk turini tanlash")</f>
        <v>0</v>
      </c>
      <c r="Y184" s="11">
        <f t="shared" si="24"/>
        <v>0</v>
      </c>
      <c r="Z184" s="11">
        <f>+COUNTIFS('muddati otgan'!C:C,A184,'muddati otgan'!J:J,"Ijroga qabul qilish")</f>
        <v>0</v>
      </c>
      <c r="AA184" s="11">
        <f>+COUNTIFS('muddati otgan'!C:C,A184,'muddati otgan'!J:J,"Joyida o'rganish va ma'lumotlarni kiritish")</f>
        <v>0</v>
      </c>
      <c r="AB184" s="11">
        <f>+COUNTIFS('muddati otgan'!C:C,A184,'muddati otgan'!J:J,"Asosiy qismdan ajratish jarayonida")</f>
        <v>0</v>
      </c>
      <c r="AC184" s="11">
        <f>+COUNTIFS('muddati otgan'!C:C,A184,'muddati otgan'!J:J,"Umumiy foydalanishdagi obyekt yaratilish")</f>
        <v>0</v>
      </c>
      <c r="AD184" s="11">
        <f>+COUNTIFS('muddati otgan'!C:C,A184,'muddati otgan'!J:J,"Migratsiya qilinadigan kadastr raqamini kiritish")</f>
        <v>0</v>
      </c>
      <c r="AE184" s="11">
        <f>+COUNTIFS('muddati otgan'!C:C,A184,'muddati otgan'!J:J,"O'zida qolgan obyektni yaratish")</f>
        <v>0</v>
      </c>
      <c r="AF184" s="11">
        <f>+COUNTIFS('muddati otgan'!C:C,A184,'muddati otgan'!J:J,"O'lchov natijalarini kiritish")</f>
        <v>0</v>
      </c>
      <c r="AG184" s="11">
        <f>+COUNTIFS('muddati otgan'!C:C,A184,'muddati otgan'!J:J,"Topoxaritani tayyorlash (dwg, pdf)")</f>
        <v>0</v>
      </c>
      <c r="AH184" s="11">
        <f t="shared" si="25"/>
        <v>0</v>
      </c>
      <c r="AI184" s="11">
        <f>+COUNTIFS('muddati otgan'!C:C,A184,'muddati otgan'!J:J,"Yer uchastkasini yaratish")</f>
        <v>0</v>
      </c>
      <c r="AJ184" s="11">
        <f t="shared" si="26"/>
        <v>1</v>
      </c>
      <c r="AK184" s="11">
        <f>+COUNTIFS('muddati otgan'!C:C,A184,'muddati otgan'!J:J,"Kelishish (Boshqarma)")</f>
        <v>1</v>
      </c>
      <c r="AL184" s="11">
        <f t="shared" si="27"/>
        <v>0</v>
      </c>
      <c r="AM184" s="11">
        <f>+COUNTIFS('muddati otgan'!C:C,A184,'muddati otgan'!J:J,"Kelishish (DKP)")</f>
        <v>0</v>
      </c>
      <c r="AN184" s="11">
        <f>+COUNTIFS('muddati otgan'!C:C,A184,'muddati otgan'!J:J,"Kelishish")</f>
        <v>0</v>
      </c>
      <c r="AO184" s="11">
        <f>+COUNTIFS('muddati otgan'!C:C,A184,'muddati otgan'!J:J,"Kelishish (Registratsiya DKP)")</f>
        <v>0</v>
      </c>
      <c r="AP184" s="11">
        <f t="shared" si="28"/>
        <v>0</v>
      </c>
      <c r="AQ184" s="11">
        <f>+COUNTIFS('muddati otgan'!C:C,A184,'muddati otgan'!J:J,"Manzil biriktirish")</f>
        <v>0</v>
      </c>
      <c r="AR184" s="11">
        <f>+COUNTIFS('muddati otgan'!C:C,A184,'muddati otgan'!J:J,"Bino va inshootlarni yaratish")</f>
        <v>0</v>
      </c>
      <c r="AS184" s="11">
        <f>+COUNTIFS('muddati otgan'!C:C,A184,'muddati otgan'!J:J,"Dov daraxtlarni yaratish")</f>
        <v>0</v>
      </c>
      <c r="AT184" s="11">
        <f>+COUNTIFS('muddati otgan'!C:C,A184,'muddati otgan'!J:J,"Yer uchastkasini tahrirlash")</f>
        <v>0</v>
      </c>
      <c r="AU184" s="11">
        <f t="shared" si="29"/>
        <v>0</v>
      </c>
      <c r="AV184" s="11">
        <f>+COUNTIFS('muddati otgan'!C:C,A184,'muddati otgan'!J:J,"Yer toifasi va maqsadini kiritish")</f>
        <v>0</v>
      </c>
      <c r="AW184" s="11">
        <f>+COUNTIFS('muddati otgan'!C:C,A184,'muddati otgan'!J:J,"Auksion yer tekshirish")</f>
        <v>0</v>
      </c>
      <c r="AX184" s="11">
        <f>+COUNTIFS('muddati otgan'!C:C,A184,'muddati otgan'!J:J,"Yer turlarini kiritish")</f>
        <v>0</v>
      </c>
      <c r="AY184" s="11">
        <f>+COUNTIFS('muddati otgan'!C:C,A184,'muddati otgan'!J:J,"Ma'lumotlarni kiritish")</f>
        <v>0</v>
      </c>
      <c r="AZ184" s="11">
        <f>+COUNTIFS('muddati otgan'!C:C,A184,'muddati otgan'!J:J,"Yer tekshirish")</f>
        <v>0</v>
      </c>
      <c r="BA184" s="11">
        <f t="shared" si="30"/>
        <v>0</v>
      </c>
      <c r="BB184" s="11">
        <f>+COUNTIFS('muddati otgan'!C:C,A184,'muddati otgan'!J:J,"Bino va inshoot ma'lumotlarini to‘ldirish")</f>
        <v>0</v>
      </c>
      <c r="BC184" s="11">
        <f>+COUNTIFS('muddati otgan'!C:C,A184,'muddati otgan'!J:J,"Inventarizatsiya ma'lumotlarini to‘ldirish")</f>
        <v>0</v>
      </c>
      <c r="BD184" s="11">
        <f>+COUNTIFS('muddati otgan'!C:C,A184,'muddati otgan'!J:J,"Yer uchastkasiga huquqiy hujjatlarni kiritsh")</f>
        <v>0</v>
      </c>
      <c r="BE184" s="11">
        <f>+COUNTIFS('muddati otgan'!C:C,A184,'muddati otgan'!J:J,"Bino-inshootlarga huquqiy hujjatlarni kiritsh")</f>
        <v>0</v>
      </c>
      <c r="BF184" s="11">
        <f>+COUNTIFS('muddati otgan'!C:C,A184,'muddati otgan'!J:J,"Kadastr qiymatini hisoblash va kiritish")</f>
        <v>0</v>
      </c>
      <c r="BG184" s="11">
        <f>+COUNTIFS('muddati otgan'!C:C,A184,'muddati otgan'!J:J,"Kadastr raqam biriktirish")</f>
        <v>0</v>
      </c>
      <c r="BH184" s="11">
        <f>+COUNTIFS('muddati otgan'!C:C,A184,'muddati otgan'!J:J,"Kadastr yig'ma jildni tayyorlash")</f>
        <v>0</v>
      </c>
      <c r="BI184" s="11">
        <f>+COUNTIFS('muddati otgan'!C:C,A184,'muddati otgan'!J:J,"Huquqni yaratish")</f>
        <v>0</v>
      </c>
      <c r="BJ184" s="11">
        <f>+COUNTIFS('muddati otgan'!C:C,A184,'muddati otgan'!J:J,"Hujjatlarni o'rganish")</f>
        <v>0</v>
      </c>
      <c r="BK184" s="11">
        <f>+COUNTIFS('muddati otgan'!C:C,A184,'muddati otgan'!J:J,"Ma'lumotlarni tekshirish")</f>
        <v>0</v>
      </c>
      <c r="BL184" s="11">
        <f t="shared" si="31"/>
        <v>0</v>
      </c>
      <c r="BM184" s="11">
        <f>+COUNTIFS('muddati otgan'!C:C,A184,'muddati otgan'!J:J,"Tekshirish")</f>
        <v>0</v>
      </c>
      <c r="BN184" s="11">
        <f>+COUNTIFS('muddati otgan'!C:C,A184,'muddati otgan'!J:J,"Hujjatlarni tekshirish")</f>
        <v>0</v>
      </c>
      <c r="BO184" s="11">
        <f>+COUNTIFS('muddati otgan'!C:C,A184,'muddati otgan'!J:J,"Tasdiqlash")</f>
        <v>0</v>
      </c>
      <c r="BP184" s="11">
        <f>+COUNTIFS('muddati otgan'!C:C,A184,'muddati otgan'!J:J,"tekshirish/tasdiqlash")</f>
        <v>0</v>
      </c>
      <c r="BQ184" s="11">
        <f>+COUNTIFS('muddati otgan'!C:C,A184,'muddati otgan'!J:J,"Ma'lumotlarni tasdiqlash")</f>
        <v>0</v>
      </c>
      <c r="BR184" s="11">
        <f t="shared" si="32"/>
        <v>0</v>
      </c>
      <c r="BS184" s="11">
        <f>+COUNTIFS('muddati otgan'!C:C,A184,'muddati otgan'!J:J,"Ro'yxatdan o'tkazish ma'lumotlarini tekshirish")</f>
        <v>0</v>
      </c>
      <c r="BT184" s="11">
        <f>+COUNTIFS('muddati otgan'!C:C,A184,'muddati otgan'!J:J,"Kamchiliklar bo'yicha habarnoma yuborish va 3 kunga to'xtatish")</f>
        <v>0</v>
      </c>
      <c r="BU184" s="11">
        <f>+COUNTIFS('muddati otgan'!C:C,A184,'muddati otgan'!J:J,"Hisobga olish")</f>
        <v>0</v>
      </c>
      <c r="BV184" s="11">
        <f>+COUNTIFS('muddati otgan'!C:C,A184,'muddati otgan'!J:J,"Yer uchastkasiga huquq yaratish")</f>
        <v>0</v>
      </c>
      <c r="BW184" s="11">
        <f>+COUNTIFS('muddati otgan'!C:C,A184,'muddati otgan'!J:J,"Bino-inshootga huquq yaratish")</f>
        <v>0</v>
      </c>
      <c r="BX184" s="11">
        <f>+COUNTIFS('muddati otgan'!C:C,A184,'muddati otgan'!J:J,"Cheklov yaratish")</f>
        <v>0</v>
      </c>
      <c r="BY184" s="11">
        <f>+COUNTIFS('muddati otgan'!C:C,A184,'muddati otgan'!J:J,"Taqiq yaratish")</f>
        <v>0</v>
      </c>
      <c r="BZ184" s="11">
        <f t="shared" si="33"/>
        <v>0</v>
      </c>
      <c r="CA184" s="11">
        <f>+COUNTIFS('muddati otgan'!C:C,A184,'muddati otgan'!J:J,"Soliq maydonini tekshirish")</f>
        <v>0</v>
      </c>
      <c r="CB184" s="11">
        <f t="shared" si="34"/>
        <v>1</v>
      </c>
      <c r="CC184" s="11">
        <f>+COUNTIFS('muddati otgan'!C:C,A184,'muddati otgan'!J:J,"Kadastr yig'majildini shakllantirish")</f>
        <v>1</v>
      </c>
      <c r="CD184" s="11">
        <f t="shared" si="35"/>
        <v>0</v>
      </c>
      <c r="CE184" s="11">
        <f>+COUNTIFS('muddati otgan'!C:C,A184,'muddati otgan'!J:J,"Kadastr passportini shakllantirish")</f>
        <v>0</v>
      </c>
      <c r="CF184" s="11">
        <f>+COUNTIFS('muddati otgan'!C:C,A184,'muddati otgan'!J:J,"Yig'ma jildni tasdiqlash")</f>
        <v>0</v>
      </c>
      <c r="CG184" s="11">
        <f>+COUNTIFS('muddati otgan'!C:C,A184,'muddati otgan'!J:J,"To'lov yoki bepul tasdiqlash")</f>
        <v>0</v>
      </c>
      <c r="CH184" s="11">
        <f>+COUNTIFS('muddati otgan'!C:C,A184,'muddati otgan'!J:J,"Bog'liq arizani kutish")</f>
        <v>0</v>
      </c>
      <c r="CI184" s="11">
        <f>+COUNTIFS('muddati otgan'!C:C,A184,'muddati otgan'!J:J,"To'lovga chiqarish")</f>
        <v>0</v>
      </c>
      <c r="CJ184" s="11">
        <f>+COUNTIFS('muddati otgan'!C:C,A184,'muddati otgan'!J:J,"Hisobga qo'yish")</f>
        <v>0</v>
      </c>
      <c r="CK184" s="6">
        <f>+COUNTIFS('muddati otgan'!C:C,A184,'muddati otgan'!J:J,"To'lov kutilmoqda")</f>
        <v>0</v>
      </c>
      <c r="CL184" s="125">
        <f t="shared" si="36"/>
        <v>0</v>
      </c>
      <c r="CM184" s="125">
        <f>+COUNTIFS('muddati otgan'!C:C,A184,'muddati otgan'!AA:AA,"Arizani qabul qilish2")</f>
        <v>0</v>
      </c>
      <c r="CN184" s="125">
        <f>+COUNTIFS('muddati otgan'!C:C,A184,'muddati otgan'!J:J,"Huquqlarni tekshirish")</f>
        <v>0</v>
      </c>
      <c r="CO184" s="125">
        <f>+COUNTIFS('muddati otgan'!C:C,A184,'muddati otgan'!J:J,"Ko'chmas mulkni ro'yhatdan o'tkazishga qabul qilish")</f>
        <v>0</v>
      </c>
      <c r="CP184" s="125">
        <f>+COUNTIFS('muddati otgan'!C:C,A184,'muddati otgan'!J:J,"Ro'yxatdan o'tkazish")</f>
        <v>0</v>
      </c>
      <c r="CQ184" s="125">
        <f>+COUNTIFS('muddati otgan'!C:C,A184,'muddati otgan'!J:J,"Kadastr pasporti va ko'chirmani yuborish")</f>
        <v>0</v>
      </c>
      <c r="CR184" s="125">
        <f>+COUNTIFS('muddati otgan'!C:C,A184,'muddati otgan'!AA:AA,"Rad qilish2")</f>
        <v>0</v>
      </c>
      <c r="CS184" s="125">
        <f>+COUNTIFS('muddati otgan'!C:C,A184,'muddati otgan'!J:J,"Ko'chirmani yuborish")</f>
        <v>0</v>
      </c>
      <c r="CT184" s="125">
        <f>+COUNTIFS('muddati otgan'!C:C,A184,'muddati otgan'!J:J,"Ma‘lumotlarni tekshirish")</f>
        <v>0</v>
      </c>
      <c r="CU184" s="125">
        <f t="shared" si="37"/>
        <v>0</v>
      </c>
      <c r="CV184" s="125">
        <f>+COUNTIFS('muddati otgan'!C:C,A184,'muddati otgan'!J:J,"Kadastr yig'majildini chop etish va arxiv ishiga tikish")</f>
        <v>0</v>
      </c>
      <c r="CW184" s="125">
        <f t="shared" si="38"/>
        <v>0</v>
      </c>
      <c r="CX184" s="11">
        <f>+COUNTIFS('muddati otgan'!C:C,A184,'muddati otgan'!J:J,"Kadastr yig‘majildini qabul qilish, arizani yakunlash")</f>
        <v>0</v>
      </c>
      <c r="CY184" s="11">
        <f>+COUNTIFS('muddati otgan'!C:C,A184,'muddati otgan'!J:J,"Next Cloudga yuklash")</f>
        <v>0</v>
      </c>
      <c r="CZ184" s="6">
        <f>+COUNTIFS('muddati otgan'!C:C,A184,'muddati otgan'!J:J,"Kelishish kutilmoqda")</f>
        <v>0</v>
      </c>
      <c r="DA184" s="6">
        <f>+COUNTIFS('muddati otgan'!C:C,A184,'muddati otgan'!J:J,"Yakunlandi")</f>
        <v>0</v>
      </c>
      <c r="DB184" s="10">
        <f>+COUNTIFS('muddati otgan'!C:C,A184,'muddati otgan'!J:J,"Rad etildi")</f>
        <v>0</v>
      </c>
      <c r="DC184" s="100">
        <f t="shared" si="5"/>
        <v>-2</v>
      </c>
      <c r="DD184" s="44">
        <f>COUNTIFS('jami 1-20 kunlik arizalar'!C:C,A:A,'jami 1-20 kunlik arizalar'!S:S,"1")</f>
        <v>0</v>
      </c>
      <c r="DE184" s="11">
        <f>COUNTIFS('jami 1-20 kunlik arizalar'!C:C,A:A,'jami 1-20 kunlik arizalar'!S:S,"2")</f>
        <v>0</v>
      </c>
      <c r="DF184" s="11">
        <f>COUNTIFS('jami 1-20 kunlik arizalar'!C:C,A:A,'jami 1-20 kunlik arizalar'!S:S,"3")</f>
        <v>3</v>
      </c>
      <c r="DG184" s="11">
        <f>COUNTIFS('jami 1-20 kunlik arizalar'!C:C,A:A,'jami 1-20 kunlik arizalar'!S:S,"4")</f>
        <v>1</v>
      </c>
      <c r="DH184" s="11">
        <f>COUNTIFS('jami 1-20 kunlik arizalar'!C:C,A:A,'jami 1-20 kunlik arizalar'!S:S,"5")</f>
        <v>2</v>
      </c>
      <c r="DI184" s="11">
        <f>SUM(COUNTIFS('jami 1-20 kunlik arizalar'!C:C,A:A, 'jami 1-20 kunlik arizalar'!S:S, {6,7,8,9,10}))</f>
        <v>6</v>
      </c>
      <c r="DJ184" s="12">
        <f>SUM(COUNTIFS('jami 1-20 kunlik arizalar'!C:C,A:A, 'jami 1-20 kunlik arizalar'!S:S, "&gt;10"))</f>
        <v>1</v>
      </c>
    </row>
    <row r="185" spans="1:115" ht="48" hidden="1" customHeight="1" outlineLevel="1" x14ac:dyDescent="0.25">
      <c r="A185" s="92" t="s">
        <v>506</v>
      </c>
      <c r="B185" s="74"/>
      <c r="C185" s="85" t="s">
        <v>879</v>
      </c>
      <c r="D185" s="80">
        <f>+COUNTIFS('muddati otgan'!C:C,A185,'muddati otgan'!C:C,A185)</f>
        <v>4</v>
      </c>
      <c r="E185" s="10">
        <f>SUMIFS('muddati otgan'!$V:V,'muddati otgan'!$C:C,$A:A)</f>
        <v>0</v>
      </c>
      <c r="F185" s="10">
        <f>SUMIFS('muddati otgan'!$W:W,'muddati otgan'!$C:C,$A:A)</f>
        <v>0</v>
      </c>
      <c r="G185" s="24">
        <f>SUMIFS('muddati otgan'!$U:U,'muddati otgan'!$C:C,$A:A)</f>
        <v>4</v>
      </c>
      <c r="H185" s="11">
        <f>SUMIFS('muddati otgan'!$G:G,'muddati otgan'!$C:C,$A:A)</f>
        <v>4</v>
      </c>
      <c r="I185" s="12">
        <f>SUMIFS('muddati otgan'!$H:H,'muddati otgan'!$C:C,$A:A)</f>
        <v>0</v>
      </c>
      <c r="J185" s="44">
        <f t="shared" si="23"/>
        <v>0</v>
      </c>
      <c r="K185" s="11">
        <f>+COUNTIFS('muddati otgan'!C:C,A185,'muddati otgan'!AA:AA,"Arizani qabul qilish")</f>
        <v>0</v>
      </c>
      <c r="L185" s="11">
        <f>+COUNTIFS('muddati otgan'!C:C,A185,'muddati otgan'!J:J,"Arizani rad etish")</f>
        <v>0</v>
      </c>
      <c r="M185" s="11">
        <f>+COUNTIFS('muddati otgan'!C:C,A185,'muddati otgan'!J:J,"Arizani tasdiqlash")</f>
        <v>0</v>
      </c>
      <c r="N185" s="11">
        <f>+COUNTIFS('muddati otgan'!C:C,A185,'muddati otgan'!J:J,"Arizani yo'naltirish")</f>
        <v>0</v>
      </c>
      <c r="O185" s="11">
        <f>+COUNTIFS('muddati otgan'!C:C,A185,'muddati otgan'!J:J,"Rad qilish sababini o'rganish")</f>
        <v>0</v>
      </c>
      <c r="P185" s="11">
        <f>+COUNTIFS('muddati otgan'!C:C,A185,'muddati otgan'!J:J,"Ko'chmas mulkni UZKAD ga migratsiya qilish")</f>
        <v>0</v>
      </c>
      <c r="Q185" s="11">
        <f>+COUNTIFS('muddati otgan'!C:C,A185,'muddati otgan'!J:J,"Migratisya qilingan obyekt holatini tekshirish")</f>
        <v>0</v>
      </c>
      <c r="R185" s="11">
        <f>+COUNTIFS('muddati otgan'!C:C,A185,'muddati otgan'!J:J,"Ko‘chmas mulkni tanlash")</f>
        <v>0</v>
      </c>
      <c r="S185" s="11">
        <f>+COUNTIFS('muddati otgan'!C:C,A185,'muddati otgan'!J:J,"Arizani ko'rib chiqish")</f>
        <v>0</v>
      </c>
      <c r="T185" s="11">
        <f>+COUNTIFS('muddati otgan'!C:C,A185,'muddati otgan'!J:J,"Kadastr muhandisini tanlash")</f>
        <v>0</v>
      </c>
      <c r="U185" s="11">
        <f>+COUNTIFS('muddati otgan'!C:C,A185,'muddati otgan'!J:J,"Ko'chmas mulk turini tanlahsh")</f>
        <v>0</v>
      </c>
      <c r="V185" s="11">
        <f>+COUNTIFS('muddati otgan'!C:C,A185,'muddati otgan'!AA:AA,"Rad qilish")</f>
        <v>0</v>
      </c>
      <c r="W185" s="11">
        <f>+COUNTIFS('muddati otgan'!C:C,A185,'muddati otgan'!J:J,"ijrochi tanlash")</f>
        <v>0</v>
      </c>
      <c r="X185" s="11">
        <f>+COUNTIFS('muddati otgan'!C:C,A185,'muddati otgan'!J:J,"Ko'chmas mulk turini tanlash")</f>
        <v>0</v>
      </c>
      <c r="Y185" s="11">
        <f t="shared" si="24"/>
        <v>0</v>
      </c>
      <c r="Z185" s="11">
        <f>+COUNTIFS('muddati otgan'!C:C,A185,'muddati otgan'!J:J,"Ijroga qabul qilish")</f>
        <v>0</v>
      </c>
      <c r="AA185" s="11">
        <f>+COUNTIFS('muddati otgan'!C:C,A185,'muddati otgan'!J:J,"Joyida o'rganish va ma'lumotlarni kiritish")</f>
        <v>0</v>
      </c>
      <c r="AB185" s="11">
        <f>+COUNTIFS('muddati otgan'!C:C,A185,'muddati otgan'!J:J,"Asosiy qismdan ajratish jarayonida")</f>
        <v>0</v>
      </c>
      <c r="AC185" s="11">
        <f>+COUNTIFS('muddati otgan'!C:C,A185,'muddati otgan'!J:J,"Umumiy foydalanishdagi obyekt yaratilish")</f>
        <v>0</v>
      </c>
      <c r="AD185" s="11">
        <f>+COUNTIFS('muddati otgan'!C:C,A185,'muddati otgan'!J:J,"Migratsiya qilinadigan kadastr raqamini kiritish")</f>
        <v>0</v>
      </c>
      <c r="AE185" s="11">
        <f>+COUNTIFS('muddati otgan'!C:C,A185,'muddati otgan'!J:J,"O'zida qolgan obyektni yaratish")</f>
        <v>0</v>
      </c>
      <c r="AF185" s="11">
        <f>+COUNTIFS('muddati otgan'!C:C,A185,'muddati otgan'!J:J,"O'lchov natijalarini kiritish")</f>
        <v>0</v>
      </c>
      <c r="AG185" s="11">
        <f>+COUNTIFS('muddati otgan'!C:C,A185,'muddati otgan'!J:J,"Topoxaritani tayyorlash (dwg, pdf)")</f>
        <v>0</v>
      </c>
      <c r="AH185" s="11">
        <f t="shared" si="25"/>
        <v>0</v>
      </c>
      <c r="AI185" s="11">
        <f>+COUNTIFS('muddati otgan'!C:C,A185,'muddati otgan'!J:J,"Yer uchastkasini yaratish")</f>
        <v>0</v>
      </c>
      <c r="AJ185" s="11">
        <f t="shared" si="26"/>
        <v>0</v>
      </c>
      <c r="AK185" s="11">
        <f>+COUNTIFS('muddati otgan'!C:C,A185,'muddati otgan'!J:J,"Kelishish (Boshqarma)")</f>
        <v>0</v>
      </c>
      <c r="AL185" s="11">
        <f t="shared" si="27"/>
        <v>0</v>
      </c>
      <c r="AM185" s="11">
        <f>+COUNTIFS('muddati otgan'!C:C,A185,'muddati otgan'!J:J,"Kelishish (DKP)")</f>
        <v>0</v>
      </c>
      <c r="AN185" s="11">
        <f>+COUNTIFS('muddati otgan'!C:C,A185,'muddati otgan'!J:J,"Kelishish")</f>
        <v>0</v>
      </c>
      <c r="AO185" s="11">
        <f>+COUNTIFS('muddati otgan'!C:C,A185,'muddati otgan'!J:J,"Kelishish (Registratsiya DKP)")</f>
        <v>0</v>
      </c>
      <c r="AP185" s="11">
        <f t="shared" si="28"/>
        <v>0</v>
      </c>
      <c r="AQ185" s="11">
        <f>+COUNTIFS('muddati otgan'!C:C,A185,'muddati otgan'!J:J,"Manzil biriktirish")</f>
        <v>0</v>
      </c>
      <c r="AR185" s="11">
        <f>+COUNTIFS('muddati otgan'!C:C,A185,'muddati otgan'!J:J,"Bino va inshootlarni yaratish")</f>
        <v>0</v>
      </c>
      <c r="AS185" s="11">
        <f>+COUNTIFS('muddati otgan'!C:C,A185,'muddati otgan'!J:J,"Dov daraxtlarni yaratish")</f>
        <v>0</v>
      </c>
      <c r="AT185" s="11">
        <f>+COUNTIFS('muddati otgan'!C:C,A185,'muddati otgan'!J:J,"Yer uchastkasini tahrirlash")</f>
        <v>0</v>
      </c>
      <c r="AU185" s="11">
        <f t="shared" si="29"/>
        <v>0</v>
      </c>
      <c r="AV185" s="11">
        <f>+COUNTIFS('muddati otgan'!C:C,A185,'muddati otgan'!J:J,"Yer toifasi va maqsadini kiritish")</f>
        <v>0</v>
      </c>
      <c r="AW185" s="11">
        <f>+COUNTIFS('muddati otgan'!C:C,A185,'muddati otgan'!J:J,"Auksion yer tekshirish")</f>
        <v>0</v>
      </c>
      <c r="AX185" s="11">
        <f>+COUNTIFS('muddati otgan'!C:C,A185,'muddati otgan'!J:J,"Yer turlarini kiritish")</f>
        <v>0</v>
      </c>
      <c r="AY185" s="11">
        <f>+COUNTIFS('muddati otgan'!C:C,A185,'muddati otgan'!J:J,"Ma'lumotlarni kiritish")</f>
        <v>0</v>
      </c>
      <c r="AZ185" s="11">
        <f>+COUNTIFS('muddati otgan'!C:C,A185,'muddati otgan'!J:J,"Yer tekshirish")</f>
        <v>0</v>
      </c>
      <c r="BA185" s="11">
        <f t="shared" si="30"/>
        <v>2</v>
      </c>
      <c r="BB185" s="11">
        <f>+COUNTIFS('muddati otgan'!C:C,A185,'muddati otgan'!J:J,"Bino va inshoot ma'lumotlarini to‘ldirish")</f>
        <v>1</v>
      </c>
      <c r="BC185" s="11">
        <f>+COUNTIFS('muddati otgan'!C:C,A185,'muddati otgan'!J:J,"Inventarizatsiya ma'lumotlarini to‘ldirish")</f>
        <v>1</v>
      </c>
      <c r="BD185" s="11">
        <f>+COUNTIFS('muddati otgan'!C:C,A185,'muddati otgan'!J:J,"Yer uchastkasiga huquqiy hujjatlarni kiritsh")</f>
        <v>0</v>
      </c>
      <c r="BE185" s="11">
        <f>+COUNTIFS('muddati otgan'!C:C,A185,'muddati otgan'!J:J,"Bino-inshootlarga huquqiy hujjatlarni kiritsh")</f>
        <v>0</v>
      </c>
      <c r="BF185" s="11">
        <f>+COUNTIFS('muddati otgan'!C:C,A185,'muddati otgan'!J:J,"Kadastr qiymatini hisoblash va kiritish")</f>
        <v>0</v>
      </c>
      <c r="BG185" s="11">
        <f>+COUNTIFS('muddati otgan'!C:C,A185,'muddati otgan'!J:J,"Kadastr raqam biriktirish")</f>
        <v>0</v>
      </c>
      <c r="BH185" s="11">
        <f>+COUNTIFS('muddati otgan'!C:C,A185,'muddati otgan'!J:J,"Kadastr yig'ma jildni tayyorlash")</f>
        <v>0</v>
      </c>
      <c r="BI185" s="11">
        <f>+COUNTIFS('muddati otgan'!C:C,A185,'muddati otgan'!J:J,"Huquqni yaratish")</f>
        <v>0</v>
      </c>
      <c r="BJ185" s="11">
        <f>+COUNTIFS('muddati otgan'!C:C,A185,'muddati otgan'!J:J,"Hujjatlarni o'rganish")</f>
        <v>0</v>
      </c>
      <c r="BK185" s="11">
        <f>+COUNTIFS('muddati otgan'!C:C,A185,'muddati otgan'!J:J,"Ma'lumotlarni tekshirish")</f>
        <v>0</v>
      </c>
      <c r="BL185" s="11">
        <f t="shared" si="31"/>
        <v>1</v>
      </c>
      <c r="BM185" s="11">
        <f>+COUNTIFS('muddati otgan'!C:C,A185,'muddati otgan'!J:J,"Tekshirish")</f>
        <v>1</v>
      </c>
      <c r="BN185" s="11">
        <f>+COUNTIFS('muddati otgan'!C:C,A185,'muddati otgan'!J:J,"Hujjatlarni tekshirish")</f>
        <v>0</v>
      </c>
      <c r="BO185" s="11">
        <f>+COUNTIFS('muddati otgan'!C:C,A185,'muddati otgan'!J:J,"Tasdiqlash")</f>
        <v>0</v>
      </c>
      <c r="BP185" s="11">
        <f>+COUNTIFS('muddati otgan'!C:C,A185,'muddati otgan'!J:J,"tekshirish/tasdiqlash")</f>
        <v>0</v>
      </c>
      <c r="BQ185" s="11">
        <f>+COUNTIFS('muddati otgan'!C:C,A185,'muddati otgan'!J:J,"Ma'lumotlarni tasdiqlash")</f>
        <v>0</v>
      </c>
      <c r="BR185" s="11">
        <f t="shared" si="32"/>
        <v>1</v>
      </c>
      <c r="BS185" s="11">
        <f>+COUNTIFS('muddati otgan'!C:C,A185,'muddati otgan'!J:J,"Ro'yxatdan o'tkazish ma'lumotlarini tekshirish")</f>
        <v>1</v>
      </c>
      <c r="BT185" s="11">
        <f>+COUNTIFS('muddati otgan'!C:C,A185,'muddati otgan'!J:J,"Kamchiliklar bo'yicha habarnoma yuborish va 3 kunga to'xtatish")</f>
        <v>0</v>
      </c>
      <c r="BU185" s="11">
        <f>+COUNTIFS('muddati otgan'!C:C,A185,'muddati otgan'!J:J,"Hisobga olish")</f>
        <v>0</v>
      </c>
      <c r="BV185" s="11">
        <f>+COUNTIFS('muddati otgan'!C:C,A185,'muddati otgan'!J:J,"Yer uchastkasiga huquq yaratish")</f>
        <v>0</v>
      </c>
      <c r="BW185" s="11">
        <f>+COUNTIFS('muddati otgan'!C:C,A185,'muddati otgan'!J:J,"Bino-inshootga huquq yaratish")</f>
        <v>0</v>
      </c>
      <c r="BX185" s="11">
        <f>+COUNTIFS('muddati otgan'!C:C,A185,'muddati otgan'!J:J,"Cheklov yaratish")</f>
        <v>0</v>
      </c>
      <c r="BY185" s="11">
        <f>+COUNTIFS('muddati otgan'!C:C,A185,'muddati otgan'!J:J,"Taqiq yaratish")</f>
        <v>0</v>
      </c>
      <c r="BZ185" s="11">
        <f t="shared" si="33"/>
        <v>0</v>
      </c>
      <c r="CA185" s="11">
        <f>+COUNTIFS('muddati otgan'!C:C,A185,'muddati otgan'!J:J,"Soliq maydonini tekshirish")</f>
        <v>0</v>
      </c>
      <c r="CB185" s="11">
        <f t="shared" si="34"/>
        <v>0</v>
      </c>
      <c r="CC185" s="11">
        <f>+COUNTIFS('muddati otgan'!C:C,A185,'muddati otgan'!J:J,"Kadastr yig'majildini shakllantirish")</f>
        <v>0</v>
      </c>
      <c r="CD185" s="11">
        <f t="shared" si="35"/>
        <v>0</v>
      </c>
      <c r="CE185" s="11">
        <f>+COUNTIFS('muddati otgan'!C:C,A185,'muddati otgan'!J:J,"Kadastr passportini shakllantirish")</f>
        <v>0</v>
      </c>
      <c r="CF185" s="11">
        <f>+COUNTIFS('muddati otgan'!C:C,A185,'muddati otgan'!J:J,"Yig'ma jildni tasdiqlash")</f>
        <v>0</v>
      </c>
      <c r="CG185" s="11">
        <f>+COUNTIFS('muddati otgan'!C:C,A185,'muddati otgan'!J:J,"To'lov yoki bepul tasdiqlash")</f>
        <v>0</v>
      </c>
      <c r="CH185" s="11">
        <f>+COUNTIFS('muddati otgan'!C:C,A185,'muddati otgan'!J:J,"Bog'liq arizani kutish")</f>
        <v>0</v>
      </c>
      <c r="CI185" s="11">
        <f>+COUNTIFS('muddati otgan'!C:C,A185,'muddati otgan'!J:J,"To'lovga chiqarish")</f>
        <v>0</v>
      </c>
      <c r="CJ185" s="11">
        <f>+COUNTIFS('muddati otgan'!C:C,A185,'muddati otgan'!J:J,"Hisobga qo'yish")</f>
        <v>0</v>
      </c>
      <c r="CK185" s="6">
        <f>+COUNTIFS('muddati otgan'!C:C,A185,'muddati otgan'!J:J,"To'lov kutilmoqda")</f>
        <v>0</v>
      </c>
      <c r="CL185" s="125">
        <f t="shared" si="36"/>
        <v>0</v>
      </c>
      <c r="CM185" s="125">
        <f>+COUNTIFS('muddati otgan'!C:C,A185,'muddati otgan'!AA:AA,"Arizani qabul qilish2")</f>
        <v>0</v>
      </c>
      <c r="CN185" s="125">
        <f>+COUNTIFS('muddati otgan'!C:C,A185,'muddati otgan'!J:J,"Huquqlarni tekshirish")</f>
        <v>0</v>
      </c>
      <c r="CO185" s="125">
        <f>+COUNTIFS('muddati otgan'!C:C,A185,'muddati otgan'!J:J,"Ko'chmas mulkni ro'yhatdan o'tkazishga qabul qilish")</f>
        <v>0</v>
      </c>
      <c r="CP185" s="125">
        <f>+COUNTIFS('muddati otgan'!C:C,A185,'muddati otgan'!J:J,"Ro'yxatdan o'tkazish")</f>
        <v>0</v>
      </c>
      <c r="CQ185" s="125">
        <f>+COUNTIFS('muddati otgan'!C:C,A185,'muddati otgan'!J:J,"Kadastr pasporti va ko'chirmani yuborish")</f>
        <v>0</v>
      </c>
      <c r="CR185" s="125">
        <f>+COUNTIFS('muddati otgan'!C:C,A185,'muddati otgan'!AA:AA,"Rad qilish2")</f>
        <v>0</v>
      </c>
      <c r="CS185" s="125">
        <f>+COUNTIFS('muddati otgan'!C:C,A185,'muddati otgan'!J:J,"Ko'chirmani yuborish")</f>
        <v>0</v>
      </c>
      <c r="CT185" s="125">
        <f>+COUNTIFS('muddati otgan'!C:C,A185,'muddati otgan'!J:J,"Ma‘lumotlarni tekshirish")</f>
        <v>0</v>
      </c>
      <c r="CU185" s="125">
        <f t="shared" si="37"/>
        <v>0</v>
      </c>
      <c r="CV185" s="125">
        <f>+COUNTIFS('muddati otgan'!C:C,A185,'muddati otgan'!J:J,"Kadastr yig'majildini chop etish va arxiv ishiga tikish")</f>
        <v>0</v>
      </c>
      <c r="CW185" s="125">
        <f t="shared" si="38"/>
        <v>0</v>
      </c>
      <c r="CX185" s="11">
        <f>+COUNTIFS('muddati otgan'!C:C,A185,'muddati otgan'!J:J,"Kadastr yig‘majildini qabul qilish, arizani yakunlash")</f>
        <v>0</v>
      </c>
      <c r="CY185" s="11">
        <f>+COUNTIFS('muddati otgan'!C:C,A185,'muddati otgan'!J:J,"Next Cloudga yuklash")</f>
        <v>0</v>
      </c>
      <c r="CZ185" s="6">
        <f>+COUNTIFS('muddati otgan'!C:C,A185,'muddati otgan'!J:J,"Kelishish kutilmoqda")</f>
        <v>0</v>
      </c>
      <c r="DA185" s="6">
        <f>+COUNTIFS('muddati otgan'!C:C,A185,'muddati otgan'!J:J,"Yakunlandi")</f>
        <v>0</v>
      </c>
      <c r="DB185" s="10">
        <f>+COUNTIFS('muddati otgan'!C:C,A185,'muddati otgan'!J:J,"Rad etildi")</f>
        <v>0</v>
      </c>
      <c r="DC185" s="100">
        <f t="shared" si="5"/>
        <v>-4</v>
      </c>
      <c r="DD185" s="44">
        <f>COUNTIFS('jami 1-20 kunlik arizalar'!C:C,A:A,'jami 1-20 kunlik arizalar'!S:S,"1")</f>
        <v>0</v>
      </c>
      <c r="DE185" s="11">
        <f>COUNTIFS('jami 1-20 kunlik arizalar'!C:C,A:A,'jami 1-20 kunlik arizalar'!S:S,"2")</f>
        <v>0</v>
      </c>
      <c r="DF185" s="11">
        <f>COUNTIFS('jami 1-20 kunlik arizalar'!C:C,A:A,'jami 1-20 kunlik arizalar'!S:S,"3")</f>
        <v>2</v>
      </c>
      <c r="DG185" s="11">
        <f>COUNTIFS('jami 1-20 kunlik arizalar'!C:C,A:A,'jami 1-20 kunlik arizalar'!S:S,"4")</f>
        <v>4</v>
      </c>
      <c r="DH185" s="11">
        <f>COUNTIFS('jami 1-20 kunlik arizalar'!C:C,A:A,'jami 1-20 kunlik arizalar'!S:S,"5")</f>
        <v>3</v>
      </c>
      <c r="DI185" s="11">
        <f>SUM(COUNTIFS('jami 1-20 kunlik arizalar'!C:C,A:A, 'jami 1-20 kunlik arizalar'!S:S, {6,7,8,9,10}))</f>
        <v>4</v>
      </c>
      <c r="DJ185" s="12">
        <f>SUM(COUNTIFS('jami 1-20 kunlik arizalar'!C:C,A:A, 'jami 1-20 kunlik arizalar'!S:S, "&gt;10"))</f>
        <v>1</v>
      </c>
    </row>
    <row r="186" spans="1:115" ht="48" hidden="1" customHeight="1" outlineLevel="1" x14ac:dyDescent="0.25">
      <c r="A186" s="92" t="s">
        <v>518</v>
      </c>
      <c r="B186" s="74"/>
      <c r="C186" s="85" t="s">
        <v>880</v>
      </c>
      <c r="D186" s="80">
        <f>+COUNTIFS('muddati otgan'!C:C,A186,'muddati otgan'!C:C,A186)</f>
        <v>0</v>
      </c>
      <c r="E186" s="10">
        <f>SUMIFS('muddati otgan'!$V:V,'muddati otgan'!$C:C,$A:A)</f>
        <v>0</v>
      </c>
      <c r="F186" s="10">
        <f>SUMIFS('muddati otgan'!$W:W,'muddati otgan'!$C:C,$A:A)</f>
        <v>0</v>
      </c>
      <c r="G186" s="24">
        <f>SUMIFS('muddati otgan'!$U:U,'muddati otgan'!$C:C,$A:A)</f>
        <v>0</v>
      </c>
      <c r="H186" s="11">
        <f>SUMIFS('muddati otgan'!$G:G,'muddati otgan'!$C:C,$A:A)</f>
        <v>0</v>
      </c>
      <c r="I186" s="12">
        <f>SUMIFS('muddati otgan'!$H:H,'muddati otgan'!$C:C,$A:A)</f>
        <v>0</v>
      </c>
      <c r="J186" s="44">
        <f t="shared" si="23"/>
        <v>0</v>
      </c>
      <c r="K186" s="11">
        <f>+COUNTIFS('muddati otgan'!C:C,A186,'muddati otgan'!AA:AA,"Arizani qabul qilish")</f>
        <v>0</v>
      </c>
      <c r="L186" s="11">
        <f>+COUNTIFS('muddati otgan'!C:C,A186,'muddati otgan'!J:J,"Arizani rad etish")</f>
        <v>0</v>
      </c>
      <c r="M186" s="11">
        <f>+COUNTIFS('muddati otgan'!C:C,A186,'muddati otgan'!J:J,"Arizani tasdiqlash")</f>
        <v>0</v>
      </c>
      <c r="N186" s="11">
        <f>+COUNTIFS('muddati otgan'!C:C,A186,'muddati otgan'!J:J,"Arizani yo'naltirish")</f>
        <v>0</v>
      </c>
      <c r="O186" s="11">
        <f>+COUNTIFS('muddati otgan'!C:C,A186,'muddati otgan'!J:J,"Rad qilish sababini o'rganish")</f>
        <v>0</v>
      </c>
      <c r="P186" s="11">
        <f>+COUNTIFS('muddati otgan'!C:C,A186,'muddati otgan'!J:J,"Ko'chmas mulkni UZKAD ga migratsiya qilish")</f>
        <v>0</v>
      </c>
      <c r="Q186" s="11">
        <f>+COUNTIFS('muddati otgan'!C:C,A186,'muddati otgan'!J:J,"Migratisya qilingan obyekt holatini tekshirish")</f>
        <v>0</v>
      </c>
      <c r="R186" s="11">
        <f>+COUNTIFS('muddati otgan'!C:C,A186,'muddati otgan'!J:J,"Ko‘chmas mulkni tanlash")</f>
        <v>0</v>
      </c>
      <c r="S186" s="11">
        <f>+COUNTIFS('muddati otgan'!C:C,A186,'muddati otgan'!J:J,"Arizani ko'rib chiqish")</f>
        <v>0</v>
      </c>
      <c r="T186" s="11">
        <f>+COUNTIFS('muddati otgan'!C:C,A186,'muddati otgan'!J:J,"Kadastr muhandisini tanlash")</f>
        <v>0</v>
      </c>
      <c r="U186" s="11">
        <f>+COUNTIFS('muddati otgan'!C:C,A186,'muddati otgan'!J:J,"Ko'chmas mulk turini tanlahsh")</f>
        <v>0</v>
      </c>
      <c r="V186" s="11">
        <f>+COUNTIFS('muddati otgan'!C:C,A186,'muddati otgan'!AA:AA,"Rad qilish")</f>
        <v>0</v>
      </c>
      <c r="W186" s="11">
        <f>+COUNTIFS('muddati otgan'!C:C,A186,'muddati otgan'!J:J,"ijrochi tanlash")</f>
        <v>0</v>
      </c>
      <c r="X186" s="11">
        <f>+COUNTIFS('muddati otgan'!C:C,A186,'muddati otgan'!J:J,"Ko'chmas mulk turini tanlash")</f>
        <v>0</v>
      </c>
      <c r="Y186" s="11">
        <f t="shared" si="24"/>
        <v>0</v>
      </c>
      <c r="Z186" s="11">
        <f>+COUNTIFS('muddati otgan'!C:C,A186,'muddati otgan'!J:J,"Ijroga qabul qilish")</f>
        <v>0</v>
      </c>
      <c r="AA186" s="11">
        <f>+COUNTIFS('muddati otgan'!C:C,A186,'muddati otgan'!J:J,"Joyida o'rganish va ma'lumotlarni kiritish")</f>
        <v>0</v>
      </c>
      <c r="AB186" s="11">
        <f>+COUNTIFS('muddati otgan'!C:C,A186,'muddati otgan'!J:J,"Asosiy qismdan ajratish jarayonida")</f>
        <v>0</v>
      </c>
      <c r="AC186" s="11">
        <f>+COUNTIFS('muddati otgan'!C:C,A186,'muddati otgan'!J:J,"Umumiy foydalanishdagi obyekt yaratilish")</f>
        <v>0</v>
      </c>
      <c r="AD186" s="11">
        <f>+COUNTIFS('muddati otgan'!C:C,A186,'muddati otgan'!J:J,"Migratsiya qilinadigan kadastr raqamini kiritish")</f>
        <v>0</v>
      </c>
      <c r="AE186" s="11">
        <f>+COUNTIFS('muddati otgan'!C:C,A186,'muddati otgan'!J:J,"O'zida qolgan obyektni yaratish")</f>
        <v>0</v>
      </c>
      <c r="AF186" s="11">
        <f>+COUNTIFS('muddati otgan'!C:C,A186,'muddati otgan'!J:J,"O'lchov natijalarini kiritish")</f>
        <v>0</v>
      </c>
      <c r="AG186" s="11">
        <f>+COUNTIFS('muddati otgan'!C:C,A186,'muddati otgan'!J:J,"Topoxaritani tayyorlash (dwg, pdf)")</f>
        <v>0</v>
      </c>
      <c r="AH186" s="11">
        <f t="shared" si="25"/>
        <v>0</v>
      </c>
      <c r="AI186" s="11">
        <f>+COUNTIFS('muddati otgan'!C:C,A186,'muddati otgan'!J:J,"Yer uchastkasini yaratish")</f>
        <v>0</v>
      </c>
      <c r="AJ186" s="11">
        <f t="shared" si="26"/>
        <v>0</v>
      </c>
      <c r="AK186" s="11">
        <f>+COUNTIFS('muddati otgan'!C:C,A186,'muddati otgan'!J:J,"Kelishish (Boshqarma)")</f>
        <v>0</v>
      </c>
      <c r="AL186" s="11">
        <f t="shared" si="27"/>
        <v>0</v>
      </c>
      <c r="AM186" s="11">
        <f>+COUNTIFS('muddati otgan'!C:C,A186,'muddati otgan'!J:J,"Kelishish (DKP)")</f>
        <v>0</v>
      </c>
      <c r="AN186" s="11">
        <f>+COUNTIFS('muddati otgan'!C:C,A186,'muddati otgan'!J:J,"Kelishish")</f>
        <v>0</v>
      </c>
      <c r="AO186" s="11">
        <f>+COUNTIFS('muddati otgan'!C:C,A186,'muddati otgan'!J:J,"Kelishish (Registratsiya DKP)")</f>
        <v>0</v>
      </c>
      <c r="AP186" s="11">
        <f t="shared" si="28"/>
        <v>0</v>
      </c>
      <c r="AQ186" s="11">
        <f>+COUNTIFS('muddati otgan'!C:C,A186,'muddati otgan'!J:J,"Manzil biriktirish")</f>
        <v>0</v>
      </c>
      <c r="AR186" s="11">
        <f>+COUNTIFS('muddati otgan'!C:C,A186,'muddati otgan'!J:J,"Bino va inshootlarni yaratish")</f>
        <v>0</v>
      </c>
      <c r="AS186" s="11">
        <f>+COUNTIFS('muddati otgan'!C:C,A186,'muddati otgan'!J:J,"Dov daraxtlarni yaratish")</f>
        <v>0</v>
      </c>
      <c r="AT186" s="11">
        <f>+COUNTIFS('muddati otgan'!C:C,A186,'muddati otgan'!J:J,"Yer uchastkasini tahrirlash")</f>
        <v>0</v>
      </c>
      <c r="AU186" s="11">
        <f t="shared" si="29"/>
        <v>0</v>
      </c>
      <c r="AV186" s="11">
        <f>+COUNTIFS('muddati otgan'!C:C,A186,'muddati otgan'!J:J,"Yer toifasi va maqsadini kiritish")</f>
        <v>0</v>
      </c>
      <c r="AW186" s="11">
        <f>+COUNTIFS('muddati otgan'!C:C,A186,'muddati otgan'!J:J,"Auksion yer tekshirish")</f>
        <v>0</v>
      </c>
      <c r="AX186" s="11">
        <f>+COUNTIFS('muddati otgan'!C:C,A186,'muddati otgan'!J:J,"Yer turlarini kiritish")</f>
        <v>0</v>
      </c>
      <c r="AY186" s="11">
        <f>+COUNTIFS('muddati otgan'!C:C,A186,'muddati otgan'!J:J,"Ma'lumotlarni kiritish")</f>
        <v>0</v>
      </c>
      <c r="AZ186" s="11">
        <f>+COUNTIFS('muddati otgan'!C:C,A186,'muddati otgan'!J:J,"Yer tekshirish")</f>
        <v>0</v>
      </c>
      <c r="BA186" s="11">
        <f t="shared" si="30"/>
        <v>0</v>
      </c>
      <c r="BB186" s="11">
        <f>+COUNTIFS('muddati otgan'!C:C,A186,'muddati otgan'!J:J,"Bino va inshoot ma'lumotlarini to‘ldirish")</f>
        <v>0</v>
      </c>
      <c r="BC186" s="11">
        <f>+COUNTIFS('muddati otgan'!C:C,A186,'muddati otgan'!J:J,"Inventarizatsiya ma'lumotlarini to‘ldirish")</f>
        <v>0</v>
      </c>
      <c r="BD186" s="11">
        <f>+COUNTIFS('muddati otgan'!C:C,A186,'muddati otgan'!J:J,"Yer uchastkasiga huquqiy hujjatlarni kiritsh")</f>
        <v>0</v>
      </c>
      <c r="BE186" s="11">
        <f>+COUNTIFS('muddati otgan'!C:C,A186,'muddati otgan'!J:J,"Bino-inshootlarga huquqiy hujjatlarni kiritsh")</f>
        <v>0</v>
      </c>
      <c r="BF186" s="11">
        <f>+COUNTIFS('muddati otgan'!C:C,A186,'muddati otgan'!J:J,"Kadastr qiymatini hisoblash va kiritish")</f>
        <v>0</v>
      </c>
      <c r="BG186" s="11">
        <f>+COUNTIFS('muddati otgan'!C:C,A186,'muddati otgan'!J:J,"Kadastr raqam biriktirish")</f>
        <v>0</v>
      </c>
      <c r="BH186" s="11">
        <f>+COUNTIFS('muddati otgan'!C:C,A186,'muddati otgan'!J:J,"Kadastr yig'ma jildni tayyorlash")</f>
        <v>0</v>
      </c>
      <c r="BI186" s="11">
        <f>+COUNTIFS('muddati otgan'!C:C,A186,'muddati otgan'!J:J,"Huquqni yaratish")</f>
        <v>0</v>
      </c>
      <c r="BJ186" s="11">
        <f>+COUNTIFS('muddati otgan'!C:C,A186,'muddati otgan'!J:J,"Hujjatlarni o'rganish")</f>
        <v>0</v>
      </c>
      <c r="BK186" s="11">
        <f>+COUNTIFS('muddati otgan'!C:C,A186,'muddati otgan'!J:J,"Ma'lumotlarni tekshirish")</f>
        <v>0</v>
      </c>
      <c r="BL186" s="11">
        <f t="shared" si="31"/>
        <v>0</v>
      </c>
      <c r="BM186" s="11">
        <f>+COUNTIFS('muddati otgan'!C:C,A186,'muddati otgan'!J:J,"Tekshirish")</f>
        <v>0</v>
      </c>
      <c r="BN186" s="11">
        <f>+COUNTIFS('muddati otgan'!C:C,A186,'muddati otgan'!J:J,"Hujjatlarni tekshirish")</f>
        <v>0</v>
      </c>
      <c r="BO186" s="11">
        <f>+COUNTIFS('muddati otgan'!C:C,A186,'muddati otgan'!J:J,"Tasdiqlash")</f>
        <v>0</v>
      </c>
      <c r="BP186" s="11">
        <f>+COUNTIFS('muddati otgan'!C:C,A186,'muddati otgan'!J:J,"tekshirish/tasdiqlash")</f>
        <v>0</v>
      </c>
      <c r="BQ186" s="11">
        <f>+COUNTIFS('muddati otgan'!C:C,A186,'muddati otgan'!J:J,"Ma'lumotlarni tasdiqlash")</f>
        <v>0</v>
      </c>
      <c r="BR186" s="11">
        <f t="shared" si="32"/>
        <v>0</v>
      </c>
      <c r="BS186" s="11">
        <f>+COUNTIFS('muddati otgan'!C:C,A186,'muddati otgan'!J:J,"Ro'yxatdan o'tkazish ma'lumotlarini tekshirish")</f>
        <v>0</v>
      </c>
      <c r="BT186" s="11">
        <f>+COUNTIFS('muddati otgan'!C:C,A186,'muddati otgan'!J:J,"Kamchiliklar bo'yicha habarnoma yuborish va 3 kunga to'xtatish")</f>
        <v>0</v>
      </c>
      <c r="BU186" s="11">
        <f>+COUNTIFS('muddati otgan'!C:C,A186,'muddati otgan'!J:J,"Hisobga olish")</f>
        <v>0</v>
      </c>
      <c r="BV186" s="11">
        <f>+COUNTIFS('muddati otgan'!C:C,A186,'muddati otgan'!J:J,"Yer uchastkasiga huquq yaratish")</f>
        <v>0</v>
      </c>
      <c r="BW186" s="11">
        <f>+COUNTIFS('muddati otgan'!C:C,A186,'muddati otgan'!J:J,"Bino-inshootga huquq yaratish")</f>
        <v>0</v>
      </c>
      <c r="BX186" s="11">
        <f>+COUNTIFS('muddati otgan'!C:C,A186,'muddati otgan'!J:J,"Cheklov yaratish")</f>
        <v>0</v>
      </c>
      <c r="BY186" s="11">
        <f>+COUNTIFS('muddati otgan'!C:C,A186,'muddati otgan'!J:J,"Taqiq yaratish")</f>
        <v>0</v>
      </c>
      <c r="BZ186" s="11">
        <f t="shared" si="33"/>
        <v>0</v>
      </c>
      <c r="CA186" s="11">
        <f>+COUNTIFS('muddati otgan'!C:C,A186,'muddati otgan'!J:J,"Soliq maydonini tekshirish")</f>
        <v>0</v>
      </c>
      <c r="CB186" s="11">
        <f t="shared" si="34"/>
        <v>0</v>
      </c>
      <c r="CC186" s="11">
        <f>+COUNTIFS('muddati otgan'!C:C,A186,'muddati otgan'!J:J,"Kadastr yig'majildini shakllantirish")</f>
        <v>0</v>
      </c>
      <c r="CD186" s="11">
        <f t="shared" si="35"/>
        <v>0</v>
      </c>
      <c r="CE186" s="11">
        <f>+COUNTIFS('muddati otgan'!C:C,A186,'muddati otgan'!J:J,"Kadastr passportini shakllantirish")</f>
        <v>0</v>
      </c>
      <c r="CF186" s="11">
        <f>+COUNTIFS('muddati otgan'!C:C,A186,'muddati otgan'!J:J,"Yig'ma jildni tasdiqlash")</f>
        <v>0</v>
      </c>
      <c r="CG186" s="11">
        <f>+COUNTIFS('muddati otgan'!C:C,A186,'muddati otgan'!J:J,"To'lov yoki bepul tasdiqlash")</f>
        <v>0</v>
      </c>
      <c r="CH186" s="11">
        <f>+COUNTIFS('muddati otgan'!C:C,A186,'muddati otgan'!J:J,"Bog'liq arizani kutish")</f>
        <v>0</v>
      </c>
      <c r="CI186" s="11">
        <f>+COUNTIFS('muddati otgan'!C:C,A186,'muddati otgan'!J:J,"To'lovga chiqarish")</f>
        <v>0</v>
      </c>
      <c r="CJ186" s="11">
        <f>+COUNTIFS('muddati otgan'!C:C,A186,'muddati otgan'!J:J,"Hisobga qo'yish")</f>
        <v>0</v>
      </c>
      <c r="CK186" s="6">
        <f>+COUNTIFS('muddati otgan'!C:C,A186,'muddati otgan'!J:J,"To'lov kutilmoqda")</f>
        <v>0</v>
      </c>
      <c r="CL186" s="125">
        <f t="shared" si="36"/>
        <v>0</v>
      </c>
      <c r="CM186" s="125">
        <f>+COUNTIFS('muddati otgan'!C:C,A186,'muddati otgan'!AA:AA,"Arizani qabul qilish2")</f>
        <v>0</v>
      </c>
      <c r="CN186" s="125">
        <f>+COUNTIFS('muddati otgan'!C:C,A186,'muddati otgan'!J:J,"Huquqlarni tekshirish")</f>
        <v>0</v>
      </c>
      <c r="CO186" s="125">
        <f>+COUNTIFS('muddati otgan'!C:C,A186,'muddati otgan'!J:J,"Ko'chmas mulkni ro'yhatdan o'tkazishga qabul qilish")</f>
        <v>0</v>
      </c>
      <c r="CP186" s="125">
        <f>+COUNTIFS('muddati otgan'!C:C,A186,'muddati otgan'!J:J,"Ro'yxatdan o'tkazish")</f>
        <v>0</v>
      </c>
      <c r="CQ186" s="125">
        <f>+COUNTIFS('muddati otgan'!C:C,A186,'muddati otgan'!J:J,"Kadastr pasporti va ko'chirmani yuborish")</f>
        <v>0</v>
      </c>
      <c r="CR186" s="125">
        <f>+COUNTIFS('muddati otgan'!C:C,A186,'muddati otgan'!AA:AA,"Rad qilish2")</f>
        <v>0</v>
      </c>
      <c r="CS186" s="125">
        <f>+COUNTIFS('muddati otgan'!C:C,A186,'muddati otgan'!J:J,"Ko'chirmani yuborish")</f>
        <v>0</v>
      </c>
      <c r="CT186" s="125">
        <f>+COUNTIFS('muddati otgan'!C:C,A186,'muddati otgan'!J:J,"Ma‘lumotlarni tekshirish")</f>
        <v>0</v>
      </c>
      <c r="CU186" s="125">
        <f t="shared" si="37"/>
        <v>0</v>
      </c>
      <c r="CV186" s="125">
        <f>+COUNTIFS('muddati otgan'!C:C,A186,'muddati otgan'!J:J,"Kadastr yig'majildini chop etish va arxiv ishiga tikish")</f>
        <v>0</v>
      </c>
      <c r="CW186" s="125">
        <f t="shared" si="38"/>
        <v>0</v>
      </c>
      <c r="CX186" s="11">
        <f>+COUNTIFS('muddati otgan'!C:C,A186,'muddati otgan'!J:J,"Kadastr yig‘majildini qabul qilish, arizani yakunlash")</f>
        <v>0</v>
      </c>
      <c r="CY186" s="11">
        <f>+COUNTIFS('muddati otgan'!C:C,A186,'muddati otgan'!J:J,"Next Cloudga yuklash")</f>
        <v>0</v>
      </c>
      <c r="CZ186" s="6">
        <f>+COUNTIFS('muddati otgan'!C:C,A186,'muddati otgan'!J:J,"Kelishish kutilmoqda")</f>
        <v>0</v>
      </c>
      <c r="DA186" s="6">
        <f>+COUNTIFS('muddati otgan'!C:C,A186,'muddati otgan'!J:J,"Yakunlandi")</f>
        <v>0</v>
      </c>
      <c r="DB186" s="10">
        <f>+COUNTIFS('muddati otgan'!C:C,A186,'muddati otgan'!J:J,"Rad etildi")</f>
        <v>0</v>
      </c>
      <c r="DC186" s="100">
        <f t="shared" si="5"/>
        <v>0</v>
      </c>
      <c r="DD186" s="44">
        <f>COUNTIFS('jami 1-20 kunlik arizalar'!C:C,A:A,'jami 1-20 kunlik arizalar'!S:S,"1")</f>
        <v>0</v>
      </c>
      <c r="DE186" s="11">
        <f>COUNTIFS('jami 1-20 kunlik arizalar'!C:C,A:A,'jami 1-20 kunlik arizalar'!S:S,"2")</f>
        <v>0</v>
      </c>
      <c r="DF186" s="11">
        <f>COUNTIFS('jami 1-20 kunlik arizalar'!C:C,A:A,'jami 1-20 kunlik arizalar'!S:S,"3")</f>
        <v>0</v>
      </c>
      <c r="DG186" s="11">
        <f>COUNTIFS('jami 1-20 kunlik arizalar'!C:C,A:A,'jami 1-20 kunlik arizalar'!S:S,"4")</f>
        <v>0</v>
      </c>
      <c r="DH186" s="11">
        <f>COUNTIFS('jami 1-20 kunlik arizalar'!C:C,A:A,'jami 1-20 kunlik arizalar'!S:S,"5")</f>
        <v>0</v>
      </c>
      <c r="DI186" s="11">
        <f>SUM(COUNTIFS('jami 1-20 kunlik arizalar'!C:C,A:A, 'jami 1-20 kunlik arizalar'!S:S, {6,7,8,9,10}))</f>
        <v>0</v>
      </c>
      <c r="DJ186" s="12">
        <f>SUM(COUNTIFS('jami 1-20 kunlik arizalar'!C:C,A:A, 'jami 1-20 kunlik arizalar'!S:S, "&gt;10"))</f>
        <v>0</v>
      </c>
    </row>
    <row r="187" spans="1:115" ht="48" hidden="1" customHeight="1" outlineLevel="1" x14ac:dyDescent="0.25">
      <c r="A187" s="92" t="s">
        <v>711</v>
      </c>
      <c r="B187" s="74"/>
      <c r="C187" s="85" t="s">
        <v>881</v>
      </c>
      <c r="D187" s="80">
        <f>+COUNTIFS('muddati otgan'!C:C,A187,'muddati otgan'!C:C,A187)</f>
        <v>0</v>
      </c>
      <c r="E187" s="10">
        <f>SUMIFS('muddati otgan'!$V:V,'muddati otgan'!$C:C,$A:A)</f>
        <v>0</v>
      </c>
      <c r="F187" s="10">
        <f>SUMIFS('muddati otgan'!$W:W,'muddati otgan'!$C:C,$A:A)</f>
        <v>0</v>
      </c>
      <c r="G187" s="24">
        <f>SUMIFS('muddati otgan'!$U:U,'muddati otgan'!$C:C,$A:A)</f>
        <v>0</v>
      </c>
      <c r="H187" s="11">
        <f>SUMIFS('muddati otgan'!$G:G,'muddati otgan'!$C:C,$A:A)</f>
        <v>0</v>
      </c>
      <c r="I187" s="12">
        <f>SUMIFS('muddati otgan'!$H:H,'muddati otgan'!$C:C,$A:A)</f>
        <v>0</v>
      </c>
      <c r="J187" s="44">
        <f t="shared" si="23"/>
        <v>0</v>
      </c>
      <c r="K187" s="11">
        <f>+COUNTIFS('muddati otgan'!C:C,A187,'muddati otgan'!AA:AA,"Arizani qabul qilish")</f>
        <v>0</v>
      </c>
      <c r="L187" s="11">
        <f>+COUNTIFS('muddati otgan'!C:C,A187,'muddati otgan'!J:J,"Arizani rad etish")</f>
        <v>0</v>
      </c>
      <c r="M187" s="11">
        <f>+COUNTIFS('muddati otgan'!C:C,A187,'muddati otgan'!J:J,"Arizani tasdiqlash")</f>
        <v>0</v>
      </c>
      <c r="N187" s="11">
        <f>+COUNTIFS('muddati otgan'!C:C,A187,'muddati otgan'!J:J,"Arizani yo'naltirish")</f>
        <v>0</v>
      </c>
      <c r="O187" s="11">
        <f>+COUNTIFS('muddati otgan'!C:C,A187,'muddati otgan'!J:J,"Rad qilish sababini o'rganish")</f>
        <v>0</v>
      </c>
      <c r="P187" s="11">
        <f>+COUNTIFS('muddati otgan'!C:C,A187,'muddati otgan'!J:J,"Ko'chmas mulkni UZKAD ga migratsiya qilish")</f>
        <v>0</v>
      </c>
      <c r="Q187" s="11">
        <f>+COUNTIFS('muddati otgan'!C:C,A187,'muddati otgan'!J:J,"Migratisya qilingan obyekt holatini tekshirish")</f>
        <v>0</v>
      </c>
      <c r="R187" s="11">
        <f>+COUNTIFS('muddati otgan'!C:C,A187,'muddati otgan'!J:J,"Ko‘chmas mulkni tanlash")</f>
        <v>0</v>
      </c>
      <c r="S187" s="11">
        <f>+COUNTIFS('muddati otgan'!C:C,A187,'muddati otgan'!J:J,"Arizani ko'rib chiqish")</f>
        <v>0</v>
      </c>
      <c r="T187" s="11">
        <f>+COUNTIFS('muddati otgan'!C:C,A187,'muddati otgan'!J:J,"Kadastr muhandisini tanlash")</f>
        <v>0</v>
      </c>
      <c r="U187" s="11">
        <f>+COUNTIFS('muddati otgan'!C:C,A187,'muddati otgan'!J:J,"Ko'chmas mulk turini tanlahsh")</f>
        <v>0</v>
      </c>
      <c r="V187" s="11">
        <f>+COUNTIFS('muddati otgan'!C:C,A187,'muddati otgan'!AA:AA,"Rad qilish")</f>
        <v>0</v>
      </c>
      <c r="W187" s="11">
        <f>+COUNTIFS('muddati otgan'!C:C,A187,'muddati otgan'!J:J,"ijrochi tanlash")</f>
        <v>0</v>
      </c>
      <c r="X187" s="11">
        <f>+COUNTIFS('muddati otgan'!C:C,A187,'muddati otgan'!J:J,"Ko'chmas mulk turini tanlash")</f>
        <v>0</v>
      </c>
      <c r="Y187" s="11">
        <f t="shared" si="24"/>
        <v>0</v>
      </c>
      <c r="Z187" s="11">
        <f>+COUNTIFS('muddati otgan'!C:C,A187,'muddati otgan'!J:J,"Ijroga qabul qilish")</f>
        <v>0</v>
      </c>
      <c r="AA187" s="11">
        <f>+COUNTIFS('muddati otgan'!C:C,A187,'muddati otgan'!J:J,"Joyida o'rganish va ma'lumotlarni kiritish")</f>
        <v>0</v>
      </c>
      <c r="AB187" s="11">
        <f>+COUNTIFS('muddati otgan'!C:C,A187,'muddati otgan'!J:J,"Asosiy qismdan ajratish jarayonida")</f>
        <v>0</v>
      </c>
      <c r="AC187" s="11">
        <f>+COUNTIFS('muddati otgan'!C:C,A187,'muddati otgan'!J:J,"Umumiy foydalanishdagi obyekt yaratilish")</f>
        <v>0</v>
      </c>
      <c r="AD187" s="11">
        <f>+COUNTIFS('muddati otgan'!C:C,A187,'muddati otgan'!J:J,"Migratsiya qilinadigan kadastr raqamini kiritish")</f>
        <v>0</v>
      </c>
      <c r="AE187" s="11">
        <f>+COUNTIFS('muddati otgan'!C:C,A187,'muddati otgan'!J:J,"O'zida qolgan obyektni yaratish")</f>
        <v>0</v>
      </c>
      <c r="AF187" s="11">
        <f>+COUNTIFS('muddati otgan'!C:C,A187,'muddati otgan'!J:J,"O'lchov natijalarini kiritish")</f>
        <v>0</v>
      </c>
      <c r="AG187" s="11">
        <f>+COUNTIFS('muddati otgan'!C:C,A187,'muddati otgan'!J:J,"Topoxaritani tayyorlash (dwg, pdf)")</f>
        <v>0</v>
      </c>
      <c r="AH187" s="11">
        <f t="shared" si="25"/>
        <v>0</v>
      </c>
      <c r="AI187" s="11">
        <f>+COUNTIFS('muddati otgan'!C:C,A187,'muddati otgan'!J:J,"Yer uchastkasini yaratish")</f>
        <v>0</v>
      </c>
      <c r="AJ187" s="11">
        <f t="shared" si="26"/>
        <v>0</v>
      </c>
      <c r="AK187" s="11">
        <f>+COUNTIFS('muddati otgan'!C:C,A187,'muddati otgan'!J:J,"Kelishish (Boshqarma)")</f>
        <v>0</v>
      </c>
      <c r="AL187" s="11">
        <f t="shared" si="27"/>
        <v>0</v>
      </c>
      <c r="AM187" s="11">
        <f>+COUNTIFS('muddati otgan'!C:C,A187,'muddati otgan'!J:J,"Kelishish (DKP)")</f>
        <v>0</v>
      </c>
      <c r="AN187" s="11">
        <f>+COUNTIFS('muddati otgan'!C:C,A187,'muddati otgan'!J:J,"Kelishish")</f>
        <v>0</v>
      </c>
      <c r="AO187" s="11">
        <f>+COUNTIFS('muddati otgan'!C:C,A187,'muddati otgan'!J:J,"Kelishish (Registratsiya DKP)")</f>
        <v>0</v>
      </c>
      <c r="AP187" s="11">
        <f t="shared" si="28"/>
        <v>0</v>
      </c>
      <c r="AQ187" s="11">
        <f>+COUNTIFS('muddati otgan'!C:C,A187,'muddati otgan'!J:J,"Manzil biriktirish")</f>
        <v>0</v>
      </c>
      <c r="AR187" s="11">
        <f>+COUNTIFS('muddati otgan'!C:C,A187,'muddati otgan'!J:J,"Bino va inshootlarni yaratish")</f>
        <v>0</v>
      </c>
      <c r="AS187" s="11">
        <f>+COUNTIFS('muddati otgan'!C:C,A187,'muddati otgan'!J:J,"Dov daraxtlarni yaratish")</f>
        <v>0</v>
      </c>
      <c r="AT187" s="11">
        <f>+COUNTIFS('muddati otgan'!C:C,A187,'muddati otgan'!J:J,"Yer uchastkasini tahrirlash")</f>
        <v>0</v>
      </c>
      <c r="AU187" s="11">
        <f t="shared" si="29"/>
        <v>0</v>
      </c>
      <c r="AV187" s="11">
        <f>+COUNTIFS('muddati otgan'!C:C,A187,'muddati otgan'!J:J,"Yer toifasi va maqsadini kiritish")</f>
        <v>0</v>
      </c>
      <c r="AW187" s="11">
        <f>+COUNTIFS('muddati otgan'!C:C,A187,'muddati otgan'!J:J,"Auksion yer tekshirish")</f>
        <v>0</v>
      </c>
      <c r="AX187" s="11">
        <f>+COUNTIFS('muddati otgan'!C:C,A187,'muddati otgan'!J:J,"Yer turlarini kiritish")</f>
        <v>0</v>
      </c>
      <c r="AY187" s="11">
        <f>+COUNTIFS('muddati otgan'!C:C,A187,'muddati otgan'!J:J,"Ma'lumotlarni kiritish")</f>
        <v>0</v>
      </c>
      <c r="AZ187" s="11">
        <f>+COUNTIFS('muddati otgan'!C:C,A187,'muddati otgan'!J:J,"Yer tekshirish")</f>
        <v>0</v>
      </c>
      <c r="BA187" s="11">
        <f t="shared" si="30"/>
        <v>0</v>
      </c>
      <c r="BB187" s="11">
        <f>+COUNTIFS('muddati otgan'!C:C,A187,'muddati otgan'!J:J,"Bino va inshoot ma'lumotlarini to‘ldirish")</f>
        <v>0</v>
      </c>
      <c r="BC187" s="11">
        <f>+COUNTIFS('muddati otgan'!C:C,A187,'muddati otgan'!J:J,"Inventarizatsiya ma'lumotlarini to‘ldirish")</f>
        <v>0</v>
      </c>
      <c r="BD187" s="11">
        <f>+COUNTIFS('muddati otgan'!C:C,A187,'muddati otgan'!J:J,"Yer uchastkasiga huquqiy hujjatlarni kiritsh")</f>
        <v>0</v>
      </c>
      <c r="BE187" s="11">
        <f>+COUNTIFS('muddati otgan'!C:C,A187,'muddati otgan'!J:J,"Bino-inshootlarga huquqiy hujjatlarni kiritsh")</f>
        <v>0</v>
      </c>
      <c r="BF187" s="11">
        <f>+COUNTIFS('muddati otgan'!C:C,A187,'muddati otgan'!J:J,"Kadastr qiymatini hisoblash va kiritish")</f>
        <v>0</v>
      </c>
      <c r="BG187" s="11">
        <f>+COUNTIFS('muddati otgan'!C:C,A187,'muddati otgan'!J:J,"Kadastr raqam biriktirish")</f>
        <v>0</v>
      </c>
      <c r="BH187" s="11">
        <f>+COUNTIFS('muddati otgan'!C:C,A187,'muddati otgan'!J:J,"Kadastr yig'ma jildni tayyorlash")</f>
        <v>0</v>
      </c>
      <c r="BI187" s="11">
        <f>+COUNTIFS('muddati otgan'!C:C,A187,'muddati otgan'!J:J,"Huquqni yaratish")</f>
        <v>0</v>
      </c>
      <c r="BJ187" s="11">
        <f>+COUNTIFS('muddati otgan'!C:C,A187,'muddati otgan'!J:J,"Hujjatlarni o'rganish")</f>
        <v>0</v>
      </c>
      <c r="BK187" s="11">
        <f>+COUNTIFS('muddati otgan'!C:C,A187,'muddati otgan'!J:J,"Ma'lumotlarni tekshirish")</f>
        <v>0</v>
      </c>
      <c r="BL187" s="11">
        <f t="shared" si="31"/>
        <v>0</v>
      </c>
      <c r="BM187" s="11">
        <f>+COUNTIFS('muddati otgan'!C:C,A187,'muddati otgan'!J:J,"Tekshirish")</f>
        <v>0</v>
      </c>
      <c r="BN187" s="11">
        <f>+COUNTIFS('muddati otgan'!C:C,A187,'muddati otgan'!J:J,"Hujjatlarni tekshirish")</f>
        <v>0</v>
      </c>
      <c r="BO187" s="11">
        <f>+COUNTIFS('muddati otgan'!C:C,A187,'muddati otgan'!J:J,"Tasdiqlash")</f>
        <v>0</v>
      </c>
      <c r="BP187" s="11">
        <f>+COUNTIFS('muddati otgan'!C:C,A187,'muddati otgan'!J:J,"tekshirish/tasdiqlash")</f>
        <v>0</v>
      </c>
      <c r="BQ187" s="11">
        <f>+COUNTIFS('muddati otgan'!C:C,A187,'muddati otgan'!J:J,"Ma'lumotlarni tasdiqlash")</f>
        <v>0</v>
      </c>
      <c r="BR187" s="11">
        <f t="shared" si="32"/>
        <v>0</v>
      </c>
      <c r="BS187" s="11">
        <f>+COUNTIFS('muddati otgan'!C:C,A187,'muddati otgan'!J:J,"Ro'yxatdan o'tkazish ma'lumotlarini tekshirish")</f>
        <v>0</v>
      </c>
      <c r="BT187" s="11">
        <f>+COUNTIFS('muddati otgan'!C:C,A187,'muddati otgan'!J:J,"Kamchiliklar bo'yicha habarnoma yuborish va 3 kunga to'xtatish")</f>
        <v>0</v>
      </c>
      <c r="BU187" s="11">
        <f>+COUNTIFS('muddati otgan'!C:C,A187,'muddati otgan'!J:J,"Hisobga olish")</f>
        <v>0</v>
      </c>
      <c r="BV187" s="11">
        <f>+COUNTIFS('muddati otgan'!C:C,A187,'muddati otgan'!J:J,"Yer uchastkasiga huquq yaratish")</f>
        <v>0</v>
      </c>
      <c r="BW187" s="11">
        <f>+COUNTIFS('muddati otgan'!C:C,A187,'muddati otgan'!J:J,"Bino-inshootga huquq yaratish")</f>
        <v>0</v>
      </c>
      <c r="BX187" s="11">
        <f>+COUNTIFS('muddati otgan'!C:C,A187,'muddati otgan'!J:J,"Cheklov yaratish")</f>
        <v>0</v>
      </c>
      <c r="BY187" s="11">
        <f>+COUNTIFS('muddati otgan'!C:C,A187,'muddati otgan'!J:J,"Taqiq yaratish")</f>
        <v>0</v>
      </c>
      <c r="BZ187" s="11">
        <f t="shared" si="33"/>
        <v>0</v>
      </c>
      <c r="CA187" s="11">
        <f>+COUNTIFS('muddati otgan'!C:C,A187,'muddati otgan'!J:J,"Soliq maydonini tekshirish")</f>
        <v>0</v>
      </c>
      <c r="CB187" s="11">
        <f t="shared" si="34"/>
        <v>0</v>
      </c>
      <c r="CC187" s="11">
        <f>+COUNTIFS('muddati otgan'!C:C,A187,'muddati otgan'!J:J,"Kadastr yig'majildini shakllantirish")</f>
        <v>0</v>
      </c>
      <c r="CD187" s="11">
        <f t="shared" si="35"/>
        <v>0</v>
      </c>
      <c r="CE187" s="11">
        <f>+COUNTIFS('muddati otgan'!C:C,A187,'muddati otgan'!J:J,"Kadastr passportini shakllantirish")</f>
        <v>0</v>
      </c>
      <c r="CF187" s="11">
        <f>+COUNTIFS('muddati otgan'!C:C,A187,'muddati otgan'!J:J,"Yig'ma jildni tasdiqlash")</f>
        <v>0</v>
      </c>
      <c r="CG187" s="11">
        <f>+COUNTIFS('muddati otgan'!C:C,A187,'muddati otgan'!J:J,"To'lov yoki bepul tasdiqlash")</f>
        <v>0</v>
      </c>
      <c r="CH187" s="11">
        <f>+COUNTIFS('muddati otgan'!C:C,A187,'muddati otgan'!J:J,"Bog'liq arizani kutish")</f>
        <v>0</v>
      </c>
      <c r="CI187" s="11">
        <f>+COUNTIFS('muddati otgan'!C:C,A187,'muddati otgan'!J:J,"To'lovga chiqarish")</f>
        <v>0</v>
      </c>
      <c r="CJ187" s="11">
        <f>+COUNTIFS('muddati otgan'!C:C,A187,'muddati otgan'!J:J,"Hisobga qo'yish")</f>
        <v>0</v>
      </c>
      <c r="CK187" s="6">
        <f>+COUNTIFS('muddati otgan'!C:C,A187,'muddati otgan'!J:J,"To'lov kutilmoqda")</f>
        <v>0</v>
      </c>
      <c r="CL187" s="125">
        <f t="shared" si="36"/>
        <v>0</v>
      </c>
      <c r="CM187" s="125">
        <f>+COUNTIFS('muddati otgan'!C:C,A187,'muddati otgan'!AA:AA,"Arizani qabul qilish2")</f>
        <v>0</v>
      </c>
      <c r="CN187" s="125">
        <f>+COUNTIFS('muddati otgan'!C:C,A187,'muddati otgan'!J:J,"Huquqlarni tekshirish")</f>
        <v>0</v>
      </c>
      <c r="CO187" s="125">
        <f>+COUNTIFS('muddati otgan'!C:C,A187,'muddati otgan'!J:J,"Ko'chmas mulkni ro'yhatdan o'tkazishga qabul qilish")</f>
        <v>0</v>
      </c>
      <c r="CP187" s="125">
        <f>+COUNTIFS('muddati otgan'!C:C,A187,'muddati otgan'!J:J,"Ro'yxatdan o'tkazish")</f>
        <v>0</v>
      </c>
      <c r="CQ187" s="125">
        <f>+COUNTIFS('muddati otgan'!C:C,A187,'muddati otgan'!J:J,"Kadastr pasporti va ko'chirmani yuborish")</f>
        <v>0</v>
      </c>
      <c r="CR187" s="125">
        <f>+COUNTIFS('muddati otgan'!C:C,A187,'muddati otgan'!AA:AA,"Rad qilish2")</f>
        <v>0</v>
      </c>
      <c r="CS187" s="125">
        <f>+COUNTIFS('muddati otgan'!C:C,A187,'muddati otgan'!J:J,"Ko'chirmani yuborish")</f>
        <v>0</v>
      </c>
      <c r="CT187" s="125">
        <f>+COUNTIFS('muddati otgan'!C:C,A187,'muddati otgan'!J:J,"Ma‘lumotlarni tekshirish")</f>
        <v>0</v>
      </c>
      <c r="CU187" s="125">
        <f t="shared" si="37"/>
        <v>0</v>
      </c>
      <c r="CV187" s="125">
        <f>+COUNTIFS('muddati otgan'!C:C,A187,'muddati otgan'!J:J,"Kadastr yig'majildini chop etish va arxiv ishiga tikish")</f>
        <v>0</v>
      </c>
      <c r="CW187" s="125">
        <f t="shared" si="38"/>
        <v>0</v>
      </c>
      <c r="CX187" s="11">
        <f>+COUNTIFS('muddati otgan'!C:C,A187,'muddati otgan'!J:J,"Kadastr yig‘majildini qabul qilish, arizani yakunlash")</f>
        <v>0</v>
      </c>
      <c r="CY187" s="11">
        <f>+COUNTIFS('muddati otgan'!C:C,A187,'muddati otgan'!J:J,"Next Cloudga yuklash")</f>
        <v>0</v>
      </c>
      <c r="CZ187" s="6">
        <f>+COUNTIFS('muddati otgan'!C:C,A187,'muddati otgan'!J:J,"Kelishish kutilmoqda")</f>
        <v>0</v>
      </c>
      <c r="DA187" s="6">
        <f>+COUNTIFS('muddati otgan'!C:C,A187,'muddati otgan'!J:J,"Yakunlandi")</f>
        <v>0</v>
      </c>
      <c r="DB187" s="10">
        <f>+COUNTIFS('muddati otgan'!C:C,A187,'muddati otgan'!J:J,"Rad etildi")</f>
        <v>0</v>
      </c>
      <c r="DC187" s="100">
        <f t="shared" si="5"/>
        <v>0</v>
      </c>
      <c r="DD187" s="44">
        <f>COUNTIFS('jami 1-20 kunlik arizalar'!C:C,A:A,'jami 1-20 kunlik arizalar'!S:S,"1")</f>
        <v>0</v>
      </c>
      <c r="DE187" s="11">
        <f>COUNTIFS('jami 1-20 kunlik arizalar'!C:C,A:A,'jami 1-20 kunlik arizalar'!S:S,"2")</f>
        <v>0</v>
      </c>
      <c r="DF187" s="11">
        <f>COUNTIFS('jami 1-20 kunlik arizalar'!C:C,A:A,'jami 1-20 kunlik arizalar'!S:S,"3")</f>
        <v>1</v>
      </c>
      <c r="DG187" s="11">
        <f>COUNTIFS('jami 1-20 kunlik arizalar'!C:C,A:A,'jami 1-20 kunlik arizalar'!S:S,"4")</f>
        <v>0</v>
      </c>
      <c r="DH187" s="11">
        <f>COUNTIFS('jami 1-20 kunlik arizalar'!C:C,A:A,'jami 1-20 kunlik arizalar'!S:S,"5")</f>
        <v>2</v>
      </c>
      <c r="DI187" s="11">
        <f>SUM(COUNTIFS('jami 1-20 kunlik arizalar'!C:C,A:A, 'jami 1-20 kunlik arizalar'!S:S, {6,7,8,9,10}))</f>
        <v>4</v>
      </c>
      <c r="DJ187" s="12">
        <f>SUM(COUNTIFS('jami 1-20 kunlik arizalar'!C:C,A:A, 'jami 1-20 kunlik arizalar'!S:S, "&gt;10"))</f>
        <v>0</v>
      </c>
    </row>
    <row r="188" spans="1:115" ht="48" hidden="1" customHeight="1" outlineLevel="1" x14ac:dyDescent="0.25">
      <c r="A188" s="92" t="s">
        <v>558</v>
      </c>
      <c r="B188" s="74"/>
      <c r="C188" s="85" t="s">
        <v>882</v>
      </c>
      <c r="D188" s="80">
        <f>+COUNTIFS('muddati otgan'!C:C,A188,'muddati otgan'!C:C,A188)</f>
        <v>0</v>
      </c>
      <c r="E188" s="10">
        <f>SUMIFS('muddati otgan'!$V:V,'muddati otgan'!$C:C,$A:A)</f>
        <v>0</v>
      </c>
      <c r="F188" s="10">
        <f>SUMIFS('muddati otgan'!$W:W,'muddati otgan'!$C:C,$A:A)</f>
        <v>0</v>
      </c>
      <c r="G188" s="24">
        <f>SUMIFS('muddati otgan'!$U:U,'muddati otgan'!$C:C,$A:A)</f>
        <v>0</v>
      </c>
      <c r="H188" s="11">
        <f>SUMIFS('muddati otgan'!$G:G,'muddati otgan'!$C:C,$A:A)</f>
        <v>0</v>
      </c>
      <c r="I188" s="12">
        <f>SUMIFS('muddati otgan'!$H:H,'muddati otgan'!$C:C,$A:A)</f>
        <v>0</v>
      </c>
      <c r="J188" s="44">
        <f t="shared" si="23"/>
        <v>0</v>
      </c>
      <c r="K188" s="11">
        <f>+COUNTIFS('muddati otgan'!C:C,A188,'muddati otgan'!AA:AA,"Arizani qabul qilish")</f>
        <v>0</v>
      </c>
      <c r="L188" s="11">
        <f>+COUNTIFS('muddati otgan'!C:C,A188,'muddati otgan'!J:J,"Arizani rad etish")</f>
        <v>0</v>
      </c>
      <c r="M188" s="11">
        <f>+COUNTIFS('muddati otgan'!C:C,A188,'muddati otgan'!J:J,"Arizani tasdiqlash")</f>
        <v>0</v>
      </c>
      <c r="N188" s="11">
        <f>+COUNTIFS('muddati otgan'!C:C,A188,'muddati otgan'!J:J,"Arizani yo'naltirish")</f>
        <v>0</v>
      </c>
      <c r="O188" s="11">
        <f>+COUNTIFS('muddati otgan'!C:C,A188,'muddati otgan'!J:J,"Rad qilish sababini o'rganish")</f>
        <v>0</v>
      </c>
      <c r="P188" s="11">
        <f>+COUNTIFS('muddati otgan'!C:C,A188,'muddati otgan'!J:J,"Ko'chmas mulkni UZKAD ga migratsiya qilish")</f>
        <v>0</v>
      </c>
      <c r="Q188" s="11">
        <f>+COUNTIFS('muddati otgan'!C:C,A188,'muddati otgan'!J:J,"Migratisya qilingan obyekt holatini tekshirish")</f>
        <v>0</v>
      </c>
      <c r="R188" s="11">
        <f>+COUNTIFS('muddati otgan'!C:C,A188,'muddati otgan'!J:J,"Ko‘chmas mulkni tanlash")</f>
        <v>0</v>
      </c>
      <c r="S188" s="11">
        <f>+COUNTIFS('muddati otgan'!C:C,A188,'muddati otgan'!J:J,"Arizani ko'rib chiqish")</f>
        <v>0</v>
      </c>
      <c r="T188" s="11">
        <f>+COUNTIFS('muddati otgan'!C:C,A188,'muddati otgan'!J:J,"Kadastr muhandisini tanlash")</f>
        <v>0</v>
      </c>
      <c r="U188" s="11">
        <f>+COUNTIFS('muddati otgan'!C:C,A188,'muddati otgan'!J:J,"Ko'chmas mulk turini tanlahsh")</f>
        <v>0</v>
      </c>
      <c r="V188" s="11">
        <f>+COUNTIFS('muddati otgan'!C:C,A188,'muddati otgan'!AA:AA,"Rad qilish")</f>
        <v>0</v>
      </c>
      <c r="W188" s="11">
        <f>+COUNTIFS('muddati otgan'!C:C,A188,'muddati otgan'!J:J,"ijrochi tanlash")</f>
        <v>0</v>
      </c>
      <c r="X188" s="11">
        <f>+COUNTIFS('muddati otgan'!C:C,A188,'muddati otgan'!J:J,"Ko'chmas mulk turini tanlash")</f>
        <v>0</v>
      </c>
      <c r="Y188" s="11">
        <f t="shared" si="24"/>
        <v>0</v>
      </c>
      <c r="Z188" s="11">
        <f>+COUNTIFS('muddati otgan'!C:C,A188,'muddati otgan'!J:J,"Ijroga qabul qilish")</f>
        <v>0</v>
      </c>
      <c r="AA188" s="11">
        <f>+COUNTIFS('muddati otgan'!C:C,A188,'muddati otgan'!J:J,"Joyida o'rganish va ma'lumotlarni kiritish")</f>
        <v>0</v>
      </c>
      <c r="AB188" s="11">
        <f>+COUNTIFS('muddati otgan'!C:C,A188,'muddati otgan'!J:J,"Asosiy qismdan ajratish jarayonida")</f>
        <v>0</v>
      </c>
      <c r="AC188" s="11">
        <f>+COUNTIFS('muddati otgan'!C:C,A188,'muddati otgan'!J:J,"Umumiy foydalanishdagi obyekt yaratilish")</f>
        <v>0</v>
      </c>
      <c r="AD188" s="11">
        <f>+COUNTIFS('muddati otgan'!C:C,A188,'muddati otgan'!J:J,"Migratsiya qilinadigan kadastr raqamini kiritish")</f>
        <v>0</v>
      </c>
      <c r="AE188" s="11">
        <f>+COUNTIFS('muddati otgan'!C:C,A188,'muddati otgan'!J:J,"O'zida qolgan obyektni yaratish")</f>
        <v>0</v>
      </c>
      <c r="AF188" s="11">
        <f>+COUNTIFS('muddati otgan'!C:C,A188,'muddati otgan'!J:J,"O'lchov natijalarini kiritish")</f>
        <v>0</v>
      </c>
      <c r="AG188" s="11">
        <f>+COUNTIFS('muddati otgan'!C:C,A188,'muddati otgan'!J:J,"Topoxaritani tayyorlash (dwg, pdf)")</f>
        <v>0</v>
      </c>
      <c r="AH188" s="11">
        <f t="shared" si="25"/>
        <v>0</v>
      </c>
      <c r="AI188" s="11">
        <f>+COUNTIFS('muddati otgan'!C:C,A188,'muddati otgan'!J:J,"Yer uchastkasini yaratish")</f>
        <v>0</v>
      </c>
      <c r="AJ188" s="11">
        <f t="shared" si="26"/>
        <v>0</v>
      </c>
      <c r="AK188" s="11">
        <f>+COUNTIFS('muddati otgan'!C:C,A188,'muddati otgan'!J:J,"Kelishish (Boshqarma)")</f>
        <v>0</v>
      </c>
      <c r="AL188" s="11">
        <f t="shared" si="27"/>
        <v>0</v>
      </c>
      <c r="AM188" s="11">
        <f>+COUNTIFS('muddati otgan'!C:C,A188,'muddati otgan'!J:J,"Kelishish (DKP)")</f>
        <v>0</v>
      </c>
      <c r="AN188" s="11">
        <f>+COUNTIFS('muddati otgan'!C:C,A188,'muddati otgan'!J:J,"Kelishish")</f>
        <v>0</v>
      </c>
      <c r="AO188" s="11">
        <f>+COUNTIFS('muddati otgan'!C:C,A188,'muddati otgan'!J:J,"Kelishish (Registratsiya DKP)")</f>
        <v>0</v>
      </c>
      <c r="AP188" s="11">
        <f t="shared" si="28"/>
        <v>0</v>
      </c>
      <c r="AQ188" s="11">
        <f>+COUNTIFS('muddati otgan'!C:C,A188,'muddati otgan'!J:J,"Manzil biriktirish")</f>
        <v>0</v>
      </c>
      <c r="AR188" s="11">
        <f>+COUNTIFS('muddati otgan'!C:C,A188,'muddati otgan'!J:J,"Bino va inshootlarni yaratish")</f>
        <v>0</v>
      </c>
      <c r="AS188" s="11">
        <f>+COUNTIFS('muddati otgan'!C:C,A188,'muddati otgan'!J:J,"Dov daraxtlarni yaratish")</f>
        <v>0</v>
      </c>
      <c r="AT188" s="11">
        <f>+COUNTIFS('muddati otgan'!C:C,A188,'muddati otgan'!J:J,"Yer uchastkasini tahrirlash")</f>
        <v>0</v>
      </c>
      <c r="AU188" s="11">
        <f t="shared" si="29"/>
        <v>0</v>
      </c>
      <c r="AV188" s="11">
        <f>+COUNTIFS('muddati otgan'!C:C,A188,'muddati otgan'!J:J,"Yer toifasi va maqsadini kiritish")</f>
        <v>0</v>
      </c>
      <c r="AW188" s="11">
        <f>+COUNTIFS('muddati otgan'!C:C,A188,'muddati otgan'!J:J,"Auksion yer tekshirish")</f>
        <v>0</v>
      </c>
      <c r="AX188" s="11">
        <f>+COUNTIFS('muddati otgan'!C:C,A188,'muddati otgan'!J:J,"Yer turlarini kiritish")</f>
        <v>0</v>
      </c>
      <c r="AY188" s="11">
        <f>+COUNTIFS('muddati otgan'!C:C,A188,'muddati otgan'!J:J,"Ma'lumotlarni kiritish")</f>
        <v>0</v>
      </c>
      <c r="AZ188" s="11">
        <f>+COUNTIFS('muddati otgan'!C:C,A188,'muddati otgan'!J:J,"Yer tekshirish")</f>
        <v>0</v>
      </c>
      <c r="BA188" s="11">
        <f t="shared" si="30"/>
        <v>0</v>
      </c>
      <c r="BB188" s="11">
        <f>+COUNTIFS('muddati otgan'!C:C,A188,'muddati otgan'!J:J,"Bino va inshoot ma'lumotlarini to‘ldirish")</f>
        <v>0</v>
      </c>
      <c r="BC188" s="11">
        <f>+COUNTIFS('muddati otgan'!C:C,A188,'muddati otgan'!J:J,"Inventarizatsiya ma'lumotlarini to‘ldirish")</f>
        <v>0</v>
      </c>
      <c r="BD188" s="11">
        <f>+COUNTIFS('muddati otgan'!C:C,A188,'muddati otgan'!J:J,"Yer uchastkasiga huquqiy hujjatlarni kiritsh")</f>
        <v>0</v>
      </c>
      <c r="BE188" s="11">
        <f>+COUNTIFS('muddati otgan'!C:C,A188,'muddati otgan'!J:J,"Bino-inshootlarga huquqiy hujjatlarni kiritsh")</f>
        <v>0</v>
      </c>
      <c r="BF188" s="11">
        <f>+COUNTIFS('muddati otgan'!C:C,A188,'muddati otgan'!J:J,"Kadastr qiymatini hisoblash va kiritish")</f>
        <v>0</v>
      </c>
      <c r="BG188" s="11">
        <f>+COUNTIFS('muddati otgan'!C:C,A188,'muddati otgan'!J:J,"Kadastr raqam biriktirish")</f>
        <v>0</v>
      </c>
      <c r="BH188" s="11">
        <f>+COUNTIFS('muddati otgan'!C:C,A188,'muddati otgan'!J:J,"Kadastr yig'ma jildni tayyorlash")</f>
        <v>0</v>
      </c>
      <c r="BI188" s="11">
        <f>+COUNTIFS('muddati otgan'!C:C,A188,'muddati otgan'!J:J,"Huquqni yaratish")</f>
        <v>0</v>
      </c>
      <c r="BJ188" s="11">
        <f>+COUNTIFS('muddati otgan'!C:C,A188,'muddati otgan'!J:J,"Hujjatlarni o'rganish")</f>
        <v>0</v>
      </c>
      <c r="BK188" s="11">
        <f>+COUNTIFS('muddati otgan'!C:C,A188,'muddati otgan'!J:J,"Ma'lumotlarni tekshirish")</f>
        <v>0</v>
      </c>
      <c r="BL188" s="11">
        <f t="shared" si="31"/>
        <v>0</v>
      </c>
      <c r="BM188" s="11">
        <f>+COUNTIFS('muddati otgan'!C:C,A188,'muddati otgan'!J:J,"Tekshirish")</f>
        <v>0</v>
      </c>
      <c r="BN188" s="11">
        <f>+COUNTIFS('muddati otgan'!C:C,A188,'muddati otgan'!J:J,"Hujjatlarni tekshirish")</f>
        <v>0</v>
      </c>
      <c r="BO188" s="11">
        <f>+COUNTIFS('muddati otgan'!C:C,A188,'muddati otgan'!J:J,"Tasdiqlash")</f>
        <v>0</v>
      </c>
      <c r="BP188" s="11">
        <f>+COUNTIFS('muddati otgan'!C:C,A188,'muddati otgan'!J:J,"tekshirish/tasdiqlash")</f>
        <v>0</v>
      </c>
      <c r="BQ188" s="11">
        <f>+COUNTIFS('muddati otgan'!C:C,A188,'muddati otgan'!J:J,"Ma'lumotlarni tasdiqlash")</f>
        <v>0</v>
      </c>
      <c r="BR188" s="11">
        <f t="shared" si="32"/>
        <v>0</v>
      </c>
      <c r="BS188" s="11">
        <f>+COUNTIFS('muddati otgan'!C:C,A188,'muddati otgan'!J:J,"Ro'yxatdan o'tkazish ma'lumotlarini tekshirish")</f>
        <v>0</v>
      </c>
      <c r="BT188" s="11">
        <f>+COUNTIFS('muddati otgan'!C:C,A188,'muddati otgan'!J:J,"Kamchiliklar bo'yicha habarnoma yuborish va 3 kunga to'xtatish")</f>
        <v>0</v>
      </c>
      <c r="BU188" s="11">
        <f>+COUNTIFS('muddati otgan'!C:C,A188,'muddati otgan'!J:J,"Hisobga olish")</f>
        <v>0</v>
      </c>
      <c r="BV188" s="11">
        <f>+COUNTIFS('muddati otgan'!C:C,A188,'muddati otgan'!J:J,"Yer uchastkasiga huquq yaratish")</f>
        <v>0</v>
      </c>
      <c r="BW188" s="11">
        <f>+COUNTIFS('muddati otgan'!C:C,A188,'muddati otgan'!J:J,"Bino-inshootga huquq yaratish")</f>
        <v>0</v>
      </c>
      <c r="BX188" s="11">
        <f>+COUNTIFS('muddati otgan'!C:C,A188,'muddati otgan'!J:J,"Cheklov yaratish")</f>
        <v>0</v>
      </c>
      <c r="BY188" s="11">
        <f>+COUNTIFS('muddati otgan'!C:C,A188,'muddati otgan'!J:J,"Taqiq yaratish")</f>
        <v>0</v>
      </c>
      <c r="BZ188" s="11">
        <f t="shared" si="33"/>
        <v>0</v>
      </c>
      <c r="CA188" s="11">
        <f>+COUNTIFS('muddati otgan'!C:C,A188,'muddati otgan'!J:J,"Soliq maydonini tekshirish")</f>
        <v>0</v>
      </c>
      <c r="CB188" s="11">
        <f t="shared" si="34"/>
        <v>0</v>
      </c>
      <c r="CC188" s="11">
        <f>+COUNTIFS('muddati otgan'!C:C,A188,'muddati otgan'!J:J,"Kadastr yig'majildini shakllantirish")</f>
        <v>0</v>
      </c>
      <c r="CD188" s="11">
        <f t="shared" si="35"/>
        <v>0</v>
      </c>
      <c r="CE188" s="11">
        <f>+COUNTIFS('muddati otgan'!C:C,A188,'muddati otgan'!J:J,"Kadastr passportini shakllantirish")</f>
        <v>0</v>
      </c>
      <c r="CF188" s="11">
        <f>+COUNTIFS('muddati otgan'!C:C,A188,'muddati otgan'!J:J,"Yig'ma jildni tasdiqlash")</f>
        <v>0</v>
      </c>
      <c r="CG188" s="11">
        <f>+COUNTIFS('muddati otgan'!C:C,A188,'muddati otgan'!J:J,"To'lov yoki bepul tasdiqlash")</f>
        <v>0</v>
      </c>
      <c r="CH188" s="11">
        <f>+COUNTIFS('muddati otgan'!C:C,A188,'muddati otgan'!J:J,"Bog'liq arizani kutish")</f>
        <v>0</v>
      </c>
      <c r="CI188" s="11">
        <f>+COUNTIFS('muddati otgan'!C:C,A188,'muddati otgan'!J:J,"To'lovga chiqarish")</f>
        <v>0</v>
      </c>
      <c r="CJ188" s="11">
        <f>+COUNTIFS('muddati otgan'!C:C,A188,'muddati otgan'!J:J,"Hisobga qo'yish")</f>
        <v>0</v>
      </c>
      <c r="CK188" s="6">
        <f>+COUNTIFS('muddati otgan'!C:C,A188,'muddati otgan'!J:J,"To'lov kutilmoqda")</f>
        <v>0</v>
      </c>
      <c r="CL188" s="125">
        <f t="shared" si="36"/>
        <v>0</v>
      </c>
      <c r="CM188" s="125">
        <f>+COUNTIFS('muddati otgan'!C:C,A188,'muddati otgan'!AA:AA,"Arizani qabul qilish2")</f>
        <v>0</v>
      </c>
      <c r="CN188" s="125">
        <f>+COUNTIFS('muddati otgan'!C:C,A188,'muddati otgan'!J:J,"Huquqlarni tekshirish")</f>
        <v>0</v>
      </c>
      <c r="CO188" s="125">
        <f>+COUNTIFS('muddati otgan'!C:C,A188,'muddati otgan'!J:J,"Ko'chmas mulkni ro'yhatdan o'tkazishga qabul qilish")</f>
        <v>0</v>
      </c>
      <c r="CP188" s="125">
        <f>+COUNTIFS('muddati otgan'!C:C,A188,'muddati otgan'!J:J,"Ro'yxatdan o'tkazish")</f>
        <v>0</v>
      </c>
      <c r="CQ188" s="125">
        <f>+COUNTIFS('muddati otgan'!C:C,A188,'muddati otgan'!J:J,"Kadastr pasporti va ko'chirmani yuborish")</f>
        <v>0</v>
      </c>
      <c r="CR188" s="125">
        <f>+COUNTIFS('muddati otgan'!C:C,A188,'muddati otgan'!AA:AA,"Rad qilish2")</f>
        <v>0</v>
      </c>
      <c r="CS188" s="125">
        <f>+COUNTIFS('muddati otgan'!C:C,A188,'muddati otgan'!J:J,"Ko'chirmani yuborish")</f>
        <v>0</v>
      </c>
      <c r="CT188" s="125">
        <f>+COUNTIFS('muddati otgan'!C:C,A188,'muddati otgan'!J:J,"Ma‘lumotlarni tekshirish")</f>
        <v>0</v>
      </c>
      <c r="CU188" s="125">
        <f t="shared" si="37"/>
        <v>0</v>
      </c>
      <c r="CV188" s="125">
        <f>+COUNTIFS('muddati otgan'!C:C,A188,'muddati otgan'!J:J,"Kadastr yig'majildini chop etish va arxiv ishiga tikish")</f>
        <v>0</v>
      </c>
      <c r="CW188" s="125">
        <f t="shared" si="38"/>
        <v>0</v>
      </c>
      <c r="CX188" s="11">
        <f>+COUNTIFS('muddati otgan'!C:C,A188,'muddati otgan'!J:J,"Kadastr yig‘majildini qabul qilish, arizani yakunlash")</f>
        <v>0</v>
      </c>
      <c r="CY188" s="11">
        <f>+COUNTIFS('muddati otgan'!C:C,A188,'muddati otgan'!J:J,"Next Cloudga yuklash")</f>
        <v>0</v>
      </c>
      <c r="CZ188" s="6">
        <f>+COUNTIFS('muddati otgan'!C:C,A188,'muddati otgan'!J:J,"Kelishish kutilmoqda")</f>
        <v>0</v>
      </c>
      <c r="DA188" s="6">
        <f>+COUNTIFS('muddati otgan'!C:C,A188,'muddati otgan'!J:J,"Yakunlandi")</f>
        <v>0</v>
      </c>
      <c r="DB188" s="10">
        <f>+COUNTIFS('muddati otgan'!C:C,A188,'muddati otgan'!J:J,"Rad etildi")</f>
        <v>0</v>
      </c>
      <c r="DC188" s="100">
        <f t="shared" si="5"/>
        <v>0</v>
      </c>
      <c r="DD188" s="44">
        <f>COUNTIFS('jami 1-20 kunlik arizalar'!C:C,A:A,'jami 1-20 kunlik arizalar'!S:S,"1")</f>
        <v>0</v>
      </c>
      <c r="DE188" s="11">
        <f>COUNTIFS('jami 1-20 kunlik arizalar'!C:C,A:A,'jami 1-20 kunlik arizalar'!S:S,"2")</f>
        <v>0</v>
      </c>
      <c r="DF188" s="11">
        <f>COUNTIFS('jami 1-20 kunlik arizalar'!C:C,A:A,'jami 1-20 kunlik arizalar'!S:S,"3")</f>
        <v>0</v>
      </c>
      <c r="DG188" s="11">
        <f>COUNTIFS('jami 1-20 kunlik arizalar'!C:C,A:A,'jami 1-20 kunlik arizalar'!S:S,"4")</f>
        <v>0</v>
      </c>
      <c r="DH188" s="11">
        <f>COUNTIFS('jami 1-20 kunlik arizalar'!C:C,A:A,'jami 1-20 kunlik arizalar'!S:S,"5")</f>
        <v>0</v>
      </c>
      <c r="DI188" s="11">
        <f>SUM(COUNTIFS('jami 1-20 kunlik arizalar'!C:C,A:A, 'jami 1-20 kunlik arizalar'!S:S, {6,7,8,9,10}))</f>
        <v>0</v>
      </c>
      <c r="DJ188" s="12">
        <f>SUM(COUNTIFS('jami 1-20 kunlik arizalar'!C:C,A:A, 'jami 1-20 kunlik arizalar'!S:S, "&gt;10"))</f>
        <v>0</v>
      </c>
    </row>
    <row r="189" spans="1:115" ht="48" hidden="1" customHeight="1" outlineLevel="1" x14ac:dyDescent="0.25">
      <c r="A189" s="92" t="s">
        <v>706</v>
      </c>
      <c r="B189" s="74"/>
      <c r="C189" s="85" t="s">
        <v>883</v>
      </c>
      <c r="D189" s="80">
        <f>+COUNTIFS('muddati otgan'!C:C,A189,'muddati otgan'!C:C,A189)</f>
        <v>2</v>
      </c>
      <c r="E189" s="10">
        <f>SUMIFS('muddati otgan'!$V:V,'muddati otgan'!$C:C,$A:A)</f>
        <v>0</v>
      </c>
      <c r="F189" s="10">
        <f>SUMIFS('muddati otgan'!$W:W,'muddati otgan'!$C:C,$A:A)</f>
        <v>0</v>
      </c>
      <c r="G189" s="24">
        <f>SUMIFS('muddati otgan'!$U:U,'muddati otgan'!$C:C,$A:A)</f>
        <v>2</v>
      </c>
      <c r="H189" s="11">
        <f>SUMIFS('muddati otgan'!$G:G,'muddati otgan'!$C:C,$A:A)</f>
        <v>2</v>
      </c>
      <c r="I189" s="12">
        <f>SUMIFS('muddati otgan'!$H:H,'muddati otgan'!$C:C,$A:A)</f>
        <v>0</v>
      </c>
      <c r="J189" s="44">
        <f t="shared" si="23"/>
        <v>0</v>
      </c>
      <c r="K189" s="11">
        <f>+COUNTIFS('muddati otgan'!C:C,A189,'muddati otgan'!AA:AA,"Arizani qabul qilish")</f>
        <v>0</v>
      </c>
      <c r="L189" s="11">
        <f>+COUNTIFS('muddati otgan'!C:C,A189,'muddati otgan'!J:J,"Arizani rad etish")</f>
        <v>0</v>
      </c>
      <c r="M189" s="11">
        <f>+COUNTIFS('muddati otgan'!C:C,A189,'muddati otgan'!J:J,"Arizani tasdiqlash")</f>
        <v>0</v>
      </c>
      <c r="N189" s="11">
        <f>+COUNTIFS('muddati otgan'!C:C,A189,'muddati otgan'!J:J,"Arizani yo'naltirish")</f>
        <v>0</v>
      </c>
      <c r="O189" s="11">
        <f>+COUNTIFS('muddati otgan'!C:C,A189,'muddati otgan'!J:J,"Rad qilish sababini o'rganish")</f>
        <v>0</v>
      </c>
      <c r="P189" s="11">
        <f>+COUNTIFS('muddati otgan'!C:C,A189,'muddati otgan'!J:J,"Ko'chmas mulkni UZKAD ga migratsiya qilish")</f>
        <v>0</v>
      </c>
      <c r="Q189" s="11">
        <f>+COUNTIFS('muddati otgan'!C:C,A189,'muddati otgan'!J:J,"Migratisya qilingan obyekt holatini tekshirish")</f>
        <v>0</v>
      </c>
      <c r="R189" s="11">
        <f>+COUNTIFS('muddati otgan'!C:C,A189,'muddati otgan'!J:J,"Ko‘chmas mulkni tanlash")</f>
        <v>0</v>
      </c>
      <c r="S189" s="11">
        <f>+COUNTIFS('muddati otgan'!C:C,A189,'muddati otgan'!J:J,"Arizani ko'rib chiqish")</f>
        <v>0</v>
      </c>
      <c r="T189" s="11">
        <f>+COUNTIFS('muddati otgan'!C:C,A189,'muddati otgan'!J:J,"Kadastr muhandisini tanlash")</f>
        <v>0</v>
      </c>
      <c r="U189" s="11">
        <f>+COUNTIFS('muddati otgan'!C:C,A189,'muddati otgan'!J:J,"Ko'chmas mulk turini tanlahsh")</f>
        <v>0</v>
      </c>
      <c r="V189" s="11">
        <f>+COUNTIFS('muddati otgan'!C:C,A189,'muddati otgan'!AA:AA,"Rad qilish")</f>
        <v>0</v>
      </c>
      <c r="W189" s="11">
        <f>+COUNTIFS('muddati otgan'!C:C,A189,'muddati otgan'!J:J,"ijrochi tanlash")</f>
        <v>0</v>
      </c>
      <c r="X189" s="11">
        <f>+COUNTIFS('muddati otgan'!C:C,A189,'muddati otgan'!J:J,"Ko'chmas mulk turini tanlash")</f>
        <v>0</v>
      </c>
      <c r="Y189" s="11">
        <f t="shared" si="24"/>
        <v>1</v>
      </c>
      <c r="Z189" s="11">
        <f>+COUNTIFS('muddati otgan'!C:C,A189,'muddati otgan'!J:J,"Ijroga qabul qilish")</f>
        <v>0</v>
      </c>
      <c r="AA189" s="11">
        <f>+COUNTIFS('muddati otgan'!C:C,A189,'muddati otgan'!J:J,"Joyida o'rganish va ma'lumotlarni kiritish")</f>
        <v>0</v>
      </c>
      <c r="AB189" s="11">
        <f>+COUNTIFS('muddati otgan'!C:C,A189,'muddati otgan'!J:J,"Asosiy qismdan ajratish jarayonida")</f>
        <v>0</v>
      </c>
      <c r="AC189" s="11">
        <f>+COUNTIFS('muddati otgan'!C:C,A189,'muddati otgan'!J:J,"Umumiy foydalanishdagi obyekt yaratilish")</f>
        <v>1</v>
      </c>
      <c r="AD189" s="11">
        <f>+COUNTIFS('muddati otgan'!C:C,A189,'muddati otgan'!J:J,"Migratsiya qilinadigan kadastr raqamini kiritish")</f>
        <v>0</v>
      </c>
      <c r="AE189" s="11">
        <f>+COUNTIFS('muddati otgan'!C:C,A189,'muddati otgan'!J:J,"O'zida qolgan obyektni yaratish")</f>
        <v>0</v>
      </c>
      <c r="AF189" s="11">
        <f>+COUNTIFS('muddati otgan'!C:C,A189,'muddati otgan'!J:J,"O'lchov natijalarini kiritish")</f>
        <v>0</v>
      </c>
      <c r="AG189" s="11">
        <f>+COUNTIFS('muddati otgan'!C:C,A189,'muddati otgan'!J:J,"Topoxaritani tayyorlash (dwg, pdf)")</f>
        <v>0</v>
      </c>
      <c r="AH189" s="11">
        <f t="shared" si="25"/>
        <v>0</v>
      </c>
      <c r="AI189" s="11">
        <f>+COUNTIFS('muddati otgan'!C:C,A189,'muddati otgan'!J:J,"Yer uchastkasini yaratish")</f>
        <v>0</v>
      </c>
      <c r="AJ189" s="11">
        <f t="shared" si="26"/>
        <v>0</v>
      </c>
      <c r="AK189" s="11">
        <f>+COUNTIFS('muddati otgan'!C:C,A189,'muddati otgan'!J:J,"Kelishish (Boshqarma)")</f>
        <v>0</v>
      </c>
      <c r="AL189" s="11">
        <f t="shared" si="27"/>
        <v>0</v>
      </c>
      <c r="AM189" s="11">
        <f>+COUNTIFS('muddati otgan'!C:C,A189,'muddati otgan'!J:J,"Kelishish (DKP)")</f>
        <v>0</v>
      </c>
      <c r="AN189" s="11">
        <f>+COUNTIFS('muddati otgan'!C:C,A189,'muddati otgan'!J:J,"Kelishish")</f>
        <v>0</v>
      </c>
      <c r="AO189" s="11">
        <f>+COUNTIFS('muddati otgan'!C:C,A189,'muddati otgan'!J:J,"Kelishish (Registratsiya DKP)")</f>
        <v>0</v>
      </c>
      <c r="AP189" s="11">
        <f t="shared" si="28"/>
        <v>0</v>
      </c>
      <c r="AQ189" s="11">
        <f>+COUNTIFS('muddati otgan'!C:C,A189,'muddati otgan'!J:J,"Manzil biriktirish")</f>
        <v>0</v>
      </c>
      <c r="AR189" s="11">
        <f>+COUNTIFS('muddati otgan'!C:C,A189,'muddati otgan'!J:J,"Bino va inshootlarni yaratish")</f>
        <v>0</v>
      </c>
      <c r="AS189" s="11">
        <f>+COUNTIFS('muddati otgan'!C:C,A189,'muddati otgan'!J:J,"Dov daraxtlarni yaratish")</f>
        <v>0</v>
      </c>
      <c r="AT189" s="11">
        <f>+COUNTIFS('muddati otgan'!C:C,A189,'muddati otgan'!J:J,"Yer uchastkasini tahrirlash")</f>
        <v>0</v>
      </c>
      <c r="AU189" s="11">
        <f t="shared" si="29"/>
        <v>0</v>
      </c>
      <c r="AV189" s="11">
        <f>+COUNTIFS('muddati otgan'!C:C,A189,'muddati otgan'!J:J,"Yer toifasi va maqsadini kiritish")</f>
        <v>0</v>
      </c>
      <c r="AW189" s="11">
        <f>+COUNTIFS('muddati otgan'!C:C,A189,'muddati otgan'!J:J,"Auksion yer tekshirish")</f>
        <v>0</v>
      </c>
      <c r="AX189" s="11">
        <f>+COUNTIFS('muddati otgan'!C:C,A189,'muddati otgan'!J:J,"Yer turlarini kiritish")</f>
        <v>0</v>
      </c>
      <c r="AY189" s="11">
        <f>+COUNTIFS('muddati otgan'!C:C,A189,'muddati otgan'!J:J,"Ma'lumotlarni kiritish")</f>
        <v>0</v>
      </c>
      <c r="AZ189" s="11">
        <f>+COUNTIFS('muddati otgan'!C:C,A189,'muddati otgan'!J:J,"Yer tekshirish")</f>
        <v>0</v>
      </c>
      <c r="BA189" s="11">
        <f t="shared" si="30"/>
        <v>0</v>
      </c>
      <c r="BB189" s="11">
        <f>+COUNTIFS('muddati otgan'!C:C,A189,'muddati otgan'!J:J,"Bino va inshoot ma'lumotlarini to‘ldirish")</f>
        <v>0</v>
      </c>
      <c r="BC189" s="11">
        <f>+COUNTIFS('muddati otgan'!C:C,A189,'muddati otgan'!J:J,"Inventarizatsiya ma'lumotlarini to‘ldirish")</f>
        <v>0</v>
      </c>
      <c r="BD189" s="11">
        <f>+COUNTIFS('muddati otgan'!C:C,A189,'muddati otgan'!J:J,"Yer uchastkasiga huquqiy hujjatlarni kiritsh")</f>
        <v>0</v>
      </c>
      <c r="BE189" s="11">
        <f>+COUNTIFS('muddati otgan'!C:C,A189,'muddati otgan'!J:J,"Bino-inshootlarga huquqiy hujjatlarni kiritsh")</f>
        <v>0</v>
      </c>
      <c r="BF189" s="11">
        <f>+COUNTIFS('muddati otgan'!C:C,A189,'muddati otgan'!J:J,"Kadastr qiymatini hisoblash va kiritish")</f>
        <v>0</v>
      </c>
      <c r="BG189" s="11">
        <f>+COUNTIFS('muddati otgan'!C:C,A189,'muddati otgan'!J:J,"Kadastr raqam biriktirish")</f>
        <v>0</v>
      </c>
      <c r="BH189" s="11">
        <f>+COUNTIFS('muddati otgan'!C:C,A189,'muddati otgan'!J:J,"Kadastr yig'ma jildni tayyorlash")</f>
        <v>0</v>
      </c>
      <c r="BI189" s="11">
        <f>+COUNTIFS('muddati otgan'!C:C,A189,'muddati otgan'!J:J,"Huquqni yaratish")</f>
        <v>0</v>
      </c>
      <c r="BJ189" s="11">
        <f>+COUNTIFS('muddati otgan'!C:C,A189,'muddati otgan'!J:J,"Hujjatlarni o'rganish")</f>
        <v>0</v>
      </c>
      <c r="BK189" s="11">
        <f>+COUNTIFS('muddati otgan'!C:C,A189,'muddati otgan'!J:J,"Ma'lumotlarni tekshirish")</f>
        <v>0</v>
      </c>
      <c r="BL189" s="11">
        <f t="shared" si="31"/>
        <v>0</v>
      </c>
      <c r="BM189" s="11">
        <f>+COUNTIFS('muddati otgan'!C:C,A189,'muddati otgan'!J:J,"Tekshirish")</f>
        <v>0</v>
      </c>
      <c r="BN189" s="11">
        <f>+COUNTIFS('muddati otgan'!C:C,A189,'muddati otgan'!J:J,"Hujjatlarni tekshirish")</f>
        <v>0</v>
      </c>
      <c r="BO189" s="11">
        <f>+COUNTIFS('muddati otgan'!C:C,A189,'muddati otgan'!J:J,"Tasdiqlash")</f>
        <v>0</v>
      </c>
      <c r="BP189" s="11">
        <f>+COUNTIFS('muddati otgan'!C:C,A189,'muddati otgan'!J:J,"tekshirish/tasdiqlash")</f>
        <v>0</v>
      </c>
      <c r="BQ189" s="11">
        <f>+COUNTIFS('muddati otgan'!C:C,A189,'muddati otgan'!J:J,"Ma'lumotlarni tasdiqlash")</f>
        <v>0</v>
      </c>
      <c r="BR189" s="11">
        <f t="shared" si="32"/>
        <v>1</v>
      </c>
      <c r="BS189" s="11">
        <f>+COUNTIFS('muddati otgan'!C:C,A189,'muddati otgan'!J:J,"Ro'yxatdan o'tkazish ma'lumotlarini tekshirish")</f>
        <v>1</v>
      </c>
      <c r="BT189" s="11">
        <f>+COUNTIFS('muddati otgan'!C:C,A189,'muddati otgan'!J:J,"Kamchiliklar bo'yicha habarnoma yuborish va 3 kunga to'xtatish")</f>
        <v>0</v>
      </c>
      <c r="BU189" s="11">
        <f>+COUNTIFS('muddati otgan'!C:C,A189,'muddati otgan'!J:J,"Hisobga olish")</f>
        <v>0</v>
      </c>
      <c r="BV189" s="11">
        <f>+COUNTIFS('muddati otgan'!C:C,A189,'muddati otgan'!J:J,"Yer uchastkasiga huquq yaratish")</f>
        <v>0</v>
      </c>
      <c r="BW189" s="11">
        <f>+COUNTIFS('muddati otgan'!C:C,A189,'muddati otgan'!J:J,"Bino-inshootga huquq yaratish")</f>
        <v>0</v>
      </c>
      <c r="BX189" s="11">
        <f>+COUNTIFS('muddati otgan'!C:C,A189,'muddati otgan'!J:J,"Cheklov yaratish")</f>
        <v>0</v>
      </c>
      <c r="BY189" s="11">
        <f>+COUNTIFS('muddati otgan'!C:C,A189,'muddati otgan'!J:J,"Taqiq yaratish")</f>
        <v>0</v>
      </c>
      <c r="BZ189" s="11">
        <f t="shared" si="33"/>
        <v>0</v>
      </c>
      <c r="CA189" s="11">
        <f>+COUNTIFS('muddati otgan'!C:C,A189,'muddati otgan'!J:J,"Soliq maydonini tekshirish")</f>
        <v>0</v>
      </c>
      <c r="CB189" s="11">
        <f t="shared" si="34"/>
        <v>0</v>
      </c>
      <c r="CC189" s="11">
        <f>+COUNTIFS('muddati otgan'!C:C,A189,'muddati otgan'!J:J,"Kadastr yig'majildini shakllantirish")</f>
        <v>0</v>
      </c>
      <c r="CD189" s="11">
        <f t="shared" si="35"/>
        <v>0</v>
      </c>
      <c r="CE189" s="11">
        <f>+COUNTIFS('muddati otgan'!C:C,A189,'muddati otgan'!J:J,"Kadastr passportini shakllantirish")</f>
        <v>0</v>
      </c>
      <c r="CF189" s="11">
        <f>+COUNTIFS('muddati otgan'!C:C,A189,'muddati otgan'!J:J,"Yig'ma jildni tasdiqlash")</f>
        <v>0</v>
      </c>
      <c r="CG189" s="11">
        <f>+COUNTIFS('muddati otgan'!C:C,A189,'muddati otgan'!J:J,"To'lov yoki bepul tasdiqlash")</f>
        <v>0</v>
      </c>
      <c r="CH189" s="11">
        <f>+COUNTIFS('muddati otgan'!C:C,A189,'muddati otgan'!J:J,"Bog'liq arizani kutish")</f>
        <v>0</v>
      </c>
      <c r="CI189" s="11">
        <f>+COUNTIFS('muddati otgan'!C:C,A189,'muddati otgan'!J:J,"To'lovga chiqarish")</f>
        <v>0</v>
      </c>
      <c r="CJ189" s="11">
        <f>+COUNTIFS('muddati otgan'!C:C,A189,'muddati otgan'!J:J,"Hisobga qo'yish")</f>
        <v>0</v>
      </c>
      <c r="CK189" s="6">
        <f>+COUNTIFS('muddati otgan'!C:C,A189,'muddati otgan'!J:J,"To'lov kutilmoqda")</f>
        <v>0</v>
      </c>
      <c r="CL189" s="125">
        <f t="shared" si="36"/>
        <v>0</v>
      </c>
      <c r="CM189" s="125">
        <f>+COUNTIFS('muddati otgan'!C:C,A189,'muddati otgan'!AA:AA,"Arizani qabul qilish2")</f>
        <v>0</v>
      </c>
      <c r="CN189" s="125">
        <f>+COUNTIFS('muddati otgan'!C:C,A189,'muddati otgan'!J:J,"Huquqlarni tekshirish")</f>
        <v>0</v>
      </c>
      <c r="CO189" s="125">
        <f>+COUNTIFS('muddati otgan'!C:C,A189,'muddati otgan'!J:J,"Ko'chmas mulkni ro'yhatdan o'tkazishga qabul qilish")</f>
        <v>0</v>
      </c>
      <c r="CP189" s="125">
        <f>+COUNTIFS('muddati otgan'!C:C,A189,'muddati otgan'!J:J,"Ro'yxatdan o'tkazish")</f>
        <v>0</v>
      </c>
      <c r="CQ189" s="125">
        <f>+COUNTIFS('muddati otgan'!C:C,A189,'muddati otgan'!J:J,"Kadastr pasporti va ko'chirmani yuborish")</f>
        <v>0</v>
      </c>
      <c r="CR189" s="125">
        <f>+COUNTIFS('muddati otgan'!C:C,A189,'muddati otgan'!AA:AA,"Rad qilish2")</f>
        <v>0</v>
      </c>
      <c r="CS189" s="125">
        <f>+COUNTIFS('muddati otgan'!C:C,A189,'muddati otgan'!J:J,"Ko'chirmani yuborish")</f>
        <v>0</v>
      </c>
      <c r="CT189" s="125">
        <f>+COUNTIFS('muddati otgan'!C:C,A189,'muddati otgan'!J:J,"Ma‘lumotlarni tekshirish")</f>
        <v>0</v>
      </c>
      <c r="CU189" s="125">
        <f t="shared" si="37"/>
        <v>0</v>
      </c>
      <c r="CV189" s="125">
        <f>+COUNTIFS('muddati otgan'!C:C,A189,'muddati otgan'!J:J,"Kadastr yig'majildini chop etish va arxiv ishiga tikish")</f>
        <v>0</v>
      </c>
      <c r="CW189" s="125">
        <f t="shared" si="38"/>
        <v>0</v>
      </c>
      <c r="CX189" s="11">
        <f>+COUNTIFS('muddati otgan'!C:C,A189,'muddati otgan'!J:J,"Kadastr yig‘majildini qabul qilish, arizani yakunlash")</f>
        <v>0</v>
      </c>
      <c r="CY189" s="11">
        <f>+COUNTIFS('muddati otgan'!C:C,A189,'muddati otgan'!J:J,"Next Cloudga yuklash")</f>
        <v>0</v>
      </c>
      <c r="CZ189" s="6">
        <f>+COUNTIFS('muddati otgan'!C:C,A189,'muddati otgan'!J:J,"Kelishish kutilmoqda")</f>
        <v>0</v>
      </c>
      <c r="DA189" s="6">
        <f>+COUNTIFS('muddati otgan'!C:C,A189,'muddati otgan'!J:J,"Yakunlandi")</f>
        <v>0</v>
      </c>
      <c r="DB189" s="10">
        <f>+COUNTIFS('muddati otgan'!C:C,A189,'muddati otgan'!J:J,"Rad etildi")</f>
        <v>0</v>
      </c>
      <c r="DC189" s="100">
        <f t="shared" si="5"/>
        <v>-2</v>
      </c>
      <c r="DD189" s="44">
        <f>COUNTIFS('jami 1-20 kunlik arizalar'!C:C,A:A,'jami 1-20 kunlik arizalar'!S:S,"1")</f>
        <v>0</v>
      </c>
      <c r="DE189" s="11">
        <f>COUNTIFS('jami 1-20 kunlik arizalar'!C:C,A:A,'jami 1-20 kunlik arizalar'!S:S,"2")</f>
        <v>0</v>
      </c>
      <c r="DF189" s="11">
        <f>COUNTIFS('jami 1-20 kunlik arizalar'!C:C,A:A,'jami 1-20 kunlik arizalar'!S:S,"3")</f>
        <v>3</v>
      </c>
      <c r="DG189" s="11">
        <f>COUNTIFS('jami 1-20 kunlik arizalar'!C:C,A:A,'jami 1-20 kunlik arizalar'!S:S,"4")</f>
        <v>2</v>
      </c>
      <c r="DH189" s="11">
        <f>COUNTIFS('jami 1-20 kunlik arizalar'!C:C,A:A,'jami 1-20 kunlik arizalar'!S:S,"5")</f>
        <v>2</v>
      </c>
      <c r="DI189" s="11">
        <f>SUM(COUNTIFS('jami 1-20 kunlik arizalar'!C:C,A:A, 'jami 1-20 kunlik arizalar'!S:S, {6,7,8,9,10}))</f>
        <v>9</v>
      </c>
      <c r="DJ189" s="12">
        <f>SUM(COUNTIFS('jami 1-20 kunlik arizalar'!C:C,A:A, 'jami 1-20 kunlik arizalar'!S:S, "&gt;10"))</f>
        <v>0</v>
      </c>
    </row>
    <row r="190" spans="1:115" ht="48" hidden="1" customHeight="1" outlineLevel="1" x14ac:dyDescent="0.25">
      <c r="A190" s="92">
        <v>52107015940019</v>
      </c>
      <c r="B190" s="74"/>
      <c r="C190" s="85" t="s">
        <v>884</v>
      </c>
      <c r="D190" s="80">
        <f>+COUNTIFS('muddati otgan'!C:C,A190,'muddati otgan'!C:C,A190)</f>
        <v>2</v>
      </c>
      <c r="E190" s="10">
        <f>SUMIFS('muddati otgan'!$V:V,'muddati otgan'!$C:C,$A:A)</f>
        <v>0</v>
      </c>
      <c r="F190" s="10">
        <f>SUMIFS('muddati otgan'!$W:W,'muddati otgan'!$C:C,$A:A)</f>
        <v>0</v>
      </c>
      <c r="G190" s="24">
        <f>SUMIFS('muddati otgan'!$U:U,'muddati otgan'!$C:C,$A:A)</f>
        <v>2</v>
      </c>
      <c r="H190" s="11">
        <f>SUMIFS('muddati otgan'!$G:G,'muddati otgan'!$C:C,$A:A)</f>
        <v>2</v>
      </c>
      <c r="I190" s="12">
        <f>SUMIFS('muddati otgan'!$H:H,'muddati otgan'!$C:C,$A:A)</f>
        <v>0</v>
      </c>
      <c r="J190" s="44">
        <f t="shared" si="23"/>
        <v>0</v>
      </c>
      <c r="K190" s="11">
        <f>+COUNTIFS('muddati otgan'!C:C,A190,'muddati otgan'!AA:AA,"Arizani qabul qilish")</f>
        <v>0</v>
      </c>
      <c r="L190" s="11">
        <f>+COUNTIFS('muddati otgan'!C:C,A190,'muddati otgan'!J:J,"Arizani rad etish")</f>
        <v>0</v>
      </c>
      <c r="M190" s="11">
        <f>+COUNTIFS('muddati otgan'!C:C,A190,'muddati otgan'!J:J,"Arizani tasdiqlash")</f>
        <v>0</v>
      </c>
      <c r="N190" s="11">
        <f>+COUNTIFS('muddati otgan'!C:C,A190,'muddati otgan'!J:J,"Arizani yo'naltirish")</f>
        <v>0</v>
      </c>
      <c r="O190" s="11">
        <f>+COUNTIFS('muddati otgan'!C:C,A190,'muddati otgan'!J:J,"Rad qilish sababini o'rganish")</f>
        <v>0</v>
      </c>
      <c r="P190" s="11">
        <f>+COUNTIFS('muddati otgan'!C:C,A190,'muddati otgan'!J:J,"Ko'chmas mulkni UZKAD ga migratsiya qilish")</f>
        <v>0</v>
      </c>
      <c r="Q190" s="11">
        <f>+COUNTIFS('muddati otgan'!C:C,A190,'muddati otgan'!J:J,"Migratisya qilingan obyekt holatini tekshirish")</f>
        <v>0</v>
      </c>
      <c r="R190" s="11">
        <f>+COUNTIFS('muddati otgan'!C:C,A190,'muddati otgan'!J:J,"Ko‘chmas mulkni tanlash")</f>
        <v>0</v>
      </c>
      <c r="S190" s="11">
        <f>+COUNTIFS('muddati otgan'!C:C,A190,'muddati otgan'!J:J,"Arizani ko'rib chiqish")</f>
        <v>0</v>
      </c>
      <c r="T190" s="11">
        <f>+COUNTIFS('muddati otgan'!C:C,A190,'muddati otgan'!J:J,"Kadastr muhandisini tanlash")</f>
        <v>0</v>
      </c>
      <c r="U190" s="11">
        <f>+COUNTIFS('muddati otgan'!C:C,A190,'muddati otgan'!J:J,"Ko'chmas mulk turini tanlahsh")</f>
        <v>0</v>
      </c>
      <c r="V190" s="11">
        <f>+COUNTIFS('muddati otgan'!C:C,A190,'muddati otgan'!AA:AA,"Rad qilish")</f>
        <v>0</v>
      </c>
      <c r="W190" s="11">
        <f>+COUNTIFS('muddati otgan'!C:C,A190,'muddati otgan'!J:J,"ijrochi tanlash")</f>
        <v>0</v>
      </c>
      <c r="X190" s="11">
        <f>+COUNTIFS('muddati otgan'!C:C,A190,'muddati otgan'!J:J,"Ko'chmas mulk turini tanlash")</f>
        <v>0</v>
      </c>
      <c r="Y190" s="11">
        <f t="shared" si="24"/>
        <v>0</v>
      </c>
      <c r="Z190" s="11">
        <f>+COUNTIFS('muddati otgan'!C:C,A190,'muddati otgan'!J:J,"Ijroga qabul qilish")</f>
        <v>0</v>
      </c>
      <c r="AA190" s="11">
        <f>+COUNTIFS('muddati otgan'!C:C,A190,'muddati otgan'!J:J,"Joyida o'rganish va ma'lumotlarni kiritish")</f>
        <v>0</v>
      </c>
      <c r="AB190" s="11">
        <f>+COUNTIFS('muddati otgan'!C:C,A190,'muddati otgan'!J:J,"Asosiy qismdan ajratish jarayonida")</f>
        <v>0</v>
      </c>
      <c r="AC190" s="11">
        <f>+COUNTIFS('muddati otgan'!C:C,A190,'muddati otgan'!J:J,"Umumiy foydalanishdagi obyekt yaratilish")</f>
        <v>0</v>
      </c>
      <c r="AD190" s="11">
        <f>+COUNTIFS('muddati otgan'!C:C,A190,'muddati otgan'!J:J,"Migratsiya qilinadigan kadastr raqamini kiritish")</f>
        <v>0</v>
      </c>
      <c r="AE190" s="11">
        <f>+COUNTIFS('muddati otgan'!C:C,A190,'muddati otgan'!J:J,"O'zida qolgan obyektni yaratish")</f>
        <v>0</v>
      </c>
      <c r="AF190" s="11">
        <f>+COUNTIFS('muddati otgan'!C:C,A190,'muddati otgan'!J:J,"O'lchov natijalarini kiritish")</f>
        <v>0</v>
      </c>
      <c r="AG190" s="11">
        <f>+COUNTIFS('muddati otgan'!C:C,A190,'muddati otgan'!J:J,"Topoxaritani tayyorlash (dwg, pdf)")</f>
        <v>0</v>
      </c>
      <c r="AH190" s="11">
        <f t="shared" si="25"/>
        <v>0</v>
      </c>
      <c r="AI190" s="11">
        <f>+COUNTIFS('muddati otgan'!C:C,A190,'muddati otgan'!J:J,"Yer uchastkasini yaratish")</f>
        <v>0</v>
      </c>
      <c r="AJ190" s="11">
        <f t="shared" si="26"/>
        <v>0</v>
      </c>
      <c r="AK190" s="11">
        <f>+COUNTIFS('muddati otgan'!C:C,A190,'muddati otgan'!J:J,"Kelishish (Boshqarma)")</f>
        <v>0</v>
      </c>
      <c r="AL190" s="11">
        <f t="shared" si="27"/>
        <v>0</v>
      </c>
      <c r="AM190" s="11">
        <f>+COUNTIFS('muddati otgan'!C:C,A190,'muddati otgan'!J:J,"Kelishish (DKP)")</f>
        <v>0</v>
      </c>
      <c r="AN190" s="11">
        <f>+COUNTIFS('muddati otgan'!C:C,A190,'muddati otgan'!J:J,"Kelishish")</f>
        <v>0</v>
      </c>
      <c r="AO190" s="11">
        <f>+COUNTIFS('muddati otgan'!C:C,A190,'muddati otgan'!J:J,"Kelishish (Registratsiya DKP)")</f>
        <v>0</v>
      </c>
      <c r="AP190" s="11">
        <f t="shared" si="28"/>
        <v>0</v>
      </c>
      <c r="AQ190" s="11">
        <f>+COUNTIFS('muddati otgan'!C:C,A190,'muddati otgan'!J:J,"Manzil biriktirish")</f>
        <v>0</v>
      </c>
      <c r="AR190" s="11">
        <f>+COUNTIFS('muddati otgan'!C:C,A190,'muddati otgan'!J:J,"Bino va inshootlarni yaratish")</f>
        <v>0</v>
      </c>
      <c r="AS190" s="11">
        <f>+COUNTIFS('muddati otgan'!C:C,A190,'muddati otgan'!J:J,"Dov daraxtlarni yaratish")</f>
        <v>0</v>
      </c>
      <c r="AT190" s="11">
        <f>+COUNTIFS('muddati otgan'!C:C,A190,'muddati otgan'!J:J,"Yer uchastkasini tahrirlash")</f>
        <v>0</v>
      </c>
      <c r="AU190" s="11">
        <f t="shared" si="29"/>
        <v>0</v>
      </c>
      <c r="AV190" s="11">
        <f>+COUNTIFS('muddati otgan'!C:C,A190,'muddati otgan'!J:J,"Yer toifasi va maqsadini kiritish")</f>
        <v>0</v>
      </c>
      <c r="AW190" s="11">
        <f>+COUNTIFS('muddati otgan'!C:C,A190,'muddati otgan'!J:J,"Auksion yer tekshirish")</f>
        <v>0</v>
      </c>
      <c r="AX190" s="11">
        <f>+COUNTIFS('muddati otgan'!C:C,A190,'muddati otgan'!J:J,"Yer turlarini kiritish")</f>
        <v>0</v>
      </c>
      <c r="AY190" s="11">
        <f>+COUNTIFS('muddati otgan'!C:C,A190,'muddati otgan'!J:J,"Ma'lumotlarni kiritish")</f>
        <v>0</v>
      </c>
      <c r="AZ190" s="11">
        <f>+COUNTIFS('muddati otgan'!C:C,A190,'muddati otgan'!J:J,"Yer tekshirish")</f>
        <v>0</v>
      </c>
      <c r="BA190" s="11">
        <f t="shared" si="30"/>
        <v>0</v>
      </c>
      <c r="BB190" s="11">
        <f>+COUNTIFS('muddati otgan'!C:C,A190,'muddati otgan'!J:J,"Bino va inshoot ma'lumotlarini to‘ldirish")</f>
        <v>0</v>
      </c>
      <c r="BC190" s="11">
        <f>+COUNTIFS('muddati otgan'!C:C,A190,'muddati otgan'!J:J,"Inventarizatsiya ma'lumotlarini to‘ldirish")</f>
        <v>0</v>
      </c>
      <c r="BD190" s="11">
        <f>+COUNTIFS('muddati otgan'!C:C,A190,'muddati otgan'!J:J,"Yer uchastkasiga huquqiy hujjatlarni kiritsh")</f>
        <v>0</v>
      </c>
      <c r="BE190" s="11">
        <f>+COUNTIFS('muddati otgan'!C:C,A190,'muddati otgan'!J:J,"Bino-inshootlarga huquqiy hujjatlarni kiritsh")</f>
        <v>0</v>
      </c>
      <c r="BF190" s="11">
        <f>+COUNTIFS('muddati otgan'!C:C,A190,'muddati otgan'!J:J,"Kadastr qiymatini hisoblash va kiritish")</f>
        <v>0</v>
      </c>
      <c r="BG190" s="11">
        <f>+COUNTIFS('muddati otgan'!C:C,A190,'muddati otgan'!J:J,"Kadastr raqam biriktirish")</f>
        <v>0</v>
      </c>
      <c r="BH190" s="11">
        <f>+COUNTIFS('muddati otgan'!C:C,A190,'muddati otgan'!J:J,"Kadastr yig'ma jildni tayyorlash")</f>
        <v>0</v>
      </c>
      <c r="BI190" s="11">
        <f>+COUNTIFS('muddati otgan'!C:C,A190,'muddati otgan'!J:J,"Huquqni yaratish")</f>
        <v>0</v>
      </c>
      <c r="BJ190" s="11">
        <f>+COUNTIFS('muddati otgan'!C:C,A190,'muddati otgan'!J:J,"Hujjatlarni o'rganish")</f>
        <v>0</v>
      </c>
      <c r="BK190" s="11">
        <f>+COUNTIFS('muddati otgan'!C:C,A190,'muddati otgan'!J:J,"Ma'lumotlarni tekshirish")</f>
        <v>0</v>
      </c>
      <c r="BL190" s="11">
        <f t="shared" si="31"/>
        <v>0</v>
      </c>
      <c r="BM190" s="11">
        <f>+COUNTIFS('muddati otgan'!C:C,A190,'muddati otgan'!J:J,"Tekshirish")</f>
        <v>0</v>
      </c>
      <c r="BN190" s="11">
        <f>+COUNTIFS('muddati otgan'!C:C,A190,'muddati otgan'!J:J,"Hujjatlarni tekshirish")</f>
        <v>0</v>
      </c>
      <c r="BO190" s="11">
        <f>+COUNTIFS('muddati otgan'!C:C,A190,'muddati otgan'!J:J,"Tasdiqlash")</f>
        <v>0</v>
      </c>
      <c r="BP190" s="11">
        <f>+COUNTIFS('muddati otgan'!C:C,A190,'muddati otgan'!J:J,"tekshirish/tasdiqlash")</f>
        <v>0</v>
      </c>
      <c r="BQ190" s="11">
        <f>+COUNTIFS('muddati otgan'!C:C,A190,'muddati otgan'!J:J,"Ma'lumotlarni tasdiqlash")</f>
        <v>0</v>
      </c>
      <c r="BR190" s="11">
        <f t="shared" si="32"/>
        <v>1</v>
      </c>
      <c r="BS190" s="11">
        <f>+COUNTIFS('muddati otgan'!C:C,A190,'muddati otgan'!J:J,"Ro'yxatdan o'tkazish ma'lumotlarini tekshirish")</f>
        <v>1</v>
      </c>
      <c r="BT190" s="11">
        <f>+COUNTIFS('muddati otgan'!C:C,A190,'muddati otgan'!J:J,"Kamchiliklar bo'yicha habarnoma yuborish va 3 kunga to'xtatish")</f>
        <v>0</v>
      </c>
      <c r="BU190" s="11">
        <f>+COUNTIFS('muddati otgan'!C:C,A190,'muddati otgan'!J:J,"Hisobga olish")</f>
        <v>0</v>
      </c>
      <c r="BV190" s="11">
        <f>+COUNTIFS('muddati otgan'!C:C,A190,'muddati otgan'!J:J,"Yer uchastkasiga huquq yaratish")</f>
        <v>0</v>
      </c>
      <c r="BW190" s="11">
        <f>+COUNTIFS('muddati otgan'!C:C,A190,'muddati otgan'!J:J,"Bino-inshootga huquq yaratish")</f>
        <v>0</v>
      </c>
      <c r="BX190" s="11">
        <f>+COUNTIFS('muddati otgan'!C:C,A190,'muddati otgan'!J:J,"Cheklov yaratish")</f>
        <v>0</v>
      </c>
      <c r="BY190" s="11">
        <f>+COUNTIFS('muddati otgan'!C:C,A190,'muddati otgan'!J:J,"Taqiq yaratish")</f>
        <v>0</v>
      </c>
      <c r="BZ190" s="11">
        <f t="shared" si="33"/>
        <v>0</v>
      </c>
      <c r="CA190" s="11">
        <f>+COUNTIFS('muddati otgan'!C:C,A190,'muddati otgan'!J:J,"Soliq maydonini tekshirish")</f>
        <v>0</v>
      </c>
      <c r="CB190" s="11">
        <f t="shared" si="34"/>
        <v>0</v>
      </c>
      <c r="CC190" s="11">
        <f>+COUNTIFS('muddati otgan'!C:C,A190,'muddati otgan'!J:J,"Kadastr yig'majildini shakllantirish")</f>
        <v>0</v>
      </c>
      <c r="CD190" s="11">
        <f t="shared" si="35"/>
        <v>0</v>
      </c>
      <c r="CE190" s="11">
        <f>+COUNTIFS('muddati otgan'!C:C,A190,'muddati otgan'!J:J,"Kadastr passportini shakllantirish")</f>
        <v>0</v>
      </c>
      <c r="CF190" s="11">
        <f>+COUNTIFS('muddati otgan'!C:C,A190,'muddati otgan'!J:J,"Yig'ma jildni tasdiqlash")</f>
        <v>0</v>
      </c>
      <c r="CG190" s="11">
        <f>+COUNTIFS('muddati otgan'!C:C,A190,'muddati otgan'!J:J,"To'lov yoki bepul tasdiqlash")</f>
        <v>0</v>
      </c>
      <c r="CH190" s="11">
        <f>+COUNTIFS('muddati otgan'!C:C,A190,'muddati otgan'!J:J,"Bog'liq arizani kutish")</f>
        <v>0</v>
      </c>
      <c r="CI190" s="11">
        <f>+COUNTIFS('muddati otgan'!C:C,A190,'muddati otgan'!J:J,"To'lovga chiqarish")</f>
        <v>0</v>
      </c>
      <c r="CJ190" s="11">
        <f>+COUNTIFS('muddati otgan'!C:C,A190,'muddati otgan'!J:J,"Hisobga qo'yish")</f>
        <v>0</v>
      </c>
      <c r="CK190" s="6">
        <f>+COUNTIFS('muddati otgan'!C:C,A190,'muddati otgan'!J:J,"To'lov kutilmoqda")</f>
        <v>0</v>
      </c>
      <c r="CL190" s="125">
        <f t="shared" si="36"/>
        <v>0</v>
      </c>
      <c r="CM190" s="125">
        <f>+COUNTIFS('muddati otgan'!C:C,A190,'muddati otgan'!AA:AA,"Arizani qabul qilish2")</f>
        <v>0</v>
      </c>
      <c r="CN190" s="125">
        <f>+COUNTIFS('muddati otgan'!C:C,A190,'muddati otgan'!J:J,"Huquqlarni tekshirish")</f>
        <v>0</v>
      </c>
      <c r="CO190" s="125">
        <f>+COUNTIFS('muddati otgan'!C:C,A190,'muddati otgan'!J:J,"Ko'chmas mulkni ro'yhatdan o'tkazishga qabul qilish")</f>
        <v>0</v>
      </c>
      <c r="CP190" s="125">
        <f>+COUNTIFS('muddati otgan'!C:C,A190,'muddati otgan'!J:J,"Ro'yxatdan o'tkazish")</f>
        <v>0</v>
      </c>
      <c r="CQ190" s="125">
        <f>+COUNTIFS('muddati otgan'!C:C,A190,'muddati otgan'!J:J,"Kadastr pasporti va ko'chirmani yuborish")</f>
        <v>0</v>
      </c>
      <c r="CR190" s="125">
        <f>+COUNTIFS('muddati otgan'!C:C,A190,'muddati otgan'!AA:AA,"Rad qilish2")</f>
        <v>0</v>
      </c>
      <c r="CS190" s="125">
        <f>+COUNTIFS('muddati otgan'!C:C,A190,'muddati otgan'!J:J,"Ko'chirmani yuborish")</f>
        <v>0</v>
      </c>
      <c r="CT190" s="125">
        <f>+COUNTIFS('muddati otgan'!C:C,A190,'muddati otgan'!J:J,"Ma‘lumotlarni tekshirish")</f>
        <v>0</v>
      </c>
      <c r="CU190" s="125">
        <f t="shared" si="37"/>
        <v>0</v>
      </c>
      <c r="CV190" s="125">
        <f>+COUNTIFS('muddati otgan'!C:C,A190,'muddati otgan'!J:J,"Kadastr yig'majildini chop etish va arxiv ishiga tikish")</f>
        <v>0</v>
      </c>
      <c r="CW190" s="125">
        <f t="shared" si="38"/>
        <v>0</v>
      </c>
      <c r="CX190" s="11">
        <f>+COUNTIFS('muddati otgan'!C:C,A190,'muddati otgan'!J:J,"Kadastr yig‘majildini qabul qilish, arizani yakunlash")</f>
        <v>0</v>
      </c>
      <c r="CY190" s="11">
        <f>+COUNTIFS('muddati otgan'!C:C,A190,'muddati otgan'!J:J,"Next Cloudga yuklash")</f>
        <v>0</v>
      </c>
      <c r="CZ190" s="6">
        <f>+COUNTIFS('muddati otgan'!C:C,A190,'muddati otgan'!J:J,"Kelishish kutilmoqda")</f>
        <v>0</v>
      </c>
      <c r="DA190" s="6">
        <f>+COUNTIFS('muddati otgan'!C:C,A190,'muddati otgan'!J:J,"Yakunlandi")</f>
        <v>1</v>
      </c>
      <c r="DB190" s="10">
        <f>+COUNTIFS('muddati otgan'!C:C,A190,'muddati otgan'!J:J,"Rad etildi")</f>
        <v>0</v>
      </c>
      <c r="DC190" s="100">
        <f t="shared" si="5"/>
        <v>-1</v>
      </c>
      <c r="DD190" s="44">
        <f>COUNTIFS('jami 1-20 kunlik arizalar'!C:C,A:A,'jami 1-20 kunlik arizalar'!S:S,"1")</f>
        <v>0</v>
      </c>
      <c r="DE190" s="11">
        <f>COUNTIFS('jami 1-20 kunlik arizalar'!C:C,A:A,'jami 1-20 kunlik arizalar'!S:S,"2")</f>
        <v>0</v>
      </c>
      <c r="DF190" s="11">
        <f>COUNTIFS('jami 1-20 kunlik arizalar'!C:C,A:A,'jami 1-20 kunlik arizalar'!S:S,"3")</f>
        <v>2</v>
      </c>
      <c r="DG190" s="11">
        <f>COUNTIFS('jami 1-20 kunlik arizalar'!C:C,A:A,'jami 1-20 kunlik arizalar'!S:S,"4")</f>
        <v>0</v>
      </c>
      <c r="DH190" s="11">
        <f>COUNTIFS('jami 1-20 kunlik arizalar'!C:C,A:A,'jami 1-20 kunlik arizalar'!S:S,"5")</f>
        <v>2</v>
      </c>
      <c r="DI190" s="11">
        <f>SUM(COUNTIFS('jami 1-20 kunlik arizalar'!C:C,A:A, 'jami 1-20 kunlik arizalar'!S:S, {6,7,8,9,10}))</f>
        <v>5</v>
      </c>
      <c r="DJ190" s="12">
        <f>SUM(COUNTIFS('jami 1-20 kunlik arizalar'!C:C,A:A, 'jami 1-20 kunlik arizalar'!S:S, "&gt;10"))</f>
        <v>0</v>
      </c>
    </row>
    <row r="191" spans="1:115" ht="48" hidden="1" customHeight="1" outlineLevel="1" x14ac:dyDescent="0.25">
      <c r="A191" s="92" t="s">
        <v>705</v>
      </c>
      <c r="B191" s="74"/>
      <c r="C191" s="85" t="s">
        <v>885</v>
      </c>
      <c r="D191" s="80">
        <f>+COUNTIFS('muddati otgan'!C:C,A191,'muddati otgan'!C:C,A191)</f>
        <v>3</v>
      </c>
      <c r="E191" s="10">
        <f>SUMIFS('muddati otgan'!$V:V,'muddati otgan'!$C:C,$A:A)</f>
        <v>0</v>
      </c>
      <c r="F191" s="10">
        <f>SUMIFS('muddati otgan'!$W:W,'muddati otgan'!$C:C,$A:A)</f>
        <v>0</v>
      </c>
      <c r="G191" s="24">
        <f>SUMIFS('muddati otgan'!$U:U,'muddati otgan'!$C:C,$A:A)</f>
        <v>3</v>
      </c>
      <c r="H191" s="11">
        <f>SUMIFS('muddati otgan'!$G:G,'muddati otgan'!$C:C,$A:A)</f>
        <v>2</v>
      </c>
      <c r="I191" s="12">
        <f>SUMIFS('muddati otgan'!$H:H,'muddati otgan'!$C:C,$A:A)</f>
        <v>1</v>
      </c>
      <c r="J191" s="44">
        <f t="shared" si="23"/>
        <v>0</v>
      </c>
      <c r="K191" s="11">
        <f>+COUNTIFS('muddati otgan'!C:C,A191,'muddati otgan'!AA:AA,"Arizani qabul qilish")</f>
        <v>0</v>
      </c>
      <c r="L191" s="11">
        <f>+COUNTIFS('muddati otgan'!C:C,A191,'muddati otgan'!J:J,"Arizani rad etish")</f>
        <v>0</v>
      </c>
      <c r="M191" s="11">
        <f>+COUNTIFS('muddati otgan'!C:C,A191,'muddati otgan'!J:J,"Arizani tasdiqlash")</f>
        <v>0</v>
      </c>
      <c r="N191" s="11">
        <f>+COUNTIFS('muddati otgan'!C:C,A191,'muddati otgan'!J:J,"Arizani yo'naltirish")</f>
        <v>0</v>
      </c>
      <c r="O191" s="11">
        <f>+COUNTIFS('muddati otgan'!C:C,A191,'muddati otgan'!J:J,"Rad qilish sababini o'rganish")</f>
        <v>0</v>
      </c>
      <c r="P191" s="11">
        <f>+COUNTIFS('muddati otgan'!C:C,A191,'muddati otgan'!J:J,"Ko'chmas mulkni UZKAD ga migratsiya qilish")</f>
        <v>0</v>
      </c>
      <c r="Q191" s="11">
        <f>+COUNTIFS('muddati otgan'!C:C,A191,'muddati otgan'!J:J,"Migratisya qilingan obyekt holatini tekshirish")</f>
        <v>0</v>
      </c>
      <c r="R191" s="11">
        <f>+COUNTIFS('muddati otgan'!C:C,A191,'muddati otgan'!J:J,"Ko‘chmas mulkni tanlash")</f>
        <v>0</v>
      </c>
      <c r="S191" s="11">
        <f>+COUNTIFS('muddati otgan'!C:C,A191,'muddati otgan'!J:J,"Arizani ko'rib chiqish")</f>
        <v>0</v>
      </c>
      <c r="T191" s="11">
        <f>+COUNTIFS('muddati otgan'!C:C,A191,'muddati otgan'!J:J,"Kadastr muhandisini tanlash")</f>
        <v>0</v>
      </c>
      <c r="U191" s="11">
        <f>+COUNTIFS('muddati otgan'!C:C,A191,'muddati otgan'!J:J,"Ko'chmas mulk turini tanlahsh")</f>
        <v>0</v>
      </c>
      <c r="V191" s="11">
        <f>+COUNTIFS('muddati otgan'!C:C,A191,'muddati otgan'!AA:AA,"Rad qilish")</f>
        <v>0</v>
      </c>
      <c r="W191" s="11">
        <f>+COUNTIFS('muddati otgan'!C:C,A191,'muddati otgan'!J:J,"ijrochi tanlash")</f>
        <v>0</v>
      </c>
      <c r="X191" s="11">
        <f>+COUNTIFS('muddati otgan'!C:C,A191,'muddati otgan'!J:J,"Ko'chmas mulk turini tanlash")</f>
        <v>0</v>
      </c>
      <c r="Y191" s="11">
        <f t="shared" si="24"/>
        <v>1</v>
      </c>
      <c r="Z191" s="11">
        <f>+COUNTIFS('muddati otgan'!C:C,A191,'muddati otgan'!J:J,"Ijroga qabul qilish")</f>
        <v>0</v>
      </c>
      <c r="AA191" s="11">
        <f>+COUNTIFS('muddati otgan'!C:C,A191,'muddati otgan'!J:J,"Joyida o'rganish va ma'lumotlarni kiritish")</f>
        <v>0</v>
      </c>
      <c r="AB191" s="11">
        <f>+COUNTIFS('muddati otgan'!C:C,A191,'muddati otgan'!J:J,"Asosiy qismdan ajratish jarayonida")</f>
        <v>0</v>
      </c>
      <c r="AC191" s="11">
        <f>+COUNTIFS('muddati otgan'!C:C,A191,'muddati otgan'!J:J,"Umumiy foydalanishdagi obyekt yaratilish")</f>
        <v>0</v>
      </c>
      <c r="AD191" s="11">
        <f>+COUNTIFS('muddati otgan'!C:C,A191,'muddati otgan'!J:J,"Migratsiya qilinadigan kadastr raqamini kiritish")</f>
        <v>0</v>
      </c>
      <c r="AE191" s="11">
        <f>+COUNTIFS('muddati otgan'!C:C,A191,'muddati otgan'!J:J,"O'zida qolgan obyektni yaratish")</f>
        <v>0</v>
      </c>
      <c r="AF191" s="11">
        <f>+COUNTIFS('muddati otgan'!C:C,A191,'muddati otgan'!J:J,"O'lchov natijalarini kiritish")</f>
        <v>1</v>
      </c>
      <c r="AG191" s="11">
        <f>+COUNTIFS('muddati otgan'!C:C,A191,'muddati otgan'!J:J,"Topoxaritani tayyorlash (dwg, pdf)")</f>
        <v>0</v>
      </c>
      <c r="AH191" s="11">
        <f t="shared" si="25"/>
        <v>0</v>
      </c>
      <c r="AI191" s="11">
        <f>+COUNTIFS('muddati otgan'!C:C,A191,'muddati otgan'!J:J,"Yer uchastkasini yaratish")</f>
        <v>0</v>
      </c>
      <c r="AJ191" s="11">
        <f t="shared" si="26"/>
        <v>0</v>
      </c>
      <c r="AK191" s="11">
        <f>+COUNTIFS('muddati otgan'!C:C,A191,'muddati otgan'!J:J,"Kelishish (Boshqarma)")</f>
        <v>0</v>
      </c>
      <c r="AL191" s="11">
        <f t="shared" si="27"/>
        <v>0</v>
      </c>
      <c r="AM191" s="11">
        <f>+COUNTIFS('muddati otgan'!C:C,A191,'muddati otgan'!J:J,"Kelishish (DKP)")</f>
        <v>0</v>
      </c>
      <c r="AN191" s="11">
        <f>+COUNTIFS('muddati otgan'!C:C,A191,'muddati otgan'!J:J,"Kelishish")</f>
        <v>0</v>
      </c>
      <c r="AO191" s="11">
        <f>+COUNTIFS('muddati otgan'!C:C,A191,'muddati otgan'!J:J,"Kelishish (Registratsiya DKP)")</f>
        <v>0</v>
      </c>
      <c r="AP191" s="11">
        <f t="shared" si="28"/>
        <v>0</v>
      </c>
      <c r="AQ191" s="11">
        <f>+COUNTIFS('muddati otgan'!C:C,A191,'muddati otgan'!J:J,"Manzil biriktirish")</f>
        <v>0</v>
      </c>
      <c r="AR191" s="11">
        <f>+COUNTIFS('muddati otgan'!C:C,A191,'muddati otgan'!J:J,"Bino va inshootlarni yaratish")</f>
        <v>0</v>
      </c>
      <c r="AS191" s="11">
        <f>+COUNTIFS('muddati otgan'!C:C,A191,'muddati otgan'!J:J,"Dov daraxtlarni yaratish")</f>
        <v>0</v>
      </c>
      <c r="AT191" s="11">
        <f>+COUNTIFS('muddati otgan'!C:C,A191,'muddati otgan'!J:J,"Yer uchastkasini tahrirlash")</f>
        <v>0</v>
      </c>
      <c r="AU191" s="11">
        <f t="shared" si="29"/>
        <v>0</v>
      </c>
      <c r="AV191" s="11">
        <f>+COUNTIFS('muddati otgan'!C:C,A191,'muddati otgan'!J:J,"Yer toifasi va maqsadini kiritish")</f>
        <v>0</v>
      </c>
      <c r="AW191" s="11">
        <f>+COUNTIFS('muddati otgan'!C:C,A191,'muddati otgan'!J:J,"Auksion yer tekshirish")</f>
        <v>0</v>
      </c>
      <c r="AX191" s="11">
        <f>+COUNTIFS('muddati otgan'!C:C,A191,'muddati otgan'!J:J,"Yer turlarini kiritish")</f>
        <v>0</v>
      </c>
      <c r="AY191" s="11">
        <f>+COUNTIFS('muddati otgan'!C:C,A191,'muddati otgan'!J:J,"Ma'lumotlarni kiritish")</f>
        <v>0</v>
      </c>
      <c r="AZ191" s="11">
        <f>+COUNTIFS('muddati otgan'!C:C,A191,'muddati otgan'!J:J,"Yer tekshirish")</f>
        <v>0</v>
      </c>
      <c r="BA191" s="11">
        <f t="shared" si="30"/>
        <v>1</v>
      </c>
      <c r="BB191" s="11">
        <f>+COUNTIFS('muddati otgan'!C:C,A191,'muddati otgan'!J:J,"Bino va inshoot ma'lumotlarini to‘ldirish")</f>
        <v>1</v>
      </c>
      <c r="BC191" s="11">
        <f>+COUNTIFS('muddati otgan'!C:C,A191,'muddati otgan'!J:J,"Inventarizatsiya ma'lumotlarini to‘ldirish")</f>
        <v>0</v>
      </c>
      <c r="BD191" s="11">
        <f>+COUNTIFS('muddati otgan'!C:C,A191,'muddati otgan'!J:J,"Yer uchastkasiga huquqiy hujjatlarni kiritsh")</f>
        <v>0</v>
      </c>
      <c r="BE191" s="11">
        <f>+COUNTIFS('muddati otgan'!C:C,A191,'muddati otgan'!J:J,"Bino-inshootlarga huquqiy hujjatlarni kiritsh")</f>
        <v>0</v>
      </c>
      <c r="BF191" s="11">
        <f>+COUNTIFS('muddati otgan'!C:C,A191,'muddati otgan'!J:J,"Kadastr qiymatini hisoblash va kiritish")</f>
        <v>0</v>
      </c>
      <c r="BG191" s="11">
        <f>+COUNTIFS('muddati otgan'!C:C,A191,'muddati otgan'!J:J,"Kadastr raqam biriktirish")</f>
        <v>0</v>
      </c>
      <c r="BH191" s="11">
        <f>+COUNTIFS('muddati otgan'!C:C,A191,'muddati otgan'!J:J,"Kadastr yig'ma jildni tayyorlash")</f>
        <v>0</v>
      </c>
      <c r="BI191" s="11">
        <f>+COUNTIFS('muddati otgan'!C:C,A191,'muddati otgan'!J:J,"Huquqni yaratish")</f>
        <v>0</v>
      </c>
      <c r="BJ191" s="11">
        <f>+COUNTIFS('muddati otgan'!C:C,A191,'muddati otgan'!J:J,"Hujjatlarni o'rganish")</f>
        <v>0</v>
      </c>
      <c r="BK191" s="11">
        <f>+COUNTIFS('muddati otgan'!C:C,A191,'muddati otgan'!J:J,"Ma'lumotlarni tekshirish")</f>
        <v>0</v>
      </c>
      <c r="BL191" s="11">
        <f t="shared" si="31"/>
        <v>1</v>
      </c>
      <c r="BM191" s="11">
        <f>+COUNTIFS('muddati otgan'!C:C,A191,'muddati otgan'!J:J,"Tekshirish")</f>
        <v>1</v>
      </c>
      <c r="BN191" s="11">
        <f>+COUNTIFS('muddati otgan'!C:C,A191,'muddati otgan'!J:J,"Hujjatlarni tekshirish")</f>
        <v>0</v>
      </c>
      <c r="BO191" s="11">
        <f>+COUNTIFS('muddati otgan'!C:C,A191,'muddati otgan'!J:J,"Tasdiqlash")</f>
        <v>0</v>
      </c>
      <c r="BP191" s="11">
        <f>+COUNTIFS('muddati otgan'!C:C,A191,'muddati otgan'!J:J,"tekshirish/tasdiqlash")</f>
        <v>0</v>
      </c>
      <c r="BQ191" s="11">
        <f>+COUNTIFS('muddati otgan'!C:C,A191,'muddati otgan'!J:J,"Ma'lumotlarni tasdiqlash")</f>
        <v>0</v>
      </c>
      <c r="BR191" s="11">
        <f t="shared" si="32"/>
        <v>0</v>
      </c>
      <c r="BS191" s="11">
        <f>+COUNTIFS('muddati otgan'!C:C,A191,'muddati otgan'!J:J,"Ro'yxatdan o'tkazish ma'lumotlarini tekshirish")</f>
        <v>0</v>
      </c>
      <c r="BT191" s="11">
        <f>+COUNTIFS('muddati otgan'!C:C,A191,'muddati otgan'!J:J,"Kamchiliklar bo'yicha habarnoma yuborish va 3 kunga to'xtatish")</f>
        <v>0</v>
      </c>
      <c r="BU191" s="11">
        <f>+COUNTIFS('muddati otgan'!C:C,A191,'muddati otgan'!J:J,"Hisobga olish")</f>
        <v>0</v>
      </c>
      <c r="BV191" s="11">
        <f>+COUNTIFS('muddati otgan'!C:C,A191,'muddati otgan'!J:J,"Yer uchastkasiga huquq yaratish")</f>
        <v>0</v>
      </c>
      <c r="BW191" s="11">
        <f>+COUNTIFS('muddati otgan'!C:C,A191,'muddati otgan'!J:J,"Bino-inshootga huquq yaratish")</f>
        <v>0</v>
      </c>
      <c r="BX191" s="11">
        <f>+COUNTIFS('muddati otgan'!C:C,A191,'muddati otgan'!J:J,"Cheklov yaratish")</f>
        <v>0</v>
      </c>
      <c r="BY191" s="11">
        <f>+COUNTIFS('muddati otgan'!C:C,A191,'muddati otgan'!J:J,"Taqiq yaratish")</f>
        <v>0</v>
      </c>
      <c r="BZ191" s="11">
        <f t="shared" si="33"/>
        <v>0</v>
      </c>
      <c r="CA191" s="11">
        <f>+COUNTIFS('muddati otgan'!C:C,A191,'muddati otgan'!J:J,"Soliq maydonini tekshirish")</f>
        <v>0</v>
      </c>
      <c r="CB191" s="11">
        <f t="shared" si="34"/>
        <v>0</v>
      </c>
      <c r="CC191" s="11">
        <f>+COUNTIFS('muddati otgan'!C:C,A191,'muddati otgan'!J:J,"Kadastr yig'majildini shakllantirish")</f>
        <v>0</v>
      </c>
      <c r="CD191" s="11">
        <f t="shared" si="35"/>
        <v>0</v>
      </c>
      <c r="CE191" s="11">
        <f>+COUNTIFS('muddati otgan'!C:C,A191,'muddati otgan'!J:J,"Kadastr passportini shakllantirish")</f>
        <v>0</v>
      </c>
      <c r="CF191" s="11">
        <f>+COUNTIFS('muddati otgan'!C:C,A191,'muddati otgan'!J:J,"Yig'ma jildni tasdiqlash")</f>
        <v>0</v>
      </c>
      <c r="CG191" s="11">
        <f>+COUNTIFS('muddati otgan'!C:C,A191,'muddati otgan'!J:J,"To'lov yoki bepul tasdiqlash")</f>
        <v>0</v>
      </c>
      <c r="CH191" s="11">
        <f>+COUNTIFS('muddati otgan'!C:C,A191,'muddati otgan'!J:J,"Bog'liq arizani kutish")</f>
        <v>0</v>
      </c>
      <c r="CI191" s="11">
        <f>+COUNTIFS('muddati otgan'!C:C,A191,'muddati otgan'!J:J,"To'lovga chiqarish")</f>
        <v>0</v>
      </c>
      <c r="CJ191" s="11">
        <f>+COUNTIFS('muddati otgan'!C:C,A191,'muddati otgan'!J:J,"Hisobga qo'yish")</f>
        <v>0</v>
      </c>
      <c r="CK191" s="6">
        <f>+COUNTIFS('muddati otgan'!C:C,A191,'muddati otgan'!J:J,"To'lov kutilmoqda")</f>
        <v>0</v>
      </c>
      <c r="CL191" s="125">
        <f t="shared" si="36"/>
        <v>0</v>
      </c>
      <c r="CM191" s="125">
        <f>+COUNTIFS('muddati otgan'!C:C,A191,'muddati otgan'!AA:AA,"Arizani qabul qilish2")</f>
        <v>0</v>
      </c>
      <c r="CN191" s="125">
        <f>+COUNTIFS('muddati otgan'!C:C,A191,'muddati otgan'!J:J,"Huquqlarni tekshirish")</f>
        <v>0</v>
      </c>
      <c r="CO191" s="125">
        <f>+COUNTIFS('muddati otgan'!C:C,A191,'muddati otgan'!J:J,"Ko'chmas mulkni ro'yhatdan o'tkazishga qabul qilish")</f>
        <v>0</v>
      </c>
      <c r="CP191" s="125">
        <f>+COUNTIFS('muddati otgan'!C:C,A191,'muddati otgan'!J:J,"Ro'yxatdan o'tkazish")</f>
        <v>0</v>
      </c>
      <c r="CQ191" s="125">
        <f>+COUNTIFS('muddati otgan'!C:C,A191,'muddati otgan'!J:J,"Kadastr pasporti va ko'chirmani yuborish")</f>
        <v>0</v>
      </c>
      <c r="CR191" s="125">
        <f>+COUNTIFS('muddati otgan'!C:C,A191,'muddati otgan'!AA:AA,"Rad qilish2")</f>
        <v>0</v>
      </c>
      <c r="CS191" s="125">
        <f>+COUNTIFS('muddati otgan'!C:C,A191,'muddati otgan'!J:J,"Ko'chirmani yuborish")</f>
        <v>0</v>
      </c>
      <c r="CT191" s="125">
        <f>+COUNTIFS('muddati otgan'!C:C,A191,'muddati otgan'!J:J,"Ma‘lumotlarni tekshirish")</f>
        <v>0</v>
      </c>
      <c r="CU191" s="125">
        <f t="shared" si="37"/>
        <v>0</v>
      </c>
      <c r="CV191" s="125">
        <f>+COUNTIFS('muddati otgan'!C:C,A191,'muddati otgan'!J:J,"Kadastr yig'majildini chop etish va arxiv ishiga tikish")</f>
        <v>0</v>
      </c>
      <c r="CW191" s="125">
        <f t="shared" si="38"/>
        <v>0</v>
      </c>
      <c r="CX191" s="11">
        <f>+COUNTIFS('muddati otgan'!C:C,A191,'muddati otgan'!J:J,"Kadastr yig‘majildini qabul qilish, arizani yakunlash")</f>
        <v>0</v>
      </c>
      <c r="CY191" s="11">
        <f>+COUNTIFS('muddati otgan'!C:C,A191,'muddati otgan'!J:J,"Next Cloudga yuklash")</f>
        <v>0</v>
      </c>
      <c r="CZ191" s="6">
        <f>+COUNTIFS('muddati otgan'!C:C,A191,'muddati otgan'!J:J,"Kelishish kutilmoqda")</f>
        <v>0</v>
      </c>
      <c r="DA191" s="6">
        <f>+COUNTIFS('muddati otgan'!C:C,A191,'muddati otgan'!J:J,"Yakunlandi")</f>
        <v>0</v>
      </c>
      <c r="DB191" s="10">
        <f>+COUNTIFS('muddati otgan'!C:C,A191,'muddati otgan'!J:J,"Rad etildi")</f>
        <v>0</v>
      </c>
      <c r="DC191" s="100">
        <f t="shared" si="5"/>
        <v>-3</v>
      </c>
      <c r="DD191" s="44">
        <f>COUNTIFS('jami 1-20 kunlik arizalar'!C:C,A:A,'jami 1-20 kunlik arizalar'!S:S,"1")</f>
        <v>0</v>
      </c>
      <c r="DE191" s="11">
        <f>COUNTIFS('jami 1-20 kunlik arizalar'!C:C,A:A,'jami 1-20 kunlik arizalar'!S:S,"2")</f>
        <v>0</v>
      </c>
      <c r="DF191" s="11">
        <f>COUNTIFS('jami 1-20 kunlik arizalar'!C:C,A:A,'jami 1-20 kunlik arizalar'!S:S,"3")</f>
        <v>1</v>
      </c>
      <c r="DG191" s="11">
        <f>COUNTIFS('jami 1-20 kunlik arizalar'!C:C,A:A,'jami 1-20 kunlik arizalar'!S:S,"4")</f>
        <v>1</v>
      </c>
      <c r="DH191" s="11">
        <f>COUNTIFS('jami 1-20 kunlik arizalar'!C:C,A:A,'jami 1-20 kunlik arizalar'!S:S,"5")</f>
        <v>0</v>
      </c>
      <c r="DI191" s="11">
        <f>SUM(COUNTIFS('jami 1-20 kunlik arizalar'!C:C,A:A, 'jami 1-20 kunlik arizalar'!S:S, {6,7,8,9,10}))</f>
        <v>8</v>
      </c>
      <c r="DJ191" s="12">
        <f>SUM(COUNTIFS('jami 1-20 kunlik arizalar'!C:C,A:A, 'jami 1-20 kunlik arizalar'!S:S, "&gt;10"))</f>
        <v>1</v>
      </c>
    </row>
    <row r="192" spans="1:115" ht="48" hidden="1" customHeight="1" outlineLevel="1" x14ac:dyDescent="0.25">
      <c r="A192" s="92" t="s">
        <v>707</v>
      </c>
      <c r="B192" s="74"/>
      <c r="C192" s="85" t="s">
        <v>886</v>
      </c>
      <c r="D192" s="80">
        <f>+COUNTIFS('muddati otgan'!C:C,A192,'muddati otgan'!C:C,A192)</f>
        <v>2</v>
      </c>
      <c r="E192" s="10">
        <f>SUMIFS('muddati otgan'!$V:V,'muddati otgan'!$C:C,$A:A)</f>
        <v>0</v>
      </c>
      <c r="F192" s="10">
        <f>SUMIFS('muddati otgan'!$W:W,'muddati otgan'!$C:C,$A:A)</f>
        <v>0</v>
      </c>
      <c r="G192" s="24">
        <f>SUMIFS('muddati otgan'!$U:U,'muddati otgan'!$C:C,$A:A)</f>
        <v>2</v>
      </c>
      <c r="H192" s="11">
        <f>SUMIFS('muddati otgan'!$G:G,'muddati otgan'!$C:C,$A:A)</f>
        <v>2</v>
      </c>
      <c r="I192" s="12">
        <f>SUMIFS('muddati otgan'!$H:H,'muddati otgan'!$C:C,$A:A)</f>
        <v>0</v>
      </c>
      <c r="J192" s="44">
        <f t="shared" si="23"/>
        <v>0</v>
      </c>
      <c r="K192" s="11">
        <f>+COUNTIFS('muddati otgan'!C:C,A192,'muddati otgan'!AA:AA,"Arizani qabul qilish")</f>
        <v>0</v>
      </c>
      <c r="L192" s="11">
        <f>+COUNTIFS('muddati otgan'!C:C,A192,'muddati otgan'!J:J,"Arizani rad etish")</f>
        <v>0</v>
      </c>
      <c r="M192" s="11">
        <f>+COUNTIFS('muddati otgan'!C:C,A192,'muddati otgan'!J:J,"Arizani tasdiqlash")</f>
        <v>0</v>
      </c>
      <c r="N192" s="11">
        <f>+COUNTIFS('muddati otgan'!C:C,A192,'muddati otgan'!J:J,"Arizani yo'naltirish")</f>
        <v>0</v>
      </c>
      <c r="O192" s="11">
        <f>+COUNTIFS('muddati otgan'!C:C,A192,'muddati otgan'!J:J,"Rad qilish sababini o'rganish")</f>
        <v>0</v>
      </c>
      <c r="P192" s="11">
        <f>+COUNTIFS('muddati otgan'!C:C,A192,'muddati otgan'!J:J,"Ko'chmas mulkni UZKAD ga migratsiya qilish")</f>
        <v>0</v>
      </c>
      <c r="Q192" s="11">
        <f>+COUNTIFS('muddati otgan'!C:C,A192,'muddati otgan'!J:J,"Migratisya qilingan obyekt holatini tekshirish")</f>
        <v>0</v>
      </c>
      <c r="R192" s="11">
        <f>+COUNTIFS('muddati otgan'!C:C,A192,'muddati otgan'!J:J,"Ko‘chmas mulkni tanlash")</f>
        <v>0</v>
      </c>
      <c r="S192" s="11">
        <f>+COUNTIFS('muddati otgan'!C:C,A192,'muddati otgan'!J:J,"Arizani ko'rib chiqish")</f>
        <v>0</v>
      </c>
      <c r="T192" s="11">
        <f>+COUNTIFS('muddati otgan'!C:C,A192,'muddati otgan'!J:J,"Kadastr muhandisini tanlash")</f>
        <v>0</v>
      </c>
      <c r="U192" s="11">
        <f>+COUNTIFS('muddati otgan'!C:C,A192,'muddati otgan'!J:J,"Ko'chmas mulk turini tanlahsh")</f>
        <v>0</v>
      </c>
      <c r="V192" s="11">
        <f>+COUNTIFS('muddati otgan'!C:C,A192,'muddati otgan'!AA:AA,"Rad qilish")</f>
        <v>0</v>
      </c>
      <c r="W192" s="11">
        <f>+COUNTIFS('muddati otgan'!C:C,A192,'muddati otgan'!J:J,"ijrochi tanlash")</f>
        <v>0</v>
      </c>
      <c r="X192" s="11">
        <f>+COUNTIFS('muddati otgan'!C:C,A192,'muddati otgan'!J:J,"Ko'chmas mulk turini tanlash")</f>
        <v>0</v>
      </c>
      <c r="Y192" s="11">
        <f t="shared" si="24"/>
        <v>1</v>
      </c>
      <c r="Z192" s="11">
        <f>+COUNTIFS('muddati otgan'!C:C,A192,'muddati otgan'!J:J,"Ijroga qabul qilish")</f>
        <v>0</v>
      </c>
      <c r="AA192" s="11">
        <f>+COUNTIFS('muddati otgan'!C:C,A192,'muddati otgan'!J:J,"Joyida o'rganish va ma'lumotlarni kiritish")</f>
        <v>0</v>
      </c>
      <c r="AB192" s="11">
        <f>+COUNTIFS('muddati otgan'!C:C,A192,'muddati otgan'!J:J,"Asosiy qismdan ajratish jarayonida")</f>
        <v>1</v>
      </c>
      <c r="AC192" s="11">
        <f>+COUNTIFS('muddati otgan'!C:C,A192,'muddati otgan'!J:J,"Umumiy foydalanishdagi obyekt yaratilish")</f>
        <v>0</v>
      </c>
      <c r="AD192" s="11">
        <f>+COUNTIFS('muddati otgan'!C:C,A192,'muddati otgan'!J:J,"Migratsiya qilinadigan kadastr raqamini kiritish")</f>
        <v>0</v>
      </c>
      <c r="AE192" s="11">
        <f>+COUNTIFS('muddati otgan'!C:C,A192,'muddati otgan'!J:J,"O'zida qolgan obyektni yaratish")</f>
        <v>0</v>
      </c>
      <c r="AF192" s="11">
        <f>+COUNTIFS('muddati otgan'!C:C,A192,'muddati otgan'!J:J,"O'lchov natijalarini kiritish")</f>
        <v>0</v>
      </c>
      <c r="AG192" s="11">
        <f>+COUNTIFS('muddati otgan'!C:C,A192,'muddati otgan'!J:J,"Topoxaritani tayyorlash (dwg, pdf)")</f>
        <v>0</v>
      </c>
      <c r="AH192" s="11">
        <f t="shared" si="25"/>
        <v>0</v>
      </c>
      <c r="AI192" s="11">
        <f>+COUNTIFS('muddati otgan'!C:C,A192,'muddati otgan'!J:J,"Yer uchastkasini yaratish")</f>
        <v>0</v>
      </c>
      <c r="AJ192" s="11">
        <f t="shared" si="26"/>
        <v>0</v>
      </c>
      <c r="AK192" s="11">
        <f>+COUNTIFS('muddati otgan'!C:C,A192,'muddati otgan'!J:J,"Kelishish (Boshqarma)")</f>
        <v>0</v>
      </c>
      <c r="AL192" s="11">
        <f t="shared" si="27"/>
        <v>0</v>
      </c>
      <c r="AM192" s="11">
        <f>+COUNTIFS('muddati otgan'!C:C,A192,'muddati otgan'!J:J,"Kelishish (DKP)")</f>
        <v>0</v>
      </c>
      <c r="AN192" s="11">
        <f>+COUNTIFS('muddati otgan'!C:C,A192,'muddati otgan'!J:J,"Kelishish")</f>
        <v>0</v>
      </c>
      <c r="AO192" s="11">
        <f>+COUNTIFS('muddati otgan'!C:C,A192,'muddati otgan'!J:J,"Kelishish (Registratsiya DKP)")</f>
        <v>0</v>
      </c>
      <c r="AP192" s="11">
        <f t="shared" si="28"/>
        <v>0</v>
      </c>
      <c r="AQ192" s="11">
        <f>+COUNTIFS('muddati otgan'!C:C,A192,'muddati otgan'!J:J,"Manzil biriktirish")</f>
        <v>0</v>
      </c>
      <c r="AR192" s="11">
        <f>+COUNTIFS('muddati otgan'!C:C,A192,'muddati otgan'!J:J,"Bino va inshootlarni yaratish")</f>
        <v>0</v>
      </c>
      <c r="AS192" s="11">
        <f>+COUNTIFS('muddati otgan'!C:C,A192,'muddati otgan'!J:J,"Dov daraxtlarni yaratish")</f>
        <v>0</v>
      </c>
      <c r="AT192" s="11">
        <f>+COUNTIFS('muddati otgan'!C:C,A192,'muddati otgan'!J:J,"Yer uchastkasini tahrirlash")</f>
        <v>0</v>
      </c>
      <c r="AU192" s="11">
        <f t="shared" si="29"/>
        <v>0</v>
      </c>
      <c r="AV192" s="11">
        <f>+COUNTIFS('muddati otgan'!C:C,A192,'muddati otgan'!J:J,"Yer toifasi va maqsadini kiritish")</f>
        <v>0</v>
      </c>
      <c r="AW192" s="11">
        <f>+COUNTIFS('muddati otgan'!C:C,A192,'muddati otgan'!J:J,"Auksion yer tekshirish")</f>
        <v>0</v>
      </c>
      <c r="AX192" s="11">
        <f>+COUNTIFS('muddati otgan'!C:C,A192,'muddati otgan'!J:J,"Yer turlarini kiritish")</f>
        <v>0</v>
      </c>
      <c r="AY192" s="11">
        <f>+COUNTIFS('muddati otgan'!C:C,A192,'muddati otgan'!J:J,"Ma'lumotlarni kiritish")</f>
        <v>0</v>
      </c>
      <c r="AZ192" s="11">
        <f>+COUNTIFS('muddati otgan'!C:C,A192,'muddati otgan'!J:J,"Yer tekshirish")</f>
        <v>0</v>
      </c>
      <c r="BA192" s="11">
        <f t="shared" si="30"/>
        <v>0</v>
      </c>
      <c r="BB192" s="11">
        <f>+COUNTIFS('muddati otgan'!C:C,A192,'muddati otgan'!J:J,"Bino va inshoot ma'lumotlarini to‘ldirish")</f>
        <v>0</v>
      </c>
      <c r="BC192" s="11">
        <f>+COUNTIFS('muddati otgan'!C:C,A192,'muddati otgan'!J:J,"Inventarizatsiya ma'lumotlarini to‘ldirish")</f>
        <v>0</v>
      </c>
      <c r="BD192" s="11">
        <f>+COUNTIFS('muddati otgan'!C:C,A192,'muddati otgan'!J:J,"Yer uchastkasiga huquqiy hujjatlarni kiritsh")</f>
        <v>0</v>
      </c>
      <c r="BE192" s="11">
        <f>+COUNTIFS('muddati otgan'!C:C,A192,'muddati otgan'!J:J,"Bino-inshootlarga huquqiy hujjatlarni kiritsh")</f>
        <v>0</v>
      </c>
      <c r="BF192" s="11">
        <f>+COUNTIFS('muddati otgan'!C:C,A192,'muddati otgan'!J:J,"Kadastr qiymatini hisoblash va kiritish")</f>
        <v>0</v>
      </c>
      <c r="BG192" s="11">
        <f>+COUNTIFS('muddati otgan'!C:C,A192,'muddati otgan'!J:J,"Kadastr raqam biriktirish")</f>
        <v>0</v>
      </c>
      <c r="BH192" s="11">
        <f>+COUNTIFS('muddati otgan'!C:C,A192,'muddati otgan'!J:J,"Kadastr yig'ma jildni tayyorlash")</f>
        <v>0</v>
      </c>
      <c r="BI192" s="11">
        <f>+COUNTIFS('muddati otgan'!C:C,A192,'muddati otgan'!J:J,"Huquqni yaratish")</f>
        <v>0</v>
      </c>
      <c r="BJ192" s="11">
        <f>+COUNTIFS('muddati otgan'!C:C,A192,'muddati otgan'!J:J,"Hujjatlarni o'rganish")</f>
        <v>0</v>
      </c>
      <c r="BK192" s="11">
        <f>+COUNTIFS('muddati otgan'!C:C,A192,'muddati otgan'!J:J,"Ma'lumotlarni tekshirish")</f>
        <v>0</v>
      </c>
      <c r="BL192" s="11">
        <f t="shared" si="31"/>
        <v>0</v>
      </c>
      <c r="BM192" s="11">
        <f>+COUNTIFS('muddati otgan'!C:C,A192,'muddati otgan'!J:J,"Tekshirish")</f>
        <v>0</v>
      </c>
      <c r="BN192" s="11">
        <f>+COUNTIFS('muddati otgan'!C:C,A192,'muddati otgan'!J:J,"Hujjatlarni tekshirish")</f>
        <v>0</v>
      </c>
      <c r="BO192" s="11">
        <f>+COUNTIFS('muddati otgan'!C:C,A192,'muddati otgan'!J:J,"Tasdiqlash")</f>
        <v>0</v>
      </c>
      <c r="BP192" s="11">
        <f>+COUNTIFS('muddati otgan'!C:C,A192,'muddati otgan'!J:J,"tekshirish/tasdiqlash")</f>
        <v>0</v>
      </c>
      <c r="BQ192" s="11">
        <f>+COUNTIFS('muddati otgan'!C:C,A192,'muddati otgan'!J:J,"Ma'lumotlarni tasdiqlash")</f>
        <v>0</v>
      </c>
      <c r="BR192" s="11">
        <f t="shared" si="32"/>
        <v>0</v>
      </c>
      <c r="BS192" s="11">
        <f>+COUNTIFS('muddati otgan'!C:C,A192,'muddati otgan'!J:J,"Ro'yxatdan o'tkazish ma'lumotlarini tekshirish")</f>
        <v>0</v>
      </c>
      <c r="BT192" s="11">
        <f>+COUNTIFS('muddati otgan'!C:C,A192,'muddati otgan'!J:J,"Kamchiliklar bo'yicha habarnoma yuborish va 3 kunga to'xtatish")</f>
        <v>0</v>
      </c>
      <c r="BU192" s="11">
        <f>+COUNTIFS('muddati otgan'!C:C,A192,'muddati otgan'!J:J,"Hisobga olish")</f>
        <v>0</v>
      </c>
      <c r="BV192" s="11">
        <f>+COUNTIFS('muddati otgan'!C:C,A192,'muddati otgan'!J:J,"Yer uchastkasiga huquq yaratish")</f>
        <v>0</v>
      </c>
      <c r="BW192" s="11">
        <f>+COUNTIFS('muddati otgan'!C:C,A192,'muddati otgan'!J:J,"Bino-inshootga huquq yaratish")</f>
        <v>0</v>
      </c>
      <c r="BX192" s="11">
        <f>+COUNTIFS('muddati otgan'!C:C,A192,'muddati otgan'!J:J,"Cheklov yaratish")</f>
        <v>0</v>
      </c>
      <c r="BY192" s="11">
        <f>+COUNTIFS('muddati otgan'!C:C,A192,'muddati otgan'!J:J,"Taqiq yaratish")</f>
        <v>0</v>
      </c>
      <c r="BZ192" s="11">
        <f t="shared" si="33"/>
        <v>0</v>
      </c>
      <c r="CA192" s="11">
        <f>+COUNTIFS('muddati otgan'!C:C,A192,'muddati otgan'!J:J,"Soliq maydonini tekshirish")</f>
        <v>0</v>
      </c>
      <c r="CB192" s="11">
        <f t="shared" si="34"/>
        <v>0</v>
      </c>
      <c r="CC192" s="11">
        <f>+COUNTIFS('muddati otgan'!C:C,A192,'muddati otgan'!J:J,"Kadastr yig'majildini shakllantirish")</f>
        <v>0</v>
      </c>
      <c r="CD192" s="11">
        <f t="shared" si="35"/>
        <v>0</v>
      </c>
      <c r="CE192" s="11">
        <f>+COUNTIFS('muddati otgan'!C:C,A192,'muddati otgan'!J:J,"Kadastr passportini shakllantirish")</f>
        <v>0</v>
      </c>
      <c r="CF192" s="11">
        <f>+COUNTIFS('muddati otgan'!C:C,A192,'muddati otgan'!J:J,"Yig'ma jildni tasdiqlash")</f>
        <v>0</v>
      </c>
      <c r="CG192" s="11">
        <f>+COUNTIFS('muddati otgan'!C:C,A192,'muddati otgan'!J:J,"To'lov yoki bepul tasdiqlash")</f>
        <v>0</v>
      </c>
      <c r="CH192" s="11">
        <f>+COUNTIFS('muddati otgan'!C:C,A192,'muddati otgan'!J:J,"Bog'liq arizani kutish")</f>
        <v>0</v>
      </c>
      <c r="CI192" s="11">
        <f>+COUNTIFS('muddati otgan'!C:C,A192,'muddati otgan'!J:J,"To'lovga chiqarish")</f>
        <v>0</v>
      </c>
      <c r="CJ192" s="11">
        <f>+COUNTIFS('muddati otgan'!C:C,A192,'muddati otgan'!J:J,"Hisobga qo'yish")</f>
        <v>0</v>
      </c>
      <c r="CK192" s="6">
        <f>+COUNTIFS('muddati otgan'!C:C,A192,'muddati otgan'!J:J,"To'lov kutilmoqda")</f>
        <v>0</v>
      </c>
      <c r="CL192" s="125">
        <f t="shared" si="36"/>
        <v>0</v>
      </c>
      <c r="CM192" s="125">
        <f>+COUNTIFS('muddati otgan'!C:C,A192,'muddati otgan'!AA:AA,"Arizani qabul qilish2")</f>
        <v>0</v>
      </c>
      <c r="CN192" s="125">
        <f>+COUNTIFS('muddati otgan'!C:C,A192,'muddati otgan'!J:J,"Huquqlarni tekshirish")</f>
        <v>0</v>
      </c>
      <c r="CO192" s="125">
        <f>+COUNTIFS('muddati otgan'!C:C,A192,'muddati otgan'!J:J,"Ko'chmas mulkni ro'yhatdan o'tkazishga qabul qilish")</f>
        <v>0</v>
      </c>
      <c r="CP192" s="125">
        <f>+COUNTIFS('muddati otgan'!C:C,A192,'muddati otgan'!J:J,"Ro'yxatdan o'tkazish")</f>
        <v>0</v>
      </c>
      <c r="CQ192" s="125">
        <f>+COUNTIFS('muddati otgan'!C:C,A192,'muddati otgan'!J:J,"Kadastr pasporti va ko'chirmani yuborish")</f>
        <v>0</v>
      </c>
      <c r="CR192" s="125">
        <f>+COUNTIFS('muddati otgan'!C:C,A192,'muddati otgan'!AA:AA,"Rad qilish2")</f>
        <v>0</v>
      </c>
      <c r="CS192" s="125">
        <f>+COUNTIFS('muddati otgan'!C:C,A192,'muddati otgan'!J:J,"Ko'chirmani yuborish")</f>
        <v>0</v>
      </c>
      <c r="CT192" s="125">
        <f>+COUNTIFS('muddati otgan'!C:C,A192,'muddati otgan'!J:J,"Ma‘lumotlarni tekshirish")</f>
        <v>0</v>
      </c>
      <c r="CU192" s="125">
        <f t="shared" si="37"/>
        <v>0</v>
      </c>
      <c r="CV192" s="125">
        <f>+COUNTIFS('muddati otgan'!C:C,A192,'muddati otgan'!J:J,"Kadastr yig'majildini chop etish va arxiv ishiga tikish")</f>
        <v>0</v>
      </c>
      <c r="CW192" s="125">
        <f t="shared" si="38"/>
        <v>0</v>
      </c>
      <c r="CX192" s="11">
        <f>+COUNTIFS('muddati otgan'!C:C,A192,'muddati otgan'!J:J,"Kadastr yig‘majildini qabul qilish, arizani yakunlash")</f>
        <v>0</v>
      </c>
      <c r="CY192" s="11">
        <f>+COUNTIFS('muddati otgan'!C:C,A192,'muddati otgan'!J:J,"Next Cloudga yuklash")</f>
        <v>0</v>
      </c>
      <c r="CZ192" s="6">
        <f>+COUNTIFS('muddati otgan'!C:C,A192,'muddati otgan'!J:J,"Kelishish kutilmoqda")</f>
        <v>0</v>
      </c>
      <c r="DA192" s="6">
        <f>+COUNTIFS('muddati otgan'!C:C,A192,'muddati otgan'!J:J,"Yakunlandi")</f>
        <v>1</v>
      </c>
      <c r="DB192" s="10">
        <f>+COUNTIFS('muddati otgan'!C:C,A192,'muddati otgan'!J:J,"Rad etildi")</f>
        <v>0</v>
      </c>
      <c r="DC192" s="100">
        <f t="shared" si="5"/>
        <v>-1</v>
      </c>
      <c r="DD192" s="44">
        <f>COUNTIFS('jami 1-20 kunlik arizalar'!C:C,A:A,'jami 1-20 kunlik arizalar'!S:S,"1")</f>
        <v>0</v>
      </c>
      <c r="DE192" s="11">
        <f>COUNTIFS('jami 1-20 kunlik arizalar'!C:C,A:A,'jami 1-20 kunlik arizalar'!S:S,"2")</f>
        <v>0</v>
      </c>
      <c r="DF192" s="11">
        <f>COUNTIFS('jami 1-20 kunlik arizalar'!C:C,A:A,'jami 1-20 kunlik arizalar'!S:S,"3")</f>
        <v>2</v>
      </c>
      <c r="DG192" s="11">
        <f>COUNTIFS('jami 1-20 kunlik arizalar'!C:C,A:A,'jami 1-20 kunlik arizalar'!S:S,"4")</f>
        <v>0</v>
      </c>
      <c r="DH192" s="11">
        <f>COUNTIFS('jami 1-20 kunlik arizalar'!C:C,A:A,'jami 1-20 kunlik arizalar'!S:S,"5")</f>
        <v>5</v>
      </c>
      <c r="DI192" s="11">
        <f>SUM(COUNTIFS('jami 1-20 kunlik arizalar'!C:C,A:A, 'jami 1-20 kunlik arizalar'!S:S, {6,7,8,9,10}))</f>
        <v>5</v>
      </c>
      <c r="DJ192" s="12">
        <f>SUM(COUNTIFS('jami 1-20 kunlik arizalar'!C:C,A:A, 'jami 1-20 kunlik arizalar'!S:S, "&gt;10"))</f>
        <v>0</v>
      </c>
    </row>
    <row r="193" spans="1:115" ht="57.95" hidden="1" customHeight="1" outlineLevel="1" thickBot="1" x14ac:dyDescent="0.3">
      <c r="A193" s="92"/>
      <c r="B193" s="77"/>
      <c r="C193" s="86" t="s">
        <v>930</v>
      </c>
      <c r="D193" s="81">
        <f>+D180-(SUM(D181:D192))</f>
        <v>0</v>
      </c>
      <c r="E193" s="21"/>
      <c r="F193" s="21"/>
      <c r="G193" s="21"/>
      <c r="H193" s="41"/>
      <c r="I193" s="42"/>
      <c r="J193" s="45"/>
      <c r="K193" s="22"/>
      <c r="L193" s="22"/>
      <c r="M193" s="22"/>
      <c r="N193" s="22"/>
      <c r="O193" s="22"/>
      <c r="P193" s="22"/>
      <c r="Q193" s="22"/>
      <c r="R193" s="22"/>
      <c r="S193" s="22"/>
      <c r="T193" s="22"/>
      <c r="U193" s="22"/>
      <c r="V193" s="22"/>
      <c r="W193" s="22"/>
      <c r="X193" s="22"/>
      <c r="Y193" s="41"/>
      <c r="Z193" s="22"/>
      <c r="AA193" s="22"/>
      <c r="AB193" s="22"/>
      <c r="AC193" s="22"/>
      <c r="AD193" s="22"/>
      <c r="AE193" s="22"/>
      <c r="AF193" s="22"/>
      <c r="AG193" s="41"/>
      <c r="AH193" s="41"/>
      <c r="AI193" s="22"/>
      <c r="AJ193" s="41"/>
      <c r="AK193" s="22"/>
      <c r="AL193" s="41"/>
      <c r="AM193" s="22"/>
      <c r="AN193" s="22"/>
      <c r="AO193" s="22"/>
      <c r="AP193" s="41"/>
      <c r="AQ193" s="22"/>
      <c r="AR193" s="22"/>
      <c r="AS193" s="22"/>
      <c r="AT193" s="22"/>
      <c r="AU193" s="41"/>
      <c r="AV193" s="22"/>
      <c r="AW193" s="22"/>
      <c r="AX193" s="22"/>
      <c r="AY193" s="22"/>
      <c r="AZ193" s="22"/>
      <c r="BA193" s="41"/>
      <c r="BB193" s="22"/>
      <c r="BC193" s="22"/>
      <c r="BD193" s="22"/>
      <c r="BE193" s="22"/>
      <c r="BF193" s="22"/>
      <c r="BG193" s="22"/>
      <c r="BH193" s="22"/>
      <c r="BI193" s="22"/>
      <c r="BJ193" s="22"/>
      <c r="BK193" s="22"/>
      <c r="BL193" s="41"/>
      <c r="BM193" s="22"/>
      <c r="BN193" s="22"/>
      <c r="BO193" s="22"/>
      <c r="BP193" s="22"/>
      <c r="BQ193" s="22"/>
      <c r="BR193" s="41"/>
      <c r="BS193" s="22"/>
      <c r="BT193" s="22"/>
      <c r="BU193" s="22"/>
      <c r="BV193" s="22"/>
      <c r="BW193" s="22"/>
      <c r="BX193" s="22"/>
      <c r="BY193" s="22"/>
      <c r="BZ193" s="41"/>
      <c r="CA193" s="22"/>
      <c r="CB193" s="41"/>
      <c r="CC193" s="22"/>
      <c r="CD193" s="41"/>
      <c r="CE193" s="22"/>
      <c r="CF193" s="22"/>
      <c r="CG193" s="22"/>
      <c r="CH193" s="22"/>
      <c r="CI193" s="22"/>
      <c r="CJ193" s="22"/>
      <c r="CK193" s="68"/>
      <c r="CL193" s="126"/>
      <c r="CM193" s="126"/>
      <c r="CN193" s="126"/>
      <c r="CO193" s="126"/>
      <c r="CP193" s="126"/>
      <c r="CQ193" s="126"/>
      <c r="CR193" s="126"/>
      <c r="CS193" s="126"/>
      <c r="CT193" s="126"/>
      <c r="CU193" s="126"/>
      <c r="CV193" s="126"/>
      <c r="CW193" s="126"/>
      <c r="CX193" s="22"/>
      <c r="CY193" s="22"/>
      <c r="CZ193" s="68"/>
      <c r="DA193" s="68"/>
      <c r="DB193" s="21"/>
      <c r="DC193" s="101"/>
      <c r="DD193" s="45">
        <f t="shared" ref="DD193:DJ193" si="309">+DD180-(SUM(DD181:DD192))</f>
        <v>0</v>
      </c>
      <c r="DE193" s="41">
        <f t="shared" si="309"/>
        <v>0</v>
      </c>
      <c r="DF193" s="41">
        <f t="shared" si="309"/>
        <v>0</v>
      </c>
      <c r="DG193" s="41">
        <f t="shared" si="309"/>
        <v>0</v>
      </c>
      <c r="DH193" s="41">
        <f t="shared" si="309"/>
        <v>0</v>
      </c>
      <c r="DI193" s="41">
        <f t="shared" si="309"/>
        <v>19</v>
      </c>
      <c r="DJ193" s="42">
        <f t="shared" si="309"/>
        <v>47</v>
      </c>
    </row>
    <row r="194" spans="1:115" s="29" customFormat="1" ht="57.95" customHeight="1" collapsed="1" thickBot="1" x14ac:dyDescent="0.3">
      <c r="A194" s="91" t="s">
        <v>81</v>
      </c>
      <c r="B194" s="76">
        <v>10</v>
      </c>
      <c r="C194" s="87" t="s">
        <v>69</v>
      </c>
      <c r="D194" s="79">
        <f>+COUNTIFS('muddati otgan'!B:B,A194,'muddati otgan'!B:B,"CHOT")</f>
        <v>7</v>
      </c>
      <c r="E194" s="37">
        <f>SUMIFS('muddati otgan'!$V:V,'muddati otgan'!$B:B,$A:A)</f>
        <v>2</v>
      </c>
      <c r="F194" s="37">
        <f>SUMIFS('muddati otgan'!$W:W,'muddati otgan'!$B:B,$A:A)</f>
        <v>0</v>
      </c>
      <c r="G194" s="38">
        <f>SUMIFS('muddati otgan'!$U:U,'muddati otgan'!$B:B,$A:A)</f>
        <v>5</v>
      </c>
      <c r="H194" s="39">
        <f>SUMIFS('muddati otgan'!$G:G,'muddati otgan'!$B:B,$A:A)</f>
        <v>5</v>
      </c>
      <c r="I194" s="40">
        <f>SUMIFS('muddati otgan'!$H:H,'muddati otgan'!$B:B,$A:A)</f>
        <v>2</v>
      </c>
      <c r="J194" s="43">
        <f t="shared" si="23"/>
        <v>0</v>
      </c>
      <c r="K194" s="39">
        <f>+COUNTIFS('muddati otgan'!B:B,A194,'muddati otgan'!AA:AA,"Arizani qabul qilish")</f>
        <v>0</v>
      </c>
      <c r="L194" s="39">
        <f>+COUNTIFS('muddati otgan'!B:B,A194,'muddati otgan'!J:J,"Arizani rad etish")</f>
        <v>0</v>
      </c>
      <c r="M194" s="39">
        <f>+COUNTIFS('muddati otgan'!B:B,A194,'muddati otgan'!J:J,"Arizani tasdiqlash")</f>
        <v>0</v>
      </c>
      <c r="N194" s="39">
        <f>+COUNTIFS('muddati otgan'!B:B,A194,'muddati otgan'!J:J,"Arizani yo'naltirish")</f>
        <v>0</v>
      </c>
      <c r="O194" s="39">
        <f>+COUNTIFS('muddati otgan'!B:B,A194,'muddati otgan'!J:J,"Rad qilish sababini o'rganish")</f>
        <v>0</v>
      </c>
      <c r="P194" s="39">
        <f>+COUNTIFS('muddati otgan'!B:B,A194,'muddati otgan'!J:J,"Ko'chmas mulkni UZKAD ga migratsiya qilish")</f>
        <v>0</v>
      </c>
      <c r="Q194" s="39">
        <f>+COUNTIFS('muddati otgan'!B:B,A194,'muddati otgan'!J:J,"Migratisya qilingan obyekt holatini tekshirish")</f>
        <v>0</v>
      </c>
      <c r="R194" s="39">
        <f>+COUNTIFS('muddati otgan'!B:B,A194,'muddati otgan'!J:J,"Ko‘chmas mulkni tanlash")</f>
        <v>0</v>
      </c>
      <c r="S194" s="39">
        <f>+COUNTIFS('muddati otgan'!B:B,A194,'muddati otgan'!J:J,"Arizani ko'rib chiqish")</f>
        <v>0</v>
      </c>
      <c r="T194" s="39">
        <f>+COUNTIFS('muddati otgan'!B:B,A194,'muddati otgan'!J:J,"Kadastr muhandisini tanlash")</f>
        <v>0</v>
      </c>
      <c r="U194" s="39">
        <f>+COUNTIFS('muddati otgan'!B:B,A194,'muddati otgan'!J:J,"Ko'chmas mulk turini tanlahsh")</f>
        <v>0</v>
      </c>
      <c r="V194" s="39">
        <f>+COUNTIFS('muddati otgan'!B:B,A194,'muddati otgan'!AA:AA,"Rad qilish")</f>
        <v>0</v>
      </c>
      <c r="W194" s="39">
        <f>+COUNTIFS('muddati otgan'!B:B,A194,'muddati otgan'!J:J,"ijrochi tanlash")</f>
        <v>0</v>
      </c>
      <c r="X194" s="39">
        <f>+COUNTIFS('muddati otgan'!B:B,A194,'muddati otgan'!J:J,"Ko'chmas mulk turini tanlash")</f>
        <v>0</v>
      </c>
      <c r="Y194" s="39">
        <f t="shared" si="24"/>
        <v>2</v>
      </c>
      <c r="Z194" s="39">
        <f>+COUNTIFS('muddati otgan'!B:B,A194,'muddati otgan'!J:J,"Ijroga qabul qilish")</f>
        <v>0</v>
      </c>
      <c r="AA194" s="39">
        <f>+COUNTIFS('muddati otgan'!B:B,A194,'muddati otgan'!J:J,"Joyida o'rganish va ma'lumotlarni kiritish")</f>
        <v>1</v>
      </c>
      <c r="AB194" s="39">
        <f>+COUNTIFS('muddati otgan'!B:B,A194,'muddati otgan'!J:J,"Asosiy qismdan ajratish jarayonida")</f>
        <v>0</v>
      </c>
      <c r="AC194" s="39">
        <f>+COUNTIFS('muddati otgan'!B:B,A194,'muddati otgan'!J:J,"Umumiy foydalanishdagi obyekt yaratilish")</f>
        <v>0</v>
      </c>
      <c r="AD194" s="39">
        <f>+COUNTIFS('muddati otgan'!B:B,A194,'muddati otgan'!J:J,"Migratsiya qilinadigan kadastr raqamini kiritish")</f>
        <v>0</v>
      </c>
      <c r="AE194" s="39">
        <f>+COUNTIFS('muddati otgan'!B:B,A194,'muddati otgan'!J:J,"O'zida qolgan obyektni yaratish")</f>
        <v>0</v>
      </c>
      <c r="AF194" s="39">
        <f>+COUNTIFS('muddati otgan'!B:B,A194,'muddati otgan'!J:J,"O'lchov natijalarini kiritish")</f>
        <v>1</v>
      </c>
      <c r="AG194" s="39">
        <f>+COUNTIFS('muddati otgan'!B:B,A194,'muddati otgan'!J:J,"Topoxaritani tayyorlash (dwg, pdf)")</f>
        <v>0</v>
      </c>
      <c r="AH194" s="39">
        <f t="shared" si="25"/>
        <v>0</v>
      </c>
      <c r="AI194" s="39">
        <f>+COUNTIFS('muddati otgan'!B:B,A194,'muddati otgan'!J:J,"Yer uchastkasini yaratish")</f>
        <v>0</v>
      </c>
      <c r="AJ194" s="39">
        <f t="shared" si="26"/>
        <v>1</v>
      </c>
      <c r="AK194" s="39">
        <f>+COUNTIFS('muddati otgan'!B:B,A194,'muddati otgan'!J:J,"Kelishish (Boshqarma)")</f>
        <v>1</v>
      </c>
      <c r="AL194" s="39">
        <f t="shared" si="27"/>
        <v>0</v>
      </c>
      <c r="AM194" s="39">
        <f>+COUNTIFS('muddati otgan'!B:B,A194,'muddati otgan'!J:J,"Kelishish (DKP)")</f>
        <v>0</v>
      </c>
      <c r="AN194" s="39">
        <f>+COUNTIFS('muddati otgan'!B:B,A194,'muddati otgan'!J:J,"Kelishish")</f>
        <v>0</v>
      </c>
      <c r="AO194" s="39">
        <f>+COUNTIFS('muddati otgan'!B:B,A194,'muddati otgan'!J:J,"Kelishish (Registratsiya DKP)")</f>
        <v>0</v>
      </c>
      <c r="AP194" s="39">
        <f t="shared" si="28"/>
        <v>0</v>
      </c>
      <c r="AQ194" s="39">
        <f>+COUNTIFS('muddati otgan'!B:B,A194,'muddati otgan'!J:J,"Manzil biriktirish")</f>
        <v>0</v>
      </c>
      <c r="AR194" s="39">
        <f>+COUNTIFS('muddati otgan'!B:B,A194,'muddati otgan'!J:J,"Bino va inshootlarni yaratish")</f>
        <v>0</v>
      </c>
      <c r="AS194" s="39">
        <f>+COUNTIFS('muddati otgan'!B:B,A194,'muddati otgan'!J:J,"Dov daraxtlarni yaratish")</f>
        <v>0</v>
      </c>
      <c r="AT194" s="39">
        <f>+COUNTIFS('muddati otgan'!B:B,A194,'muddati otgan'!J:J,"Yer uchastkasini tahrirlash")</f>
        <v>0</v>
      </c>
      <c r="AU194" s="39">
        <f t="shared" si="29"/>
        <v>0</v>
      </c>
      <c r="AV194" s="39">
        <f>+COUNTIFS('muddati otgan'!B:B,A194,'muddati otgan'!J:J,"Yer toifasi va maqsadini kiritish")</f>
        <v>0</v>
      </c>
      <c r="AW194" s="39">
        <f>+COUNTIFS('muddati otgan'!B:B,A194,'muddati otgan'!J:J,"Auksion yer tekshirish")</f>
        <v>0</v>
      </c>
      <c r="AX194" s="39">
        <f>+COUNTIFS('muddati otgan'!B:B,A194,'muddati otgan'!J:J,"Yer turlarini kiritish")</f>
        <v>0</v>
      </c>
      <c r="AY194" s="39">
        <f>+COUNTIFS('muddati otgan'!B:B,A194,'muddati otgan'!J:J,"Ma'lumotlarni kiritish")</f>
        <v>0</v>
      </c>
      <c r="AZ194" s="39">
        <f>+COUNTIFS('muddati otgan'!B:B,A194,'muddati otgan'!J:J,"Yer tekshirish")</f>
        <v>0</v>
      </c>
      <c r="BA194" s="39">
        <f t="shared" si="30"/>
        <v>0</v>
      </c>
      <c r="BB194" s="39">
        <f>+COUNTIFS('muddati otgan'!B:B,A194,'muddati otgan'!J:J,"Bino va inshoot ma'lumotlarini to‘ldirish")</f>
        <v>0</v>
      </c>
      <c r="BC194" s="39">
        <f>+COUNTIFS('muddati otgan'!B:B,A194,'muddati otgan'!J:J,"Inventarizatsiya ma'lumotlarini to‘ldirish")</f>
        <v>0</v>
      </c>
      <c r="BD194" s="39">
        <f>+COUNTIFS('muddati otgan'!B:B,A194,'muddati otgan'!J:J,"Yer uchastkasiga huquqiy hujjatlarni kiritsh")</f>
        <v>0</v>
      </c>
      <c r="BE194" s="39">
        <f>+COUNTIFS('muddati otgan'!B:B,A194,'muddati otgan'!J:J,"Bino-inshootlarga huquqiy hujjatlarni kiritsh")</f>
        <v>0</v>
      </c>
      <c r="BF194" s="39">
        <f>+COUNTIFS('muddati otgan'!B:B,A194,'muddati otgan'!J:J,"Kadastr qiymatini hisoblash va kiritish")</f>
        <v>0</v>
      </c>
      <c r="BG194" s="39">
        <f>+COUNTIFS('muddati otgan'!B:B,A194,'muddati otgan'!J:J,"Kadastr raqam biriktirish")</f>
        <v>0</v>
      </c>
      <c r="BH194" s="39">
        <f>+COUNTIFS('muddati otgan'!B:B,A194,'muddati otgan'!J:J,"Kadastr yig'ma jildni tayyorlash")</f>
        <v>0</v>
      </c>
      <c r="BI194" s="39">
        <f>+COUNTIFS('muddati otgan'!B:B,A194,'muddati otgan'!J:J,"Huquqni yaratish")</f>
        <v>0</v>
      </c>
      <c r="BJ194" s="39">
        <f>+COUNTIFS('muddati otgan'!B:B,A194,'muddati otgan'!J:J,"Hujjatlarni o'rganish")</f>
        <v>0</v>
      </c>
      <c r="BK194" s="39">
        <f>+COUNTIFS('muddati otgan'!B:B,A194,'muddati otgan'!J:J,"Ma'lumotlarni tekshirish")</f>
        <v>0</v>
      </c>
      <c r="BL194" s="39">
        <f t="shared" si="31"/>
        <v>0</v>
      </c>
      <c r="BM194" s="39">
        <f>+COUNTIFS('muddati otgan'!B:B,A194,'muddati otgan'!J:J,"Tekshirish")</f>
        <v>0</v>
      </c>
      <c r="BN194" s="39">
        <f>+COUNTIFS('muddati otgan'!B:B,A194,'muddati otgan'!J:J,"Hujjatlarni tekshirish")</f>
        <v>0</v>
      </c>
      <c r="BO194" s="39"/>
      <c r="BP194" s="39">
        <f>+COUNTIFS('muddati otgan'!B:B,A194,'muddati otgan'!J:J,"tekshirish/tasdiqlash")</f>
        <v>0</v>
      </c>
      <c r="BQ194" s="39">
        <f>+COUNTIFS('muddati otgan'!B:B,A194,'muddati otgan'!J:J,"Ma'lumotlarni tasdiqlash")</f>
        <v>0</v>
      </c>
      <c r="BR194" s="39">
        <f t="shared" si="32"/>
        <v>1</v>
      </c>
      <c r="BS194" s="39">
        <f>+COUNTIFS('muddati otgan'!B:B,A194,'muddati otgan'!J:J,"Ro'yxatdan o'tkazish ma'lumotlarini tekshirish")</f>
        <v>1</v>
      </c>
      <c r="BT194" s="39">
        <f>+COUNTIFS('muddati otgan'!B:B,A194,'muddati otgan'!J:J,"Kamchiliklar bo'yicha habarnoma yuborish va 3 kunga to'xtatish")</f>
        <v>0</v>
      </c>
      <c r="BU194" s="39">
        <f>+COUNTIFS('muddati otgan'!B:B,A194,'muddati otgan'!J:J,"Hisobga olish")</f>
        <v>0</v>
      </c>
      <c r="BV194" s="39">
        <f>+COUNTIFS('muddati otgan'!B:B,A194,'muddati otgan'!J:J,"Yer uchastkasiga huquq yaratish")</f>
        <v>0</v>
      </c>
      <c r="BW194" s="39">
        <f>+COUNTIFS('muddati otgan'!B:B,A194,'muddati otgan'!J:J,"Bino-inshootga huquq yaratish")</f>
        <v>0</v>
      </c>
      <c r="BX194" s="39">
        <f>+COUNTIFS('muddati otgan'!B:B,A194,'muddati otgan'!J:J,"Cheklov yaratish")</f>
        <v>0</v>
      </c>
      <c r="BY194" s="39">
        <f>+COUNTIFS('muddati otgan'!B:B,A194,'muddati otgan'!J:J,"Taqiq yaratish")</f>
        <v>0</v>
      </c>
      <c r="BZ194" s="39">
        <f t="shared" si="33"/>
        <v>0</v>
      </c>
      <c r="CA194" s="39">
        <f>+COUNTIFS('muddati otgan'!B:B,A194,'muddati otgan'!J:J,"Soliq maydonini tekshirish")</f>
        <v>0</v>
      </c>
      <c r="CB194" s="39">
        <f t="shared" si="34"/>
        <v>1</v>
      </c>
      <c r="CC194" s="39">
        <f>+COUNTIFS('muddati otgan'!B:B,A194,'muddati otgan'!J:J,"Kadastr yig'majildini shakllantirish")</f>
        <v>1</v>
      </c>
      <c r="CD194" s="39">
        <f t="shared" si="35"/>
        <v>2</v>
      </c>
      <c r="CE194" s="39">
        <f>+COUNTIFS('muddati otgan'!B:B,A194,'muddati otgan'!J:J,"Kadastr passportini shakllantirish")</f>
        <v>0</v>
      </c>
      <c r="CF194" s="39">
        <f>+COUNTIFS('muddati otgan'!B:B,A194,'muddati otgan'!J:J,"Yig'ma jildni tasdiqlash")</f>
        <v>0</v>
      </c>
      <c r="CG194" s="39">
        <f>+COUNTIFS('muddati otgan'!B:B,A194,'muddati otgan'!J:J,"To'lov yoki bepul tasdiqlash")</f>
        <v>0</v>
      </c>
      <c r="CH194" s="39">
        <f>+COUNTIFS('muddati otgan'!B:B,A194,'muddati otgan'!J:J,"Bog'liq arizani kutish")</f>
        <v>2</v>
      </c>
      <c r="CI194" s="39">
        <f>+COUNTIFS('muddati otgan'!B:B,A194,'muddati otgan'!J:J,"To'lovga chiqarish")</f>
        <v>0</v>
      </c>
      <c r="CJ194" s="39">
        <f>+COUNTIFS('muddati otgan'!B:B,A194,'muddati otgan'!J:J,"Hisobga qo'yish")</f>
        <v>0</v>
      </c>
      <c r="CK194" s="67">
        <f>+COUNTIFS('muddati otgan'!B:B,A194,'muddati otgan'!J:J,"To'lov kutilmoqda")</f>
        <v>0</v>
      </c>
      <c r="CL194" s="124">
        <f t="shared" si="36"/>
        <v>0</v>
      </c>
      <c r="CM194" s="124">
        <f>+COUNTIFS('muddati otgan'!B:B,A194,'muddati otgan'!AA:AA,"Arizani qabul qilish2")</f>
        <v>0</v>
      </c>
      <c r="CN194" s="124">
        <f>+COUNTIFS('muddati otgan'!B:B,A194,'muddati otgan'!J:J,"Huquqlarni tekshirish")</f>
        <v>0</v>
      </c>
      <c r="CO194" s="124">
        <f>+COUNTIFS('muddati otgan'!B:B,A194,'muddati otgan'!J:J,"Ko'chmas mulkni ro'yhatdan o'tkazishga qabul qilish")</f>
        <v>0</v>
      </c>
      <c r="CP194" s="124">
        <f>+COUNTIFS('muddati otgan'!B:B,A194,'muddati otgan'!J:J,"Ro'yxatdan o'tkazish")</f>
        <v>0</v>
      </c>
      <c r="CQ194" s="124">
        <f>+COUNTIFS('muddati otgan'!B:B,A194,'muddati otgan'!J:J,"Kadastr pasporti va ko'chirmani yuborish")</f>
        <v>0</v>
      </c>
      <c r="CR194" s="124">
        <f>+COUNTIFS('muddati otgan'!B:B,A194,'muddati otgan'!AA:AA,"Rad qilish2")</f>
        <v>0</v>
      </c>
      <c r="CS194" s="124">
        <f>+COUNTIFS('muddati otgan'!B:B,A194,'muddati otgan'!J:J,"Ko'chirmani yuborish")</f>
        <v>0</v>
      </c>
      <c r="CT194" s="124">
        <f>+COUNTIFS('muddati otgan'!B:B,A194,'muddati otgan'!J:J,"Ma‘lumotlarni tekshirish")</f>
        <v>0</v>
      </c>
      <c r="CU194" s="124">
        <f t="shared" si="37"/>
        <v>0</v>
      </c>
      <c r="CV194" s="124">
        <f>+COUNTIFS('muddati otgan'!B:B,A194,'muddati otgan'!J:J,"Kadastr yig'majildini chop etish va arxiv ishiga tikish")</f>
        <v>0</v>
      </c>
      <c r="CW194" s="124">
        <f t="shared" si="38"/>
        <v>0</v>
      </c>
      <c r="CX194" s="39">
        <f>+COUNTIFS('muddati otgan'!B:B,A194,'muddati otgan'!J:J,"Kadastr yig‘majildini qabul qilish, arizani yakunlash")</f>
        <v>0</v>
      </c>
      <c r="CY194" s="39">
        <f>+COUNTIFS('muddati otgan'!B:B,A194,'muddati otgan'!J:J,"Next Cloudga yuklash")</f>
        <v>0</v>
      </c>
      <c r="CZ194" s="67">
        <f>+COUNTIFS('muddati otgan'!B:B,A194,'muddati otgan'!J:J,"Kelishish kutilmoqda")</f>
        <v>0</v>
      </c>
      <c r="DA194" s="67">
        <f>+COUNTIFS('muddati otgan'!B:B,A194,'muddati otgan'!J:J,"Yakunlandi")</f>
        <v>0</v>
      </c>
      <c r="DB194" s="37">
        <f>+COUNTIFS('muddati otgan'!B:B,A194,'muddati otgan'!J:J,"Rad etildi")</f>
        <v>0</v>
      </c>
      <c r="DC194" s="99">
        <f t="shared" si="5"/>
        <v>-7</v>
      </c>
      <c r="DD194" s="43">
        <f>COUNTIFS('jami 1-20 kunlik arizalar'!B:B,A:A,'jami 1-20 kunlik arizalar'!S:S,"1")</f>
        <v>0</v>
      </c>
      <c r="DE194" s="39">
        <f>COUNTIFS('jami 1-20 kunlik arizalar'!B:B,A:A,'jami 1-20 kunlik arizalar'!S:S,"2")</f>
        <v>0</v>
      </c>
      <c r="DF194" s="39">
        <f>COUNTIFS('jami 1-20 kunlik arizalar'!B:B,A:A,'jami 1-20 kunlik arizalar'!S:S,"3")</f>
        <v>8</v>
      </c>
      <c r="DG194" s="39">
        <f>COUNTIFS('jami 1-20 kunlik arizalar'!B:B,A:A,'jami 1-20 kunlik arizalar'!S:S,"4")</f>
        <v>9</v>
      </c>
      <c r="DH194" s="39">
        <f>COUNTIFS('jami 1-20 kunlik arizalar'!B:B,A:A,'jami 1-20 kunlik arizalar'!S:S,"5")</f>
        <v>9</v>
      </c>
      <c r="DI194" s="39">
        <f>SUM(COUNTIFS('jami 1-20 kunlik arizalar'!B:B,A:A, 'jami 1-20 kunlik arizalar'!S:S, {6,7,8,9,10}))</f>
        <v>27</v>
      </c>
      <c r="DJ194" s="40">
        <f>SUMPRODUCT(('jami 1-20 kunlik arizalar'!B:B=A194)*('jami 1-20 kunlik arizalar'!S:S&gt;10))</f>
        <v>42</v>
      </c>
      <c r="DK194" s="34"/>
    </row>
    <row r="195" spans="1:115" ht="45" hidden="1" customHeight="1" outlineLevel="1" x14ac:dyDescent="0.25">
      <c r="A195" s="92" t="s">
        <v>451</v>
      </c>
      <c r="B195" s="74"/>
      <c r="C195" s="85" t="s">
        <v>887</v>
      </c>
      <c r="D195" s="80">
        <f>+COUNTIFS('muddati otgan'!C:C,A195,'muddati otgan'!C:C,A195)</f>
        <v>1</v>
      </c>
      <c r="E195" s="10">
        <f>SUMIFS('muddati otgan'!$V:V,'muddati otgan'!$C:C,$A:A)</f>
        <v>0</v>
      </c>
      <c r="F195" s="10">
        <f>SUMIFS('muddati otgan'!$W:W,'muddati otgan'!$C:C,$A:A)</f>
        <v>0</v>
      </c>
      <c r="G195" s="24">
        <f>SUMIFS('muddati otgan'!$U:U,'muddati otgan'!$C:C,$A:A)</f>
        <v>1</v>
      </c>
      <c r="H195" s="11">
        <f>SUMIFS('muddati otgan'!$G:G,'muddati otgan'!$C:C,$A:A)</f>
        <v>0</v>
      </c>
      <c r="I195" s="12">
        <f>SUMIFS('muddati otgan'!$H:H,'muddati otgan'!$C:C,$A:A)</f>
        <v>1</v>
      </c>
      <c r="J195" s="44">
        <f t="shared" si="23"/>
        <v>0</v>
      </c>
      <c r="K195" s="11">
        <f>+COUNTIFS('muddati otgan'!C:C,A195,'muddati otgan'!AA:AA,"Arizani qabul qilish")</f>
        <v>0</v>
      </c>
      <c r="L195" s="11">
        <f>+COUNTIFS('muddati otgan'!C:C,A195,'muddati otgan'!J:J,"Arizani rad etish")</f>
        <v>0</v>
      </c>
      <c r="M195" s="11">
        <f>+COUNTIFS('muddati otgan'!C:C,A195,'muddati otgan'!J:J,"Arizani tasdiqlash")</f>
        <v>0</v>
      </c>
      <c r="N195" s="11">
        <f>+COUNTIFS('muddati otgan'!C:C,A195,'muddati otgan'!J:J,"Arizani yo'naltirish")</f>
        <v>0</v>
      </c>
      <c r="O195" s="11">
        <f>+COUNTIFS('muddati otgan'!C:C,A195,'muddati otgan'!J:J,"Rad qilish sababini o'rganish")</f>
        <v>0</v>
      </c>
      <c r="P195" s="11">
        <f>+COUNTIFS('muddati otgan'!C:C,A195,'muddati otgan'!J:J,"Ko'chmas mulkni UZKAD ga migratsiya qilish")</f>
        <v>0</v>
      </c>
      <c r="Q195" s="11">
        <f>+COUNTIFS('muddati otgan'!C:C,A195,'muddati otgan'!J:J,"Migratisya qilingan obyekt holatini tekshirish")</f>
        <v>0</v>
      </c>
      <c r="R195" s="11">
        <f>+COUNTIFS('muddati otgan'!C:C,A195,'muddati otgan'!J:J,"Ko‘chmas mulkni tanlash")</f>
        <v>0</v>
      </c>
      <c r="S195" s="11">
        <f>+COUNTIFS('muddati otgan'!C:C,A195,'muddati otgan'!J:J,"Arizani ko'rib chiqish")</f>
        <v>0</v>
      </c>
      <c r="T195" s="11">
        <f>+COUNTIFS('muddati otgan'!C:C,A195,'muddati otgan'!J:J,"Kadastr muhandisini tanlash")</f>
        <v>0</v>
      </c>
      <c r="U195" s="11">
        <f>+COUNTIFS('muddati otgan'!C:C,A195,'muddati otgan'!J:J,"Ko'chmas mulk turini tanlahsh")</f>
        <v>0</v>
      </c>
      <c r="V195" s="11">
        <f>+COUNTIFS('muddati otgan'!C:C,A195,'muddati otgan'!AA:AA,"Rad qilish")</f>
        <v>0</v>
      </c>
      <c r="W195" s="11">
        <f>+COUNTIFS('muddati otgan'!C:C,A195,'muddati otgan'!J:J,"ijrochi tanlash")</f>
        <v>0</v>
      </c>
      <c r="X195" s="11">
        <f>+COUNTIFS('muddati otgan'!C:C,A195,'muddati otgan'!J:J,"Ko'chmas mulk turini tanlash")</f>
        <v>0</v>
      </c>
      <c r="Y195" s="11">
        <f t="shared" si="24"/>
        <v>0</v>
      </c>
      <c r="Z195" s="11">
        <f>+COUNTIFS('muddati otgan'!C:C,A195,'muddati otgan'!J:J,"Ijroga qabul qilish")</f>
        <v>0</v>
      </c>
      <c r="AA195" s="11">
        <f>+COUNTIFS('muddati otgan'!C:C,A195,'muddati otgan'!J:J,"Joyida o'rganish va ma'lumotlarni kiritish")</f>
        <v>0</v>
      </c>
      <c r="AB195" s="11">
        <f>+COUNTIFS('muddati otgan'!C:C,A195,'muddati otgan'!J:J,"Asosiy qismdan ajratish jarayonida")</f>
        <v>0</v>
      </c>
      <c r="AC195" s="11">
        <f>+COUNTIFS('muddati otgan'!C:C,A195,'muddati otgan'!J:J,"Umumiy foydalanishdagi obyekt yaratilish")</f>
        <v>0</v>
      </c>
      <c r="AD195" s="11">
        <f>+COUNTIFS('muddati otgan'!C:C,A195,'muddati otgan'!J:J,"Migratsiya qilinadigan kadastr raqamini kiritish")</f>
        <v>0</v>
      </c>
      <c r="AE195" s="11">
        <f>+COUNTIFS('muddati otgan'!C:C,A195,'muddati otgan'!J:J,"O'zida qolgan obyektni yaratish")</f>
        <v>0</v>
      </c>
      <c r="AF195" s="11">
        <f>+COUNTIFS('muddati otgan'!C:C,A195,'muddati otgan'!J:J,"O'lchov natijalarini kiritish")</f>
        <v>0</v>
      </c>
      <c r="AG195" s="11">
        <f>+COUNTIFS('muddati otgan'!C:C,A195,'muddati otgan'!J:J,"Topoxaritani tayyorlash (dwg, pdf)")</f>
        <v>0</v>
      </c>
      <c r="AH195" s="11">
        <f t="shared" si="25"/>
        <v>0</v>
      </c>
      <c r="AI195" s="11">
        <f>+COUNTIFS('muddati otgan'!C:C,A195,'muddati otgan'!J:J,"Yer uchastkasini yaratish")</f>
        <v>0</v>
      </c>
      <c r="AJ195" s="11">
        <f t="shared" si="26"/>
        <v>0</v>
      </c>
      <c r="AK195" s="11">
        <f>+COUNTIFS('muddati otgan'!C:C,A195,'muddati otgan'!J:J,"Kelishish (Boshqarma)")</f>
        <v>0</v>
      </c>
      <c r="AL195" s="11">
        <f t="shared" si="27"/>
        <v>0</v>
      </c>
      <c r="AM195" s="11">
        <f>+COUNTIFS('muddati otgan'!C:C,A195,'muddati otgan'!J:J,"Kelishish (DKP)")</f>
        <v>0</v>
      </c>
      <c r="AN195" s="11">
        <f>+COUNTIFS('muddati otgan'!C:C,A195,'muddati otgan'!J:J,"Kelishish")</f>
        <v>0</v>
      </c>
      <c r="AO195" s="11">
        <f>+COUNTIFS('muddati otgan'!C:C,A195,'muddati otgan'!J:J,"Kelishish (Registratsiya DKP)")</f>
        <v>0</v>
      </c>
      <c r="AP195" s="11">
        <f t="shared" si="28"/>
        <v>0</v>
      </c>
      <c r="AQ195" s="11">
        <f>+COUNTIFS('muddati otgan'!C:C,A195,'muddati otgan'!J:J,"Manzil biriktirish")</f>
        <v>0</v>
      </c>
      <c r="AR195" s="11">
        <f>+COUNTIFS('muddati otgan'!C:C,A195,'muddati otgan'!J:J,"Bino va inshootlarni yaratish")</f>
        <v>0</v>
      </c>
      <c r="AS195" s="11">
        <f>+COUNTIFS('muddati otgan'!C:C,A195,'muddati otgan'!J:J,"Dov daraxtlarni yaratish")</f>
        <v>0</v>
      </c>
      <c r="AT195" s="11">
        <f>+COUNTIFS('muddati otgan'!C:C,A195,'muddati otgan'!J:J,"Yer uchastkasini tahrirlash")</f>
        <v>0</v>
      </c>
      <c r="AU195" s="11">
        <f t="shared" si="29"/>
        <v>0</v>
      </c>
      <c r="AV195" s="11">
        <f>+COUNTIFS('muddati otgan'!C:C,A195,'muddati otgan'!J:J,"Yer toifasi va maqsadini kiritish")</f>
        <v>0</v>
      </c>
      <c r="AW195" s="11">
        <f>+COUNTIFS('muddati otgan'!C:C,A195,'muddati otgan'!J:J,"Auksion yer tekshirish")</f>
        <v>0</v>
      </c>
      <c r="AX195" s="11">
        <f>+COUNTIFS('muddati otgan'!C:C,A195,'muddati otgan'!J:J,"Yer turlarini kiritish")</f>
        <v>0</v>
      </c>
      <c r="AY195" s="11">
        <f>+COUNTIFS('muddati otgan'!C:C,A195,'muddati otgan'!J:J,"Ma'lumotlarni kiritish")</f>
        <v>0</v>
      </c>
      <c r="AZ195" s="11">
        <f>+COUNTIFS('muddati otgan'!C:C,A195,'muddati otgan'!J:J,"Yer tekshirish")</f>
        <v>0</v>
      </c>
      <c r="BA195" s="11">
        <f t="shared" si="30"/>
        <v>0</v>
      </c>
      <c r="BB195" s="11">
        <f>+COUNTIFS('muddati otgan'!C:C,A195,'muddati otgan'!J:J,"Bino va inshoot ma'lumotlarini to‘ldirish")</f>
        <v>0</v>
      </c>
      <c r="BC195" s="11">
        <f>+COUNTIFS('muddati otgan'!C:C,A195,'muddati otgan'!J:J,"Inventarizatsiya ma'lumotlarini to‘ldirish")</f>
        <v>0</v>
      </c>
      <c r="BD195" s="11">
        <f>+COUNTIFS('muddati otgan'!C:C,A195,'muddati otgan'!J:J,"Yer uchastkasiga huquqiy hujjatlarni kiritsh")</f>
        <v>0</v>
      </c>
      <c r="BE195" s="11">
        <f>+COUNTIFS('muddati otgan'!C:C,A195,'muddati otgan'!J:J,"Bino-inshootlarga huquqiy hujjatlarni kiritsh")</f>
        <v>0</v>
      </c>
      <c r="BF195" s="11">
        <f>+COUNTIFS('muddati otgan'!C:C,A195,'muddati otgan'!J:J,"Kadastr qiymatini hisoblash va kiritish")</f>
        <v>0</v>
      </c>
      <c r="BG195" s="11">
        <f>+COUNTIFS('muddati otgan'!C:C,A195,'muddati otgan'!J:J,"Kadastr raqam biriktirish")</f>
        <v>0</v>
      </c>
      <c r="BH195" s="11">
        <f>+COUNTIFS('muddati otgan'!C:C,A195,'muddati otgan'!J:J,"Kadastr yig'ma jildni tayyorlash")</f>
        <v>0</v>
      </c>
      <c r="BI195" s="11">
        <f>+COUNTIFS('muddati otgan'!C:C,A195,'muddati otgan'!J:J,"Huquqni yaratish")</f>
        <v>0</v>
      </c>
      <c r="BJ195" s="11">
        <f>+COUNTIFS('muddati otgan'!C:C,A195,'muddati otgan'!J:J,"Hujjatlarni o'rganish")</f>
        <v>0</v>
      </c>
      <c r="BK195" s="11">
        <f>+COUNTIFS('muddati otgan'!C:C,A195,'muddati otgan'!J:J,"Ma'lumotlarni tekshirish")</f>
        <v>0</v>
      </c>
      <c r="BL195" s="11">
        <f t="shared" si="31"/>
        <v>0</v>
      </c>
      <c r="BM195" s="11">
        <f>+COUNTIFS('muddati otgan'!C:C,A195,'muddati otgan'!J:J,"Tekshirish")</f>
        <v>0</v>
      </c>
      <c r="BN195" s="11">
        <f>+COUNTIFS('muddati otgan'!C:C,A195,'muddati otgan'!J:J,"Hujjatlarni tekshirish")</f>
        <v>0</v>
      </c>
      <c r="BO195" s="11">
        <f>+COUNTIFS('muddati otgan'!C:C,A195,'muddati otgan'!J:J,"Tasdiqlash")</f>
        <v>0</v>
      </c>
      <c r="BP195" s="11">
        <f>+COUNTIFS('muddati otgan'!C:C,A195,'muddati otgan'!J:J,"tekshirish/tasdiqlash")</f>
        <v>0</v>
      </c>
      <c r="BQ195" s="11">
        <f>+COUNTIFS('muddati otgan'!C:C,A195,'muddati otgan'!J:J,"Ma'lumotlarni tasdiqlash")</f>
        <v>0</v>
      </c>
      <c r="BR195" s="11">
        <f t="shared" si="32"/>
        <v>0</v>
      </c>
      <c r="BS195" s="11">
        <f>+COUNTIFS('muddati otgan'!C:C,A195,'muddati otgan'!J:J,"Ro'yxatdan o'tkazish ma'lumotlarini tekshirish")</f>
        <v>0</v>
      </c>
      <c r="BT195" s="11">
        <f>+COUNTIFS('muddati otgan'!C:C,A195,'muddati otgan'!J:J,"Kamchiliklar bo'yicha habarnoma yuborish va 3 kunga to'xtatish")</f>
        <v>0</v>
      </c>
      <c r="BU195" s="11">
        <f>+COUNTIFS('muddati otgan'!C:C,A195,'muddati otgan'!J:J,"Hisobga olish")</f>
        <v>0</v>
      </c>
      <c r="BV195" s="11">
        <f>+COUNTIFS('muddati otgan'!C:C,A195,'muddati otgan'!J:J,"Yer uchastkasiga huquq yaratish")</f>
        <v>0</v>
      </c>
      <c r="BW195" s="11">
        <f>+COUNTIFS('muddati otgan'!C:C,A195,'muddati otgan'!J:J,"Bino-inshootga huquq yaratish")</f>
        <v>0</v>
      </c>
      <c r="BX195" s="11">
        <f>+COUNTIFS('muddati otgan'!C:C,A195,'muddati otgan'!J:J,"Cheklov yaratish")</f>
        <v>0</v>
      </c>
      <c r="BY195" s="11">
        <f>+COUNTIFS('muddati otgan'!C:C,A195,'muddati otgan'!J:J,"Taqiq yaratish")</f>
        <v>0</v>
      </c>
      <c r="BZ195" s="11">
        <f t="shared" si="33"/>
        <v>0</v>
      </c>
      <c r="CA195" s="11">
        <f>+COUNTIFS('muddati otgan'!C:C,A195,'muddati otgan'!J:J,"Soliq maydonini tekshirish")</f>
        <v>0</v>
      </c>
      <c r="CB195" s="11">
        <f t="shared" si="34"/>
        <v>1</v>
      </c>
      <c r="CC195" s="11">
        <f>+COUNTIFS('muddati otgan'!C:C,A195,'muddati otgan'!J:J,"Kadastr yig'majildini shakllantirish")</f>
        <v>1</v>
      </c>
      <c r="CD195" s="11">
        <f t="shared" si="35"/>
        <v>0</v>
      </c>
      <c r="CE195" s="11">
        <f>+COUNTIFS('muddati otgan'!C:C,A195,'muddati otgan'!J:J,"Kadastr passportini shakllantirish")</f>
        <v>0</v>
      </c>
      <c r="CF195" s="11">
        <f>+COUNTIFS('muddati otgan'!C:C,A195,'muddati otgan'!J:J,"Yig'ma jildni tasdiqlash")</f>
        <v>0</v>
      </c>
      <c r="CG195" s="11">
        <f>+COUNTIFS('muddati otgan'!C:C,A195,'muddati otgan'!J:J,"To'lov yoki bepul tasdiqlash")</f>
        <v>0</v>
      </c>
      <c r="CH195" s="11">
        <f>+COUNTIFS('muddati otgan'!C:C,A195,'muddati otgan'!J:J,"Bog'liq arizani kutish")</f>
        <v>0</v>
      </c>
      <c r="CI195" s="11">
        <f>+COUNTIFS('muddati otgan'!C:C,A195,'muddati otgan'!J:J,"To'lovga chiqarish")</f>
        <v>0</v>
      </c>
      <c r="CJ195" s="11">
        <f>+COUNTIFS('muddati otgan'!C:C,A195,'muddati otgan'!J:J,"Hisobga qo'yish")</f>
        <v>0</v>
      </c>
      <c r="CK195" s="6">
        <f>+COUNTIFS('muddati otgan'!C:C,A195,'muddati otgan'!J:J,"To'lov kutilmoqda")</f>
        <v>0</v>
      </c>
      <c r="CL195" s="125">
        <f t="shared" si="36"/>
        <v>0</v>
      </c>
      <c r="CM195" s="125">
        <f>+COUNTIFS('muddati otgan'!C:C,A195,'muddati otgan'!AA:AA,"Arizani qabul qilish2")</f>
        <v>0</v>
      </c>
      <c r="CN195" s="125">
        <f>+COUNTIFS('muddati otgan'!C:C,A195,'muddati otgan'!J:J,"Huquqlarni tekshirish")</f>
        <v>0</v>
      </c>
      <c r="CO195" s="125">
        <f>+COUNTIFS('muddati otgan'!C:C,A195,'muddati otgan'!J:J,"Ko'chmas mulkni ro'yhatdan o'tkazishga qabul qilish")</f>
        <v>0</v>
      </c>
      <c r="CP195" s="125">
        <f>+COUNTIFS('muddati otgan'!C:C,A195,'muddati otgan'!J:J,"Ro'yxatdan o'tkazish")</f>
        <v>0</v>
      </c>
      <c r="CQ195" s="125">
        <f>+COUNTIFS('muddati otgan'!C:C,A195,'muddati otgan'!J:J,"Kadastr pasporti va ko'chirmani yuborish")</f>
        <v>0</v>
      </c>
      <c r="CR195" s="125">
        <f>+COUNTIFS('muddati otgan'!C:C,A195,'muddati otgan'!AA:AA,"Rad qilish2")</f>
        <v>0</v>
      </c>
      <c r="CS195" s="125">
        <f>+COUNTIFS('muddati otgan'!C:C,A195,'muddati otgan'!J:J,"Ko'chirmani yuborish")</f>
        <v>0</v>
      </c>
      <c r="CT195" s="125">
        <f>+COUNTIFS('muddati otgan'!C:C,A195,'muddati otgan'!J:J,"Ma‘lumotlarni tekshirish")</f>
        <v>0</v>
      </c>
      <c r="CU195" s="125">
        <f t="shared" si="37"/>
        <v>0</v>
      </c>
      <c r="CV195" s="125">
        <f>+COUNTIFS('muddati otgan'!C:C,A195,'muddati otgan'!J:J,"Kadastr yig'majildini chop etish va arxiv ishiga tikish")</f>
        <v>0</v>
      </c>
      <c r="CW195" s="125">
        <f t="shared" si="38"/>
        <v>0</v>
      </c>
      <c r="CX195" s="11">
        <f>+COUNTIFS('muddati otgan'!C:C,A195,'muddati otgan'!J:J,"Kadastr yig‘majildini qabul qilish, arizani yakunlash")</f>
        <v>0</v>
      </c>
      <c r="CY195" s="11">
        <f>+COUNTIFS('muddati otgan'!C:C,A195,'muddati otgan'!J:J,"Next Cloudga yuklash")</f>
        <v>0</v>
      </c>
      <c r="CZ195" s="6">
        <f>+COUNTIFS('muddati otgan'!C:C,A195,'muddati otgan'!J:J,"Kelishish kutilmoqda")</f>
        <v>0</v>
      </c>
      <c r="DA195" s="6">
        <f>+COUNTIFS('muddati otgan'!C:C,A195,'muddati otgan'!J:J,"Yakunlandi")</f>
        <v>0</v>
      </c>
      <c r="DB195" s="10">
        <f>+COUNTIFS('muddati otgan'!C:C,A195,'muddati otgan'!J:J,"Rad etildi")</f>
        <v>0</v>
      </c>
      <c r="DC195" s="100">
        <f t="shared" si="5"/>
        <v>-1</v>
      </c>
      <c r="DD195" s="44">
        <f>COUNTIFS('jami 1-20 kunlik arizalar'!C:C,A:A,'jami 1-20 kunlik arizalar'!S:S,"1")</f>
        <v>0</v>
      </c>
      <c r="DE195" s="11">
        <f>COUNTIFS('jami 1-20 kunlik arizalar'!C:C,A:A,'jami 1-20 kunlik arizalar'!S:S,"2")</f>
        <v>0</v>
      </c>
      <c r="DF195" s="11">
        <f>COUNTIFS('jami 1-20 kunlik arizalar'!C:C,A:A,'jami 1-20 kunlik arizalar'!S:S,"3")</f>
        <v>0</v>
      </c>
      <c r="DG195" s="11">
        <f>COUNTIFS('jami 1-20 kunlik arizalar'!C:C,A:A,'jami 1-20 kunlik arizalar'!S:S,"4")</f>
        <v>0</v>
      </c>
      <c r="DH195" s="11">
        <f>COUNTIFS('jami 1-20 kunlik arizalar'!C:C,A:A,'jami 1-20 kunlik arizalar'!S:S,"5")</f>
        <v>1</v>
      </c>
      <c r="DI195" s="11">
        <f>SUM(COUNTIFS('jami 1-20 kunlik arizalar'!C:C,A:A, 'jami 1-20 kunlik arizalar'!S:S, {6,7,8,9,10}))</f>
        <v>6</v>
      </c>
      <c r="DJ195" s="12">
        <f>SUM(COUNTIFS('jami 1-20 kunlik arizalar'!C:C,A:A, 'jami 1-20 kunlik arizalar'!S:S, "&gt;10"))</f>
        <v>6</v>
      </c>
    </row>
    <row r="196" spans="1:115" ht="45" hidden="1" customHeight="1" outlineLevel="1" x14ac:dyDescent="0.25">
      <c r="A196" s="92" t="s">
        <v>934</v>
      </c>
      <c r="B196" s="74"/>
      <c r="C196" s="85" t="s">
        <v>935</v>
      </c>
      <c r="D196" s="80">
        <f>+COUNTIFS('muddati otgan'!C:C,A196,'muddati otgan'!C:C,A196)</f>
        <v>0</v>
      </c>
      <c r="E196" s="10">
        <f>SUMIFS('muddati otgan'!$V:V,'muddati otgan'!$C:C,$A:A)</f>
        <v>0</v>
      </c>
      <c r="F196" s="10">
        <f>SUMIFS('muddati otgan'!$W:W,'muddati otgan'!$C:C,$A:A)</f>
        <v>0</v>
      </c>
      <c r="G196" s="24">
        <f>SUMIFS('muddati otgan'!$U:U,'muddati otgan'!$C:C,$A:A)</f>
        <v>0</v>
      </c>
      <c r="H196" s="11">
        <f>SUMIFS('muddati otgan'!$G:G,'muddati otgan'!$C:C,$A:A)</f>
        <v>0</v>
      </c>
      <c r="I196" s="12">
        <f>SUMIFS('muddati otgan'!$H:H,'muddati otgan'!$C:C,$A:A)</f>
        <v>0</v>
      </c>
      <c r="J196" s="44">
        <f t="shared" si="23"/>
        <v>0</v>
      </c>
      <c r="K196" s="11">
        <f>+COUNTIFS('muddati otgan'!C:C,A196,'muddati otgan'!AA:AA,"Arizani qabul qilish")</f>
        <v>0</v>
      </c>
      <c r="L196" s="11">
        <f>+COUNTIFS('muddati otgan'!C:C,A196,'muddati otgan'!J:J,"Arizani rad etish")</f>
        <v>0</v>
      </c>
      <c r="M196" s="11">
        <f>+COUNTIFS('muddati otgan'!C:C,A196,'muddati otgan'!J:J,"Arizani tasdiqlash")</f>
        <v>0</v>
      </c>
      <c r="N196" s="11">
        <f>+COUNTIFS('muddati otgan'!C:C,A196,'muddati otgan'!J:J,"Arizani yo'naltirish")</f>
        <v>0</v>
      </c>
      <c r="O196" s="11">
        <f>+COUNTIFS('muddati otgan'!C:C,A196,'muddati otgan'!J:J,"Rad qilish sababini o'rganish")</f>
        <v>0</v>
      </c>
      <c r="P196" s="11">
        <f>+COUNTIFS('muddati otgan'!C:C,A196,'muddati otgan'!J:J,"Ko'chmas mulkni UZKAD ga migratsiya qilish")</f>
        <v>0</v>
      </c>
      <c r="Q196" s="11">
        <f>+COUNTIFS('muddati otgan'!C:C,A196,'muddati otgan'!J:J,"Migratisya qilingan obyekt holatini tekshirish")</f>
        <v>0</v>
      </c>
      <c r="R196" s="11">
        <f>+COUNTIFS('muddati otgan'!C:C,A196,'muddati otgan'!J:J,"Ko‘chmas mulkni tanlash")</f>
        <v>0</v>
      </c>
      <c r="S196" s="11">
        <f>+COUNTIFS('muddati otgan'!C:C,A196,'muddati otgan'!J:J,"Arizani ko'rib chiqish")</f>
        <v>0</v>
      </c>
      <c r="T196" s="11">
        <f>+COUNTIFS('muddati otgan'!C:C,A196,'muddati otgan'!J:J,"Kadastr muhandisini tanlash")</f>
        <v>0</v>
      </c>
      <c r="U196" s="11">
        <f>+COUNTIFS('muddati otgan'!C:C,A196,'muddati otgan'!J:J,"Ko'chmas mulk turini tanlahsh")</f>
        <v>0</v>
      </c>
      <c r="V196" s="11">
        <f>+COUNTIFS('muddati otgan'!C:C,A196,'muddati otgan'!AA:AA,"Rad qilish")</f>
        <v>0</v>
      </c>
      <c r="W196" s="11">
        <f>+COUNTIFS('muddati otgan'!C:C,A196,'muddati otgan'!J:J,"ijrochi tanlash")</f>
        <v>0</v>
      </c>
      <c r="X196" s="11">
        <f>+COUNTIFS('muddati otgan'!C:C,A196,'muddati otgan'!J:J,"Ko'chmas mulk turini tanlash")</f>
        <v>0</v>
      </c>
      <c r="Y196" s="11">
        <f t="shared" si="24"/>
        <v>0</v>
      </c>
      <c r="Z196" s="11">
        <f>+COUNTIFS('muddati otgan'!C:C,A196,'muddati otgan'!J:J,"Ijroga qabul qilish")</f>
        <v>0</v>
      </c>
      <c r="AA196" s="11">
        <f>+COUNTIFS('muddati otgan'!C:C,A196,'muddati otgan'!J:J,"Joyida o'rganish va ma'lumotlarni kiritish")</f>
        <v>0</v>
      </c>
      <c r="AB196" s="11">
        <f>+COUNTIFS('muddati otgan'!C:C,A196,'muddati otgan'!J:J,"Asosiy qismdan ajratish jarayonida")</f>
        <v>0</v>
      </c>
      <c r="AC196" s="11">
        <f>+COUNTIFS('muddati otgan'!C:C,A196,'muddati otgan'!J:J,"Umumiy foydalanishdagi obyekt yaratilish")</f>
        <v>0</v>
      </c>
      <c r="AD196" s="11">
        <f>+COUNTIFS('muddati otgan'!C:C,A196,'muddati otgan'!J:J,"Migratsiya qilinadigan kadastr raqamini kiritish")</f>
        <v>0</v>
      </c>
      <c r="AE196" s="11">
        <f>+COUNTIFS('muddati otgan'!C:C,A196,'muddati otgan'!J:J,"O'zida qolgan obyektni yaratish")</f>
        <v>0</v>
      </c>
      <c r="AF196" s="11">
        <f>+COUNTIFS('muddati otgan'!C:C,A196,'muddati otgan'!J:J,"O'lchov natijalarini kiritish")</f>
        <v>0</v>
      </c>
      <c r="AG196" s="11">
        <f>+COUNTIFS('muddati otgan'!C:C,A196,'muddati otgan'!J:J,"Topoxaritani tayyorlash (dwg, pdf)")</f>
        <v>0</v>
      </c>
      <c r="AH196" s="11">
        <f t="shared" si="25"/>
        <v>0</v>
      </c>
      <c r="AI196" s="11">
        <f>+COUNTIFS('muddati otgan'!C:C,A196,'muddati otgan'!J:J,"Yer uchastkasini yaratish")</f>
        <v>0</v>
      </c>
      <c r="AJ196" s="11">
        <f t="shared" si="26"/>
        <v>0</v>
      </c>
      <c r="AK196" s="11">
        <f>+COUNTIFS('muddati otgan'!C:C,A196,'muddati otgan'!J:J,"Kelishish (Boshqarma)")</f>
        <v>0</v>
      </c>
      <c r="AL196" s="11">
        <f t="shared" si="27"/>
        <v>0</v>
      </c>
      <c r="AM196" s="11">
        <f>+COUNTIFS('muddati otgan'!C:C,A196,'muddati otgan'!J:J,"Kelishish (DKP)")</f>
        <v>0</v>
      </c>
      <c r="AN196" s="11">
        <f>+COUNTIFS('muddati otgan'!C:C,A196,'muddati otgan'!J:J,"Kelishish")</f>
        <v>0</v>
      </c>
      <c r="AO196" s="11">
        <f>+COUNTIFS('muddati otgan'!C:C,A196,'muddati otgan'!J:J,"Kelishish (Registratsiya DKP)")</f>
        <v>0</v>
      </c>
      <c r="AP196" s="11">
        <f t="shared" si="28"/>
        <v>0</v>
      </c>
      <c r="AQ196" s="11">
        <f>+COUNTIFS('muddati otgan'!C:C,A196,'muddati otgan'!J:J,"Manzil biriktirish")</f>
        <v>0</v>
      </c>
      <c r="AR196" s="11">
        <f>+COUNTIFS('muddati otgan'!C:C,A196,'muddati otgan'!J:J,"Bino va inshootlarni yaratish")</f>
        <v>0</v>
      </c>
      <c r="AS196" s="11">
        <f>+COUNTIFS('muddati otgan'!C:C,A196,'muddati otgan'!J:J,"Dov daraxtlarni yaratish")</f>
        <v>0</v>
      </c>
      <c r="AT196" s="11">
        <f>+COUNTIFS('muddati otgan'!C:C,A196,'muddati otgan'!J:J,"Yer uchastkasini tahrirlash")</f>
        <v>0</v>
      </c>
      <c r="AU196" s="11">
        <f t="shared" si="29"/>
        <v>0</v>
      </c>
      <c r="AV196" s="11">
        <f>+COUNTIFS('muddati otgan'!C:C,A196,'muddati otgan'!J:J,"Yer toifasi va maqsadini kiritish")</f>
        <v>0</v>
      </c>
      <c r="AW196" s="11">
        <f>+COUNTIFS('muddati otgan'!C:C,A196,'muddati otgan'!J:J,"Auksion yer tekshirish")</f>
        <v>0</v>
      </c>
      <c r="AX196" s="11">
        <f>+COUNTIFS('muddati otgan'!C:C,A196,'muddati otgan'!J:J,"Yer turlarini kiritish")</f>
        <v>0</v>
      </c>
      <c r="AY196" s="11">
        <f>+COUNTIFS('muddati otgan'!C:C,A196,'muddati otgan'!J:J,"Ma'lumotlarni kiritish")</f>
        <v>0</v>
      </c>
      <c r="AZ196" s="11">
        <f>+COUNTIFS('muddati otgan'!C:C,A196,'muddati otgan'!J:J,"Yer tekshirish")</f>
        <v>0</v>
      </c>
      <c r="BA196" s="11">
        <f t="shared" si="30"/>
        <v>0</v>
      </c>
      <c r="BB196" s="11">
        <f>+COUNTIFS('muddati otgan'!C:C,A196,'muddati otgan'!J:J,"Bino va inshoot ma'lumotlarini to‘ldirish")</f>
        <v>0</v>
      </c>
      <c r="BC196" s="11">
        <f>+COUNTIFS('muddati otgan'!C:C,A196,'muddati otgan'!J:J,"Inventarizatsiya ma'lumotlarini to‘ldirish")</f>
        <v>0</v>
      </c>
      <c r="BD196" s="11">
        <f>+COUNTIFS('muddati otgan'!C:C,A196,'muddati otgan'!J:J,"Yer uchastkasiga huquqiy hujjatlarni kiritsh")</f>
        <v>0</v>
      </c>
      <c r="BE196" s="11">
        <f>+COUNTIFS('muddati otgan'!C:C,A196,'muddati otgan'!J:J,"Bino-inshootlarga huquqiy hujjatlarni kiritsh")</f>
        <v>0</v>
      </c>
      <c r="BF196" s="11">
        <f>+COUNTIFS('muddati otgan'!C:C,A196,'muddati otgan'!J:J,"Kadastr qiymatini hisoblash va kiritish")</f>
        <v>0</v>
      </c>
      <c r="BG196" s="11">
        <f>+COUNTIFS('muddati otgan'!C:C,A196,'muddati otgan'!J:J,"Kadastr raqam biriktirish")</f>
        <v>0</v>
      </c>
      <c r="BH196" s="11">
        <f>+COUNTIFS('muddati otgan'!C:C,A196,'muddati otgan'!J:J,"Kadastr yig'ma jildni tayyorlash")</f>
        <v>0</v>
      </c>
      <c r="BI196" s="11">
        <f>+COUNTIFS('muddati otgan'!C:C,A196,'muddati otgan'!J:J,"Huquqni yaratish")</f>
        <v>0</v>
      </c>
      <c r="BJ196" s="11">
        <f>+COUNTIFS('muddati otgan'!C:C,A196,'muddati otgan'!J:J,"Hujjatlarni o'rganish")</f>
        <v>0</v>
      </c>
      <c r="BK196" s="11">
        <f>+COUNTIFS('muddati otgan'!C:C,A196,'muddati otgan'!J:J,"Ma'lumotlarni tekshirish")</f>
        <v>0</v>
      </c>
      <c r="BL196" s="11">
        <f t="shared" si="31"/>
        <v>0</v>
      </c>
      <c r="BM196" s="11">
        <f>+COUNTIFS('muddati otgan'!C:C,A196,'muddati otgan'!J:J,"Tekshirish")</f>
        <v>0</v>
      </c>
      <c r="BN196" s="11">
        <f>+COUNTIFS('muddati otgan'!C:C,A196,'muddati otgan'!J:J,"Hujjatlarni tekshirish")</f>
        <v>0</v>
      </c>
      <c r="BO196" s="11">
        <f>+COUNTIFS('muddati otgan'!C:C,A196,'muddati otgan'!J:J,"Tasdiqlash")</f>
        <v>0</v>
      </c>
      <c r="BP196" s="11">
        <f>+COUNTIFS('muddati otgan'!C:C,A196,'muddati otgan'!J:J,"tekshirish/tasdiqlash")</f>
        <v>0</v>
      </c>
      <c r="BQ196" s="11">
        <f>+COUNTIFS('muddati otgan'!C:C,A196,'muddati otgan'!J:J,"Ma'lumotlarni tasdiqlash")</f>
        <v>0</v>
      </c>
      <c r="BR196" s="11">
        <f t="shared" si="32"/>
        <v>0</v>
      </c>
      <c r="BS196" s="11">
        <f>+COUNTIFS('muddati otgan'!C:C,A196,'muddati otgan'!J:J,"Ro'yxatdan o'tkazish ma'lumotlarini tekshirish")</f>
        <v>0</v>
      </c>
      <c r="BT196" s="11">
        <f>+COUNTIFS('muddati otgan'!C:C,A196,'muddati otgan'!J:J,"Kamchiliklar bo'yicha habarnoma yuborish va 3 kunga to'xtatish")</f>
        <v>0</v>
      </c>
      <c r="BU196" s="11">
        <f>+COUNTIFS('muddati otgan'!C:C,A196,'muddati otgan'!J:J,"Hisobga olish")</f>
        <v>0</v>
      </c>
      <c r="BV196" s="11">
        <f>+COUNTIFS('muddati otgan'!C:C,A196,'muddati otgan'!J:J,"Yer uchastkasiga huquq yaratish")</f>
        <v>0</v>
      </c>
      <c r="BW196" s="11">
        <f>+COUNTIFS('muddati otgan'!C:C,A196,'muddati otgan'!J:J,"Bino-inshootga huquq yaratish")</f>
        <v>0</v>
      </c>
      <c r="BX196" s="11">
        <f>+COUNTIFS('muddati otgan'!C:C,A196,'muddati otgan'!J:J,"Cheklov yaratish")</f>
        <v>0</v>
      </c>
      <c r="BY196" s="11">
        <f>+COUNTIFS('muddati otgan'!C:C,A196,'muddati otgan'!J:J,"Taqiq yaratish")</f>
        <v>0</v>
      </c>
      <c r="BZ196" s="11">
        <f t="shared" si="33"/>
        <v>0</v>
      </c>
      <c r="CA196" s="11">
        <f>+COUNTIFS('muddati otgan'!C:C,A196,'muddati otgan'!J:J,"Soliq maydonini tekshirish")</f>
        <v>0</v>
      </c>
      <c r="CB196" s="11">
        <f t="shared" si="34"/>
        <v>0</v>
      </c>
      <c r="CC196" s="11">
        <f>+COUNTIFS('muddati otgan'!C:C,A196,'muddati otgan'!J:J,"Kadastr yig'majildini shakllantirish")</f>
        <v>0</v>
      </c>
      <c r="CD196" s="11">
        <f t="shared" si="35"/>
        <v>0</v>
      </c>
      <c r="CE196" s="11">
        <f>+COUNTIFS('muddati otgan'!C:C,A196,'muddati otgan'!J:J,"Kadastr passportini shakllantirish")</f>
        <v>0</v>
      </c>
      <c r="CF196" s="11">
        <f>+COUNTIFS('muddati otgan'!C:C,A196,'muddati otgan'!J:J,"Yig'ma jildni tasdiqlash")</f>
        <v>0</v>
      </c>
      <c r="CG196" s="11">
        <f>+COUNTIFS('muddati otgan'!C:C,A196,'muddati otgan'!J:J,"To'lov yoki bepul tasdiqlash")</f>
        <v>0</v>
      </c>
      <c r="CH196" s="11">
        <f>+COUNTIFS('muddati otgan'!C:C,A196,'muddati otgan'!J:J,"Bog'liq arizani kutish")</f>
        <v>0</v>
      </c>
      <c r="CI196" s="11">
        <f>+COUNTIFS('muddati otgan'!C:C,A196,'muddati otgan'!J:J,"To'lovga chiqarish")</f>
        <v>0</v>
      </c>
      <c r="CJ196" s="11">
        <f>+COUNTIFS('muddati otgan'!C:C,A196,'muddati otgan'!J:J,"Hisobga qo'yish")</f>
        <v>0</v>
      </c>
      <c r="CK196" s="6">
        <f>+COUNTIFS('muddati otgan'!C:C,A196,'muddati otgan'!J:J,"To'lov kutilmoqda")</f>
        <v>0</v>
      </c>
      <c r="CL196" s="125">
        <f t="shared" si="36"/>
        <v>0</v>
      </c>
      <c r="CM196" s="125">
        <f>+COUNTIFS('muddati otgan'!C:C,A196,'muddati otgan'!AA:AA,"Arizani qabul qilish2")</f>
        <v>0</v>
      </c>
      <c r="CN196" s="125">
        <f>+COUNTIFS('muddati otgan'!C:C,A196,'muddati otgan'!J:J,"Huquqlarni tekshirish")</f>
        <v>0</v>
      </c>
      <c r="CO196" s="125">
        <f>+COUNTIFS('muddati otgan'!C:C,A196,'muddati otgan'!J:J,"Ko'chmas mulkni ro'yhatdan o'tkazishga qabul qilish")</f>
        <v>0</v>
      </c>
      <c r="CP196" s="125">
        <f>+COUNTIFS('muddati otgan'!C:C,A196,'muddati otgan'!J:J,"Ro'yxatdan o'tkazish")</f>
        <v>0</v>
      </c>
      <c r="CQ196" s="125">
        <f>+COUNTIFS('muddati otgan'!C:C,A196,'muddati otgan'!J:J,"Kadastr pasporti va ko'chirmani yuborish")</f>
        <v>0</v>
      </c>
      <c r="CR196" s="125">
        <f>+COUNTIFS('muddati otgan'!C:C,A196,'muddati otgan'!AA:AA,"Rad qilish2")</f>
        <v>0</v>
      </c>
      <c r="CS196" s="125">
        <f>+COUNTIFS('muddati otgan'!C:C,A196,'muddati otgan'!J:J,"Ko'chirmani yuborish")</f>
        <v>0</v>
      </c>
      <c r="CT196" s="125">
        <f>+COUNTIFS('muddati otgan'!C:C,A196,'muddati otgan'!J:J,"Ma‘lumotlarni tekshirish")</f>
        <v>0</v>
      </c>
      <c r="CU196" s="125">
        <f t="shared" si="37"/>
        <v>0</v>
      </c>
      <c r="CV196" s="125">
        <f>+COUNTIFS('muddati otgan'!C:C,A196,'muddati otgan'!J:J,"Kadastr yig'majildini chop etish va arxiv ishiga tikish")</f>
        <v>0</v>
      </c>
      <c r="CW196" s="125">
        <f t="shared" si="38"/>
        <v>0</v>
      </c>
      <c r="CX196" s="11">
        <f>+COUNTIFS('muddati otgan'!C:C,A196,'muddati otgan'!J:J,"Kadastr yig‘majildini qabul qilish, arizani yakunlash")</f>
        <v>0</v>
      </c>
      <c r="CY196" s="11">
        <f>+COUNTIFS('muddati otgan'!C:C,A196,'muddati otgan'!J:J,"Next Cloudga yuklash")</f>
        <v>0</v>
      </c>
      <c r="CZ196" s="6">
        <f>+COUNTIFS('muddati otgan'!C:C,A196,'muddati otgan'!J:J,"Kelishish kutilmoqda")</f>
        <v>0</v>
      </c>
      <c r="DA196" s="6">
        <f>+COUNTIFS('muddati otgan'!C:C,A196,'muddati otgan'!J:J,"Yakunlandi")</f>
        <v>0</v>
      </c>
      <c r="DB196" s="10">
        <f>+COUNTIFS('muddati otgan'!C:C,A196,'muddati otgan'!J:J,"Rad etildi")</f>
        <v>0</v>
      </c>
      <c r="DC196" s="100">
        <f t="shared" si="5"/>
        <v>0</v>
      </c>
      <c r="DD196" s="44">
        <f>COUNTIFS('jami 1-20 kunlik arizalar'!C:C,A:A,'jami 1-20 kunlik arizalar'!S:S,"1")</f>
        <v>0</v>
      </c>
      <c r="DE196" s="11">
        <f>COUNTIFS('jami 1-20 kunlik arizalar'!C:C,A:A,'jami 1-20 kunlik arizalar'!S:S,"2")</f>
        <v>0</v>
      </c>
      <c r="DF196" s="11">
        <f>COUNTIFS('jami 1-20 kunlik arizalar'!C:C,A:A,'jami 1-20 kunlik arizalar'!S:S,"3")</f>
        <v>0</v>
      </c>
      <c r="DG196" s="11">
        <f>COUNTIFS('jami 1-20 kunlik arizalar'!C:C,A:A,'jami 1-20 kunlik arizalar'!S:S,"4")</f>
        <v>0</v>
      </c>
      <c r="DH196" s="11">
        <f>COUNTIFS('jami 1-20 kunlik arizalar'!C:C,A:A,'jami 1-20 kunlik arizalar'!S:S,"5")</f>
        <v>1</v>
      </c>
      <c r="DI196" s="11">
        <f>SUM(COUNTIFS('jami 1-20 kunlik arizalar'!C:C,A:A, 'jami 1-20 kunlik arizalar'!S:S, {6,7,8,9,10}))</f>
        <v>0</v>
      </c>
      <c r="DJ196" s="12">
        <f>SUM(COUNTIFS('jami 1-20 kunlik arizalar'!C:C,A:A, 'jami 1-20 kunlik arizalar'!S:S, "&gt;10"))</f>
        <v>1</v>
      </c>
    </row>
    <row r="197" spans="1:115" ht="45" hidden="1" customHeight="1" outlineLevel="1" x14ac:dyDescent="0.25">
      <c r="A197" s="92" t="s">
        <v>457</v>
      </c>
      <c r="B197" s="74"/>
      <c r="C197" s="85" t="s">
        <v>888</v>
      </c>
      <c r="D197" s="80">
        <f>+COUNTIFS('muddati otgan'!C:C,A197,'muddati otgan'!C:C,A197)</f>
        <v>0</v>
      </c>
      <c r="E197" s="10">
        <f>SUMIFS('muddati otgan'!$V:V,'muddati otgan'!$C:C,$A:A)</f>
        <v>0</v>
      </c>
      <c r="F197" s="10">
        <f>SUMIFS('muddati otgan'!$W:W,'muddati otgan'!$C:C,$A:A)</f>
        <v>0</v>
      </c>
      <c r="G197" s="24">
        <f>SUMIFS('muddati otgan'!$U:U,'muddati otgan'!$C:C,$A:A)</f>
        <v>0</v>
      </c>
      <c r="H197" s="11">
        <f>SUMIFS('muddati otgan'!$G:G,'muddati otgan'!$C:C,$A:A)</f>
        <v>0</v>
      </c>
      <c r="I197" s="12">
        <f>SUMIFS('muddati otgan'!$H:H,'muddati otgan'!$C:C,$A:A)</f>
        <v>0</v>
      </c>
      <c r="J197" s="44">
        <f t="shared" si="23"/>
        <v>0</v>
      </c>
      <c r="K197" s="11">
        <f>+COUNTIFS('muddati otgan'!C:C,A197,'muddati otgan'!AA:AA,"Arizani qabul qilish")</f>
        <v>0</v>
      </c>
      <c r="L197" s="11">
        <f>+COUNTIFS('muddati otgan'!C:C,A197,'muddati otgan'!J:J,"Arizani rad etish")</f>
        <v>0</v>
      </c>
      <c r="M197" s="11">
        <f>+COUNTIFS('muddati otgan'!C:C,A197,'muddati otgan'!J:J,"Arizani tasdiqlash")</f>
        <v>0</v>
      </c>
      <c r="N197" s="11">
        <f>+COUNTIFS('muddati otgan'!C:C,A197,'muddati otgan'!J:J,"Arizani yo'naltirish")</f>
        <v>0</v>
      </c>
      <c r="O197" s="11">
        <f>+COUNTIFS('muddati otgan'!C:C,A197,'muddati otgan'!J:J,"Rad qilish sababini o'rganish")</f>
        <v>0</v>
      </c>
      <c r="P197" s="11">
        <f>+COUNTIFS('muddati otgan'!C:C,A197,'muddati otgan'!J:J,"Ko'chmas mulkni UZKAD ga migratsiya qilish")</f>
        <v>0</v>
      </c>
      <c r="Q197" s="11">
        <f>+COUNTIFS('muddati otgan'!C:C,A197,'muddati otgan'!J:J,"Migratisya qilingan obyekt holatini tekshirish")</f>
        <v>0</v>
      </c>
      <c r="R197" s="11">
        <f>+COUNTIFS('muddati otgan'!C:C,A197,'muddati otgan'!J:J,"Ko‘chmas mulkni tanlash")</f>
        <v>0</v>
      </c>
      <c r="S197" s="11">
        <f>+COUNTIFS('muddati otgan'!C:C,A197,'muddati otgan'!J:J,"Arizani ko'rib chiqish")</f>
        <v>0</v>
      </c>
      <c r="T197" s="11">
        <f>+COUNTIFS('muddati otgan'!C:C,A197,'muddati otgan'!J:J,"Kadastr muhandisini tanlash")</f>
        <v>0</v>
      </c>
      <c r="U197" s="11">
        <f>+COUNTIFS('muddati otgan'!C:C,A197,'muddati otgan'!J:J,"Ko'chmas mulk turini tanlahsh")</f>
        <v>0</v>
      </c>
      <c r="V197" s="11">
        <f>+COUNTIFS('muddati otgan'!C:C,A197,'muddati otgan'!AA:AA,"Rad qilish")</f>
        <v>0</v>
      </c>
      <c r="W197" s="11">
        <f>+COUNTIFS('muddati otgan'!C:C,A197,'muddati otgan'!J:J,"ijrochi tanlash")</f>
        <v>0</v>
      </c>
      <c r="X197" s="11">
        <f>+COUNTIFS('muddati otgan'!C:C,A197,'muddati otgan'!J:J,"Ko'chmas mulk turini tanlash")</f>
        <v>0</v>
      </c>
      <c r="Y197" s="11">
        <f t="shared" si="24"/>
        <v>0</v>
      </c>
      <c r="Z197" s="11">
        <f>+COUNTIFS('muddati otgan'!C:C,A197,'muddati otgan'!J:J,"Ijroga qabul qilish")</f>
        <v>0</v>
      </c>
      <c r="AA197" s="11">
        <f>+COUNTIFS('muddati otgan'!C:C,A197,'muddati otgan'!J:J,"Joyida o'rganish va ma'lumotlarni kiritish")</f>
        <v>0</v>
      </c>
      <c r="AB197" s="11">
        <f>+COUNTIFS('muddati otgan'!C:C,A197,'muddati otgan'!J:J,"Asosiy qismdan ajratish jarayonida")</f>
        <v>0</v>
      </c>
      <c r="AC197" s="11">
        <f>+COUNTIFS('muddati otgan'!C:C,A197,'muddati otgan'!J:J,"Umumiy foydalanishdagi obyekt yaratilish")</f>
        <v>0</v>
      </c>
      <c r="AD197" s="11">
        <f>+COUNTIFS('muddati otgan'!C:C,A197,'muddati otgan'!J:J,"Migratsiya qilinadigan kadastr raqamini kiritish")</f>
        <v>0</v>
      </c>
      <c r="AE197" s="11">
        <f>+COUNTIFS('muddati otgan'!C:C,A197,'muddati otgan'!J:J,"O'zida qolgan obyektni yaratish")</f>
        <v>0</v>
      </c>
      <c r="AF197" s="11">
        <f>+COUNTIFS('muddati otgan'!C:C,A197,'muddati otgan'!J:J,"O'lchov natijalarini kiritish")</f>
        <v>0</v>
      </c>
      <c r="AG197" s="11">
        <f>+COUNTIFS('muddati otgan'!C:C,A197,'muddati otgan'!J:J,"Topoxaritani tayyorlash (dwg, pdf)")</f>
        <v>0</v>
      </c>
      <c r="AH197" s="11">
        <f t="shared" si="25"/>
        <v>0</v>
      </c>
      <c r="AI197" s="11">
        <f>+COUNTIFS('muddati otgan'!C:C,A197,'muddati otgan'!J:J,"Yer uchastkasini yaratish")</f>
        <v>0</v>
      </c>
      <c r="AJ197" s="11">
        <f t="shared" si="26"/>
        <v>0</v>
      </c>
      <c r="AK197" s="11">
        <f>+COUNTIFS('muddati otgan'!C:C,A197,'muddati otgan'!J:J,"Kelishish (Boshqarma)")</f>
        <v>0</v>
      </c>
      <c r="AL197" s="11">
        <f t="shared" si="27"/>
        <v>0</v>
      </c>
      <c r="AM197" s="11">
        <f>+COUNTIFS('muddati otgan'!C:C,A197,'muddati otgan'!J:J,"Kelishish (DKP)")</f>
        <v>0</v>
      </c>
      <c r="AN197" s="11">
        <f>+COUNTIFS('muddati otgan'!C:C,A197,'muddati otgan'!J:J,"Kelishish")</f>
        <v>0</v>
      </c>
      <c r="AO197" s="11">
        <f>+COUNTIFS('muddati otgan'!C:C,A197,'muddati otgan'!J:J,"Kelishish (Registratsiya DKP)")</f>
        <v>0</v>
      </c>
      <c r="AP197" s="11">
        <f t="shared" si="28"/>
        <v>0</v>
      </c>
      <c r="AQ197" s="11">
        <f>+COUNTIFS('muddati otgan'!C:C,A197,'muddati otgan'!J:J,"Manzil biriktirish")</f>
        <v>0</v>
      </c>
      <c r="AR197" s="11">
        <f>+COUNTIFS('muddati otgan'!C:C,A197,'muddati otgan'!J:J,"Bino va inshootlarni yaratish")</f>
        <v>0</v>
      </c>
      <c r="AS197" s="11">
        <f>+COUNTIFS('muddati otgan'!C:C,A197,'muddati otgan'!J:J,"Dov daraxtlarni yaratish")</f>
        <v>0</v>
      </c>
      <c r="AT197" s="11">
        <f>+COUNTIFS('muddati otgan'!C:C,A197,'muddati otgan'!J:J,"Yer uchastkasini tahrirlash")</f>
        <v>0</v>
      </c>
      <c r="AU197" s="11">
        <f t="shared" si="29"/>
        <v>0</v>
      </c>
      <c r="AV197" s="11">
        <f>+COUNTIFS('muddati otgan'!C:C,A197,'muddati otgan'!J:J,"Yer toifasi va maqsadini kiritish")</f>
        <v>0</v>
      </c>
      <c r="AW197" s="11">
        <f>+COUNTIFS('muddati otgan'!C:C,A197,'muddati otgan'!J:J,"Auksion yer tekshirish")</f>
        <v>0</v>
      </c>
      <c r="AX197" s="11">
        <f>+COUNTIFS('muddati otgan'!C:C,A197,'muddati otgan'!J:J,"Yer turlarini kiritish")</f>
        <v>0</v>
      </c>
      <c r="AY197" s="11">
        <f>+COUNTIFS('muddati otgan'!C:C,A197,'muddati otgan'!J:J,"Ma'lumotlarni kiritish")</f>
        <v>0</v>
      </c>
      <c r="AZ197" s="11">
        <f>+COUNTIFS('muddati otgan'!C:C,A197,'muddati otgan'!J:J,"Yer tekshirish")</f>
        <v>0</v>
      </c>
      <c r="BA197" s="11">
        <f t="shared" si="30"/>
        <v>0</v>
      </c>
      <c r="BB197" s="11">
        <f>+COUNTIFS('muddati otgan'!C:C,A197,'muddati otgan'!J:J,"Bino va inshoot ma'lumotlarini to‘ldirish")</f>
        <v>0</v>
      </c>
      <c r="BC197" s="11">
        <f>+COUNTIFS('muddati otgan'!C:C,A197,'muddati otgan'!J:J,"Inventarizatsiya ma'lumotlarini to‘ldirish")</f>
        <v>0</v>
      </c>
      <c r="BD197" s="11">
        <f>+COUNTIFS('muddati otgan'!C:C,A197,'muddati otgan'!J:J,"Yer uchastkasiga huquqiy hujjatlarni kiritsh")</f>
        <v>0</v>
      </c>
      <c r="BE197" s="11">
        <f>+COUNTIFS('muddati otgan'!C:C,A197,'muddati otgan'!J:J,"Bino-inshootlarga huquqiy hujjatlarni kiritsh")</f>
        <v>0</v>
      </c>
      <c r="BF197" s="11">
        <f>+COUNTIFS('muddati otgan'!C:C,A197,'muddati otgan'!J:J,"Kadastr qiymatini hisoblash va kiritish")</f>
        <v>0</v>
      </c>
      <c r="BG197" s="11">
        <f>+COUNTIFS('muddati otgan'!C:C,A197,'muddati otgan'!J:J,"Kadastr raqam biriktirish")</f>
        <v>0</v>
      </c>
      <c r="BH197" s="11">
        <f>+COUNTIFS('muddati otgan'!C:C,A197,'muddati otgan'!J:J,"Kadastr yig'ma jildni tayyorlash")</f>
        <v>0</v>
      </c>
      <c r="BI197" s="11">
        <f>+COUNTIFS('muddati otgan'!C:C,A197,'muddati otgan'!J:J,"Huquqni yaratish")</f>
        <v>0</v>
      </c>
      <c r="BJ197" s="11">
        <f>+COUNTIFS('muddati otgan'!C:C,A197,'muddati otgan'!J:J,"Hujjatlarni o'rganish")</f>
        <v>0</v>
      </c>
      <c r="BK197" s="11">
        <f>+COUNTIFS('muddati otgan'!C:C,A197,'muddati otgan'!J:J,"Ma'lumotlarni tekshirish")</f>
        <v>0</v>
      </c>
      <c r="BL197" s="11">
        <f t="shared" si="31"/>
        <v>0</v>
      </c>
      <c r="BM197" s="11">
        <f>+COUNTIFS('muddati otgan'!C:C,A197,'muddati otgan'!J:J,"Tekshirish")</f>
        <v>0</v>
      </c>
      <c r="BN197" s="11">
        <f>+COUNTIFS('muddati otgan'!C:C,A197,'muddati otgan'!J:J,"Hujjatlarni tekshirish")</f>
        <v>0</v>
      </c>
      <c r="BO197" s="11">
        <f>+COUNTIFS('muddati otgan'!C:C,A197,'muddati otgan'!J:J,"Tasdiqlash")</f>
        <v>0</v>
      </c>
      <c r="BP197" s="11">
        <f>+COUNTIFS('muddati otgan'!C:C,A197,'muddati otgan'!J:J,"tekshirish/tasdiqlash")</f>
        <v>0</v>
      </c>
      <c r="BQ197" s="11">
        <f>+COUNTIFS('muddati otgan'!C:C,A197,'muddati otgan'!J:J,"Ma'lumotlarni tasdiqlash")</f>
        <v>0</v>
      </c>
      <c r="BR197" s="11">
        <f t="shared" si="32"/>
        <v>0</v>
      </c>
      <c r="BS197" s="11">
        <f>+COUNTIFS('muddati otgan'!C:C,A197,'muddati otgan'!J:J,"Ro'yxatdan o'tkazish ma'lumotlarini tekshirish")</f>
        <v>0</v>
      </c>
      <c r="BT197" s="11">
        <f>+COUNTIFS('muddati otgan'!C:C,A197,'muddati otgan'!J:J,"Kamchiliklar bo'yicha habarnoma yuborish va 3 kunga to'xtatish")</f>
        <v>0</v>
      </c>
      <c r="BU197" s="11">
        <f>+COUNTIFS('muddati otgan'!C:C,A197,'muddati otgan'!J:J,"Hisobga olish")</f>
        <v>0</v>
      </c>
      <c r="BV197" s="11">
        <f>+COUNTIFS('muddati otgan'!C:C,A197,'muddati otgan'!J:J,"Yer uchastkasiga huquq yaratish")</f>
        <v>0</v>
      </c>
      <c r="BW197" s="11">
        <f>+COUNTIFS('muddati otgan'!C:C,A197,'muddati otgan'!J:J,"Bino-inshootga huquq yaratish")</f>
        <v>0</v>
      </c>
      <c r="BX197" s="11">
        <f>+COUNTIFS('muddati otgan'!C:C,A197,'muddati otgan'!J:J,"Cheklov yaratish")</f>
        <v>0</v>
      </c>
      <c r="BY197" s="11">
        <f>+COUNTIFS('muddati otgan'!C:C,A197,'muddati otgan'!J:J,"Taqiq yaratish")</f>
        <v>0</v>
      </c>
      <c r="BZ197" s="11">
        <f t="shared" si="33"/>
        <v>0</v>
      </c>
      <c r="CA197" s="11">
        <f>+COUNTIFS('muddati otgan'!C:C,A197,'muddati otgan'!J:J,"Soliq maydonini tekshirish")</f>
        <v>0</v>
      </c>
      <c r="CB197" s="11">
        <f t="shared" si="34"/>
        <v>0</v>
      </c>
      <c r="CC197" s="11">
        <f>+COUNTIFS('muddati otgan'!C:C,A197,'muddati otgan'!J:J,"Kadastr yig'majildini shakllantirish")</f>
        <v>0</v>
      </c>
      <c r="CD197" s="11">
        <f t="shared" si="35"/>
        <v>0</v>
      </c>
      <c r="CE197" s="11">
        <f>+COUNTIFS('muddati otgan'!C:C,A197,'muddati otgan'!J:J,"Kadastr passportini shakllantirish")</f>
        <v>0</v>
      </c>
      <c r="CF197" s="11">
        <f>+COUNTIFS('muddati otgan'!C:C,A197,'muddati otgan'!J:J,"Yig'ma jildni tasdiqlash")</f>
        <v>0</v>
      </c>
      <c r="CG197" s="11">
        <f>+COUNTIFS('muddati otgan'!C:C,A197,'muddati otgan'!J:J,"To'lov yoki bepul tasdiqlash")</f>
        <v>0</v>
      </c>
      <c r="CH197" s="11">
        <f>+COUNTIFS('muddati otgan'!C:C,A197,'muddati otgan'!J:J,"Bog'liq arizani kutish")</f>
        <v>0</v>
      </c>
      <c r="CI197" s="11">
        <f>+COUNTIFS('muddati otgan'!C:C,A197,'muddati otgan'!J:J,"To'lovga chiqarish")</f>
        <v>0</v>
      </c>
      <c r="CJ197" s="11">
        <f>+COUNTIFS('muddati otgan'!C:C,A197,'muddati otgan'!J:J,"Hisobga qo'yish")</f>
        <v>0</v>
      </c>
      <c r="CK197" s="6">
        <f>+COUNTIFS('muddati otgan'!C:C,A197,'muddati otgan'!J:J,"To'lov kutilmoqda")</f>
        <v>0</v>
      </c>
      <c r="CL197" s="125">
        <f t="shared" si="36"/>
        <v>0</v>
      </c>
      <c r="CM197" s="125">
        <f>+COUNTIFS('muddati otgan'!C:C,A197,'muddati otgan'!AA:AA,"Arizani qabul qilish2")</f>
        <v>0</v>
      </c>
      <c r="CN197" s="125">
        <f>+COUNTIFS('muddati otgan'!C:C,A197,'muddati otgan'!J:J,"Huquqlarni tekshirish")</f>
        <v>0</v>
      </c>
      <c r="CO197" s="125">
        <f>+COUNTIFS('muddati otgan'!C:C,A197,'muddati otgan'!J:J,"Ko'chmas mulkni ro'yhatdan o'tkazishga qabul qilish")</f>
        <v>0</v>
      </c>
      <c r="CP197" s="125">
        <f>+COUNTIFS('muddati otgan'!C:C,A197,'muddati otgan'!J:J,"Ro'yxatdan o'tkazish")</f>
        <v>0</v>
      </c>
      <c r="CQ197" s="125">
        <f>+COUNTIFS('muddati otgan'!C:C,A197,'muddati otgan'!J:J,"Kadastr pasporti va ko'chirmani yuborish")</f>
        <v>0</v>
      </c>
      <c r="CR197" s="125">
        <f>+COUNTIFS('muddati otgan'!C:C,A197,'muddati otgan'!AA:AA,"Rad qilish2")</f>
        <v>0</v>
      </c>
      <c r="CS197" s="125">
        <f>+COUNTIFS('muddati otgan'!C:C,A197,'muddati otgan'!J:J,"Ko'chirmani yuborish")</f>
        <v>0</v>
      </c>
      <c r="CT197" s="125">
        <f>+COUNTIFS('muddati otgan'!C:C,A197,'muddati otgan'!J:J,"Ma‘lumotlarni tekshirish")</f>
        <v>0</v>
      </c>
      <c r="CU197" s="125">
        <f t="shared" si="37"/>
        <v>0</v>
      </c>
      <c r="CV197" s="125">
        <f>+COUNTIFS('muddati otgan'!C:C,A197,'muddati otgan'!J:J,"Kadastr yig'majildini chop etish va arxiv ishiga tikish")</f>
        <v>0</v>
      </c>
      <c r="CW197" s="125">
        <f t="shared" si="38"/>
        <v>0</v>
      </c>
      <c r="CX197" s="11">
        <f>+COUNTIFS('muddati otgan'!C:C,A197,'muddati otgan'!J:J,"Kadastr yig‘majildini qabul qilish, arizani yakunlash")</f>
        <v>0</v>
      </c>
      <c r="CY197" s="11">
        <f>+COUNTIFS('muddati otgan'!C:C,A197,'muddati otgan'!J:J,"Next Cloudga yuklash")</f>
        <v>0</v>
      </c>
      <c r="CZ197" s="6">
        <f>+COUNTIFS('muddati otgan'!C:C,A197,'muddati otgan'!J:J,"Kelishish kutilmoqda")</f>
        <v>0</v>
      </c>
      <c r="DA197" s="6">
        <f>+COUNTIFS('muddati otgan'!C:C,A197,'muddati otgan'!J:J,"Yakunlandi")</f>
        <v>0</v>
      </c>
      <c r="DB197" s="10">
        <f>+COUNTIFS('muddati otgan'!C:C,A197,'muddati otgan'!J:J,"Rad etildi")</f>
        <v>0</v>
      </c>
      <c r="DC197" s="100">
        <f t="shared" si="5"/>
        <v>0</v>
      </c>
      <c r="DD197" s="44">
        <f>COUNTIFS('jami 1-20 kunlik arizalar'!C:C,A:A,'jami 1-20 kunlik arizalar'!S:S,"1")</f>
        <v>0</v>
      </c>
      <c r="DE197" s="11">
        <f>COUNTIFS('jami 1-20 kunlik arizalar'!C:C,A:A,'jami 1-20 kunlik arizalar'!S:S,"2")</f>
        <v>0</v>
      </c>
      <c r="DF197" s="11">
        <f>COUNTIFS('jami 1-20 kunlik arizalar'!C:C,A:A,'jami 1-20 kunlik arizalar'!S:S,"3")</f>
        <v>0</v>
      </c>
      <c r="DG197" s="11">
        <f>COUNTIFS('jami 1-20 kunlik arizalar'!C:C,A:A,'jami 1-20 kunlik arizalar'!S:S,"4")</f>
        <v>0</v>
      </c>
      <c r="DH197" s="11">
        <f>COUNTIFS('jami 1-20 kunlik arizalar'!C:C,A:A,'jami 1-20 kunlik arizalar'!S:S,"5")</f>
        <v>0</v>
      </c>
      <c r="DI197" s="11">
        <f>SUM(COUNTIFS('jami 1-20 kunlik arizalar'!C:C,A:A, 'jami 1-20 kunlik arizalar'!S:S, {6,7,8,9,10}))</f>
        <v>0</v>
      </c>
      <c r="DJ197" s="12">
        <f>SUM(COUNTIFS('jami 1-20 kunlik arizalar'!C:C,A:A, 'jami 1-20 kunlik arizalar'!S:S, "&gt;10"))</f>
        <v>0</v>
      </c>
    </row>
    <row r="198" spans="1:115" ht="45" hidden="1" customHeight="1" outlineLevel="1" x14ac:dyDescent="0.25">
      <c r="A198" s="92" t="s">
        <v>449</v>
      </c>
      <c r="B198" s="74"/>
      <c r="C198" s="85" t="s">
        <v>889</v>
      </c>
      <c r="D198" s="80">
        <f>+COUNTIFS('muddati otgan'!C:C,A198,'muddati otgan'!C:C,A198)</f>
        <v>0</v>
      </c>
      <c r="E198" s="10">
        <f>SUMIFS('muddati otgan'!$V:V,'muddati otgan'!$C:C,$A:A)</f>
        <v>0</v>
      </c>
      <c r="F198" s="10">
        <f>SUMIFS('muddati otgan'!$W:W,'muddati otgan'!$C:C,$A:A)</f>
        <v>0</v>
      </c>
      <c r="G198" s="24">
        <f>SUMIFS('muddati otgan'!$U:U,'muddati otgan'!$C:C,$A:A)</f>
        <v>0</v>
      </c>
      <c r="H198" s="11">
        <f>SUMIFS('muddati otgan'!$G:G,'muddati otgan'!$C:C,$A:A)</f>
        <v>0</v>
      </c>
      <c r="I198" s="12">
        <f>SUMIFS('muddati otgan'!$H:H,'muddati otgan'!$C:C,$A:A)</f>
        <v>0</v>
      </c>
      <c r="J198" s="44">
        <f t="shared" si="23"/>
        <v>0</v>
      </c>
      <c r="K198" s="11">
        <f>+COUNTIFS('muddati otgan'!C:C,A198,'muddati otgan'!AA:AA,"Arizani qabul qilish")</f>
        <v>0</v>
      </c>
      <c r="L198" s="11">
        <f>+COUNTIFS('muddati otgan'!C:C,A198,'muddati otgan'!J:J,"Arizani rad etish")</f>
        <v>0</v>
      </c>
      <c r="M198" s="11">
        <f>+COUNTIFS('muddati otgan'!C:C,A198,'muddati otgan'!J:J,"Arizani tasdiqlash")</f>
        <v>0</v>
      </c>
      <c r="N198" s="11">
        <f>+COUNTIFS('muddati otgan'!C:C,A198,'muddati otgan'!J:J,"Arizani yo'naltirish")</f>
        <v>0</v>
      </c>
      <c r="O198" s="11">
        <f>+COUNTIFS('muddati otgan'!C:C,A198,'muddati otgan'!J:J,"Rad qilish sababini o'rganish")</f>
        <v>0</v>
      </c>
      <c r="P198" s="11">
        <f>+COUNTIFS('muddati otgan'!C:C,A198,'muddati otgan'!J:J,"Ko'chmas mulkni UZKAD ga migratsiya qilish")</f>
        <v>0</v>
      </c>
      <c r="Q198" s="11">
        <f>+COUNTIFS('muddati otgan'!C:C,A198,'muddati otgan'!J:J,"Migratisya qilingan obyekt holatini tekshirish")</f>
        <v>0</v>
      </c>
      <c r="R198" s="11">
        <f>+COUNTIFS('muddati otgan'!C:C,A198,'muddati otgan'!J:J,"Ko‘chmas mulkni tanlash")</f>
        <v>0</v>
      </c>
      <c r="S198" s="11">
        <f>+COUNTIFS('muddati otgan'!C:C,A198,'muddati otgan'!J:J,"Arizani ko'rib chiqish")</f>
        <v>0</v>
      </c>
      <c r="T198" s="11">
        <f>+COUNTIFS('muddati otgan'!C:C,A198,'muddati otgan'!J:J,"Kadastr muhandisini tanlash")</f>
        <v>0</v>
      </c>
      <c r="U198" s="11">
        <f>+COUNTIFS('muddati otgan'!C:C,A198,'muddati otgan'!J:J,"Ko'chmas mulk turini tanlahsh")</f>
        <v>0</v>
      </c>
      <c r="V198" s="11">
        <f>+COUNTIFS('muddati otgan'!C:C,A198,'muddati otgan'!AA:AA,"Rad qilish")</f>
        <v>0</v>
      </c>
      <c r="W198" s="11">
        <f>+COUNTIFS('muddati otgan'!C:C,A198,'muddati otgan'!J:J,"ijrochi tanlash")</f>
        <v>0</v>
      </c>
      <c r="X198" s="11">
        <f>+COUNTIFS('muddati otgan'!C:C,A198,'muddati otgan'!J:J,"Ko'chmas mulk turini tanlash")</f>
        <v>0</v>
      </c>
      <c r="Y198" s="11">
        <f t="shared" si="24"/>
        <v>0</v>
      </c>
      <c r="Z198" s="11">
        <f>+COUNTIFS('muddati otgan'!C:C,A198,'muddati otgan'!J:J,"Ijroga qabul qilish")</f>
        <v>0</v>
      </c>
      <c r="AA198" s="11">
        <f>+COUNTIFS('muddati otgan'!C:C,A198,'muddati otgan'!J:J,"Joyida o'rganish va ma'lumotlarni kiritish")</f>
        <v>0</v>
      </c>
      <c r="AB198" s="11">
        <f>+COUNTIFS('muddati otgan'!C:C,A198,'muddati otgan'!J:J,"Asosiy qismdan ajratish jarayonida")</f>
        <v>0</v>
      </c>
      <c r="AC198" s="11">
        <f>+COUNTIFS('muddati otgan'!C:C,A198,'muddati otgan'!J:J,"Umumiy foydalanishdagi obyekt yaratilish")</f>
        <v>0</v>
      </c>
      <c r="AD198" s="11">
        <f>+COUNTIFS('muddati otgan'!C:C,A198,'muddati otgan'!J:J,"Migratsiya qilinadigan kadastr raqamini kiritish")</f>
        <v>0</v>
      </c>
      <c r="AE198" s="11">
        <f>+COUNTIFS('muddati otgan'!C:C,A198,'muddati otgan'!J:J,"O'zida qolgan obyektni yaratish")</f>
        <v>0</v>
      </c>
      <c r="AF198" s="11">
        <f>+COUNTIFS('muddati otgan'!C:C,A198,'muddati otgan'!J:J,"O'lchov natijalarini kiritish")</f>
        <v>0</v>
      </c>
      <c r="AG198" s="11">
        <f>+COUNTIFS('muddati otgan'!C:C,A198,'muddati otgan'!J:J,"Topoxaritani tayyorlash (dwg, pdf)")</f>
        <v>0</v>
      </c>
      <c r="AH198" s="11">
        <f t="shared" si="25"/>
        <v>0</v>
      </c>
      <c r="AI198" s="11">
        <f>+COUNTIFS('muddati otgan'!C:C,A198,'muddati otgan'!J:J,"Yer uchastkasini yaratish")</f>
        <v>0</v>
      </c>
      <c r="AJ198" s="11">
        <f t="shared" si="26"/>
        <v>0</v>
      </c>
      <c r="AK198" s="11">
        <f>+COUNTIFS('muddati otgan'!C:C,A198,'muddati otgan'!J:J,"Kelishish (Boshqarma)")</f>
        <v>0</v>
      </c>
      <c r="AL198" s="11">
        <f t="shared" si="27"/>
        <v>0</v>
      </c>
      <c r="AM198" s="11">
        <f>+COUNTIFS('muddati otgan'!C:C,A198,'muddati otgan'!J:J,"Kelishish (DKP)")</f>
        <v>0</v>
      </c>
      <c r="AN198" s="11">
        <f>+COUNTIFS('muddati otgan'!C:C,A198,'muddati otgan'!J:J,"Kelishish")</f>
        <v>0</v>
      </c>
      <c r="AO198" s="11">
        <f>+COUNTIFS('muddati otgan'!C:C,A198,'muddati otgan'!J:J,"Kelishish (Registratsiya DKP)")</f>
        <v>0</v>
      </c>
      <c r="AP198" s="11">
        <f t="shared" si="28"/>
        <v>0</v>
      </c>
      <c r="AQ198" s="11">
        <f>+COUNTIFS('muddati otgan'!C:C,A198,'muddati otgan'!J:J,"Manzil biriktirish")</f>
        <v>0</v>
      </c>
      <c r="AR198" s="11">
        <f>+COUNTIFS('muddati otgan'!C:C,A198,'muddati otgan'!J:J,"Bino va inshootlarni yaratish")</f>
        <v>0</v>
      </c>
      <c r="AS198" s="11">
        <f>+COUNTIFS('muddati otgan'!C:C,A198,'muddati otgan'!J:J,"Dov daraxtlarni yaratish")</f>
        <v>0</v>
      </c>
      <c r="AT198" s="11">
        <f>+COUNTIFS('muddati otgan'!C:C,A198,'muddati otgan'!J:J,"Yer uchastkasini tahrirlash")</f>
        <v>0</v>
      </c>
      <c r="AU198" s="11">
        <f t="shared" si="29"/>
        <v>0</v>
      </c>
      <c r="AV198" s="11">
        <f>+COUNTIFS('muddati otgan'!C:C,A198,'muddati otgan'!J:J,"Yer toifasi va maqsadini kiritish")</f>
        <v>0</v>
      </c>
      <c r="AW198" s="11">
        <f>+COUNTIFS('muddati otgan'!C:C,A198,'muddati otgan'!J:J,"Auksion yer tekshirish")</f>
        <v>0</v>
      </c>
      <c r="AX198" s="11">
        <f>+COUNTIFS('muddati otgan'!C:C,A198,'muddati otgan'!J:J,"Yer turlarini kiritish")</f>
        <v>0</v>
      </c>
      <c r="AY198" s="11">
        <f>+COUNTIFS('muddati otgan'!C:C,A198,'muddati otgan'!J:J,"Ma'lumotlarni kiritish")</f>
        <v>0</v>
      </c>
      <c r="AZ198" s="11">
        <f>+COUNTIFS('muddati otgan'!C:C,A198,'muddati otgan'!J:J,"Yer tekshirish")</f>
        <v>0</v>
      </c>
      <c r="BA198" s="11">
        <f t="shared" si="30"/>
        <v>0</v>
      </c>
      <c r="BB198" s="11">
        <f>+COUNTIFS('muddati otgan'!C:C,A198,'muddati otgan'!J:J,"Bino va inshoot ma'lumotlarini to‘ldirish")</f>
        <v>0</v>
      </c>
      <c r="BC198" s="11">
        <f>+COUNTIFS('muddati otgan'!C:C,A198,'muddati otgan'!J:J,"Inventarizatsiya ma'lumotlarini to‘ldirish")</f>
        <v>0</v>
      </c>
      <c r="BD198" s="11">
        <f>+COUNTIFS('muddati otgan'!C:C,A198,'muddati otgan'!J:J,"Yer uchastkasiga huquqiy hujjatlarni kiritsh")</f>
        <v>0</v>
      </c>
      <c r="BE198" s="11">
        <f>+COUNTIFS('muddati otgan'!C:C,A198,'muddati otgan'!J:J,"Bino-inshootlarga huquqiy hujjatlarni kiritsh")</f>
        <v>0</v>
      </c>
      <c r="BF198" s="11">
        <f>+COUNTIFS('muddati otgan'!C:C,A198,'muddati otgan'!J:J,"Kadastr qiymatini hisoblash va kiritish")</f>
        <v>0</v>
      </c>
      <c r="BG198" s="11">
        <f>+COUNTIFS('muddati otgan'!C:C,A198,'muddati otgan'!J:J,"Kadastr raqam biriktirish")</f>
        <v>0</v>
      </c>
      <c r="BH198" s="11">
        <f>+COUNTIFS('muddati otgan'!C:C,A198,'muddati otgan'!J:J,"Kadastr yig'ma jildni tayyorlash")</f>
        <v>0</v>
      </c>
      <c r="BI198" s="11">
        <f>+COUNTIFS('muddati otgan'!C:C,A198,'muddati otgan'!J:J,"Huquqni yaratish")</f>
        <v>0</v>
      </c>
      <c r="BJ198" s="11">
        <f>+COUNTIFS('muddati otgan'!C:C,A198,'muddati otgan'!J:J,"Hujjatlarni o'rganish")</f>
        <v>0</v>
      </c>
      <c r="BK198" s="11">
        <f>+COUNTIFS('muddati otgan'!C:C,A198,'muddati otgan'!J:J,"Ma'lumotlarni tekshirish")</f>
        <v>0</v>
      </c>
      <c r="BL198" s="11">
        <f t="shared" si="31"/>
        <v>0</v>
      </c>
      <c r="BM198" s="11">
        <f>+COUNTIFS('muddati otgan'!C:C,A198,'muddati otgan'!J:J,"Tekshirish")</f>
        <v>0</v>
      </c>
      <c r="BN198" s="11">
        <f>+COUNTIFS('muddati otgan'!C:C,A198,'muddati otgan'!J:J,"Hujjatlarni tekshirish")</f>
        <v>0</v>
      </c>
      <c r="BO198" s="11">
        <f>+COUNTIFS('muddati otgan'!C:C,A198,'muddati otgan'!J:J,"Tasdiqlash")</f>
        <v>0</v>
      </c>
      <c r="BP198" s="11">
        <f>+COUNTIFS('muddati otgan'!C:C,A198,'muddati otgan'!J:J,"tekshirish/tasdiqlash")</f>
        <v>0</v>
      </c>
      <c r="BQ198" s="11">
        <f>+COUNTIFS('muddati otgan'!C:C,A198,'muddati otgan'!J:J,"Ma'lumotlarni tasdiqlash")</f>
        <v>0</v>
      </c>
      <c r="BR198" s="11">
        <f t="shared" si="32"/>
        <v>0</v>
      </c>
      <c r="BS198" s="11">
        <f>+COUNTIFS('muddati otgan'!C:C,A198,'muddati otgan'!J:J,"Ro'yxatdan o'tkazish ma'lumotlarini tekshirish")</f>
        <v>0</v>
      </c>
      <c r="BT198" s="11">
        <f>+COUNTIFS('muddati otgan'!C:C,A198,'muddati otgan'!J:J,"Kamchiliklar bo'yicha habarnoma yuborish va 3 kunga to'xtatish")</f>
        <v>0</v>
      </c>
      <c r="BU198" s="11">
        <f>+COUNTIFS('muddati otgan'!C:C,A198,'muddati otgan'!J:J,"Hisobga olish")</f>
        <v>0</v>
      </c>
      <c r="BV198" s="11">
        <f>+COUNTIFS('muddati otgan'!C:C,A198,'muddati otgan'!J:J,"Yer uchastkasiga huquq yaratish")</f>
        <v>0</v>
      </c>
      <c r="BW198" s="11">
        <f>+COUNTIFS('muddati otgan'!C:C,A198,'muddati otgan'!J:J,"Bino-inshootga huquq yaratish")</f>
        <v>0</v>
      </c>
      <c r="BX198" s="11">
        <f>+COUNTIFS('muddati otgan'!C:C,A198,'muddati otgan'!J:J,"Cheklov yaratish")</f>
        <v>0</v>
      </c>
      <c r="BY198" s="11">
        <f>+COUNTIFS('muddati otgan'!C:C,A198,'muddati otgan'!J:J,"Taqiq yaratish")</f>
        <v>0</v>
      </c>
      <c r="BZ198" s="11">
        <f t="shared" si="33"/>
        <v>0</v>
      </c>
      <c r="CA198" s="11">
        <f>+COUNTIFS('muddati otgan'!C:C,A198,'muddati otgan'!J:J,"Soliq maydonini tekshirish")</f>
        <v>0</v>
      </c>
      <c r="CB198" s="11">
        <f t="shared" si="34"/>
        <v>0</v>
      </c>
      <c r="CC198" s="11">
        <f>+COUNTIFS('muddati otgan'!C:C,A198,'muddati otgan'!J:J,"Kadastr yig'majildini shakllantirish")</f>
        <v>0</v>
      </c>
      <c r="CD198" s="11">
        <f t="shared" si="35"/>
        <v>0</v>
      </c>
      <c r="CE198" s="11">
        <f>+COUNTIFS('muddati otgan'!C:C,A198,'muddati otgan'!J:J,"Kadastr passportini shakllantirish")</f>
        <v>0</v>
      </c>
      <c r="CF198" s="11">
        <f>+COUNTIFS('muddati otgan'!C:C,A198,'muddati otgan'!J:J,"Yig'ma jildni tasdiqlash")</f>
        <v>0</v>
      </c>
      <c r="CG198" s="11">
        <f>+COUNTIFS('muddati otgan'!C:C,A198,'muddati otgan'!J:J,"To'lov yoki bepul tasdiqlash")</f>
        <v>0</v>
      </c>
      <c r="CH198" s="11">
        <f>+COUNTIFS('muddati otgan'!C:C,A198,'muddati otgan'!J:J,"Bog'liq arizani kutish")</f>
        <v>0</v>
      </c>
      <c r="CI198" s="11">
        <f>+COUNTIFS('muddati otgan'!C:C,A198,'muddati otgan'!J:J,"To'lovga chiqarish")</f>
        <v>0</v>
      </c>
      <c r="CJ198" s="11">
        <f>+COUNTIFS('muddati otgan'!C:C,A198,'muddati otgan'!J:J,"Hisobga qo'yish")</f>
        <v>0</v>
      </c>
      <c r="CK198" s="6">
        <f>+COUNTIFS('muddati otgan'!C:C,A198,'muddati otgan'!J:J,"To'lov kutilmoqda")</f>
        <v>0</v>
      </c>
      <c r="CL198" s="125">
        <f t="shared" si="36"/>
        <v>0</v>
      </c>
      <c r="CM198" s="125">
        <f>+COUNTIFS('muddati otgan'!C:C,A198,'muddati otgan'!AA:AA,"Arizani qabul qilish2")</f>
        <v>0</v>
      </c>
      <c r="CN198" s="125">
        <f>+COUNTIFS('muddati otgan'!C:C,A198,'muddati otgan'!J:J,"Huquqlarni tekshirish")</f>
        <v>0</v>
      </c>
      <c r="CO198" s="125">
        <f>+COUNTIFS('muddati otgan'!C:C,A198,'muddati otgan'!J:J,"Ko'chmas mulkni ro'yhatdan o'tkazishga qabul qilish")</f>
        <v>0</v>
      </c>
      <c r="CP198" s="125">
        <f>+COUNTIFS('muddati otgan'!C:C,A198,'muddati otgan'!J:J,"Ro'yxatdan o'tkazish")</f>
        <v>0</v>
      </c>
      <c r="CQ198" s="125">
        <f>+COUNTIFS('muddati otgan'!C:C,A198,'muddati otgan'!J:J,"Kadastr pasporti va ko'chirmani yuborish")</f>
        <v>0</v>
      </c>
      <c r="CR198" s="125">
        <f>+COUNTIFS('muddati otgan'!C:C,A198,'muddati otgan'!AA:AA,"Rad qilish2")</f>
        <v>0</v>
      </c>
      <c r="CS198" s="125">
        <f>+COUNTIFS('muddati otgan'!C:C,A198,'muddati otgan'!J:J,"Ko'chirmani yuborish")</f>
        <v>0</v>
      </c>
      <c r="CT198" s="125">
        <f>+COUNTIFS('muddati otgan'!C:C,A198,'muddati otgan'!J:J,"Ma‘lumotlarni tekshirish")</f>
        <v>0</v>
      </c>
      <c r="CU198" s="125">
        <f t="shared" si="37"/>
        <v>0</v>
      </c>
      <c r="CV198" s="125">
        <f>+COUNTIFS('muddati otgan'!C:C,A198,'muddati otgan'!J:J,"Kadastr yig'majildini chop etish va arxiv ishiga tikish")</f>
        <v>0</v>
      </c>
      <c r="CW198" s="125">
        <f t="shared" si="38"/>
        <v>0</v>
      </c>
      <c r="CX198" s="11">
        <f>+COUNTIFS('muddati otgan'!C:C,A198,'muddati otgan'!J:J,"Kadastr yig‘majildini qabul qilish, arizani yakunlash")</f>
        <v>0</v>
      </c>
      <c r="CY198" s="11">
        <f>+COUNTIFS('muddati otgan'!C:C,A198,'muddati otgan'!J:J,"Next Cloudga yuklash")</f>
        <v>0</v>
      </c>
      <c r="CZ198" s="6">
        <f>+COUNTIFS('muddati otgan'!C:C,A198,'muddati otgan'!J:J,"Kelishish kutilmoqda")</f>
        <v>0</v>
      </c>
      <c r="DA198" s="6">
        <f>+COUNTIFS('muddati otgan'!C:C,A198,'muddati otgan'!J:J,"Yakunlandi")</f>
        <v>0</v>
      </c>
      <c r="DB198" s="10">
        <f>+COUNTIFS('muddati otgan'!C:C,A198,'muddati otgan'!J:J,"Rad etildi")</f>
        <v>0</v>
      </c>
      <c r="DC198" s="100">
        <f t="shared" si="5"/>
        <v>0</v>
      </c>
      <c r="DD198" s="44">
        <f>COUNTIFS('jami 1-20 kunlik arizalar'!C:C,A:A,'jami 1-20 kunlik arizalar'!S:S,"1")</f>
        <v>0</v>
      </c>
      <c r="DE198" s="11">
        <f>COUNTIFS('jami 1-20 kunlik arizalar'!C:C,A:A,'jami 1-20 kunlik arizalar'!S:S,"2")</f>
        <v>0</v>
      </c>
      <c r="DF198" s="11">
        <f>COUNTIFS('jami 1-20 kunlik arizalar'!C:C,A:A,'jami 1-20 kunlik arizalar'!S:S,"3")</f>
        <v>0</v>
      </c>
      <c r="DG198" s="11">
        <f>COUNTIFS('jami 1-20 kunlik arizalar'!C:C,A:A,'jami 1-20 kunlik arizalar'!S:S,"4")</f>
        <v>1</v>
      </c>
      <c r="DH198" s="11">
        <f>COUNTIFS('jami 1-20 kunlik arizalar'!C:C,A:A,'jami 1-20 kunlik arizalar'!S:S,"5")</f>
        <v>0</v>
      </c>
      <c r="DI198" s="11">
        <f>SUM(COUNTIFS('jami 1-20 kunlik arizalar'!C:C,A:A, 'jami 1-20 kunlik arizalar'!S:S, {6,7,8,9,10}))</f>
        <v>0</v>
      </c>
      <c r="DJ198" s="12">
        <f>SUM(COUNTIFS('jami 1-20 kunlik arizalar'!C:C,A:A, 'jami 1-20 kunlik arizalar'!S:S, "&gt;10"))</f>
        <v>3</v>
      </c>
    </row>
    <row r="199" spans="1:115" ht="45" hidden="1" customHeight="1" outlineLevel="1" x14ac:dyDescent="0.25">
      <c r="A199" s="92" t="s">
        <v>470</v>
      </c>
      <c r="B199" s="74"/>
      <c r="C199" s="85" t="s">
        <v>890</v>
      </c>
      <c r="D199" s="80">
        <f>+COUNTIFS('muddati otgan'!C:C,A199,'muddati otgan'!C:C,A199)</f>
        <v>1</v>
      </c>
      <c r="E199" s="10">
        <f>SUMIFS('muddati otgan'!$V:V,'muddati otgan'!$C:C,$A:A)</f>
        <v>0</v>
      </c>
      <c r="F199" s="10">
        <f>SUMIFS('muddati otgan'!$W:W,'muddati otgan'!$C:C,$A:A)</f>
        <v>0</v>
      </c>
      <c r="G199" s="24">
        <f>SUMIFS('muddati otgan'!$U:U,'muddati otgan'!$C:C,$A:A)</f>
        <v>1</v>
      </c>
      <c r="H199" s="11">
        <f>SUMIFS('muddati otgan'!$G:G,'muddati otgan'!$C:C,$A:A)</f>
        <v>1</v>
      </c>
      <c r="I199" s="12">
        <f>SUMIFS('muddati otgan'!$H:H,'muddati otgan'!$C:C,$A:A)</f>
        <v>0</v>
      </c>
      <c r="J199" s="44">
        <f t="shared" si="23"/>
        <v>0</v>
      </c>
      <c r="K199" s="11">
        <f>+COUNTIFS('muddati otgan'!C:C,A199,'muddati otgan'!AA:AA,"Arizani qabul qilish")</f>
        <v>0</v>
      </c>
      <c r="L199" s="11">
        <f>+COUNTIFS('muddati otgan'!C:C,A199,'muddati otgan'!J:J,"Arizani rad etish")</f>
        <v>0</v>
      </c>
      <c r="M199" s="11">
        <f>+COUNTIFS('muddati otgan'!C:C,A199,'muddati otgan'!J:J,"Arizani tasdiqlash")</f>
        <v>0</v>
      </c>
      <c r="N199" s="11">
        <f>+COUNTIFS('muddati otgan'!C:C,A199,'muddati otgan'!J:J,"Arizani yo'naltirish")</f>
        <v>0</v>
      </c>
      <c r="O199" s="11">
        <f>+COUNTIFS('muddati otgan'!C:C,A199,'muddati otgan'!J:J,"Rad qilish sababini o'rganish")</f>
        <v>0</v>
      </c>
      <c r="P199" s="11">
        <f>+COUNTIFS('muddati otgan'!C:C,A199,'muddati otgan'!J:J,"Ko'chmas mulkni UZKAD ga migratsiya qilish")</f>
        <v>0</v>
      </c>
      <c r="Q199" s="11">
        <f>+COUNTIFS('muddati otgan'!C:C,A199,'muddati otgan'!J:J,"Migratisya qilingan obyekt holatini tekshirish")</f>
        <v>0</v>
      </c>
      <c r="R199" s="11">
        <f>+COUNTIFS('muddati otgan'!C:C,A199,'muddati otgan'!J:J,"Ko‘chmas mulkni tanlash")</f>
        <v>0</v>
      </c>
      <c r="S199" s="11">
        <f>+COUNTIFS('muddati otgan'!C:C,A199,'muddati otgan'!J:J,"Arizani ko'rib chiqish")</f>
        <v>0</v>
      </c>
      <c r="T199" s="11">
        <f>+COUNTIFS('muddati otgan'!C:C,A199,'muddati otgan'!J:J,"Kadastr muhandisini tanlash")</f>
        <v>0</v>
      </c>
      <c r="U199" s="11">
        <f>+COUNTIFS('muddati otgan'!C:C,A199,'muddati otgan'!J:J,"Ko'chmas mulk turini tanlahsh")</f>
        <v>0</v>
      </c>
      <c r="V199" s="11">
        <f>+COUNTIFS('muddati otgan'!C:C,A199,'muddati otgan'!AA:AA,"Rad qilish")</f>
        <v>0</v>
      </c>
      <c r="W199" s="11">
        <f>+COUNTIFS('muddati otgan'!C:C,A199,'muddati otgan'!J:J,"ijrochi tanlash")</f>
        <v>0</v>
      </c>
      <c r="X199" s="11">
        <f>+COUNTIFS('muddati otgan'!C:C,A199,'muddati otgan'!J:J,"Ko'chmas mulk turini tanlash")</f>
        <v>0</v>
      </c>
      <c r="Y199" s="11">
        <f t="shared" si="24"/>
        <v>1</v>
      </c>
      <c r="Z199" s="11">
        <f>+COUNTIFS('muddati otgan'!C:C,A199,'muddati otgan'!J:J,"Ijroga qabul qilish")</f>
        <v>0</v>
      </c>
      <c r="AA199" s="11">
        <f>+COUNTIFS('muddati otgan'!C:C,A199,'muddati otgan'!J:J,"Joyida o'rganish va ma'lumotlarni kiritish")</f>
        <v>0</v>
      </c>
      <c r="AB199" s="11">
        <f>+COUNTIFS('muddati otgan'!C:C,A199,'muddati otgan'!J:J,"Asosiy qismdan ajratish jarayonida")</f>
        <v>0</v>
      </c>
      <c r="AC199" s="11">
        <f>+COUNTIFS('muddati otgan'!C:C,A199,'muddati otgan'!J:J,"Umumiy foydalanishdagi obyekt yaratilish")</f>
        <v>0</v>
      </c>
      <c r="AD199" s="11">
        <f>+COUNTIFS('muddati otgan'!C:C,A199,'muddati otgan'!J:J,"Migratsiya qilinadigan kadastr raqamini kiritish")</f>
        <v>0</v>
      </c>
      <c r="AE199" s="11">
        <f>+COUNTIFS('muddati otgan'!C:C,A199,'muddati otgan'!J:J,"O'zida qolgan obyektni yaratish")</f>
        <v>0</v>
      </c>
      <c r="AF199" s="11">
        <f>+COUNTIFS('muddati otgan'!C:C,A199,'muddati otgan'!J:J,"O'lchov natijalarini kiritish")</f>
        <v>1</v>
      </c>
      <c r="AG199" s="11">
        <f>+COUNTIFS('muddati otgan'!C:C,A199,'muddati otgan'!J:J,"Topoxaritani tayyorlash (dwg, pdf)")</f>
        <v>0</v>
      </c>
      <c r="AH199" s="11">
        <f t="shared" si="25"/>
        <v>0</v>
      </c>
      <c r="AI199" s="11">
        <f>+COUNTIFS('muddati otgan'!C:C,A199,'muddati otgan'!J:J,"Yer uchastkasini yaratish")</f>
        <v>0</v>
      </c>
      <c r="AJ199" s="11">
        <f t="shared" si="26"/>
        <v>0</v>
      </c>
      <c r="AK199" s="11">
        <f>+COUNTIFS('muddati otgan'!C:C,A199,'muddati otgan'!J:J,"Kelishish (Boshqarma)")</f>
        <v>0</v>
      </c>
      <c r="AL199" s="11">
        <f t="shared" si="27"/>
        <v>0</v>
      </c>
      <c r="AM199" s="11">
        <f>+COUNTIFS('muddati otgan'!C:C,A199,'muddati otgan'!J:J,"Kelishish (DKP)")</f>
        <v>0</v>
      </c>
      <c r="AN199" s="11">
        <f>+COUNTIFS('muddati otgan'!C:C,A199,'muddati otgan'!J:J,"Kelishish")</f>
        <v>0</v>
      </c>
      <c r="AO199" s="11">
        <f>+COUNTIFS('muddati otgan'!C:C,A199,'muddati otgan'!J:J,"Kelishish (Registratsiya DKP)")</f>
        <v>0</v>
      </c>
      <c r="AP199" s="11">
        <f t="shared" si="28"/>
        <v>0</v>
      </c>
      <c r="AQ199" s="11">
        <f>+COUNTIFS('muddati otgan'!C:C,A199,'muddati otgan'!J:J,"Manzil biriktirish")</f>
        <v>0</v>
      </c>
      <c r="AR199" s="11">
        <f>+COUNTIFS('muddati otgan'!C:C,A199,'muddati otgan'!J:J,"Bino va inshootlarni yaratish")</f>
        <v>0</v>
      </c>
      <c r="AS199" s="11">
        <f>+COUNTIFS('muddati otgan'!C:C,A199,'muddati otgan'!J:J,"Dov daraxtlarni yaratish")</f>
        <v>0</v>
      </c>
      <c r="AT199" s="11">
        <f>+COUNTIFS('muddati otgan'!C:C,A199,'muddati otgan'!J:J,"Yer uchastkasini tahrirlash")</f>
        <v>0</v>
      </c>
      <c r="AU199" s="11">
        <f t="shared" si="29"/>
        <v>0</v>
      </c>
      <c r="AV199" s="11">
        <f>+COUNTIFS('muddati otgan'!C:C,A199,'muddati otgan'!J:J,"Yer toifasi va maqsadini kiritish")</f>
        <v>0</v>
      </c>
      <c r="AW199" s="11">
        <f>+COUNTIFS('muddati otgan'!C:C,A199,'muddati otgan'!J:J,"Auksion yer tekshirish")</f>
        <v>0</v>
      </c>
      <c r="AX199" s="11">
        <f>+COUNTIFS('muddati otgan'!C:C,A199,'muddati otgan'!J:J,"Yer turlarini kiritish")</f>
        <v>0</v>
      </c>
      <c r="AY199" s="11">
        <f>+COUNTIFS('muddati otgan'!C:C,A199,'muddati otgan'!J:J,"Ma'lumotlarni kiritish")</f>
        <v>0</v>
      </c>
      <c r="AZ199" s="11">
        <f>+COUNTIFS('muddati otgan'!C:C,A199,'muddati otgan'!J:J,"Yer tekshirish")</f>
        <v>0</v>
      </c>
      <c r="BA199" s="11">
        <f t="shared" si="30"/>
        <v>0</v>
      </c>
      <c r="BB199" s="11">
        <f>+COUNTIFS('muddati otgan'!C:C,A199,'muddati otgan'!J:J,"Bino va inshoot ma'lumotlarini to‘ldirish")</f>
        <v>0</v>
      </c>
      <c r="BC199" s="11">
        <f>+COUNTIFS('muddati otgan'!C:C,A199,'muddati otgan'!J:J,"Inventarizatsiya ma'lumotlarini to‘ldirish")</f>
        <v>0</v>
      </c>
      <c r="BD199" s="11">
        <f>+COUNTIFS('muddati otgan'!C:C,A199,'muddati otgan'!J:J,"Yer uchastkasiga huquqiy hujjatlarni kiritsh")</f>
        <v>0</v>
      </c>
      <c r="BE199" s="11">
        <f>+COUNTIFS('muddati otgan'!C:C,A199,'muddati otgan'!J:J,"Bino-inshootlarga huquqiy hujjatlarni kiritsh")</f>
        <v>0</v>
      </c>
      <c r="BF199" s="11">
        <f>+COUNTIFS('muddati otgan'!C:C,A199,'muddati otgan'!J:J,"Kadastr qiymatini hisoblash va kiritish")</f>
        <v>0</v>
      </c>
      <c r="BG199" s="11">
        <f>+COUNTIFS('muddati otgan'!C:C,A199,'muddati otgan'!J:J,"Kadastr raqam biriktirish")</f>
        <v>0</v>
      </c>
      <c r="BH199" s="11">
        <f>+COUNTIFS('muddati otgan'!C:C,A199,'muddati otgan'!J:J,"Kadastr yig'ma jildni tayyorlash")</f>
        <v>0</v>
      </c>
      <c r="BI199" s="11">
        <f>+COUNTIFS('muddati otgan'!C:C,A199,'muddati otgan'!J:J,"Huquqni yaratish")</f>
        <v>0</v>
      </c>
      <c r="BJ199" s="11">
        <f>+COUNTIFS('muddati otgan'!C:C,A199,'muddati otgan'!J:J,"Hujjatlarni o'rganish")</f>
        <v>0</v>
      </c>
      <c r="BK199" s="11">
        <f>+COUNTIFS('muddati otgan'!C:C,A199,'muddati otgan'!J:J,"Ma'lumotlarni tekshirish")</f>
        <v>0</v>
      </c>
      <c r="BL199" s="11">
        <f t="shared" si="31"/>
        <v>0</v>
      </c>
      <c r="BM199" s="11">
        <f>+COUNTIFS('muddati otgan'!C:C,A199,'muddati otgan'!J:J,"Tekshirish")</f>
        <v>0</v>
      </c>
      <c r="BN199" s="11">
        <f>+COUNTIFS('muddati otgan'!C:C,A199,'muddati otgan'!J:J,"Hujjatlarni tekshirish")</f>
        <v>0</v>
      </c>
      <c r="BO199" s="11">
        <f>+COUNTIFS('muddati otgan'!C:C,A199,'muddati otgan'!J:J,"Tasdiqlash")</f>
        <v>0</v>
      </c>
      <c r="BP199" s="11">
        <f>+COUNTIFS('muddati otgan'!C:C,A199,'muddati otgan'!J:J,"tekshirish/tasdiqlash")</f>
        <v>0</v>
      </c>
      <c r="BQ199" s="11">
        <f>+COUNTIFS('muddati otgan'!C:C,A199,'muddati otgan'!J:J,"Ma'lumotlarni tasdiqlash")</f>
        <v>0</v>
      </c>
      <c r="BR199" s="11">
        <f t="shared" si="32"/>
        <v>0</v>
      </c>
      <c r="BS199" s="11">
        <f>+COUNTIFS('muddati otgan'!C:C,A199,'muddati otgan'!J:J,"Ro'yxatdan o'tkazish ma'lumotlarini tekshirish")</f>
        <v>0</v>
      </c>
      <c r="BT199" s="11">
        <f>+COUNTIFS('muddati otgan'!C:C,A199,'muddati otgan'!J:J,"Kamchiliklar bo'yicha habarnoma yuborish va 3 kunga to'xtatish")</f>
        <v>0</v>
      </c>
      <c r="BU199" s="11">
        <f>+COUNTIFS('muddati otgan'!C:C,A199,'muddati otgan'!J:J,"Hisobga olish")</f>
        <v>0</v>
      </c>
      <c r="BV199" s="11">
        <f>+COUNTIFS('muddati otgan'!C:C,A199,'muddati otgan'!J:J,"Yer uchastkasiga huquq yaratish")</f>
        <v>0</v>
      </c>
      <c r="BW199" s="11">
        <f>+COUNTIFS('muddati otgan'!C:C,A199,'muddati otgan'!J:J,"Bino-inshootga huquq yaratish")</f>
        <v>0</v>
      </c>
      <c r="BX199" s="11">
        <f>+COUNTIFS('muddati otgan'!C:C,A199,'muddati otgan'!J:J,"Cheklov yaratish")</f>
        <v>0</v>
      </c>
      <c r="BY199" s="11">
        <f>+COUNTIFS('muddati otgan'!C:C,A199,'muddati otgan'!J:J,"Taqiq yaratish")</f>
        <v>0</v>
      </c>
      <c r="BZ199" s="11">
        <f t="shared" si="33"/>
        <v>0</v>
      </c>
      <c r="CA199" s="11">
        <f>+COUNTIFS('muddati otgan'!C:C,A199,'muddati otgan'!J:J,"Soliq maydonini tekshirish")</f>
        <v>0</v>
      </c>
      <c r="CB199" s="11">
        <f t="shared" si="34"/>
        <v>0</v>
      </c>
      <c r="CC199" s="11">
        <f>+COUNTIFS('muddati otgan'!C:C,A199,'muddati otgan'!J:J,"Kadastr yig'majildini shakllantirish")</f>
        <v>0</v>
      </c>
      <c r="CD199" s="11">
        <f t="shared" si="35"/>
        <v>0</v>
      </c>
      <c r="CE199" s="11">
        <f>+COUNTIFS('muddati otgan'!C:C,A199,'muddati otgan'!J:J,"Kadastr passportini shakllantirish")</f>
        <v>0</v>
      </c>
      <c r="CF199" s="11">
        <f>+COUNTIFS('muddati otgan'!C:C,A199,'muddati otgan'!J:J,"Yig'ma jildni tasdiqlash")</f>
        <v>0</v>
      </c>
      <c r="CG199" s="11">
        <f>+COUNTIFS('muddati otgan'!C:C,A199,'muddati otgan'!J:J,"To'lov yoki bepul tasdiqlash")</f>
        <v>0</v>
      </c>
      <c r="CH199" s="11">
        <f>+COUNTIFS('muddati otgan'!C:C,A199,'muddati otgan'!J:J,"Bog'liq arizani kutish")</f>
        <v>0</v>
      </c>
      <c r="CI199" s="11">
        <f>+COUNTIFS('muddati otgan'!C:C,A199,'muddati otgan'!J:J,"To'lovga chiqarish")</f>
        <v>0</v>
      </c>
      <c r="CJ199" s="11">
        <f>+COUNTIFS('muddati otgan'!C:C,A199,'muddati otgan'!J:J,"Hisobga qo'yish")</f>
        <v>0</v>
      </c>
      <c r="CK199" s="6">
        <f>+COUNTIFS('muddati otgan'!C:C,A199,'muddati otgan'!J:J,"To'lov kutilmoqda")</f>
        <v>0</v>
      </c>
      <c r="CL199" s="125">
        <f t="shared" si="36"/>
        <v>0</v>
      </c>
      <c r="CM199" s="125">
        <f>+COUNTIFS('muddati otgan'!C:C,A199,'muddati otgan'!AA:AA,"Arizani qabul qilish2")</f>
        <v>0</v>
      </c>
      <c r="CN199" s="125">
        <f>+COUNTIFS('muddati otgan'!C:C,A199,'muddati otgan'!J:J,"Huquqlarni tekshirish")</f>
        <v>0</v>
      </c>
      <c r="CO199" s="125">
        <f>+COUNTIFS('muddati otgan'!C:C,A199,'muddati otgan'!J:J,"Ko'chmas mulkni ro'yhatdan o'tkazishga qabul qilish")</f>
        <v>0</v>
      </c>
      <c r="CP199" s="125">
        <f>+COUNTIFS('muddati otgan'!C:C,A199,'muddati otgan'!J:J,"Ro'yxatdan o'tkazish")</f>
        <v>0</v>
      </c>
      <c r="CQ199" s="125">
        <f>+COUNTIFS('muddati otgan'!C:C,A199,'muddati otgan'!J:J,"Kadastr pasporti va ko'chirmani yuborish")</f>
        <v>0</v>
      </c>
      <c r="CR199" s="125">
        <f>+COUNTIFS('muddati otgan'!C:C,A199,'muddati otgan'!AA:AA,"Rad qilish2")</f>
        <v>0</v>
      </c>
      <c r="CS199" s="125">
        <f>+COUNTIFS('muddati otgan'!C:C,A199,'muddati otgan'!J:J,"Ko'chirmani yuborish")</f>
        <v>0</v>
      </c>
      <c r="CT199" s="125">
        <f>+COUNTIFS('muddati otgan'!C:C,A199,'muddati otgan'!J:J,"Ma‘lumotlarni tekshirish")</f>
        <v>0</v>
      </c>
      <c r="CU199" s="125">
        <f t="shared" si="37"/>
        <v>0</v>
      </c>
      <c r="CV199" s="125">
        <f>+COUNTIFS('muddati otgan'!C:C,A199,'muddati otgan'!J:J,"Kadastr yig'majildini chop etish va arxiv ishiga tikish")</f>
        <v>0</v>
      </c>
      <c r="CW199" s="125">
        <f t="shared" si="38"/>
        <v>0</v>
      </c>
      <c r="CX199" s="11">
        <f>+COUNTIFS('muddati otgan'!C:C,A199,'muddati otgan'!J:J,"Kadastr yig‘majildini qabul qilish, arizani yakunlash")</f>
        <v>0</v>
      </c>
      <c r="CY199" s="11">
        <f>+COUNTIFS('muddati otgan'!C:C,A199,'muddati otgan'!J:J,"Next Cloudga yuklash")</f>
        <v>0</v>
      </c>
      <c r="CZ199" s="6">
        <f>+COUNTIFS('muddati otgan'!C:C,A199,'muddati otgan'!J:J,"Kelishish kutilmoqda")</f>
        <v>0</v>
      </c>
      <c r="DA199" s="6">
        <f>+COUNTIFS('muddati otgan'!C:C,A199,'muddati otgan'!J:J,"Yakunlandi")</f>
        <v>0</v>
      </c>
      <c r="DB199" s="10">
        <f>+COUNTIFS('muddati otgan'!C:C,A199,'muddati otgan'!J:J,"Rad etildi")</f>
        <v>0</v>
      </c>
      <c r="DC199" s="100">
        <f t="shared" si="5"/>
        <v>-1</v>
      </c>
      <c r="DD199" s="44">
        <f>COUNTIFS('jami 1-20 kunlik arizalar'!C:C,A:A,'jami 1-20 kunlik arizalar'!S:S,"1")</f>
        <v>0</v>
      </c>
      <c r="DE199" s="11">
        <f>COUNTIFS('jami 1-20 kunlik arizalar'!C:C,A:A,'jami 1-20 kunlik arizalar'!S:S,"2")</f>
        <v>0</v>
      </c>
      <c r="DF199" s="11">
        <f>COUNTIFS('jami 1-20 kunlik arizalar'!C:C,A:A,'jami 1-20 kunlik arizalar'!S:S,"3")</f>
        <v>0</v>
      </c>
      <c r="DG199" s="11">
        <f>COUNTIFS('jami 1-20 kunlik arizalar'!C:C,A:A,'jami 1-20 kunlik arizalar'!S:S,"4")</f>
        <v>5</v>
      </c>
      <c r="DH199" s="11">
        <f>COUNTIFS('jami 1-20 kunlik arizalar'!C:C,A:A,'jami 1-20 kunlik arizalar'!S:S,"5")</f>
        <v>0</v>
      </c>
      <c r="DI199" s="11">
        <f>SUM(COUNTIFS('jami 1-20 kunlik arizalar'!C:C,A:A, 'jami 1-20 kunlik arizalar'!S:S, {6,7,8,9,10}))</f>
        <v>1</v>
      </c>
      <c r="DJ199" s="12">
        <f>SUM(COUNTIFS('jami 1-20 kunlik arizalar'!C:C,A:A, 'jami 1-20 kunlik arizalar'!S:S, "&gt;10"))</f>
        <v>1</v>
      </c>
    </row>
    <row r="200" spans="1:115" ht="45" hidden="1" customHeight="1" outlineLevel="1" x14ac:dyDescent="0.25">
      <c r="A200" s="92" t="s">
        <v>463</v>
      </c>
      <c r="B200" s="74"/>
      <c r="C200" s="85" t="s">
        <v>891</v>
      </c>
      <c r="D200" s="80">
        <f>+COUNTIFS('muddati otgan'!C:C,A200,'muddati otgan'!C:C,A200)</f>
        <v>2</v>
      </c>
      <c r="E200" s="10">
        <f>SUMIFS('muddati otgan'!$V:V,'muddati otgan'!$C:C,$A:A)</f>
        <v>1</v>
      </c>
      <c r="F200" s="10">
        <f>SUMIFS('muddati otgan'!$W:W,'muddati otgan'!$C:C,$A:A)</f>
        <v>0</v>
      </c>
      <c r="G200" s="24">
        <f>SUMIFS('muddati otgan'!$U:U,'muddati otgan'!$C:C,$A:A)</f>
        <v>1</v>
      </c>
      <c r="H200" s="11">
        <f>SUMIFS('muddati otgan'!$G:G,'muddati otgan'!$C:C,$A:A)</f>
        <v>1</v>
      </c>
      <c r="I200" s="12">
        <f>SUMIFS('muddati otgan'!$H:H,'muddati otgan'!$C:C,$A:A)</f>
        <v>1</v>
      </c>
      <c r="J200" s="44">
        <f t="shared" si="23"/>
        <v>0</v>
      </c>
      <c r="K200" s="11">
        <f>+COUNTIFS('muddati otgan'!C:C,A200,'muddati otgan'!AA:AA,"Arizani qabul qilish")</f>
        <v>0</v>
      </c>
      <c r="L200" s="11">
        <f>+COUNTIFS('muddati otgan'!C:C,A200,'muddati otgan'!J:J,"Arizani rad etish")</f>
        <v>0</v>
      </c>
      <c r="M200" s="11">
        <f>+COUNTIFS('muddati otgan'!C:C,A200,'muddati otgan'!J:J,"Arizani tasdiqlash")</f>
        <v>0</v>
      </c>
      <c r="N200" s="11">
        <f>+COUNTIFS('muddati otgan'!C:C,A200,'muddati otgan'!J:J,"Arizani yo'naltirish")</f>
        <v>0</v>
      </c>
      <c r="O200" s="11">
        <f>+COUNTIFS('muddati otgan'!C:C,A200,'muddati otgan'!J:J,"Rad qilish sababini o'rganish")</f>
        <v>0</v>
      </c>
      <c r="P200" s="11">
        <f>+COUNTIFS('muddati otgan'!C:C,A200,'muddati otgan'!J:J,"Ko'chmas mulkni UZKAD ga migratsiya qilish")</f>
        <v>0</v>
      </c>
      <c r="Q200" s="11">
        <f>+COUNTIFS('muddati otgan'!C:C,A200,'muddati otgan'!J:J,"Migratisya qilingan obyekt holatini tekshirish")</f>
        <v>0</v>
      </c>
      <c r="R200" s="11">
        <f>+COUNTIFS('muddati otgan'!C:C,A200,'muddati otgan'!J:J,"Ko‘chmas mulkni tanlash")</f>
        <v>0</v>
      </c>
      <c r="S200" s="11">
        <f>+COUNTIFS('muddati otgan'!C:C,A200,'muddati otgan'!J:J,"Arizani ko'rib chiqish")</f>
        <v>0</v>
      </c>
      <c r="T200" s="11">
        <f>+COUNTIFS('muddati otgan'!C:C,A200,'muddati otgan'!J:J,"Kadastr muhandisini tanlash")</f>
        <v>0</v>
      </c>
      <c r="U200" s="11">
        <f>+COUNTIFS('muddati otgan'!C:C,A200,'muddati otgan'!J:J,"Ko'chmas mulk turini tanlahsh")</f>
        <v>0</v>
      </c>
      <c r="V200" s="11">
        <f>+COUNTIFS('muddati otgan'!C:C,A200,'muddati otgan'!AA:AA,"Rad qilish")</f>
        <v>0</v>
      </c>
      <c r="W200" s="11">
        <f>+COUNTIFS('muddati otgan'!C:C,A200,'muddati otgan'!J:J,"ijrochi tanlash")</f>
        <v>0</v>
      </c>
      <c r="X200" s="11">
        <f>+COUNTIFS('muddati otgan'!C:C,A200,'muddati otgan'!J:J,"Ko'chmas mulk turini tanlash")</f>
        <v>0</v>
      </c>
      <c r="Y200" s="11">
        <f t="shared" si="24"/>
        <v>0</v>
      </c>
      <c r="Z200" s="11">
        <f>+COUNTIFS('muddati otgan'!C:C,A200,'muddati otgan'!J:J,"Ijroga qabul qilish")</f>
        <v>0</v>
      </c>
      <c r="AA200" s="11">
        <f>+COUNTIFS('muddati otgan'!C:C,A200,'muddati otgan'!J:J,"Joyida o'rganish va ma'lumotlarni kiritish")</f>
        <v>0</v>
      </c>
      <c r="AB200" s="11">
        <f>+COUNTIFS('muddati otgan'!C:C,A200,'muddati otgan'!J:J,"Asosiy qismdan ajratish jarayonida")</f>
        <v>0</v>
      </c>
      <c r="AC200" s="11">
        <f>+COUNTIFS('muddati otgan'!C:C,A200,'muddati otgan'!J:J,"Umumiy foydalanishdagi obyekt yaratilish")</f>
        <v>0</v>
      </c>
      <c r="AD200" s="11">
        <f>+COUNTIFS('muddati otgan'!C:C,A200,'muddati otgan'!J:J,"Migratsiya qilinadigan kadastr raqamini kiritish")</f>
        <v>0</v>
      </c>
      <c r="AE200" s="11">
        <f>+COUNTIFS('muddati otgan'!C:C,A200,'muddati otgan'!J:J,"O'zida qolgan obyektni yaratish")</f>
        <v>0</v>
      </c>
      <c r="AF200" s="11">
        <f>+COUNTIFS('muddati otgan'!C:C,A200,'muddati otgan'!J:J,"O'lchov natijalarini kiritish")</f>
        <v>0</v>
      </c>
      <c r="AG200" s="11">
        <f>+COUNTIFS('muddati otgan'!C:C,A200,'muddati otgan'!J:J,"Topoxaritani tayyorlash (dwg, pdf)")</f>
        <v>0</v>
      </c>
      <c r="AH200" s="11">
        <f t="shared" si="25"/>
        <v>0</v>
      </c>
      <c r="AI200" s="11">
        <f>+COUNTIFS('muddati otgan'!C:C,A200,'muddati otgan'!J:J,"Yer uchastkasini yaratish")</f>
        <v>0</v>
      </c>
      <c r="AJ200" s="11">
        <f t="shared" si="26"/>
        <v>0</v>
      </c>
      <c r="AK200" s="11">
        <f>+COUNTIFS('muddati otgan'!C:C,A200,'muddati otgan'!J:J,"Kelishish (Boshqarma)")</f>
        <v>0</v>
      </c>
      <c r="AL200" s="11">
        <f t="shared" si="27"/>
        <v>0</v>
      </c>
      <c r="AM200" s="11">
        <f>+COUNTIFS('muddati otgan'!C:C,A200,'muddati otgan'!J:J,"Kelishish (DKP)")</f>
        <v>0</v>
      </c>
      <c r="AN200" s="11">
        <f>+COUNTIFS('muddati otgan'!C:C,A200,'muddati otgan'!J:J,"Kelishish")</f>
        <v>0</v>
      </c>
      <c r="AO200" s="11">
        <f>+COUNTIFS('muddati otgan'!C:C,A200,'muddati otgan'!J:J,"Kelishish (Registratsiya DKP)")</f>
        <v>0</v>
      </c>
      <c r="AP200" s="11">
        <f t="shared" si="28"/>
        <v>0</v>
      </c>
      <c r="AQ200" s="11">
        <f>+COUNTIFS('muddati otgan'!C:C,A200,'muddati otgan'!J:J,"Manzil biriktirish")</f>
        <v>0</v>
      </c>
      <c r="AR200" s="11">
        <f>+COUNTIFS('muddati otgan'!C:C,A200,'muddati otgan'!J:J,"Bino va inshootlarni yaratish")</f>
        <v>0</v>
      </c>
      <c r="AS200" s="11">
        <f>+COUNTIFS('muddati otgan'!C:C,A200,'muddati otgan'!J:J,"Dov daraxtlarni yaratish")</f>
        <v>0</v>
      </c>
      <c r="AT200" s="11">
        <f>+COUNTIFS('muddati otgan'!C:C,A200,'muddati otgan'!J:J,"Yer uchastkasini tahrirlash")</f>
        <v>0</v>
      </c>
      <c r="AU200" s="11">
        <f t="shared" si="29"/>
        <v>0</v>
      </c>
      <c r="AV200" s="11">
        <f>+COUNTIFS('muddati otgan'!C:C,A200,'muddati otgan'!J:J,"Yer toifasi va maqsadini kiritish")</f>
        <v>0</v>
      </c>
      <c r="AW200" s="11">
        <f>+COUNTIFS('muddati otgan'!C:C,A200,'muddati otgan'!J:J,"Auksion yer tekshirish")</f>
        <v>0</v>
      </c>
      <c r="AX200" s="11">
        <f>+COUNTIFS('muddati otgan'!C:C,A200,'muddati otgan'!J:J,"Yer turlarini kiritish")</f>
        <v>0</v>
      </c>
      <c r="AY200" s="11">
        <f>+COUNTIFS('muddati otgan'!C:C,A200,'muddati otgan'!J:J,"Ma'lumotlarni kiritish")</f>
        <v>0</v>
      </c>
      <c r="AZ200" s="11">
        <f>+COUNTIFS('muddati otgan'!C:C,A200,'muddati otgan'!J:J,"Yer tekshirish")</f>
        <v>0</v>
      </c>
      <c r="BA200" s="11">
        <f t="shared" si="30"/>
        <v>0</v>
      </c>
      <c r="BB200" s="11">
        <f>+COUNTIFS('muddati otgan'!C:C,A200,'muddati otgan'!J:J,"Bino va inshoot ma'lumotlarini to‘ldirish")</f>
        <v>0</v>
      </c>
      <c r="BC200" s="11">
        <f>+COUNTIFS('muddati otgan'!C:C,A200,'muddati otgan'!J:J,"Inventarizatsiya ma'lumotlarini to‘ldirish")</f>
        <v>0</v>
      </c>
      <c r="BD200" s="11">
        <f>+COUNTIFS('muddati otgan'!C:C,A200,'muddati otgan'!J:J,"Yer uchastkasiga huquqiy hujjatlarni kiritsh")</f>
        <v>0</v>
      </c>
      <c r="BE200" s="11">
        <f>+COUNTIFS('muddati otgan'!C:C,A200,'muddati otgan'!J:J,"Bino-inshootlarga huquqiy hujjatlarni kiritsh")</f>
        <v>0</v>
      </c>
      <c r="BF200" s="11">
        <f>+COUNTIFS('muddati otgan'!C:C,A200,'muddati otgan'!J:J,"Kadastr qiymatini hisoblash va kiritish")</f>
        <v>0</v>
      </c>
      <c r="BG200" s="11">
        <f>+COUNTIFS('muddati otgan'!C:C,A200,'muddati otgan'!J:J,"Kadastr raqam biriktirish")</f>
        <v>0</v>
      </c>
      <c r="BH200" s="11">
        <f>+COUNTIFS('muddati otgan'!C:C,A200,'muddati otgan'!J:J,"Kadastr yig'ma jildni tayyorlash")</f>
        <v>0</v>
      </c>
      <c r="BI200" s="11">
        <f>+COUNTIFS('muddati otgan'!C:C,A200,'muddati otgan'!J:J,"Huquqni yaratish")</f>
        <v>0</v>
      </c>
      <c r="BJ200" s="11">
        <f>+COUNTIFS('muddati otgan'!C:C,A200,'muddati otgan'!J:J,"Hujjatlarni o'rganish")</f>
        <v>0</v>
      </c>
      <c r="BK200" s="11">
        <f>+COUNTIFS('muddati otgan'!C:C,A200,'muddati otgan'!J:J,"Ma'lumotlarni tekshirish")</f>
        <v>0</v>
      </c>
      <c r="BL200" s="11">
        <f t="shared" si="31"/>
        <v>0</v>
      </c>
      <c r="BM200" s="11">
        <f>+COUNTIFS('muddati otgan'!C:C,A200,'muddati otgan'!J:J,"Tekshirish")</f>
        <v>0</v>
      </c>
      <c r="BN200" s="11">
        <f>+COUNTIFS('muddati otgan'!C:C,A200,'muddati otgan'!J:J,"Hujjatlarni tekshirish")</f>
        <v>0</v>
      </c>
      <c r="BO200" s="11">
        <f>+COUNTIFS('muddati otgan'!C:C,A200,'muddati otgan'!J:J,"Tasdiqlash")</f>
        <v>0</v>
      </c>
      <c r="BP200" s="11">
        <f>+COUNTIFS('muddati otgan'!C:C,A200,'muddati otgan'!J:J,"tekshirish/tasdiqlash")</f>
        <v>0</v>
      </c>
      <c r="BQ200" s="11">
        <f>+COUNTIFS('muddati otgan'!C:C,A200,'muddati otgan'!J:J,"Ma'lumotlarni tasdiqlash")</f>
        <v>0</v>
      </c>
      <c r="BR200" s="11">
        <f t="shared" si="32"/>
        <v>0</v>
      </c>
      <c r="BS200" s="11">
        <f>+COUNTIFS('muddati otgan'!C:C,A200,'muddati otgan'!J:J,"Ro'yxatdan o'tkazish ma'lumotlarini tekshirish")</f>
        <v>0</v>
      </c>
      <c r="BT200" s="11">
        <f>+COUNTIFS('muddati otgan'!C:C,A200,'muddati otgan'!J:J,"Kamchiliklar bo'yicha habarnoma yuborish va 3 kunga to'xtatish")</f>
        <v>0</v>
      </c>
      <c r="BU200" s="11">
        <f>+COUNTIFS('muddati otgan'!C:C,A200,'muddati otgan'!J:J,"Hisobga olish")</f>
        <v>0</v>
      </c>
      <c r="BV200" s="11">
        <f>+COUNTIFS('muddati otgan'!C:C,A200,'muddati otgan'!J:J,"Yer uchastkasiga huquq yaratish")</f>
        <v>0</v>
      </c>
      <c r="BW200" s="11">
        <f>+COUNTIFS('muddati otgan'!C:C,A200,'muddati otgan'!J:J,"Bino-inshootga huquq yaratish")</f>
        <v>0</v>
      </c>
      <c r="BX200" s="11">
        <f>+COUNTIFS('muddati otgan'!C:C,A200,'muddati otgan'!J:J,"Cheklov yaratish")</f>
        <v>0</v>
      </c>
      <c r="BY200" s="11">
        <f>+COUNTIFS('muddati otgan'!C:C,A200,'muddati otgan'!J:J,"Taqiq yaratish")</f>
        <v>0</v>
      </c>
      <c r="BZ200" s="11">
        <f t="shared" si="33"/>
        <v>0</v>
      </c>
      <c r="CA200" s="11">
        <f>+COUNTIFS('muddati otgan'!C:C,A200,'muddati otgan'!J:J,"Soliq maydonini tekshirish")</f>
        <v>0</v>
      </c>
      <c r="CB200" s="11">
        <f t="shared" si="34"/>
        <v>0</v>
      </c>
      <c r="CC200" s="11">
        <f>+COUNTIFS('muddati otgan'!C:C,A200,'muddati otgan'!J:J,"Kadastr yig'majildini shakllantirish")</f>
        <v>0</v>
      </c>
      <c r="CD200" s="11">
        <f t="shared" si="35"/>
        <v>2</v>
      </c>
      <c r="CE200" s="11">
        <f>+COUNTIFS('muddati otgan'!C:C,A200,'muddati otgan'!J:J,"Kadastr passportini shakllantirish")</f>
        <v>0</v>
      </c>
      <c r="CF200" s="11">
        <f>+COUNTIFS('muddati otgan'!C:C,A200,'muddati otgan'!J:J,"Yig'ma jildni tasdiqlash")</f>
        <v>0</v>
      </c>
      <c r="CG200" s="11">
        <f>+COUNTIFS('muddati otgan'!C:C,A200,'muddati otgan'!J:J,"To'lov yoki bepul tasdiqlash")</f>
        <v>0</v>
      </c>
      <c r="CH200" s="11">
        <f>+COUNTIFS('muddati otgan'!C:C,A200,'muddati otgan'!J:J,"Bog'liq arizani kutish")</f>
        <v>2</v>
      </c>
      <c r="CI200" s="11">
        <f>+COUNTIFS('muddati otgan'!C:C,A200,'muddati otgan'!J:J,"To'lovga chiqarish")</f>
        <v>0</v>
      </c>
      <c r="CJ200" s="11">
        <f>+COUNTIFS('muddati otgan'!C:C,A200,'muddati otgan'!J:J,"Hisobga qo'yish")</f>
        <v>0</v>
      </c>
      <c r="CK200" s="6">
        <f>+COUNTIFS('muddati otgan'!C:C,A200,'muddati otgan'!J:J,"To'lov kutilmoqda")</f>
        <v>0</v>
      </c>
      <c r="CL200" s="125">
        <f t="shared" si="36"/>
        <v>0</v>
      </c>
      <c r="CM200" s="125">
        <f>+COUNTIFS('muddati otgan'!C:C,A200,'muddati otgan'!AA:AA,"Arizani qabul qilish2")</f>
        <v>0</v>
      </c>
      <c r="CN200" s="125">
        <f>+COUNTIFS('muddati otgan'!C:C,A200,'muddati otgan'!J:J,"Huquqlarni tekshirish")</f>
        <v>0</v>
      </c>
      <c r="CO200" s="125">
        <f>+COUNTIFS('muddati otgan'!C:C,A200,'muddati otgan'!J:J,"Ko'chmas mulkni ro'yhatdan o'tkazishga qabul qilish")</f>
        <v>0</v>
      </c>
      <c r="CP200" s="125">
        <f>+COUNTIFS('muddati otgan'!C:C,A200,'muddati otgan'!J:J,"Ro'yxatdan o'tkazish")</f>
        <v>0</v>
      </c>
      <c r="CQ200" s="125">
        <f>+COUNTIFS('muddati otgan'!C:C,A200,'muddati otgan'!J:J,"Kadastr pasporti va ko'chirmani yuborish")</f>
        <v>0</v>
      </c>
      <c r="CR200" s="125">
        <f>+COUNTIFS('muddati otgan'!C:C,A200,'muddati otgan'!AA:AA,"Rad qilish2")</f>
        <v>0</v>
      </c>
      <c r="CS200" s="125">
        <f>+COUNTIFS('muddati otgan'!C:C,A200,'muddati otgan'!J:J,"Ko'chirmani yuborish")</f>
        <v>0</v>
      </c>
      <c r="CT200" s="125">
        <f>+COUNTIFS('muddati otgan'!C:C,A200,'muddati otgan'!J:J,"Ma‘lumotlarni tekshirish")</f>
        <v>0</v>
      </c>
      <c r="CU200" s="125">
        <f t="shared" si="37"/>
        <v>0</v>
      </c>
      <c r="CV200" s="125">
        <f>+COUNTIFS('muddati otgan'!C:C,A200,'muddati otgan'!J:J,"Kadastr yig'majildini chop etish va arxiv ishiga tikish")</f>
        <v>0</v>
      </c>
      <c r="CW200" s="125">
        <f t="shared" si="38"/>
        <v>0</v>
      </c>
      <c r="CX200" s="11">
        <f>+COUNTIFS('muddati otgan'!C:C,A200,'muddati otgan'!J:J,"Kadastr yig‘majildini qabul qilish, arizani yakunlash")</f>
        <v>0</v>
      </c>
      <c r="CY200" s="11">
        <f>+COUNTIFS('muddati otgan'!C:C,A200,'muddati otgan'!J:J,"Next Cloudga yuklash")</f>
        <v>0</v>
      </c>
      <c r="CZ200" s="6">
        <f>+COUNTIFS('muddati otgan'!C:C,A200,'muddati otgan'!J:J,"Kelishish kutilmoqda")</f>
        <v>0</v>
      </c>
      <c r="DA200" s="6">
        <f>+COUNTIFS('muddati otgan'!C:C,A200,'muddati otgan'!J:J,"Yakunlandi")</f>
        <v>0</v>
      </c>
      <c r="DB200" s="10">
        <f>+COUNTIFS('muddati otgan'!C:C,A200,'muddati otgan'!J:J,"Rad etildi")</f>
        <v>0</v>
      </c>
      <c r="DC200" s="100">
        <f t="shared" si="5"/>
        <v>-2</v>
      </c>
      <c r="DD200" s="44">
        <f>COUNTIFS('jami 1-20 kunlik arizalar'!C:C,A:A,'jami 1-20 kunlik arizalar'!S:S,"1")</f>
        <v>0</v>
      </c>
      <c r="DE200" s="11">
        <f>COUNTIFS('jami 1-20 kunlik arizalar'!C:C,A:A,'jami 1-20 kunlik arizalar'!S:S,"2")</f>
        <v>0</v>
      </c>
      <c r="DF200" s="11">
        <f>COUNTIFS('jami 1-20 kunlik arizalar'!C:C,A:A,'jami 1-20 kunlik arizalar'!S:S,"3")</f>
        <v>2</v>
      </c>
      <c r="DG200" s="11">
        <f>COUNTIFS('jami 1-20 kunlik arizalar'!C:C,A:A,'jami 1-20 kunlik arizalar'!S:S,"4")</f>
        <v>0</v>
      </c>
      <c r="DH200" s="11">
        <f>COUNTIFS('jami 1-20 kunlik arizalar'!C:C,A:A,'jami 1-20 kunlik arizalar'!S:S,"5")</f>
        <v>3</v>
      </c>
      <c r="DI200" s="11">
        <f>SUM(COUNTIFS('jami 1-20 kunlik arizalar'!C:C,A:A, 'jami 1-20 kunlik arizalar'!S:S, {6,7,8,9,10}))</f>
        <v>7</v>
      </c>
      <c r="DJ200" s="12">
        <f>SUM(COUNTIFS('jami 1-20 kunlik arizalar'!C:C,A:A, 'jami 1-20 kunlik arizalar'!S:S, "&gt;10"))</f>
        <v>6</v>
      </c>
    </row>
    <row r="201" spans="1:115" ht="45" hidden="1" customHeight="1" outlineLevel="1" x14ac:dyDescent="0.25">
      <c r="A201" s="92" t="s">
        <v>467</v>
      </c>
      <c r="B201" s="74"/>
      <c r="C201" s="85" t="s">
        <v>892</v>
      </c>
      <c r="D201" s="80">
        <f>+COUNTIFS('muddati otgan'!C:C,A201,'muddati otgan'!C:C,A201)</f>
        <v>1</v>
      </c>
      <c r="E201" s="10">
        <f>SUMIFS('muddati otgan'!$V:V,'muddati otgan'!$C:C,$A:A)</f>
        <v>0</v>
      </c>
      <c r="F201" s="10">
        <f>SUMIFS('muddati otgan'!$W:W,'muddati otgan'!$C:C,$A:A)</f>
        <v>0</v>
      </c>
      <c r="G201" s="24">
        <f>SUMIFS('muddati otgan'!$U:U,'muddati otgan'!$C:C,$A:A)</f>
        <v>1</v>
      </c>
      <c r="H201" s="11">
        <f>SUMIFS('muddati otgan'!$G:G,'muddati otgan'!$C:C,$A:A)</f>
        <v>1</v>
      </c>
      <c r="I201" s="12">
        <f>SUMIFS('muddati otgan'!$H:H,'muddati otgan'!$C:C,$A:A)</f>
        <v>0</v>
      </c>
      <c r="J201" s="44">
        <f t="shared" si="23"/>
        <v>0</v>
      </c>
      <c r="K201" s="11">
        <f>+COUNTIFS('muddati otgan'!C:C,A201,'muddati otgan'!AA:AA,"Arizani qabul qilish")</f>
        <v>0</v>
      </c>
      <c r="L201" s="11">
        <f>+COUNTIFS('muddati otgan'!C:C,A201,'muddati otgan'!J:J,"Arizani rad etish")</f>
        <v>0</v>
      </c>
      <c r="M201" s="11">
        <f>+COUNTIFS('muddati otgan'!C:C,A201,'muddati otgan'!J:J,"Arizani tasdiqlash")</f>
        <v>0</v>
      </c>
      <c r="N201" s="11">
        <f>+COUNTIFS('muddati otgan'!C:C,A201,'muddati otgan'!J:J,"Arizani yo'naltirish")</f>
        <v>0</v>
      </c>
      <c r="O201" s="11">
        <f>+COUNTIFS('muddati otgan'!C:C,A201,'muddati otgan'!J:J,"Rad qilish sababini o'rganish")</f>
        <v>0</v>
      </c>
      <c r="P201" s="11">
        <f>+COUNTIFS('muddati otgan'!C:C,A201,'muddati otgan'!J:J,"Ko'chmas mulkni UZKAD ga migratsiya qilish")</f>
        <v>0</v>
      </c>
      <c r="Q201" s="11">
        <f>+COUNTIFS('muddati otgan'!C:C,A201,'muddati otgan'!J:J,"Migratisya qilingan obyekt holatini tekshirish")</f>
        <v>0</v>
      </c>
      <c r="R201" s="11">
        <f>+COUNTIFS('muddati otgan'!C:C,A201,'muddati otgan'!J:J,"Ko‘chmas mulkni tanlash")</f>
        <v>0</v>
      </c>
      <c r="S201" s="11">
        <f>+COUNTIFS('muddati otgan'!C:C,A201,'muddati otgan'!J:J,"Arizani ko'rib chiqish")</f>
        <v>0</v>
      </c>
      <c r="T201" s="11">
        <f>+COUNTIFS('muddati otgan'!C:C,A201,'muddati otgan'!J:J,"Kadastr muhandisini tanlash")</f>
        <v>0</v>
      </c>
      <c r="U201" s="11">
        <f>+COUNTIFS('muddati otgan'!C:C,A201,'muddati otgan'!J:J,"Ko'chmas mulk turini tanlahsh")</f>
        <v>0</v>
      </c>
      <c r="V201" s="11">
        <f>+COUNTIFS('muddati otgan'!C:C,A201,'muddati otgan'!AA:AA,"Rad qilish")</f>
        <v>0</v>
      </c>
      <c r="W201" s="11">
        <f>+COUNTIFS('muddati otgan'!C:C,A201,'muddati otgan'!J:J,"ijrochi tanlash")</f>
        <v>0</v>
      </c>
      <c r="X201" s="11">
        <f>+COUNTIFS('muddati otgan'!C:C,A201,'muddati otgan'!J:J,"Ko'chmas mulk turini tanlash")</f>
        <v>0</v>
      </c>
      <c r="Y201" s="11">
        <f t="shared" si="24"/>
        <v>0</v>
      </c>
      <c r="Z201" s="11">
        <f>+COUNTIFS('muddati otgan'!C:C,A201,'muddati otgan'!J:J,"Ijroga qabul qilish")</f>
        <v>0</v>
      </c>
      <c r="AA201" s="11">
        <f>+COUNTIFS('muddati otgan'!C:C,A201,'muddati otgan'!J:J,"Joyida o'rganish va ma'lumotlarni kiritish")</f>
        <v>0</v>
      </c>
      <c r="AB201" s="11">
        <f>+COUNTIFS('muddati otgan'!C:C,A201,'muddati otgan'!J:J,"Asosiy qismdan ajratish jarayonida")</f>
        <v>0</v>
      </c>
      <c r="AC201" s="11">
        <f>+COUNTIFS('muddati otgan'!C:C,A201,'muddati otgan'!J:J,"Umumiy foydalanishdagi obyekt yaratilish")</f>
        <v>0</v>
      </c>
      <c r="AD201" s="11">
        <f>+COUNTIFS('muddati otgan'!C:C,A201,'muddati otgan'!J:J,"Migratsiya qilinadigan kadastr raqamini kiritish")</f>
        <v>0</v>
      </c>
      <c r="AE201" s="11">
        <f>+COUNTIFS('muddati otgan'!C:C,A201,'muddati otgan'!J:J,"O'zida qolgan obyektni yaratish")</f>
        <v>0</v>
      </c>
      <c r="AF201" s="11">
        <f>+COUNTIFS('muddati otgan'!C:C,A201,'muddati otgan'!J:J,"O'lchov natijalarini kiritish")</f>
        <v>0</v>
      </c>
      <c r="AG201" s="11">
        <f>+COUNTIFS('muddati otgan'!C:C,A201,'muddati otgan'!J:J,"Topoxaritani tayyorlash (dwg, pdf)")</f>
        <v>0</v>
      </c>
      <c r="AH201" s="11">
        <f t="shared" si="25"/>
        <v>0</v>
      </c>
      <c r="AI201" s="11">
        <f>+COUNTIFS('muddati otgan'!C:C,A201,'muddati otgan'!J:J,"Yer uchastkasini yaratish")</f>
        <v>0</v>
      </c>
      <c r="AJ201" s="11">
        <f t="shared" si="26"/>
        <v>0</v>
      </c>
      <c r="AK201" s="11">
        <f>+COUNTIFS('muddati otgan'!C:C,A201,'muddati otgan'!J:J,"Kelishish (Boshqarma)")</f>
        <v>0</v>
      </c>
      <c r="AL201" s="11">
        <f t="shared" si="27"/>
        <v>0</v>
      </c>
      <c r="AM201" s="11">
        <f>+COUNTIFS('muddati otgan'!C:C,A201,'muddati otgan'!J:J,"Kelishish (DKP)")</f>
        <v>0</v>
      </c>
      <c r="AN201" s="11">
        <f>+COUNTIFS('muddati otgan'!C:C,A201,'muddati otgan'!J:J,"Kelishish")</f>
        <v>0</v>
      </c>
      <c r="AO201" s="11">
        <f>+COUNTIFS('muddati otgan'!C:C,A201,'muddati otgan'!J:J,"Kelishish (Registratsiya DKP)")</f>
        <v>0</v>
      </c>
      <c r="AP201" s="11">
        <f t="shared" si="28"/>
        <v>0</v>
      </c>
      <c r="AQ201" s="11">
        <f>+COUNTIFS('muddati otgan'!C:C,A201,'muddati otgan'!J:J,"Manzil biriktirish")</f>
        <v>0</v>
      </c>
      <c r="AR201" s="11">
        <f>+COUNTIFS('muddati otgan'!C:C,A201,'muddati otgan'!J:J,"Bino va inshootlarni yaratish")</f>
        <v>0</v>
      </c>
      <c r="AS201" s="11">
        <f>+COUNTIFS('muddati otgan'!C:C,A201,'muddati otgan'!J:J,"Dov daraxtlarni yaratish")</f>
        <v>0</v>
      </c>
      <c r="AT201" s="11">
        <f>+COUNTIFS('muddati otgan'!C:C,A201,'muddati otgan'!J:J,"Yer uchastkasini tahrirlash")</f>
        <v>0</v>
      </c>
      <c r="AU201" s="11">
        <f t="shared" si="29"/>
        <v>0</v>
      </c>
      <c r="AV201" s="11">
        <f>+COUNTIFS('muddati otgan'!C:C,A201,'muddati otgan'!J:J,"Yer toifasi va maqsadini kiritish")</f>
        <v>0</v>
      </c>
      <c r="AW201" s="11">
        <f>+COUNTIFS('muddati otgan'!C:C,A201,'muddati otgan'!J:J,"Auksion yer tekshirish")</f>
        <v>0</v>
      </c>
      <c r="AX201" s="11">
        <f>+COUNTIFS('muddati otgan'!C:C,A201,'muddati otgan'!J:J,"Yer turlarini kiritish")</f>
        <v>0</v>
      </c>
      <c r="AY201" s="11">
        <f>+COUNTIFS('muddati otgan'!C:C,A201,'muddati otgan'!J:J,"Ma'lumotlarni kiritish")</f>
        <v>0</v>
      </c>
      <c r="AZ201" s="11">
        <f>+COUNTIFS('muddati otgan'!C:C,A201,'muddati otgan'!J:J,"Yer tekshirish")</f>
        <v>0</v>
      </c>
      <c r="BA201" s="11">
        <f t="shared" si="30"/>
        <v>0</v>
      </c>
      <c r="BB201" s="11">
        <f>+COUNTIFS('muddati otgan'!C:C,A201,'muddati otgan'!J:J,"Bino va inshoot ma'lumotlarini to‘ldirish")</f>
        <v>0</v>
      </c>
      <c r="BC201" s="11">
        <f>+COUNTIFS('muddati otgan'!C:C,A201,'muddati otgan'!J:J,"Inventarizatsiya ma'lumotlarini to‘ldirish")</f>
        <v>0</v>
      </c>
      <c r="BD201" s="11">
        <f>+COUNTIFS('muddati otgan'!C:C,A201,'muddati otgan'!J:J,"Yer uchastkasiga huquqiy hujjatlarni kiritsh")</f>
        <v>0</v>
      </c>
      <c r="BE201" s="11">
        <f>+COUNTIFS('muddati otgan'!C:C,A201,'muddati otgan'!J:J,"Bino-inshootlarga huquqiy hujjatlarni kiritsh")</f>
        <v>0</v>
      </c>
      <c r="BF201" s="11">
        <f>+COUNTIFS('muddati otgan'!C:C,A201,'muddati otgan'!J:J,"Kadastr qiymatini hisoblash va kiritish")</f>
        <v>0</v>
      </c>
      <c r="BG201" s="11">
        <f>+COUNTIFS('muddati otgan'!C:C,A201,'muddati otgan'!J:J,"Kadastr raqam biriktirish")</f>
        <v>0</v>
      </c>
      <c r="BH201" s="11">
        <f>+COUNTIFS('muddati otgan'!C:C,A201,'muddati otgan'!J:J,"Kadastr yig'ma jildni tayyorlash")</f>
        <v>0</v>
      </c>
      <c r="BI201" s="11">
        <f>+COUNTIFS('muddati otgan'!C:C,A201,'muddati otgan'!J:J,"Huquqni yaratish")</f>
        <v>0</v>
      </c>
      <c r="BJ201" s="11">
        <f>+COUNTIFS('muddati otgan'!C:C,A201,'muddati otgan'!J:J,"Hujjatlarni o'rganish")</f>
        <v>0</v>
      </c>
      <c r="BK201" s="11">
        <f>+COUNTIFS('muddati otgan'!C:C,A201,'muddati otgan'!J:J,"Ma'lumotlarni tekshirish")</f>
        <v>0</v>
      </c>
      <c r="BL201" s="11">
        <f t="shared" si="31"/>
        <v>0</v>
      </c>
      <c r="BM201" s="11">
        <f>+COUNTIFS('muddati otgan'!C:C,A201,'muddati otgan'!J:J,"Tekshirish")</f>
        <v>0</v>
      </c>
      <c r="BN201" s="11">
        <f>+COUNTIFS('muddati otgan'!C:C,A201,'muddati otgan'!J:J,"Hujjatlarni tekshirish")</f>
        <v>0</v>
      </c>
      <c r="BO201" s="11">
        <f>+COUNTIFS('muddati otgan'!C:C,A201,'muddati otgan'!J:J,"Tasdiqlash")</f>
        <v>0</v>
      </c>
      <c r="BP201" s="11">
        <f>+COUNTIFS('muddati otgan'!C:C,A201,'muddati otgan'!J:J,"tekshirish/tasdiqlash")</f>
        <v>0</v>
      </c>
      <c r="BQ201" s="11">
        <f>+COUNTIFS('muddati otgan'!C:C,A201,'muddati otgan'!J:J,"Ma'lumotlarni tasdiqlash")</f>
        <v>0</v>
      </c>
      <c r="BR201" s="11">
        <f t="shared" si="32"/>
        <v>1</v>
      </c>
      <c r="BS201" s="11">
        <f>+COUNTIFS('muddati otgan'!C:C,A201,'muddati otgan'!J:J,"Ro'yxatdan o'tkazish ma'lumotlarini tekshirish")</f>
        <v>1</v>
      </c>
      <c r="BT201" s="11">
        <f>+COUNTIFS('muddati otgan'!C:C,A201,'muddati otgan'!J:J,"Kamchiliklar bo'yicha habarnoma yuborish va 3 kunga to'xtatish")</f>
        <v>0</v>
      </c>
      <c r="BU201" s="11">
        <f>+COUNTIFS('muddati otgan'!C:C,A201,'muddati otgan'!J:J,"Hisobga olish")</f>
        <v>0</v>
      </c>
      <c r="BV201" s="11">
        <f>+COUNTIFS('muddati otgan'!C:C,A201,'muddati otgan'!J:J,"Yer uchastkasiga huquq yaratish")</f>
        <v>0</v>
      </c>
      <c r="BW201" s="11">
        <f>+COUNTIFS('muddati otgan'!C:C,A201,'muddati otgan'!J:J,"Bino-inshootga huquq yaratish")</f>
        <v>0</v>
      </c>
      <c r="BX201" s="11">
        <f>+COUNTIFS('muddati otgan'!C:C,A201,'muddati otgan'!J:J,"Cheklov yaratish")</f>
        <v>0</v>
      </c>
      <c r="BY201" s="11">
        <f>+COUNTIFS('muddati otgan'!C:C,A201,'muddati otgan'!J:J,"Taqiq yaratish")</f>
        <v>0</v>
      </c>
      <c r="BZ201" s="11">
        <f t="shared" si="33"/>
        <v>0</v>
      </c>
      <c r="CA201" s="11">
        <f>+COUNTIFS('muddati otgan'!C:C,A201,'muddati otgan'!J:J,"Soliq maydonini tekshirish")</f>
        <v>0</v>
      </c>
      <c r="CB201" s="11">
        <f t="shared" si="34"/>
        <v>0</v>
      </c>
      <c r="CC201" s="11">
        <f>+COUNTIFS('muddati otgan'!C:C,A201,'muddati otgan'!J:J,"Kadastr yig'majildini shakllantirish")</f>
        <v>0</v>
      </c>
      <c r="CD201" s="11">
        <f t="shared" si="35"/>
        <v>0</v>
      </c>
      <c r="CE201" s="11">
        <f>+COUNTIFS('muddati otgan'!C:C,A201,'muddati otgan'!J:J,"Kadastr passportini shakllantirish")</f>
        <v>0</v>
      </c>
      <c r="CF201" s="11">
        <f>+COUNTIFS('muddati otgan'!C:C,A201,'muddati otgan'!J:J,"Yig'ma jildni tasdiqlash")</f>
        <v>0</v>
      </c>
      <c r="CG201" s="11">
        <f>+COUNTIFS('muddati otgan'!C:C,A201,'muddati otgan'!J:J,"To'lov yoki bepul tasdiqlash")</f>
        <v>0</v>
      </c>
      <c r="CH201" s="11">
        <f>+COUNTIFS('muddati otgan'!C:C,A201,'muddati otgan'!J:J,"Bog'liq arizani kutish")</f>
        <v>0</v>
      </c>
      <c r="CI201" s="11">
        <f>+COUNTIFS('muddati otgan'!C:C,A201,'muddati otgan'!J:J,"To'lovga chiqarish")</f>
        <v>0</v>
      </c>
      <c r="CJ201" s="11">
        <f>+COUNTIFS('muddati otgan'!C:C,A201,'muddati otgan'!J:J,"Hisobga qo'yish")</f>
        <v>0</v>
      </c>
      <c r="CK201" s="6">
        <f>+COUNTIFS('muddati otgan'!C:C,A201,'muddati otgan'!J:J,"To'lov kutilmoqda")</f>
        <v>0</v>
      </c>
      <c r="CL201" s="125">
        <f t="shared" si="36"/>
        <v>0</v>
      </c>
      <c r="CM201" s="125">
        <f>+COUNTIFS('muddati otgan'!C:C,A201,'muddati otgan'!AA:AA,"Arizani qabul qilish2")</f>
        <v>0</v>
      </c>
      <c r="CN201" s="125">
        <f>+COUNTIFS('muddati otgan'!C:C,A201,'muddati otgan'!J:J,"Huquqlarni tekshirish")</f>
        <v>0</v>
      </c>
      <c r="CO201" s="125">
        <f>+COUNTIFS('muddati otgan'!C:C,A201,'muddati otgan'!J:J,"Ko'chmas mulkni ro'yhatdan o'tkazishga qabul qilish")</f>
        <v>0</v>
      </c>
      <c r="CP201" s="125">
        <f>+COUNTIFS('muddati otgan'!C:C,A201,'muddati otgan'!J:J,"Ro'yxatdan o'tkazish")</f>
        <v>0</v>
      </c>
      <c r="CQ201" s="125">
        <f>+COUNTIFS('muddati otgan'!C:C,A201,'muddati otgan'!J:J,"Kadastr pasporti va ko'chirmani yuborish")</f>
        <v>0</v>
      </c>
      <c r="CR201" s="125">
        <f>+COUNTIFS('muddati otgan'!C:C,A201,'muddati otgan'!AA:AA,"Rad qilish2")</f>
        <v>0</v>
      </c>
      <c r="CS201" s="125">
        <f>+COUNTIFS('muddati otgan'!C:C,A201,'muddati otgan'!J:J,"Ko'chirmani yuborish")</f>
        <v>0</v>
      </c>
      <c r="CT201" s="125">
        <f>+COUNTIFS('muddati otgan'!C:C,A201,'muddati otgan'!J:J,"Ma‘lumotlarni tekshirish")</f>
        <v>0</v>
      </c>
      <c r="CU201" s="125">
        <f t="shared" si="37"/>
        <v>0</v>
      </c>
      <c r="CV201" s="125">
        <f>+COUNTIFS('muddati otgan'!C:C,A201,'muddati otgan'!J:J,"Kadastr yig'majildini chop etish va arxiv ishiga tikish")</f>
        <v>0</v>
      </c>
      <c r="CW201" s="125">
        <f t="shared" si="38"/>
        <v>0</v>
      </c>
      <c r="CX201" s="11">
        <f>+COUNTIFS('muddati otgan'!C:C,A201,'muddati otgan'!J:J,"Kadastr yig‘majildini qabul qilish, arizani yakunlash")</f>
        <v>0</v>
      </c>
      <c r="CY201" s="11">
        <f>+COUNTIFS('muddati otgan'!C:C,A201,'muddati otgan'!J:J,"Next Cloudga yuklash")</f>
        <v>0</v>
      </c>
      <c r="CZ201" s="6">
        <f>+COUNTIFS('muddati otgan'!C:C,A201,'muddati otgan'!J:J,"Kelishish kutilmoqda")</f>
        <v>0</v>
      </c>
      <c r="DA201" s="6">
        <f>+COUNTIFS('muddati otgan'!C:C,A201,'muddati otgan'!J:J,"Yakunlandi")</f>
        <v>0</v>
      </c>
      <c r="DB201" s="10">
        <f>+COUNTIFS('muddati otgan'!C:C,A201,'muddati otgan'!J:J,"Rad etildi")</f>
        <v>0</v>
      </c>
      <c r="DC201" s="100">
        <f t="shared" si="5"/>
        <v>-1</v>
      </c>
      <c r="DD201" s="44">
        <f>COUNTIFS('jami 1-20 kunlik arizalar'!C:C,A:A,'jami 1-20 kunlik arizalar'!S:S,"1")</f>
        <v>0</v>
      </c>
      <c r="DE201" s="11">
        <f>COUNTIFS('jami 1-20 kunlik arizalar'!C:C,A:A,'jami 1-20 kunlik arizalar'!S:S,"2")</f>
        <v>0</v>
      </c>
      <c r="DF201" s="11">
        <f>COUNTIFS('jami 1-20 kunlik arizalar'!C:C,A:A,'jami 1-20 kunlik arizalar'!S:S,"3")</f>
        <v>4</v>
      </c>
      <c r="DG201" s="11">
        <f>COUNTIFS('jami 1-20 kunlik arizalar'!C:C,A:A,'jami 1-20 kunlik arizalar'!S:S,"4")</f>
        <v>3</v>
      </c>
      <c r="DH201" s="11">
        <f>COUNTIFS('jami 1-20 kunlik arizalar'!C:C,A:A,'jami 1-20 kunlik arizalar'!S:S,"5")</f>
        <v>1</v>
      </c>
      <c r="DI201" s="11">
        <f>SUM(COUNTIFS('jami 1-20 kunlik arizalar'!C:C,A:A, 'jami 1-20 kunlik arizalar'!S:S, {6,7,8,9,10}))</f>
        <v>5</v>
      </c>
      <c r="DJ201" s="12">
        <f>SUM(COUNTIFS('jami 1-20 kunlik arizalar'!C:C,A:A, 'jami 1-20 kunlik arizalar'!S:S, "&gt;10"))</f>
        <v>7</v>
      </c>
    </row>
    <row r="202" spans="1:115" ht="45" hidden="1" customHeight="1" outlineLevel="1" x14ac:dyDescent="0.25">
      <c r="A202" s="92" t="s">
        <v>460</v>
      </c>
      <c r="B202" s="74"/>
      <c r="C202" s="85" t="s">
        <v>893</v>
      </c>
      <c r="D202" s="80">
        <f>+COUNTIFS('muddati otgan'!C:C,A202,'muddati otgan'!C:C,A202)</f>
        <v>0</v>
      </c>
      <c r="E202" s="10">
        <f>SUMIFS('muddati otgan'!$V:V,'muddati otgan'!$C:C,$A:A)</f>
        <v>0</v>
      </c>
      <c r="F202" s="10">
        <f>SUMIFS('muddati otgan'!$W:W,'muddati otgan'!$C:C,$A:A)</f>
        <v>0</v>
      </c>
      <c r="G202" s="24">
        <f>SUMIFS('muddati otgan'!$U:U,'muddati otgan'!$C:C,$A:A)</f>
        <v>0</v>
      </c>
      <c r="H202" s="11">
        <f>SUMIFS('muddati otgan'!$G:G,'muddati otgan'!$C:C,$A:A)</f>
        <v>0</v>
      </c>
      <c r="I202" s="12">
        <f>SUMIFS('muddati otgan'!$H:H,'muddati otgan'!$C:C,$A:A)</f>
        <v>0</v>
      </c>
      <c r="J202" s="44">
        <f t="shared" si="23"/>
        <v>0</v>
      </c>
      <c r="K202" s="11">
        <f>+COUNTIFS('muddati otgan'!C:C,A202,'muddati otgan'!AA:AA,"Arizani qabul qilish")</f>
        <v>0</v>
      </c>
      <c r="L202" s="11">
        <f>+COUNTIFS('muddati otgan'!C:C,A202,'muddati otgan'!J:J,"Arizani rad etish")</f>
        <v>0</v>
      </c>
      <c r="M202" s="11">
        <f>+COUNTIFS('muddati otgan'!C:C,A202,'muddati otgan'!J:J,"Arizani tasdiqlash")</f>
        <v>0</v>
      </c>
      <c r="N202" s="11">
        <f>+COUNTIFS('muddati otgan'!C:C,A202,'muddati otgan'!J:J,"Arizani yo'naltirish")</f>
        <v>0</v>
      </c>
      <c r="O202" s="11">
        <f>+COUNTIFS('muddati otgan'!C:C,A202,'muddati otgan'!J:J,"Rad qilish sababini o'rganish")</f>
        <v>0</v>
      </c>
      <c r="P202" s="11">
        <f>+COUNTIFS('muddati otgan'!C:C,A202,'muddati otgan'!J:J,"Ko'chmas mulkni UZKAD ga migratsiya qilish")</f>
        <v>0</v>
      </c>
      <c r="Q202" s="11">
        <f>+COUNTIFS('muddati otgan'!C:C,A202,'muddati otgan'!J:J,"Migratisya qilingan obyekt holatini tekshirish")</f>
        <v>0</v>
      </c>
      <c r="R202" s="11">
        <f>+COUNTIFS('muddati otgan'!C:C,A202,'muddati otgan'!J:J,"Ko‘chmas mulkni tanlash")</f>
        <v>0</v>
      </c>
      <c r="S202" s="11">
        <f>+COUNTIFS('muddati otgan'!C:C,A202,'muddati otgan'!J:J,"Arizani ko'rib chiqish")</f>
        <v>0</v>
      </c>
      <c r="T202" s="11">
        <f>+COUNTIFS('muddati otgan'!C:C,A202,'muddati otgan'!J:J,"Kadastr muhandisini tanlash")</f>
        <v>0</v>
      </c>
      <c r="U202" s="11">
        <f>+COUNTIFS('muddati otgan'!C:C,A202,'muddati otgan'!J:J,"Ko'chmas mulk turini tanlahsh")</f>
        <v>0</v>
      </c>
      <c r="V202" s="11">
        <f>+COUNTIFS('muddati otgan'!C:C,A202,'muddati otgan'!AA:AA,"Rad qilish")</f>
        <v>0</v>
      </c>
      <c r="W202" s="11">
        <f>+COUNTIFS('muddati otgan'!C:C,A202,'muddati otgan'!J:J,"ijrochi tanlash")</f>
        <v>0</v>
      </c>
      <c r="X202" s="11">
        <f>+COUNTIFS('muddati otgan'!C:C,A202,'muddati otgan'!J:J,"Ko'chmas mulk turini tanlash")</f>
        <v>0</v>
      </c>
      <c r="Y202" s="11">
        <f t="shared" si="24"/>
        <v>0</v>
      </c>
      <c r="Z202" s="11">
        <f>+COUNTIFS('muddati otgan'!C:C,A202,'muddati otgan'!J:J,"Ijroga qabul qilish")</f>
        <v>0</v>
      </c>
      <c r="AA202" s="11">
        <f>+COUNTIFS('muddati otgan'!C:C,A202,'muddati otgan'!J:J,"Joyida o'rganish va ma'lumotlarni kiritish")</f>
        <v>0</v>
      </c>
      <c r="AB202" s="11">
        <f>+COUNTIFS('muddati otgan'!C:C,A202,'muddati otgan'!J:J,"Asosiy qismdan ajratish jarayonida")</f>
        <v>0</v>
      </c>
      <c r="AC202" s="11">
        <f>+COUNTIFS('muddati otgan'!C:C,A202,'muddati otgan'!J:J,"Umumiy foydalanishdagi obyekt yaratilish")</f>
        <v>0</v>
      </c>
      <c r="AD202" s="11">
        <f>+COUNTIFS('muddati otgan'!C:C,A202,'muddati otgan'!J:J,"Migratsiya qilinadigan kadastr raqamini kiritish")</f>
        <v>0</v>
      </c>
      <c r="AE202" s="11">
        <f>+COUNTIFS('muddati otgan'!C:C,A202,'muddati otgan'!J:J,"O'zida qolgan obyektni yaratish")</f>
        <v>0</v>
      </c>
      <c r="AF202" s="11">
        <f>+COUNTIFS('muddati otgan'!C:C,A202,'muddati otgan'!J:J,"O'lchov natijalarini kiritish")</f>
        <v>0</v>
      </c>
      <c r="AG202" s="11">
        <f>+COUNTIFS('muddati otgan'!C:C,A202,'muddati otgan'!J:J,"Topoxaritani tayyorlash (dwg, pdf)")</f>
        <v>0</v>
      </c>
      <c r="AH202" s="11">
        <f t="shared" si="25"/>
        <v>0</v>
      </c>
      <c r="AI202" s="11">
        <f>+COUNTIFS('muddati otgan'!C:C,A202,'muddati otgan'!J:J,"Yer uchastkasini yaratish")</f>
        <v>0</v>
      </c>
      <c r="AJ202" s="11">
        <f t="shared" si="26"/>
        <v>0</v>
      </c>
      <c r="AK202" s="11">
        <f>+COUNTIFS('muddati otgan'!C:C,A202,'muddati otgan'!J:J,"Kelishish (Boshqarma)")</f>
        <v>0</v>
      </c>
      <c r="AL202" s="11">
        <f t="shared" si="27"/>
        <v>0</v>
      </c>
      <c r="AM202" s="11">
        <f>+COUNTIFS('muddati otgan'!C:C,A202,'muddati otgan'!J:J,"Kelishish (DKP)")</f>
        <v>0</v>
      </c>
      <c r="AN202" s="11">
        <f>+COUNTIFS('muddati otgan'!C:C,A202,'muddati otgan'!J:J,"Kelishish")</f>
        <v>0</v>
      </c>
      <c r="AO202" s="11">
        <f>+COUNTIFS('muddati otgan'!C:C,A202,'muddati otgan'!J:J,"Kelishish (Registratsiya DKP)")</f>
        <v>0</v>
      </c>
      <c r="AP202" s="11">
        <f t="shared" si="28"/>
        <v>0</v>
      </c>
      <c r="AQ202" s="11">
        <f>+COUNTIFS('muddati otgan'!C:C,A202,'muddati otgan'!J:J,"Manzil biriktirish")</f>
        <v>0</v>
      </c>
      <c r="AR202" s="11">
        <f>+COUNTIFS('muddati otgan'!C:C,A202,'muddati otgan'!J:J,"Bino va inshootlarni yaratish")</f>
        <v>0</v>
      </c>
      <c r="AS202" s="11">
        <f>+COUNTIFS('muddati otgan'!C:C,A202,'muddati otgan'!J:J,"Dov daraxtlarni yaratish")</f>
        <v>0</v>
      </c>
      <c r="AT202" s="11">
        <f>+COUNTIFS('muddati otgan'!C:C,A202,'muddati otgan'!J:J,"Yer uchastkasini tahrirlash")</f>
        <v>0</v>
      </c>
      <c r="AU202" s="11">
        <f t="shared" si="29"/>
        <v>0</v>
      </c>
      <c r="AV202" s="11">
        <f>+COUNTIFS('muddati otgan'!C:C,A202,'muddati otgan'!J:J,"Yer toifasi va maqsadini kiritish")</f>
        <v>0</v>
      </c>
      <c r="AW202" s="11">
        <f>+COUNTIFS('muddati otgan'!C:C,A202,'muddati otgan'!J:J,"Auksion yer tekshirish")</f>
        <v>0</v>
      </c>
      <c r="AX202" s="11">
        <f>+COUNTIFS('muddati otgan'!C:C,A202,'muddati otgan'!J:J,"Yer turlarini kiritish")</f>
        <v>0</v>
      </c>
      <c r="AY202" s="11">
        <f>+COUNTIFS('muddati otgan'!C:C,A202,'muddati otgan'!J:J,"Ma'lumotlarni kiritish")</f>
        <v>0</v>
      </c>
      <c r="AZ202" s="11">
        <f>+COUNTIFS('muddati otgan'!C:C,A202,'muddati otgan'!J:J,"Yer tekshirish")</f>
        <v>0</v>
      </c>
      <c r="BA202" s="11">
        <f t="shared" si="30"/>
        <v>0</v>
      </c>
      <c r="BB202" s="11">
        <f>+COUNTIFS('muddati otgan'!C:C,A202,'muddati otgan'!J:J,"Bino va inshoot ma'lumotlarini to‘ldirish")</f>
        <v>0</v>
      </c>
      <c r="BC202" s="11">
        <f>+COUNTIFS('muddati otgan'!C:C,A202,'muddati otgan'!J:J,"Inventarizatsiya ma'lumotlarini to‘ldirish")</f>
        <v>0</v>
      </c>
      <c r="BD202" s="11">
        <f>+COUNTIFS('muddati otgan'!C:C,A202,'muddati otgan'!J:J,"Yer uchastkasiga huquqiy hujjatlarni kiritsh")</f>
        <v>0</v>
      </c>
      <c r="BE202" s="11">
        <f>+COUNTIFS('muddati otgan'!C:C,A202,'muddati otgan'!J:J,"Bino-inshootlarga huquqiy hujjatlarni kiritsh")</f>
        <v>0</v>
      </c>
      <c r="BF202" s="11">
        <f>+COUNTIFS('muddati otgan'!C:C,A202,'muddati otgan'!J:J,"Kadastr qiymatini hisoblash va kiritish")</f>
        <v>0</v>
      </c>
      <c r="BG202" s="11">
        <f>+COUNTIFS('muddati otgan'!C:C,A202,'muddati otgan'!J:J,"Kadastr raqam biriktirish")</f>
        <v>0</v>
      </c>
      <c r="BH202" s="11">
        <f>+COUNTIFS('muddati otgan'!C:C,A202,'muddati otgan'!J:J,"Kadastr yig'ma jildni tayyorlash")</f>
        <v>0</v>
      </c>
      <c r="BI202" s="11">
        <f>+COUNTIFS('muddati otgan'!C:C,A202,'muddati otgan'!J:J,"Huquqni yaratish")</f>
        <v>0</v>
      </c>
      <c r="BJ202" s="11">
        <f>+COUNTIFS('muddati otgan'!C:C,A202,'muddati otgan'!J:J,"Hujjatlarni o'rganish")</f>
        <v>0</v>
      </c>
      <c r="BK202" s="11">
        <f>+COUNTIFS('muddati otgan'!C:C,A202,'muddati otgan'!J:J,"Ma'lumotlarni tekshirish")</f>
        <v>0</v>
      </c>
      <c r="BL202" s="11">
        <f t="shared" si="31"/>
        <v>0</v>
      </c>
      <c r="BM202" s="11">
        <f>+COUNTIFS('muddati otgan'!C:C,A202,'muddati otgan'!J:J,"Tekshirish")</f>
        <v>0</v>
      </c>
      <c r="BN202" s="11">
        <f>+COUNTIFS('muddati otgan'!C:C,A202,'muddati otgan'!J:J,"Hujjatlarni tekshirish")</f>
        <v>0</v>
      </c>
      <c r="BO202" s="11">
        <f>+COUNTIFS('muddati otgan'!C:C,A202,'muddati otgan'!J:J,"Tasdiqlash")</f>
        <v>0</v>
      </c>
      <c r="BP202" s="11">
        <f>+COUNTIFS('muddati otgan'!C:C,A202,'muddati otgan'!J:J,"tekshirish/tasdiqlash")</f>
        <v>0</v>
      </c>
      <c r="BQ202" s="11">
        <f>+COUNTIFS('muddati otgan'!C:C,A202,'muddati otgan'!J:J,"Ma'lumotlarni tasdiqlash")</f>
        <v>0</v>
      </c>
      <c r="BR202" s="11">
        <f t="shared" si="32"/>
        <v>0</v>
      </c>
      <c r="BS202" s="11">
        <f>+COUNTIFS('muddati otgan'!C:C,A202,'muddati otgan'!J:J,"Ro'yxatdan o'tkazish ma'lumotlarini tekshirish")</f>
        <v>0</v>
      </c>
      <c r="BT202" s="11">
        <f>+COUNTIFS('muddati otgan'!C:C,A202,'muddati otgan'!J:J,"Kamchiliklar bo'yicha habarnoma yuborish va 3 kunga to'xtatish")</f>
        <v>0</v>
      </c>
      <c r="BU202" s="11">
        <f>+COUNTIFS('muddati otgan'!C:C,A202,'muddati otgan'!J:J,"Hisobga olish")</f>
        <v>0</v>
      </c>
      <c r="BV202" s="11">
        <f>+COUNTIFS('muddati otgan'!C:C,A202,'muddati otgan'!J:J,"Yer uchastkasiga huquq yaratish")</f>
        <v>0</v>
      </c>
      <c r="BW202" s="11">
        <f>+COUNTIFS('muddati otgan'!C:C,A202,'muddati otgan'!J:J,"Bino-inshootga huquq yaratish")</f>
        <v>0</v>
      </c>
      <c r="BX202" s="11">
        <f>+COUNTIFS('muddati otgan'!C:C,A202,'muddati otgan'!J:J,"Cheklov yaratish")</f>
        <v>0</v>
      </c>
      <c r="BY202" s="11">
        <f>+COUNTIFS('muddati otgan'!C:C,A202,'muddati otgan'!J:J,"Taqiq yaratish")</f>
        <v>0</v>
      </c>
      <c r="BZ202" s="11">
        <f t="shared" si="33"/>
        <v>0</v>
      </c>
      <c r="CA202" s="11">
        <f>+COUNTIFS('muddati otgan'!C:C,A202,'muddati otgan'!J:J,"Soliq maydonini tekshirish")</f>
        <v>0</v>
      </c>
      <c r="CB202" s="11">
        <f t="shared" si="34"/>
        <v>0</v>
      </c>
      <c r="CC202" s="11">
        <f>+COUNTIFS('muddati otgan'!C:C,A202,'muddati otgan'!J:J,"Kadastr yig'majildini shakllantirish")</f>
        <v>0</v>
      </c>
      <c r="CD202" s="11">
        <f t="shared" si="35"/>
        <v>0</v>
      </c>
      <c r="CE202" s="11">
        <f>+COUNTIFS('muddati otgan'!C:C,A202,'muddati otgan'!J:J,"Kadastr passportini shakllantirish")</f>
        <v>0</v>
      </c>
      <c r="CF202" s="11">
        <f>+COUNTIFS('muddati otgan'!C:C,A202,'muddati otgan'!J:J,"Yig'ma jildni tasdiqlash")</f>
        <v>0</v>
      </c>
      <c r="CG202" s="11">
        <f>+COUNTIFS('muddati otgan'!C:C,A202,'muddati otgan'!J:J,"To'lov yoki bepul tasdiqlash")</f>
        <v>0</v>
      </c>
      <c r="CH202" s="11">
        <f>+COUNTIFS('muddati otgan'!C:C,A202,'muddati otgan'!J:J,"Bog'liq arizani kutish")</f>
        <v>0</v>
      </c>
      <c r="CI202" s="11">
        <f>+COUNTIFS('muddati otgan'!C:C,A202,'muddati otgan'!J:J,"To'lovga chiqarish")</f>
        <v>0</v>
      </c>
      <c r="CJ202" s="11">
        <f>+COUNTIFS('muddati otgan'!C:C,A202,'muddati otgan'!J:J,"Hisobga qo'yish")</f>
        <v>0</v>
      </c>
      <c r="CK202" s="6">
        <f>+COUNTIFS('muddati otgan'!C:C,A202,'muddati otgan'!J:J,"To'lov kutilmoqda")</f>
        <v>0</v>
      </c>
      <c r="CL202" s="125">
        <f t="shared" si="36"/>
        <v>0</v>
      </c>
      <c r="CM202" s="125">
        <f>+COUNTIFS('muddati otgan'!C:C,A202,'muddati otgan'!AA:AA,"Arizani qabul qilish2")</f>
        <v>0</v>
      </c>
      <c r="CN202" s="125">
        <f>+COUNTIFS('muddati otgan'!C:C,A202,'muddati otgan'!J:J,"Huquqlarni tekshirish")</f>
        <v>0</v>
      </c>
      <c r="CO202" s="125">
        <f>+COUNTIFS('muddati otgan'!C:C,A202,'muddati otgan'!J:J,"Ko'chmas mulkni ro'yhatdan o'tkazishga qabul qilish")</f>
        <v>0</v>
      </c>
      <c r="CP202" s="125">
        <f>+COUNTIFS('muddati otgan'!C:C,A202,'muddati otgan'!J:J,"Ro'yxatdan o'tkazish")</f>
        <v>0</v>
      </c>
      <c r="CQ202" s="125">
        <f>+COUNTIFS('muddati otgan'!C:C,A202,'muddati otgan'!J:J,"Kadastr pasporti va ko'chirmani yuborish")</f>
        <v>0</v>
      </c>
      <c r="CR202" s="125">
        <f>+COUNTIFS('muddati otgan'!C:C,A202,'muddati otgan'!AA:AA,"Rad qilish2")</f>
        <v>0</v>
      </c>
      <c r="CS202" s="125">
        <f>+COUNTIFS('muddati otgan'!C:C,A202,'muddati otgan'!J:J,"Ko'chirmani yuborish")</f>
        <v>0</v>
      </c>
      <c r="CT202" s="125">
        <f>+COUNTIFS('muddati otgan'!C:C,A202,'muddati otgan'!J:J,"Ma‘lumotlarni tekshirish")</f>
        <v>0</v>
      </c>
      <c r="CU202" s="125">
        <f t="shared" si="37"/>
        <v>0</v>
      </c>
      <c r="CV202" s="125">
        <f>+COUNTIFS('muddati otgan'!C:C,A202,'muddati otgan'!J:J,"Kadastr yig'majildini chop etish va arxiv ishiga tikish")</f>
        <v>0</v>
      </c>
      <c r="CW202" s="125">
        <f t="shared" si="38"/>
        <v>0</v>
      </c>
      <c r="CX202" s="11">
        <f>+COUNTIFS('muddati otgan'!C:C,A202,'muddati otgan'!J:J,"Kadastr yig‘majildini qabul qilish, arizani yakunlash")</f>
        <v>0</v>
      </c>
      <c r="CY202" s="11">
        <f>+COUNTIFS('muddati otgan'!C:C,A202,'muddati otgan'!J:J,"Next Cloudga yuklash")</f>
        <v>0</v>
      </c>
      <c r="CZ202" s="6">
        <f>+COUNTIFS('muddati otgan'!C:C,A202,'muddati otgan'!J:J,"Kelishish kutilmoqda")</f>
        <v>0</v>
      </c>
      <c r="DA202" s="6">
        <f>+COUNTIFS('muddati otgan'!C:C,A202,'muddati otgan'!J:J,"Yakunlandi")</f>
        <v>0</v>
      </c>
      <c r="DB202" s="10">
        <f>+COUNTIFS('muddati otgan'!C:C,A202,'muddati otgan'!J:J,"Rad etildi")</f>
        <v>0</v>
      </c>
      <c r="DC202" s="100">
        <f t="shared" si="5"/>
        <v>0</v>
      </c>
      <c r="DD202" s="44">
        <f>COUNTIFS('jami 1-20 kunlik arizalar'!C:C,A:A,'jami 1-20 kunlik arizalar'!S:S,"1")</f>
        <v>0</v>
      </c>
      <c r="DE202" s="11">
        <f>COUNTIFS('jami 1-20 kunlik arizalar'!C:C,A:A,'jami 1-20 kunlik arizalar'!S:S,"2")</f>
        <v>0</v>
      </c>
      <c r="DF202" s="11">
        <f>COUNTIFS('jami 1-20 kunlik arizalar'!C:C,A:A,'jami 1-20 kunlik arizalar'!S:S,"3")</f>
        <v>0</v>
      </c>
      <c r="DG202" s="11">
        <f>COUNTIFS('jami 1-20 kunlik arizalar'!C:C,A:A,'jami 1-20 kunlik arizalar'!S:S,"4")</f>
        <v>0</v>
      </c>
      <c r="DH202" s="11">
        <f>COUNTIFS('jami 1-20 kunlik arizalar'!C:C,A:A,'jami 1-20 kunlik arizalar'!S:S,"5")</f>
        <v>0</v>
      </c>
      <c r="DI202" s="11">
        <f>SUM(COUNTIFS('jami 1-20 kunlik arizalar'!C:C,A:A, 'jami 1-20 kunlik arizalar'!S:S, {6,7,8,9,10}))</f>
        <v>0</v>
      </c>
      <c r="DJ202" s="12">
        <f>SUM(COUNTIFS('jami 1-20 kunlik arizalar'!C:C,A:A, 'jami 1-20 kunlik arizalar'!S:S, "&gt;10"))</f>
        <v>4</v>
      </c>
    </row>
    <row r="203" spans="1:115" ht="45" hidden="1" customHeight="1" outlineLevel="1" x14ac:dyDescent="0.25">
      <c r="A203" s="92" t="s">
        <v>932</v>
      </c>
      <c r="B203" s="74"/>
      <c r="C203" s="85" t="s">
        <v>936</v>
      </c>
      <c r="D203" s="80">
        <f>+COUNTIFS('muddati otgan'!C:C,A203,'muddati otgan'!C:C,A203)</f>
        <v>1</v>
      </c>
      <c r="E203" s="10">
        <f>SUMIFS('muddati otgan'!$V:V,'muddati otgan'!$C:C,$A:A)</f>
        <v>1</v>
      </c>
      <c r="F203" s="10">
        <f>SUMIFS('muddati otgan'!$W:W,'muddati otgan'!$C:C,$A:A)</f>
        <v>0</v>
      </c>
      <c r="G203" s="24">
        <f>SUMIFS('muddati otgan'!$U:U,'muddati otgan'!$C:C,$A:A)</f>
        <v>0</v>
      </c>
      <c r="H203" s="11">
        <f>SUMIFS('muddati otgan'!$G:G,'muddati otgan'!$C:C,$A:A)</f>
        <v>1</v>
      </c>
      <c r="I203" s="12">
        <f>SUMIFS('muddati otgan'!$H:H,'muddati otgan'!$C:C,$A:A)</f>
        <v>0</v>
      </c>
      <c r="J203" s="44">
        <f t="shared" si="23"/>
        <v>0</v>
      </c>
      <c r="K203" s="11">
        <f>+COUNTIFS('muddati otgan'!C:C,A203,'muddati otgan'!AA:AA,"Arizani qabul qilish")</f>
        <v>0</v>
      </c>
      <c r="L203" s="11">
        <f>+COUNTIFS('muddati otgan'!C:C,A203,'muddati otgan'!J:J,"Arizani rad etish")</f>
        <v>0</v>
      </c>
      <c r="M203" s="11">
        <f>+COUNTIFS('muddati otgan'!C:C,A203,'muddati otgan'!J:J,"Arizani tasdiqlash")</f>
        <v>0</v>
      </c>
      <c r="N203" s="11">
        <f>+COUNTIFS('muddati otgan'!C:C,A203,'muddati otgan'!J:J,"Arizani yo'naltirish")</f>
        <v>0</v>
      </c>
      <c r="O203" s="11">
        <f>+COUNTIFS('muddati otgan'!C:C,A203,'muddati otgan'!J:J,"Rad qilish sababini o'rganish")</f>
        <v>0</v>
      </c>
      <c r="P203" s="11">
        <f>+COUNTIFS('muddati otgan'!C:C,A203,'muddati otgan'!J:J,"Ko'chmas mulkni UZKAD ga migratsiya qilish")</f>
        <v>0</v>
      </c>
      <c r="Q203" s="11">
        <f>+COUNTIFS('muddati otgan'!C:C,A203,'muddati otgan'!J:J,"Migratisya qilingan obyekt holatini tekshirish")</f>
        <v>0</v>
      </c>
      <c r="R203" s="11">
        <f>+COUNTIFS('muddati otgan'!C:C,A203,'muddati otgan'!J:J,"Ko‘chmas mulkni tanlash")</f>
        <v>0</v>
      </c>
      <c r="S203" s="11">
        <f>+COUNTIFS('muddati otgan'!C:C,A203,'muddati otgan'!J:J,"Arizani ko'rib chiqish")</f>
        <v>0</v>
      </c>
      <c r="T203" s="11">
        <f>+COUNTIFS('muddati otgan'!C:C,A203,'muddati otgan'!J:J,"Kadastr muhandisini tanlash")</f>
        <v>0</v>
      </c>
      <c r="U203" s="11">
        <f>+COUNTIFS('muddati otgan'!C:C,A203,'muddati otgan'!J:J,"Ko'chmas mulk turini tanlahsh")</f>
        <v>0</v>
      </c>
      <c r="V203" s="11">
        <f>+COUNTIFS('muddati otgan'!C:C,A203,'muddati otgan'!AA:AA,"Rad qilish")</f>
        <v>0</v>
      </c>
      <c r="W203" s="11">
        <f>+COUNTIFS('muddati otgan'!C:C,A203,'muddati otgan'!J:J,"ijrochi tanlash")</f>
        <v>0</v>
      </c>
      <c r="X203" s="11">
        <f>+COUNTIFS('muddati otgan'!C:C,A203,'muddati otgan'!J:J,"Ko'chmas mulk turini tanlash")</f>
        <v>0</v>
      </c>
      <c r="Y203" s="11">
        <f t="shared" si="24"/>
        <v>0</v>
      </c>
      <c r="Z203" s="11">
        <f>+COUNTIFS('muddati otgan'!C:C,A203,'muddati otgan'!J:J,"Ijroga qabul qilish")</f>
        <v>0</v>
      </c>
      <c r="AA203" s="11">
        <f>+COUNTIFS('muddati otgan'!C:C,A203,'muddati otgan'!J:J,"Joyida o'rganish va ma'lumotlarni kiritish")</f>
        <v>0</v>
      </c>
      <c r="AB203" s="11">
        <f>+COUNTIFS('muddati otgan'!C:C,A203,'muddati otgan'!J:J,"Asosiy qismdan ajratish jarayonida")</f>
        <v>0</v>
      </c>
      <c r="AC203" s="11">
        <f>+COUNTIFS('muddati otgan'!C:C,A203,'muddati otgan'!J:J,"Umumiy foydalanishdagi obyekt yaratilish")</f>
        <v>0</v>
      </c>
      <c r="AD203" s="11">
        <f>+COUNTIFS('muddati otgan'!C:C,A203,'muddati otgan'!J:J,"Migratsiya qilinadigan kadastr raqamini kiritish")</f>
        <v>0</v>
      </c>
      <c r="AE203" s="11">
        <f>+COUNTIFS('muddati otgan'!C:C,A203,'muddati otgan'!J:J,"O'zida qolgan obyektni yaratish")</f>
        <v>0</v>
      </c>
      <c r="AF203" s="11">
        <f>+COUNTIFS('muddati otgan'!C:C,A203,'muddati otgan'!J:J,"O'lchov natijalarini kiritish")</f>
        <v>0</v>
      </c>
      <c r="AG203" s="11">
        <f>+COUNTIFS('muddati otgan'!C:C,A203,'muddati otgan'!J:J,"Topoxaritani tayyorlash (dwg, pdf)")</f>
        <v>0</v>
      </c>
      <c r="AH203" s="11">
        <f t="shared" si="25"/>
        <v>0</v>
      </c>
      <c r="AI203" s="11">
        <f>+COUNTIFS('muddati otgan'!C:C,A203,'muddati otgan'!J:J,"Yer uchastkasini yaratish")</f>
        <v>0</v>
      </c>
      <c r="AJ203" s="11">
        <f t="shared" si="26"/>
        <v>1</v>
      </c>
      <c r="AK203" s="11">
        <f>+COUNTIFS('muddati otgan'!C:C,A203,'muddati otgan'!J:J,"Kelishish (Boshqarma)")</f>
        <v>1</v>
      </c>
      <c r="AL203" s="11">
        <f t="shared" si="27"/>
        <v>0</v>
      </c>
      <c r="AM203" s="11">
        <f>+COUNTIFS('muddati otgan'!C:C,A203,'muddati otgan'!J:J,"Kelishish (DKP)")</f>
        <v>0</v>
      </c>
      <c r="AN203" s="11">
        <f>+COUNTIFS('muddati otgan'!C:C,A203,'muddati otgan'!J:J,"Kelishish")</f>
        <v>0</v>
      </c>
      <c r="AO203" s="11">
        <f>+COUNTIFS('muddati otgan'!C:C,A203,'muddati otgan'!J:J,"Kelishish (Registratsiya DKP)")</f>
        <v>0</v>
      </c>
      <c r="AP203" s="11">
        <f t="shared" si="28"/>
        <v>0</v>
      </c>
      <c r="AQ203" s="11">
        <f>+COUNTIFS('muddati otgan'!C:C,A203,'muddati otgan'!J:J,"Manzil biriktirish")</f>
        <v>0</v>
      </c>
      <c r="AR203" s="11">
        <f>+COUNTIFS('muddati otgan'!C:C,A203,'muddati otgan'!J:J,"Bino va inshootlarni yaratish")</f>
        <v>0</v>
      </c>
      <c r="AS203" s="11">
        <f>+COUNTIFS('muddati otgan'!C:C,A203,'muddati otgan'!J:J,"Dov daraxtlarni yaratish")</f>
        <v>0</v>
      </c>
      <c r="AT203" s="11">
        <f>+COUNTIFS('muddati otgan'!C:C,A203,'muddati otgan'!J:J,"Yer uchastkasini tahrirlash")</f>
        <v>0</v>
      </c>
      <c r="AU203" s="11">
        <f t="shared" si="29"/>
        <v>0</v>
      </c>
      <c r="AV203" s="11">
        <f>+COUNTIFS('muddati otgan'!C:C,A203,'muddati otgan'!J:J,"Yer toifasi va maqsadini kiritish")</f>
        <v>0</v>
      </c>
      <c r="AW203" s="11">
        <f>+COUNTIFS('muddati otgan'!C:C,A203,'muddati otgan'!J:J,"Auksion yer tekshirish")</f>
        <v>0</v>
      </c>
      <c r="AX203" s="11">
        <f>+COUNTIFS('muddati otgan'!C:C,A203,'muddati otgan'!J:J,"Yer turlarini kiritish")</f>
        <v>0</v>
      </c>
      <c r="AY203" s="11">
        <f>+COUNTIFS('muddati otgan'!C:C,A203,'muddati otgan'!J:J,"Ma'lumotlarni kiritish")</f>
        <v>0</v>
      </c>
      <c r="AZ203" s="11">
        <f>+COUNTIFS('muddati otgan'!C:C,A203,'muddati otgan'!J:J,"Yer tekshirish")</f>
        <v>0</v>
      </c>
      <c r="BA203" s="11">
        <f t="shared" si="30"/>
        <v>0</v>
      </c>
      <c r="BB203" s="11">
        <f>+COUNTIFS('muddati otgan'!C:C,A203,'muddati otgan'!J:J,"Bino va inshoot ma'lumotlarini to‘ldirish")</f>
        <v>0</v>
      </c>
      <c r="BC203" s="11">
        <f>+COUNTIFS('muddati otgan'!C:C,A203,'muddati otgan'!J:J,"Inventarizatsiya ma'lumotlarini to‘ldirish")</f>
        <v>0</v>
      </c>
      <c r="BD203" s="11">
        <f>+COUNTIFS('muddati otgan'!C:C,A203,'muddati otgan'!J:J,"Yer uchastkasiga huquqiy hujjatlarni kiritsh")</f>
        <v>0</v>
      </c>
      <c r="BE203" s="11">
        <f>+COUNTIFS('muddati otgan'!C:C,A203,'muddati otgan'!J:J,"Bino-inshootlarga huquqiy hujjatlarni kiritsh")</f>
        <v>0</v>
      </c>
      <c r="BF203" s="11">
        <f>+COUNTIFS('muddati otgan'!C:C,A203,'muddati otgan'!J:J,"Kadastr qiymatini hisoblash va kiritish")</f>
        <v>0</v>
      </c>
      <c r="BG203" s="11">
        <f>+COUNTIFS('muddati otgan'!C:C,A203,'muddati otgan'!J:J,"Kadastr raqam biriktirish")</f>
        <v>0</v>
      </c>
      <c r="BH203" s="11">
        <f>+COUNTIFS('muddati otgan'!C:C,A203,'muddati otgan'!J:J,"Kadastr yig'ma jildni tayyorlash")</f>
        <v>0</v>
      </c>
      <c r="BI203" s="11">
        <f>+COUNTIFS('muddati otgan'!C:C,A203,'muddati otgan'!J:J,"Huquqni yaratish")</f>
        <v>0</v>
      </c>
      <c r="BJ203" s="11">
        <f>+COUNTIFS('muddati otgan'!C:C,A203,'muddati otgan'!J:J,"Hujjatlarni o'rganish")</f>
        <v>0</v>
      </c>
      <c r="BK203" s="11">
        <f>+COUNTIFS('muddati otgan'!C:C,A203,'muddati otgan'!J:J,"Ma'lumotlarni tekshirish")</f>
        <v>0</v>
      </c>
      <c r="BL203" s="11">
        <f t="shared" si="31"/>
        <v>0</v>
      </c>
      <c r="BM203" s="11">
        <f>+COUNTIFS('muddati otgan'!C:C,A203,'muddati otgan'!J:J,"Tekshirish")</f>
        <v>0</v>
      </c>
      <c r="BN203" s="11">
        <f>+COUNTIFS('muddati otgan'!C:C,A203,'muddati otgan'!J:J,"Hujjatlarni tekshirish")</f>
        <v>0</v>
      </c>
      <c r="BO203" s="11">
        <f>+COUNTIFS('muddati otgan'!C:C,A203,'muddati otgan'!J:J,"Tasdiqlash")</f>
        <v>0</v>
      </c>
      <c r="BP203" s="11">
        <f>+COUNTIFS('muddati otgan'!C:C,A203,'muddati otgan'!J:J,"tekshirish/tasdiqlash")</f>
        <v>0</v>
      </c>
      <c r="BQ203" s="11">
        <f>+COUNTIFS('muddati otgan'!C:C,A203,'muddati otgan'!J:J,"Ma'lumotlarni tasdiqlash")</f>
        <v>0</v>
      </c>
      <c r="BR203" s="11">
        <f t="shared" si="32"/>
        <v>0</v>
      </c>
      <c r="BS203" s="11">
        <f>+COUNTIFS('muddati otgan'!C:C,A203,'muddati otgan'!J:J,"Ro'yxatdan o'tkazish ma'lumotlarini tekshirish")</f>
        <v>0</v>
      </c>
      <c r="BT203" s="11">
        <f>+COUNTIFS('muddati otgan'!C:C,A203,'muddati otgan'!J:J,"Kamchiliklar bo'yicha habarnoma yuborish va 3 kunga to'xtatish")</f>
        <v>0</v>
      </c>
      <c r="BU203" s="11">
        <f>+COUNTIFS('muddati otgan'!C:C,A203,'muddati otgan'!J:J,"Hisobga olish")</f>
        <v>0</v>
      </c>
      <c r="BV203" s="11">
        <f>+COUNTIFS('muddati otgan'!C:C,A203,'muddati otgan'!J:J,"Yer uchastkasiga huquq yaratish")</f>
        <v>0</v>
      </c>
      <c r="BW203" s="11">
        <f>+COUNTIFS('muddati otgan'!C:C,A203,'muddati otgan'!J:J,"Bino-inshootga huquq yaratish")</f>
        <v>0</v>
      </c>
      <c r="BX203" s="11">
        <f>+COUNTIFS('muddati otgan'!C:C,A203,'muddati otgan'!J:J,"Cheklov yaratish")</f>
        <v>0</v>
      </c>
      <c r="BY203" s="11">
        <f>+COUNTIFS('muddati otgan'!C:C,A203,'muddati otgan'!J:J,"Taqiq yaratish")</f>
        <v>0</v>
      </c>
      <c r="BZ203" s="11">
        <f t="shared" si="33"/>
        <v>0</v>
      </c>
      <c r="CA203" s="11">
        <f>+COUNTIFS('muddati otgan'!C:C,A203,'muddati otgan'!J:J,"Soliq maydonini tekshirish")</f>
        <v>0</v>
      </c>
      <c r="CB203" s="11">
        <f t="shared" si="34"/>
        <v>0</v>
      </c>
      <c r="CC203" s="11">
        <f>+COUNTIFS('muddati otgan'!C:C,A203,'muddati otgan'!J:J,"Kadastr yig'majildini shakllantirish")</f>
        <v>0</v>
      </c>
      <c r="CD203" s="11">
        <f t="shared" si="35"/>
        <v>0</v>
      </c>
      <c r="CE203" s="11">
        <f>+COUNTIFS('muddati otgan'!C:C,A203,'muddati otgan'!J:J,"Kadastr passportini shakllantirish")</f>
        <v>0</v>
      </c>
      <c r="CF203" s="11">
        <f>+COUNTIFS('muddati otgan'!C:C,A203,'muddati otgan'!J:J,"Yig'ma jildni tasdiqlash")</f>
        <v>0</v>
      </c>
      <c r="CG203" s="11">
        <f>+COUNTIFS('muddati otgan'!C:C,A203,'muddati otgan'!J:J,"To'lov yoki bepul tasdiqlash")</f>
        <v>0</v>
      </c>
      <c r="CH203" s="11">
        <f>+COUNTIFS('muddati otgan'!C:C,A203,'muddati otgan'!J:J,"Bog'liq arizani kutish")</f>
        <v>0</v>
      </c>
      <c r="CI203" s="11">
        <f>+COUNTIFS('muddati otgan'!C:C,A203,'muddati otgan'!J:J,"To'lovga chiqarish")</f>
        <v>0</v>
      </c>
      <c r="CJ203" s="11">
        <f>+COUNTIFS('muddati otgan'!C:C,A203,'muddati otgan'!J:J,"Hisobga qo'yish")</f>
        <v>0</v>
      </c>
      <c r="CK203" s="6">
        <f>+COUNTIFS('muddati otgan'!C:C,A203,'muddati otgan'!J:J,"To'lov kutilmoqda")</f>
        <v>0</v>
      </c>
      <c r="CL203" s="125">
        <f t="shared" si="36"/>
        <v>0</v>
      </c>
      <c r="CM203" s="125">
        <f>+COUNTIFS('muddati otgan'!C:C,A203,'muddati otgan'!AA:AA,"Arizani qabul qilish2")</f>
        <v>0</v>
      </c>
      <c r="CN203" s="125">
        <f>+COUNTIFS('muddati otgan'!C:C,A203,'muddati otgan'!J:J,"Huquqlarni tekshirish")</f>
        <v>0</v>
      </c>
      <c r="CO203" s="125">
        <f>+COUNTIFS('muddati otgan'!C:C,A203,'muddati otgan'!J:J,"Ko'chmas mulkni ro'yhatdan o'tkazishga qabul qilish")</f>
        <v>0</v>
      </c>
      <c r="CP203" s="125">
        <f>+COUNTIFS('muddati otgan'!C:C,A203,'muddati otgan'!J:J,"Ro'yxatdan o'tkazish")</f>
        <v>0</v>
      </c>
      <c r="CQ203" s="125">
        <f>+COUNTIFS('muddati otgan'!C:C,A203,'muddati otgan'!J:J,"Kadastr pasporti va ko'chirmani yuborish")</f>
        <v>0</v>
      </c>
      <c r="CR203" s="125">
        <f>+COUNTIFS('muddati otgan'!C:C,A203,'muddati otgan'!AA:AA,"Rad qilish2")</f>
        <v>0</v>
      </c>
      <c r="CS203" s="125">
        <f>+COUNTIFS('muddati otgan'!C:C,A203,'muddati otgan'!J:J,"Ko'chirmani yuborish")</f>
        <v>0</v>
      </c>
      <c r="CT203" s="125">
        <f>+COUNTIFS('muddati otgan'!C:C,A203,'muddati otgan'!J:J,"Ma‘lumotlarni tekshirish")</f>
        <v>0</v>
      </c>
      <c r="CU203" s="125">
        <f t="shared" si="37"/>
        <v>0</v>
      </c>
      <c r="CV203" s="125">
        <f>+COUNTIFS('muddati otgan'!C:C,A203,'muddati otgan'!J:J,"Kadastr yig'majildini chop etish va arxiv ishiga tikish")</f>
        <v>0</v>
      </c>
      <c r="CW203" s="125">
        <f t="shared" si="38"/>
        <v>0</v>
      </c>
      <c r="CX203" s="11">
        <f>+COUNTIFS('muddati otgan'!C:C,A203,'muddati otgan'!J:J,"Kadastr yig‘majildini qabul qilish, arizani yakunlash")</f>
        <v>0</v>
      </c>
      <c r="CY203" s="11">
        <f>+COUNTIFS('muddati otgan'!C:C,A203,'muddati otgan'!J:J,"Next Cloudga yuklash")</f>
        <v>0</v>
      </c>
      <c r="CZ203" s="6">
        <f>+COUNTIFS('muddati otgan'!C:C,A203,'muddati otgan'!J:J,"Kelishish kutilmoqda")</f>
        <v>0</v>
      </c>
      <c r="DA203" s="6">
        <f>+COUNTIFS('muddati otgan'!C:C,A203,'muddati otgan'!J:J,"Yakunlandi")</f>
        <v>0</v>
      </c>
      <c r="DB203" s="10">
        <f>+COUNTIFS('muddati otgan'!C:C,A203,'muddati otgan'!J:J,"Rad etildi")</f>
        <v>0</v>
      </c>
      <c r="DC203" s="100">
        <f t="shared" si="5"/>
        <v>-1</v>
      </c>
      <c r="DD203" s="44">
        <f>COUNTIFS('jami 1-20 kunlik arizalar'!C:C,A:A,'jami 1-20 kunlik arizalar'!S:S,"1")</f>
        <v>0</v>
      </c>
      <c r="DE203" s="11">
        <f>COUNTIFS('jami 1-20 kunlik arizalar'!C:C,A:A,'jami 1-20 kunlik arizalar'!S:S,"2")</f>
        <v>0</v>
      </c>
      <c r="DF203" s="11">
        <f>COUNTIFS('jami 1-20 kunlik arizalar'!C:C,A:A,'jami 1-20 kunlik arizalar'!S:S,"3")</f>
        <v>0</v>
      </c>
      <c r="DG203" s="11">
        <f>COUNTIFS('jami 1-20 kunlik arizalar'!C:C,A:A,'jami 1-20 kunlik arizalar'!S:S,"4")</f>
        <v>0</v>
      </c>
      <c r="DH203" s="11">
        <f>COUNTIFS('jami 1-20 kunlik arizalar'!C:C,A:A,'jami 1-20 kunlik arizalar'!S:S,"5")</f>
        <v>0</v>
      </c>
      <c r="DI203" s="11">
        <f>SUM(COUNTIFS('jami 1-20 kunlik arizalar'!C:C,A:A, 'jami 1-20 kunlik arizalar'!S:S, {6,7,8,9,10}))</f>
        <v>2</v>
      </c>
      <c r="DJ203" s="12">
        <f>SUM(COUNTIFS('jami 1-20 kunlik arizalar'!C:C,A:A, 'jami 1-20 kunlik arizalar'!S:S, "&gt;10"))</f>
        <v>1</v>
      </c>
    </row>
    <row r="204" spans="1:115" ht="45" hidden="1" customHeight="1" outlineLevel="1" x14ac:dyDescent="0.25">
      <c r="A204" s="92" t="s">
        <v>933</v>
      </c>
      <c r="B204" s="74"/>
      <c r="C204" s="85" t="s">
        <v>937</v>
      </c>
      <c r="D204" s="80">
        <f>+COUNTIFS('muddati otgan'!C:C,A204,'muddati otgan'!C:C,A204)</f>
        <v>0</v>
      </c>
      <c r="E204" s="10">
        <f>SUMIFS('muddati otgan'!$V:V,'muddati otgan'!$C:C,$A:A)</f>
        <v>0</v>
      </c>
      <c r="F204" s="10">
        <f>SUMIFS('muddati otgan'!$W:W,'muddati otgan'!$C:C,$A:A)</f>
        <v>0</v>
      </c>
      <c r="G204" s="24">
        <f>SUMIFS('muddati otgan'!$U:U,'muddati otgan'!$C:C,$A:A)</f>
        <v>0</v>
      </c>
      <c r="H204" s="11">
        <f>SUMIFS('muddati otgan'!$G:G,'muddati otgan'!$C:C,$A:A)</f>
        <v>0</v>
      </c>
      <c r="I204" s="12">
        <f>SUMIFS('muddati otgan'!$H:H,'muddati otgan'!$C:C,$A:A)</f>
        <v>0</v>
      </c>
      <c r="J204" s="44">
        <f t="shared" si="23"/>
        <v>0</v>
      </c>
      <c r="K204" s="11">
        <f>+COUNTIFS('muddati otgan'!C:C,A204,'muddati otgan'!AA:AA,"Arizani qabul qilish")</f>
        <v>0</v>
      </c>
      <c r="L204" s="11">
        <f>+COUNTIFS('muddati otgan'!C:C,A204,'muddati otgan'!J:J,"Arizani rad etish")</f>
        <v>0</v>
      </c>
      <c r="M204" s="11">
        <f>+COUNTIFS('muddati otgan'!C:C,A204,'muddati otgan'!J:J,"Arizani tasdiqlash")</f>
        <v>0</v>
      </c>
      <c r="N204" s="11">
        <f>+COUNTIFS('muddati otgan'!C:C,A204,'muddati otgan'!J:J,"Arizani yo'naltirish")</f>
        <v>0</v>
      </c>
      <c r="O204" s="11">
        <f>+COUNTIFS('muddati otgan'!C:C,A204,'muddati otgan'!J:J,"Rad qilish sababini o'rganish")</f>
        <v>0</v>
      </c>
      <c r="P204" s="11">
        <f>+COUNTIFS('muddati otgan'!C:C,A204,'muddati otgan'!J:J,"Ko'chmas mulkni UZKAD ga migratsiya qilish")</f>
        <v>0</v>
      </c>
      <c r="Q204" s="11">
        <f>+COUNTIFS('muddati otgan'!C:C,A204,'muddati otgan'!J:J,"Migratisya qilingan obyekt holatini tekshirish")</f>
        <v>0</v>
      </c>
      <c r="R204" s="11">
        <f>+COUNTIFS('muddati otgan'!C:C,A204,'muddati otgan'!J:J,"Ko‘chmas mulkni tanlash")</f>
        <v>0</v>
      </c>
      <c r="S204" s="11">
        <f>+COUNTIFS('muddati otgan'!C:C,A204,'muddati otgan'!J:J,"Arizani ko'rib chiqish")</f>
        <v>0</v>
      </c>
      <c r="T204" s="11">
        <f>+COUNTIFS('muddati otgan'!C:C,A204,'muddati otgan'!J:J,"Kadastr muhandisini tanlash")</f>
        <v>0</v>
      </c>
      <c r="U204" s="11">
        <f>+COUNTIFS('muddati otgan'!C:C,A204,'muddati otgan'!J:J,"Ko'chmas mulk turini tanlahsh")</f>
        <v>0</v>
      </c>
      <c r="V204" s="11">
        <f>+COUNTIFS('muddati otgan'!C:C,A204,'muddati otgan'!AA:AA,"Rad qilish")</f>
        <v>0</v>
      </c>
      <c r="W204" s="11">
        <f>+COUNTIFS('muddati otgan'!C:C,A204,'muddati otgan'!J:J,"ijrochi tanlash")</f>
        <v>0</v>
      </c>
      <c r="X204" s="11">
        <f>+COUNTIFS('muddati otgan'!C:C,A204,'muddati otgan'!J:J,"Ko'chmas mulk turini tanlash")</f>
        <v>0</v>
      </c>
      <c r="Y204" s="11">
        <f t="shared" si="24"/>
        <v>0</v>
      </c>
      <c r="Z204" s="11">
        <f>+COUNTIFS('muddati otgan'!C:C,A204,'muddati otgan'!J:J,"Ijroga qabul qilish")</f>
        <v>0</v>
      </c>
      <c r="AA204" s="11">
        <f>+COUNTIFS('muddati otgan'!C:C,A204,'muddati otgan'!J:J,"Joyida o'rganish va ma'lumotlarni kiritish")</f>
        <v>0</v>
      </c>
      <c r="AB204" s="11">
        <f>+COUNTIFS('muddati otgan'!C:C,A204,'muddati otgan'!J:J,"Asosiy qismdan ajratish jarayonida")</f>
        <v>0</v>
      </c>
      <c r="AC204" s="11">
        <f>+COUNTIFS('muddati otgan'!C:C,A204,'muddati otgan'!J:J,"Umumiy foydalanishdagi obyekt yaratilish")</f>
        <v>0</v>
      </c>
      <c r="AD204" s="11">
        <f>+COUNTIFS('muddati otgan'!C:C,A204,'muddati otgan'!J:J,"Migratsiya qilinadigan kadastr raqamini kiritish")</f>
        <v>0</v>
      </c>
      <c r="AE204" s="11">
        <f>+COUNTIFS('muddati otgan'!C:C,A204,'muddati otgan'!J:J,"O'zida qolgan obyektni yaratish")</f>
        <v>0</v>
      </c>
      <c r="AF204" s="11">
        <f>+COUNTIFS('muddati otgan'!C:C,A204,'muddati otgan'!J:J,"O'lchov natijalarini kiritish")</f>
        <v>0</v>
      </c>
      <c r="AG204" s="11">
        <f>+COUNTIFS('muddati otgan'!C:C,A204,'muddati otgan'!J:J,"Topoxaritani tayyorlash (dwg, pdf)")</f>
        <v>0</v>
      </c>
      <c r="AH204" s="11">
        <f t="shared" si="25"/>
        <v>0</v>
      </c>
      <c r="AI204" s="11">
        <f>+COUNTIFS('muddati otgan'!C:C,A204,'muddati otgan'!J:J,"Yer uchastkasini yaratish")</f>
        <v>0</v>
      </c>
      <c r="AJ204" s="11">
        <f t="shared" si="26"/>
        <v>0</v>
      </c>
      <c r="AK204" s="11">
        <f>+COUNTIFS('muddati otgan'!C:C,A204,'muddati otgan'!J:J,"Kelishish (Boshqarma)")</f>
        <v>0</v>
      </c>
      <c r="AL204" s="11">
        <f t="shared" si="27"/>
        <v>0</v>
      </c>
      <c r="AM204" s="11">
        <f>+COUNTIFS('muddati otgan'!C:C,A204,'muddati otgan'!J:J,"Kelishish (DKP)")</f>
        <v>0</v>
      </c>
      <c r="AN204" s="11">
        <f>+COUNTIFS('muddati otgan'!C:C,A204,'muddati otgan'!J:J,"Kelishish")</f>
        <v>0</v>
      </c>
      <c r="AO204" s="11">
        <f>+COUNTIFS('muddati otgan'!C:C,A204,'muddati otgan'!J:J,"Kelishish (Registratsiya DKP)")</f>
        <v>0</v>
      </c>
      <c r="AP204" s="11">
        <f t="shared" si="28"/>
        <v>0</v>
      </c>
      <c r="AQ204" s="11">
        <f>+COUNTIFS('muddati otgan'!C:C,A204,'muddati otgan'!J:J,"Manzil biriktirish")</f>
        <v>0</v>
      </c>
      <c r="AR204" s="11">
        <f>+COUNTIFS('muddati otgan'!C:C,A204,'muddati otgan'!J:J,"Bino va inshootlarni yaratish")</f>
        <v>0</v>
      </c>
      <c r="AS204" s="11">
        <f>+COUNTIFS('muddati otgan'!C:C,A204,'muddati otgan'!J:J,"Dov daraxtlarni yaratish")</f>
        <v>0</v>
      </c>
      <c r="AT204" s="11">
        <f>+COUNTIFS('muddati otgan'!C:C,A204,'muddati otgan'!J:J,"Yer uchastkasini tahrirlash")</f>
        <v>0</v>
      </c>
      <c r="AU204" s="11">
        <f t="shared" si="29"/>
        <v>0</v>
      </c>
      <c r="AV204" s="11">
        <f>+COUNTIFS('muddati otgan'!C:C,A204,'muddati otgan'!J:J,"Yer toifasi va maqsadini kiritish")</f>
        <v>0</v>
      </c>
      <c r="AW204" s="11">
        <f>+COUNTIFS('muddati otgan'!C:C,A204,'muddati otgan'!J:J,"Auksion yer tekshirish")</f>
        <v>0</v>
      </c>
      <c r="AX204" s="11">
        <f>+COUNTIFS('muddati otgan'!C:C,A204,'muddati otgan'!J:J,"Yer turlarini kiritish")</f>
        <v>0</v>
      </c>
      <c r="AY204" s="11">
        <f>+COUNTIFS('muddati otgan'!C:C,A204,'muddati otgan'!J:J,"Ma'lumotlarni kiritish")</f>
        <v>0</v>
      </c>
      <c r="AZ204" s="11">
        <f>+COUNTIFS('muddati otgan'!C:C,A204,'muddati otgan'!J:J,"Yer tekshirish")</f>
        <v>0</v>
      </c>
      <c r="BA204" s="11">
        <f t="shared" si="30"/>
        <v>0</v>
      </c>
      <c r="BB204" s="11">
        <f>+COUNTIFS('muddati otgan'!C:C,A204,'muddati otgan'!J:J,"Bino va inshoot ma'lumotlarini to‘ldirish")</f>
        <v>0</v>
      </c>
      <c r="BC204" s="11">
        <f>+COUNTIFS('muddati otgan'!C:C,A204,'muddati otgan'!J:J,"Inventarizatsiya ma'lumotlarini to‘ldirish")</f>
        <v>0</v>
      </c>
      <c r="BD204" s="11">
        <f>+COUNTIFS('muddati otgan'!C:C,A204,'muddati otgan'!J:J,"Yer uchastkasiga huquqiy hujjatlarni kiritsh")</f>
        <v>0</v>
      </c>
      <c r="BE204" s="11">
        <f>+COUNTIFS('muddati otgan'!C:C,A204,'muddati otgan'!J:J,"Bino-inshootlarga huquqiy hujjatlarni kiritsh")</f>
        <v>0</v>
      </c>
      <c r="BF204" s="11">
        <f>+COUNTIFS('muddati otgan'!C:C,A204,'muddati otgan'!J:J,"Kadastr qiymatini hisoblash va kiritish")</f>
        <v>0</v>
      </c>
      <c r="BG204" s="11">
        <f>+COUNTIFS('muddati otgan'!C:C,A204,'muddati otgan'!J:J,"Kadastr raqam biriktirish")</f>
        <v>0</v>
      </c>
      <c r="BH204" s="11">
        <f>+COUNTIFS('muddati otgan'!C:C,A204,'muddati otgan'!J:J,"Kadastr yig'ma jildni tayyorlash")</f>
        <v>0</v>
      </c>
      <c r="BI204" s="11">
        <f>+COUNTIFS('muddati otgan'!C:C,A204,'muddati otgan'!J:J,"Huquqni yaratish")</f>
        <v>0</v>
      </c>
      <c r="BJ204" s="11">
        <f>+COUNTIFS('muddati otgan'!C:C,A204,'muddati otgan'!J:J,"Hujjatlarni o'rganish")</f>
        <v>0</v>
      </c>
      <c r="BK204" s="11">
        <f>+COUNTIFS('muddati otgan'!C:C,A204,'muddati otgan'!J:J,"Ma'lumotlarni tekshirish")</f>
        <v>0</v>
      </c>
      <c r="BL204" s="11">
        <f t="shared" si="31"/>
        <v>0</v>
      </c>
      <c r="BM204" s="11">
        <f>+COUNTIFS('muddati otgan'!C:C,A204,'muddati otgan'!J:J,"Tekshirish")</f>
        <v>0</v>
      </c>
      <c r="BN204" s="11">
        <f>+COUNTIFS('muddati otgan'!C:C,A204,'muddati otgan'!J:J,"Hujjatlarni tekshirish")</f>
        <v>0</v>
      </c>
      <c r="BO204" s="11">
        <f>+COUNTIFS('muddati otgan'!C:C,A204,'muddati otgan'!J:J,"Tasdiqlash")</f>
        <v>0</v>
      </c>
      <c r="BP204" s="11">
        <f>+COUNTIFS('muddati otgan'!C:C,A204,'muddati otgan'!J:J,"tekshirish/tasdiqlash")</f>
        <v>0</v>
      </c>
      <c r="BQ204" s="11">
        <f>+COUNTIFS('muddati otgan'!C:C,A204,'muddati otgan'!J:J,"Ma'lumotlarni tasdiqlash")</f>
        <v>0</v>
      </c>
      <c r="BR204" s="11">
        <f t="shared" si="32"/>
        <v>0</v>
      </c>
      <c r="BS204" s="11">
        <f>+COUNTIFS('muddati otgan'!C:C,A204,'muddati otgan'!J:J,"Ro'yxatdan o'tkazish ma'lumotlarini tekshirish")</f>
        <v>0</v>
      </c>
      <c r="BT204" s="11">
        <f>+COUNTIFS('muddati otgan'!C:C,A204,'muddati otgan'!J:J,"Kamchiliklar bo'yicha habarnoma yuborish va 3 kunga to'xtatish")</f>
        <v>0</v>
      </c>
      <c r="BU204" s="11">
        <f>+COUNTIFS('muddati otgan'!C:C,A204,'muddati otgan'!J:J,"Hisobga olish")</f>
        <v>0</v>
      </c>
      <c r="BV204" s="11">
        <f>+COUNTIFS('muddati otgan'!C:C,A204,'muddati otgan'!J:J,"Yer uchastkasiga huquq yaratish")</f>
        <v>0</v>
      </c>
      <c r="BW204" s="11">
        <f>+COUNTIFS('muddati otgan'!C:C,A204,'muddati otgan'!J:J,"Bino-inshootga huquq yaratish")</f>
        <v>0</v>
      </c>
      <c r="BX204" s="11">
        <f>+COUNTIFS('muddati otgan'!C:C,A204,'muddati otgan'!J:J,"Cheklov yaratish")</f>
        <v>0</v>
      </c>
      <c r="BY204" s="11">
        <f>+COUNTIFS('muddati otgan'!C:C,A204,'muddati otgan'!J:J,"Taqiq yaratish")</f>
        <v>0</v>
      </c>
      <c r="BZ204" s="11">
        <f t="shared" si="33"/>
        <v>0</v>
      </c>
      <c r="CA204" s="11">
        <f>+COUNTIFS('muddati otgan'!C:C,A204,'muddati otgan'!J:J,"Soliq maydonini tekshirish")</f>
        <v>0</v>
      </c>
      <c r="CB204" s="11">
        <f t="shared" si="34"/>
        <v>0</v>
      </c>
      <c r="CC204" s="11">
        <f>+COUNTIFS('muddati otgan'!C:C,A204,'muddati otgan'!J:J,"Kadastr yig'majildini shakllantirish")</f>
        <v>0</v>
      </c>
      <c r="CD204" s="11">
        <f t="shared" si="35"/>
        <v>0</v>
      </c>
      <c r="CE204" s="11">
        <f>+COUNTIFS('muddati otgan'!C:C,A204,'muddati otgan'!J:J,"Kadastr passportini shakllantirish")</f>
        <v>0</v>
      </c>
      <c r="CF204" s="11">
        <f>+COUNTIFS('muddati otgan'!C:C,A204,'muddati otgan'!J:J,"Yig'ma jildni tasdiqlash")</f>
        <v>0</v>
      </c>
      <c r="CG204" s="11">
        <f>+COUNTIFS('muddati otgan'!C:C,A204,'muddati otgan'!J:J,"To'lov yoki bepul tasdiqlash")</f>
        <v>0</v>
      </c>
      <c r="CH204" s="11">
        <f>+COUNTIFS('muddati otgan'!C:C,A204,'muddati otgan'!J:J,"Bog'liq arizani kutish")</f>
        <v>0</v>
      </c>
      <c r="CI204" s="11">
        <f>+COUNTIFS('muddati otgan'!C:C,A204,'muddati otgan'!J:J,"To'lovga chiqarish")</f>
        <v>0</v>
      </c>
      <c r="CJ204" s="11">
        <f>+COUNTIFS('muddati otgan'!C:C,A204,'muddati otgan'!J:J,"Hisobga qo'yish")</f>
        <v>0</v>
      </c>
      <c r="CK204" s="6">
        <f>+COUNTIFS('muddati otgan'!C:C,A204,'muddati otgan'!J:J,"To'lov kutilmoqda")</f>
        <v>0</v>
      </c>
      <c r="CL204" s="125">
        <f t="shared" si="36"/>
        <v>0</v>
      </c>
      <c r="CM204" s="125">
        <f>+COUNTIFS('muddati otgan'!C:C,A204,'muddati otgan'!AA:AA,"Arizani qabul qilish2")</f>
        <v>0</v>
      </c>
      <c r="CN204" s="125">
        <f>+COUNTIFS('muddati otgan'!C:C,A204,'muddati otgan'!J:J,"Huquqlarni tekshirish")</f>
        <v>0</v>
      </c>
      <c r="CO204" s="125">
        <f>+COUNTIFS('muddati otgan'!C:C,A204,'muddati otgan'!J:J,"Ko'chmas mulkni ro'yhatdan o'tkazishga qabul qilish")</f>
        <v>0</v>
      </c>
      <c r="CP204" s="125">
        <f>+COUNTIFS('muddati otgan'!C:C,A204,'muddati otgan'!J:J,"Ro'yxatdan o'tkazish")</f>
        <v>0</v>
      </c>
      <c r="CQ204" s="125">
        <f>+COUNTIFS('muddati otgan'!C:C,A204,'muddati otgan'!J:J,"Kadastr pasporti va ko'chirmani yuborish")</f>
        <v>0</v>
      </c>
      <c r="CR204" s="125">
        <f>+COUNTIFS('muddati otgan'!C:C,A204,'muddati otgan'!AA:AA,"Rad qilish2")</f>
        <v>0</v>
      </c>
      <c r="CS204" s="125">
        <f>+COUNTIFS('muddati otgan'!C:C,A204,'muddati otgan'!J:J,"Ko'chirmani yuborish")</f>
        <v>0</v>
      </c>
      <c r="CT204" s="125">
        <f>+COUNTIFS('muddati otgan'!C:C,A204,'muddati otgan'!J:J,"Ma‘lumotlarni tekshirish")</f>
        <v>0</v>
      </c>
      <c r="CU204" s="125">
        <f t="shared" si="37"/>
        <v>0</v>
      </c>
      <c r="CV204" s="125">
        <f>+COUNTIFS('muddati otgan'!C:C,A204,'muddati otgan'!J:J,"Kadastr yig'majildini chop etish va arxiv ishiga tikish")</f>
        <v>0</v>
      </c>
      <c r="CW204" s="125">
        <f t="shared" si="38"/>
        <v>0</v>
      </c>
      <c r="CX204" s="11">
        <f>+COUNTIFS('muddati otgan'!C:C,A204,'muddati otgan'!J:J,"Kadastr yig‘majildini qabul qilish, arizani yakunlash")</f>
        <v>0</v>
      </c>
      <c r="CY204" s="11">
        <f>+COUNTIFS('muddati otgan'!C:C,A204,'muddati otgan'!J:J,"Next Cloudga yuklash")</f>
        <v>0</v>
      </c>
      <c r="CZ204" s="6">
        <f>+COUNTIFS('muddati otgan'!C:C,A204,'muddati otgan'!J:J,"Kelishish kutilmoqda")</f>
        <v>0</v>
      </c>
      <c r="DA204" s="6">
        <f>+COUNTIFS('muddati otgan'!C:C,A204,'muddati otgan'!J:J,"Yakunlandi")</f>
        <v>0</v>
      </c>
      <c r="DB204" s="10">
        <f>+COUNTIFS('muddati otgan'!C:C,A204,'muddati otgan'!J:J,"Rad etildi")</f>
        <v>0</v>
      </c>
      <c r="DC204" s="100">
        <f t="shared" si="5"/>
        <v>0</v>
      </c>
      <c r="DD204" s="44">
        <f>COUNTIFS('jami 1-20 kunlik arizalar'!C:C,A:A,'jami 1-20 kunlik arizalar'!S:S,"1")</f>
        <v>0</v>
      </c>
      <c r="DE204" s="11">
        <f>COUNTIFS('jami 1-20 kunlik arizalar'!C:C,A:A,'jami 1-20 kunlik arizalar'!S:S,"2")</f>
        <v>0</v>
      </c>
      <c r="DF204" s="11">
        <f>COUNTIFS('jami 1-20 kunlik arizalar'!C:C,A:A,'jami 1-20 kunlik arizalar'!S:S,"3")</f>
        <v>1</v>
      </c>
      <c r="DG204" s="11">
        <f>COUNTIFS('jami 1-20 kunlik arizalar'!C:C,A:A,'jami 1-20 kunlik arizalar'!S:S,"4")</f>
        <v>0</v>
      </c>
      <c r="DH204" s="11">
        <f>COUNTIFS('jami 1-20 kunlik arizalar'!C:C,A:A,'jami 1-20 kunlik arizalar'!S:S,"5")</f>
        <v>2</v>
      </c>
      <c r="DI204" s="11">
        <f>SUM(COUNTIFS('jami 1-20 kunlik arizalar'!C:C,A:A, 'jami 1-20 kunlik arizalar'!S:S, {6,7,8,9,10}))</f>
        <v>3</v>
      </c>
      <c r="DJ204" s="12">
        <f>SUM(COUNTIFS('jami 1-20 kunlik arizalar'!C:C,A:A, 'jami 1-20 kunlik arizalar'!S:S, "&gt;10"))</f>
        <v>4</v>
      </c>
    </row>
    <row r="205" spans="1:115" ht="45" hidden="1" customHeight="1" outlineLevel="1" x14ac:dyDescent="0.25">
      <c r="A205" s="92" t="s">
        <v>477</v>
      </c>
      <c r="B205" s="74"/>
      <c r="C205" s="85" t="s">
        <v>894</v>
      </c>
      <c r="D205" s="80">
        <f>+COUNTIFS('muddati otgan'!C:C,A205,'muddati otgan'!C:C,A205)</f>
        <v>0</v>
      </c>
      <c r="E205" s="10">
        <f>SUMIFS('muddati otgan'!$V:V,'muddati otgan'!$C:C,$A:A)</f>
        <v>0</v>
      </c>
      <c r="F205" s="10">
        <f>SUMIFS('muddati otgan'!$W:W,'muddati otgan'!$C:C,$A:A)</f>
        <v>0</v>
      </c>
      <c r="G205" s="24">
        <f>SUMIFS('muddati otgan'!$U:U,'muddati otgan'!$C:C,$A:A)</f>
        <v>0</v>
      </c>
      <c r="H205" s="11">
        <f>SUMIFS('muddati otgan'!$G:G,'muddati otgan'!$C:C,$A:A)</f>
        <v>0</v>
      </c>
      <c r="I205" s="12">
        <f>SUMIFS('muddati otgan'!$H:H,'muddati otgan'!$C:C,$A:A)</f>
        <v>0</v>
      </c>
      <c r="J205" s="44">
        <f t="shared" si="23"/>
        <v>0</v>
      </c>
      <c r="K205" s="11">
        <f>+COUNTIFS('muddati otgan'!C:C,A205,'muddati otgan'!AA:AA,"Arizani qabul qilish")</f>
        <v>0</v>
      </c>
      <c r="L205" s="11">
        <f>+COUNTIFS('muddati otgan'!C:C,A205,'muddati otgan'!J:J,"Arizani rad etish")</f>
        <v>0</v>
      </c>
      <c r="M205" s="11">
        <f>+COUNTIFS('muddati otgan'!C:C,A205,'muddati otgan'!J:J,"Arizani tasdiqlash")</f>
        <v>0</v>
      </c>
      <c r="N205" s="11">
        <f>+COUNTIFS('muddati otgan'!C:C,A205,'muddati otgan'!J:J,"Arizani yo'naltirish")</f>
        <v>0</v>
      </c>
      <c r="O205" s="11">
        <f>+COUNTIFS('muddati otgan'!C:C,A205,'muddati otgan'!J:J,"Rad qilish sababini o'rganish")</f>
        <v>0</v>
      </c>
      <c r="P205" s="11">
        <f>+COUNTIFS('muddati otgan'!C:C,A205,'muddati otgan'!J:J,"Ko'chmas mulkni UZKAD ga migratsiya qilish")</f>
        <v>0</v>
      </c>
      <c r="Q205" s="11">
        <f>+COUNTIFS('muddati otgan'!C:C,A205,'muddati otgan'!J:J,"Migratisya qilingan obyekt holatini tekshirish")</f>
        <v>0</v>
      </c>
      <c r="R205" s="11">
        <f>+COUNTIFS('muddati otgan'!C:C,A205,'muddati otgan'!J:J,"Ko‘chmas mulkni tanlash")</f>
        <v>0</v>
      </c>
      <c r="S205" s="11">
        <f>+COUNTIFS('muddati otgan'!C:C,A205,'muddati otgan'!J:J,"Arizani ko'rib chiqish")</f>
        <v>0</v>
      </c>
      <c r="T205" s="11">
        <f>+COUNTIFS('muddati otgan'!C:C,A205,'muddati otgan'!J:J,"Kadastr muhandisini tanlash")</f>
        <v>0</v>
      </c>
      <c r="U205" s="11">
        <f>+COUNTIFS('muddati otgan'!C:C,A205,'muddati otgan'!J:J,"Ko'chmas mulk turini tanlahsh")</f>
        <v>0</v>
      </c>
      <c r="V205" s="11">
        <f>+COUNTIFS('muddati otgan'!C:C,A205,'muddati otgan'!AA:AA,"Rad qilish")</f>
        <v>0</v>
      </c>
      <c r="W205" s="11">
        <f>+COUNTIFS('muddati otgan'!C:C,A205,'muddati otgan'!J:J,"ijrochi tanlash")</f>
        <v>0</v>
      </c>
      <c r="X205" s="11">
        <f>+COUNTIFS('muddati otgan'!C:C,A205,'muddati otgan'!J:J,"Ko'chmas mulk turini tanlash")</f>
        <v>0</v>
      </c>
      <c r="Y205" s="11">
        <f t="shared" si="24"/>
        <v>0</v>
      </c>
      <c r="Z205" s="11">
        <f>+COUNTIFS('muddati otgan'!C:C,A205,'muddati otgan'!J:J,"Ijroga qabul qilish")</f>
        <v>0</v>
      </c>
      <c r="AA205" s="11">
        <f>+COUNTIFS('muddati otgan'!C:C,A205,'muddati otgan'!J:J,"Joyida o'rganish va ma'lumotlarni kiritish")</f>
        <v>0</v>
      </c>
      <c r="AB205" s="11">
        <f>+COUNTIFS('muddati otgan'!C:C,A205,'muddati otgan'!J:J,"Asosiy qismdan ajratish jarayonida")</f>
        <v>0</v>
      </c>
      <c r="AC205" s="11">
        <f>+COUNTIFS('muddati otgan'!C:C,A205,'muddati otgan'!J:J,"Umumiy foydalanishdagi obyekt yaratilish")</f>
        <v>0</v>
      </c>
      <c r="AD205" s="11">
        <f>+COUNTIFS('muddati otgan'!C:C,A205,'muddati otgan'!J:J,"Migratsiya qilinadigan kadastr raqamini kiritish")</f>
        <v>0</v>
      </c>
      <c r="AE205" s="11">
        <f>+COUNTIFS('muddati otgan'!C:C,A205,'muddati otgan'!J:J,"O'zida qolgan obyektni yaratish")</f>
        <v>0</v>
      </c>
      <c r="AF205" s="11">
        <f>+COUNTIFS('muddati otgan'!C:C,A205,'muddati otgan'!J:J,"O'lchov natijalarini kiritish")</f>
        <v>0</v>
      </c>
      <c r="AG205" s="11">
        <f>+COUNTIFS('muddati otgan'!C:C,A205,'muddati otgan'!J:J,"Topoxaritani tayyorlash (dwg, pdf)")</f>
        <v>0</v>
      </c>
      <c r="AH205" s="11">
        <f t="shared" si="25"/>
        <v>0</v>
      </c>
      <c r="AI205" s="11">
        <f>+COUNTIFS('muddati otgan'!C:C,A205,'muddati otgan'!J:J,"Yer uchastkasini yaratish")</f>
        <v>0</v>
      </c>
      <c r="AJ205" s="11">
        <f t="shared" si="26"/>
        <v>0</v>
      </c>
      <c r="AK205" s="11">
        <f>+COUNTIFS('muddati otgan'!C:C,A205,'muddati otgan'!J:J,"Kelishish (Boshqarma)")</f>
        <v>0</v>
      </c>
      <c r="AL205" s="11">
        <f t="shared" si="27"/>
        <v>0</v>
      </c>
      <c r="AM205" s="11">
        <f>+COUNTIFS('muddati otgan'!C:C,A205,'muddati otgan'!J:J,"Kelishish (DKP)")</f>
        <v>0</v>
      </c>
      <c r="AN205" s="11">
        <f>+COUNTIFS('muddati otgan'!C:C,A205,'muddati otgan'!J:J,"Kelishish")</f>
        <v>0</v>
      </c>
      <c r="AO205" s="11">
        <f>+COUNTIFS('muddati otgan'!C:C,A205,'muddati otgan'!J:J,"Kelishish (Registratsiya DKP)")</f>
        <v>0</v>
      </c>
      <c r="AP205" s="11">
        <f t="shared" si="28"/>
        <v>0</v>
      </c>
      <c r="AQ205" s="11">
        <f>+COUNTIFS('muddati otgan'!C:C,A205,'muddati otgan'!J:J,"Manzil biriktirish")</f>
        <v>0</v>
      </c>
      <c r="AR205" s="11">
        <f>+COUNTIFS('muddati otgan'!C:C,A205,'muddati otgan'!J:J,"Bino va inshootlarni yaratish")</f>
        <v>0</v>
      </c>
      <c r="AS205" s="11">
        <f>+COUNTIFS('muddati otgan'!C:C,A205,'muddati otgan'!J:J,"Dov daraxtlarni yaratish")</f>
        <v>0</v>
      </c>
      <c r="AT205" s="11">
        <f>+COUNTIFS('muddati otgan'!C:C,A205,'muddati otgan'!J:J,"Yer uchastkasini tahrirlash")</f>
        <v>0</v>
      </c>
      <c r="AU205" s="11">
        <f t="shared" si="29"/>
        <v>0</v>
      </c>
      <c r="AV205" s="11">
        <f>+COUNTIFS('muddati otgan'!C:C,A205,'muddati otgan'!J:J,"Yer toifasi va maqsadini kiritish")</f>
        <v>0</v>
      </c>
      <c r="AW205" s="11">
        <f>+COUNTIFS('muddati otgan'!C:C,A205,'muddati otgan'!J:J,"Auksion yer tekshirish")</f>
        <v>0</v>
      </c>
      <c r="AX205" s="11">
        <f>+COUNTIFS('muddati otgan'!C:C,A205,'muddati otgan'!J:J,"Yer turlarini kiritish")</f>
        <v>0</v>
      </c>
      <c r="AY205" s="11">
        <f>+COUNTIFS('muddati otgan'!C:C,A205,'muddati otgan'!J:J,"Ma'lumotlarni kiritish")</f>
        <v>0</v>
      </c>
      <c r="AZ205" s="11">
        <f>+COUNTIFS('muddati otgan'!C:C,A205,'muddati otgan'!J:J,"Yer tekshirish")</f>
        <v>0</v>
      </c>
      <c r="BA205" s="11">
        <f t="shared" si="30"/>
        <v>0</v>
      </c>
      <c r="BB205" s="11">
        <f>+COUNTIFS('muddati otgan'!C:C,A205,'muddati otgan'!J:J,"Bino va inshoot ma'lumotlarini to‘ldirish")</f>
        <v>0</v>
      </c>
      <c r="BC205" s="11">
        <f>+COUNTIFS('muddati otgan'!C:C,A205,'muddati otgan'!J:J,"Inventarizatsiya ma'lumotlarini to‘ldirish")</f>
        <v>0</v>
      </c>
      <c r="BD205" s="11">
        <f>+COUNTIFS('muddati otgan'!C:C,A205,'muddati otgan'!J:J,"Yer uchastkasiga huquqiy hujjatlarni kiritsh")</f>
        <v>0</v>
      </c>
      <c r="BE205" s="11">
        <f>+COUNTIFS('muddati otgan'!C:C,A205,'muddati otgan'!J:J,"Bino-inshootlarga huquqiy hujjatlarni kiritsh")</f>
        <v>0</v>
      </c>
      <c r="BF205" s="11">
        <f>+COUNTIFS('muddati otgan'!C:C,A205,'muddati otgan'!J:J,"Kadastr qiymatini hisoblash va kiritish")</f>
        <v>0</v>
      </c>
      <c r="BG205" s="11">
        <f>+COUNTIFS('muddati otgan'!C:C,A205,'muddati otgan'!J:J,"Kadastr raqam biriktirish")</f>
        <v>0</v>
      </c>
      <c r="BH205" s="11">
        <f>+COUNTIFS('muddati otgan'!C:C,A205,'muddati otgan'!J:J,"Kadastr yig'ma jildni tayyorlash")</f>
        <v>0</v>
      </c>
      <c r="BI205" s="11">
        <f>+COUNTIFS('muddati otgan'!C:C,A205,'muddati otgan'!J:J,"Huquqni yaratish")</f>
        <v>0</v>
      </c>
      <c r="BJ205" s="11">
        <f>+COUNTIFS('muddati otgan'!C:C,A205,'muddati otgan'!J:J,"Hujjatlarni o'rganish")</f>
        <v>0</v>
      </c>
      <c r="BK205" s="11">
        <f>+COUNTIFS('muddati otgan'!C:C,A205,'muddati otgan'!J:J,"Ma'lumotlarni tekshirish")</f>
        <v>0</v>
      </c>
      <c r="BL205" s="11">
        <f t="shared" si="31"/>
        <v>0</v>
      </c>
      <c r="BM205" s="11">
        <f>+COUNTIFS('muddati otgan'!C:C,A205,'muddati otgan'!J:J,"Tekshirish")</f>
        <v>0</v>
      </c>
      <c r="BN205" s="11">
        <f>+COUNTIFS('muddati otgan'!C:C,A205,'muddati otgan'!J:J,"Hujjatlarni tekshirish")</f>
        <v>0</v>
      </c>
      <c r="BO205" s="11">
        <f>+COUNTIFS('muddati otgan'!C:C,A205,'muddati otgan'!J:J,"Tasdiqlash")</f>
        <v>0</v>
      </c>
      <c r="BP205" s="11">
        <f>+COUNTIFS('muddati otgan'!C:C,A205,'muddati otgan'!J:J,"tekshirish/tasdiqlash")</f>
        <v>0</v>
      </c>
      <c r="BQ205" s="11">
        <f>+COUNTIFS('muddati otgan'!C:C,A205,'muddati otgan'!J:J,"Ma'lumotlarni tasdiqlash")</f>
        <v>0</v>
      </c>
      <c r="BR205" s="11">
        <f t="shared" si="32"/>
        <v>0</v>
      </c>
      <c r="BS205" s="11">
        <f>+COUNTIFS('muddati otgan'!C:C,A205,'muddati otgan'!J:J,"Ro'yxatdan o'tkazish ma'lumotlarini tekshirish")</f>
        <v>0</v>
      </c>
      <c r="BT205" s="11">
        <f>+COUNTIFS('muddati otgan'!C:C,A205,'muddati otgan'!J:J,"Kamchiliklar bo'yicha habarnoma yuborish va 3 kunga to'xtatish")</f>
        <v>0</v>
      </c>
      <c r="BU205" s="11">
        <f>+COUNTIFS('muddati otgan'!C:C,A205,'muddati otgan'!J:J,"Hisobga olish")</f>
        <v>0</v>
      </c>
      <c r="BV205" s="11">
        <f>+COUNTIFS('muddati otgan'!C:C,A205,'muddati otgan'!J:J,"Yer uchastkasiga huquq yaratish")</f>
        <v>0</v>
      </c>
      <c r="BW205" s="11">
        <f>+COUNTIFS('muddati otgan'!C:C,A205,'muddati otgan'!J:J,"Bino-inshootga huquq yaratish")</f>
        <v>0</v>
      </c>
      <c r="BX205" s="11">
        <f>+COUNTIFS('muddati otgan'!C:C,A205,'muddati otgan'!J:J,"Cheklov yaratish")</f>
        <v>0</v>
      </c>
      <c r="BY205" s="11">
        <f>+COUNTIFS('muddati otgan'!C:C,A205,'muddati otgan'!J:J,"Taqiq yaratish")</f>
        <v>0</v>
      </c>
      <c r="BZ205" s="11">
        <f t="shared" si="33"/>
        <v>0</v>
      </c>
      <c r="CA205" s="11">
        <f>+COUNTIFS('muddati otgan'!C:C,A205,'muddati otgan'!J:J,"Soliq maydonini tekshirish")</f>
        <v>0</v>
      </c>
      <c r="CB205" s="11">
        <f t="shared" si="34"/>
        <v>0</v>
      </c>
      <c r="CC205" s="11">
        <f>+COUNTIFS('muddati otgan'!C:C,A205,'muddati otgan'!J:J,"Kadastr yig'majildini shakllantirish")</f>
        <v>0</v>
      </c>
      <c r="CD205" s="11">
        <f t="shared" si="35"/>
        <v>0</v>
      </c>
      <c r="CE205" s="11">
        <f>+COUNTIFS('muddati otgan'!C:C,A205,'muddati otgan'!J:J,"Kadastr passportini shakllantirish")</f>
        <v>0</v>
      </c>
      <c r="CF205" s="11">
        <f>+COUNTIFS('muddati otgan'!C:C,A205,'muddati otgan'!J:J,"Yig'ma jildni tasdiqlash")</f>
        <v>0</v>
      </c>
      <c r="CG205" s="11">
        <f>+COUNTIFS('muddati otgan'!C:C,A205,'muddati otgan'!J:J,"To'lov yoki bepul tasdiqlash")</f>
        <v>0</v>
      </c>
      <c r="CH205" s="11">
        <f>+COUNTIFS('muddati otgan'!C:C,A205,'muddati otgan'!J:J,"Bog'liq arizani kutish")</f>
        <v>0</v>
      </c>
      <c r="CI205" s="11">
        <f>+COUNTIFS('muddati otgan'!C:C,A205,'muddati otgan'!J:J,"To'lovga chiqarish")</f>
        <v>0</v>
      </c>
      <c r="CJ205" s="11">
        <f>+COUNTIFS('muddati otgan'!C:C,A205,'muddati otgan'!J:J,"Hisobga qo'yish")</f>
        <v>0</v>
      </c>
      <c r="CK205" s="6">
        <f>+COUNTIFS('muddati otgan'!C:C,A205,'muddati otgan'!J:J,"To'lov kutilmoqda")</f>
        <v>0</v>
      </c>
      <c r="CL205" s="125">
        <f t="shared" si="36"/>
        <v>0</v>
      </c>
      <c r="CM205" s="125">
        <f>+COUNTIFS('muddati otgan'!C:C,A205,'muddati otgan'!AA:AA,"Arizani qabul qilish2")</f>
        <v>0</v>
      </c>
      <c r="CN205" s="125">
        <f>+COUNTIFS('muddati otgan'!C:C,A205,'muddati otgan'!J:J,"Huquqlarni tekshirish")</f>
        <v>0</v>
      </c>
      <c r="CO205" s="125">
        <f>+COUNTIFS('muddati otgan'!C:C,A205,'muddati otgan'!J:J,"Ko'chmas mulkni ro'yhatdan o'tkazishga qabul qilish")</f>
        <v>0</v>
      </c>
      <c r="CP205" s="125">
        <f>+COUNTIFS('muddati otgan'!C:C,A205,'muddati otgan'!J:J,"Ro'yxatdan o'tkazish")</f>
        <v>0</v>
      </c>
      <c r="CQ205" s="125">
        <f>+COUNTIFS('muddati otgan'!C:C,A205,'muddati otgan'!J:J,"Kadastr pasporti va ko'chirmani yuborish")</f>
        <v>0</v>
      </c>
      <c r="CR205" s="125">
        <f>+COUNTIFS('muddati otgan'!C:C,A205,'muddati otgan'!AA:AA,"Rad qilish2")</f>
        <v>0</v>
      </c>
      <c r="CS205" s="125">
        <f>+COUNTIFS('muddati otgan'!C:C,A205,'muddati otgan'!J:J,"Ko'chirmani yuborish")</f>
        <v>0</v>
      </c>
      <c r="CT205" s="125">
        <f>+COUNTIFS('muddati otgan'!C:C,A205,'muddati otgan'!J:J,"Ma‘lumotlarni tekshirish")</f>
        <v>0</v>
      </c>
      <c r="CU205" s="125">
        <f t="shared" si="37"/>
        <v>0</v>
      </c>
      <c r="CV205" s="125">
        <f>+COUNTIFS('muddati otgan'!C:C,A205,'muddati otgan'!J:J,"Kadastr yig'majildini chop etish va arxiv ishiga tikish")</f>
        <v>0</v>
      </c>
      <c r="CW205" s="125">
        <f t="shared" si="38"/>
        <v>0</v>
      </c>
      <c r="CX205" s="11">
        <f>+COUNTIFS('muddati otgan'!C:C,A205,'muddati otgan'!J:J,"Kadastr yig‘majildini qabul qilish, arizani yakunlash")</f>
        <v>0</v>
      </c>
      <c r="CY205" s="11">
        <f>+COUNTIFS('muddati otgan'!C:C,A205,'muddati otgan'!J:J,"Next Cloudga yuklash")</f>
        <v>0</v>
      </c>
      <c r="CZ205" s="6">
        <f>+COUNTIFS('muddati otgan'!C:C,A205,'muddati otgan'!J:J,"Kelishish kutilmoqda")</f>
        <v>0</v>
      </c>
      <c r="DA205" s="6">
        <f>+COUNTIFS('muddati otgan'!C:C,A205,'muddati otgan'!J:J,"Yakunlandi")</f>
        <v>0</v>
      </c>
      <c r="DB205" s="10">
        <f>+COUNTIFS('muddati otgan'!C:C,A205,'muddati otgan'!J:J,"Rad etildi")</f>
        <v>0</v>
      </c>
      <c r="DC205" s="100">
        <f t="shared" si="5"/>
        <v>0</v>
      </c>
      <c r="DD205" s="44">
        <f>COUNTIFS('jami 1-20 kunlik arizalar'!C:C,A:A,'jami 1-20 kunlik arizalar'!S:S,"1")</f>
        <v>0</v>
      </c>
      <c r="DE205" s="11">
        <f>COUNTIFS('jami 1-20 kunlik arizalar'!C:C,A:A,'jami 1-20 kunlik arizalar'!S:S,"2")</f>
        <v>0</v>
      </c>
      <c r="DF205" s="11">
        <f>COUNTIFS('jami 1-20 kunlik arizalar'!C:C,A:A,'jami 1-20 kunlik arizalar'!S:S,"3")</f>
        <v>0</v>
      </c>
      <c r="DG205" s="11">
        <f>COUNTIFS('jami 1-20 kunlik arizalar'!C:C,A:A,'jami 1-20 kunlik arizalar'!S:S,"4")</f>
        <v>0</v>
      </c>
      <c r="DH205" s="11">
        <f>COUNTIFS('jami 1-20 kunlik arizalar'!C:C,A:A,'jami 1-20 kunlik arizalar'!S:S,"5")</f>
        <v>1</v>
      </c>
      <c r="DI205" s="11">
        <f>SUM(COUNTIFS('jami 1-20 kunlik arizalar'!C:C,A:A, 'jami 1-20 kunlik arizalar'!S:S, {6,7,8,9,10}))</f>
        <v>2</v>
      </c>
      <c r="DJ205" s="12">
        <f>SUM(COUNTIFS('jami 1-20 kunlik arizalar'!C:C,A:A, 'jami 1-20 kunlik arizalar'!S:S, "&gt;10"))</f>
        <v>2</v>
      </c>
    </row>
    <row r="206" spans="1:115" ht="45" hidden="1" customHeight="1" outlineLevel="1" x14ac:dyDescent="0.25">
      <c r="A206" s="92" t="s">
        <v>473</v>
      </c>
      <c r="B206" s="74"/>
      <c r="C206" s="85" t="s">
        <v>895</v>
      </c>
      <c r="D206" s="80">
        <f>+COUNTIFS('muddati otgan'!C:C,A206,'muddati otgan'!C:C,A206)</f>
        <v>0</v>
      </c>
      <c r="E206" s="10">
        <f>SUMIFS('muddati otgan'!$V:V,'muddati otgan'!$C:C,$A:A)</f>
        <v>0</v>
      </c>
      <c r="F206" s="10">
        <f>SUMIFS('muddati otgan'!$W:W,'muddati otgan'!$C:C,$A:A)</f>
        <v>0</v>
      </c>
      <c r="G206" s="24">
        <f>SUMIFS('muddati otgan'!$U:U,'muddati otgan'!$C:C,$A:A)</f>
        <v>0</v>
      </c>
      <c r="H206" s="11">
        <f>SUMIFS('muddati otgan'!$G:G,'muddati otgan'!$C:C,$A:A)</f>
        <v>0</v>
      </c>
      <c r="I206" s="12">
        <f>SUMIFS('muddati otgan'!$H:H,'muddati otgan'!$C:C,$A:A)</f>
        <v>0</v>
      </c>
      <c r="J206" s="44">
        <f t="shared" si="23"/>
        <v>0</v>
      </c>
      <c r="K206" s="11">
        <f>+COUNTIFS('muddati otgan'!C:C,A206,'muddati otgan'!AA:AA,"Arizani qabul qilish")</f>
        <v>0</v>
      </c>
      <c r="L206" s="11">
        <f>+COUNTIFS('muddati otgan'!C:C,A206,'muddati otgan'!J:J,"Arizani rad etish")</f>
        <v>0</v>
      </c>
      <c r="M206" s="11">
        <f>+COUNTIFS('muddati otgan'!C:C,A206,'muddati otgan'!J:J,"Arizani tasdiqlash")</f>
        <v>0</v>
      </c>
      <c r="N206" s="11">
        <f>+COUNTIFS('muddati otgan'!C:C,A206,'muddati otgan'!J:J,"Arizani yo'naltirish")</f>
        <v>0</v>
      </c>
      <c r="O206" s="11">
        <f>+COUNTIFS('muddati otgan'!C:C,A206,'muddati otgan'!J:J,"Rad qilish sababini o'rganish")</f>
        <v>0</v>
      </c>
      <c r="P206" s="11">
        <f>+COUNTIFS('muddati otgan'!C:C,A206,'muddati otgan'!J:J,"Ko'chmas mulkni UZKAD ga migratsiya qilish")</f>
        <v>0</v>
      </c>
      <c r="Q206" s="11">
        <f>+COUNTIFS('muddati otgan'!C:C,A206,'muddati otgan'!J:J,"Migratisya qilingan obyekt holatini tekshirish")</f>
        <v>0</v>
      </c>
      <c r="R206" s="11">
        <f>+COUNTIFS('muddati otgan'!C:C,A206,'muddati otgan'!J:J,"Ko‘chmas mulkni tanlash")</f>
        <v>0</v>
      </c>
      <c r="S206" s="11">
        <f>+COUNTIFS('muddati otgan'!C:C,A206,'muddati otgan'!J:J,"Arizani ko'rib chiqish")</f>
        <v>0</v>
      </c>
      <c r="T206" s="11">
        <f>+COUNTIFS('muddati otgan'!C:C,A206,'muddati otgan'!J:J,"Kadastr muhandisini tanlash")</f>
        <v>0</v>
      </c>
      <c r="U206" s="11">
        <f>+COUNTIFS('muddati otgan'!C:C,A206,'muddati otgan'!J:J,"Ko'chmas mulk turini tanlahsh")</f>
        <v>0</v>
      </c>
      <c r="V206" s="11">
        <f>+COUNTIFS('muddati otgan'!C:C,A206,'muddati otgan'!AA:AA,"Rad qilish")</f>
        <v>0</v>
      </c>
      <c r="W206" s="11">
        <f>+COUNTIFS('muddati otgan'!C:C,A206,'muddati otgan'!J:J,"ijrochi tanlash")</f>
        <v>0</v>
      </c>
      <c r="X206" s="11">
        <f>+COUNTIFS('muddati otgan'!C:C,A206,'muddati otgan'!J:J,"Ko'chmas mulk turini tanlash")</f>
        <v>0</v>
      </c>
      <c r="Y206" s="11">
        <f t="shared" si="24"/>
        <v>0</v>
      </c>
      <c r="Z206" s="11">
        <f>+COUNTIFS('muddati otgan'!C:C,A206,'muddati otgan'!J:J,"Ijroga qabul qilish")</f>
        <v>0</v>
      </c>
      <c r="AA206" s="11">
        <f>+COUNTIFS('muddati otgan'!C:C,A206,'muddati otgan'!J:J,"Joyida o'rganish va ma'lumotlarni kiritish")</f>
        <v>0</v>
      </c>
      <c r="AB206" s="11">
        <f>+COUNTIFS('muddati otgan'!C:C,A206,'muddati otgan'!J:J,"Asosiy qismdan ajratish jarayonida")</f>
        <v>0</v>
      </c>
      <c r="AC206" s="11">
        <f>+COUNTIFS('muddati otgan'!C:C,A206,'muddati otgan'!J:J,"Umumiy foydalanishdagi obyekt yaratilish")</f>
        <v>0</v>
      </c>
      <c r="AD206" s="11">
        <f>+COUNTIFS('muddati otgan'!C:C,A206,'muddati otgan'!J:J,"Migratsiya qilinadigan kadastr raqamini kiritish")</f>
        <v>0</v>
      </c>
      <c r="AE206" s="11">
        <f>+COUNTIFS('muddati otgan'!C:C,A206,'muddati otgan'!J:J,"O'zida qolgan obyektni yaratish")</f>
        <v>0</v>
      </c>
      <c r="AF206" s="11">
        <f>+COUNTIFS('muddati otgan'!C:C,A206,'muddati otgan'!J:J,"O'lchov natijalarini kiritish")</f>
        <v>0</v>
      </c>
      <c r="AG206" s="11">
        <f>+COUNTIFS('muddati otgan'!C:C,A206,'muddati otgan'!J:J,"Topoxaritani tayyorlash (dwg, pdf)")</f>
        <v>0</v>
      </c>
      <c r="AH206" s="11">
        <f t="shared" si="25"/>
        <v>0</v>
      </c>
      <c r="AI206" s="11">
        <f>+COUNTIFS('muddati otgan'!C:C,A206,'muddati otgan'!J:J,"Yer uchastkasini yaratish")</f>
        <v>0</v>
      </c>
      <c r="AJ206" s="11">
        <f t="shared" si="26"/>
        <v>0</v>
      </c>
      <c r="AK206" s="11">
        <f>+COUNTIFS('muddati otgan'!C:C,A206,'muddati otgan'!J:J,"Kelishish (Boshqarma)")</f>
        <v>0</v>
      </c>
      <c r="AL206" s="11">
        <f t="shared" si="27"/>
        <v>0</v>
      </c>
      <c r="AM206" s="11">
        <f>+COUNTIFS('muddati otgan'!C:C,A206,'muddati otgan'!J:J,"Kelishish (DKP)")</f>
        <v>0</v>
      </c>
      <c r="AN206" s="11">
        <f>+COUNTIFS('muddati otgan'!C:C,A206,'muddati otgan'!J:J,"Kelishish")</f>
        <v>0</v>
      </c>
      <c r="AO206" s="11">
        <f>+COUNTIFS('muddati otgan'!C:C,A206,'muddati otgan'!J:J,"Kelishish (Registratsiya DKP)")</f>
        <v>0</v>
      </c>
      <c r="AP206" s="11">
        <f t="shared" si="28"/>
        <v>0</v>
      </c>
      <c r="AQ206" s="11">
        <f>+COUNTIFS('muddati otgan'!C:C,A206,'muddati otgan'!J:J,"Manzil biriktirish")</f>
        <v>0</v>
      </c>
      <c r="AR206" s="11">
        <f>+COUNTIFS('muddati otgan'!C:C,A206,'muddati otgan'!J:J,"Bino va inshootlarni yaratish")</f>
        <v>0</v>
      </c>
      <c r="AS206" s="11">
        <f>+COUNTIFS('muddati otgan'!C:C,A206,'muddati otgan'!J:J,"Dov daraxtlarni yaratish")</f>
        <v>0</v>
      </c>
      <c r="AT206" s="11">
        <f>+COUNTIFS('muddati otgan'!C:C,A206,'muddati otgan'!J:J,"Yer uchastkasini tahrirlash")</f>
        <v>0</v>
      </c>
      <c r="AU206" s="11">
        <f t="shared" si="29"/>
        <v>0</v>
      </c>
      <c r="AV206" s="11">
        <f>+COUNTIFS('muddati otgan'!C:C,A206,'muddati otgan'!J:J,"Yer toifasi va maqsadini kiritish")</f>
        <v>0</v>
      </c>
      <c r="AW206" s="11">
        <f>+COUNTIFS('muddati otgan'!C:C,A206,'muddati otgan'!J:J,"Auksion yer tekshirish")</f>
        <v>0</v>
      </c>
      <c r="AX206" s="11">
        <f>+COUNTIFS('muddati otgan'!C:C,A206,'muddati otgan'!J:J,"Yer turlarini kiritish")</f>
        <v>0</v>
      </c>
      <c r="AY206" s="11">
        <f>+COUNTIFS('muddati otgan'!C:C,A206,'muddati otgan'!J:J,"Ma'lumotlarni kiritish")</f>
        <v>0</v>
      </c>
      <c r="AZ206" s="11">
        <f>+COUNTIFS('muddati otgan'!C:C,A206,'muddati otgan'!J:J,"Yer tekshirish")</f>
        <v>0</v>
      </c>
      <c r="BA206" s="11">
        <f t="shared" si="30"/>
        <v>0</v>
      </c>
      <c r="BB206" s="11">
        <f>+COUNTIFS('muddati otgan'!C:C,A206,'muddati otgan'!J:J,"Bino va inshoot ma'lumotlarini to‘ldirish")</f>
        <v>0</v>
      </c>
      <c r="BC206" s="11">
        <f>+COUNTIFS('muddati otgan'!C:C,A206,'muddati otgan'!J:J,"Inventarizatsiya ma'lumotlarini to‘ldirish")</f>
        <v>0</v>
      </c>
      <c r="BD206" s="11">
        <f>+COUNTIFS('muddati otgan'!C:C,A206,'muddati otgan'!J:J,"Yer uchastkasiga huquqiy hujjatlarni kiritsh")</f>
        <v>0</v>
      </c>
      <c r="BE206" s="11">
        <f>+COUNTIFS('muddati otgan'!C:C,A206,'muddati otgan'!J:J,"Bino-inshootlarga huquqiy hujjatlarni kiritsh")</f>
        <v>0</v>
      </c>
      <c r="BF206" s="11">
        <f>+COUNTIFS('muddati otgan'!C:C,A206,'muddati otgan'!J:J,"Kadastr qiymatini hisoblash va kiritish")</f>
        <v>0</v>
      </c>
      <c r="BG206" s="11">
        <f>+COUNTIFS('muddati otgan'!C:C,A206,'muddati otgan'!J:J,"Kadastr raqam biriktirish")</f>
        <v>0</v>
      </c>
      <c r="BH206" s="11">
        <f>+COUNTIFS('muddati otgan'!C:C,A206,'muddati otgan'!J:J,"Kadastr yig'ma jildni tayyorlash")</f>
        <v>0</v>
      </c>
      <c r="BI206" s="11">
        <f>+COUNTIFS('muddati otgan'!C:C,A206,'muddati otgan'!J:J,"Huquqni yaratish")</f>
        <v>0</v>
      </c>
      <c r="BJ206" s="11">
        <f>+COUNTIFS('muddati otgan'!C:C,A206,'muddati otgan'!J:J,"Hujjatlarni o'rganish")</f>
        <v>0</v>
      </c>
      <c r="BK206" s="11">
        <f>+COUNTIFS('muddati otgan'!C:C,A206,'muddati otgan'!J:J,"Ma'lumotlarni tekshirish")</f>
        <v>0</v>
      </c>
      <c r="BL206" s="11">
        <f t="shared" si="31"/>
        <v>0</v>
      </c>
      <c r="BM206" s="11">
        <f>+COUNTIFS('muddati otgan'!C:C,A206,'muddati otgan'!J:J,"Tekshirish")</f>
        <v>0</v>
      </c>
      <c r="BN206" s="11">
        <f>+COUNTIFS('muddati otgan'!C:C,A206,'muddati otgan'!J:J,"Hujjatlarni tekshirish")</f>
        <v>0</v>
      </c>
      <c r="BO206" s="11">
        <f>+COUNTIFS('muddati otgan'!C:C,A206,'muddati otgan'!J:J,"Tasdiqlash")</f>
        <v>0</v>
      </c>
      <c r="BP206" s="11">
        <f>+COUNTIFS('muddati otgan'!C:C,A206,'muddati otgan'!J:J,"tekshirish/tasdiqlash")</f>
        <v>0</v>
      </c>
      <c r="BQ206" s="11">
        <f>+COUNTIFS('muddati otgan'!C:C,A206,'muddati otgan'!J:J,"Ma'lumotlarni tasdiqlash")</f>
        <v>0</v>
      </c>
      <c r="BR206" s="11">
        <f t="shared" si="32"/>
        <v>0</v>
      </c>
      <c r="BS206" s="11">
        <f>+COUNTIFS('muddati otgan'!C:C,A206,'muddati otgan'!J:J,"Ro'yxatdan o'tkazish ma'lumotlarini tekshirish")</f>
        <v>0</v>
      </c>
      <c r="BT206" s="11">
        <f>+COUNTIFS('muddati otgan'!C:C,A206,'muddati otgan'!J:J,"Kamchiliklar bo'yicha habarnoma yuborish va 3 kunga to'xtatish")</f>
        <v>0</v>
      </c>
      <c r="BU206" s="11">
        <f>+COUNTIFS('muddati otgan'!C:C,A206,'muddati otgan'!J:J,"Hisobga olish")</f>
        <v>0</v>
      </c>
      <c r="BV206" s="11">
        <f>+COUNTIFS('muddati otgan'!C:C,A206,'muddati otgan'!J:J,"Yer uchastkasiga huquq yaratish")</f>
        <v>0</v>
      </c>
      <c r="BW206" s="11">
        <f>+COUNTIFS('muddati otgan'!C:C,A206,'muddati otgan'!J:J,"Bino-inshootga huquq yaratish")</f>
        <v>0</v>
      </c>
      <c r="BX206" s="11">
        <f>+COUNTIFS('muddati otgan'!C:C,A206,'muddati otgan'!J:J,"Cheklov yaratish")</f>
        <v>0</v>
      </c>
      <c r="BY206" s="11">
        <f>+COUNTIFS('muddati otgan'!C:C,A206,'muddati otgan'!J:J,"Taqiq yaratish")</f>
        <v>0</v>
      </c>
      <c r="BZ206" s="11">
        <f t="shared" si="33"/>
        <v>0</v>
      </c>
      <c r="CA206" s="11">
        <f>+COUNTIFS('muddati otgan'!C:C,A206,'muddati otgan'!J:J,"Soliq maydonini tekshirish")</f>
        <v>0</v>
      </c>
      <c r="CB206" s="11">
        <f t="shared" si="34"/>
        <v>0</v>
      </c>
      <c r="CC206" s="11">
        <f>+COUNTIFS('muddati otgan'!C:C,A206,'muddati otgan'!J:J,"Kadastr yig'majildini shakllantirish")</f>
        <v>0</v>
      </c>
      <c r="CD206" s="11">
        <f t="shared" si="35"/>
        <v>0</v>
      </c>
      <c r="CE206" s="11">
        <f>+COUNTIFS('muddati otgan'!C:C,A206,'muddati otgan'!J:J,"Kadastr passportini shakllantirish")</f>
        <v>0</v>
      </c>
      <c r="CF206" s="11">
        <f>+COUNTIFS('muddati otgan'!C:C,A206,'muddati otgan'!J:J,"Yig'ma jildni tasdiqlash")</f>
        <v>0</v>
      </c>
      <c r="CG206" s="11">
        <f>+COUNTIFS('muddati otgan'!C:C,A206,'muddati otgan'!J:J,"To'lov yoki bepul tasdiqlash")</f>
        <v>0</v>
      </c>
      <c r="CH206" s="11">
        <f>+COUNTIFS('muddati otgan'!C:C,A206,'muddati otgan'!J:J,"Bog'liq arizani kutish")</f>
        <v>0</v>
      </c>
      <c r="CI206" s="11">
        <f>+COUNTIFS('muddati otgan'!C:C,A206,'muddati otgan'!J:J,"To'lovga chiqarish")</f>
        <v>0</v>
      </c>
      <c r="CJ206" s="11">
        <f>+COUNTIFS('muddati otgan'!C:C,A206,'muddati otgan'!J:J,"Hisobga qo'yish")</f>
        <v>0</v>
      </c>
      <c r="CK206" s="6">
        <f>+COUNTIFS('muddati otgan'!C:C,A206,'muddati otgan'!J:J,"To'lov kutilmoqda")</f>
        <v>0</v>
      </c>
      <c r="CL206" s="125">
        <f t="shared" si="36"/>
        <v>0</v>
      </c>
      <c r="CM206" s="125">
        <f>+COUNTIFS('muddati otgan'!C:C,A206,'muddati otgan'!AA:AA,"Arizani qabul qilish2")</f>
        <v>0</v>
      </c>
      <c r="CN206" s="125">
        <f>+COUNTIFS('muddati otgan'!C:C,A206,'muddati otgan'!J:J,"Huquqlarni tekshirish")</f>
        <v>0</v>
      </c>
      <c r="CO206" s="125">
        <f>+COUNTIFS('muddati otgan'!C:C,A206,'muddati otgan'!J:J,"Ko'chmas mulkni ro'yhatdan o'tkazishga qabul qilish")</f>
        <v>0</v>
      </c>
      <c r="CP206" s="125">
        <f>+COUNTIFS('muddati otgan'!C:C,A206,'muddati otgan'!J:J,"Ro'yxatdan o'tkazish")</f>
        <v>0</v>
      </c>
      <c r="CQ206" s="125">
        <f>+COUNTIFS('muddati otgan'!C:C,A206,'muddati otgan'!J:J,"Kadastr pasporti va ko'chirmani yuborish")</f>
        <v>0</v>
      </c>
      <c r="CR206" s="125">
        <f>+COUNTIFS('muddati otgan'!C:C,A206,'muddati otgan'!AA:AA,"Rad qilish2")</f>
        <v>0</v>
      </c>
      <c r="CS206" s="125">
        <f>+COUNTIFS('muddati otgan'!C:C,A206,'muddati otgan'!J:J,"Ko'chirmani yuborish")</f>
        <v>0</v>
      </c>
      <c r="CT206" s="125">
        <f>+COUNTIFS('muddati otgan'!C:C,A206,'muddati otgan'!J:J,"Ma‘lumotlarni tekshirish")</f>
        <v>0</v>
      </c>
      <c r="CU206" s="125">
        <f t="shared" si="37"/>
        <v>0</v>
      </c>
      <c r="CV206" s="125">
        <f>+COUNTIFS('muddati otgan'!C:C,A206,'muddati otgan'!J:J,"Kadastr yig'majildini chop etish va arxiv ishiga tikish")</f>
        <v>0</v>
      </c>
      <c r="CW206" s="125">
        <f t="shared" si="38"/>
        <v>0</v>
      </c>
      <c r="CX206" s="11">
        <f>+COUNTIFS('muddati otgan'!C:C,A206,'muddati otgan'!J:J,"Kadastr yig‘majildini qabul qilish, arizani yakunlash")</f>
        <v>0</v>
      </c>
      <c r="CY206" s="11">
        <f>+COUNTIFS('muddati otgan'!C:C,A206,'muddati otgan'!J:J,"Next Cloudga yuklash")</f>
        <v>0</v>
      </c>
      <c r="CZ206" s="6">
        <f>+COUNTIFS('muddati otgan'!C:C,A206,'muddati otgan'!J:J,"Kelishish kutilmoqda")</f>
        <v>0</v>
      </c>
      <c r="DA206" s="6">
        <f>+COUNTIFS('muddati otgan'!C:C,A206,'muddati otgan'!J:J,"Yakunlandi")</f>
        <v>0</v>
      </c>
      <c r="DB206" s="10">
        <f>+COUNTIFS('muddati otgan'!C:C,A206,'muddati otgan'!J:J,"Rad etildi")</f>
        <v>0</v>
      </c>
      <c r="DC206" s="100">
        <f t="shared" si="5"/>
        <v>0</v>
      </c>
      <c r="DD206" s="44">
        <f>COUNTIFS('jami 1-20 kunlik arizalar'!C:C,A:A,'jami 1-20 kunlik arizalar'!S:S,"1")</f>
        <v>0</v>
      </c>
      <c r="DE206" s="11">
        <f>COUNTIFS('jami 1-20 kunlik arizalar'!C:C,A:A,'jami 1-20 kunlik arizalar'!S:S,"2")</f>
        <v>0</v>
      </c>
      <c r="DF206" s="11">
        <f>COUNTIFS('jami 1-20 kunlik arizalar'!C:C,A:A,'jami 1-20 kunlik arizalar'!S:S,"3")</f>
        <v>1</v>
      </c>
      <c r="DG206" s="11">
        <f>COUNTIFS('jami 1-20 kunlik arizalar'!C:C,A:A,'jami 1-20 kunlik arizalar'!S:S,"4")</f>
        <v>0</v>
      </c>
      <c r="DH206" s="11">
        <f>COUNTIFS('jami 1-20 kunlik arizalar'!C:C,A:A,'jami 1-20 kunlik arizalar'!S:S,"5")</f>
        <v>0</v>
      </c>
      <c r="DI206" s="11">
        <f>SUM(COUNTIFS('jami 1-20 kunlik arizalar'!C:C,A:A, 'jami 1-20 kunlik arizalar'!S:S, {6,7,8,9,10}))</f>
        <v>1</v>
      </c>
      <c r="DJ206" s="12">
        <f>SUM(COUNTIFS('jami 1-20 kunlik arizalar'!C:C,A:A, 'jami 1-20 kunlik arizalar'!S:S, "&gt;10"))</f>
        <v>6</v>
      </c>
    </row>
    <row r="207" spans="1:115" ht="57.95" hidden="1" customHeight="1" outlineLevel="1" thickBot="1" x14ac:dyDescent="0.3">
      <c r="A207" s="92"/>
      <c r="B207" s="77"/>
      <c r="C207" s="86" t="s">
        <v>930</v>
      </c>
      <c r="D207" s="81">
        <f>+D194-(SUM(D195:D206))</f>
        <v>1</v>
      </c>
      <c r="E207" s="21"/>
      <c r="F207" s="21"/>
      <c r="G207" s="21"/>
      <c r="H207" s="41"/>
      <c r="I207" s="42"/>
      <c r="J207" s="45"/>
      <c r="K207" s="22"/>
      <c r="L207" s="22"/>
      <c r="M207" s="22"/>
      <c r="N207" s="22"/>
      <c r="O207" s="22"/>
      <c r="P207" s="22"/>
      <c r="Q207" s="22"/>
      <c r="R207" s="22"/>
      <c r="S207" s="22"/>
      <c r="T207" s="22"/>
      <c r="U207" s="22"/>
      <c r="V207" s="22"/>
      <c r="W207" s="22"/>
      <c r="X207" s="22"/>
      <c r="Y207" s="41"/>
      <c r="Z207" s="22"/>
      <c r="AA207" s="22"/>
      <c r="AB207" s="22"/>
      <c r="AC207" s="22"/>
      <c r="AD207" s="22"/>
      <c r="AE207" s="22"/>
      <c r="AF207" s="22"/>
      <c r="AG207" s="41"/>
      <c r="AH207" s="41"/>
      <c r="AI207" s="22"/>
      <c r="AJ207" s="41"/>
      <c r="AK207" s="22"/>
      <c r="AL207" s="41"/>
      <c r="AM207" s="22"/>
      <c r="AN207" s="22"/>
      <c r="AO207" s="22"/>
      <c r="AP207" s="41"/>
      <c r="AQ207" s="22"/>
      <c r="AR207" s="22"/>
      <c r="AS207" s="22"/>
      <c r="AT207" s="22"/>
      <c r="AU207" s="41"/>
      <c r="AV207" s="22"/>
      <c r="AW207" s="22"/>
      <c r="AX207" s="22"/>
      <c r="AY207" s="22"/>
      <c r="AZ207" s="22"/>
      <c r="BA207" s="41"/>
      <c r="BB207" s="22"/>
      <c r="BC207" s="22"/>
      <c r="BD207" s="22"/>
      <c r="BE207" s="22"/>
      <c r="BF207" s="22"/>
      <c r="BG207" s="22"/>
      <c r="BH207" s="22"/>
      <c r="BI207" s="22"/>
      <c r="BJ207" s="22"/>
      <c r="BK207" s="22"/>
      <c r="BL207" s="41"/>
      <c r="BM207" s="22"/>
      <c r="BN207" s="22"/>
      <c r="BO207" s="22"/>
      <c r="BP207" s="22"/>
      <c r="BQ207" s="22"/>
      <c r="BR207" s="41"/>
      <c r="BS207" s="22"/>
      <c r="BT207" s="22"/>
      <c r="BU207" s="22"/>
      <c r="BV207" s="22"/>
      <c r="BW207" s="22"/>
      <c r="BX207" s="22"/>
      <c r="BY207" s="22"/>
      <c r="BZ207" s="41"/>
      <c r="CA207" s="22"/>
      <c r="CB207" s="41"/>
      <c r="CC207" s="22"/>
      <c r="CD207" s="41"/>
      <c r="CE207" s="22"/>
      <c r="CF207" s="22"/>
      <c r="CG207" s="22"/>
      <c r="CH207" s="22"/>
      <c r="CI207" s="22"/>
      <c r="CJ207" s="22"/>
      <c r="CK207" s="68"/>
      <c r="CL207" s="126"/>
      <c r="CM207" s="126"/>
      <c r="CN207" s="126"/>
      <c r="CO207" s="126"/>
      <c r="CP207" s="126"/>
      <c r="CQ207" s="126"/>
      <c r="CR207" s="126"/>
      <c r="CS207" s="126"/>
      <c r="CT207" s="126"/>
      <c r="CU207" s="126"/>
      <c r="CV207" s="126"/>
      <c r="CW207" s="126"/>
      <c r="CX207" s="22"/>
      <c r="CY207" s="22"/>
      <c r="CZ207" s="68"/>
      <c r="DA207" s="68"/>
      <c r="DB207" s="21"/>
      <c r="DC207" s="101"/>
      <c r="DD207" s="45">
        <f t="shared" ref="DD207:DJ207" si="310">+DD194-(SUM(DD195:DD206))</f>
        <v>0</v>
      </c>
      <c r="DE207" s="41">
        <f t="shared" si="310"/>
        <v>0</v>
      </c>
      <c r="DF207" s="41">
        <f t="shared" si="310"/>
        <v>0</v>
      </c>
      <c r="DG207" s="41">
        <f t="shared" si="310"/>
        <v>0</v>
      </c>
      <c r="DH207" s="41">
        <f t="shared" si="310"/>
        <v>0</v>
      </c>
      <c r="DI207" s="41">
        <f t="shared" si="310"/>
        <v>0</v>
      </c>
      <c r="DJ207" s="42">
        <f t="shared" si="310"/>
        <v>1</v>
      </c>
    </row>
    <row r="208" spans="1:115" s="29" customFormat="1" ht="57.95" customHeight="1" collapsed="1" thickBot="1" x14ac:dyDescent="0.3">
      <c r="A208" s="91" t="s">
        <v>82</v>
      </c>
      <c r="B208" s="76">
        <v>11</v>
      </c>
      <c r="C208" s="87" t="s">
        <v>70</v>
      </c>
      <c r="D208" s="79">
        <f>+COUNTIFS('muddati otgan'!B:B,A208,'muddati otgan'!B:B,"CHUT")</f>
        <v>25</v>
      </c>
      <c r="E208" s="37">
        <f>SUMIFS('muddati otgan'!$V:V,'muddati otgan'!$B:B,$A:A)</f>
        <v>15</v>
      </c>
      <c r="F208" s="37">
        <f>SUMIFS('muddati otgan'!$W:W,'muddati otgan'!$B:B,$A:A)</f>
        <v>0</v>
      </c>
      <c r="G208" s="38">
        <f>SUMIFS('muddati otgan'!$U:U,'muddati otgan'!$B:B,$A:A)</f>
        <v>10</v>
      </c>
      <c r="H208" s="39">
        <f>SUMIFS('muddati otgan'!$G:G,'muddati otgan'!$B:B,$A:A)</f>
        <v>19</v>
      </c>
      <c r="I208" s="40">
        <f>SUMIFS('muddati otgan'!$H:H,'muddati otgan'!$B:B,$A:A)</f>
        <v>6</v>
      </c>
      <c r="J208" s="43">
        <f t="shared" si="23"/>
        <v>2</v>
      </c>
      <c r="K208" s="39">
        <f>+COUNTIFS('muddati otgan'!B:B,A208,'muddati otgan'!AA:AA,"Arizani qabul qilish")</f>
        <v>1</v>
      </c>
      <c r="L208" s="39">
        <f>+COUNTIFS('muddati otgan'!B:B,A208,'muddati otgan'!J:J,"Arizani rad etish")</f>
        <v>0</v>
      </c>
      <c r="M208" s="39">
        <f>+COUNTIFS('muddati otgan'!B:B,A208,'muddati otgan'!J:J,"Arizani tasdiqlash")</f>
        <v>0</v>
      </c>
      <c r="N208" s="39">
        <f>+COUNTIFS('muddati otgan'!B:B,A208,'muddati otgan'!J:J,"Arizani yo'naltirish")</f>
        <v>0</v>
      </c>
      <c r="O208" s="39">
        <f>+COUNTIFS('muddati otgan'!B:B,A208,'muddati otgan'!J:J,"Rad qilish sababini o'rganish")</f>
        <v>1</v>
      </c>
      <c r="P208" s="39">
        <f>+COUNTIFS('muddati otgan'!B:B,A208,'muddati otgan'!J:J,"Ko'chmas mulkni UZKAD ga migratsiya qilish")</f>
        <v>0</v>
      </c>
      <c r="Q208" s="39">
        <f>+COUNTIFS('muddati otgan'!B:B,A208,'muddati otgan'!J:J,"Migratisya qilingan obyekt holatini tekshirish")</f>
        <v>0</v>
      </c>
      <c r="R208" s="39">
        <f>+COUNTIFS('muddati otgan'!B:B,A208,'muddati otgan'!J:J,"Ko‘chmas mulkni tanlash")</f>
        <v>0</v>
      </c>
      <c r="S208" s="39">
        <f>+COUNTIFS('muddati otgan'!B:B,A208,'muddati otgan'!J:J,"Arizani ko'rib chiqish")</f>
        <v>0</v>
      </c>
      <c r="T208" s="39">
        <f>+COUNTIFS('muddati otgan'!B:B,A208,'muddati otgan'!J:J,"Kadastr muhandisini tanlash")</f>
        <v>0</v>
      </c>
      <c r="U208" s="39">
        <f>+COUNTIFS('muddati otgan'!B:B,A208,'muddati otgan'!J:J,"Ko'chmas mulk turini tanlahsh")</f>
        <v>0</v>
      </c>
      <c r="V208" s="39">
        <f>+COUNTIFS('muddati otgan'!B:B,A208,'muddati otgan'!AA:AA,"Rad qilish")</f>
        <v>0</v>
      </c>
      <c r="W208" s="39">
        <f>+COUNTIFS('muddati otgan'!B:B,A208,'muddati otgan'!J:J,"ijrochi tanlash")</f>
        <v>0</v>
      </c>
      <c r="X208" s="39">
        <f>+COUNTIFS('muddati otgan'!B:B,A208,'muddati otgan'!J:J,"Ko'chmas mulk turini tanlash")</f>
        <v>0</v>
      </c>
      <c r="Y208" s="39">
        <f t="shared" si="24"/>
        <v>1</v>
      </c>
      <c r="Z208" s="39">
        <f>+COUNTIFS('muddati otgan'!B:B,A208,'muddati otgan'!J:J,"Ijroga qabul qilish")</f>
        <v>0</v>
      </c>
      <c r="AA208" s="39">
        <f>+COUNTIFS('muddati otgan'!B:B,A208,'muddati otgan'!J:J,"Joyida o'rganish va ma'lumotlarni kiritish")</f>
        <v>0</v>
      </c>
      <c r="AB208" s="39">
        <f>+COUNTIFS('muddati otgan'!B:B,A208,'muddati otgan'!J:J,"Asosiy qismdan ajratish jarayonida")</f>
        <v>0</v>
      </c>
      <c r="AC208" s="39">
        <f>+COUNTIFS('muddati otgan'!B:B,A208,'muddati otgan'!J:J,"Umumiy foydalanishdagi obyekt yaratilish")</f>
        <v>0</v>
      </c>
      <c r="AD208" s="39">
        <f>+COUNTIFS('muddati otgan'!B:B,A208,'muddati otgan'!J:J,"Migratsiya qilinadigan kadastr raqamini kiritish")</f>
        <v>0</v>
      </c>
      <c r="AE208" s="39">
        <f>+COUNTIFS('muddati otgan'!B:B,A208,'muddati otgan'!J:J,"O'zida qolgan obyektni yaratish")</f>
        <v>0</v>
      </c>
      <c r="AF208" s="39">
        <f>+COUNTIFS('muddati otgan'!B:B,A208,'muddati otgan'!J:J,"O'lchov natijalarini kiritish")</f>
        <v>1</v>
      </c>
      <c r="AG208" s="39">
        <f>+COUNTIFS('muddati otgan'!B:B,A208,'muddati otgan'!J:J,"Topoxaritani tayyorlash (dwg, pdf)")</f>
        <v>0</v>
      </c>
      <c r="AH208" s="39">
        <f t="shared" si="25"/>
        <v>1</v>
      </c>
      <c r="AI208" s="39">
        <f>+COUNTIFS('muddati otgan'!B:B,A208,'muddati otgan'!J:J,"Yer uchastkasini yaratish")</f>
        <v>1</v>
      </c>
      <c r="AJ208" s="39">
        <f t="shared" si="26"/>
        <v>0</v>
      </c>
      <c r="AK208" s="39">
        <f>+COUNTIFS('muddati otgan'!B:B,A208,'muddati otgan'!J:J,"Kelishish (Boshqarma)")</f>
        <v>0</v>
      </c>
      <c r="AL208" s="39">
        <f t="shared" si="27"/>
        <v>0</v>
      </c>
      <c r="AM208" s="39">
        <f>+COUNTIFS('muddati otgan'!B:B,A208,'muddati otgan'!J:J,"Kelishish (DKP)")</f>
        <v>0</v>
      </c>
      <c r="AN208" s="39">
        <f>+COUNTIFS('muddati otgan'!B:B,A208,'muddati otgan'!J:J,"Kelishish")</f>
        <v>0</v>
      </c>
      <c r="AO208" s="39">
        <f>+COUNTIFS('muddati otgan'!B:B,A208,'muddati otgan'!J:J,"Kelishish (Registratsiya DKP)")</f>
        <v>0</v>
      </c>
      <c r="AP208" s="39">
        <f t="shared" si="28"/>
        <v>0</v>
      </c>
      <c r="AQ208" s="39">
        <f>+COUNTIFS('muddati otgan'!B:B,A208,'muddati otgan'!J:J,"Manzil biriktirish")</f>
        <v>0</v>
      </c>
      <c r="AR208" s="39">
        <f>+COUNTIFS('muddati otgan'!B:B,A208,'muddati otgan'!J:J,"Bino va inshootlarni yaratish")</f>
        <v>0</v>
      </c>
      <c r="AS208" s="39">
        <f>+COUNTIFS('muddati otgan'!B:B,A208,'muddati otgan'!J:J,"Dov daraxtlarni yaratish")</f>
        <v>0</v>
      </c>
      <c r="AT208" s="39">
        <f>+COUNTIFS('muddati otgan'!B:B,A208,'muddati otgan'!J:J,"Yer uchastkasini tahrirlash")</f>
        <v>0</v>
      </c>
      <c r="AU208" s="39">
        <f t="shared" si="29"/>
        <v>0</v>
      </c>
      <c r="AV208" s="39">
        <f>+COUNTIFS('muddati otgan'!B:B,A208,'muddati otgan'!J:J,"Yer toifasi va maqsadini kiritish")</f>
        <v>0</v>
      </c>
      <c r="AW208" s="39">
        <f>+COUNTIFS('muddati otgan'!B:B,A208,'muddati otgan'!J:J,"Auksion yer tekshirish")</f>
        <v>0</v>
      </c>
      <c r="AX208" s="39">
        <f>+COUNTIFS('muddati otgan'!B:B,A208,'muddati otgan'!J:J,"Yer turlarini kiritish")</f>
        <v>0</v>
      </c>
      <c r="AY208" s="39">
        <f>+COUNTIFS('muddati otgan'!B:B,A208,'muddati otgan'!J:J,"Ma'lumotlarni kiritish")</f>
        <v>0</v>
      </c>
      <c r="AZ208" s="39">
        <f>+COUNTIFS('muddati otgan'!B:B,A208,'muddati otgan'!J:J,"Yer tekshirish")</f>
        <v>0</v>
      </c>
      <c r="BA208" s="39">
        <f t="shared" si="30"/>
        <v>1</v>
      </c>
      <c r="BB208" s="39">
        <f>+COUNTIFS('muddati otgan'!B:B,A208,'muddati otgan'!J:J,"Bino va inshoot ma'lumotlarini to‘ldirish")</f>
        <v>0</v>
      </c>
      <c r="BC208" s="39">
        <f>+COUNTIFS('muddati otgan'!B:B,A208,'muddati otgan'!J:J,"Inventarizatsiya ma'lumotlarini to‘ldirish")</f>
        <v>1</v>
      </c>
      <c r="BD208" s="39">
        <f>+COUNTIFS('muddati otgan'!B:B,A208,'muddati otgan'!J:J,"Yer uchastkasiga huquqiy hujjatlarni kiritsh")</f>
        <v>0</v>
      </c>
      <c r="BE208" s="39">
        <f>+COUNTIFS('muddati otgan'!B:B,A208,'muddati otgan'!J:J,"Bino-inshootlarga huquqiy hujjatlarni kiritsh")</f>
        <v>0</v>
      </c>
      <c r="BF208" s="39">
        <f>+COUNTIFS('muddati otgan'!B:B,A208,'muddati otgan'!J:J,"Kadastr qiymatini hisoblash va kiritish")</f>
        <v>0</v>
      </c>
      <c r="BG208" s="39">
        <f>+COUNTIFS('muddati otgan'!B:B,A208,'muddati otgan'!J:J,"Kadastr raqam biriktirish")</f>
        <v>0</v>
      </c>
      <c r="BH208" s="39">
        <f>+COUNTIFS('muddati otgan'!B:B,A208,'muddati otgan'!J:J,"Kadastr yig'ma jildni tayyorlash")</f>
        <v>0</v>
      </c>
      <c r="BI208" s="39">
        <f>+COUNTIFS('muddati otgan'!B:B,A208,'muddati otgan'!J:J,"Huquqni yaratish")</f>
        <v>0</v>
      </c>
      <c r="BJ208" s="39">
        <f>+COUNTIFS('muddati otgan'!B:B,A208,'muddati otgan'!J:J,"Hujjatlarni o'rganish")</f>
        <v>0</v>
      </c>
      <c r="BK208" s="39">
        <f>+COUNTIFS('muddati otgan'!B:B,A208,'muddati otgan'!J:J,"Ma'lumotlarni tekshirish")</f>
        <v>0</v>
      </c>
      <c r="BL208" s="39">
        <f t="shared" si="31"/>
        <v>1</v>
      </c>
      <c r="BM208" s="39">
        <f>+COUNTIFS('muddati otgan'!B:B,A208,'muddati otgan'!J:J,"Tekshirish")</f>
        <v>1</v>
      </c>
      <c r="BN208" s="39">
        <f>+COUNTIFS('muddati otgan'!B:B,A208,'muddati otgan'!J:J,"Hujjatlarni tekshirish")</f>
        <v>0</v>
      </c>
      <c r="BO208" s="39"/>
      <c r="BP208" s="39">
        <f>+COUNTIFS('muddati otgan'!B:B,A208,'muddati otgan'!J:J,"tekshirish/tasdiqlash")</f>
        <v>0</v>
      </c>
      <c r="BQ208" s="39">
        <f>+COUNTIFS('muddati otgan'!B:B,A208,'muddati otgan'!J:J,"Ma'lumotlarni tasdiqlash")</f>
        <v>0</v>
      </c>
      <c r="BR208" s="39">
        <f t="shared" si="32"/>
        <v>5</v>
      </c>
      <c r="BS208" s="39">
        <f>+COUNTIFS('muddati otgan'!B:B,A208,'muddati otgan'!J:J,"Ro'yxatdan o'tkazish ma'lumotlarini tekshirish")</f>
        <v>5</v>
      </c>
      <c r="BT208" s="39">
        <f>+COUNTIFS('muddati otgan'!B:B,A208,'muddati otgan'!J:J,"Kamchiliklar bo'yicha habarnoma yuborish va 3 kunga to'xtatish")</f>
        <v>0</v>
      </c>
      <c r="BU208" s="39">
        <f>+COUNTIFS('muddati otgan'!B:B,A208,'muddati otgan'!J:J,"Hisobga olish")</f>
        <v>0</v>
      </c>
      <c r="BV208" s="39">
        <f>+COUNTIFS('muddati otgan'!B:B,A208,'muddati otgan'!J:J,"Yer uchastkasiga huquq yaratish")</f>
        <v>0</v>
      </c>
      <c r="BW208" s="39">
        <f>+COUNTIFS('muddati otgan'!B:B,A208,'muddati otgan'!J:J,"Bino-inshootga huquq yaratish")</f>
        <v>0</v>
      </c>
      <c r="BX208" s="39">
        <f>+COUNTIFS('muddati otgan'!B:B,A208,'muddati otgan'!J:J,"Cheklov yaratish")</f>
        <v>0</v>
      </c>
      <c r="BY208" s="39">
        <f>+COUNTIFS('muddati otgan'!B:B,A208,'muddati otgan'!J:J,"Taqiq yaratish")</f>
        <v>0</v>
      </c>
      <c r="BZ208" s="39">
        <f t="shared" si="33"/>
        <v>0</v>
      </c>
      <c r="CA208" s="39">
        <f>+COUNTIFS('muddati otgan'!B:B,A208,'muddati otgan'!J:J,"Soliq maydonini tekshirish")</f>
        <v>0</v>
      </c>
      <c r="CB208" s="39">
        <f t="shared" si="34"/>
        <v>1</v>
      </c>
      <c r="CC208" s="39">
        <f>+COUNTIFS('muddati otgan'!B:B,A208,'muddati otgan'!J:J,"Kadastr yig'majildini shakllantirish")</f>
        <v>1</v>
      </c>
      <c r="CD208" s="39">
        <f t="shared" si="35"/>
        <v>0</v>
      </c>
      <c r="CE208" s="39">
        <f>+COUNTIFS('muddati otgan'!B:B,A208,'muddati otgan'!J:J,"Kadastr passportini shakllantirish")</f>
        <v>0</v>
      </c>
      <c r="CF208" s="39">
        <f>+COUNTIFS('muddati otgan'!B:B,A208,'muddati otgan'!J:J,"Yig'ma jildni tasdiqlash")</f>
        <v>0</v>
      </c>
      <c r="CG208" s="39">
        <f>+COUNTIFS('muddati otgan'!B:B,A208,'muddati otgan'!J:J,"To'lov yoki bepul tasdiqlash")</f>
        <v>0</v>
      </c>
      <c r="CH208" s="39">
        <f>+COUNTIFS('muddati otgan'!B:B,A208,'muddati otgan'!J:J,"Bog'liq arizani kutish")</f>
        <v>0</v>
      </c>
      <c r="CI208" s="39">
        <f>+COUNTIFS('muddati otgan'!B:B,A208,'muddati otgan'!J:J,"To'lovga chiqarish")</f>
        <v>0</v>
      </c>
      <c r="CJ208" s="39">
        <f>+COUNTIFS('muddati otgan'!B:B,A208,'muddati otgan'!J:J,"Hisobga qo'yish")</f>
        <v>0</v>
      </c>
      <c r="CK208" s="67">
        <f>+COUNTIFS('muddati otgan'!B:B,A208,'muddati otgan'!J:J,"To'lov kutilmoqda")</f>
        <v>5</v>
      </c>
      <c r="CL208" s="124">
        <f t="shared" si="36"/>
        <v>0</v>
      </c>
      <c r="CM208" s="124">
        <f>+COUNTIFS('muddati otgan'!B:B,A208,'muddati otgan'!AA:AA,"Arizani qabul qilish2")</f>
        <v>0</v>
      </c>
      <c r="CN208" s="124">
        <f>+COUNTIFS('muddati otgan'!B:B,A208,'muddati otgan'!J:J,"Huquqlarni tekshirish")</f>
        <v>0</v>
      </c>
      <c r="CO208" s="124">
        <f>+COUNTIFS('muddati otgan'!B:B,A208,'muddati otgan'!J:J,"Ko'chmas mulkni ro'yhatdan o'tkazishga qabul qilish")</f>
        <v>0</v>
      </c>
      <c r="CP208" s="124">
        <f>+COUNTIFS('muddati otgan'!B:B,A208,'muddati otgan'!J:J,"Ro'yxatdan o'tkazish")</f>
        <v>0</v>
      </c>
      <c r="CQ208" s="124">
        <f>+COUNTIFS('muddati otgan'!B:B,A208,'muddati otgan'!J:J,"Kadastr pasporti va ko'chirmani yuborish")</f>
        <v>0</v>
      </c>
      <c r="CR208" s="124">
        <f>+COUNTIFS('muddati otgan'!B:B,A208,'muddati otgan'!AA:AA,"Rad qilish2")</f>
        <v>0</v>
      </c>
      <c r="CS208" s="124">
        <f>+COUNTIFS('muddati otgan'!B:B,A208,'muddati otgan'!J:J,"Ko'chirmani yuborish")</f>
        <v>0</v>
      </c>
      <c r="CT208" s="124">
        <f>+COUNTIFS('muddati otgan'!B:B,A208,'muddati otgan'!J:J,"Ma‘lumotlarni tekshirish")</f>
        <v>0</v>
      </c>
      <c r="CU208" s="124">
        <f t="shared" si="37"/>
        <v>0</v>
      </c>
      <c r="CV208" s="124">
        <f>+COUNTIFS('muddati otgan'!B:B,A208,'muddati otgan'!J:J,"Kadastr yig'majildini chop etish va arxiv ishiga tikish")</f>
        <v>0</v>
      </c>
      <c r="CW208" s="124">
        <f t="shared" si="38"/>
        <v>0</v>
      </c>
      <c r="CX208" s="39">
        <f>+COUNTIFS('muddati otgan'!B:B,A208,'muddati otgan'!J:J,"Kadastr yig‘majildini qabul qilish, arizani yakunlash")</f>
        <v>0</v>
      </c>
      <c r="CY208" s="39">
        <f>+COUNTIFS('muddati otgan'!B:B,A208,'muddati otgan'!J:J,"Next Cloudga yuklash")</f>
        <v>0</v>
      </c>
      <c r="CZ208" s="67">
        <f>+COUNTIFS('muddati otgan'!B:B,A208,'muddati otgan'!J:J,"Kelishish kutilmoqda")</f>
        <v>0</v>
      </c>
      <c r="DA208" s="67">
        <f>+COUNTIFS('muddati otgan'!B:B,A208,'muddati otgan'!J:J,"Yakunlandi")</f>
        <v>8</v>
      </c>
      <c r="DB208" s="37">
        <f>+COUNTIFS('muddati otgan'!B:B,A208,'muddati otgan'!J:J,"Rad etildi")</f>
        <v>0</v>
      </c>
      <c r="DC208" s="99">
        <f t="shared" si="5"/>
        <v>-12</v>
      </c>
      <c r="DD208" s="43">
        <f>COUNTIFS('jami 1-20 kunlik arizalar'!B:B,A:A,'jami 1-20 kunlik arizalar'!S:S,"1")</f>
        <v>0</v>
      </c>
      <c r="DE208" s="39">
        <f>COUNTIFS('jami 1-20 kunlik arizalar'!B:B,A:A,'jami 1-20 kunlik arizalar'!S:S,"2")</f>
        <v>0</v>
      </c>
      <c r="DF208" s="39">
        <f>COUNTIFS('jami 1-20 kunlik arizalar'!B:B,A:A,'jami 1-20 kunlik arizalar'!S:S,"3")</f>
        <v>25</v>
      </c>
      <c r="DG208" s="39">
        <f>COUNTIFS('jami 1-20 kunlik arizalar'!B:B,A:A,'jami 1-20 kunlik arizalar'!S:S,"4")</f>
        <v>41</v>
      </c>
      <c r="DH208" s="39">
        <f>COUNTIFS('jami 1-20 kunlik arizalar'!B:B,A:A,'jami 1-20 kunlik arizalar'!S:S,"5")</f>
        <v>18</v>
      </c>
      <c r="DI208" s="39">
        <f>SUM(COUNTIFS('jami 1-20 kunlik arizalar'!B:B,A:A, 'jami 1-20 kunlik arizalar'!S:S, {6,7,8,9,10}))</f>
        <v>83</v>
      </c>
      <c r="DJ208" s="40">
        <f>SUMPRODUCT(('jami 1-20 kunlik arizalar'!B:B=A208)*('jami 1-20 kunlik arizalar'!S:S&gt;10))</f>
        <v>77</v>
      </c>
      <c r="DK208" s="34"/>
    </row>
    <row r="209" spans="1:114" ht="32.1" hidden="1" customHeight="1" outlineLevel="1" x14ac:dyDescent="0.25">
      <c r="A209" s="92" t="s">
        <v>475</v>
      </c>
      <c r="B209" s="74"/>
      <c r="C209" s="85" t="s">
        <v>896</v>
      </c>
      <c r="D209" s="80">
        <f>+COUNTIFS('muddati otgan'!C:C,A209,'muddati otgan'!C:C,A209)</f>
        <v>2</v>
      </c>
      <c r="E209" s="10">
        <f>SUMIFS('muddati otgan'!$V:V,'muddati otgan'!$C:C,$A:A)</f>
        <v>1</v>
      </c>
      <c r="F209" s="10">
        <f>SUMIFS('muddati otgan'!$W:W,'muddati otgan'!$C:C,$A:A)</f>
        <v>0</v>
      </c>
      <c r="G209" s="24">
        <f>SUMIFS('muddati otgan'!$U:U,'muddati otgan'!$C:C,$A:A)</f>
        <v>1</v>
      </c>
      <c r="H209" s="11">
        <f>SUMIFS('muddati otgan'!$G:G,'muddati otgan'!$C:C,$A:A)</f>
        <v>1</v>
      </c>
      <c r="I209" s="12">
        <f>SUMIFS('muddati otgan'!$H:H,'muddati otgan'!$C:C,$A:A)</f>
        <v>1</v>
      </c>
      <c r="J209" s="44">
        <f t="shared" si="23"/>
        <v>0</v>
      </c>
      <c r="K209" s="11">
        <f>+COUNTIFS('muddati otgan'!C:C,A209,'muddati otgan'!AA:AA,"Arizani qabul qilish")</f>
        <v>0</v>
      </c>
      <c r="L209" s="11">
        <f>+COUNTIFS('muddati otgan'!C:C,A209,'muddati otgan'!J:J,"Arizani rad etish")</f>
        <v>0</v>
      </c>
      <c r="M209" s="11">
        <f>+COUNTIFS('muddati otgan'!C:C,A209,'muddati otgan'!J:J,"Arizani tasdiqlash")</f>
        <v>0</v>
      </c>
      <c r="N209" s="11">
        <f>+COUNTIFS('muddati otgan'!C:C,A209,'muddati otgan'!J:J,"Arizani yo'naltirish")</f>
        <v>0</v>
      </c>
      <c r="O209" s="11">
        <f>+COUNTIFS('muddati otgan'!C:C,A209,'muddati otgan'!J:J,"Rad qilish sababini o'rganish")</f>
        <v>0</v>
      </c>
      <c r="P209" s="11">
        <f>+COUNTIFS('muddati otgan'!C:C,A209,'muddati otgan'!J:J,"Ko'chmas mulkni UZKAD ga migratsiya qilish")</f>
        <v>0</v>
      </c>
      <c r="Q209" s="11">
        <f>+COUNTIFS('muddati otgan'!C:C,A209,'muddati otgan'!J:J,"Migratisya qilingan obyekt holatini tekshirish")</f>
        <v>0</v>
      </c>
      <c r="R209" s="11">
        <f>+COUNTIFS('muddati otgan'!C:C,A209,'muddati otgan'!J:J,"Ko‘chmas mulkni tanlash")</f>
        <v>0</v>
      </c>
      <c r="S209" s="11">
        <f>+COUNTIFS('muddati otgan'!C:C,A209,'muddati otgan'!J:J,"Arizani ko'rib chiqish")</f>
        <v>0</v>
      </c>
      <c r="T209" s="11">
        <f>+COUNTIFS('muddati otgan'!C:C,A209,'muddati otgan'!J:J,"Kadastr muhandisini tanlash")</f>
        <v>0</v>
      </c>
      <c r="U209" s="11">
        <f>+COUNTIFS('muddati otgan'!C:C,A209,'muddati otgan'!J:J,"Ko'chmas mulk turini tanlahsh")</f>
        <v>0</v>
      </c>
      <c r="V209" s="11">
        <f>+COUNTIFS('muddati otgan'!C:C,A209,'muddati otgan'!AA:AA,"Rad qilish")</f>
        <v>0</v>
      </c>
      <c r="W209" s="11">
        <f>+COUNTIFS('muddati otgan'!C:C,A209,'muddati otgan'!J:J,"ijrochi tanlash")</f>
        <v>0</v>
      </c>
      <c r="X209" s="11">
        <f>+COUNTIFS('muddati otgan'!C:C,A209,'muddati otgan'!J:J,"Ko'chmas mulk turini tanlash")</f>
        <v>0</v>
      </c>
      <c r="Y209" s="11">
        <f t="shared" si="24"/>
        <v>0</v>
      </c>
      <c r="Z209" s="11">
        <f>+COUNTIFS('muddati otgan'!C:C,A209,'muddati otgan'!J:J,"Ijroga qabul qilish")</f>
        <v>0</v>
      </c>
      <c r="AA209" s="11">
        <f>+COUNTIFS('muddati otgan'!C:C,A209,'muddati otgan'!J:J,"Joyida o'rganish va ma'lumotlarni kiritish")</f>
        <v>0</v>
      </c>
      <c r="AB209" s="11">
        <f>+COUNTIFS('muddati otgan'!C:C,A209,'muddati otgan'!J:J,"Asosiy qismdan ajratish jarayonida")</f>
        <v>0</v>
      </c>
      <c r="AC209" s="11">
        <f>+COUNTIFS('muddati otgan'!C:C,A209,'muddati otgan'!J:J,"Umumiy foydalanishdagi obyekt yaratilish")</f>
        <v>0</v>
      </c>
      <c r="AD209" s="11">
        <f>+COUNTIFS('muddati otgan'!C:C,A209,'muddati otgan'!J:J,"Migratsiya qilinadigan kadastr raqamini kiritish")</f>
        <v>0</v>
      </c>
      <c r="AE209" s="11">
        <f>+COUNTIFS('muddati otgan'!C:C,A209,'muddati otgan'!J:J,"O'zida qolgan obyektni yaratish")</f>
        <v>0</v>
      </c>
      <c r="AF209" s="11">
        <f>+COUNTIFS('muddati otgan'!C:C,A209,'muddati otgan'!J:J,"O'lchov natijalarini kiritish")</f>
        <v>0</v>
      </c>
      <c r="AG209" s="11">
        <f>+COUNTIFS('muddati otgan'!C:C,A209,'muddati otgan'!J:J,"Topoxaritani tayyorlash (dwg, pdf)")</f>
        <v>0</v>
      </c>
      <c r="AH209" s="11">
        <f t="shared" si="25"/>
        <v>1</v>
      </c>
      <c r="AI209" s="11">
        <f>+COUNTIFS('muddati otgan'!C:C,A209,'muddati otgan'!J:J,"Yer uchastkasini yaratish")</f>
        <v>1</v>
      </c>
      <c r="AJ209" s="11">
        <f t="shared" si="26"/>
        <v>0</v>
      </c>
      <c r="AK209" s="11">
        <f>+COUNTIFS('muddati otgan'!C:C,A209,'muddati otgan'!J:J,"Kelishish (Boshqarma)")</f>
        <v>0</v>
      </c>
      <c r="AL209" s="11">
        <f t="shared" si="27"/>
        <v>0</v>
      </c>
      <c r="AM209" s="11">
        <f>+COUNTIFS('muddati otgan'!C:C,A209,'muddati otgan'!J:J,"Kelishish (DKP)")</f>
        <v>0</v>
      </c>
      <c r="AN209" s="11">
        <f>+COUNTIFS('muddati otgan'!C:C,A209,'muddati otgan'!J:J,"Kelishish")</f>
        <v>0</v>
      </c>
      <c r="AO209" s="11">
        <f>+COUNTIFS('muddati otgan'!C:C,A209,'muddati otgan'!J:J,"Kelishish (Registratsiya DKP)")</f>
        <v>0</v>
      </c>
      <c r="AP209" s="11">
        <f t="shared" si="28"/>
        <v>0</v>
      </c>
      <c r="AQ209" s="11">
        <f>+COUNTIFS('muddati otgan'!C:C,A209,'muddati otgan'!J:J,"Manzil biriktirish")</f>
        <v>0</v>
      </c>
      <c r="AR209" s="11">
        <f>+COUNTIFS('muddati otgan'!C:C,A209,'muddati otgan'!J:J,"Bino va inshootlarni yaratish")</f>
        <v>0</v>
      </c>
      <c r="AS209" s="11">
        <f>+COUNTIFS('muddati otgan'!C:C,A209,'muddati otgan'!J:J,"Dov daraxtlarni yaratish")</f>
        <v>0</v>
      </c>
      <c r="AT209" s="11">
        <f>+COUNTIFS('muddati otgan'!C:C,A209,'muddati otgan'!J:J,"Yer uchastkasini tahrirlash")</f>
        <v>0</v>
      </c>
      <c r="AU209" s="11">
        <f t="shared" si="29"/>
        <v>0</v>
      </c>
      <c r="AV209" s="11">
        <f>+COUNTIFS('muddati otgan'!C:C,A209,'muddati otgan'!J:J,"Yer toifasi va maqsadini kiritish")</f>
        <v>0</v>
      </c>
      <c r="AW209" s="11">
        <f>+COUNTIFS('muddati otgan'!C:C,A209,'muddati otgan'!J:J,"Auksion yer tekshirish")</f>
        <v>0</v>
      </c>
      <c r="AX209" s="11">
        <f>+COUNTIFS('muddati otgan'!C:C,A209,'muddati otgan'!J:J,"Yer turlarini kiritish")</f>
        <v>0</v>
      </c>
      <c r="AY209" s="11">
        <f>+COUNTIFS('muddati otgan'!C:C,A209,'muddati otgan'!J:J,"Ma'lumotlarni kiritish")</f>
        <v>0</v>
      </c>
      <c r="AZ209" s="11">
        <f>+COUNTIFS('muddati otgan'!C:C,A209,'muddati otgan'!J:J,"Yer tekshirish")</f>
        <v>0</v>
      </c>
      <c r="BA209" s="11">
        <f t="shared" si="30"/>
        <v>0</v>
      </c>
      <c r="BB209" s="11">
        <f>+COUNTIFS('muddati otgan'!C:C,A209,'muddati otgan'!J:J,"Bino va inshoot ma'lumotlarini to‘ldirish")</f>
        <v>0</v>
      </c>
      <c r="BC209" s="11">
        <f>+COUNTIFS('muddati otgan'!C:C,A209,'muddati otgan'!J:J,"Inventarizatsiya ma'lumotlarini to‘ldirish")</f>
        <v>0</v>
      </c>
      <c r="BD209" s="11">
        <f>+COUNTIFS('muddati otgan'!C:C,A209,'muddati otgan'!J:J,"Yer uchastkasiga huquqiy hujjatlarni kiritsh")</f>
        <v>0</v>
      </c>
      <c r="BE209" s="11">
        <f>+COUNTIFS('muddati otgan'!C:C,A209,'muddati otgan'!J:J,"Bino-inshootlarga huquqiy hujjatlarni kiritsh")</f>
        <v>0</v>
      </c>
      <c r="BF209" s="11">
        <f>+COUNTIFS('muddati otgan'!C:C,A209,'muddati otgan'!J:J,"Kadastr qiymatini hisoblash va kiritish")</f>
        <v>0</v>
      </c>
      <c r="BG209" s="11">
        <f>+COUNTIFS('muddati otgan'!C:C,A209,'muddati otgan'!J:J,"Kadastr raqam biriktirish")</f>
        <v>0</v>
      </c>
      <c r="BH209" s="11">
        <f>+COUNTIFS('muddati otgan'!C:C,A209,'muddati otgan'!J:J,"Kadastr yig'ma jildni tayyorlash")</f>
        <v>0</v>
      </c>
      <c r="BI209" s="11">
        <f>+COUNTIFS('muddati otgan'!C:C,A209,'muddati otgan'!J:J,"Huquqni yaratish")</f>
        <v>0</v>
      </c>
      <c r="BJ209" s="11">
        <f>+COUNTIFS('muddati otgan'!C:C,A209,'muddati otgan'!J:J,"Hujjatlarni o'rganish")</f>
        <v>0</v>
      </c>
      <c r="BK209" s="11">
        <f>+COUNTIFS('muddati otgan'!C:C,A209,'muddati otgan'!J:J,"Ma'lumotlarni tekshirish")</f>
        <v>0</v>
      </c>
      <c r="BL209" s="11">
        <f t="shared" si="31"/>
        <v>0</v>
      </c>
      <c r="BM209" s="11">
        <f>+COUNTIFS('muddati otgan'!C:C,A209,'muddati otgan'!J:J,"Tekshirish")</f>
        <v>0</v>
      </c>
      <c r="BN209" s="11">
        <f>+COUNTIFS('muddati otgan'!C:C,A209,'muddati otgan'!J:J,"Hujjatlarni tekshirish")</f>
        <v>0</v>
      </c>
      <c r="BO209" s="11">
        <f>+COUNTIFS('muddati otgan'!C:C,A209,'muddati otgan'!J:J,"Tasdiqlash")</f>
        <v>0</v>
      </c>
      <c r="BP209" s="11">
        <f>+COUNTIFS('muddati otgan'!C:C,A209,'muddati otgan'!J:J,"tekshirish/tasdiqlash")</f>
        <v>0</v>
      </c>
      <c r="BQ209" s="11">
        <f>+COUNTIFS('muddati otgan'!C:C,A209,'muddati otgan'!J:J,"Ma'lumotlarni tasdiqlash")</f>
        <v>0</v>
      </c>
      <c r="BR209" s="11">
        <f t="shared" si="32"/>
        <v>0</v>
      </c>
      <c r="BS209" s="11">
        <f>+COUNTIFS('muddati otgan'!C:C,A209,'muddati otgan'!J:J,"Ro'yxatdan o'tkazish ma'lumotlarini tekshirish")</f>
        <v>0</v>
      </c>
      <c r="BT209" s="11">
        <f>+COUNTIFS('muddati otgan'!C:C,A209,'muddati otgan'!J:J,"Kamchiliklar bo'yicha habarnoma yuborish va 3 kunga to'xtatish")</f>
        <v>0</v>
      </c>
      <c r="BU209" s="11">
        <f>+COUNTIFS('muddati otgan'!C:C,A209,'muddati otgan'!J:J,"Hisobga olish")</f>
        <v>0</v>
      </c>
      <c r="BV209" s="11">
        <f>+COUNTIFS('muddati otgan'!C:C,A209,'muddati otgan'!J:J,"Yer uchastkasiga huquq yaratish")</f>
        <v>0</v>
      </c>
      <c r="BW209" s="11">
        <f>+COUNTIFS('muddati otgan'!C:C,A209,'muddati otgan'!J:J,"Bino-inshootga huquq yaratish")</f>
        <v>0</v>
      </c>
      <c r="BX209" s="11">
        <f>+COUNTIFS('muddati otgan'!C:C,A209,'muddati otgan'!J:J,"Cheklov yaratish")</f>
        <v>0</v>
      </c>
      <c r="BY209" s="11">
        <f>+COUNTIFS('muddati otgan'!C:C,A209,'muddati otgan'!J:J,"Taqiq yaratish")</f>
        <v>0</v>
      </c>
      <c r="BZ209" s="11">
        <f t="shared" si="33"/>
        <v>0</v>
      </c>
      <c r="CA209" s="11">
        <f>+COUNTIFS('muddati otgan'!C:C,A209,'muddati otgan'!J:J,"Soliq maydonini tekshirish")</f>
        <v>0</v>
      </c>
      <c r="CB209" s="11">
        <f t="shared" si="34"/>
        <v>0</v>
      </c>
      <c r="CC209" s="11">
        <f>+COUNTIFS('muddati otgan'!C:C,A209,'muddati otgan'!J:J,"Kadastr yig'majildini shakllantirish")</f>
        <v>0</v>
      </c>
      <c r="CD209" s="11">
        <f t="shared" si="35"/>
        <v>0</v>
      </c>
      <c r="CE209" s="11">
        <f>+COUNTIFS('muddati otgan'!C:C,A209,'muddati otgan'!J:J,"Kadastr passportini shakllantirish")</f>
        <v>0</v>
      </c>
      <c r="CF209" s="11">
        <f>+COUNTIFS('muddati otgan'!C:C,A209,'muddati otgan'!J:J,"Yig'ma jildni tasdiqlash")</f>
        <v>0</v>
      </c>
      <c r="CG209" s="11">
        <f>+COUNTIFS('muddati otgan'!C:C,A209,'muddati otgan'!J:J,"To'lov yoki bepul tasdiqlash")</f>
        <v>0</v>
      </c>
      <c r="CH209" s="11">
        <f>+COUNTIFS('muddati otgan'!C:C,A209,'muddati otgan'!J:J,"Bog'liq arizani kutish")</f>
        <v>0</v>
      </c>
      <c r="CI209" s="11">
        <f>+COUNTIFS('muddati otgan'!C:C,A209,'muddati otgan'!J:J,"To'lovga chiqarish")</f>
        <v>0</v>
      </c>
      <c r="CJ209" s="11">
        <f>+COUNTIFS('muddati otgan'!C:C,A209,'muddati otgan'!J:J,"Hisobga qo'yish")</f>
        <v>0</v>
      </c>
      <c r="CK209" s="6">
        <f>+COUNTIFS('muddati otgan'!C:C,A209,'muddati otgan'!J:J,"To'lov kutilmoqda")</f>
        <v>0</v>
      </c>
      <c r="CL209" s="11">
        <f t="shared" si="36"/>
        <v>0</v>
      </c>
      <c r="CM209" s="11">
        <f>+COUNTIFS('muddati otgan'!C:C,A209,'muddati otgan'!AA:AA,"Arizani qabul qilish2")</f>
        <v>0</v>
      </c>
      <c r="CN209" s="11">
        <f>+COUNTIFS('muddati otgan'!C:C,A209,'muddati otgan'!J:J,"Huquqlarni tekshirish")</f>
        <v>0</v>
      </c>
      <c r="CO209" s="11">
        <f>+COUNTIFS('muddati otgan'!C:C,A209,'muddati otgan'!J:J,"Ko'chmas mulkni ro'yhatdan o'tkazishga qabul qilish")</f>
        <v>0</v>
      </c>
      <c r="CP209" s="11">
        <f>+COUNTIFS('muddati otgan'!C:C,A209,'muddati otgan'!J:J,"Ro'yxatdan o'tkazish")</f>
        <v>0</v>
      </c>
      <c r="CQ209" s="11">
        <f>+COUNTIFS('muddati otgan'!C:C,A209,'muddati otgan'!J:J,"Kadastr pasporti va ko'chirmani yuborish")</f>
        <v>0</v>
      </c>
      <c r="CR209" s="11">
        <f>+COUNTIFS('muddati otgan'!C:C,A209,'muddati otgan'!AA:AA,"Rad qilish2")</f>
        <v>0</v>
      </c>
      <c r="CS209" s="11">
        <f>+COUNTIFS('muddati otgan'!C:C,A209,'muddati otgan'!J:J,"Ko'chirmani yuborish")</f>
        <v>0</v>
      </c>
      <c r="CT209" s="11">
        <f>+COUNTIFS('muddati otgan'!C:C,A209,'muddati otgan'!J:J,"Ma‘lumotlarni tekshirish")</f>
        <v>0</v>
      </c>
      <c r="CU209" s="11">
        <f t="shared" si="37"/>
        <v>0</v>
      </c>
      <c r="CV209" s="11">
        <f>+COUNTIFS('muddati otgan'!C:C,A209,'muddati otgan'!J:J,"Kadastr yig'majildini chop etish va arxiv ishiga tikish")</f>
        <v>0</v>
      </c>
      <c r="CW209" s="11">
        <f t="shared" si="38"/>
        <v>0</v>
      </c>
      <c r="CX209" s="11">
        <f>+COUNTIFS('muddati otgan'!C:C,A209,'muddati otgan'!J:J,"Kadastr yig‘majildini qabul qilish, arizani yakunlash")</f>
        <v>0</v>
      </c>
      <c r="CY209" s="11">
        <f>+COUNTIFS('muddati otgan'!C:C,A209,'muddati otgan'!J:J,"Next Cloudga yuklash")</f>
        <v>0</v>
      </c>
      <c r="CZ209" s="6">
        <f>+COUNTIFS('muddati otgan'!C:C,A209,'muddati otgan'!J:J,"Kelishish kutilmoqda")</f>
        <v>0</v>
      </c>
      <c r="DA209" s="6">
        <f>+COUNTIFS('muddati otgan'!C:C,A209,'muddati otgan'!J:J,"Yakunlandi")</f>
        <v>1</v>
      </c>
      <c r="DB209" s="10">
        <f>+COUNTIFS('muddati otgan'!C:C,A209,'muddati otgan'!J:J,"Rad etildi")</f>
        <v>0</v>
      </c>
      <c r="DC209" s="100">
        <f t="shared" si="5"/>
        <v>-1</v>
      </c>
      <c r="DD209" s="44">
        <f>COUNTIFS('jami 1-20 kunlik arizalar'!C:C,A:A,'jami 1-20 kunlik arizalar'!S:S,"1")</f>
        <v>0</v>
      </c>
      <c r="DE209" s="11">
        <f>COUNTIFS('jami 1-20 kunlik arizalar'!C:C,A:A,'jami 1-20 kunlik arizalar'!S:S,"2")</f>
        <v>0</v>
      </c>
      <c r="DF209" s="11">
        <f>COUNTIFS('jami 1-20 kunlik arizalar'!C:C,A:A,'jami 1-20 kunlik arizalar'!S:S,"3")</f>
        <v>1</v>
      </c>
      <c r="DG209" s="11">
        <f>COUNTIFS('jami 1-20 kunlik arizalar'!C:C,A:A,'jami 1-20 kunlik arizalar'!S:S,"4")</f>
        <v>2</v>
      </c>
      <c r="DH209" s="11">
        <f>COUNTIFS('jami 1-20 kunlik arizalar'!C:C,A:A,'jami 1-20 kunlik arizalar'!S:S,"5")</f>
        <v>0</v>
      </c>
      <c r="DI209" s="11">
        <f>SUM(COUNTIFS('jami 1-20 kunlik arizalar'!C:C,A:A, 'jami 1-20 kunlik arizalar'!S:S, {6,7,8,9,10}))</f>
        <v>5</v>
      </c>
      <c r="DJ209" s="12">
        <f>SUM(COUNTIFS('jami 1-20 kunlik arizalar'!C:C,A:A, 'jami 1-20 kunlik arizalar'!S:S, "&gt;10"))</f>
        <v>5</v>
      </c>
    </row>
    <row r="210" spans="1:114" ht="32.1" hidden="1" customHeight="1" outlineLevel="1" x14ac:dyDescent="0.25">
      <c r="A210" s="92" t="s">
        <v>482</v>
      </c>
      <c r="B210" s="74"/>
      <c r="C210" s="85" t="s">
        <v>897</v>
      </c>
      <c r="D210" s="80">
        <f>+COUNTIFS('muddati otgan'!C:C,A210,'muddati otgan'!C:C,A210)</f>
        <v>5</v>
      </c>
      <c r="E210" s="10">
        <f>SUMIFS('muddati otgan'!$V:V,'muddati otgan'!$C:C,$A:A)</f>
        <v>2</v>
      </c>
      <c r="F210" s="10">
        <f>SUMIFS('muddati otgan'!$W:W,'muddati otgan'!$C:C,$A:A)</f>
        <v>0</v>
      </c>
      <c r="G210" s="24">
        <f>SUMIFS('muddati otgan'!$U:U,'muddati otgan'!$C:C,$A:A)</f>
        <v>3</v>
      </c>
      <c r="H210" s="11">
        <f>SUMIFS('muddati otgan'!$G:G,'muddati otgan'!$C:C,$A:A)</f>
        <v>3</v>
      </c>
      <c r="I210" s="12">
        <f>SUMIFS('muddati otgan'!$H:H,'muddati otgan'!$C:C,$A:A)</f>
        <v>2</v>
      </c>
      <c r="J210" s="44">
        <f t="shared" si="23"/>
        <v>0</v>
      </c>
      <c r="K210" s="11">
        <f>+COUNTIFS('muddati otgan'!C:C,A210,'muddati otgan'!AA:AA,"Arizani qabul qilish")</f>
        <v>0</v>
      </c>
      <c r="L210" s="11">
        <f>+COUNTIFS('muddati otgan'!C:C,A210,'muddati otgan'!J:J,"Arizani rad etish")</f>
        <v>0</v>
      </c>
      <c r="M210" s="11">
        <f>+COUNTIFS('muddati otgan'!C:C,A210,'muddati otgan'!J:J,"Arizani tasdiqlash")</f>
        <v>0</v>
      </c>
      <c r="N210" s="11">
        <f>+COUNTIFS('muddati otgan'!C:C,A210,'muddati otgan'!J:J,"Arizani yo'naltirish")</f>
        <v>0</v>
      </c>
      <c r="O210" s="11">
        <f>+COUNTIFS('muddati otgan'!C:C,A210,'muddati otgan'!J:J,"Rad qilish sababini o'rganish")</f>
        <v>0</v>
      </c>
      <c r="P210" s="11">
        <f>+COUNTIFS('muddati otgan'!C:C,A210,'muddati otgan'!J:J,"Ko'chmas mulkni UZKAD ga migratsiya qilish")</f>
        <v>0</v>
      </c>
      <c r="Q210" s="11">
        <f>+COUNTIFS('muddati otgan'!C:C,A210,'muddati otgan'!J:J,"Migratisya qilingan obyekt holatini tekshirish")</f>
        <v>0</v>
      </c>
      <c r="R210" s="11">
        <f>+COUNTIFS('muddati otgan'!C:C,A210,'muddati otgan'!J:J,"Ko‘chmas mulkni tanlash")</f>
        <v>0</v>
      </c>
      <c r="S210" s="11">
        <f>+COUNTIFS('muddati otgan'!C:C,A210,'muddati otgan'!J:J,"Arizani ko'rib chiqish")</f>
        <v>0</v>
      </c>
      <c r="T210" s="11">
        <f>+COUNTIFS('muddati otgan'!C:C,A210,'muddati otgan'!J:J,"Kadastr muhandisini tanlash")</f>
        <v>0</v>
      </c>
      <c r="U210" s="11">
        <f>+COUNTIFS('muddati otgan'!C:C,A210,'muddati otgan'!J:J,"Ko'chmas mulk turini tanlahsh")</f>
        <v>0</v>
      </c>
      <c r="V210" s="11">
        <f>+COUNTIFS('muddati otgan'!C:C,A210,'muddati otgan'!AA:AA,"Rad qilish")</f>
        <v>0</v>
      </c>
      <c r="W210" s="11">
        <f>+COUNTIFS('muddati otgan'!C:C,A210,'muddati otgan'!J:J,"ijrochi tanlash")</f>
        <v>0</v>
      </c>
      <c r="X210" s="11">
        <f>+COUNTIFS('muddati otgan'!C:C,A210,'muddati otgan'!J:J,"Ko'chmas mulk turini tanlash")</f>
        <v>0</v>
      </c>
      <c r="Y210" s="11">
        <f t="shared" si="24"/>
        <v>0</v>
      </c>
      <c r="Z210" s="11">
        <f>+COUNTIFS('muddati otgan'!C:C,A210,'muddati otgan'!J:J,"Ijroga qabul qilish")</f>
        <v>0</v>
      </c>
      <c r="AA210" s="11">
        <f>+COUNTIFS('muddati otgan'!C:C,A210,'muddati otgan'!J:J,"Joyida o'rganish va ma'lumotlarni kiritish")</f>
        <v>0</v>
      </c>
      <c r="AB210" s="11">
        <f>+COUNTIFS('muddati otgan'!C:C,A210,'muddati otgan'!J:J,"Asosiy qismdan ajratish jarayonida")</f>
        <v>0</v>
      </c>
      <c r="AC210" s="11">
        <f>+COUNTIFS('muddati otgan'!C:C,A210,'muddati otgan'!J:J,"Umumiy foydalanishdagi obyekt yaratilish")</f>
        <v>0</v>
      </c>
      <c r="AD210" s="11">
        <f>+COUNTIFS('muddati otgan'!C:C,A210,'muddati otgan'!J:J,"Migratsiya qilinadigan kadastr raqamini kiritish")</f>
        <v>0</v>
      </c>
      <c r="AE210" s="11">
        <f>+COUNTIFS('muddati otgan'!C:C,A210,'muddati otgan'!J:J,"O'zida qolgan obyektni yaratish")</f>
        <v>0</v>
      </c>
      <c r="AF210" s="11">
        <f>+COUNTIFS('muddati otgan'!C:C,A210,'muddati otgan'!J:J,"O'lchov natijalarini kiritish")</f>
        <v>0</v>
      </c>
      <c r="AG210" s="11">
        <f>+COUNTIFS('muddati otgan'!C:C,A210,'muddati otgan'!J:J,"Topoxaritani tayyorlash (dwg, pdf)")</f>
        <v>0</v>
      </c>
      <c r="AH210" s="11">
        <f t="shared" si="25"/>
        <v>0</v>
      </c>
      <c r="AI210" s="11">
        <f>+COUNTIFS('muddati otgan'!C:C,A210,'muddati otgan'!J:J,"Yer uchastkasini yaratish")</f>
        <v>0</v>
      </c>
      <c r="AJ210" s="11">
        <f t="shared" si="26"/>
        <v>0</v>
      </c>
      <c r="AK210" s="11">
        <f>+COUNTIFS('muddati otgan'!C:C,A210,'muddati otgan'!J:J,"Kelishish (Boshqarma)")</f>
        <v>0</v>
      </c>
      <c r="AL210" s="11">
        <f t="shared" si="27"/>
        <v>0</v>
      </c>
      <c r="AM210" s="11">
        <f>+COUNTIFS('muddati otgan'!C:C,A210,'muddati otgan'!J:J,"Kelishish (DKP)")</f>
        <v>0</v>
      </c>
      <c r="AN210" s="11">
        <f>+COUNTIFS('muddati otgan'!C:C,A210,'muddati otgan'!J:J,"Kelishish")</f>
        <v>0</v>
      </c>
      <c r="AO210" s="11">
        <f>+COUNTIFS('muddati otgan'!C:C,A210,'muddati otgan'!J:J,"Kelishish (Registratsiya DKP)")</f>
        <v>0</v>
      </c>
      <c r="AP210" s="11">
        <f t="shared" si="28"/>
        <v>0</v>
      </c>
      <c r="AQ210" s="11">
        <f>+COUNTIFS('muddati otgan'!C:C,A210,'muddati otgan'!J:J,"Manzil biriktirish")</f>
        <v>0</v>
      </c>
      <c r="AR210" s="11">
        <f>+COUNTIFS('muddati otgan'!C:C,A210,'muddati otgan'!J:J,"Bino va inshootlarni yaratish")</f>
        <v>0</v>
      </c>
      <c r="AS210" s="11">
        <f>+COUNTIFS('muddati otgan'!C:C,A210,'muddati otgan'!J:J,"Dov daraxtlarni yaratish")</f>
        <v>0</v>
      </c>
      <c r="AT210" s="11">
        <f>+COUNTIFS('muddati otgan'!C:C,A210,'muddati otgan'!J:J,"Yer uchastkasini tahrirlash")</f>
        <v>0</v>
      </c>
      <c r="AU210" s="11">
        <f t="shared" si="29"/>
        <v>0</v>
      </c>
      <c r="AV210" s="11">
        <f>+COUNTIFS('muddati otgan'!C:C,A210,'muddati otgan'!J:J,"Yer toifasi va maqsadini kiritish")</f>
        <v>0</v>
      </c>
      <c r="AW210" s="11">
        <f>+COUNTIFS('muddati otgan'!C:C,A210,'muddati otgan'!J:J,"Auksion yer tekshirish")</f>
        <v>0</v>
      </c>
      <c r="AX210" s="11">
        <f>+COUNTIFS('muddati otgan'!C:C,A210,'muddati otgan'!J:J,"Yer turlarini kiritish")</f>
        <v>0</v>
      </c>
      <c r="AY210" s="11">
        <f>+COUNTIFS('muddati otgan'!C:C,A210,'muddati otgan'!J:J,"Ma'lumotlarni kiritish")</f>
        <v>0</v>
      </c>
      <c r="AZ210" s="11">
        <f>+COUNTIFS('muddati otgan'!C:C,A210,'muddati otgan'!J:J,"Yer tekshirish")</f>
        <v>0</v>
      </c>
      <c r="BA210" s="11">
        <f t="shared" si="30"/>
        <v>0</v>
      </c>
      <c r="BB210" s="11">
        <f>+COUNTIFS('muddati otgan'!C:C,A210,'muddati otgan'!J:J,"Bino va inshoot ma'lumotlarini to‘ldirish")</f>
        <v>0</v>
      </c>
      <c r="BC210" s="11">
        <f>+COUNTIFS('muddati otgan'!C:C,A210,'muddati otgan'!J:J,"Inventarizatsiya ma'lumotlarini to‘ldirish")</f>
        <v>0</v>
      </c>
      <c r="BD210" s="11">
        <f>+COUNTIFS('muddati otgan'!C:C,A210,'muddati otgan'!J:J,"Yer uchastkasiga huquqiy hujjatlarni kiritsh")</f>
        <v>0</v>
      </c>
      <c r="BE210" s="11">
        <f>+COUNTIFS('muddati otgan'!C:C,A210,'muddati otgan'!J:J,"Bino-inshootlarga huquqiy hujjatlarni kiritsh")</f>
        <v>0</v>
      </c>
      <c r="BF210" s="11">
        <f>+COUNTIFS('muddati otgan'!C:C,A210,'muddati otgan'!J:J,"Kadastr qiymatini hisoblash va kiritish")</f>
        <v>0</v>
      </c>
      <c r="BG210" s="11">
        <f>+COUNTIFS('muddati otgan'!C:C,A210,'muddati otgan'!J:J,"Kadastr raqam biriktirish")</f>
        <v>0</v>
      </c>
      <c r="BH210" s="11">
        <f>+COUNTIFS('muddati otgan'!C:C,A210,'muddati otgan'!J:J,"Kadastr yig'ma jildni tayyorlash")</f>
        <v>0</v>
      </c>
      <c r="BI210" s="11">
        <f>+COUNTIFS('muddati otgan'!C:C,A210,'muddati otgan'!J:J,"Huquqni yaratish")</f>
        <v>0</v>
      </c>
      <c r="BJ210" s="11">
        <f>+COUNTIFS('muddati otgan'!C:C,A210,'muddati otgan'!J:J,"Hujjatlarni o'rganish")</f>
        <v>0</v>
      </c>
      <c r="BK210" s="11">
        <f>+COUNTIFS('muddati otgan'!C:C,A210,'muddati otgan'!J:J,"Ma'lumotlarni tekshirish")</f>
        <v>0</v>
      </c>
      <c r="BL210" s="11">
        <f t="shared" si="31"/>
        <v>0</v>
      </c>
      <c r="BM210" s="11">
        <f>+COUNTIFS('muddati otgan'!C:C,A210,'muddati otgan'!J:J,"Tekshirish")</f>
        <v>0</v>
      </c>
      <c r="BN210" s="11">
        <f>+COUNTIFS('muddati otgan'!C:C,A210,'muddati otgan'!J:J,"Hujjatlarni tekshirish")</f>
        <v>0</v>
      </c>
      <c r="BO210" s="11">
        <f>+COUNTIFS('muddati otgan'!C:C,A210,'muddati otgan'!J:J,"Tasdiqlash")</f>
        <v>0</v>
      </c>
      <c r="BP210" s="11">
        <f>+COUNTIFS('muddati otgan'!C:C,A210,'muddati otgan'!J:J,"tekshirish/tasdiqlash")</f>
        <v>0</v>
      </c>
      <c r="BQ210" s="11">
        <f>+COUNTIFS('muddati otgan'!C:C,A210,'muddati otgan'!J:J,"Ma'lumotlarni tasdiqlash")</f>
        <v>0</v>
      </c>
      <c r="BR210" s="11">
        <f t="shared" si="32"/>
        <v>3</v>
      </c>
      <c r="BS210" s="11">
        <f>+COUNTIFS('muddati otgan'!C:C,A210,'muddati otgan'!J:J,"Ro'yxatdan o'tkazish ma'lumotlarini tekshirish")</f>
        <v>3</v>
      </c>
      <c r="BT210" s="11">
        <f>+COUNTIFS('muddati otgan'!C:C,A210,'muddati otgan'!J:J,"Kamchiliklar bo'yicha habarnoma yuborish va 3 kunga to'xtatish")</f>
        <v>0</v>
      </c>
      <c r="BU210" s="11">
        <f>+COUNTIFS('muddati otgan'!C:C,A210,'muddati otgan'!J:J,"Hisobga olish")</f>
        <v>0</v>
      </c>
      <c r="BV210" s="11">
        <f>+COUNTIFS('muddati otgan'!C:C,A210,'muddati otgan'!J:J,"Yer uchastkasiga huquq yaratish")</f>
        <v>0</v>
      </c>
      <c r="BW210" s="11">
        <f>+COUNTIFS('muddati otgan'!C:C,A210,'muddati otgan'!J:J,"Bino-inshootga huquq yaratish")</f>
        <v>0</v>
      </c>
      <c r="BX210" s="11">
        <f>+COUNTIFS('muddati otgan'!C:C,A210,'muddati otgan'!J:J,"Cheklov yaratish")</f>
        <v>0</v>
      </c>
      <c r="BY210" s="11">
        <f>+COUNTIFS('muddati otgan'!C:C,A210,'muddati otgan'!J:J,"Taqiq yaratish")</f>
        <v>0</v>
      </c>
      <c r="BZ210" s="11">
        <f t="shared" si="33"/>
        <v>0</v>
      </c>
      <c r="CA210" s="11">
        <f>+COUNTIFS('muddati otgan'!C:C,A210,'muddati otgan'!J:J,"Soliq maydonini tekshirish")</f>
        <v>0</v>
      </c>
      <c r="CB210" s="11">
        <f t="shared" si="34"/>
        <v>0</v>
      </c>
      <c r="CC210" s="11">
        <f>+COUNTIFS('muddati otgan'!C:C,A210,'muddati otgan'!J:J,"Kadastr yig'majildini shakllantirish")</f>
        <v>0</v>
      </c>
      <c r="CD210" s="11">
        <f t="shared" si="35"/>
        <v>0</v>
      </c>
      <c r="CE210" s="11">
        <f>+COUNTIFS('muddati otgan'!C:C,A210,'muddati otgan'!J:J,"Kadastr passportini shakllantirish")</f>
        <v>0</v>
      </c>
      <c r="CF210" s="11">
        <f>+COUNTIFS('muddati otgan'!C:C,A210,'muddati otgan'!J:J,"Yig'ma jildni tasdiqlash")</f>
        <v>0</v>
      </c>
      <c r="CG210" s="11">
        <f>+COUNTIFS('muddati otgan'!C:C,A210,'muddati otgan'!J:J,"To'lov yoki bepul tasdiqlash")</f>
        <v>0</v>
      </c>
      <c r="CH210" s="11">
        <f>+COUNTIFS('muddati otgan'!C:C,A210,'muddati otgan'!J:J,"Bog'liq arizani kutish")</f>
        <v>0</v>
      </c>
      <c r="CI210" s="11">
        <f>+COUNTIFS('muddati otgan'!C:C,A210,'muddati otgan'!J:J,"To'lovga chiqarish")</f>
        <v>0</v>
      </c>
      <c r="CJ210" s="11">
        <f>+COUNTIFS('muddati otgan'!C:C,A210,'muddati otgan'!J:J,"Hisobga qo'yish")</f>
        <v>0</v>
      </c>
      <c r="CK210" s="6">
        <f>+COUNTIFS('muddati otgan'!C:C,A210,'muddati otgan'!J:J,"To'lov kutilmoqda")</f>
        <v>0</v>
      </c>
      <c r="CL210" s="11">
        <f t="shared" si="36"/>
        <v>0</v>
      </c>
      <c r="CM210" s="11">
        <f>+COUNTIFS('muddati otgan'!C:C,A210,'muddati otgan'!AA:AA,"Arizani qabul qilish2")</f>
        <v>0</v>
      </c>
      <c r="CN210" s="11">
        <f>+COUNTIFS('muddati otgan'!C:C,A210,'muddati otgan'!J:J,"Huquqlarni tekshirish")</f>
        <v>0</v>
      </c>
      <c r="CO210" s="11">
        <f>+COUNTIFS('muddati otgan'!C:C,A210,'muddati otgan'!J:J,"Ko'chmas mulkni ro'yhatdan o'tkazishga qabul qilish")</f>
        <v>0</v>
      </c>
      <c r="CP210" s="11">
        <f>+COUNTIFS('muddati otgan'!C:C,A210,'muddati otgan'!J:J,"Ro'yxatdan o'tkazish")</f>
        <v>0</v>
      </c>
      <c r="CQ210" s="11">
        <f>+COUNTIFS('muddati otgan'!C:C,A210,'muddati otgan'!J:J,"Kadastr pasporti va ko'chirmani yuborish")</f>
        <v>0</v>
      </c>
      <c r="CR210" s="11">
        <f>+COUNTIFS('muddati otgan'!C:C,A210,'muddati otgan'!AA:AA,"Rad qilish2")</f>
        <v>0</v>
      </c>
      <c r="CS210" s="11">
        <f>+COUNTIFS('muddati otgan'!C:C,A210,'muddati otgan'!J:J,"Ko'chirmani yuborish")</f>
        <v>0</v>
      </c>
      <c r="CT210" s="11">
        <f>+COUNTIFS('muddati otgan'!C:C,A210,'muddati otgan'!J:J,"Ma‘lumotlarni tekshirish")</f>
        <v>0</v>
      </c>
      <c r="CU210" s="11">
        <f t="shared" si="37"/>
        <v>0</v>
      </c>
      <c r="CV210" s="11">
        <f>+COUNTIFS('muddati otgan'!C:C,A210,'muddati otgan'!J:J,"Kadastr yig'majildini chop etish va arxiv ishiga tikish")</f>
        <v>0</v>
      </c>
      <c r="CW210" s="11">
        <f t="shared" si="38"/>
        <v>0</v>
      </c>
      <c r="CX210" s="11">
        <f>+COUNTIFS('muddati otgan'!C:C,A210,'muddati otgan'!J:J,"Kadastr yig‘majildini qabul qilish, arizani yakunlash")</f>
        <v>0</v>
      </c>
      <c r="CY210" s="11">
        <f>+COUNTIFS('muddati otgan'!C:C,A210,'muddati otgan'!J:J,"Next Cloudga yuklash")</f>
        <v>0</v>
      </c>
      <c r="CZ210" s="6">
        <f>+COUNTIFS('muddati otgan'!C:C,A210,'muddati otgan'!J:J,"Kelishish kutilmoqda")</f>
        <v>0</v>
      </c>
      <c r="DA210" s="6">
        <f>+COUNTIFS('muddati otgan'!C:C,A210,'muddati otgan'!J:J,"Yakunlandi")</f>
        <v>2</v>
      </c>
      <c r="DB210" s="10">
        <f>+COUNTIFS('muddati otgan'!C:C,A210,'muddati otgan'!J:J,"Rad etildi")</f>
        <v>0</v>
      </c>
      <c r="DC210" s="100">
        <f t="shared" si="5"/>
        <v>-3</v>
      </c>
      <c r="DD210" s="44">
        <f>COUNTIFS('jami 1-20 kunlik arizalar'!C:C,A:A,'jami 1-20 kunlik arizalar'!S:S,"1")</f>
        <v>0</v>
      </c>
      <c r="DE210" s="11">
        <f>COUNTIFS('jami 1-20 kunlik arizalar'!C:C,A:A,'jami 1-20 kunlik arizalar'!S:S,"2")</f>
        <v>0</v>
      </c>
      <c r="DF210" s="11">
        <f>COUNTIFS('jami 1-20 kunlik arizalar'!C:C,A:A,'jami 1-20 kunlik arizalar'!S:S,"3")</f>
        <v>2</v>
      </c>
      <c r="DG210" s="11">
        <f>COUNTIFS('jami 1-20 kunlik arizalar'!C:C,A:A,'jami 1-20 kunlik arizalar'!S:S,"4")</f>
        <v>1</v>
      </c>
      <c r="DH210" s="11">
        <f>COUNTIFS('jami 1-20 kunlik arizalar'!C:C,A:A,'jami 1-20 kunlik arizalar'!S:S,"5")</f>
        <v>1</v>
      </c>
      <c r="DI210" s="11">
        <f>SUM(COUNTIFS('jami 1-20 kunlik arizalar'!C:C,A:A, 'jami 1-20 kunlik arizalar'!S:S, {6,7,8,9,10}))</f>
        <v>5</v>
      </c>
      <c r="DJ210" s="12">
        <f>SUM(COUNTIFS('jami 1-20 kunlik arizalar'!C:C,A:A, 'jami 1-20 kunlik arizalar'!S:S, "&gt;10"))</f>
        <v>15</v>
      </c>
    </row>
    <row r="211" spans="1:114" ht="32.1" hidden="1" customHeight="1" outlineLevel="1" x14ac:dyDescent="0.25">
      <c r="A211" s="92" t="s">
        <v>490</v>
      </c>
      <c r="B211" s="74"/>
      <c r="C211" s="85" t="s">
        <v>898</v>
      </c>
      <c r="D211" s="80">
        <f>+COUNTIFS('muddati otgan'!C:C,A211,'muddati otgan'!C:C,A211)</f>
        <v>0</v>
      </c>
      <c r="E211" s="10">
        <f>SUMIFS('muddati otgan'!$V:V,'muddati otgan'!$C:C,$A:A)</f>
        <v>0</v>
      </c>
      <c r="F211" s="10">
        <f>SUMIFS('muddati otgan'!$W:W,'muddati otgan'!$C:C,$A:A)</f>
        <v>0</v>
      </c>
      <c r="G211" s="24">
        <f>SUMIFS('muddati otgan'!$U:U,'muddati otgan'!$C:C,$A:A)</f>
        <v>0</v>
      </c>
      <c r="H211" s="11">
        <f>SUMIFS('muddati otgan'!$G:G,'muddati otgan'!$C:C,$A:A)</f>
        <v>0</v>
      </c>
      <c r="I211" s="12">
        <f>SUMIFS('muddati otgan'!$H:H,'muddati otgan'!$C:C,$A:A)</f>
        <v>0</v>
      </c>
      <c r="J211" s="44">
        <f t="shared" si="23"/>
        <v>0</v>
      </c>
      <c r="K211" s="11">
        <f>+COUNTIFS('muddati otgan'!C:C,A211,'muddati otgan'!AA:AA,"Arizani qabul qilish")</f>
        <v>0</v>
      </c>
      <c r="L211" s="11">
        <f>+COUNTIFS('muddati otgan'!C:C,A211,'muddati otgan'!J:J,"Arizani rad etish")</f>
        <v>0</v>
      </c>
      <c r="M211" s="11">
        <f>+COUNTIFS('muddati otgan'!C:C,A211,'muddati otgan'!J:J,"Arizani tasdiqlash")</f>
        <v>0</v>
      </c>
      <c r="N211" s="11">
        <f>+COUNTIFS('muddati otgan'!C:C,A211,'muddati otgan'!J:J,"Arizani yo'naltirish")</f>
        <v>0</v>
      </c>
      <c r="O211" s="11">
        <f>+COUNTIFS('muddati otgan'!C:C,A211,'muddati otgan'!J:J,"Rad qilish sababini o'rganish")</f>
        <v>0</v>
      </c>
      <c r="P211" s="11">
        <f>+COUNTIFS('muddati otgan'!C:C,A211,'muddati otgan'!J:J,"Ko'chmas mulkni UZKAD ga migratsiya qilish")</f>
        <v>0</v>
      </c>
      <c r="Q211" s="11">
        <f>+COUNTIFS('muddati otgan'!C:C,A211,'muddati otgan'!J:J,"Migratisya qilingan obyekt holatini tekshirish")</f>
        <v>0</v>
      </c>
      <c r="R211" s="11">
        <f>+COUNTIFS('muddati otgan'!C:C,A211,'muddati otgan'!J:J,"Ko‘chmas mulkni tanlash")</f>
        <v>0</v>
      </c>
      <c r="S211" s="11">
        <f>+COUNTIFS('muddati otgan'!C:C,A211,'muddati otgan'!J:J,"Arizani ko'rib chiqish")</f>
        <v>0</v>
      </c>
      <c r="T211" s="11">
        <f>+COUNTIFS('muddati otgan'!C:C,A211,'muddati otgan'!J:J,"Kadastr muhandisini tanlash")</f>
        <v>0</v>
      </c>
      <c r="U211" s="11">
        <f>+COUNTIFS('muddati otgan'!C:C,A211,'muddati otgan'!J:J,"Ko'chmas mulk turini tanlahsh")</f>
        <v>0</v>
      </c>
      <c r="V211" s="11">
        <f>+COUNTIFS('muddati otgan'!C:C,A211,'muddati otgan'!AA:AA,"Rad qilish")</f>
        <v>0</v>
      </c>
      <c r="W211" s="11">
        <f>+COUNTIFS('muddati otgan'!C:C,A211,'muddati otgan'!J:J,"ijrochi tanlash")</f>
        <v>0</v>
      </c>
      <c r="X211" s="11">
        <f>+COUNTIFS('muddati otgan'!C:C,A211,'muddati otgan'!J:J,"Ko'chmas mulk turini tanlash")</f>
        <v>0</v>
      </c>
      <c r="Y211" s="11">
        <f t="shared" si="24"/>
        <v>0</v>
      </c>
      <c r="Z211" s="11">
        <f>+COUNTIFS('muddati otgan'!C:C,A211,'muddati otgan'!J:J,"Ijroga qabul qilish")</f>
        <v>0</v>
      </c>
      <c r="AA211" s="11">
        <f>+COUNTIFS('muddati otgan'!C:C,A211,'muddati otgan'!J:J,"Joyida o'rganish va ma'lumotlarni kiritish")</f>
        <v>0</v>
      </c>
      <c r="AB211" s="11">
        <f>+COUNTIFS('muddati otgan'!C:C,A211,'muddati otgan'!J:J,"Asosiy qismdan ajratish jarayonida")</f>
        <v>0</v>
      </c>
      <c r="AC211" s="11">
        <f>+COUNTIFS('muddati otgan'!C:C,A211,'muddati otgan'!J:J,"Umumiy foydalanishdagi obyekt yaratilish")</f>
        <v>0</v>
      </c>
      <c r="AD211" s="11">
        <f>+COUNTIFS('muddati otgan'!C:C,A211,'muddati otgan'!J:J,"Migratsiya qilinadigan kadastr raqamini kiritish")</f>
        <v>0</v>
      </c>
      <c r="AE211" s="11">
        <f>+COUNTIFS('muddati otgan'!C:C,A211,'muddati otgan'!J:J,"O'zida qolgan obyektni yaratish")</f>
        <v>0</v>
      </c>
      <c r="AF211" s="11">
        <f>+COUNTIFS('muddati otgan'!C:C,A211,'muddati otgan'!J:J,"O'lchov natijalarini kiritish")</f>
        <v>0</v>
      </c>
      <c r="AG211" s="11">
        <f>+COUNTIFS('muddati otgan'!C:C,A211,'muddati otgan'!J:J,"Topoxaritani tayyorlash (dwg, pdf)")</f>
        <v>0</v>
      </c>
      <c r="AH211" s="11">
        <f t="shared" si="25"/>
        <v>0</v>
      </c>
      <c r="AI211" s="11">
        <f>+COUNTIFS('muddati otgan'!C:C,A211,'muddati otgan'!J:J,"Yer uchastkasini yaratish")</f>
        <v>0</v>
      </c>
      <c r="AJ211" s="11">
        <f t="shared" si="26"/>
        <v>0</v>
      </c>
      <c r="AK211" s="11">
        <f>+COUNTIFS('muddati otgan'!C:C,A211,'muddati otgan'!J:J,"Kelishish (Boshqarma)")</f>
        <v>0</v>
      </c>
      <c r="AL211" s="11">
        <f t="shared" si="27"/>
        <v>0</v>
      </c>
      <c r="AM211" s="11">
        <f>+COUNTIFS('muddati otgan'!C:C,A211,'muddati otgan'!J:J,"Kelishish (DKP)")</f>
        <v>0</v>
      </c>
      <c r="AN211" s="11">
        <f>+COUNTIFS('muddati otgan'!C:C,A211,'muddati otgan'!J:J,"Kelishish")</f>
        <v>0</v>
      </c>
      <c r="AO211" s="11">
        <f>+COUNTIFS('muddati otgan'!C:C,A211,'muddati otgan'!J:J,"Kelishish (Registratsiya DKP)")</f>
        <v>0</v>
      </c>
      <c r="AP211" s="11">
        <f t="shared" si="28"/>
        <v>0</v>
      </c>
      <c r="AQ211" s="11">
        <f>+COUNTIFS('muddati otgan'!C:C,A211,'muddati otgan'!J:J,"Manzil biriktirish")</f>
        <v>0</v>
      </c>
      <c r="AR211" s="11">
        <f>+COUNTIFS('muddati otgan'!C:C,A211,'muddati otgan'!J:J,"Bino va inshootlarni yaratish")</f>
        <v>0</v>
      </c>
      <c r="AS211" s="11">
        <f>+COUNTIFS('muddati otgan'!C:C,A211,'muddati otgan'!J:J,"Dov daraxtlarni yaratish")</f>
        <v>0</v>
      </c>
      <c r="AT211" s="11">
        <f>+COUNTIFS('muddati otgan'!C:C,A211,'muddati otgan'!J:J,"Yer uchastkasini tahrirlash")</f>
        <v>0</v>
      </c>
      <c r="AU211" s="11">
        <f t="shared" si="29"/>
        <v>0</v>
      </c>
      <c r="AV211" s="11">
        <f>+COUNTIFS('muddati otgan'!C:C,A211,'muddati otgan'!J:J,"Yer toifasi va maqsadini kiritish")</f>
        <v>0</v>
      </c>
      <c r="AW211" s="11">
        <f>+COUNTIFS('muddati otgan'!C:C,A211,'muddati otgan'!J:J,"Auksion yer tekshirish")</f>
        <v>0</v>
      </c>
      <c r="AX211" s="11">
        <f>+COUNTIFS('muddati otgan'!C:C,A211,'muddati otgan'!J:J,"Yer turlarini kiritish")</f>
        <v>0</v>
      </c>
      <c r="AY211" s="11">
        <f>+COUNTIFS('muddati otgan'!C:C,A211,'muddati otgan'!J:J,"Ma'lumotlarni kiritish")</f>
        <v>0</v>
      </c>
      <c r="AZ211" s="11">
        <f>+COUNTIFS('muddati otgan'!C:C,A211,'muddati otgan'!J:J,"Yer tekshirish")</f>
        <v>0</v>
      </c>
      <c r="BA211" s="11">
        <f t="shared" si="30"/>
        <v>0</v>
      </c>
      <c r="BB211" s="11">
        <f>+COUNTIFS('muddati otgan'!C:C,A211,'muddati otgan'!J:J,"Bino va inshoot ma'lumotlarini to‘ldirish")</f>
        <v>0</v>
      </c>
      <c r="BC211" s="11">
        <f>+COUNTIFS('muddati otgan'!C:C,A211,'muddati otgan'!J:J,"Inventarizatsiya ma'lumotlarini to‘ldirish")</f>
        <v>0</v>
      </c>
      <c r="BD211" s="11">
        <f>+COUNTIFS('muddati otgan'!C:C,A211,'muddati otgan'!J:J,"Yer uchastkasiga huquqiy hujjatlarni kiritsh")</f>
        <v>0</v>
      </c>
      <c r="BE211" s="11">
        <f>+COUNTIFS('muddati otgan'!C:C,A211,'muddati otgan'!J:J,"Bino-inshootlarga huquqiy hujjatlarni kiritsh")</f>
        <v>0</v>
      </c>
      <c r="BF211" s="11">
        <f>+COUNTIFS('muddati otgan'!C:C,A211,'muddati otgan'!J:J,"Kadastr qiymatini hisoblash va kiritish")</f>
        <v>0</v>
      </c>
      <c r="BG211" s="11">
        <f>+COUNTIFS('muddati otgan'!C:C,A211,'muddati otgan'!J:J,"Kadastr raqam biriktirish")</f>
        <v>0</v>
      </c>
      <c r="BH211" s="11">
        <f>+COUNTIFS('muddati otgan'!C:C,A211,'muddati otgan'!J:J,"Kadastr yig'ma jildni tayyorlash")</f>
        <v>0</v>
      </c>
      <c r="BI211" s="11">
        <f>+COUNTIFS('muddati otgan'!C:C,A211,'muddati otgan'!J:J,"Huquqni yaratish")</f>
        <v>0</v>
      </c>
      <c r="BJ211" s="11">
        <f>+COUNTIFS('muddati otgan'!C:C,A211,'muddati otgan'!J:J,"Hujjatlarni o'rganish")</f>
        <v>0</v>
      </c>
      <c r="BK211" s="11">
        <f>+COUNTIFS('muddati otgan'!C:C,A211,'muddati otgan'!J:J,"Ma'lumotlarni tekshirish")</f>
        <v>0</v>
      </c>
      <c r="BL211" s="11">
        <f t="shared" si="31"/>
        <v>0</v>
      </c>
      <c r="BM211" s="11">
        <f>+COUNTIFS('muddati otgan'!C:C,A211,'muddati otgan'!J:J,"Tekshirish")</f>
        <v>0</v>
      </c>
      <c r="BN211" s="11">
        <f>+COUNTIFS('muddati otgan'!C:C,A211,'muddati otgan'!J:J,"Hujjatlarni tekshirish")</f>
        <v>0</v>
      </c>
      <c r="BO211" s="11">
        <f>+COUNTIFS('muddati otgan'!C:C,A211,'muddati otgan'!J:J,"Tasdiqlash")</f>
        <v>0</v>
      </c>
      <c r="BP211" s="11">
        <f>+COUNTIFS('muddati otgan'!C:C,A211,'muddati otgan'!J:J,"tekshirish/tasdiqlash")</f>
        <v>0</v>
      </c>
      <c r="BQ211" s="11">
        <f>+COUNTIFS('muddati otgan'!C:C,A211,'muddati otgan'!J:J,"Ma'lumotlarni tasdiqlash")</f>
        <v>0</v>
      </c>
      <c r="BR211" s="11">
        <f t="shared" si="32"/>
        <v>0</v>
      </c>
      <c r="BS211" s="11">
        <f>+COUNTIFS('muddati otgan'!C:C,A211,'muddati otgan'!J:J,"Ro'yxatdan o'tkazish ma'lumotlarini tekshirish")</f>
        <v>0</v>
      </c>
      <c r="BT211" s="11">
        <f>+COUNTIFS('muddati otgan'!C:C,A211,'muddati otgan'!J:J,"Kamchiliklar bo'yicha habarnoma yuborish va 3 kunga to'xtatish")</f>
        <v>0</v>
      </c>
      <c r="BU211" s="11">
        <f>+COUNTIFS('muddati otgan'!C:C,A211,'muddati otgan'!J:J,"Hisobga olish")</f>
        <v>0</v>
      </c>
      <c r="BV211" s="11">
        <f>+COUNTIFS('muddati otgan'!C:C,A211,'muddati otgan'!J:J,"Yer uchastkasiga huquq yaratish")</f>
        <v>0</v>
      </c>
      <c r="BW211" s="11">
        <f>+COUNTIFS('muddati otgan'!C:C,A211,'muddati otgan'!J:J,"Bino-inshootga huquq yaratish")</f>
        <v>0</v>
      </c>
      <c r="BX211" s="11">
        <f>+COUNTIFS('muddati otgan'!C:C,A211,'muddati otgan'!J:J,"Cheklov yaratish")</f>
        <v>0</v>
      </c>
      <c r="BY211" s="11">
        <f>+COUNTIFS('muddati otgan'!C:C,A211,'muddati otgan'!J:J,"Taqiq yaratish")</f>
        <v>0</v>
      </c>
      <c r="BZ211" s="11">
        <f t="shared" si="33"/>
        <v>0</v>
      </c>
      <c r="CA211" s="11">
        <f>+COUNTIFS('muddati otgan'!C:C,A211,'muddati otgan'!J:J,"Soliq maydonini tekshirish")</f>
        <v>0</v>
      </c>
      <c r="CB211" s="11">
        <f t="shared" si="34"/>
        <v>0</v>
      </c>
      <c r="CC211" s="11">
        <f>+COUNTIFS('muddati otgan'!C:C,A211,'muddati otgan'!J:J,"Kadastr yig'majildini shakllantirish")</f>
        <v>0</v>
      </c>
      <c r="CD211" s="11">
        <f t="shared" si="35"/>
        <v>0</v>
      </c>
      <c r="CE211" s="11">
        <f>+COUNTIFS('muddati otgan'!C:C,A211,'muddati otgan'!J:J,"Kadastr passportini shakllantirish")</f>
        <v>0</v>
      </c>
      <c r="CF211" s="11">
        <f>+COUNTIFS('muddati otgan'!C:C,A211,'muddati otgan'!J:J,"Yig'ma jildni tasdiqlash")</f>
        <v>0</v>
      </c>
      <c r="CG211" s="11">
        <f>+COUNTIFS('muddati otgan'!C:C,A211,'muddati otgan'!J:J,"To'lov yoki bepul tasdiqlash")</f>
        <v>0</v>
      </c>
      <c r="CH211" s="11">
        <f>+COUNTIFS('muddati otgan'!C:C,A211,'muddati otgan'!J:J,"Bog'liq arizani kutish")</f>
        <v>0</v>
      </c>
      <c r="CI211" s="11">
        <f>+COUNTIFS('muddati otgan'!C:C,A211,'muddati otgan'!J:J,"To'lovga chiqarish")</f>
        <v>0</v>
      </c>
      <c r="CJ211" s="11">
        <f>+COUNTIFS('muddati otgan'!C:C,A211,'muddati otgan'!J:J,"Hisobga qo'yish")</f>
        <v>0</v>
      </c>
      <c r="CK211" s="6">
        <f>+COUNTIFS('muddati otgan'!C:C,A211,'muddati otgan'!J:J,"To'lov kutilmoqda")</f>
        <v>0</v>
      </c>
      <c r="CL211" s="11">
        <f t="shared" si="36"/>
        <v>0</v>
      </c>
      <c r="CM211" s="11">
        <f>+COUNTIFS('muddati otgan'!C:C,A211,'muddati otgan'!AA:AA,"Arizani qabul qilish2")</f>
        <v>0</v>
      </c>
      <c r="CN211" s="11">
        <f>+COUNTIFS('muddati otgan'!C:C,A211,'muddati otgan'!J:J,"Huquqlarni tekshirish")</f>
        <v>0</v>
      </c>
      <c r="CO211" s="11">
        <f>+COUNTIFS('muddati otgan'!C:C,A211,'muddati otgan'!J:J,"Ko'chmas mulkni ro'yhatdan o'tkazishga qabul qilish")</f>
        <v>0</v>
      </c>
      <c r="CP211" s="11">
        <f>+COUNTIFS('muddati otgan'!C:C,A211,'muddati otgan'!J:J,"Ro'yxatdan o'tkazish")</f>
        <v>0</v>
      </c>
      <c r="CQ211" s="11">
        <f>+COUNTIFS('muddati otgan'!C:C,A211,'muddati otgan'!J:J,"Kadastr pasporti va ko'chirmani yuborish")</f>
        <v>0</v>
      </c>
      <c r="CR211" s="11">
        <f>+COUNTIFS('muddati otgan'!C:C,A211,'muddati otgan'!AA:AA,"Rad qilish2")</f>
        <v>0</v>
      </c>
      <c r="CS211" s="11">
        <f>+COUNTIFS('muddati otgan'!C:C,A211,'muddati otgan'!J:J,"Ko'chirmani yuborish")</f>
        <v>0</v>
      </c>
      <c r="CT211" s="11">
        <f>+COUNTIFS('muddati otgan'!C:C,A211,'muddati otgan'!J:J,"Ma‘lumotlarni tekshirish")</f>
        <v>0</v>
      </c>
      <c r="CU211" s="11">
        <f t="shared" si="37"/>
        <v>0</v>
      </c>
      <c r="CV211" s="11">
        <f>+COUNTIFS('muddati otgan'!C:C,A211,'muddati otgan'!J:J,"Kadastr yig'majildini chop etish va arxiv ishiga tikish")</f>
        <v>0</v>
      </c>
      <c r="CW211" s="11">
        <f t="shared" si="38"/>
        <v>0</v>
      </c>
      <c r="CX211" s="11">
        <f>+COUNTIFS('muddati otgan'!C:C,A211,'muddati otgan'!J:J,"Kadastr yig‘majildini qabul qilish, arizani yakunlash")</f>
        <v>0</v>
      </c>
      <c r="CY211" s="11">
        <f>+COUNTIFS('muddati otgan'!C:C,A211,'muddati otgan'!J:J,"Next Cloudga yuklash")</f>
        <v>0</v>
      </c>
      <c r="CZ211" s="6">
        <f>+COUNTIFS('muddati otgan'!C:C,A211,'muddati otgan'!J:J,"Kelishish kutilmoqda")</f>
        <v>0</v>
      </c>
      <c r="DA211" s="6">
        <f>+COUNTIFS('muddati otgan'!C:C,A211,'muddati otgan'!J:J,"Yakunlandi")</f>
        <v>0</v>
      </c>
      <c r="DB211" s="10">
        <f>+COUNTIFS('muddati otgan'!C:C,A211,'muddati otgan'!J:J,"Rad etildi")</f>
        <v>0</v>
      </c>
      <c r="DC211" s="100">
        <f t="shared" si="5"/>
        <v>0</v>
      </c>
      <c r="DD211" s="44">
        <f>COUNTIFS('jami 1-20 kunlik arizalar'!C:C,A:A,'jami 1-20 kunlik arizalar'!S:S,"1")</f>
        <v>0</v>
      </c>
      <c r="DE211" s="11">
        <f>COUNTIFS('jami 1-20 kunlik arizalar'!C:C,A:A,'jami 1-20 kunlik arizalar'!S:S,"2")</f>
        <v>0</v>
      </c>
      <c r="DF211" s="11">
        <f>COUNTIFS('jami 1-20 kunlik arizalar'!C:C,A:A,'jami 1-20 kunlik arizalar'!S:S,"3")</f>
        <v>1</v>
      </c>
      <c r="DG211" s="11">
        <f>COUNTIFS('jami 1-20 kunlik arizalar'!C:C,A:A,'jami 1-20 kunlik arizalar'!S:S,"4")</f>
        <v>4</v>
      </c>
      <c r="DH211" s="11">
        <f>COUNTIFS('jami 1-20 kunlik arizalar'!C:C,A:A,'jami 1-20 kunlik arizalar'!S:S,"5")</f>
        <v>0</v>
      </c>
      <c r="DI211" s="11">
        <f>SUM(COUNTIFS('jami 1-20 kunlik arizalar'!C:C,A:A, 'jami 1-20 kunlik arizalar'!S:S, {6,7,8,9,10}))</f>
        <v>5</v>
      </c>
      <c r="DJ211" s="12">
        <f>SUM(COUNTIFS('jami 1-20 kunlik arizalar'!C:C,A:A, 'jami 1-20 kunlik arizalar'!S:S, "&gt;10"))</f>
        <v>5</v>
      </c>
    </row>
    <row r="212" spans="1:114" ht="32.1" hidden="1" customHeight="1" outlineLevel="1" x14ac:dyDescent="0.25">
      <c r="A212" s="92" t="s">
        <v>516</v>
      </c>
      <c r="B212" s="74"/>
      <c r="C212" s="85" t="s">
        <v>899</v>
      </c>
      <c r="D212" s="80">
        <f>+COUNTIFS('muddati otgan'!C:C,A212,'muddati otgan'!C:C,A212)</f>
        <v>1</v>
      </c>
      <c r="E212" s="10">
        <f>SUMIFS('muddati otgan'!$V:V,'muddati otgan'!$C:C,$A:A)</f>
        <v>1</v>
      </c>
      <c r="F212" s="10">
        <f>SUMIFS('muddati otgan'!$W:W,'muddati otgan'!$C:C,$A:A)</f>
        <v>0</v>
      </c>
      <c r="G212" s="24">
        <f>SUMIFS('muddati otgan'!$U:U,'muddati otgan'!$C:C,$A:A)</f>
        <v>0</v>
      </c>
      <c r="H212" s="11">
        <f>SUMIFS('muddati otgan'!$G:G,'muddati otgan'!$C:C,$A:A)</f>
        <v>0</v>
      </c>
      <c r="I212" s="12">
        <f>SUMIFS('muddati otgan'!$H:H,'muddati otgan'!$C:C,$A:A)</f>
        <v>1</v>
      </c>
      <c r="J212" s="44">
        <f t="shared" si="23"/>
        <v>0</v>
      </c>
      <c r="K212" s="11">
        <f>+COUNTIFS('muddati otgan'!C:C,A212,'muddati otgan'!AA:AA,"Arizani qabul qilish")</f>
        <v>0</v>
      </c>
      <c r="L212" s="11">
        <f>+COUNTIFS('muddati otgan'!C:C,A212,'muddati otgan'!J:J,"Arizani rad etish")</f>
        <v>0</v>
      </c>
      <c r="M212" s="11">
        <f>+COUNTIFS('muddati otgan'!C:C,A212,'muddati otgan'!J:J,"Arizani tasdiqlash")</f>
        <v>0</v>
      </c>
      <c r="N212" s="11">
        <f>+COUNTIFS('muddati otgan'!C:C,A212,'muddati otgan'!J:J,"Arizani yo'naltirish")</f>
        <v>0</v>
      </c>
      <c r="O212" s="11">
        <f>+COUNTIFS('muddati otgan'!C:C,A212,'muddati otgan'!J:J,"Rad qilish sababini o'rganish")</f>
        <v>0</v>
      </c>
      <c r="P212" s="11">
        <f>+COUNTIFS('muddati otgan'!C:C,A212,'muddati otgan'!J:J,"Ko'chmas mulkni UZKAD ga migratsiya qilish")</f>
        <v>0</v>
      </c>
      <c r="Q212" s="11">
        <f>+COUNTIFS('muddati otgan'!C:C,A212,'muddati otgan'!J:J,"Migratisya qilingan obyekt holatini tekshirish")</f>
        <v>0</v>
      </c>
      <c r="R212" s="11">
        <f>+COUNTIFS('muddati otgan'!C:C,A212,'muddati otgan'!J:J,"Ko‘chmas mulkni tanlash")</f>
        <v>0</v>
      </c>
      <c r="S212" s="11">
        <f>+COUNTIFS('muddati otgan'!C:C,A212,'muddati otgan'!J:J,"Arizani ko'rib chiqish")</f>
        <v>0</v>
      </c>
      <c r="T212" s="11">
        <f>+COUNTIFS('muddati otgan'!C:C,A212,'muddati otgan'!J:J,"Kadastr muhandisini tanlash")</f>
        <v>0</v>
      </c>
      <c r="U212" s="11">
        <f>+COUNTIFS('muddati otgan'!C:C,A212,'muddati otgan'!J:J,"Ko'chmas mulk turini tanlahsh")</f>
        <v>0</v>
      </c>
      <c r="V212" s="11">
        <f>+COUNTIFS('muddati otgan'!C:C,A212,'muddati otgan'!AA:AA,"Rad qilish")</f>
        <v>0</v>
      </c>
      <c r="W212" s="11">
        <f>+COUNTIFS('muddati otgan'!C:C,A212,'muddati otgan'!J:J,"ijrochi tanlash")</f>
        <v>0</v>
      </c>
      <c r="X212" s="11">
        <f>+COUNTIFS('muddati otgan'!C:C,A212,'muddati otgan'!J:J,"Ko'chmas mulk turini tanlash")</f>
        <v>0</v>
      </c>
      <c r="Y212" s="11">
        <f t="shared" si="24"/>
        <v>0</v>
      </c>
      <c r="Z212" s="11">
        <f>+COUNTIFS('muddati otgan'!C:C,A212,'muddati otgan'!J:J,"Ijroga qabul qilish")</f>
        <v>0</v>
      </c>
      <c r="AA212" s="11">
        <f>+COUNTIFS('muddati otgan'!C:C,A212,'muddati otgan'!J:J,"Joyida o'rganish va ma'lumotlarni kiritish")</f>
        <v>0</v>
      </c>
      <c r="AB212" s="11">
        <f>+COUNTIFS('muddati otgan'!C:C,A212,'muddati otgan'!J:J,"Asosiy qismdan ajratish jarayonida")</f>
        <v>0</v>
      </c>
      <c r="AC212" s="11">
        <f>+COUNTIFS('muddati otgan'!C:C,A212,'muddati otgan'!J:J,"Umumiy foydalanishdagi obyekt yaratilish")</f>
        <v>0</v>
      </c>
      <c r="AD212" s="11">
        <f>+COUNTIFS('muddati otgan'!C:C,A212,'muddati otgan'!J:J,"Migratsiya qilinadigan kadastr raqamini kiritish")</f>
        <v>0</v>
      </c>
      <c r="AE212" s="11">
        <f>+COUNTIFS('muddati otgan'!C:C,A212,'muddati otgan'!J:J,"O'zida qolgan obyektni yaratish")</f>
        <v>0</v>
      </c>
      <c r="AF212" s="11">
        <f>+COUNTIFS('muddati otgan'!C:C,A212,'muddati otgan'!J:J,"O'lchov natijalarini kiritish")</f>
        <v>0</v>
      </c>
      <c r="AG212" s="11">
        <f>+COUNTIFS('muddati otgan'!C:C,A212,'muddati otgan'!J:J,"Topoxaritani tayyorlash (dwg, pdf)")</f>
        <v>0</v>
      </c>
      <c r="AH212" s="11">
        <f t="shared" si="25"/>
        <v>0</v>
      </c>
      <c r="AI212" s="11">
        <f>+COUNTIFS('muddati otgan'!C:C,A212,'muddati otgan'!J:J,"Yer uchastkasini yaratish")</f>
        <v>0</v>
      </c>
      <c r="AJ212" s="11">
        <f t="shared" si="26"/>
        <v>0</v>
      </c>
      <c r="AK212" s="11">
        <f>+COUNTIFS('muddati otgan'!C:C,A212,'muddati otgan'!J:J,"Kelishish (Boshqarma)")</f>
        <v>0</v>
      </c>
      <c r="AL212" s="11">
        <f t="shared" si="27"/>
        <v>0</v>
      </c>
      <c r="AM212" s="11">
        <f>+COUNTIFS('muddati otgan'!C:C,A212,'muddati otgan'!J:J,"Kelishish (DKP)")</f>
        <v>0</v>
      </c>
      <c r="AN212" s="11">
        <f>+COUNTIFS('muddati otgan'!C:C,A212,'muddati otgan'!J:J,"Kelishish")</f>
        <v>0</v>
      </c>
      <c r="AO212" s="11">
        <f>+COUNTIFS('muddati otgan'!C:C,A212,'muddati otgan'!J:J,"Kelishish (Registratsiya DKP)")</f>
        <v>0</v>
      </c>
      <c r="AP212" s="11">
        <f t="shared" si="28"/>
        <v>0</v>
      </c>
      <c r="AQ212" s="11">
        <f>+COUNTIFS('muddati otgan'!C:C,A212,'muddati otgan'!J:J,"Manzil biriktirish")</f>
        <v>0</v>
      </c>
      <c r="AR212" s="11">
        <f>+COUNTIFS('muddati otgan'!C:C,A212,'muddati otgan'!J:J,"Bino va inshootlarni yaratish")</f>
        <v>0</v>
      </c>
      <c r="AS212" s="11">
        <f>+COUNTIFS('muddati otgan'!C:C,A212,'muddati otgan'!J:J,"Dov daraxtlarni yaratish")</f>
        <v>0</v>
      </c>
      <c r="AT212" s="11">
        <f>+COUNTIFS('muddati otgan'!C:C,A212,'muddati otgan'!J:J,"Yer uchastkasini tahrirlash")</f>
        <v>0</v>
      </c>
      <c r="AU212" s="11">
        <f t="shared" si="29"/>
        <v>0</v>
      </c>
      <c r="AV212" s="11">
        <f>+COUNTIFS('muddati otgan'!C:C,A212,'muddati otgan'!J:J,"Yer toifasi va maqsadini kiritish")</f>
        <v>0</v>
      </c>
      <c r="AW212" s="11">
        <f>+COUNTIFS('muddati otgan'!C:C,A212,'muddati otgan'!J:J,"Auksion yer tekshirish")</f>
        <v>0</v>
      </c>
      <c r="AX212" s="11">
        <f>+COUNTIFS('muddati otgan'!C:C,A212,'muddati otgan'!J:J,"Yer turlarini kiritish")</f>
        <v>0</v>
      </c>
      <c r="AY212" s="11">
        <f>+COUNTIFS('muddati otgan'!C:C,A212,'muddati otgan'!J:J,"Ma'lumotlarni kiritish")</f>
        <v>0</v>
      </c>
      <c r="AZ212" s="11">
        <f>+COUNTIFS('muddati otgan'!C:C,A212,'muddati otgan'!J:J,"Yer tekshirish")</f>
        <v>0</v>
      </c>
      <c r="BA212" s="11">
        <f t="shared" si="30"/>
        <v>0</v>
      </c>
      <c r="BB212" s="11">
        <f>+COUNTIFS('muddati otgan'!C:C,A212,'muddati otgan'!J:J,"Bino va inshoot ma'lumotlarini to‘ldirish")</f>
        <v>0</v>
      </c>
      <c r="BC212" s="11">
        <f>+COUNTIFS('muddati otgan'!C:C,A212,'muddati otgan'!J:J,"Inventarizatsiya ma'lumotlarini to‘ldirish")</f>
        <v>0</v>
      </c>
      <c r="BD212" s="11">
        <f>+COUNTIFS('muddati otgan'!C:C,A212,'muddati otgan'!J:J,"Yer uchastkasiga huquqiy hujjatlarni kiritsh")</f>
        <v>0</v>
      </c>
      <c r="BE212" s="11">
        <f>+COUNTIFS('muddati otgan'!C:C,A212,'muddati otgan'!J:J,"Bino-inshootlarga huquqiy hujjatlarni kiritsh")</f>
        <v>0</v>
      </c>
      <c r="BF212" s="11">
        <f>+COUNTIFS('muddati otgan'!C:C,A212,'muddati otgan'!J:J,"Kadastr qiymatini hisoblash va kiritish")</f>
        <v>0</v>
      </c>
      <c r="BG212" s="11">
        <f>+COUNTIFS('muddati otgan'!C:C,A212,'muddati otgan'!J:J,"Kadastr raqam biriktirish")</f>
        <v>0</v>
      </c>
      <c r="BH212" s="11">
        <f>+COUNTIFS('muddati otgan'!C:C,A212,'muddati otgan'!J:J,"Kadastr yig'ma jildni tayyorlash")</f>
        <v>0</v>
      </c>
      <c r="BI212" s="11">
        <f>+COUNTIFS('muddati otgan'!C:C,A212,'muddati otgan'!J:J,"Huquqni yaratish")</f>
        <v>0</v>
      </c>
      <c r="BJ212" s="11">
        <f>+COUNTIFS('muddati otgan'!C:C,A212,'muddati otgan'!J:J,"Hujjatlarni o'rganish")</f>
        <v>0</v>
      </c>
      <c r="BK212" s="11">
        <f>+COUNTIFS('muddati otgan'!C:C,A212,'muddati otgan'!J:J,"Ma'lumotlarni tekshirish")</f>
        <v>0</v>
      </c>
      <c r="BL212" s="11">
        <f t="shared" si="31"/>
        <v>0</v>
      </c>
      <c r="BM212" s="11">
        <f>+COUNTIFS('muddati otgan'!C:C,A212,'muddati otgan'!J:J,"Tekshirish")</f>
        <v>0</v>
      </c>
      <c r="BN212" s="11">
        <f>+COUNTIFS('muddati otgan'!C:C,A212,'muddati otgan'!J:J,"Hujjatlarni tekshirish")</f>
        <v>0</v>
      </c>
      <c r="BO212" s="11">
        <f>+COUNTIFS('muddati otgan'!C:C,A212,'muddati otgan'!J:J,"Tasdiqlash")</f>
        <v>0</v>
      </c>
      <c r="BP212" s="11">
        <f>+COUNTIFS('muddati otgan'!C:C,A212,'muddati otgan'!J:J,"tekshirish/tasdiqlash")</f>
        <v>0</v>
      </c>
      <c r="BQ212" s="11">
        <f>+COUNTIFS('muddati otgan'!C:C,A212,'muddati otgan'!J:J,"Ma'lumotlarni tasdiqlash")</f>
        <v>0</v>
      </c>
      <c r="BR212" s="11">
        <f t="shared" si="32"/>
        <v>0</v>
      </c>
      <c r="BS212" s="11">
        <f>+COUNTIFS('muddati otgan'!C:C,A212,'muddati otgan'!J:J,"Ro'yxatdan o'tkazish ma'lumotlarini tekshirish")</f>
        <v>0</v>
      </c>
      <c r="BT212" s="11">
        <f>+COUNTIFS('muddati otgan'!C:C,A212,'muddati otgan'!J:J,"Kamchiliklar bo'yicha habarnoma yuborish va 3 kunga to'xtatish")</f>
        <v>0</v>
      </c>
      <c r="BU212" s="11">
        <f>+COUNTIFS('muddati otgan'!C:C,A212,'muddati otgan'!J:J,"Hisobga olish")</f>
        <v>0</v>
      </c>
      <c r="BV212" s="11">
        <f>+COUNTIFS('muddati otgan'!C:C,A212,'muddati otgan'!J:J,"Yer uchastkasiga huquq yaratish")</f>
        <v>0</v>
      </c>
      <c r="BW212" s="11">
        <f>+COUNTIFS('muddati otgan'!C:C,A212,'muddati otgan'!J:J,"Bino-inshootga huquq yaratish")</f>
        <v>0</v>
      </c>
      <c r="BX212" s="11">
        <f>+COUNTIFS('muddati otgan'!C:C,A212,'muddati otgan'!J:J,"Cheklov yaratish")</f>
        <v>0</v>
      </c>
      <c r="BY212" s="11">
        <f>+COUNTIFS('muddati otgan'!C:C,A212,'muddati otgan'!J:J,"Taqiq yaratish")</f>
        <v>0</v>
      </c>
      <c r="BZ212" s="11">
        <f t="shared" si="33"/>
        <v>0</v>
      </c>
      <c r="CA212" s="11">
        <f>+COUNTIFS('muddati otgan'!C:C,A212,'muddati otgan'!J:J,"Soliq maydonini tekshirish")</f>
        <v>0</v>
      </c>
      <c r="CB212" s="11">
        <f t="shared" si="34"/>
        <v>0</v>
      </c>
      <c r="CC212" s="11">
        <f>+COUNTIFS('muddati otgan'!C:C,A212,'muddati otgan'!J:J,"Kadastr yig'majildini shakllantirish")</f>
        <v>0</v>
      </c>
      <c r="CD212" s="11">
        <f t="shared" si="35"/>
        <v>0</v>
      </c>
      <c r="CE212" s="11">
        <f>+COUNTIFS('muddati otgan'!C:C,A212,'muddati otgan'!J:J,"Kadastr passportini shakllantirish")</f>
        <v>0</v>
      </c>
      <c r="CF212" s="11">
        <f>+COUNTIFS('muddati otgan'!C:C,A212,'muddati otgan'!J:J,"Yig'ma jildni tasdiqlash")</f>
        <v>0</v>
      </c>
      <c r="CG212" s="11">
        <f>+COUNTIFS('muddati otgan'!C:C,A212,'muddati otgan'!J:J,"To'lov yoki bepul tasdiqlash")</f>
        <v>0</v>
      </c>
      <c r="CH212" s="11">
        <f>+COUNTIFS('muddati otgan'!C:C,A212,'muddati otgan'!J:J,"Bog'liq arizani kutish")</f>
        <v>0</v>
      </c>
      <c r="CI212" s="11">
        <f>+COUNTIFS('muddati otgan'!C:C,A212,'muddati otgan'!J:J,"To'lovga chiqarish")</f>
        <v>0</v>
      </c>
      <c r="CJ212" s="11">
        <f>+COUNTIFS('muddati otgan'!C:C,A212,'muddati otgan'!J:J,"Hisobga qo'yish")</f>
        <v>0</v>
      </c>
      <c r="CK212" s="6">
        <f>+COUNTIFS('muddati otgan'!C:C,A212,'muddati otgan'!J:J,"To'lov kutilmoqda")</f>
        <v>0</v>
      </c>
      <c r="CL212" s="11">
        <f t="shared" si="36"/>
        <v>0</v>
      </c>
      <c r="CM212" s="11">
        <f>+COUNTIFS('muddati otgan'!C:C,A212,'muddati otgan'!AA:AA,"Arizani qabul qilish2")</f>
        <v>0</v>
      </c>
      <c r="CN212" s="11">
        <f>+COUNTIFS('muddati otgan'!C:C,A212,'muddati otgan'!J:J,"Huquqlarni tekshirish")</f>
        <v>0</v>
      </c>
      <c r="CO212" s="11">
        <f>+COUNTIFS('muddati otgan'!C:C,A212,'muddati otgan'!J:J,"Ko'chmas mulkni ro'yhatdan o'tkazishga qabul qilish")</f>
        <v>0</v>
      </c>
      <c r="CP212" s="11">
        <f>+COUNTIFS('muddati otgan'!C:C,A212,'muddati otgan'!J:J,"Ro'yxatdan o'tkazish")</f>
        <v>0</v>
      </c>
      <c r="CQ212" s="11">
        <f>+COUNTIFS('muddati otgan'!C:C,A212,'muddati otgan'!J:J,"Kadastr pasporti va ko'chirmani yuborish")</f>
        <v>0</v>
      </c>
      <c r="CR212" s="11">
        <f>+COUNTIFS('muddati otgan'!C:C,A212,'muddati otgan'!AA:AA,"Rad qilish2")</f>
        <v>0</v>
      </c>
      <c r="CS212" s="11">
        <f>+COUNTIFS('muddati otgan'!C:C,A212,'muddati otgan'!J:J,"Ko'chirmani yuborish")</f>
        <v>0</v>
      </c>
      <c r="CT212" s="11">
        <f>+COUNTIFS('muddati otgan'!C:C,A212,'muddati otgan'!J:J,"Ma‘lumotlarni tekshirish")</f>
        <v>0</v>
      </c>
      <c r="CU212" s="11">
        <f t="shared" si="37"/>
        <v>0</v>
      </c>
      <c r="CV212" s="11">
        <f>+COUNTIFS('muddati otgan'!C:C,A212,'muddati otgan'!J:J,"Kadastr yig'majildini chop etish va arxiv ishiga tikish")</f>
        <v>0</v>
      </c>
      <c r="CW212" s="11">
        <f t="shared" si="38"/>
        <v>0</v>
      </c>
      <c r="CX212" s="11">
        <f>+COUNTIFS('muddati otgan'!C:C,A212,'muddati otgan'!J:J,"Kadastr yig‘majildini qabul qilish, arizani yakunlash")</f>
        <v>0</v>
      </c>
      <c r="CY212" s="11">
        <f>+COUNTIFS('muddati otgan'!C:C,A212,'muddati otgan'!J:J,"Next Cloudga yuklash")</f>
        <v>0</v>
      </c>
      <c r="CZ212" s="6">
        <f>+COUNTIFS('muddati otgan'!C:C,A212,'muddati otgan'!J:J,"Kelishish kutilmoqda")</f>
        <v>0</v>
      </c>
      <c r="DA212" s="6">
        <f>+COUNTIFS('muddati otgan'!C:C,A212,'muddati otgan'!J:J,"Yakunlandi")</f>
        <v>1</v>
      </c>
      <c r="DB212" s="10">
        <f>+COUNTIFS('muddati otgan'!C:C,A212,'muddati otgan'!J:J,"Rad etildi")</f>
        <v>0</v>
      </c>
      <c r="DC212" s="100">
        <f t="shared" si="5"/>
        <v>0</v>
      </c>
      <c r="DD212" s="44">
        <f>COUNTIFS('jami 1-20 kunlik arizalar'!C:C,A:A,'jami 1-20 kunlik arizalar'!S:S,"1")</f>
        <v>0</v>
      </c>
      <c r="DE212" s="11">
        <f>COUNTIFS('jami 1-20 kunlik arizalar'!C:C,A:A,'jami 1-20 kunlik arizalar'!S:S,"2")</f>
        <v>0</v>
      </c>
      <c r="DF212" s="11">
        <f>COUNTIFS('jami 1-20 kunlik arizalar'!C:C,A:A,'jami 1-20 kunlik arizalar'!S:S,"3")</f>
        <v>1</v>
      </c>
      <c r="DG212" s="11">
        <f>COUNTIFS('jami 1-20 kunlik arizalar'!C:C,A:A,'jami 1-20 kunlik arizalar'!S:S,"4")</f>
        <v>2</v>
      </c>
      <c r="DH212" s="11">
        <f>COUNTIFS('jami 1-20 kunlik arizalar'!C:C,A:A,'jami 1-20 kunlik arizalar'!S:S,"5")</f>
        <v>0</v>
      </c>
      <c r="DI212" s="11">
        <f>SUM(COUNTIFS('jami 1-20 kunlik arizalar'!C:C,A:A, 'jami 1-20 kunlik arizalar'!S:S, {6,7,8,9,10}))</f>
        <v>3</v>
      </c>
      <c r="DJ212" s="12">
        <f>SUM(COUNTIFS('jami 1-20 kunlik arizalar'!C:C,A:A, 'jami 1-20 kunlik arizalar'!S:S, "&gt;10"))</f>
        <v>2</v>
      </c>
    </row>
    <row r="213" spans="1:114" ht="32.1" hidden="1" customHeight="1" outlineLevel="1" x14ac:dyDescent="0.25">
      <c r="A213" s="92" t="s">
        <v>504</v>
      </c>
      <c r="B213" s="74"/>
      <c r="C213" s="85" t="s">
        <v>900</v>
      </c>
      <c r="D213" s="80">
        <f>+COUNTIFS('muddati otgan'!C:C,A213,'muddati otgan'!C:C,A213)</f>
        <v>4</v>
      </c>
      <c r="E213" s="10">
        <f>SUMIFS('muddati otgan'!$V:V,'muddati otgan'!$C:C,$A:A)</f>
        <v>4</v>
      </c>
      <c r="F213" s="10">
        <f>SUMIFS('muddati otgan'!$W:W,'muddati otgan'!$C:C,$A:A)</f>
        <v>0</v>
      </c>
      <c r="G213" s="24">
        <f>SUMIFS('muddati otgan'!$U:U,'muddati otgan'!$C:C,$A:A)</f>
        <v>0</v>
      </c>
      <c r="H213" s="11">
        <f>SUMIFS('muddati otgan'!$G:G,'muddati otgan'!$C:C,$A:A)</f>
        <v>4</v>
      </c>
      <c r="I213" s="12">
        <f>SUMIFS('muddati otgan'!$H:H,'muddati otgan'!$C:C,$A:A)</f>
        <v>0</v>
      </c>
      <c r="J213" s="44">
        <f t="shared" si="23"/>
        <v>0</v>
      </c>
      <c r="K213" s="11">
        <f>+COUNTIFS('muddati otgan'!C:C,A213,'muddati otgan'!AA:AA,"Arizani qabul qilish")</f>
        <v>0</v>
      </c>
      <c r="L213" s="11">
        <f>+COUNTIFS('muddati otgan'!C:C,A213,'muddati otgan'!J:J,"Arizani rad etish")</f>
        <v>0</v>
      </c>
      <c r="M213" s="11">
        <f>+COUNTIFS('muddati otgan'!C:C,A213,'muddati otgan'!J:J,"Arizani tasdiqlash")</f>
        <v>0</v>
      </c>
      <c r="N213" s="11">
        <f>+COUNTIFS('muddati otgan'!C:C,A213,'muddati otgan'!J:J,"Arizani yo'naltirish")</f>
        <v>0</v>
      </c>
      <c r="O213" s="11">
        <f>+COUNTIFS('muddati otgan'!C:C,A213,'muddati otgan'!J:J,"Rad qilish sababini o'rganish")</f>
        <v>0</v>
      </c>
      <c r="P213" s="11">
        <f>+COUNTIFS('muddati otgan'!C:C,A213,'muddati otgan'!J:J,"Ko'chmas mulkni UZKAD ga migratsiya qilish")</f>
        <v>0</v>
      </c>
      <c r="Q213" s="11">
        <f>+COUNTIFS('muddati otgan'!C:C,A213,'muddati otgan'!J:J,"Migratisya qilingan obyekt holatini tekshirish")</f>
        <v>0</v>
      </c>
      <c r="R213" s="11">
        <f>+COUNTIFS('muddati otgan'!C:C,A213,'muddati otgan'!J:J,"Ko‘chmas mulkni tanlash")</f>
        <v>0</v>
      </c>
      <c r="S213" s="11">
        <f>+COUNTIFS('muddati otgan'!C:C,A213,'muddati otgan'!J:J,"Arizani ko'rib chiqish")</f>
        <v>0</v>
      </c>
      <c r="T213" s="11">
        <f>+COUNTIFS('muddati otgan'!C:C,A213,'muddati otgan'!J:J,"Kadastr muhandisini tanlash")</f>
        <v>0</v>
      </c>
      <c r="U213" s="11">
        <f>+COUNTIFS('muddati otgan'!C:C,A213,'muddati otgan'!J:J,"Ko'chmas mulk turini tanlahsh")</f>
        <v>0</v>
      </c>
      <c r="V213" s="11">
        <f>+COUNTIFS('muddati otgan'!C:C,A213,'muddati otgan'!AA:AA,"Rad qilish")</f>
        <v>0</v>
      </c>
      <c r="W213" s="11">
        <f>+COUNTIFS('muddati otgan'!C:C,A213,'muddati otgan'!J:J,"ijrochi tanlash")</f>
        <v>0</v>
      </c>
      <c r="X213" s="11">
        <f>+COUNTIFS('muddati otgan'!C:C,A213,'muddati otgan'!J:J,"Ko'chmas mulk turini tanlash")</f>
        <v>0</v>
      </c>
      <c r="Y213" s="11">
        <f t="shared" si="24"/>
        <v>1</v>
      </c>
      <c r="Z213" s="11">
        <f>+COUNTIFS('muddati otgan'!C:C,A213,'muddati otgan'!J:J,"Ijroga qabul qilish")</f>
        <v>0</v>
      </c>
      <c r="AA213" s="11">
        <f>+COUNTIFS('muddati otgan'!C:C,A213,'muddati otgan'!J:J,"Joyida o'rganish va ma'lumotlarni kiritish")</f>
        <v>0</v>
      </c>
      <c r="AB213" s="11">
        <f>+COUNTIFS('muddati otgan'!C:C,A213,'muddati otgan'!J:J,"Asosiy qismdan ajratish jarayonida")</f>
        <v>0</v>
      </c>
      <c r="AC213" s="11">
        <f>+COUNTIFS('muddati otgan'!C:C,A213,'muddati otgan'!J:J,"Umumiy foydalanishdagi obyekt yaratilish")</f>
        <v>0</v>
      </c>
      <c r="AD213" s="11">
        <f>+COUNTIFS('muddati otgan'!C:C,A213,'muddati otgan'!J:J,"Migratsiya qilinadigan kadastr raqamini kiritish")</f>
        <v>0</v>
      </c>
      <c r="AE213" s="11">
        <f>+COUNTIFS('muddati otgan'!C:C,A213,'muddati otgan'!J:J,"O'zida qolgan obyektni yaratish")</f>
        <v>0</v>
      </c>
      <c r="AF213" s="11">
        <f>+COUNTIFS('muddati otgan'!C:C,A213,'muddati otgan'!J:J,"O'lchov natijalarini kiritish")</f>
        <v>1</v>
      </c>
      <c r="AG213" s="11">
        <f>+COUNTIFS('muddati otgan'!C:C,A213,'muddati otgan'!J:J,"Topoxaritani tayyorlash (dwg, pdf)")</f>
        <v>0</v>
      </c>
      <c r="AH213" s="11">
        <f t="shared" si="25"/>
        <v>0</v>
      </c>
      <c r="AI213" s="11">
        <f>+COUNTIFS('muddati otgan'!C:C,A213,'muddati otgan'!J:J,"Yer uchastkasini yaratish")</f>
        <v>0</v>
      </c>
      <c r="AJ213" s="11">
        <f t="shared" si="26"/>
        <v>0</v>
      </c>
      <c r="AK213" s="11">
        <f>+COUNTIFS('muddati otgan'!C:C,A213,'muddati otgan'!J:J,"Kelishish (Boshqarma)")</f>
        <v>0</v>
      </c>
      <c r="AL213" s="11">
        <f t="shared" si="27"/>
        <v>0</v>
      </c>
      <c r="AM213" s="11">
        <f>+COUNTIFS('muddati otgan'!C:C,A213,'muddati otgan'!J:J,"Kelishish (DKP)")</f>
        <v>0</v>
      </c>
      <c r="AN213" s="11">
        <f>+COUNTIFS('muddati otgan'!C:C,A213,'muddati otgan'!J:J,"Kelishish")</f>
        <v>0</v>
      </c>
      <c r="AO213" s="11">
        <f>+COUNTIFS('muddati otgan'!C:C,A213,'muddati otgan'!J:J,"Kelishish (Registratsiya DKP)")</f>
        <v>0</v>
      </c>
      <c r="AP213" s="11">
        <f t="shared" si="28"/>
        <v>0</v>
      </c>
      <c r="AQ213" s="11">
        <f>+COUNTIFS('muddati otgan'!C:C,A213,'muddati otgan'!J:J,"Manzil biriktirish")</f>
        <v>0</v>
      </c>
      <c r="AR213" s="11">
        <f>+COUNTIFS('muddati otgan'!C:C,A213,'muddati otgan'!J:J,"Bino va inshootlarni yaratish")</f>
        <v>0</v>
      </c>
      <c r="AS213" s="11">
        <f>+COUNTIFS('muddati otgan'!C:C,A213,'muddati otgan'!J:J,"Dov daraxtlarni yaratish")</f>
        <v>0</v>
      </c>
      <c r="AT213" s="11">
        <f>+COUNTIFS('muddati otgan'!C:C,A213,'muddati otgan'!J:J,"Yer uchastkasini tahrirlash")</f>
        <v>0</v>
      </c>
      <c r="AU213" s="11">
        <f t="shared" si="29"/>
        <v>0</v>
      </c>
      <c r="AV213" s="11">
        <f>+COUNTIFS('muddati otgan'!C:C,A213,'muddati otgan'!J:J,"Yer toifasi va maqsadini kiritish")</f>
        <v>0</v>
      </c>
      <c r="AW213" s="11">
        <f>+COUNTIFS('muddati otgan'!C:C,A213,'muddati otgan'!J:J,"Auksion yer tekshirish")</f>
        <v>0</v>
      </c>
      <c r="AX213" s="11">
        <f>+COUNTIFS('muddati otgan'!C:C,A213,'muddati otgan'!J:J,"Yer turlarini kiritish")</f>
        <v>0</v>
      </c>
      <c r="AY213" s="11">
        <f>+COUNTIFS('muddati otgan'!C:C,A213,'muddati otgan'!J:J,"Ma'lumotlarni kiritish")</f>
        <v>0</v>
      </c>
      <c r="AZ213" s="11">
        <f>+COUNTIFS('muddati otgan'!C:C,A213,'muddati otgan'!J:J,"Yer tekshirish")</f>
        <v>0</v>
      </c>
      <c r="BA213" s="11">
        <f t="shared" si="30"/>
        <v>1</v>
      </c>
      <c r="BB213" s="11">
        <f>+COUNTIFS('muddati otgan'!C:C,A213,'muddati otgan'!J:J,"Bino va inshoot ma'lumotlarini to‘ldirish")</f>
        <v>0</v>
      </c>
      <c r="BC213" s="11">
        <f>+COUNTIFS('muddati otgan'!C:C,A213,'muddati otgan'!J:J,"Inventarizatsiya ma'lumotlarini to‘ldirish")</f>
        <v>1</v>
      </c>
      <c r="BD213" s="11">
        <f>+COUNTIFS('muddati otgan'!C:C,A213,'muddati otgan'!J:J,"Yer uchastkasiga huquqiy hujjatlarni kiritsh")</f>
        <v>0</v>
      </c>
      <c r="BE213" s="11">
        <f>+COUNTIFS('muddati otgan'!C:C,A213,'muddati otgan'!J:J,"Bino-inshootlarga huquqiy hujjatlarni kiritsh")</f>
        <v>0</v>
      </c>
      <c r="BF213" s="11">
        <f>+COUNTIFS('muddati otgan'!C:C,A213,'muddati otgan'!J:J,"Kadastr qiymatini hisoblash va kiritish")</f>
        <v>0</v>
      </c>
      <c r="BG213" s="11">
        <f>+COUNTIFS('muddati otgan'!C:C,A213,'muddati otgan'!J:J,"Kadastr raqam biriktirish")</f>
        <v>0</v>
      </c>
      <c r="BH213" s="11">
        <f>+COUNTIFS('muddati otgan'!C:C,A213,'muddati otgan'!J:J,"Kadastr yig'ma jildni tayyorlash")</f>
        <v>0</v>
      </c>
      <c r="BI213" s="11">
        <f>+COUNTIFS('muddati otgan'!C:C,A213,'muddati otgan'!J:J,"Huquqni yaratish")</f>
        <v>0</v>
      </c>
      <c r="BJ213" s="11">
        <f>+COUNTIFS('muddati otgan'!C:C,A213,'muddati otgan'!J:J,"Hujjatlarni o'rganish")</f>
        <v>0</v>
      </c>
      <c r="BK213" s="11">
        <f>+COUNTIFS('muddati otgan'!C:C,A213,'muddati otgan'!J:J,"Ma'lumotlarni tekshirish")</f>
        <v>0</v>
      </c>
      <c r="BL213" s="11">
        <f t="shared" si="31"/>
        <v>0</v>
      </c>
      <c r="BM213" s="11">
        <f>+COUNTIFS('muddati otgan'!C:C,A213,'muddati otgan'!J:J,"Tekshirish")</f>
        <v>0</v>
      </c>
      <c r="BN213" s="11">
        <f>+COUNTIFS('muddati otgan'!C:C,A213,'muddati otgan'!J:J,"Hujjatlarni tekshirish")</f>
        <v>0</v>
      </c>
      <c r="BO213" s="11">
        <f>+COUNTIFS('muddati otgan'!C:C,A213,'muddati otgan'!J:J,"Tasdiqlash")</f>
        <v>0</v>
      </c>
      <c r="BP213" s="11">
        <f>+COUNTIFS('muddati otgan'!C:C,A213,'muddati otgan'!J:J,"tekshirish/tasdiqlash")</f>
        <v>0</v>
      </c>
      <c r="BQ213" s="11">
        <f>+COUNTIFS('muddati otgan'!C:C,A213,'muddati otgan'!J:J,"Ma'lumotlarni tasdiqlash")</f>
        <v>0</v>
      </c>
      <c r="BR213" s="11">
        <f t="shared" si="32"/>
        <v>0</v>
      </c>
      <c r="BS213" s="11">
        <f>+COUNTIFS('muddati otgan'!C:C,A213,'muddati otgan'!J:J,"Ro'yxatdan o'tkazish ma'lumotlarini tekshirish")</f>
        <v>0</v>
      </c>
      <c r="BT213" s="11">
        <f>+COUNTIFS('muddati otgan'!C:C,A213,'muddati otgan'!J:J,"Kamchiliklar bo'yicha habarnoma yuborish va 3 kunga to'xtatish")</f>
        <v>0</v>
      </c>
      <c r="BU213" s="11">
        <f>+COUNTIFS('muddati otgan'!C:C,A213,'muddati otgan'!J:J,"Hisobga olish")</f>
        <v>0</v>
      </c>
      <c r="BV213" s="11">
        <f>+COUNTIFS('muddati otgan'!C:C,A213,'muddati otgan'!J:J,"Yer uchastkasiga huquq yaratish")</f>
        <v>0</v>
      </c>
      <c r="BW213" s="11">
        <f>+COUNTIFS('muddati otgan'!C:C,A213,'muddati otgan'!J:J,"Bino-inshootga huquq yaratish")</f>
        <v>0</v>
      </c>
      <c r="BX213" s="11">
        <f>+COUNTIFS('muddati otgan'!C:C,A213,'muddati otgan'!J:J,"Cheklov yaratish")</f>
        <v>0</v>
      </c>
      <c r="BY213" s="11">
        <f>+COUNTIFS('muddati otgan'!C:C,A213,'muddati otgan'!J:J,"Taqiq yaratish")</f>
        <v>0</v>
      </c>
      <c r="BZ213" s="11">
        <f t="shared" si="33"/>
        <v>0</v>
      </c>
      <c r="CA213" s="11">
        <f>+COUNTIFS('muddati otgan'!C:C,A213,'muddati otgan'!J:J,"Soliq maydonini tekshirish")</f>
        <v>0</v>
      </c>
      <c r="CB213" s="11">
        <f t="shared" si="34"/>
        <v>0</v>
      </c>
      <c r="CC213" s="11">
        <f>+COUNTIFS('muddati otgan'!C:C,A213,'muddati otgan'!J:J,"Kadastr yig'majildini shakllantirish")</f>
        <v>0</v>
      </c>
      <c r="CD213" s="11">
        <f t="shared" si="35"/>
        <v>0</v>
      </c>
      <c r="CE213" s="11">
        <f>+COUNTIFS('muddati otgan'!C:C,A213,'muddati otgan'!J:J,"Kadastr passportini shakllantirish")</f>
        <v>0</v>
      </c>
      <c r="CF213" s="11">
        <f>+COUNTIFS('muddati otgan'!C:C,A213,'muddati otgan'!J:J,"Yig'ma jildni tasdiqlash")</f>
        <v>0</v>
      </c>
      <c r="CG213" s="11">
        <f>+COUNTIFS('muddati otgan'!C:C,A213,'muddati otgan'!J:J,"To'lov yoki bepul tasdiqlash")</f>
        <v>0</v>
      </c>
      <c r="CH213" s="11">
        <f>+COUNTIFS('muddati otgan'!C:C,A213,'muddati otgan'!J:J,"Bog'liq arizani kutish")</f>
        <v>0</v>
      </c>
      <c r="CI213" s="11">
        <f>+COUNTIFS('muddati otgan'!C:C,A213,'muddati otgan'!J:J,"To'lovga chiqarish")</f>
        <v>0</v>
      </c>
      <c r="CJ213" s="11">
        <f>+COUNTIFS('muddati otgan'!C:C,A213,'muddati otgan'!J:J,"Hisobga qo'yish")</f>
        <v>0</v>
      </c>
      <c r="CK213" s="6">
        <f>+COUNTIFS('muddati otgan'!C:C,A213,'muddati otgan'!J:J,"To'lov kutilmoqda")</f>
        <v>0</v>
      </c>
      <c r="CL213" s="11">
        <f t="shared" si="36"/>
        <v>0</v>
      </c>
      <c r="CM213" s="11">
        <f>+COUNTIFS('muddati otgan'!C:C,A213,'muddati otgan'!AA:AA,"Arizani qabul qilish2")</f>
        <v>0</v>
      </c>
      <c r="CN213" s="11">
        <f>+COUNTIFS('muddati otgan'!C:C,A213,'muddati otgan'!J:J,"Huquqlarni tekshirish")</f>
        <v>0</v>
      </c>
      <c r="CO213" s="11">
        <f>+COUNTIFS('muddati otgan'!C:C,A213,'muddati otgan'!J:J,"Ko'chmas mulkni ro'yhatdan o'tkazishga qabul qilish")</f>
        <v>0</v>
      </c>
      <c r="CP213" s="11">
        <f>+COUNTIFS('muddati otgan'!C:C,A213,'muddati otgan'!J:J,"Ro'yxatdan o'tkazish")</f>
        <v>0</v>
      </c>
      <c r="CQ213" s="11">
        <f>+COUNTIFS('muddati otgan'!C:C,A213,'muddati otgan'!J:J,"Kadastr pasporti va ko'chirmani yuborish")</f>
        <v>0</v>
      </c>
      <c r="CR213" s="11">
        <f>+COUNTIFS('muddati otgan'!C:C,A213,'muddati otgan'!AA:AA,"Rad qilish2")</f>
        <v>0</v>
      </c>
      <c r="CS213" s="11">
        <f>+COUNTIFS('muddati otgan'!C:C,A213,'muddati otgan'!J:J,"Ko'chirmani yuborish")</f>
        <v>0</v>
      </c>
      <c r="CT213" s="11">
        <f>+COUNTIFS('muddati otgan'!C:C,A213,'muddati otgan'!J:J,"Ma‘lumotlarni tekshirish")</f>
        <v>0</v>
      </c>
      <c r="CU213" s="11">
        <f t="shared" si="37"/>
        <v>0</v>
      </c>
      <c r="CV213" s="11">
        <f>+COUNTIFS('muddati otgan'!C:C,A213,'muddati otgan'!J:J,"Kadastr yig'majildini chop etish va arxiv ishiga tikish")</f>
        <v>0</v>
      </c>
      <c r="CW213" s="11">
        <f t="shared" si="38"/>
        <v>0</v>
      </c>
      <c r="CX213" s="11">
        <f>+COUNTIFS('muddati otgan'!C:C,A213,'muddati otgan'!J:J,"Kadastr yig‘majildini qabul qilish, arizani yakunlash")</f>
        <v>0</v>
      </c>
      <c r="CY213" s="11">
        <f>+COUNTIFS('muddati otgan'!C:C,A213,'muddati otgan'!J:J,"Next Cloudga yuklash")</f>
        <v>0</v>
      </c>
      <c r="CZ213" s="6">
        <f>+COUNTIFS('muddati otgan'!C:C,A213,'muddati otgan'!J:J,"Kelishish kutilmoqda")</f>
        <v>0</v>
      </c>
      <c r="DA213" s="6">
        <f>+COUNTIFS('muddati otgan'!C:C,A213,'muddati otgan'!J:J,"Yakunlandi")</f>
        <v>2</v>
      </c>
      <c r="DB213" s="10">
        <f>+COUNTIFS('muddati otgan'!C:C,A213,'muddati otgan'!J:J,"Rad etildi")</f>
        <v>0</v>
      </c>
      <c r="DC213" s="100">
        <f t="shared" si="5"/>
        <v>-2</v>
      </c>
      <c r="DD213" s="44">
        <f>COUNTIFS('jami 1-20 kunlik arizalar'!C:C,A:A,'jami 1-20 kunlik arizalar'!S:S,"1")</f>
        <v>0</v>
      </c>
      <c r="DE213" s="11">
        <f>COUNTIFS('jami 1-20 kunlik arizalar'!C:C,A:A,'jami 1-20 kunlik arizalar'!S:S,"2")</f>
        <v>0</v>
      </c>
      <c r="DF213" s="11">
        <f>COUNTIFS('jami 1-20 kunlik arizalar'!C:C,A:A,'jami 1-20 kunlik arizalar'!S:S,"3")</f>
        <v>1</v>
      </c>
      <c r="DG213" s="11">
        <f>COUNTIFS('jami 1-20 kunlik arizalar'!C:C,A:A,'jami 1-20 kunlik arizalar'!S:S,"4")</f>
        <v>1</v>
      </c>
      <c r="DH213" s="11">
        <f>COUNTIFS('jami 1-20 kunlik arizalar'!C:C,A:A,'jami 1-20 kunlik arizalar'!S:S,"5")</f>
        <v>1</v>
      </c>
      <c r="DI213" s="11">
        <f>SUM(COUNTIFS('jami 1-20 kunlik arizalar'!C:C,A:A, 'jami 1-20 kunlik arizalar'!S:S, {6,7,8,9,10}))</f>
        <v>2</v>
      </c>
      <c r="DJ213" s="12">
        <f>SUM(COUNTIFS('jami 1-20 kunlik arizalar'!C:C,A:A, 'jami 1-20 kunlik arizalar'!S:S, "&gt;10"))</f>
        <v>2</v>
      </c>
    </row>
    <row r="214" spans="1:114" ht="32.1" hidden="1" customHeight="1" outlineLevel="1" x14ac:dyDescent="0.25">
      <c r="A214" s="92" t="s">
        <v>519</v>
      </c>
      <c r="B214" s="74"/>
      <c r="C214" s="85" t="s">
        <v>901</v>
      </c>
      <c r="D214" s="80">
        <f>+COUNTIFS('muddati otgan'!C:C,A214,'muddati otgan'!C:C,A214)</f>
        <v>0</v>
      </c>
      <c r="E214" s="10">
        <f>SUMIFS('muddati otgan'!$V:V,'muddati otgan'!$C:C,$A:A)</f>
        <v>0</v>
      </c>
      <c r="F214" s="10">
        <f>SUMIFS('muddati otgan'!$W:W,'muddati otgan'!$C:C,$A:A)</f>
        <v>0</v>
      </c>
      <c r="G214" s="24">
        <f>SUMIFS('muddati otgan'!$U:U,'muddati otgan'!$C:C,$A:A)</f>
        <v>0</v>
      </c>
      <c r="H214" s="11">
        <f>SUMIFS('muddati otgan'!$G:G,'muddati otgan'!$C:C,$A:A)</f>
        <v>0</v>
      </c>
      <c r="I214" s="12">
        <f>SUMIFS('muddati otgan'!$H:H,'muddati otgan'!$C:C,$A:A)</f>
        <v>0</v>
      </c>
      <c r="J214" s="44">
        <f t="shared" si="23"/>
        <v>0</v>
      </c>
      <c r="K214" s="11">
        <f>+COUNTIFS('muddati otgan'!C:C,A214,'muddati otgan'!AA:AA,"Arizani qabul qilish")</f>
        <v>0</v>
      </c>
      <c r="L214" s="11">
        <f>+COUNTIFS('muddati otgan'!C:C,A214,'muddati otgan'!J:J,"Arizani rad etish")</f>
        <v>0</v>
      </c>
      <c r="M214" s="11">
        <f>+COUNTIFS('muddati otgan'!C:C,A214,'muddati otgan'!J:J,"Arizani tasdiqlash")</f>
        <v>0</v>
      </c>
      <c r="N214" s="11">
        <f>+COUNTIFS('muddati otgan'!C:C,A214,'muddati otgan'!J:J,"Arizani yo'naltirish")</f>
        <v>0</v>
      </c>
      <c r="O214" s="11">
        <f>+COUNTIFS('muddati otgan'!C:C,A214,'muddati otgan'!J:J,"Rad qilish sababini o'rganish")</f>
        <v>0</v>
      </c>
      <c r="P214" s="11">
        <f>+COUNTIFS('muddati otgan'!C:C,A214,'muddati otgan'!J:J,"Ko'chmas mulkni UZKAD ga migratsiya qilish")</f>
        <v>0</v>
      </c>
      <c r="Q214" s="11">
        <f>+COUNTIFS('muddati otgan'!C:C,A214,'muddati otgan'!J:J,"Migratisya qilingan obyekt holatini tekshirish")</f>
        <v>0</v>
      </c>
      <c r="R214" s="11">
        <f>+COUNTIFS('muddati otgan'!C:C,A214,'muddati otgan'!J:J,"Ko‘chmas mulkni tanlash")</f>
        <v>0</v>
      </c>
      <c r="S214" s="11">
        <f>+COUNTIFS('muddati otgan'!C:C,A214,'muddati otgan'!J:J,"Arizani ko'rib chiqish")</f>
        <v>0</v>
      </c>
      <c r="T214" s="11">
        <f>+COUNTIFS('muddati otgan'!C:C,A214,'muddati otgan'!J:J,"Kadastr muhandisini tanlash")</f>
        <v>0</v>
      </c>
      <c r="U214" s="11">
        <f>+COUNTIFS('muddati otgan'!C:C,A214,'muddati otgan'!J:J,"Ko'chmas mulk turini tanlahsh")</f>
        <v>0</v>
      </c>
      <c r="V214" s="11">
        <f>+COUNTIFS('muddati otgan'!C:C,A214,'muddati otgan'!AA:AA,"Rad qilish")</f>
        <v>0</v>
      </c>
      <c r="W214" s="11">
        <f>+COUNTIFS('muddati otgan'!C:C,A214,'muddati otgan'!J:J,"ijrochi tanlash")</f>
        <v>0</v>
      </c>
      <c r="X214" s="11">
        <f>+COUNTIFS('muddati otgan'!C:C,A214,'muddati otgan'!J:J,"Ko'chmas mulk turini tanlash")</f>
        <v>0</v>
      </c>
      <c r="Y214" s="11">
        <f t="shared" si="24"/>
        <v>0</v>
      </c>
      <c r="Z214" s="11">
        <f>+COUNTIFS('muddati otgan'!C:C,A214,'muddati otgan'!J:J,"Ijroga qabul qilish")</f>
        <v>0</v>
      </c>
      <c r="AA214" s="11">
        <f>+COUNTIFS('muddati otgan'!C:C,A214,'muddati otgan'!J:J,"Joyida o'rganish va ma'lumotlarni kiritish")</f>
        <v>0</v>
      </c>
      <c r="AB214" s="11">
        <f>+COUNTIFS('muddati otgan'!C:C,A214,'muddati otgan'!J:J,"Asosiy qismdan ajratish jarayonida")</f>
        <v>0</v>
      </c>
      <c r="AC214" s="11">
        <f>+COUNTIFS('muddati otgan'!C:C,A214,'muddati otgan'!J:J,"Umumiy foydalanishdagi obyekt yaratilish")</f>
        <v>0</v>
      </c>
      <c r="AD214" s="11">
        <f>+COUNTIFS('muddati otgan'!C:C,A214,'muddati otgan'!J:J,"Migratsiya qilinadigan kadastr raqamini kiritish")</f>
        <v>0</v>
      </c>
      <c r="AE214" s="11">
        <f>+COUNTIFS('muddati otgan'!C:C,A214,'muddati otgan'!J:J,"O'zida qolgan obyektni yaratish")</f>
        <v>0</v>
      </c>
      <c r="AF214" s="11">
        <f>+COUNTIFS('muddati otgan'!C:C,A214,'muddati otgan'!J:J,"O'lchov natijalarini kiritish")</f>
        <v>0</v>
      </c>
      <c r="AG214" s="11">
        <f>+COUNTIFS('muddati otgan'!C:C,A214,'muddati otgan'!J:J,"Topoxaritani tayyorlash (dwg, pdf)")</f>
        <v>0</v>
      </c>
      <c r="AH214" s="11">
        <f t="shared" si="25"/>
        <v>0</v>
      </c>
      <c r="AI214" s="11">
        <f>+COUNTIFS('muddati otgan'!C:C,A214,'muddati otgan'!J:J,"Yer uchastkasini yaratish")</f>
        <v>0</v>
      </c>
      <c r="AJ214" s="11">
        <f t="shared" si="26"/>
        <v>0</v>
      </c>
      <c r="AK214" s="11">
        <f>+COUNTIFS('muddati otgan'!C:C,A214,'muddati otgan'!J:J,"Kelishish (Boshqarma)")</f>
        <v>0</v>
      </c>
      <c r="AL214" s="11">
        <f t="shared" si="27"/>
        <v>0</v>
      </c>
      <c r="AM214" s="11">
        <f>+COUNTIFS('muddati otgan'!C:C,A214,'muddati otgan'!J:J,"Kelishish (DKP)")</f>
        <v>0</v>
      </c>
      <c r="AN214" s="11">
        <f>+COUNTIFS('muddati otgan'!C:C,A214,'muddati otgan'!J:J,"Kelishish")</f>
        <v>0</v>
      </c>
      <c r="AO214" s="11">
        <f>+COUNTIFS('muddati otgan'!C:C,A214,'muddati otgan'!J:J,"Kelishish (Registratsiya DKP)")</f>
        <v>0</v>
      </c>
      <c r="AP214" s="11">
        <f t="shared" si="28"/>
        <v>0</v>
      </c>
      <c r="AQ214" s="11">
        <f>+COUNTIFS('muddati otgan'!C:C,A214,'muddati otgan'!J:J,"Manzil biriktirish")</f>
        <v>0</v>
      </c>
      <c r="AR214" s="11">
        <f>+COUNTIFS('muddati otgan'!C:C,A214,'muddati otgan'!J:J,"Bino va inshootlarni yaratish")</f>
        <v>0</v>
      </c>
      <c r="AS214" s="11">
        <f>+COUNTIFS('muddati otgan'!C:C,A214,'muddati otgan'!J:J,"Dov daraxtlarni yaratish")</f>
        <v>0</v>
      </c>
      <c r="AT214" s="11">
        <f>+COUNTIFS('muddati otgan'!C:C,A214,'muddati otgan'!J:J,"Yer uchastkasini tahrirlash")</f>
        <v>0</v>
      </c>
      <c r="AU214" s="11">
        <f t="shared" si="29"/>
        <v>0</v>
      </c>
      <c r="AV214" s="11">
        <f>+COUNTIFS('muddati otgan'!C:C,A214,'muddati otgan'!J:J,"Yer toifasi va maqsadini kiritish")</f>
        <v>0</v>
      </c>
      <c r="AW214" s="11">
        <f>+COUNTIFS('muddati otgan'!C:C,A214,'muddati otgan'!J:J,"Auksion yer tekshirish")</f>
        <v>0</v>
      </c>
      <c r="AX214" s="11">
        <f>+COUNTIFS('muddati otgan'!C:C,A214,'muddati otgan'!J:J,"Yer turlarini kiritish")</f>
        <v>0</v>
      </c>
      <c r="AY214" s="11">
        <f>+COUNTIFS('muddati otgan'!C:C,A214,'muddati otgan'!J:J,"Ma'lumotlarni kiritish")</f>
        <v>0</v>
      </c>
      <c r="AZ214" s="11">
        <f>+COUNTIFS('muddati otgan'!C:C,A214,'muddati otgan'!J:J,"Yer tekshirish")</f>
        <v>0</v>
      </c>
      <c r="BA214" s="11">
        <f t="shared" si="30"/>
        <v>0</v>
      </c>
      <c r="BB214" s="11">
        <f>+COUNTIFS('muddati otgan'!C:C,A214,'muddati otgan'!J:J,"Bino va inshoot ma'lumotlarini to‘ldirish")</f>
        <v>0</v>
      </c>
      <c r="BC214" s="11">
        <f>+COUNTIFS('muddati otgan'!C:C,A214,'muddati otgan'!J:J,"Inventarizatsiya ma'lumotlarini to‘ldirish")</f>
        <v>0</v>
      </c>
      <c r="BD214" s="11">
        <f>+COUNTIFS('muddati otgan'!C:C,A214,'muddati otgan'!J:J,"Yer uchastkasiga huquqiy hujjatlarni kiritsh")</f>
        <v>0</v>
      </c>
      <c r="BE214" s="11">
        <f>+COUNTIFS('muddati otgan'!C:C,A214,'muddati otgan'!J:J,"Bino-inshootlarga huquqiy hujjatlarni kiritsh")</f>
        <v>0</v>
      </c>
      <c r="BF214" s="11">
        <f>+COUNTIFS('muddati otgan'!C:C,A214,'muddati otgan'!J:J,"Kadastr qiymatini hisoblash va kiritish")</f>
        <v>0</v>
      </c>
      <c r="BG214" s="11">
        <f>+COUNTIFS('muddati otgan'!C:C,A214,'muddati otgan'!J:J,"Kadastr raqam biriktirish")</f>
        <v>0</v>
      </c>
      <c r="BH214" s="11">
        <f>+COUNTIFS('muddati otgan'!C:C,A214,'muddati otgan'!J:J,"Kadastr yig'ma jildni tayyorlash")</f>
        <v>0</v>
      </c>
      <c r="BI214" s="11">
        <f>+COUNTIFS('muddati otgan'!C:C,A214,'muddati otgan'!J:J,"Huquqni yaratish")</f>
        <v>0</v>
      </c>
      <c r="BJ214" s="11">
        <f>+COUNTIFS('muddati otgan'!C:C,A214,'muddati otgan'!J:J,"Hujjatlarni o'rganish")</f>
        <v>0</v>
      </c>
      <c r="BK214" s="11">
        <f>+COUNTIFS('muddati otgan'!C:C,A214,'muddati otgan'!J:J,"Ma'lumotlarni tekshirish")</f>
        <v>0</v>
      </c>
      <c r="BL214" s="11">
        <f t="shared" si="31"/>
        <v>0</v>
      </c>
      <c r="BM214" s="11">
        <f>+COUNTIFS('muddati otgan'!C:C,A214,'muddati otgan'!J:J,"Tekshirish")</f>
        <v>0</v>
      </c>
      <c r="BN214" s="11">
        <f>+COUNTIFS('muddati otgan'!C:C,A214,'muddati otgan'!J:J,"Hujjatlarni tekshirish")</f>
        <v>0</v>
      </c>
      <c r="BO214" s="11">
        <f>+COUNTIFS('muddati otgan'!C:C,A214,'muddati otgan'!J:J,"Tasdiqlash")</f>
        <v>0</v>
      </c>
      <c r="BP214" s="11">
        <f>+COUNTIFS('muddati otgan'!C:C,A214,'muddati otgan'!J:J,"tekshirish/tasdiqlash")</f>
        <v>0</v>
      </c>
      <c r="BQ214" s="11">
        <f>+COUNTIFS('muddati otgan'!C:C,A214,'muddati otgan'!J:J,"Ma'lumotlarni tasdiqlash")</f>
        <v>0</v>
      </c>
      <c r="BR214" s="11">
        <f t="shared" si="32"/>
        <v>0</v>
      </c>
      <c r="BS214" s="11">
        <f>+COUNTIFS('muddati otgan'!C:C,A214,'muddati otgan'!J:J,"Ro'yxatdan o'tkazish ma'lumotlarini tekshirish")</f>
        <v>0</v>
      </c>
      <c r="BT214" s="11">
        <f>+COUNTIFS('muddati otgan'!C:C,A214,'muddati otgan'!J:J,"Kamchiliklar bo'yicha habarnoma yuborish va 3 kunga to'xtatish")</f>
        <v>0</v>
      </c>
      <c r="BU214" s="11">
        <f>+COUNTIFS('muddati otgan'!C:C,A214,'muddati otgan'!J:J,"Hisobga olish")</f>
        <v>0</v>
      </c>
      <c r="BV214" s="11">
        <f>+COUNTIFS('muddati otgan'!C:C,A214,'muddati otgan'!J:J,"Yer uchastkasiga huquq yaratish")</f>
        <v>0</v>
      </c>
      <c r="BW214" s="11">
        <f>+COUNTIFS('muddati otgan'!C:C,A214,'muddati otgan'!J:J,"Bino-inshootga huquq yaratish")</f>
        <v>0</v>
      </c>
      <c r="BX214" s="11">
        <f>+COUNTIFS('muddati otgan'!C:C,A214,'muddati otgan'!J:J,"Cheklov yaratish")</f>
        <v>0</v>
      </c>
      <c r="BY214" s="11">
        <f>+COUNTIFS('muddati otgan'!C:C,A214,'muddati otgan'!J:J,"Taqiq yaratish")</f>
        <v>0</v>
      </c>
      <c r="BZ214" s="11">
        <f t="shared" si="33"/>
        <v>0</v>
      </c>
      <c r="CA214" s="11">
        <f>+COUNTIFS('muddati otgan'!C:C,A214,'muddati otgan'!J:J,"Soliq maydonini tekshirish")</f>
        <v>0</v>
      </c>
      <c r="CB214" s="11">
        <f t="shared" si="34"/>
        <v>0</v>
      </c>
      <c r="CC214" s="11">
        <f>+COUNTIFS('muddati otgan'!C:C,A214,'muddati otgan'!J:J,"Kadastr yig'majildini shakllantirish")</f>
        <v>0</v>
      </c>
      <c r="CD214" s="11">
        <f t="shared" si="35"/>
        <v>0</v>
      </c>
      <c r="CE214" s="11">
        <f>+COUNTIFS('muddati otgan'!C:C,A214,'muddati otgan'!J:J,"Kadastr passportini shakllantirish")</f>
        <v>0</v>
      </c>
      <c r="CF214" s="11">
        <f>+COUNTIFS('muddati otgan'!C:C,A214,'muddati otgan'!J:J,"Yig'ma jildni tasdiqlash")</f>
        <v>0</v>
      </c>
      <c r="CG214" s="11">
        <f>+COUNTIFS('muddati otgan'!C:C,A214,'muddati otgan'!J:J,"To'lov yoki bepul tasdiqlash")</f>
        <v>0</v>
      </c>
      <c r="CH214" s="11">
        <f>+COUNTIFS('muddati otgan'!C:C,A214,'muddati otgan'!J:J,"Bog'liq arizani kutish")</f>
        <v>0</v>
      </c>
      <c r="CI214" s="11">
        <f>+COUNTIFS('muddati otgan'!C:C,A214,'muddati otgan'!J:J,"To'lovga chiqarish")</f>
        <v>0</v>
      </c>
      <c r="CJ214" s="11">
        <f>+COUNTIFS('muddati otgan'!C:C,A214,'muddati otgan'!J:J,"Hisobga qo'yish")</f>
        <v>0</v>
      </c>
      <c r="CK214" s="6">
        <f>+COUNTIFS('muddati otgan'!C:C,A214,'muddati otgan'!J:J,"To'lov kutilmoqda")</f>
        <v>0</v>
      </c>
      <c r="CL214" s="11">
        <f t="shared" si="36"/>
        <v>0</v>
      </c>
      <c r="CM214" s="11">
        <f>+COUNTIFS('muddati otgan'!C:C,A214,'muddati otgan'!AA:AA,"Arizani qabul qilish2")</f>
        <v>0</v>
      </c>
      <c r="CN214" s="11">
        <f>+COUNTIFS('muddati otgan'!C:C,A214,'muddati otgan'!J:J,"Huquqlarni tekshirish")</f>
        <v>0</v>
      </c>
      <c r="CO214" s="11">
        <f>+COUNTIFS('muddati otgan'!C:C,A214,'muddati otgan'!J:J,"Ko'chmas mulkni ro'yhatdan o'tkazishga qabul qilish")</f>
        <v>0</v>
      </c>
      <c r="CP214" s="11">
        <f>+COUNTIFS('muddati otgan'!C:C,A214,'muddati otgan'!J:J,"Ro'yxatdan o'tkazish")</f>
        <v>0</v>
      </c>
      <c r="CQ214" s="11">
        <f>+COUNTIFS('muddati otgan'!C:C,A214,'muddati otgan'!J:J,"Kadastr pasporti va ko'chirmani yuborish")</f>
        <v>0</v>
      </c>
      <c r="CR214" s="11">
        <f>+COUNTIFS('muddati otgan'!C:C,A214,'muddati otgan'!AA:AA,"Rad qilish2")</f>
        <v>0</v>
      </c>
      <c r="CS214" s="11">
        <f>+COUNTIFS('muddati otgan'!C:C,A214,'muddati otgan'!J:J,"Ko'chirmani yuborish")</f>
        <v>0</v>
      </c>
      <c r="CT214" s="11">
        <f>+COUNTIFS('muddati otgan'!C:C,A214,'muddati otgan'!J:J,"Ma‘lumotlarni tekshirish")</f>
        <v>0</v>
      </c>
      <c r="CU214" s="11">
        <f t="shared" si="37"/>
        <v>0</v>
      </c>
      <c r="CV214" s="11">
        <f>+COUNTIFS('muddati otgan'!C:C,A214,'muddati otgan'!J:J,"Kadastr yig'majildini chop etish va arxiv ishiga tikish")</f>
        <v>0</v>
      </c>
      <c r="CW214" s="11">
        <f t="shared" si="38"/>
        <v>0</v>
      </c>
      <c r="CX214" s="11">
        <f>+COUNTIFS('muddati otgan'!C:C,A214,'muddati otgan'!J:J,"Kadastr yig‘majildini qabul qilish, arizani yakunlash")</f>
        <v>0</v>
      </c>
      <c r="CY214" s="11">
        <f>+COUNTIFS('muddati otgan'!C:C,A214,'muddati otgan'!J:J,"Next Cloudga yuklash")</f>
        <v>0</v>
      </c>
      <c r="CZ214" s="6">
        <f>+COUNTIFS('muddati otgan'!C:C,A214,'muddati otgan'!J:J,"Kelishish kutilmoqda")</f>
        <v>0</v>
      </c>
      <c r="DA214" s="6">
        <f>+COUNTIFS('muddati otgan'!C:C,A214,'muddati otgan'!J:J,"Yakunlandi")</f>
        <v>0</v>
      </c>
      <c r="DB214" s="10">
        <f>+COUNTIFS('muddati otgan'!C:C,A214,'muddati otgan'!J:J,"Rad etildi")</f>
        <v>0</v>
      </c>
      <c r="DC214" s="100">
        <f t="shared" si="5"/>
        <v>0</v>
      </c>
      <c r="DD214" s="44">
        <f>COUNTIFS('jami 1-20 kunlik arizalar'!C:C,A:A,'jami 1-20 kunlik arizalar'!S:S,"1")</f>
        <v>0</v>
      </c>
      <c r="DE214" s="11">
        <f>COUNTIFS('jami 1-20 kunlik arizalar'!C:C,A:A,'jami 1-20 kunlik arizalar'!S:S,"2")</f>
        <v>0</v>
      </c>
      <c r="DF214" s="11">
        <f>COUNTIFS('jami 1-20 kunlik arizalar'!C:C,A:A,'jami 1-20 kunlik arizalar'!S:S,"3")</f>
        <v>2</v>
      </c>
      <c r="DG214" s="11">
        <f>COUNTIFS('jami 1-20 kunlik arizalar'!C:C,A:A,'jami 1-20 kunlik arizalar'!S:S,"4")</f>
        <v>1</v>
      </c>
      <c r="DH214" s="11">
        <f>COUNTIFS('jami 1-20 kunlik arizalar'!C:C,A:A,'jami 1-20 kunlik arizalar'!S:S,"5")</f>
        <v>1</v>
      </c>
      <c r="DI214" s="11">
        <f>SUM(COUNTIFS('jami 1-20 kunlik arizalar'!C:C,A:A, 'jami 1-20 kunlik arizalar'!S:S, {6,7,8,9,10}))</f>
        <v>2</v>
      </c>
      <c r="DJ214" s="12">
        <f>SUM(COUNTIFS('jami 1-20 kunlik arizalar'!C:C,A:A, 'jami 1-20 kunlik arizalar'!S:S, "&gt;10"))</f>
        <v>1</v>
      </c>
    </row>
    <row r="215" spans="1:114" ht="32.1" hidden="1" customHeight="1" outlineLevel="1" x14ac:dyDescent="0.25">
      <c r="A215" s="92" t="s">
        <v>487</v>
      </c>
      <c r="B215" s="74"/>
      <c r="C215" s="85" t="s">
        <v>902</v>
      </c>
      <c r="D215" s="80">
        <f>+COUNTIFS('muddati otgan'!C:C,A215,'muddati otgan'!C:C,A215)</f>
        <v>1</v>
      </c>
      <c r="E215" s="10">
        <f>SUMIFS('muddati otgan'!$V:V,'muddati otgan'!$C:C,$A:A)</f>
        <v>0</v>
      </c>
      <c r="F215" s="10">
        <f>SUMIFS('muddati otgan'!$W:W,'muddati otgan'!$C:C,$A:A)</f>
        <v>0</v>
      </c>
      <c r="G215" s="24">
        <f>SUMIFS('muddati otgan'!$U:U,'muddati otgan'!$C:C,$A:A)</f>
        <v>1</v>
      </c>
      <c r="H215" s="11">
        <f>SUMIFS('muddati otgan'!$G:G,'muddati otgan'!$C:C,$A:A)</f>
        <v>1</v>
      </c>
      <c r="I215" s="12">
        <f>SUMIFS('muddati otgan'!$H:H,'muddati otgan'!$C:C,$A:A)</f>
        <v>0</v>
      </c>
      <c r="J215" s="44">
        <f t="shared" si="23"/>
        <v>0</v>
      </c>
      <c r="K215" s="11">
        <f>+COUNTIFS('muddati otgan'!C:C,A215,'muddati otgan'!AA:AA,"Arizani qabul qilish")</f>
        <v>0</v>
      </c>
      <c r="L215" s="11">
        <f>+COUNTIFS('muddati otgan'!C:C,A215,'muddati otgan'!J:J,"Arizani rad etish")</f>
        <v>0</v>
      </c>
      <c r="M215" s="11">
        <f>+COUNTIFS('muddati otgan'!C:C,A215,'muddati otgan'!J:J,"Arizani tasdiqlash")</f>
        <v>0</v>
      </c>
      <c r="N215" s="11">
        <f>+COUNTIFS('muddati otgan'!C:C,A215,'muddati otgan'!J:J,"Arizani yo'naltirish")</f>
        <v>0</v>
      </c>
      <c r="O215" s="11">
        <f>+COUNTIFS('muddati otgan'!C:C,A215,'muddati otgan'!J:J,"Rad qilish sababini o'rganish")</f>
        <v>0</v>
      </c>
      <c r="P215" s="11">
        <f>+COUNTIFS('muddati otgan'!C:C,A215,'muddati otgan'!J:J,"Ko'chmas mulkni UZKAD ga migratsiya qilish")</f>
        <v>0</v>
      </c>
      <c r="Q215" s="11">
        <f>+COUNTIFS('muddati otgan'!C:C,A215,'muddati otgan'!J:J,"Migratisya qilingan obyekt holatini tekshirish")</f>
        <v>0</v>
      </c>
      <c r="R215" s="11">
        <f>+COUNTIFS('muddati otgan'!C:C,A215,'muddati otgan'!J:J,"Ko‘chmas mulkni tanlash")</f>
        <v>0</v>
      </c>
      <c r="S215" s="11">
        <f>+COUNTIFS('muddati otgan'!C:C,A215,'muddati otgan'!J:J,"Arizani ko'rib chiqish")</f>
        <v>0</v>
      </c>
      <c r="T215" s="11">
        <f>+COUNTIFS('muddati otgan'!C:C,A215,'muddati otgan'!J:J,"Kadastr muhandisini tanlash")</f>
        <v>0</v>
      </c>
      <c r="U215" s="11">
        <f>+COUNTIFS('muddati otgan'!C:C,A215,'muddati otgan'!J:J,"Ko'chmas mulk turini tanlahsh")</f>
        <v>0</v>
      </c>
      <c r="V215" s="11">
        <f>+COUNTIFS('muddati otgan'!C:C,A215,'muddati otgan'!AA:AA,"Rad qilish")</f>
        <v>0</v>
      </c>
      <c r="W215" s="11">
        <f>+COUNTIFS('muddati otgan'!C:C,A215,'muddati otgan'!J:J,"ijrochi tanlash")</f>
        <v>0</v>
      </c>
      <c r="X215" s="11">
        <f>+COUNTIFS('muddati otgan'!C:C,A215,'muddati otgan'!J:J,"Ko'chmas mulk turini tanlash")</f>
        <v>0</v>
      </c>
      <c r="Y215" s="11">
        <f t="shared" si="24"/>
        <v>0</v>
      </c>
      <c r="Z215" s="11">
        <f>+COUNTIFS('muddati otgan'!C:C,A215,'muddati otgan'!J:J,"Ijroga qabul qilish")</f>
        <v>0</v>
      </c>
      <c r="AA215" s="11">
        <f>+COUNTIFS('muddati otgan'!C:C,A215,'muddati otgan'!J:J,"Joyida o'rganish va ma'lumotlarni kiritish")</f>
        <v>0</v>
      </c>
      <c r="AB215" s="11">
        <f>+COUNTIFS('muddati otgan'!C:C,A215,'muddati otgan'!J:J,"Asosiy qismdan ajratish jarayonida")</f>
        <v>0</v>
      </c>
      <c r="AC215" s="11">
        <f>+COUNTIFS('muddati otgan'!C:C,A215,'muddati otgan'!J:J,"Umumiy foydalanishdagi obyekt yaratilish")</f>
        <v>0</v>
      </c>
      <c r="AD215" s="11">
        <f>+COUNTIFS('muddati otgan'!C:C,A215,'muddati otgan'!J:J,"Migratsiya qilinadigan kadastr raqamini kiritish")</f>
        <v>0</v>
      </c>
      <c r="AE215" s="11">
        <f>+COUNTIFS('muddati otgan'!C:C,A215,'muddati otgan'!J:J,"O'zida qolgan obyektni yaratish")</f>
        <v>0</v>
      </c>
      <c r="AF215" s="11">
        <f>+COUNTIFS('muddati otgan'!C:C,A215,'muddati otgan'!J:J,"O'lchov natijalarini kiritish")</f>
        <v>0</v>
      </c>
      <c r="AG215" s="11">
        <f>+COUNTIFS('muddati otgan'!C:C,A215,'muddati otgan'!J:J,"Topoxaritani tayyorlash (dwg, pdf)")</f>
        <v>0</v>
      </c>
      <c r="AH215" s="11">
        <f t="shared" si="25"/>
        <v>0</v>
      </c>
      <c r="AI215" s="11">
        <f>+COUNTIFS('muddati otgan'!C:C,A215,'muddati otgan'!J:J,"Yer uchastkasini yaratish")</f>
        <v>0</v>
      </c>
      <c r="AJ215" s="11">
        <f t="shared" si="26"/>
        <v>0</v>
      </c>
      <c r="AK215" s="11">
        <f>+COUNTIFS('muddati otgan'!C:C,A215,'muddati otgan'!J:J,"Kelishish (Boshqarma)")</f>
        <v>0</v>
      </c>
      <c r="AL215" s="11">
        <f t="shared" si="27"/>
        <v>0</v>
      </c>
      <c r="AM215" s="11">
        <f>+COUNTIFS('muddati otgan'!C:C,A215,'muddati otgan'!J:J,"Kelishish (DKP)")</f>
        <v>0</v>
      </c>
      <c r="AN215" s="11">
        <f>+COUNTIFS('muddati otgan'!C:C,A215,'muddati otgan'!J:J,"Kelishish")</f>
        <v>0</v>
      </c>
      <c r="AO215" s="11">
        <f>+COUNTIFS('muddati otgan'!C:C,A215,'muddati otgan'!J:J,"Kelishish (Registratsiya DKP)")</f>
        <v>0</v>
      </c>
      <c r="AP215" s="11">
        <f t="shared" si="28"/>
        <v>0</v>
      </c>
      <c r="AQ215" s="11">
        <f>+COUNTIFS('muddati otgan'!C:C,A215,'muddati otgan'!J:J,"Manzil biriktirish")</f>
        <v>0</v>
      </c>
      <c r="AR215" s="11">
        <f>+COUNTIFS('muddati otgan'!C:C,A215,'muddati otgan'!J:J,"Bino va inshootlarni yaratish")</f>
        <v>0</v>
      </c>
      <c r="AS215" s="11">
        <f>+COUNTIFS('muddati otgan'!C:C,A215,'muddati otgan'!J:J,"Dov daraxtlarni yaratish")</f>
        <v>0</v>
      </c>
      <c r="AT215" s="11">
        <f>+COUNTIFS('muddati otgan'!C:C,A215,'muddati otgan'!J:J,"Yer uchastkasini tahrirlash")</f>
        <v>0</v>
      </c>
      <c r="AU215" s="11">
        <f t="shared" si="29"/>
        <v>0</v>
      </c>
      <c r="AV215" s="11">
        <f>+COUNTIFS('muddati otgan'!C:C,A215,'muddati otgan'!J:J,"Yer toifasi va maqsadini kiritish")</f>
        <v>0</v>
      </c>
      <c r="AW215" s="11">
        <f>+COUNTIFS('muddati otgan'!C:C,A215,'muddati otgan'!J:J,"Auksion yer tekshirish")</f>
        <v>0</v>
      </c>
      <c r="AX215" s="11">
        <f>+COUNTIFS('muddati otgan'!C:C,A215,'muddati otgan'!J:J,"Yer turlarini kiritish")</f>
        <v>0</v>
      </c>
      <c r="AY215" s="11">
        <f>+COUNTIFS('muddati otgan'!C:C,A215,'muddati otgan'!J:J,"Ma'lumotlarni kiritish")</f>
        <v>0</v>
      </c>
      <c r="AZ215" s="11">
        <f>+COUNTIFS('muddati otgan'!C:C,A215,'muddati otgan'!J:J,"Yer tekshirish")</f>
        <v>0</v>
      </c>
      <c r="BA215" s="11">
        <f t="shared" si="30"/>
        <v>0</v>
      </c>
      <c r="BB215" s="11">
        <f>+COUNTIFS('muddati otgan'!C:C,A215,'muddati otgan'!J:J,"Bino va inshoot ma'lumotlarini to‘ldirish")</f>
        <v>0</v>
      </c>
      <c r="BC215" s="11">
        <f>+COUNTIFS('muddati otgan'!C:C,A215,'muddati otgan'!J:J,"Inventarizatsiya ma'lumotlarini to‘ldirish")</f>
        <v>0</v>
      </c>
      <c r="BD215" s="11">
        <f>+COUNTIFS('muddati otgan'!C:C,A215,'muddati otgan'!J:J,"Yer uchastkasiga huquqiy hujjatlarni kiritsh")</f>
        <v>0</v>
      </c>
      <c r="BE215" s="11">
        <f>+COUNTIFS('muddati otgan'!C:C,A215,'muddati otgan'!J:J,"Bino-inshootlarga huquqiy hujjatlarni kiritsh")</f>
        <v>0</v>
      </c>
      <c r="BF215" s="11">
        <f>+COUNTIFS('muddati otgan'!C:C,A215,'muddati otgan'!J:J,"Kadastr qiymatini hisoblash va kiritish")</f>
        <v>0</v>
      </c>
      <c r="BG215" s="11">
        <f>+COUNTIFS('muddati otgan'!C:C,A215,'muddati otgan'!J:J,"Kadastr raqam biriktirish")</f>
        <v>0</v>
      </c>
      <c r="BH215" s="11">
        <f>+COUNTIFS('muddati otgan'!C:C,A215,'muddati otgan'!J:J,"Kadastr yig'ma jildni tayyorlash")</f>
        <v>0</v>
      </c>
      <c r="BI215" s="11">
        <f>+COUNTIFS('muddati otgan'!C:C,A215,'muddati otgan'!J:J,"Huquqni yaratish")</f>
        <v>0</v>
      </c>
      <c r="BJ215" s="11">
        <f>+COUNTIFS('muddati otgan'!C:C,A215,'muddati otgan'!J:J,"Hujjatlarni o'rganish")</f>
        <v>0</v>
      </c>
      <c r="BK215" s="11">
        <f>+COUNTIFS('muddati otgan'!C:C,A215,'muddati otgan'!J:J,"Ma'lumotlarni tekshirish")</f>
        <v>0</v>
      </c>
      <c r="BL215" s="11">
        <f t="shared" si="31"/>
        <v>0</v>
      </c>
      <c r="BM215" s="11">
        <f>+COUNTIFS('muddati otgan'!C:C,A215,'muddati otgan'!J:J,"Tekshirish")</f>
        <v>0</v>
      </c>
      <c r="BN215" s="11">
        <f>+COUNTIFS('muddati otgan'!C:C,A215,'muddati otgan'!J:J,"Hujjatlarni tekshirish")</f>
        <v>0</v>
      </c>
      <c r="BO215" s="11">
        <f>+COUNTIFS('muddati otgan'!C:C,A215,'muddati otgan'!J:J,"Tasdiqlash")</f>
        <v>0</v>
      </c>
      <c r="BP215" s="11">
        <f>+COUNTIFS('muddati otgan'!C:C,A215,'muddati otgan'!J:J,"tekshirish/tasdiqlash")</f>
        <v>0</v>
      </c>
      <c r="BQ215" s="11">
        <f>+COUNTIFS('muddati otgan'!C:C,A215,'muddati otgan'!J:J,"Ma'lumotlarni tasdiqlash")</f>
        <v>0</v>
      </c>
      <c r="BR215" s="11">
        <f t="shared" si="32"/>
        <v>0</v>
      </c>
      <c r="BS215" s="11">
        <f>+COUNTIFS('muddati otgan'!C:C,A215,'muddati otgan'!J:J,"Ro'yxatdan o'tkazish ma'lumotlarini tekshirish")</f>
        <v>0</v>
      </c>
      <c r="BT215" s="11">
        <f>+COUNTIFS('muddati otgan'!C:C,A215,'muddati otgan'!J:J,"Kamchiliklar bo'yicha habarnoma yuborish va 3 kunga to'xtatish")</f>
        <v>0</v>
      </c>
      <c r="BU215" s="11">
        <f>+COUNTIFS('muddati otgan'!C:C,A215,'muddati otgan'!J:J,"Hisobga olish")</f>
        <v>0</v>
      </c>
      <c r="BV215" s="11">
        <f>+COUNTIFS('muddati otgan'!C:C,A215,'muddati otgan'!J:J,"Yer uchastkasiga huquq yaratish")</f>
        <v>0</v>
      </c>
      <c r="BW215" s="11">
        <f>+COUNTIFS('muddati otgan'!C:C,A215,'muddati otgan'!J:J,"Bino-inshootga huquq yaratish")</f>
        <v>0</v>
      </c>
      <c r="BX215" s="11">
        <f>+COUNTIFS('muddati otgan'!C:C,A215,'muddati otgan'!J:J,"Cheklov yaratish")</f>
        <v>0</v>
      </c>
      <c r="BY215" s="11">
        <f>+COUNTIFS('muddati otgan'!C:C,A215,'muddati otgan'!J:J,"Taqiq yaratish")</f>
        <v>0</v>
      </c>
      <c r="BZ215" s="11">
        <f t="shared" si="33"/>
        <v>0</v>
      </c>
      <c r="CA215" s="11">
        <f>+COUNTIFS('muddati otgan'!C:C,A215,'muddati otgan'!J:J,"Soliq maydonini tekshirish")</f>
        <v>0</v>
      </c>
      <c r="CB215" s="11">
        <f t="shared" si="34"/>
        <v>0</v>
      </c>
      <c r="CC215" s="11">
        <f>+COUNTIFS('muddati otgan'!C:C,A215,'muddati otgan'!J:J,"Kadastr yig'majildini shakllantirish")</f>
        <v>0</v>
      </c>
      <c r="CD215" s="11">
        <f t="shared" si="35"/>
        <v>0</v>
      </c>
      <c r="CE215" s="11">
        <f>+COUNTIFS('muddati otgan'!C:C,A215,'muddati otgan'!J:J,"Kadastr passportini shakllantirish")</f>
        <v>0</v>
      </c>
      <c r="CF215" s="11">
        <f>+COUNTIFS('muddati otgan'!C:C,A215,'muddati otgan'!J:J,"Yig'ma jildni tasdiqlash")</f>
        <v>0</v>
      </c>
      <c r="CG215" s="11">
        <f>+COUNTIFS('muddati otgan'!C:C,A215,'muddati otgan'!J:J,"To'lov yoki bepul tasdiqlash")</f>
        <v>0</v>
      </c>
      <c r="CH215" s="11">
        <f>+COUNTIFS('muddati otgan'!C:C,A215,'muddati otgan'!J:J,"Bog'liq arizani kutish")</f>
        <v>0</v>
      </c>
      <c r="CI215" s="11">
        <f>+COUNTIFS('muddati otgan'!C:C,A215,'muddati otgan'!J:J,"To'lovga chiqarish")</f>
        <v>0</v>
      </c>
      <c r="CJ215" s="11">
        <f>+COUNTIFS('muddati otgan'!C:C,A215,'muddati otgan'!J:J,"Hisobga qo'yish")</f>
        <v>0</v>
      </c>
      <c r="CK215" s="6">
        <f>+COUNTIFS('muddati otgan'!C:C,A215,'muddati otgan'!J:J,"To'lov kutilmoqda")</f>
        <v>1</v>
      </c>
      <c r="CL215" s="11">
        <f t="shared" si="36"/>
        <v>0</v>
      </c>
      <c r="CM215" s="11">
        <f>+COUNTIFS('muddati otgan'!C:C,A215,'muddati otgan'!AA:AA,"Arizani qabul qilish2")</f>
        <v>0</v>
      </c>
      <c r="CN215" s="11">
        <f>+COUNTIFS('muddati otgan'!C:C,A215,'muddati otgan'!J:J,"Huquqlarni tekshirish")</f>
        <v>0</v>
      </c>
      <c r="CO215" s="11">
        <f>+COUNTIFS('muddati otgan'!C:C,A215,'muddati otgan'!J:J,"Ko'chmas mulkni ro'yhatdan o'tkazishga qabul qilish")</f>
        <v>0</v>
      </c>
      <c r="CP215" s="11">
        <f>+COUNTIFS('muddati otgan'!C:C,A215,'muddati otgan'!J:J,"Ro'yxatdan o'tkazish")</f>
        <v>0</v>
      </c>
      <c r="CQ215" s="11">
        <f>+COUNTIFS('muddati otgan'!C:C,A215,'muddati otgan'!J:J,"Kadastr pasporti va ko'chirmani yuborish")</f>
        <v>0</v>
      </c>
      <c r="CR215" s="11">
        <f>+COUNTIFS('muddati otgan'!C:C,A215,'muddati otgan'!AA:AA,"Rad qilish2")</f>
        <v>0</v>
      </c>
      <c r="CS215" s="11">
        <f>+COUNTIFS('muddati otgan'!C:C,A215,'muddati otgan'!J:J,"Ko'chirmani yuborish")</f>
        <v>0</v>
      </c>
      <c r="CT215" s="11">
        <f>+COUNTIFS('muddati otgan'!C:C,A215,'muddati otgan'!J:J,"Ma‘lumotlarni tekshirish")</f>
        <v>0</v>
      </c>
      <c r="CU215" s="11">
        <f t="shared" si="37"/>
        <v>0</v>
      </c>
      <c r="CV215" s="11">
        <f>+COUNTIFS('muddati otgan'!C:C,A215,'muddati otgan'!J:J,"Kadastr yig'majildini chop etish va arxiv ishiga tikish")</f>
        <v>0</v>
      </c>
      <c r="CW215" s="11">
        <f t="shared" si="38"/>
        <v>0</v>
      </c>
      <c r="CX215" s="11">
        <f>+COUNTIFS('muddati otgan'!C:C,A215,'muddati otgan'!J:J,"Kadastr yig‘majildini qabul qilish, arizani yakunlash")</f>
        <v>0</v>
      </c>
      <c r="CY215" s="11">
        <f>+COUNTIFS('muddati otgan'!C:C,A215,'muddati otgan'!J:J,"Next Cloudga yuklash")</f>
        <v>0</v>
      </c>
      <c r="CZ215" s="6">
        <f>+COUNTIFS('muddati otgan'!C:C,A215,'muddati otgan'!J:J,"Kelishish kutilmoqda")</f>
        <v>0</v>
      </c>
      <c r="DA215" s="6">
        <f>+COUNTIFS('muddati otgan'!C:C,A215,'muddati otgan'!J:J,"Yakunlandi")</f>
        <v>0</v>
      </c>
      <c r="DB215" s="10">
        <f>+COUNTIFS('muddati otgan'!C:C,A215,'muddati otgan'!J:J,"Rad etildi")</f>
        <v>0</v>
      </c>
      <c r="DC215" s="100">
        <f t="shared" si="5"/>
        <v>0</v>
      </c>
      <c r="DD215" s="44">
        <f>COUNTIFS('jami 1-20 kunlik arizalar'!C:C,A:A,'jami 1-20 kunlik arizalar'!S:S,"1")</f>
        <v>0</v>
      </c>
      <c r="DE215" s="11">
        <f>COUNTIFS('jami 1-20 kunlik arizalar'!C:C,A:A,'jami 1-20 kunlik arizalar'!S:S,"2")</f>
        <v>0</v>
      </c>
      <c r="DF215" s="11">
        <f>COUNTIFS('jami 1-20 kunlik arizalar'!C:C,A:A,'jami 1-20 kunlik arizalar'!S:S,"3")</f>
        <v>2</v>
      </c>
      <c r="DG215" s="11">
        <f>COUNTIFS('jami 1-20 kunlik arizalar'!C:C,A:A,'jami 1-20 kunlik arizalar'!S:S,"4")</f>
        <v>3</v>
      </c>
      <c r="DH215" s="11">
        <f>COUNTIFS('jami 1-20 kunlik arizalar'!C:C,A:A,'jami 1-20 kunlik arizalar'!S:S,"5")</f>
        <v>2</v>
      </c>
      <c r="DI215" s="11">
        <f>SUM(COUNTIFS('jami 1-20 kunlik arizalar'!C:C,A:A, 'jami 1-20 kunlik arizalar'!S:S, {6,7,8,9,10}))</f>
        <v>3</v>
      </c>
      <c r="DJ215" s="12">
        <f>SUM(COUNTIFS('jami 1-20 kunlik arizalar'!C:C,A:A, 'jami 1-20 kunlik arizalar'!S:S, "&gt;10"))</f>
        <v>3</v>
      </c>
    </row>
    <row r="216" spans="1:114" ht="32.1" hidden="1" customHeight="1" outlineLevel="1" x14ac:dyDescent="0.25">
      <c r="A216" s="92" t="s">
        <v>501</v>
      </c>
      <c r="B216" s="74"/>
      <c r="C216" s="85" t="s">
        <v>903</v>
      </c>
      <c r="D216" s="80">
        <f>+COUNTIFS('muddati otgan'!C:C,A216,'muddati otgan'!C:C,A216)</f>
        <v>2</v>
      </c>
      <c r="E216" s="10">
        <f>SUMIFS('muddati otgan'!$V:V,'muddati otgan'!$C:C,$A:A)</f>
        <v>1</v>
      </c>
      <c r="F216" s="10">
        <f>SUMIFS('muddati otgan'!$W:W,'muddati otgan'!$C:C,$A:A)</f>
        <v>0</v>
      </c>
      <c r="G216" s="24">
        <f>SUMIFS('muddati otgan'!$U:U,'muddati otgan'!$C:C,$A:A)</f>
        <v>1</v>
      </c>
      <c r="H216" s="11">
        <f>SUMIFS('muddati otgan'!$G:G,'muddati otgan'!$C:C,$A:A)</f>
        <v>2</v>
      </c>
      <c r="I216" s="12">
        <f>SUMIFS('muddati otgan'!$H:H,'muddati otgan'!$C:C,$A:A)</f>
        <v>0</v>
      </c>
      <c r="J216" s="44">
        <f t="shared" si="23"/>
        <v>0</v>
      </c>
      <c r="K216" s="11">
        <f>+COUNTIFS('muddati otgan'!C:C,A216,'muddati otgan'!AA:AA,"Arizani qabul qilish")</f>
        <v>0</v>
      </c>
      <c r="L216" s="11">
        <f>+COUNTIFS('muddati otgan'!C:C,A216,'muddati otgan'!J:J,"Arizani rad etish")</f>
        <v>0</v>
      </c>
      <c r="M216" s="11">
        <f>+COUNTIFS('muddati otgan'!C:C,A216,'muddati otgan'!J:J,"Arizani tasdiqlash")</f>
        <v>0</v>
      </c>
      <c r="N216" s="11">
        <f>+COUNTIFS('muddati otgan'!C:C,A216,'muddati otgan'!J:J,"Arizani yo'naltirish")</f>
        <v>0</v>
      </c>
      <c r="O216" s="11">
        <f>+COUNTIFS('muddati otgan'!C:C,A216,'muddati otgan'!J:J,"Rad qilish sababini o'rganish")</f>
        <v>0</v>
      </c>
      <c r="P216" s="11">
        <f>+COUNTIFS('muddati otgan'!C:C,A216,'muddati otgan'!J:J,"Ko'chmas mulkni UZKAD ga migratsiya qilish")</f>
        <v>0</v>
      </c>
      <c r="Q216" s="11">
        <f>+COUNTIFS('muddati otgan'!C:C,A216,'muddati otgan'!J:J,"Migratisya qilingan obyekt holatini tekshirish")</f>
        <v>0</v>
      </c>
      <c r="R216" s="11">
        <f>+COUNTIFS('muddati otgan'!C:C,A216,'muddati otgan'!J:J,"Ko‘chmas mulkni tanlash")</f>
        <v>0</v>
      </c>
      <c r="S216" s="11">
        <f>+COUNTIFS('muddati otgan'!C:C,A216,'muddati otgan'!J:J,"Arizani ko'rib chiqish")</f>
        <v>0</v>
      </c>
      <c r="T216" s="11">
        <f>+COUNTIFS('muddati otgan'!C:C,A216,'muddati otgan'!J:J,"Kadastr muhandisini tanlash")</f>
        <v>0</v>
      </c>
      <c r="U216" s="11">
        <f>+COUNTIFS('muddati otgan'!C:C,A216,'muddati otgan'!J:J,"Ko'chmas mulk turini tanlahsh")</f>
        <v>0</v>
      </c>
      <c r="V216" s="11">
        <f>+COUNTIFS('muddati otgan'!C:C,A216,'muddati otgan'!AA:AA,"Rad qilish")</f>
        <v>0</v>
      </c>
      <c r="W216" s="11">
        <f>+COUNTIFS('muddati otgan'!C:C,A216,'muddati otgan'!J:J,"ijrochi tanlash")</f>
        <v>0</v>
      </c>
      <c r="X216" s="11">
        <f>+COUNTIFS('muddati otgan'!C:C,A216,'muddati otgan'!J:J,"Ko'chmas mulk turini tanlash")</f>
        <v>0</v>
      </c>
      <c r="Y216" s="11">
        <f t="shared" si="24"/>
        <v>0</v>
      </c>
      <c r="Z216" s="11">
        <f>+COUNTIFS('muddati otgan'!C:C,A216,'muddati otgan'!J:J,"Ijroga qabul qilish")</f>
        <v>0</v>
      </c>
      <c r="AA216" s="11">
        <f>+COUNTIFS('muddati otgan'!C:C,A216,'muddati otgan'!J:J,"Joyida o'rganish va ma'lumotlarni kiritish")</f>
        <v>0</v>
      </c>
      <c r="AB216" s="11">
        <f>+COUNTIFS('muddati otgan'!C:C,A216,'muddati otgan'!J:J,"Asosiy qismdan ajratish jarayonida")</f>
        <v>0</v>
      </c>
      <c r="AC216" s="11">
        <f>+COUNTIFS('muddati otgan'!C:C,A216,'muddati otgan'!J:J,"Umumiy foydalanishdagi obyekt yaratilish")</f>
        <v>0</v>
      </c>
      <c r="AD216" s="11">
        <f>+COUNTIFS('muddati otgan'!C:C,A216,'muddati otgan'!J:J,"Migratsiya qilinadigan kadastr raqamini kiritish")</f>
        <v>0</v>
      </c>
      <c r="AE216" s="11">
        <f>+COUNTIFS('muddati otgan'!C:C,A216,'muddati otgan'!J:J,"O'zida qolgan obyektni yaratish")</f>
        <v>0</v>
      </c>
      <c r="AF216" s="11">
        <f>+COUNTIFS('muddati otgan'!C:C,A216,'muddati otgan'!J:J,"O'lchov natijalarini kiritish")</f>
        <v>0</v>
      </c>
      <c r="AG216" s="11">
        <f>+COUNTIFS('muddati otgan'!C:C,A216,'muddati otgan'!J:J,"Topoxaritani tayyorlash (dwg, pdf)")</f>
        <v>0</v>
      </c>
      <c r="AH216" s="11">
        <f t="shared" si="25"/>
        <v>0</v>
      </c>
      <c r="AI216" s="11">
        <f>+COUNTIFS('muddati otgan'!C:C,A216,'muddati otgan'!J:J,"Yer uchastkasini yaratish")</f>
        <v>0</v>
      </c>
      <c r="AJ216" s="11">
        <f t="shared" si="26"/>
        <v>0</v>
      </c>
      <c r="AK216" s="11">
        <f>+COUNTIFS('muddati otgan'!C:C,A216,'muddati otgan'!J:J,"Kelishish (Boshqarma)")</f>
        <v>0</v>
      </c>
      <c r="AL216" s="11">
        <f t="shared" si="27"/>
        <v>0</v>
      </c>
      <c r="AM216" s="11">
        <f>+COUNTIFS('muddati otgan'!C:C,A216,'muddati otgan'!J:J,"Kelishish (DKP)")</f>
        <v>0</v>
      </c>
      <c r="AN216" s="11">
        <f>+COUNTIFS('muddati otgan'!C:C,A216,'muddati otgan'!J:J,"Kelishish")</f>
        <v>0</v>
      </c>
      <c r="AO216" s="11">
        <f>+COUNTIFS('muddati otgan'!C:C,A216,'muddati otgan'!J:J,"Kelishish (Registratsiya DKP)")</f>
        <v>0</v>
      </c>
      <c r="AP216" s="11">
        <f t="shared" si="28"/>
        <v>0</v>
      </c>
      <c r="AQ216" s="11">
        <f>+COUNTIFS('muddati otgan'!C:C,A216,'muddati otgan'!J:J,"Manzil biriktirish")</f>
        <v>0</v>
      </c>
      <c r="AR216" s="11">
        <f>+COUNTIFS('muddati otgan'!C:C,A216,'muddati otgan'!J:J,"Bino va inshootlarni yaratish")</f>
        <v>0</v>
      </c>
      <c r="AS216" s="11">
        <f>+COUNTIFS('muddati otgan'!C:C,A216,'muddati otgan'!J:J,"Dov daraxtlarni yaratish")</f>
        <v>0</v>
      </c>
      <c r="AT216" s="11">
        <f>+COUNTIFS('muddati otgan'!C:C,A216,'muddati otgan'!J:J,"Yer uchastkasini tahrirlash")</f>
        <v>0</v>
      </c>
      <c r="AU216" s="11">
        <f t="shared" si="29"/>
        <v>0</v>
      </c>
      <c r="AV216" s="11">
        <f>+COUNTIFS('muddati otgan'!C:C,A216,'muddati otgan'!J:J,"Yer toifasi va maqsadini kiritish")</f>
        <v>0</v>
      </c>
      <c r="AW216" s="11">
        <f>+COUNTIFS('muddati otgan'!C:C,A216,'muddati otgan'!J:J,"Auksion yer tekshirish")</f>
        <v>0</v>
      </c>
      <c r="AX216" s="11">
        <f>+COUNTIFS('muddati otgan'!C:C,A216,'muddati otgan'!J:J,"Yer turlarini kiritish")</f>
        <v>0</v>
      </c>
      <c r="AY216" s="11">
        <f>+COUNTIFS('muddati otgan'!C:C,A216,'muddati otgan'!J:J,"Ma'lumotlarni kiritish")</f>
        <v>0</v>
      </c>
      <c r="AZ216" s="11">
        <f>+COUNTIFS('muddati otgan'!C:C,A216,'muddati otgan'!J:J,"Yer tekshirish")</f>
        <v>0</v>
      </c>
      <c r="BA216" s="11">
        <f t="shared" si="30"/>
        <v>0</v>
      </c>
      <c r="BB216" s="11">
        <f>+COUNTIFS('muddati otgan'!C:C,A216,'muddati otgan'!J:J,"Bino va inshoot ma'lumotlarini to‘ldirish")</f>
        <v>0</v>
      </c>
      <c r="BC216" s="11">
        <f>+COUNTIFS('muddati otgan'!C:C,A216,'muddati otgan'!J:J,"Inventarizatsiya ma'lumotlarini to‘ldirish")</f>
        <v>0</v>
      </c>
      <c r="BD216" s="11">
        <f>+COUNTIFS('muddati otgan'!C:C,A216,'muddati otgan'!J:J,"Yer uchastkasiga huquqiy hujjatlarni kiritsh")</f>
        <v>0</v>
      </c>
      <c r="BE216" s="11">
        <f>+COUNTIFS('muddati otgan'!C:C,A216,'muddati otgan'!J:J,"Bino-inshootlarga huquqiy hujjatlarni kiritsh")</f>
        <v>0</v>
      </c>
      <c r="BF216" s="11">
        <f>+COUNTIFS('muddati otgan'!C:C,A216,'muddati otgan'!J:J,"Kadastr qiymatini hisoblash va kiritish")</f>
        <v>0</v>
      </c>
      <c r="BG216" s="11">
        <f>+COUNTIFS('muddati otgan'!C:C,A216,'muddati otgan'!J:J,"Kadastr raqam biriktirish")</f>
        <v>0</v>
      </c>
      <c r="BH216" s="11">
        <f>+COUNTIFS('muddati otgan'!C:C,A216,'muddati otgan'!J:J,"Kadastr yig'ma jildni tayyorlash")</f>
        <v>0</v>
      </c>
      <c r="BI216" s="11">
        <f>+COUNTIFS('muddati otgan'!C:C,A216,'muddati otgan'!J:J,"Huquqni yaratish")</f>
        <v>0</v>
      </c>
      <c r="BJ216" s="11">
        <f>+COUNTIFS('muddati otgan'!C:C,A216,'muddati otgan'!J:J,"Hujjatlarni o'rganish")</f>
        <v>0</v>
      </c>
      <c r="BK216" s="11">
        <f>+COUNTIFS('muddati otgan'!C:C,A216,'muddati otgan'!J:J,"Ma'lumotlarni tekshirish")</f>
        <v>0</v>
      </c>
      <c r="BL216" s="11">
        <f t="shared" si="31"/>
        <v>0</v>
      </c>
      <c r="BM216" s="11">
        <f>+COUNTIFS('muddati otgan'!C:C,A216,'muddati otgan'!J:J,"Tekshirish")</f>
        <v>0</v>
      </c>
      <c r="BN216" s="11">
        <f>+COUNTIFS('muddati otgan'!C:C,A216,'muddati otgan'!J:J,"Hujjatlarni tekshirish")</f>
        <v>0</v>
      </c>
      <c r="BO216" s="11">
        <f>+COUNTIFS('muddati otgan'!C:C,A216,'muddati otgan'!J:J,"Tasdiqlash")</f>
        <v>0</v>
      </c>
      <c r="BP216" s="11">
        <f>+COUNTIFS('muddati otgan'!C:C,A216,'muddati otgan'!J:J,"tekshirish/tasdiqlash")</f>
        <v>0</v>
      </c>
      <c r="BQ216" s="11">
        <f>+COUNTIFS('muddati otgan'!C:C,A216,'muddati otgan'!J:J,"Ma'lumotlarni tasdiqlash")</f>
        <v>0</v>
      </c>
      <c r="BR216" s="11">
        <f t="shared" si="32"/>
        <v>1</v>
      </c>
      <c r="BS216" s="11">
        <f>+COUNTIFS('muddati otgan'!C:C,A216,'muddati otgan'!J:J,"Ro'yxatdan o'tkazish ma'lumotlarini tekshirish")</f>
        <v>1</v>
      </c>
      <c r="BT216" s="11">
        <f>+COUNTIFS('muddati otgan'!C:C,A216,'muddati otgan'!J:J,"Kamchiliklar bo'yicha habarnoma yuborish va 3 kunga to'xtatish")</f>
        <v>0</v>
      </c>
      <c r="BU216" s="11">
        <f>+COUNTIFS('muddati otgan'!C:C,A216,'muddati otgan'!J:J,"Hisobga olish")</f>
        <v>0</v>
      </c>
      <c r="BV216" s="11">
        <f>+COUNTIFS('muddati otgan'!C:C,A216,'muddati otgan'!J:J,"Yer uchastkasiga huquq yaratish")</f>
        <v>0</v>
      </c>
      <c r="BW216" s="11">
        <f>+COUNTIFS('muddati otgan'!C:C,A216,'muddati otgan'!J:J,"Bino-inshootga huquq yaratish")</f>
        <v>0</v>
      </c>
      <c r="BX216" s="11">
        <f>+COUNTIFS('muddati otgan'!C:C,A216,'muddati otgan'!J:J,"Cheklov yaratish")</f>
        <v>0</v>
      </c>
      <c r="BY216" s="11">
        <f>+COUNTIFS('muddati otgan'!C:C,A216,'muddati otgan'!J:J,"Taqiq yaratish")</f>
        <v>0</v>
      </c>
      <c r="BZ216" s="11">
        <f t="shared" si="33"/>
        <v>0</v>
      </c>
      <c r="CA216" s="11">
        <f>+COUNTIFS('muddati otgan'!C:C,A216,'muddati otgan'!J:J,"Soliq maydonini tekshirish")</f>
        <v>0</v>
      </c>
      <c r="CB216" s="11">
        <f t="shared" si="34"/>
        <v>0</v>
      </c>
      <c r="CC216" s="11">
        <f>+COUNTIFS('muddati otgan'!C:C,A216,'muddati otgan'!J:J,"Kadastr yig'majildini shakllantirish")</f>
        <v>0</v>
      </c>
      <c r="CD216" s="11">
        <f t="shared" si="35"/>
        <v>0</v>
      </c>
      <c r="CE216" s="11">
        <f>+COUNTIFS('muddati otgan'!C:C,A216,'muddati otgan'!J:J,"Kadastr passportini shakllantirish")</f>
        <v>0</v>
      </c>
      <c r="CF216" s="11">
        <f>+COUNTIFS('muddati otgan'!C:C,A216,'muddati otgan'!J:J,"Yig'ma jildni tasdiqlash")</f>
        <v>0</v>
      </c>
      <c r="CG216" s="11">
        <f>+COUNTIFS('muddati otgan'!C:C,A216,'muddati otgan'!J:J,"To'lov yoki bepul tasdiqlash")</f>
        <v>0</v>
      </c>
      <c r="CH216" s="11">
        <f>+COUNTIFS('muddati otgan'!C:C,A216,'muddati otgan'!J:J,"Bog'liq arizani kutish")</f>
        <v>0</v>
      </c>
      <c r="CI216" s="11">
        <f>+COUNTIFS('muddati otgan'!C:C,A216,'muddati otgan'!J:J,"To'lovga chiqarish")</f>
        <v>0</v>
      </c>
      <c r="CJ216" s="11">
        <f>+COUNTIFS('muddati otgan'!C:C,A216,'muddati otgan'!J:J,"Hisobga qo'yish")</f>
        <v>0</v>
      </c>
      <c r="CK216" s="6">
        <f>+COUNTIFS('muddati otgan'!C:C,A216,'muddati otgan'!J:J,"To'lov kutilmoqda")</f>
        <v>1</v>
      </c>
      <c r="CL216" s="11">
        <f t="shared" si="36"/>
        <v>0</v>
      </c>
      <c r="CM216" s="11">
        <f>+COUNTIFS('muddati otgan'!C:C,A216,'muddati otgan'!AA:AA,"Arizani qabul qilish2")</f>
        <v>0</v>
      </c>
      <c r="CN216" s="11">
        <f>+COUNTIFS('muddati otgan'!C:C,A216,'muddati otgan'!J:J,"Huquqlarni tekshirish")</f>
        <v>0</v>
      </c>
      <c r="CO216" s="11">
        <f>+COUNTIFS('muddati otgan'!C:C,A216,'muddati otgan'!J:J,"Ko'chmas mulkni ro'yhatdan o'tkazishga qabul qilish")</f>
        <v>0</v>
      </c>
      <c r="CP216" s="11">
        <f>+COUNTIFS('muddati otgan'!C:C,A216,'muddati otgan'!J:J,"Ro'yxatdan o'tkazish")</f>
        <v>0</v>
      </c>
      <c r="CQ216" s="11">
        <f>+COUNTIFS('muddati otgan'!C:C,A216,'muddati otgan'!J:J,"Kadastr pasporti va ko'chirmani yuborish")</f>
        <v>0</v>
      </c>
      <c r="CR216" s="11">
        <f>+COUNTIFS('muddati otgan'!C:C,A216,'muddati otgan'!AA:AA,"Rad qilish2")</f>
        <v>0</v>
      </c>
      <c r="CS216" s="11">
        <f>+COUNTIFS('muddati otgan'!C:C,A216,'muddati otgan'!J:J,"Ko'chirmani yuborish")</f>
        <v>0</v>
      </c>
      <c r="CT216" s="11">
        <f>+COUNTIFS('muddati otgan'!C:C,A216,'muddati otgan'!J:J,"Ma‘lumotlarni tekshirish")</f>
        <v>0</v>
      </c>
      <c r="CU216" s="11">
        <f t="shared" si="37"/>
        <v>0</v>
      </c>
      <c r="CV216" s="11">
        <f>+COUNTIFS('muddati otgan'!C:C,A216,'muddati otgan'!J:J,"Kadastr yig'majildini chop etish va arxiv ishiga tikish")</f>
        <v>0</v>
      </c>
      <c r="CW216" s="11">
        <f t="shared" si="38"/>
        <v>0</v>
      </c>
      <c r="CX216" s="11">
        <f>+COUNTIFS('muddati otgan'!C:C,A216,'muddati otgan'!J:J,"Kadastr yig‘majildini qabul qilish, arizani yakunlash")</f>
        <v>0</v>
      </c>
      <c r="CY216" s="11">
        <f>+COUNTIFS('muddati otgan'!C:C,A216,'muddati otgan'!J:J,"Next Cloudga yuklash")</f>
        <v>0</v>
      </c>
      <c r="CZ216" s="6">
        <f>+COUNTIFS('muddati otgan'!C:C,A216,'muddati otgan'!J:J,"Kelishish kutilmoqda")</f>
        <v>0</v>
      </c>
      <c r="DA216" s="6">
        <f>+COUNTIFS('muddati otgan'!C:C,A216,'muddati otgan'!J:J,"Yakunlandi")</f>
        <v>0</v>
      </c>
      <c r="DB216" s="10">
        <f>+COUNTIFS('muddati otgan'!C:C,A216,'muddati otgan'!J:J,"Rad etildi")</f>
        <v>0</v>
      </c>
      <c r="DC216" s="100">
        <f t="shared" si="5"/>
        <v>-1</v>
      </c>
      <c r="DD216" s="44">
        <f>COUNTIFS('jami 1-20 kunlik arizalar'!C:C,A:A,'jami 1-20 kunlik arizalar'!S:S,"1")</f>
        <v>0</v>
      </c>
      <c r="DE216" s="11">
        <f>COUNTIFS('jami 1-20 kunlik arizalar'!C:C,A:A,'jami 1-20 kunlik arizalar'!S:S,"2")</f>
        <v>0</v>
      </c>
      <c r="DF216" s="11">
        <f>COUNTIFS('jami 1-20 kunlik arizalar'!C:C,A:A,'jami 1-20 kunlik arizalar'!S:S,"3")</f>
        <v>2</v>
      </c>
      <c r="DG216" s="11">
        <f>COUNTIFS('jami 1-20 kunlik arizalar'!C:C,A:A,'jami 1-20 kunlik arizalar'!S:S,"4")</f>
        <v>4</v>
      </c>
      <c r="DH216" s="11">
        <f>COUNTIFS('jami 1-20 kunlik arizalar'!C:C,A:A,'jami 1-20 kunlik arizalar'!S:S,"5")</f>
        <v>0</v>
      </c>
      <c r="DI216" s="11">
        <f>SUM(COUNTIFS('jami 1-20 kunlik arizalar'!C:C,A:A, 'jami 1-20 kunlik arizalar'!S:S, {6,7,8,9,10}))</f>
        <v>4</v>
      </c>
      <c r="DJ216" s="12">
        <f>SUM(COUNTIFS('jami 1-20 kunlik arizalar'!C:C,A:A, 'jami 1-20 kunlik arizalar'!S:S, "&gt;10"))</f>
        <v>4</v>
      </c>
    </row>
    <row r="217" spans="1:114" ht="32.1" hidden="1" customHeight="1" outlineLevel="1" x14ac:dyDescent="0.25">
      <c r="A217" s="92" t="s">
        <v>524</v>
      </c>
      <c r="B217" s="74"/>
      <c r="C217" s="85" t="s">
        <v>904</v>
      </c>
      <c r="D217" s="80">
        <f>+COUNTIFS('muddati otgan'!C:C,A217,'muddati otgan'!C:C,A217)</f>
        <v>2</v>
      </c>
      <c r="E217" s="10">
        <f>SUMIFS('muddati otgan'!$V:V,'muddati otgan'!$C:C,$A:A)</f>
        <v>2</v>
      </c>
      <c r="F217" s="10">
        <f>SUMIFS('muddati otgan'!$W:W,'muddati otgan'!$C:C,$A:A)</f>
        <v>0</v>
      </c>
      <c r="G217" s="24">
        <f>SUMIFS('muddati otgan'!$U:U,'muddati otgan'!$C:C,$A:A)</f>
        <v>0</v>
      </c>
      <c r="H217" s="11">
        <f>SUMIFS('muddati otgan'!$G:G,'muddati otgan'!$C:C,$A:A)</f>
        <v>2</v>
      </c>
      <c r="I217" s="12">
        <f>SUMIFS('muddati otgan'!$H:H,'muddati otgan'!$C:C,$A:A)</f>
        <v>0</v>
      </c>
      <c r="J217" s="44">
        <f t="shared" si="23"/>
        <v>1</v>
      </c>
      <c r="K217" s="11">
        <f>+COUNTIFS('muddati otgan'!C:C,A217,'muddati otgan'!AA:AA,"Arizani qabul qilish")</f>
        <v>1</v>
      </c>
      <c r="L217" s="11">
        <f>+COUNTIFS('muddati otgan'!C:C,A217,'muddati otgan'!J:J,"Arizani rad etish")</f>
        <v>0</v>
      </c>
      <c r="M217" s="11">
        <f>+COUNTIFS('muddati otgan'!C:C,A217,'muddati otgan'!J:J,"Arizani tasdiqlash")</f>
        <v>0</v>
      </c>
      <c r="N217" s="11">
        <f>+COUNTIFS('muddati otgan'!C:C,A217,'muddati otgan'!J:J,"Arizani yo'naltirish")</f>
        <v>0</v>
      </c>
      <c r="O217" s="11">
        <f>+COUNTIFS('muddati otgan'!C:C,A217,'muddati otgan'!J:J,"Rad qilish sababini o'rganish")</f>
        <v>0</v>
      </c>
      <c r="P217" s="11">
        <f>+COUNTIFS('muddati otgan'!C:C,A217,'muddati otgan'!J:J,"Ko'chmas mulkni UZKAD ga migratsiya qilish")</f>
        <v>0</v>
      </c>
      <c r="Q217" s="11">
        <f>+COUNTIFS('muddati otgan'!C:C,A217,'muddati otgan'!J:J,"Migratisya qilingan obyekt holatini tekshirish")</f>
        <v>0</v>
      </c>
      <c r="R217" s="11">
        <f>+COUNTIFS('muddati otgan'!C:C,A217,'muddati otgan'!J:J,"Ko‘chmas mulkni tanlash")</f>
        <v>0</v>
      </c>
      <c r="S217" s="11">
        <f>+COUNTIFS('muddati otgan'!C:C,A217,'muddati otgan'!J:J,"Arizani ko'rib chiqish")</f>
        <v>0</v>
      </c>
      <c r="T217" s="11">
        <f>+COUNTIFS('muddati otgan'!C:C,A217,'muddati otgan'!J:J,"Kadastr muhandisini tanlash")</f>
        <v>0</v>
      </c>
      <c r="U217" s="11">
        <f>+COUNTIFS('muddati otgan'!C:C,A217,'muddati otgan'!J:J,"Ko'chmas mulk turini tanlahsh")</f>
        <v>0</v>
      </c>
      <c r="V217" s="11">
        <f>+COUNTIFS('muddati otgan'!C:C,A217,'muddati otgan'!AA:AA,"Rad qilish")</f>
        <v>0</v>
      </c>
      <c r="W217" s="11">
        <f>+COUNTIFS('muddati otgan'!C:C,A217,'muddati otgan'!J:J,"ijrochi tanlash")</f>
        <v>0</v>
      </c>
      <c r="X217" s="11">
        <f>+COUNTIFS('muddati otgan'!C:C,A217,'muddati otgan'!J:J,"Ko'chmas mulk turini tanlash")</f>
        <v>0</v>
      </c>
      <c r="Y217" s="11">
        <f t="shared" si="24"/>
        <v>0</v>
      </c>
      <c r="Z217" s="11">
        <f>+COUNTIFS('muddati otgan'!C:C,A217,'muddati otgan'!J:J,"Ijroga qabul qilish")</f>
        <v>0</v>
      </c>
      <c r="AA217" s="11">
        <f>+COUNTIFS('muddati otgan'!C:C,A217,'muddati otgan'!J:J,"Joyida o'rganish va ma'lumotlarni kiritish")</f>
        <v>0</v>
      </c>
      <c r="AB217" s="11">
        <f>+COUNTIFS('muddati otgan'!C:C,A217,'muddati otgan'!J:J,"Asosiy qismdan ajratish jarayonida")</f>
        <v>0</v>
      </c>
      <c r="AC217" s="11">
        <f>+COUNTIFS('muddati otgan'!C:C,A217,'muddati otgan'!J:J,"Umumiy foydalanishdagi obyekt yaratilish")</f>
        <v>0</v>
      </c>
      <c r="AD217" s="11">
        <f>+COUNTIFS('muddati otgan'!C:C,A217,'muddati otgan'!J:J,"Migratsiya qilinadigan kadastr raqamini kiritish")</f>
        <v>0</v>
      </c>
      <c r="AE217" s="11">
        <f>+COUNTIFS('muddati otgan'!C:C,A217,'muddati otgan'!J:J,"O'zida qolgan obyektni yaratish")</f>
        <v>0</v>
      </c>
      <c r="AF217" s="11">
        <f>+COUNTIFS('muddati otgan'!C:C,A217,'muddati otgan'!J:J,"O'lchov natijalarini kiritish")</f>
        <v>0</v>
      </c>
      <c r="AG217" s="11">
        <f>+COUNTIFS('muddati otgan'!C:C,A217,'muddati otgan'!J:J,"Topoxaritani tayyorlash (dwg, pdf)")</f>
        <v>0</v>
      </c>
      <c r="AH217" s="11">
        <f t="shared" si="25"/>
        <v>0</v>
      </c>
      <c r="AI217" s="11">
        <f>+COUNTIFS('muddati otgan'!C:C,A217,'muddati otgan'!J:J,"Yer uchastkasini yaratish")</f>
        <v>0</v>
      </c>
      <c r="AJ217" s="11">
        <f t="shared" si="26"/>
        <v>0</v>
      </c>
      <c r="AK217" s="11">
        <f>+COUNTIFS('muddati otgan'!C:C,A217,'muddati otgan'!J:J,"Kelishish (Boshqarma)")</f>
        <v>0</v>
      </c>
      <c r="AL217" s="11">
        <f t="shared" si="27"/>
        <v>0</v>
      </c>
      <c r="AM217" s="11">
        <f>+COUNTIFS('muddati otgan'!C:C,A217,'muddati otgan'!J:J,"Kelishish (DKP)")</f>
        <v>0</v>
      </c>
      <c r="AN217" s="11">
        <f>+COUNTIFS('muddati otgan'!C:C,A217,'muddati otgan'!J:J,"Kelishish")</f>
        <v>0</v>
      </c>
      <c r="AO217" s="11">
        <f>+COUNTIFS('muddati otgan'!C:C,A217,'muddati otgan'!J:J,"Kelishish (Registratsiya DKP)")</f>
        <v>0</v>
      </c>
      <c r="AP217" s="11">
        <f t="shared" si="28"/>
        <v>0</v>
      </c>
      <c r="AQ217" s="11">
        <f>+COUNTIFS('muddati otgan'!C:C,A217,'muddati otgan'!J:J,"Manzil biriktirish")</f>
        <v>0</v>
      </c>
      <c r="AR217" s="11">
        <f>+COUNTIFS('muddati otgan'!C:C,A217,'muddati otgan'!J:J,"Bino va inshootlarni yaratish")</f>
        <v>0</v>
      </c>
      <c r="AS217" s="11">
        <f>+COUNTIFS('muddati otgan'!C:C,A217,'muddati otgan'!J:J,"Dov daraxtlarni yaratish")</f>
        <v>0</v>
      </c>
      <c r="AT217" s="11">
        <f>+COUNTIFS('muddati otgan'!C:C,A217,'muddati otgan'!J:J,"Yer uchastkasini tahrirlash")</f>
        <v>0</v>
      </c>
      <c r="AU217" s="11">
        <f t="shared" si="29"/>
        <v>0</v>
      </c>
      <c r="AV217" s="11">
        <f>+COUNTIFS('muddati otgan'!C:C,A217,'muddati otgan'!J:J,"Yer toifasi va maqsadini kiritish")</f>
        <v>0</v>
      </c>
      <c r="AW217" s="11">
        <f>+COUNTIFS('muddati otgan'!C:C,A217,'muddati otgan'!J:J,"Auksion yer tekshirish")</f>
        <v>0</v>
      </c>
      <c r="AX217" s="11">
        <f>+COUNTIFS('muddati otgan'!C:C,A217,'muddati otgan'!J:J,"Yer turlarini kiritish")</f>
        <v>0</v>
      </c>
      <c r="AY217" s="11">
        <f>+COUNTIFS('muddati otgan'!C:C,A217,'muddati otgan'!J:J,"Ma'lumotlarni kiritish")</f>
        <v>0</v>
      </c>
      <c r="AZ217" s="11">
        <f>+COUNTIFS('muddati otgan'!C:C,A217,'muddati otgan'!J:J,"Yer tekshirish")</f>
        <v>0</v>
      </c>
      <c r="BA217" s="11">
        <f t="shared" si="30"/>
        <v>0</v>
      </c>
      <c r="BB217" s="11">
        <f>+COUNTIFS('muddati otgan'!C:C,A217,'muddati otgan'!J:J,"Bino va inshoot ma'lumotlarini to‘ldirish")</f>
        <v>0</v>
      </c>
      <c r="BC217" s="11">
        <f>+COUNTIFS('muddati otgan'!C:C,A217,'muddati otgan'!J:J,"Inventarizatsiya ma'lumotlarini to‘ldirish")</f>
        <v>0</v>
      </c>
      <c r="BD217" s="11">
        <f>+COUNTIFS('muddati otgan'!C:C,A217,'muddati otgan'!J:J,"Yer uchastkasiga huquqiy hujjatlarni kiritsh")</f>
        <v>0</v>
      </c>
      <c r="BE217" s="11">
        <f>+COUNTIFS('muddati otgan'!C:C,A217,'muddati otgan'!J:J,"Bino-inshootlarga huquqiy hujjatlarni kiritsh")</f>
        <v>0</v>
      </c>
      <c r="BF217" s="11">
        <f>+COUNTIFS('muddati otgan'!C:C,A217,'muddati otgan'!J:J,"Kadastr qiymatini hisoblash va kiritish")</f>
        <v>0</v>
      </c>
      <c r="BG217" s="11">
        <f>+COUNTIFS('muddati otgan'!C:C,A217,'muddati otgan'!J:J,"Kadastr raqam biriktirish")</f>
        <v>0</v>
      </c>
      <c r="BH217" s="11">
        <f>+COUNTIFS('muddati otgan'!C:C,A217,'muddati otgan'!J:J,"Kadastr yig'ma jildni tayyorlash")</f>
        <v>0</v>
      </c>
      <c r="BI217" s="11">
        <f>+COUNTIFS('muddati otgan'!C:C,A217,'muddati otgan'!J:J,"Huquqni yaratish")</f>
        <v>0</v>
      </c>
      <c r="BJ217" s="11">
        <f>+COUNTIFS('muddati otgan'!C:C,A217,'muddati otgan'!J:J,"Hujjatlarni o'rganish")</f>
        <v>0</v>
      </c>
      <c r="BK217" s="11">
        <f>+COUNTIFS('muddati otgan'!C:C,A217,'muddati otgan'!J:J,"Ma'lumotlarni tekshirish")</f>
        <v>0</v>
      </c>
      <c r="BL217" s="11">
        <f t="shared" si="31"/>
        <v>1</v>
      </c>
      <c r="BM217" s="11">
        <f>+COUNTIFS('muddati otgan'!C:C,A217,'muddati otgan'!J:J,"Tekshirish")</f>
        <v>1</v>
      </c>
      <c r="BN217" s="11">
        <f>+COUNTIFS('muddati otgan'!C:C,A217,'muddati otgan'!J:J,"Hujjatlarni tekshirish")</f>
        <v>0</v>
      </c>
      <c r="BO217" s="11">
        <f>+COUNTIFS('muddati otgan'!C:C,A217,'muddati otgan'!J:J,"Tasdiqlash")</f>
        <v>0</v>
      </c>
      <c r="BP217" s="11">
        <f>+COUNTIFS('muddati otgan'!C:C,A217,'muddati otgan'!J:J,"tekshirish/tasdiqlash")</f>
        <v>0</v>
      </c>
      <c r="BQ217" s="11">
        <f>+COUNTIFS('muddati otgan'!C:C,A217,'muddati otgan'!J:J,"Ma'lumotlarni tasdiqlash")</f>
        <v>0</v>
      </c>
      <c r="BR217" s="11">
        <f t="shared" si="32"/>
        <v>0</v>
      </c>
      <c r="BS217" s="11">
        <f>+COUNTIFS('muddati otgan'!C:C,A217,'muddati otgan'!J:J,"Ro'yxatdan o'tkazish ma'lumotlarini tekshirish")</f>
        <v>0</v>
      </c>
      <c r="BT217" s="11">
        <f>+COUNTIFS('muddati otgan'!C:C,A217,'muddati otgan'!J:J,"Kamchiliklar bo'yicha habarnoma yuborish va 3 kunga to'xtatish")</f>
        <v>0</v>
      </c>
      <c r="BU217" s="11">
        <f>+COUNTIFS('muddati otgan'!C:C,A217,'muddati otgan'!J:J,"Hisobga olish")</f>
        <v>0</v>
      </c>
      <c r="BV217" s="11">
        <f>+COUNTIFS('muddati otgan'!C:C,A217,'muddati otgan'!J:J,"Yer uchastkasiga huquq yaratish")</f>
        <v>0</v>
      </c>
      <c r="BW217" s="11">
        <f>+COUNTIFS('muddati otgan'!C:C,A217,'muddati otgan'!J:J,"Bino-inshootga huquq yaratish")</f>
        <v>0</v>
      </c>
      <c r="BX217" s="11">
        <f>+COUNTIFS('muddati otgan'!C:C,A217,'muddati otgan'!J:J,"Cheklov yaratish")</f>
        <v>0</v>
      </c>
      <c r="BY217" s="11">
        <f>+COUNTIFS('muddati otgan'!C:C,A217,'muddati otgan'!J:J,"Taqiq yaratish")</f>
        <v>0</v>
      </c>
      <c r="BZ217" s="11">
        <f t="shared" si="33"/>
        <v>0</v>
      </c>
      <c r="CA217" s="11">
        <f>+COUNTIFS('muddati otgan'!C:C,A217,'muddati otgan'!J:J,"Soliq maydonini tekshirish")</f>
        <v>0</v>
      </c>
      <c r="CB217" s="11">
        <f t="shared" si="34"/>
        <v>0</v>
      </c>
      <c r="CC217" s="11">
        <f>+COUNTIFS('muddati otgan'!C:C,A217,'muddati otgan'!J:J,"Kadastr yig'majildini shakllantirish")</f>
        <v>0</v>
      </c>
      <c r="CD217" s="11">
        <f t="shared" si="35"/>
        <v>0</v>
      </c>
      <c r="CE217" s="11">
        <f>+COUNTIFS('muddati otgan'!C:C,A217,'muddati otgan'!J:J,"Kadastr passportini shakllantirish")</f>
        <v>0</v>
      </c>
      <c r="CF217" s="11">
        <f>+COUNTIFS('muddati otgan'!C:C,A217,'muddati otgan'!J:J,"Yig'ma jildni tasdiqlash")</f>
        <v>0</v>
      </c>
      <c r="CG217" s="11">
        <f>+COUNTIFS('muddati otgan'!C:C,A217,'muddati otgan'!J:J,"To'lov yoki bepul tasdiqlash")</f>
        <v>0</v>
      </c>
      <c r="CH217" s="11">
        <f>+COUNTIFS('muddati otgan'!C:C,A217,'muddati otgan'!J:J,"Bog'liq arizani kutish")</f>
        <v>0</v>
      </c>
      <c r="CI217" s="11">
        <f>+COUNTIFS('muddati otgan'!C:C,A217,'muddati otgan'!J:J,"To'lovga chiqarish")</f>
        <v>0</v>
      </c>
      <c r="CJ217" s="11">
        <f>+COUNTIFS('muddati otgan'!C:C,A217,'muddati otgan'!J:J,"Hisobga qo'yish")</f>
        <v>0</v>
      </c>
      <c r="CK217" s="6">
        <f>+COUNTIFS('muddati otgan'!C:C,A217,'muddati otgan'!J:J,"To'lov kutilmoqda")</f>
        <v>0</v>
      </c>
      <c r="CL217" s="11">
        <f t="shared" si="36"/>
        <v>0</v>
      </c>
      <c r="CM217" s="11">
        <f>+COUNTIFS('muddati otgan'!C:C,A217,'muddati otgan'!AA:AA,"Arizani qabul qilish2")</f>
        <v>0</v>
      </c>
      <c r="CN217" s="11">
        <f>+COUNTIFS('muddati otgan'!C:C,A217,'muddati otgan'!J:J,"Huquqlarni tekshirish")</f>
        <v>0</v>
      </c>
      <c r="CO217" s="11">
        <f>+COUNTIFS('muddati otgan'!C:C,A217,'muddati otgan'!J:J,"Ko'chmas mulkni ro'yhatdan o'tkazishga qabul qilish")</f>
        <v>0</v>
      </c>
      <c r="CP217" s="11">
        <f>+COUNTIFS('muddati otgan'!C:C,A217,'muddati otgan'!J:J,"Ro'yxatdan o'tkazish")</f>
        <v>0</v>
      </c>
      <c r="CQ217" s="11">
        <f>+COUNTIFS('muddati otgan'!C:C,A217,'muddati otgan'!J:J,"Kadastr pasporti va ko'chirmani yuborish")</f>
        <v>0</v>
      </c>
      <c r="CR217" s="11">
        <f>+COUNTIFS('muddati otgan'!C:C,A217,'muddati otgan'!AA:AA,"Rad qilish2")</f>
        <v>0</v>
      </c>
      <c r="CS217" s="11">
        <f>+COUNTIFS('muddati otgan'!C:C,A217,'muddati otgan'!J:J,"Ko'chirmani yuborish")</f>
        <v>0</v>
      </c>
      <c r="CT217" s="11">
        <f>+COUNTIFS('muddati otgan'!C:C,A217,'muddati otgan'!J:J,"Ma‘lumotlarni tekshirish")</f>
        <v>0</v>
      </c>
      <c r="CU217" s="11">
        <f t="shared" si="37"/>
        <v>0</v>
      </c>
      <c r="CV217" s="11">
        <f>+COUNTIFS('muddati otgan'!C:C,A217,'muddati otgan'!J:J,"Kadastr yig'majildini chop etish va arxiv ishiga tikish")</f>
        <v>0</v>
      </c>
      <c r="CW217" s="11">
        <f t="shared" si="38"/>
        <v>0</v>
      </c>
      <c r="CX217" s="11">
        <f>+COUNTIFS('muddati otgan'!C:C,A217,'muddati otgan'!J:J,"Kadastr yig‘majildini qabul qilish, arizani yakunlash")</f>
        <v>0</v>
      </c>
      <c r="CY217" s="11">
        <f>+COUNTIFS('muddati otgan'!C:C,A217,'muddati otgan'!J:J,"Next Cloudga yuklash")</f>
        <v>0</v>
      </c>
      <c r="CZ217" s="6">
        <f>+COUNTIFS('muddati otgan'!C:C,A217,'muddati otgan'!J:J,"Kelishish kutilmoqda")</f>
        <v>0</v>
      </c>
      <c r="DA217" s="6">
        <f>+COUNTIFS('muddati otgan'!C:C,A217,'muddati otgan'!J:J,"Yakunlandi")</f>
        <v>0</v>
      </c>
      <c r="DB217" s="10">
        <f>+COUNTIFS('muddati otgan'!C:C,A217,'muddati otgan'!J:J,"Rad etildi")</f>
        <v>0</v>
      </c>
      <c r="DC217" s="100">
        <f t="shared" si="5"/>
        <v>-2</v>
      </c>
      <c r="DD217" s="44">
        <f>COUNTIFS('jami 1-20 kunlik arizalar'!C:C,A:A,'jami 1-20 kunlik arizalar'!S:S,"1")</f>
        <v>0</v>
      </c>
      <c r="DE217" s="11">
        <f>COUNTIFS('jami 1-20 kunlik arizalar'!C:C,A:A,'jami 1-20 kunlik arizalar'!S:S,"2")</f>
        <v>0</v>
      </c>
      <c r="DF217" s="11">
        <f>COUNTIFS('jami 1-20 kunlik arizalar'!C:C,A:A,'jami 1-20 kunlik arizalar'!S:S,"3")</f>
        <v>3</v>
      </c>
      <c r="DG217" s="11">
        <f>COUNTIFS('jami 1-20 kunlik arizalar'!C:C,A:A,'jami 1-20 kunlik arizalar'!S:S,"4")</f>
        <v>2</v>
      </c>
      <c r="DH217" s="11">
        <f>COUNTIFS('jami 1-20 kunlik arizalar'!C:C,A:A,'jami 1-20 kunlik arizalar'!S:S,"5")</f>
        <v>1</v>
      </c>
      <c r="DI217" s="11">
        <f>SUM(COUNTIFS('jami 1-20 kunlik arizalar'!C:C,A:A, 'jami 1-20 kunlik arizalar'!S:S, {6,7,8,9,10}))</f>
        <v>5</v>
      </c>
      <c r="DJ217" s="12">
        <f>SUM(COUNTIFS('jami 1-20 kunlik arizalar'!C:C,A:A, 'jami 1-20 kunlik arizalar'!S:S, "&gt;10"))</f>
        <v>4</v>
      </c>
    </row>
    <row r="218" spans="1:114" ht="32.1" hidden="1" customHeight="1" outlineLevel="1" x14ac:dyDescent="0.25">
      <c r="A218" s="92" t="s">
        <v>526</v>
      </c>
      <c r="B218" s="74"/>
      <c r="C218" s="85" t="s">
        <v>905</v>
      </c>
      <c r="D218" s="80">
        <f>+COUNTIFS('muddati otgan'!C:C,A218,'muddati otgan'!C:C,A218)</f>
        <v>3</v>
      </c>
      <c r="E218" s="10">
        <f>SUMIFS('muddati otgan'!$V:V,'muddati otgan'!$C:C,$A:A)</f>
        <v>1</v>
      </c>
      <c r="F218" s="10">
        <f>SUMIFS('muddati otgan'!$W:W,'muddati otgan'!$C:C,$A:A)</f>
        <v>0</v>
      </c>
      <c r="G218" s="24">
        <f>SUMIFS('muddati otgan'!$U:U,'muddati otgan'!$C:C,$A:A)</f>
        <v>2</v>
      </c>
      <c r="H218" s="11">
        <f>SUMIFS('muddati otgan'!$G:G,'muddati otgan'!$C:C,$A:A)</f>
        <v>2</v>
      </c>
      <c r="I218" s="12">
        <f>SUMIFS('muddati otgan'!$H:H,'muddati otgan'!$C:C,$A:A)</f>
        <v>1</v>
      </c>
      <c r="J218" s="44">
        <f t="shared" si="23"/>
        <v>0</v>
      </c>
      <c r="K218" s="11">
        <f>+COUNTIFS('muddati otgan'!C:C,A218,'muddati otgan'!AA:AA,"Arizani qabul qilish")</f>
        <v>0</v>
      </c>
      <c r="L218" s="11">
        <f>+COUNTIFS('muddati otgan'!C:C,A218,'muddati otgan'!J:J,"Arizani rad etish")</f>
        <v>0</v>
      </c>
      <c r="M218" s="11">
        <f>+COUNTIFS('muddati otgan'!C:C,A218,'muddati otgan'!J:J,"Arizani tasdiqlash")</f>
        <v>0</v>
      </c>
      <c r="N218" s="11">
        <f>+COUNTIFS('muddati otgan'!C:C,A218,'muddati otgan'!J:J,"Arizani yo'naltirish")</f>
        <v>0</v>
      </c>
      <c r="O218" s="11">
        <f>+COUNTIFS('muddati otgan'!C:C,A218,'muddati otgan'!J:J,"Rad qilish sababini o'rganish")</f>
        <v>0</v>
      </c>
      <c r="P218" s="11">
        <f>+COUNTIFS('muddati otgan'!C:C,A218,'muddati otgan'!J:J,"Ko'chmas mulkni UZKAD ga migratsiya qilish")</f>
        <v>0</v>
      </c>
      <c r="Q218" s="11">
        <f>+COUNTIFS('muddati otgan'!C:C,A218,'muddati otgan'!J:J,"Migratisya qilingan obyekt holatini tekshirish")</f>
        <v>0</v>
      </c>
      <c r="R218" s="11">
        <f>+COUNTIFS('muddati otgan'!C:C,A218,'muddati otgan'!J:J,"Ko‘chmas mulkni tanlash")</f>
        <v>0</v>
      </c>
      <c r="S218" s="11">
        <f>+COUNTIFS('muddati otgan'!C:C,A218,'muddati otgan'!J:J,"Arizani ko'rib chiqish")</f>
        <v>0</v>
      </c>
      <c r="T218" s="11">
        <f>+COUNTIFS('muddati otgan'!C:C,A218,'muddati otgan'!J:J,"Kadastr muhandisini tanlash")</f>
        <v>0</v>
      </c>
      <c r="U218" s="11">
        <f>+COUNTIFS('muddati otgan'!C:C,A218,'muddati otgan'!J:J,"Ko'chmas mulk turini tanlahsh")</f>
        <v>0</v>
      </c>
      <c r="V218" s="11">
        <f>+COUNTIFS('muddati otgan'!C:C,A218,'muddati otgan'!AA:AA,"Rad qilish")</f>
        <v>0</v>
      </c>
      <c r="W218" s="11">
        <f>+COUNTIFS('muddati otgan'!C:C,A218,'muddati otgan'!J:J,"ijrochi tanlash")</f>
        <v>0</v>
      </c>
      <c r="X218" s="11">
        <f>+COUNTIFS('muddati otgan'!C:C,A218,'muddati otgan'!J:J,"Ko'chmas mulk turini tanlash")</f>
        <v>0</v>
      </c>
      <c r="Y218" s="11">
        <f t="shared" si="24"/>
        <v>0</v>
      </c>
      <c r="Z218" s="11">
        <f>+COUNTIFS('muddati otgan'!C:C,A218,'muddati otgan'!J:J,"Ijroga qabul qilish")</f>
        <v>0</v>
      </c>
      <c r="AA218" s="11">
        <f>+COUNTIFS('muddati otgan'!C:C,A218,'muddati otgan'!J:J,"Joyida o'rganish va ma'lumotlarni kiritish")</f>
        <v>0</v>
      </c>
      <c r="AB218" s="11">
        <f>+COUNTIFS('muddati otgan'!C:C,A218,'muddati otgan'!J:J,"Asosiy qismdan ajratish jarayonida")</f>
        <v>0</v>
      </c>
      <c r="AC218" s="11">
        <f>+COUNTIFS('muddati otgan'!C:C,A218,'muddati otgan'!J:J,"Umumiy foydalanishdagi obyekt yaratilish")</f>
        <v>0</v>
      </c>
      <c r="AD218" s="11">
        <f>+COUNTIFS('muddati otgan'!C:C,A218,'muddati otgan'!J:J,"Migratsiya qilinadigan kadastr raqamini kiritish")</f>
        <v>0</v>
      </c>
      <c r="AE218" s="11">
        <f>+COUNTIFS('muddati otgan'!C:C,A218,'muddati otgan'!J:J,"O'zida qolgan obyektni yaratish")</f>
        <v>0</v>
      </c>
      <c r="AF218" s="11">
        <f>+COUNTIFS('muddati otgan'!C:C,A218,'muddati otgan'!J:J,"O'lchov natijalarini kiritish")</f>
        <v>0</v>
      </c>
      <c r="AG218" s="11">
        <f>+COUNTIFS('muddati otgan'!C:C,A218,'muddati otgan'!J:J,"Topoxaritani tayyorlash (dwg, pdf)")</f>
        <v>0</v>
      </c>
      <c r="AH218" s="11">
        <f t="shared" si="25"/>
        <v>0</v>
      </c>
      <c r="AI218" s="11">
        <f>+COUNTIFS('muddati otgan'!C:C,A218,'muddati otgan'!J:J,"Yer uchastkasini yaratish")</f>
        <v>0</v>
      </c>
      <c r="AJ218" s="11">
        <f t="shared" si="26"/>
        <v>0</v>
      </c>
      <c r="AK218" s="11">
        <f>+COUNTIFS('muddati otgan'!C:C,A218,'muddati otgan'!J:J,"Kelishish (Boshqarma)")</f>
        <v>0</v>
      </c>
      <c r="AL218" s="11">
        <f t="shared" si="27"/>
        <v>0</v>
      </c>
      <c r="AM218" s="11">
        <f>+COUNTIFS('muddati otgan'!C:C,A218,'muddati otgan'!J:J,"Kelishish (DKP)")</f>
        <v>0</v>
      </c>
      <c r="AN218" s="11">
        <f>+COUNTIFS('muddati otgan'!C:C,A218,'muddati otgan'!J:J,"Kelishish")</f>
        <v>0</v>
      </c>
      <c r="AO218" s="11">
        <f>+COUNTIFS('muddati otgan'!C:C,A218,'muddati otgan'!J:J,"Kelishish (Registratsiya DKP)")</f>
        <v>0</v>
      </c>
      <c r="AP218" s="11">
        <f t="shared" si="28"/>
        <v>0</v>
      </c>
      <c r="AQ218" s="11">
        <f>+COUNTIFS('muddati otgan'!C:C,A218,'muddati otgan'!J:J,"Manzil biriktirish")</f>
        <v>0</v>
      </c>
      <c r="AR218" s="11">
        <f>+COUNTIFS('muddati otgan'!C:C,A218,'muddati otgan'!J:J,"Bino va inshootlarni yaratish")</f>
        <v>0</v>
      </c>
      <c r="AS218" s="11">
        <f>+COUNTIFS('muddati otgan'!C:C,A218,'muddati otgan'!J:J,"Dov daraxtlarni yaratish")</f>
        <v>0</v>
      </c>
      <c r="AT218" s="11">
        <f>+COUNTIFS('muddati otgan'!C:C,A218,'muddati otgan'!J:J,"Yer uchastkasini tahrirlash")</f>
        <v>0</v>
      </c>
      <c r="AU218" s="11">
        <f t="shared" si="29"/>
        <v>0</v>
      </c>
      <c r="AV218" s="11">
        <f>+COUNTIFS('muddati otgan'!C:C,A218,'muddati otgan'!J:J,"Yer toifasi va maqsadini kiritish")</f>
        <v>0</v>
      </c>
      <c r="AW218" s="11">
        <f>+COUNTIFS('muddati otgan'!C:C,A218,'muddati otgan'!J:J,"Auksion yer tekshirish")</f>
        <v>0</v>
      </c>
      <c r="AX218" s="11">
        <f>+COUNTIFS('muddati otgan'!C:C,A218,'muddati otgan'!J:J,"Yer turlarini kiritish")</f>
        <v>0</v>
      </c>
      <c r="AY218" s="11">
        <f>+COUNTIFS('muddati otgan'!C:C,A218,'muddati otgan'!J:J,"Ma'lumotlarni kiritish")</f>
        <v>0</v>
      </c>
      <c r="AZ218" s="11">
        <f>+COUNTIFS('muddati otgan'!C:C,A218,'muddati otgan'!J:J,"Yer tekshirish")</f>
        <v>0</v>
      </c>
      <c r="BA218" s="11">
        <f t="shared" si="30"/>
        <v>0</v>
      </c>
      <c r="BB218" s="11">
        <f>+COUNTIFS('muddati otgan'!C:C,A218,'muddati otgan'!J:J,"Bino va inshoot ma'lumotlarini to‘ldirish")</f>
        <v>0</v>
      </c>
      <c r="BC218" s="11">
        <f>+COUNTIFS('muddati otgan'!C:C,A218,'muddati otgan'!J:J,"Inventarizatsiya ma'lumotlarini to‘ldirish")</f>
        <v>0</v>
      </c>
      <c r="BD218" s="11">
        <f>+COUNTIFS('muddati otgan'!C:C,A218,'muddati otgan'!J:J,"Yer uchastkasiga huquqiy hujjatlarni kiritsh")</f>
        <v>0</v>
      </c>
      <c r="BE218" s="11">
        <f>+COUNTIFS('muddati otgan'!C:C,A218,'muddati otgan'!J:J,"Bino-inshootlarga huquqiy hujjatlarni kiritsh")</f>
        <v>0</v>
      </c>
      <c r="BF218" s="11">
        <f>+COUNTIFS('muddati otgan'!C:C,A218,'muddati otgan'!J:J,"Kadastr qiymatini hisoblash va kiritish")</f>
        <v>0</v>
      </c>
      <c r="BG218" s="11">
        <f>+COUNTIFS('muddati otgan'!C:C,A218,'muddati otgan'!J:J,"Kadastr raqam biriktirish")</f>
        <v>0</v>
      </c>
      <c r="BH218" s="11">
        <f>+COUNTIFS('muddati otgan'!C:C,A218,'muddati otgan'!J:J,"Kadastr yig'ma jildni tayyorlash")</f>
        <v>0</v>
      </c>
      <c r="BI218" s="11">
        <f>+COUNTIFS('muddati otgan'!C:C,A218,'muddati otgan'!J:J,"Huquqni yaratish")</f>
        <v>0</v>
      </c>
      <c r="BJ218" s="11">
        <f>+COUNTIFS('muddati otgan'!C:C,A218,'muddati otgan'!J:J,"Hujjatlarni o'rganish")</f>
        <v>0</v>
      </c>
      <c r="BK218" s="11">
        <f>+COUNTIFS('muddati otgan'!C:C,A218,'muddati otgan'!J:J,"Ma'lumotlarni tekshirish")</f>
        <v>0</v>
      </c>
      <c r="BL218" s="11">
        <f t="shared" si="31"/>
        <v>0</v>
      </c>
      <c r="BM218" s="11">
        <f>+COUNTIFS('muddati otgan'!C:C,A218,'muddati otgan'!J:J,"Tekshirish")</f>
        <v>0</v>
      </c>
      <c r="BN218" s="11">
        <f>+COUNTIFS('muddati otgan'!C:C,A218,'muddati otgan'!J:J,"Hujjatlarni tekshirish")</f>
        <v>0</v>
      </c>
      <c r="BO218" s="11">
        <f>+COUNTIFS('muddati otgan'!C:C,A218,'muddati otgan'!J:J,"Tasdiqlash")</f>
        <v>0</v>
      </c>
      <c r="BP218" s="11">
        <f>+COUNTIFS('muddati otgan'!C:C,A218,'muddati otgan'!J:J,"tekshirish/tasdiqlash")</f>
        <v>0</v>
      </c>
      <c r="BQ218" s="11">
        <f>+COUNTIFS('muddati otgan'!C:C,A218,'muddati otgan'!J:J,"Ma'lumotlarni tasdiqlash")</f>
        <v>0</v>
      </c>
      <c r="BR218" s="11">
        <f t="shared" si="32"/>
        <v>0</v>
      </c>
      <c r="BS218" s="11">
        <f>+COUNTIFS('muddati otgan'!C:C,A218,'muddati otgan'!J:J,"Ro'yxatdan o'tkazish ma'lumotlarini tekshirish")</f>
        <v>0</v>
      </c>
      <c r="BT218" s="11">
        <f>+COUNTIFS('muddati otgan'!C:C,A218,'muddati otgan'!J:J,"Kamchiliklar bo'yicha habarnoma yuborish va 3 kunga to'xtatish")</f>
        <v>0</v>
      </c>
      <c r="BU218" s="11">
        <f>+COUNTIFS('muddati otgan'!C:C,A218,'muddati otgan'!J:J,"Hisobga olish")</f>
        <v>0</v>
      </c>
      <c r="BV218" s="11">
        <f>+COUNTIFS('muddati otgan'!C:C,A218,'muddati otgan'!J:J,"Yer uchastkasiga huquq yaratish")</f>
        <v>0</v>
      </c>
      <c r="BW218" s="11">
        <f>+COUNTIFS('muddati otgan'!C:C,A218,'muddati otgan'!J:J,"Bino-inshootga huquq yaratish")</f>
        <v>0</v>
      </c>
      <c r="BX218" s="11">
        <f>+COUNTIFS('muddati otgan'!C:C,A218,'muddati otgan'!J:J,"Cheklov yaratish")</f>
        <v>0</v>
      </c>
      <c r="BY218" s="11">
        <f>+COUNTIFS('muddati otgan'!C:C,A218,'muddati otgan'!J:J,"Taqiq yaratish")</f>
        <v>0</v>
      </c>
      <c r="BZ218" s="11">
        <f t="shared" si="33"/>
        <v>0</v>
      </c>
      <c r="CA218" s="11">
        <f>+COUNTIFS('muddati otgan'!C:C,A218,'muddati otgan'!J:J,"Soliq maydonini tekshirish")</f>
        <v>0</v>
      </c>
      <c r="CB218" s="11">
        <f t="shared" si="34"/>
        <v>0</v>
      </c>
      <c r="CC218" s="11">
        <f>+COUNTIFS('muddati otgan'!C:C,A218,'muddati otgan'!J:J,"Kadastr yig'majildini shakllantirish")</f>
        <v>0</v>
      </c>
      <c r="CD218" s="11">
        <f t="shared" si="35"/>
        <v>0</v>
      </c>
      <c r="CE218" s="11">
        <f>+COUNTIFS('muddati otgan'!C:C,A218,'muddati otgan'!J:J,"Kadastr passportini shakllantirish")</f>
        <v>0</v>
      </c>
      <c r="CF218" s="11">
        <f>+COUNTIFS('muddati otgan'!C:C,A218,'muddati otgan'!J:J,"Yig'ma jildni tasdiqlash")</f>
        <v>0</v>
      </c>
      <c r="CG218" s="11">
        <f>+COUNTIFS('muddati otgan'!C:C,A218,'muddati otgan'!J:J,"To'lov yoki bepul tasdiqlash")</f>
        <v>0</v>
      </c>
      <c r="CH218" s="11">
        <f>+COUNTIFS('muddati otgan'!C:C,A218,'muddati otgan'!J:J,"Bog'liq arizani kutish")</f>
        <v>0</v>
      </c>
      <c r="CI218" s="11">
        <f>+COUNTIFS('muddati otgan'!C:C,A218,'muddati otgan'!J:J,"To'lovga chiqarish")</f>
        <v>0</v>
      </c>
      <c r="CJ218" s="11">
        <f>+COUNTIFS('muddati otgan'!C:C,A218,'muddati otgan'!J:J,"Hisobga qo'yish")</f>
        <v>0</v>
      </c>
      <c r="CK218" s="6">
        <f>+COUNTIFS('muddati otgan'!C:C,A218,'muddati otgan'!J:J,"To'lov kutilmoqda")</f>
        <v>3</v>
      </c>
      <c r="CL218" s="11">
        <f t="shared" si="36"/>
        <v>0</v>
      </c>
      <c r="CM218" s="11">
        <f>+COUNTIFS('muddati otgan'!C:C,A218,'muddati otgan'!AA:AA,"Arizani qabul qilish2")</f>
        <v>0</v>
      </c>
      <c r="CN218" s="11">
        <f>+COUNTIFS('muddati otgan'!C:C,A218,'muddati otgan'!J:J,"Huquqlarni tekshirish")</f>
        <v>0</v>
      </c>
      <c r="CO218" s="11">
        <f>+COUNTIFS('muddati otgan'!C:C,A218,'muddati otgan'!J:J,"Ko'chmas mulkni ro'yhatdan o'tkazishga qabul qilish")</f>
        <v>0</v>
      </c>
      <c r="CP218" s="11">
        <f>+COUNTIFS('muddati otgan'!C:C,A218,'muddati otgan'!J:J,"Ro'yxatdan o'tkazish")</f>
        <v>0</v>
      </c>
      <c r="CQ218" s="11">
        <f>+COUNTIFS('muddati otgan'!C:C,A218,'muddati otgan'!J:J,"Kadastr pasporti va ko'chirmani yuborish")</f>
        <v>0</v>
      </c>
      <c r="CR218" s="11">
        <f>+COUNTIFS('muddati otgan'!C:C,A218,'muddati otgan'!AA:AA,"Rad qilish2")</f>
        <v>0</v>
      </c>
      <c r="CS218" s="11">
        <f>+COUNTIFS('muddati otgan'!C:C,A218,'muddati otgan'!J:J,"Ko'chirmani yuborish")</f>
        <v>0</v>
      </c>
      <c r="CT218" s="11">
        <f>+COUNTIFS('muddati otgan'!C:C,A218,'muddati otgan'!J:J,"Ma‘lumotlarni tekshirish")</f>
        <v>0</v>
      </c>
      <c r="CU218" s="11">
        <f t="shared" si="37"/>
        <v>0</v>
      </c>
      <c r="CV218" s="11">
        <f>+COUNTIFS('muddati otgan'!C:C,A218,'muddati otgan'!J:J,"Kadastr yig'majildini chop etish va arxiv ishiga tikish")</f>
        <v>0</v>
      </c>
      <c r="CW218" s="11">
        <f t="shared" si="38"/>
        <v>0</v>
      </c>
      <c r="CX218" s="11">
        <f>+COUNTIFS('muddati otgan'!C:C,A218,'muddati otgan'!J:J,"Kadastr yig‘majildini qabul qilish, arizani yakunlash")</f>
        <v>0</v>
      </c>
      <c r="CY218" s="11">
        <f>+COUNTIFS('muddati otgan'!C:C,A218,'muddati otgan'!J:J,"Next Cloudga yuklash")</f>
        <v>0</v>
      </c>
      <c r="CZ218" s="6">
        <f>+COUNTIFS('muddati otgan'!C:C,A218,'muddati otgan'!J:J,"Kelishish kutilmoqda")</f>
        <v>0</v>
      </c>
      <c r="DA218" s="6">
        <f>+COUNTIFS('muddati otgan'!C:C,A218,'muddati otgan'!J:J,"Yakunlandi")</f>
        <v>0</v>
      </c>
      <c r="DB218" s="10">
        <f>+COUNTIFS('muddati otgan'!C:C,A218,'muddati otgan'!J:J,"Rad etildi")</f>
        <v>0</v>
      </c>
      <c r="DC218" s="100">
        <f t="shared" si="5"/>
        <v>0</v>
      </c>
      <c r="DD218" s="44">
        <f>COUNTIFS('jami 1-20 kunlik arizalar'!C:C,A:A,'jami 1-20 kunlik arizalar'!S:S,"1")</f>
        <v>0</v>
      </c>
      <c r="DE218" s="11">
        <f>COUNTIFS('jami 1-20 kunlik arizalar'!C:C,A:A,'jami 1-20 kunlik arizalar'!S:S,"2")</f>
        <v>0</v>
      </c>
      <c r="DF218" s="11">
        <f>COUNTIFS('jami 1-20 kunlik arizalar'!C:C,A:A,'jami 1-20 kunlik arizalar'!S:S,"3")</f>
        <v>4</v>
      </c>
      <c r="DG218" s="11">
        <f>COUNTIFS('jami 1-20 kunlik arizalar'!C:C,A:A,'jami 1-20 kunlik arizalar'!S:S,"4")</f>
        <v>4</v>
      </c>
      <c r="DH218" s="11">
        <f>COUNTIFS('jami 1-20 kunlik arizalar'!C:C,A:A,'jami 1-20 kunlik arizalar'!S:S,"5")</f>
        <v>1</v>
      </c>
      <c r="DI218" s="11">
        <f>SUM(COUNTIFS('jami 1-20 kunlik arizalar'!C:C,A:A, 'jami 1-20 kunlik arizalar'!S:S, {6,7,8,9,10}))</f>
        <v>11</v>
      </c>
      <c r="DJ218" s="12">
        <f>SUM(COUNTIFS('jami 1-20 kunlik arizalar'!C:C,A:A, 'jami 1-20 kunlik arizalar'!S:S, "&gt;10"))</f>
        <v>5</v>
      </c>
    </row>
    <row r="219" spans="1:114" ht="32.1" hidden="1" customHeight="1" outlineLevel="1" x14ac:dyDescent="0.25">
      <c r="A219" s="92" t="s">
        <v>522</v>
      </c>
      <c r="B219" s="74"/>
      <c r="C219" s="85" t="s">
        <v>906</v>
      </c>
      <c r="D219" s="80">
        <f>+COUNTIFS('muddati otgan'!C:C,A219,'muddati otgan'!C:C,A219)</f>
        <v>0</v>
      </c>
      <c r="E219" s="10">
        <f>SUMIFS('muddati otgan'!$V:V,'muddati otgan'!$C:C,$A:A)</f>
        <v>0</v>
      </c>
      <c r="F219" s="10">
        <f>SUMIFS('muddati otgan'!$W:W,'muddati otgan'!$C:C,$A:A)</f>
        <v>0</v>
      </c>
      <c r="G219" s="24">
        <f>SUMIFS('muddati otgan'!$U:U,'muddati otgan'!$C:C,$A:A)</f>
        <v>0</v>
      </c>
      <c r="H219" s="11">
        <f>SUMIFS('muddati otgan'!$G:G,'muddati otgan'!$C:C,$A:A)</f>
        <v>0</v>
      </c>
      <c r="I219" s="12">
        <f>SUMIFS('muddati otgan'!$H:H,'muddati otgan'!$C:C,$A:A)</f>
        <v>0</v>
      </c>
      <c r="J219" s="44">
        <f t="shared" si="23"/>
        <v>0</v>
      </c>
      <c r="K219" s="11">
        <f>+COUNTIFS('muddati otgan'!C:C,A219,'muddati otgan'!AA:AA,"Arizani qabul qilish")</f>
        <v>0</v>
      </c>
      <c r="L219" s="11">
        <f>+COUNTIFS('muddati otgan'!C:C,A219,'muddati otgan'!J:J,"Arizani rad etish")</f>
        <v>0</v>
      </c>
      <c r="M219" s="11">
        <f>+COUNTIFS('muddati otgan'!C:C,A219,'muddati otgan'!J:J,"Arizani tasdiqlash")</f>
        <v>0</v>
      </c>
      <c r="N219" s="11">
        <f>+COUNTIFS('muddati otgan'!C:C,A219,'muddati otgan'!J:J,"Arizani yo'naltirish")</f>
        <v>0</v>
      </c>
      <c r="O219" s="11">
        <f>+COUNTIFS('muddati otgan'!C:C,A219,'muddati otgan'!J:J,"Rad qilish sababini o'rganish")</f>
        <v>0</v>
      </c>
      <c r="P219" s="11">
        <f>+COUNTIFS('muddati otgan'!C:C,A219,'muddati otgan'!J:J,"Ko'chmas mulkni UZKAD ga migratsiya qilish")</f>
        <v>0</v>
      </c>
      <c r="Q219" s="11">
        <f>+COUNTIFS('muddati otgan'!C:C,A219,'muddati otgan'!J:J,"Migratisya qilingan obyekt holatini tekshirish")</f>
        <v>0</v>
      </c>
      <c r="R219" s="11">
        <f>+COUNTIFS('muddati otgan'!C:C,A219,'muddati otgan'!J:J,"Ko‘chmas mulkni tanlash")</f>
        <v>0</v>
      </c>
      <c r="S219" s="11">
        <f>+COUNTIFS('muddati otgan'!C:C,A219,'muddati otgan'!J:J,"Arizani ko'rib chiqish")</f>
        <v>0</v>
      </c>
      <c r="T219" s="11">
        <f>+COUNTIFS('muddati otgan'!C:C,A219,'muddati otgan'!J:J,"Kadastr muhandisini tanlash")</f>
        <v>0</v>
      </c>
      <c r="U219" s="11">
        <f>+COUNTIFS('muddati otgan'!C:C,A219,'muddati otgan'!J:J,"Ko'chmas mulk turini tanlahsh")</f>
        <v>0</v>
      </c>
      <c r="V219" s="11">
        <f>+COUNTIFS('muddati otgan'!C:C,A219,'muddati otgan'!AA:AA,"Rad qilish")</f>
        <v>0</v>
      </c>
      <c r="W219" s="11">
        <f>+COUNTIFS('muddati otgan'!C:C,A219,'muddati otgan'!J:J,"ijrochi tanlash")</f>
        <v>0</v>
      </c>
      <c r="X219" s="11">
        <f>+COUNTIFS('muddati otgan'!C:C,A219,'muddati otgan'!J:J,"Ko'chmas mulk turini tanlash")</f>
        <v>0</v>
      </c>
      <c r="Y219" s="11">
        <f t="shared" si="24"/>
        <v>0</v>
      </c>
      <c r="Z219" s="11">
        <f>+COUNTIFS('muddati otgan'!C:C,A219,'muddati otgan'!J:J,"Ijroga qabul qilish")</f>
        <v>0</v>
      </c>
      <c r="AA219" s="11">
        <f>+COUNTIFS('muddati otgan'!C:C,A219,'muddati otgan'!J:J,"Joyida o'rganish va ma'lumotlarni kiritish")</f>
        <v>0</v>
      </c>
      <c r="AB219" s="11">
        <f>+COUNTIFS('muddati otgan'!C:C,A219,'muddati otgan'!J:J,"Asosiy qismdan ajratish jarayonida")</f>
        <v>0</v>
      </c>
      <c r="AC219" s="11">
        <f>+COUNTIFS('muddati otgan'!C:C,A219,'muddati otgan'!J:J,"Umumiy foydalanishdagi obyekt yaratilish")</f>
        <v>0</v>
      </c>
      <c r="AD219" s="11">
        <f>+COUNTIFS('muddati otgan'!C:C,A219,'muddati otgan'!J:J,"Migratsiya qilinadigan kadastr raqamini kiritish")</f>
        <v>0</v>
      </c>
      <c r="AE219" s="11">
        <f>+COUNTIFS('muddati otgan'!C:C,A219,'muddati otgan'!J:J,"O'zida qolgan obyektni yaratish")</f>
        <v>0</v>
      </c>
      <c r="AF219" s="11">
        <f>+COUNTIFS('muddati otgan'!C:C,A219,'muddati otgan'!J:J,"O'lchov natijalarini kiritish")</f>
        <v>0</v>
      </c>
      <c r="AG219" s="11">
        <f>+COUNTIFS('muddati otgan'!C:C,A219,'muddati otgan'!J:J,"Topoxaritani tayyorlash (dwg, pdf)")</f>
        <v>0</v>
      </c>
      <c r="AH219" s="11">
        <f t="shared" si="25"/>
        <v>0</v>
      </c>
      <c r="AI219" s="11">
        <f>+COUNTIFS('muddati otgan'!C:C,A219,'muddati otgan'!J:J,"Yer uchastkasini yaratish")</f>
        <v>0</v>
      </c>
      <c r="AJ219" s="11">
        <f t="shared" si="26"/>
        <v>0</v>
      </c>
      <c r="AK219" s="11">
        <f>+COUNTIFS('muddati otgan'!C:C,A219,'muddati otgan'!J:J,"Kelishish (Boshqarma)")</f>
        <v>0</v>
      </c>
      <c r="AL219" s="11">
        <f t="shared" si="27"/>
        <v>0</v>
      </c>
      <c r="AM219" s="11">
        <f>+COUNTIFS('muddati otgan'!C:C,A219,'muddati otgan'!J:J,"Kelishish (DKP)")</f>
        <v>0</v>
      </c>
      <c r="AN219" s="11">
        <f>+COUNTIFS('muddati otgan'!C:C,A219,'muddati otgan'!J:J,"Kelishish")</f>
        <v>0</v>
      </c>
      <c r="AO219" s="11">
        <f>+COUNTIFS('muddati otgan'!C:C,A219,'muddati otgan'!J:J,"Kelishish (Registratsiya DKP)")</f>
        <v>0</v>
      </c>
      <c r="AP219" s="11">
        <f t="shared" si="28"/>
        <v>0</v>
      </c>
      <c r="AQ219" s="11">
        <f>+COUNTIFS('muddati otgan'!C:C,A219,'muddati otgan'!J:J,"Manzil biriktirish")</f>
        <v>0</v>
      </c>
      <c r="AR219" s="11">
        <f>+COUNTIFS('muddati otgan'!C:C,A219,'muddati otgan'!J:J,"Bino va inshootlarni yaratish")</f>
        <v>0</v>
      </c>
      <c r="AS219" s="11">
        <f>+COUNTIFS('muddati otgan'!C:C,A219,'muddati otgan'!J:J,"Dov daraxtlarni yaratish")</f>
        <v>0</v>
      </c>
      <c r="AT219" s="11">
        <f>+COUNTIFS('muddati otgan'!C:C,A219,'muddati otgan'!J:J,"Yer uchastkasini tahrirlash")</f>
        <v>0</v>
      </c>
      <c r="AU219" s="11">
        <f t="shared" si="29"/>
        <v>0</v>
      </c>
      <c r="AV219" s="11">
        <f>+COUNTIFS('muddati otgan'!C:C,A219,'muddati otgan'!J:J,"Yer toifasi va maqsadini kiritish")</f>
        <v>0</v>
      </c>
      <c r="AW219" s="11">
        <f>+COUNTIFS('muddati otgan'!C:C,A219,'muddati otgan'!J:J,"Auksion yer tekshirish")</f>
        <v>0</v>
      </c>
      <c r="AX219" s="11">
        <f>+COUNTIFS('muddati otgan'!C:C,A219,'muddati otgan'!J:J,"Yer turlarini kiritish")</f>
        <v>0</v>
      </c>
      <c r="AY219" s="11">
        <f>+COUNTIFS('muddati otgan'!C:C,A219,'muddati otgan'!J:J,"Ma'lumotlarni kiritish")</f>
        <v>0</v>
      </c>
      <c r="AZ219" s="11">
        <f>+COUNTIFS('muddati otgan'!C:C,A219,'muddati otgan'!J:J,"Yer tekshirish")</f>
        <v>0</v>
      </c>
      <c r="BA219" s="11">
        <f t="shared" si="30"/>
        <v>0</v>
      </c>
      <c r="BB219" s="11">
        <f>+COUNTIFS('muddati otgan'!C:C,A219,'muddati otgan'!J:J,"Bino va inshoot ma'lumotlarini to‘ldirish")</f>
        <v>0</v>
      </c>
      <c r="BC219" s="11">
        <f>+COUNTIFS('muddati otgan'!C:C,A219,'muddati otgan'!J:J,"Inventarizatsiya ma'lumotlarini to‘ldirish")</f>
        <v>0</v>
      </c>
      <c r="BD219" s="11">
        <f>+COUNTIFS('muddati otgan'!C:C,A219,'muddati otgan'!J:J,"Yer uchastkasiga huquqiy hujjatlarni kiritsh")</f>
        <v>0</v>
      </c>
      <c r="BE219" s="11">
        <f>+COUNTIFS('muddati otgan'!C:C,A219,'muddati otgan'!J:J,"Bino-inshootlarga huquqiy hujjatlarni kiritsh")</f>
        <v>0</v>
      </c>
      <c r="BF219" s="11">
        <f>+COUNTIFS('muddati otgan'!C:C,A219,'muddati otgan'!J:J,"Kadastr qiymatini hisoblash va kiritish")</f>
        <v>0</v>
      </c>
      <c r="BG219" s="11">
        <f>+COUNTIFS('muddati otgan'!C:C,A219,'muddati otgan'!J:J,"Kadastr raqam biriktirish")</f>
        <v>0</v>
      </c>
      <c r="BH219" s="11">
        <f>+COUNTIFS('muddati otgan'!C:C,A219,'muddati otgan'!J:J,"Kadastr yig'ma jildni tayyorlash")</f>
        <v>0</v>
      </c>
      <c r="BI219" s="11">
        <f>+COUNTIFS('muddati otgan'!C:C,A219,'muddati otgan'!J:J,"Huquqni yaratish")</f>
        <v>0</v>
      </c>
      <c r="BJ219" s="11">
        <f>+COUNTIFS('muddati otgan'!C:C,A219,'muddati otgan'!J:J,"Hujjatlarni o'rganish")</f>
        <v>0</v>
      </c>
      <c r="BK219" s="11">
        <f>+COUNTIFS('muddati otgan'!C:C,A219,'muddati otgan'!J:J,"Ma'lumotlarni tekshirish")</f>
        <v>0</v>
      </c>
      <c r="BL219" s="11">
        <f t="shared" si="31"/>
        <v>0</v>
      </c>
      <c r="BM219" s="11">
        <f>+COUNTIFS('muddati otgan'!C:C,A219,'muddati otgan'!J:J,"Tekshirish")</f>
        <v>0</v>
      </c>
      <c r="BN219" s="11">
        <f>+COUNTIFS('muddati otgan'!C:C,A219,'muddati otgan'!J:J,"Hujjatlarni tekshirish")</f>
        <v>0</v>
      </c>
      <c r="BO219" s="11">
        <f>+COUNTIFS('muddati otgan'!C:C,A219,'muddati otgan'!J:J,"Tasdiqlash")</f>
        <v>0</v>
      </c>
      <c r="BP219" s="11">
        <f>+COUNTIFS('muddati otgan'!C:C,A219,'muddati otgan'!J:J,"tekshirish/tasdiqlash")</f>
        <v>0</v>
      </c>
      <c r="BQ219" s="11">
        <f>+COUNTIFS('muddati otgan'!C:C,A219,'muddati otgan'!J:J,"Ma'lumotlarni tasdiqlash")</f>
        <v>0</v>
      </c>
      <c r="BR219" s="11">
        <f t="shared" si="32"/>
        <v>0</v>
      </c>
      <c r="BS219" s="11">
        <f>+COUNTIFS('muddati otgan'!C:C,A219,'muddati otgan'!J:J,"Ro'yxatdan o'tkazish ma'lumotlarini tekshirish")</f>
        <v>0</v>
      </c>
      <c r="BT219" s="11">
        <f>+COUNTIFS('muddati otgan'!C:C,A219,'muddati otgan'!J:J,"Kamchiliklar bo'yicha habarnoma yuborish va 3 kunga to'xtatish")</f>
        <v>0</v>
      </c>
      <c r="BU219" s="11">
        <f>+COUNTIFS('muddati otgan'!C:C,A219,'muddati otgan'!J:J,"Hisobga olish")</f>
        <v>0</v>
      </c>
      <c r="BV219" s="11">
        <f>+COUNTIFS('muddati otgan'!C:C,A219,'muddati otgan'!J:J,"Yer uchastkasiga huquq yaratish")</f>
        <v>0</v>
      </c>
      <c r="BW219" s="11">
        <f>+COUNTIFS('muddati otgan'!C:C,A219,'muddati otgan'!J:J,"Bino-inshootga huquq yaratish")</f>
        <v>0</v>
      </c>
      <c r="BX219" s="11">
        <f>+COUNTIFS('muddati otgan'!C:C,A219,'muddati otgan'!J:J,"Cheklov yaratish")</f>
        <v>0</v>
      </c>
      <c r="BY219" s="11">
        <f>+COUNTIFS('muddati otgan'!C:C,A219,'muddati otgan'!J:J,"Taqiq yaratish")</f>
        <v>0</v>
      </c>
      <c r="BZ219" s="11">
        <f t="shared" si="33"/>
        <v>0</v>
      </c>
      <c r="CA219" s="11">
        <f>+COUNTIFS('muddati otgan'!C:C,A219,'muddati otgan'!J:J,"Soliq maydonini tekshirish")</f>
        <v>0</v>
      </c>
      <c r="CB219" s="11">
        <f t="shared" si="34"/>
        <v>0</v>
      </c>
      <c r="CC219" s="11">
        <f>+COUNTIFS('muddati otgan'!C:C,A219,'muddati otgan'!J:J,"Kadastr yig'majildini shakllantirish")</f>
        <v>0</v>
      </c>
      <c r="CD219" s="11">
        <f t="shared" si="35"/>
        <v>0</v>
      </c>
      <c r="CE219" s="11">
        <f>+COUNTIFS('muddati otgan'!C:C,A219,'muddati otgan'!J:J,"Kadastr passportini shakllantirish")</f>
        <v>0</v>
      </c>
      <c r="CF219" s="11">
        <f>+COUNTIFS('muddati otgan'!C:C,A219,'muddati otgan'!J:J,"Yig'ma jildni tasdiqlash")</f>
        <v>0</v>
      </c>
      <c r="CG219" s="11">
        <f>+COUNTIFS('muddati otgan'!C:C,A219,'muddati otgan'!J:J,"To'lov yoki bepul tasdiqlash")</f>
        <v>0</v>
      </c>
      <c r="CH219" s="11">
        <f>+COUNTIFS('muddati otgan'!C:C,A219,'muddati otgan'!J:J,"Bog'liq arizani kutish")</f>
        <v>0</v>
      </c>
      <c r="CI219" s="11">
        <f>+COUNTIFS('muddati otgan'!C:C,A219,'muddati otgan'!J:J,"To'lovga chiqarish")</f>
        <v>0</v>
      </c>
      <c r="CJ219" s="11">
        <f>+COUNTIFS('muddati otgan'!C:C,A219,'muddati otgan'!J:J,"Hisobga qo'yish")</f>
        <v>0</v>
      </c>
      <c r="CK219" s="6">
        <f>+COUNTIFS('muddati otgan'!C:C,A219,'muddati otgan'!J:J,"To'lov kutilmoqda")</f>
        <v>0</v>
      </c>
      <c r="CL219" s="11">
        <f t="shared" si="36"/>
        <v>0</v>
      </c>
      <c r="CM219" s="11">
        <f>+COUNTIFS('muddati otgan'!C:C,A219,'muddati otgan'!AA:AA,"Arizani qabul qilish2")</f>
        <v>0</v>
      </c>
      <c r="CN219" s="11">
        <f>+COUNTIFS('muddati otgan'!C:C,A219,'muddati otgan'!J:J,"Huquqlarni tekshirish")</f>
        <v>0</v>
      </c>
      <c r="CO219" s="11">
        <f>+COUNTIFS('muddati otgan'!C:C,A219,'muddati otgan'!J:J,"Ko'chmas mulkni ro'yhatdan o'tkazishga qabul qilish")</f>
        <v>0</v>
      </c>
      <c r="CP219" s="11">
        <f>+COUNTIFS('muddati otgan'!C:C,A219,'muddati otgan'!J:J,"Ro'yxatdan o'tkazish")</f>
        <v>0</v>
      </c>
      <c r="CQ219" s="11">
        <f>+COUNTIFS('muddati otgan'!C:C,A219,'muddati otgan'!J:J,"Kadastr pasporti va ko'chirmani yuborish")</f>
        <v>0</v>
      </c>
      <c r="CR219" s="11">
        <f>+COUNTIFS('muddati otgan'!C:C,A219,'muddati otgan'!AA:AA,"Rad qilish2")</f>
        <v>0</v>
      </c>
      <c r="CS219" s="11">
        <f>+COUNTIFS('muddati otgan'!C:C,A219,'muddati otgan'!J:J,"Ko'chirmani yuborish")</f>
        <v>0</v>
      </c>
      <c r="CT219" s="11">
        <f>+COUNTIFS('muddati otgan'!C:C,A219,'muddati otgan'!J:J,"Ma‘lumotlarni tekshirish")</f>
        <v>0</v>
      </c>
      <c r="CU219" s="11">
        <f t="shared" si="37"/>
        <v>0</v>
      </c>
      <c r="CV219" s="11">
        <f>+COUNTIFS('muddati otgan'!C:C,A219,'muddati otgan'!J:J,"Kadastr yig'majildini chop etish va arxiv ishiga tikish")</f>
        <v>0</v>
      </c>
      <c r="CW219" s="11">
        <f t="shared" si="38"/>
        <v>0</v>
      </c>
      <c r="CX219" s="11">
        <f>+COUNTIFS('muddati otgan'!C:C,A219,'muddati otgan'!J:J,"Kadastr yig‘majildini qabul qilish, arizani yakunlash")</f>
        <v>0</v>
      </c>
      <c r="CY219" s="11">
        <f>+COUNTIFS('muddati otgan'!C:C,A219,'muddati otgan'!J:J,"Next Cloudga yuklash")</f>
        <v>0</v>
      </c>
      <c r="CZ219" s="6">
        <f>+COUNTIFS('muddati otgan'!C:C,A219,'muddati otgan'!J:J,"Kelishish kutilmoqda")</f>
        <v>0</v>
      </c>
      <c r="DA219" s="6">
        <f>+COUNTIFS('muddati otgan'!C:C,A219,'muddati otgan'!J:J,"Yakunlandi")</f>
        <v>0</v>
      </c>
      <c r="DB219" s="10">
        <f>+COUNTIFS('muddati otgan'!C:C,A219,'muddati otgan'!J:J,"Rad etildi")</f>
        <v>0</v>
      </c>
      <c r="DC219" s="100">
        <f t="shared" si="5"/>
        <v>0</v>
      </c>
      <c r="DD219" s="44">
        <f>COUNTIFS('jami 1-20 kunlik arizalar'!C:C,A:A,'jami 1-20 kunlik arizalar'!S:S,"1")</f>
        <v>0</v>
      </c>
      <c r="DE219" s="11">
        <f>COUNTIFS('jami 1-20 kunlik arizalar'!C:C,A:A,'jami 1-20 kunlik arizalar'!S:S,"2")</f>
        <v>0</v>
      </c>
      <c r="DF219" s="11">
        <f>COUNTIFS('jami 1-20 kunlik arizalar'!C:C,A:A,'jami 1-20 kunlik arizalar'!S:S,"3")</f>
        <v>0</v>
      </c>
      <c r="DG219" s="11">
        <f>COUNTIFS('jami 1-20 kunlik arizalar'!C:C,A:A,'jami 1-20 kunlik arizalar'!S:S,"4")</f>
        <v>4</v>
      </c>
      <c r="DH219" s="11">
        <f>COUNTIFS('jami 1-20 kunlik arizalar'!C:C,A:A,'jami 1-20 kunlik arizalar'!S:S,"5")</f>
        <v>0</v>
      </c>
      <c r="DI219" s="11">
        <f>SUM(COUNTIFS('jami 1-20 kunlik arizalar'!C:C,A:A, 'jami 1-20 kunlik arizalar'!S:S, {6,7,8,9,10}))</f>
        <v>5</v>
      </c>
      <c r="DJ219" s="12">
        <f>SUM(COUNTIFS('jami 1-20 kunlik arizalar'!C:C,A:A, 'jami 1-20 kunlik arizalar'!S:S, "&gt;10"))</f>
        <v>4</v>
      </c>
    </row>
    <row r="220" spans="1:114" ht="32.1" hidden="1" customHeight="1" outlineLevel="1" x14ac:dyDescent="0.25">
      <c r="A220" s="92" t="s">
        <v>484</v>
      </c>
      <c r="B220" s="74"/>
      <c r="C220" s="85" t="s">
        <v>907</v>
      </c>
      <c r="D220" s="80">
        <f>+COUNTIFS('muddati otgan'!C:C,A220,'muddati otgan'!C:C,A220)</f>
        <v>3</v>
      </c>
      <c r="E220" s="10">
        <f>SUMIFS('muddati otgan'!$V:V,'muddati otgan'!$C:C,$A:A)</f>
        <v>2</v>
      </c>
      <c r="F220" s="10">
        <f>SUMIFS('muddati otgan'!$W:W,'muddati otgan'!$C:C,$A:A)</f>
        <v>0</v>
      </c>
      <c r="G220" s="24">
        <f>SUMIFS('muddati otgan'!$U:U,'muddati otgan'!$C:C,$A:A)</f>
        <v>1</v>
      </c>
      <c r="H220" s="11">
        <f>SUMIFS('muddati otgan'!$G:G,'muddati otgan'!$C:C,$A:A)</f>
        <v>3</v>
      </c>
      <c r="I220" s="12">
        <f>SUMIFS('muddati otgan'!$H:H,'muddati otgan'!$C:C,$A:A)</f>
        <v>0</v>
      </c>
      <c r="J220" s="44">
        <f t="shared" si="23"/>
        <v>1</v>
      </c>
      <c r="K220" s="11">
        <f>+COUNTIFS('muddati otgan'!C:C,A220,'muddati otgan'!AA:AA,"Arizani qabul qilish")</f>
        <v>0</v>
      </c>
      <c r="L220" s="11">
        <f>+COUNTIFS('muddati otgan'!C:C,A220,'muddati otgan'!J:J,"Arizani rad etish")</f>
        <v>0</v>
      </c>
      <c r="M220" s="11">
        <f>+COUNTIFS('muddati otgan'!C:C,A220,'muddati otgan'!J:J,"Arizani tasdiqlash")</f>
        <v>0</v>
      </c>
      <c r="N220" s="11">
        <f>+COUNTIFS('muddati otgan'!C:C,A220,'muddati otgan'!J:J,"Arizani yo'naltirish")</f>
        <v>0</v>
      </c>
      <c r="O220" s="11">
        <f>+COUNTIFS('muddati otgan'!C:C,A220,'muddati otgan'!J:J,"Rad qilish sababini o'rganish")</f>
        <v>1</v>
      </c>
      <c r="P220" s="11">
        <f>+COUNTIFS('muddati otgan'!C:C,A220,'muddati otgan'!J:J,"Ko'chmas mulkni UZKAD ga migratsiya qilish")</f>
        <v>0</v>
      </c>
      <c r="Q220" s="11">
        <f>+COUNTIFS('muddati otgan'!C:C,A220,'muddati otgan'!J:J,"Migratisya qilingan obyekt holatini tekshirish")</f>
        <v>0</v>
      </c>
      <c r="R220" s="11">
        <f>+COUNTIFS('muddati otgan'!C:C,A220,'muddati otgan'!J:J,"Ko‘chmas mulkni tanlash")</f>
        <v>0</v>
      </c>
      <c r="S220" s="11">
        <f>+COUNTIFS('muddati otgan'!C:C,A220,'muddati otgan'!J:J,"Arizani ko'rib chiqish")</f>
        <v>0</v>
      </c>
      <c r="T220" s="11">
        <f>+COUNTIFS('muddati otgan'!C:C,A220,'muddati otgan'!J:J,"Kadastr muhandisini tanlash")</f>
        <v>0</v>
      </c>
      <c r="U220" s="11">
        <f>+COUNTIFS('muddati otgan'!C:C,A220,'muddati otgan'!J:J,"Ko'chmas mulk turini tanlahsh")</f>
        <v>0</v>
      </c>
      <c r="V220" s="11">
        <f>+COUNTIFS('muddati otgan'!C:C,A220,'muddati otgan'!AA:AA,"Rad qilish")</f>
        <v>0</v>
      </c>
      <c r="W220" s="11">
        <f>+COUNTIFS('muddati otgan'!C:C,A220,'muddati otgan'!J:J,"ijrochi tanlash")</f>
        <v>0</v>
      </c>
      <c r="X220" s="11">
        <f>+COUNTIFS('muddati otgan'!C:C,A220,'muddati otgan'!J:J,"Ko'chmas mulk turini tanlash")</f>
        <v>0</v>
      </c>
      <c r="Y220" s="11">
        <f t="shared" si="24"/>
        <v>0</v>
      </c>
      <c r="Z220" s="11">
        <f>+COUNTIFS('muddati otgan'!C:C,A220,'muddati otgan'!J:J,"Ijroga qabul qilish")</f>
        <v>0</v>
      </c>
      <c r="AA220" s="11">
        <f>+COUNTIFS('muddati otgan'!C:C,A220,'muddati otgan'!J:J,"Joyida o'rganish va ma'lumotlarni kiritish")</f>
        <v>0</v>
      </c>
      <c r="AB220" s="11">
        <f>+COUNTIFS('muddati otgan'!C:C,A220,'muddati otgan'!J:J,"Asosiy qismdan ajratish jarayonida")</f>
        <v>0</v>
      </c>
      <c r="AC220" s="11">
        <f>+COUNTIFS('muddati otgan'!C:C,A220,'muddati otgan'!J:J,"Umumiy foydalanishdagi obyekt yaratilish")</f>
        <v>0</v>
      </c>
      <c r="AD220" s="11">
        <f>+COUNTIFS('muddati otgan'!C:C,A220,'muddati otgan'!J:J,"Migratsiya qilinadigan kadastr raqamini kiritish")</f>
        <v>0</v>
      </c>
      <c r="AE220" s="11">
        <f>+COUNTIFS('muddati otgan'!C:C,A220,'muddati otgan'!J:J,"O'zida qolgan obyektni yaratish")</f>
        <v>0</v>
      </c>
      <c r="AF220" s="11">
        <f>+COUNTIFS('muddati otgan'!C:C,A220,'muddati otgan'!J:J,"O'lchov natijalarini kiritish")</f>
        <v>0</v>
      </c>
      <c r="AG220" s="11">
        <f>+COUNTIFS('muddati otgan'!C:C,A220,'muddati otgan'!J:J,"Topoxaritani tayyorlash (dwg, pdf)")</f>
        <v>0</v>
      </c>
      <c r="AH220" s="11">
        <f t="shared" si="25"/>
        <v>0</v>
      </c>
      <c r="AI220" s="11">
        <f>+COUNTIFS('muddati otgan'!C:C,A220,'muddati otgan'!J:J,"Yer uchastkasini yaratish")</f>
        <v>0</v>
      </c>
      <c r="AJ220" s="11">
        <f t="shared" si="26"/>
        <v>0</v>
      </c>
      <c r="AK220" s="11">
        <f>+COUNTIFS('muddati otgan'!C:C,A220,'muddati otgan'!J:J,"Kelishish (Boshqarma)")</f>
        <v>0</v>
      </c>
      <c r="AL220" s="11">
        <f t="shared" si="27"/>
        <v>0</v>
      </c>
      <c r="AM220" s="11">
        <f>+COUNTIFS('muddati otgan'!C:C,A220,'muddati otgan'!J:J,"Kelishish (DKP)")</f>
        <v>0</v>
      </c>
      <c r="AN220" s="11">
        <f>+COUNTIFS('muddati otgan'!C:C,A220,'muddati otgan'!J:J,"Kelishish")</f>
        <v>0</v>
      </c>
      <c r="AO220" s="11">
        <f>+COUNTIFS('muddati otgan'!C:C,A220,'muddati otgan'!J:J,"Kelishish (Registratsiya DKP)")</f>
        <v>0</v>
      </c>
      <c r="AP220" s="11">
        <f t="shared" si="28"/>
        <v>0</v>
      </c>
      <c r="AQ220" s="11">
        <f>+COUNTIFS('muddati otgan'!C:C,A220,'muddati otgan'!J:J,"Manzil biriktirish")</f>
        <v>0</v>
      </c>
      <c r="AR220" s="11">
        <f>+COUNTIFS('muddati otgan'!C:C,A220,'muddati otgan'!J:J,"Bino va inshootlarni yaratish")</f>
        <v>0</v>
      </c>
      <c r="AS220" s="11">
        <f>+COUNTIFS('muddati otgan'!C:C,A220,'muddati otgan'!J:J,"Dov daraxtlarni yaratish")</f>
        <v>0</v>
      </c>
      <c r="AT220" s="11">
        <f>+COUNTIFS('muddati otgan'!C:C,A220,'muddati otgan'!J:J,"Yer uchastkasini tahrirlash")</f>
        <v>0</v>
      </c>
      <c r="AU220" s="11">
        <f t="shared" si="29"/>
        <v>0</v>
      </c>
      <c r="AV220" s="11">
        <f>+COUNTIFS('muddati otgan'!C:C,A220,'muddati otgan'!J:J,"Yer toifasi va maqsadini kiritish")</f>
        <v>0</v>
      </c>
      <c r="AW220" s="11">
        <f>+COUNTIFS('muddati otgan'!C:C,A220,'muddati otgan'!J:J,"Auksion yer tekshirish")</f>
        <v>0</v>
      </c>
      <c r="AX220" s="11">
        <f>+COUNTIFS('muddati otgan'!C:C,A220,'muddati otgan'!J:J,"Yer turlarini kiritish")</f>
        <v>0</v>
      </c>
      <c r="AY220" s="11">
        <f>+COUNTIFS('muddati otgan'!C:C,A220,'muddati otgan'!J:J,"Ma'lumotlarni kiritish")</f>
        <v>0</v>
      </c>
      <c r="AZ220" s="11">
        <f>+COUNTIFS('muddati otgan'!C:C,A220,'muddati otgan'!J:J,"Yer tekshirish")</f>
        <v>0</v>
      </c>
      <c r="BA220" s="11">
        <f t="shared" si="30"/>
        <v>0</v>
      </c>
      <c r="BB220" s="11">
        <f>+COUNTIFS('muddati otgan'!C:C,A220,'muddati otgan'!J:J,"Bino va inshoot ma'lumotlarini to‘ldirish")</f>
        <v>0</v>
      </c>
      <c r="BC220" s="11">
        <f>+COUNTIFS('muddati otgan'!C:C,A220,'muddati otgan'!J:J,"Inventarizatsiya ma'lumotlarini to‘ldirish")</f>
        <v>0</v>
      </c>
      <c r="BD220" s="11">
        <f>+COUNTIFS('muddati otgan'!C:C,A220,'muddati otgan'!J:J,"Yer uchastkasiga huquqiy hujjatlarni kiritsh")</f>
        <v>0</v>
      </c>
      <c r="BE220" s="11">
        <f>+COUNTIFS('muddati otgan'!C:C,A220,'muddati otgan'!J:J,"Bino-inshootlarga huquqiy hujjatlarni kiritsh")</f>
        <v>0</v>
      </c>
      <c r="BF220" s="11">
        <f>+COUNTIFS('muddati otgan'!C:C,A220,'muddati otgan'!J:J,"Kadastr qiymatini hisoblash va kiritish")</f>
        <v>0</v>
      </c>
      <c r="BG220" s="11">
        <f>+COUNTIFS('muddati otgan'!C:C,A220,'muddati otgan'!J:J,"Kadastr raqam biriktirish")</f>
        <v>0</v>
      </c>
      <c r="BH220" s="11">
        <f>+COUNTIFS('muddati otgan'!C:C,A220,'muddati otgan'!J:J,"Kadastr yig'ma jildni tayyorlash")</f>
        <v>0</v>
      </c>
      <c r="BI220" s="11">
        <f>+COUNTIFS('muddati otgan'!C:C,A220,'muddati otgan'!J:J,"Huquqni yaratish")</f>
        <v>0</v>
      </c>
      <c r="BJ220" s="11">
        <f>+COUNTIFS('muddati otgan'!C:C,A220,'muddati otgan'!J:J,"Hujjatlarni o'rganish")</f>
        <v>0</v>
      </c>
      <c r="BK220" s="11">
        <f>+COUNTIFS('muddati otgan'!C:C,A220,'muddati otgan'!J:J,"Ma'lumotlarni tekshirish")</f>
        <v>0</v>
      </c>
      <c r="BL220" s="11">
        <f t="shared" si="31"/>
        <v>0</v>
      </c>
      <c r="BM220" s="11">
        <f>+COUNTIFS('muddati otgan'!C:C,A220,'muddati otgan'!J:J,"Tekshirish")</f>
        <v>0</v>
      </c>
      <c r="BN220" s="11">
        <f>+COUNTIFS('muddati otgan'!C:C,A220,'muddati otgan'!J:J,"Hujjatlarni tekshirish")</f>
        <v>0</v>
      </c>
      <c r="BO220" s="11">
        <f>+COUNTIFS('muddati otgan'!C:C,A220,'muddati otgan'!J:J,"Tasdiqlash")</f>
        <v>0</v>
      </c>
      <c r="BP220" s="11">
        <f>+COUNTIFS('muddati otgan'!C:C,A220,'muddati otgan'!J:J,"tekshirish/tasdiqlash")</f>
        <v>0</v>
      </c>
      <c r="BQ220" s="11">
        <f>+COUNTIFS('muddati otgan'!C:C,A220,'muddati otgan'!J:J,"Ma'lumotlarni tasdiqlash")</f>
        <v>0</v>
      </c>
      <c r="BR220" s="11">
        <f t="shared" si="32"/>
        <v>0</v>
      </c>
      <c r="BS220" s="11">
        <f>+COUNTIFS('muddati otgan'!C:C,A220,'muddati otgan'!J:J,"Ro'yxatdan o'tkazish ma'lumotlarini tekshirish")</f>
        <v>0</v>
      </c>
      <c r="BT220" s="11">
        <f>+COUNTIFS('muddati otgan'!C:C,A220,'muddati otgan'!J:J,"Kamchiliklar bo'yicha habarnoma yuborish va 3 kunga to'xtatish")</f>
        <v>0</v>
      </c>
      <c r="BU220" s="11">
        <f>+COUNTIFS('muddati otgan'!C:C,A220,'muddati otgan'!J:J,"Hisobga olish")</f>
        <v>0</v>
      </c>
      <c r="BV220" s="11">
        <f>+COUNTIFS('muddati otgan'!C:C,A220,'muddati otgan'!J:J,"Yer uchastkasiga huquq yaratish")</f>
        <v>0</v>
      </c>
      <c r="BW220" s="11">
        <f>+COUNTIFS('muddati otgan'!C:C,A220,'muddati otgan'!J:J,"Bino-inshootga huquq yaratish")</f>
        <v>0</v>
      </c>
      <c r="BX220" s="11">
        <f>+COUNTIFS('muddati otgan'!C:C,A220,'muddati otgan'!J:J,"Cheklov yaratish")</f>
        <v>0</v>
      </c>
      <c r="BY220" s="11">
        <f>+COUNTIFS('muddati otgan'!C:C,A220,'muddati otgan'!J:J,"Taqiq yaratish")</f>
        <v>0</v>
      </c>
      <c r="BZ220" s="11">
        <f t="shared" si="33"/>
        <v>0</v>
      </c>
      <c r="CA220" s="11">
        <f>+COUNTIFS('muddati otgan'!C:C,A220,'muddati otgan'!J:J,"Soliq maydonini tekshirish")</f>
        <v>0</v>
      </c>
      <c r="CB220" s="11">
        <f t="shared" si="34"/>
        <v>1</v>
      </c>
      <c r="CC220" s="11">
        <f>+COUNTIFS('muddati otgan'!C:C,A220,'muddati otgan'!J:J,"Kadastr yig'majildini shakllantirish")</f>
        <v>1</v>
      </c>
      <c r="CD220" s="11">
        <f t="shared" si="35"/>
        <v>0</v>
      </c>
      <c r="CE220" s="11">
        <f>+COUNTIFS('muddati otgan'!C:C,A220,'muddati otgan'!J:J,"Kadastr passportini shakllantirish")</f>
        <v>0</v>
      </c>
      <c r="CF220" s="11">
        <f>+COUNTIFS('muddati otgan'!C:C,A220,'muddati otgan'!J:J,"Yig'ma jildni tasdiqlash")</f>
        <v>0</v>
      </c>
      <c r="CG220" s="11">
        <f>+COUNTIFS('muddati otgan'!C:C,A220,'muddati otgan'!J:J,"To'lov yoki bepul tasdiqlash")</f>
        <v>0</v>
      </c>
      <c r="CH220" s="11">
        <f>+COUNTIFS('muddati otgan'!C:C,A220,'muddati otgan'!J:J,"Bog'liq arizani kutish")</f>
        <v>0</v>
      </c>
      <c r="CI220" s="11">
        <f>+COUNTIFS('muddati otgan'!C:C,A220,'muddati otgan'!J:J,"To'lovga chiqarish")</f>
        <v>0</v>
      </c>
      <c r="CJ220" s="11">
        <f>+COUNTIFS('muddati otgan'!C:C,A220,'muddati otgan'!J:J,"Hisobga qo'yish")</f>
        <v>0</v>
      </c>
      <c r="CK220" s="6">
        <f>+COUNTIFS('muddati otgan'!C:C,A220,'muddati otgan'!J:J,"To'lov kutilmoqda")</f>
        <v>0</v>
      </c>
      <c r="CL220" s="11">
        <f t="shared" si="36"/>
        <v>0</v>
      </c>
      <c r="CM220" s="11">
        <f>+COUNTIFS('muddati otgan'!C:C,A220,'muddati otgan'!AA:AA,"Arizani qabul qilish2")</f>
        <v>0</v>
      </c>
      <c r="CN220" s="11">
        <f>+COUNTIFS('muddati otgan'!C:C,A220,'muddati otgan'!J:J,"Huquqlarni tekshirish")</f>
        <v>0</v>
      </c>
      <c r="CO220" s="11">
        <f>+COUNTIFS('muddati otgan'!C:C,A220,'muddati otgan'!J:J,"Ko'chmas mulkni ro'yhatdan o'tkazishga qabul qilish")</f>
        <v>0</v>
      </c>
      <c r="CP220" s="11">
        <f>+COUNTIFS('muddati otgan'!C:C,A220,'muddati otgan'!J:J,"Ro'yxatdan o'tkazish")</f>
        <v>0</v>
      </c>
      <c r="CQ220" s="11">
        <f>+COUNTIFS('muddati otgan'!C:C,A220,'muddati otgan'!J:J,"Kadastr pasporti va ko'chirmani yuborish")</f>
        <v>0</v>
      </c>
      <c r="CR220" s="11">
        <f>+COUNTIFS('muddati otgan'!C:C,A220,'muddati otgan'!AA:AA,"Rad qilish2")</f>
        <v>0</v>
      </c>
      <c r="CS220" s="11">
        <f>+COUNTIFS('muddati otgan'!C:C,A220,'muddati otgan'!J:J,"Ko'chirmani yuborish")</f>
        <v>0</v>
      </c>
      <c r="CT220" s="11">
        <f>+COUNTIFS('muddati otgan'!C:C,A220,'muddati otgan'!J:J,"Ma‘lumotlarni tekshirish")</f>
        <v>0</v>
      </c>
      <c r="CU220" s="11">
        <f t="shared" si="37"/>
        <v>0</v>
      </c>
      <c r="CV220" s="11">
        <f>+COUNTIFS('muddati otgan'!C:C,A220,'muddati otgan'!J:J,"Kadastr yig'majildini chop etish va arxiv ishiga tikish")</f>
        <v>0</v>
      </c>
      <c r="CW220" s="11">
        <f t="shared" si="38"/>
        <v>0</v>
      </c>
      <c r="CX220" s="11">
        <f>+COUNTIFS('muddati otgan'!C:C,A220,'muddati otgan'!J:J,"Kadastr yig‘majildini qabul qilish, arizani yakunlash")</f>
        <v>0</v>
      </c>
      <c r="CY220" s="11">
        <f>+COUNTIFS('muddati otgan'!C:C,A220,'muddati otgan'!J:J,"Next Cloudga yuklash")</f>
        <v>0</v>
      </c>
      <c r="CZ220" s="6">
        <f>+COUNTIFS('muddati otgan'!C:C,A220,'muddati otgan'!J:J,"Kelishish kutilmoqda")</f>
        <v>0</v>
      </c>
      <c r="DA220" s="6">
        <f>+COUNTIFS('muddati otgan'!C:C,A220,'muddati otgan'!J:J,"Yakunlandi")</f>
        <v>1</v>
      </c>
      <c r="DB220" s="10">
        <f>+COUNTIFS('muddati otgan'!C:C,A220,'muddati otgan'!J:J,"Rad etildi")</f>
        <v>0</v>
      </c>
      <c r="DC220" s="100">
        <f t="shared" si="5"/>
        <v>-2</v>
      </c>
      <c r="DD220" s="44">
        <f>COUNTIFS('jami 1-20 kunlik arizalar'!C:C,A:A,'jami 1-20 kunlik arizalar'!S:S,"1")</f>
        <v>0</v>
      </c>
      <c r="DE220" s="11">
        <f>COUNTIFS('jami 1-20 kunlik arizalar'!C:C,A:A,'jami 1-20 kunlik arizalar'!S:S,"2")</f>
        <v>0</v>
      </c>
      <c r="DF220" s="11">
        <f>COUNTIFS('jami 1-20 kunlik arizalar'!C:C,A:A,'jami 1-20 kunlik arizalar'!S:S,"3")</f>
        <v>1</v>
      </c>
      <c r="DG220" s="11">
        <f>COUNTIFS('jami 1-20 kunlik arizalar'!C:C,A:A,'jami 1-20 kunlik arizalar'!S:S,"4")</f>
        <v>3</v>
      </c>
      <c r="DH220" s="11">
        <f>COUNTIFS('jami 1-20 kunlik arizalar'!C:C,A:A,'jami 1-20 kunlik arizalar'!S:S,"5")</f>
        <v>2</v>
      </c>
      <c r="DI220" s="11">
        <f>SUM(COUNTIFS('jami 1-20 kunlik arizalar'!C:C,A:A, 'jami 1-20 kunlik arizalar'!S:S, {6,7,8,9,10}))</f>
        <v>6</v>
      </c>
      <c r="DJ220" s="12">
        <f>SUM(COUNTIFS('jami 1-20 kunlik arizalar'!C:C,A:A, 'jami 1-20 kunlik arizalar'!S:S, "&gt;10"))</f>
        <v>5</v>
      </c>
    </row>
    <row r="221" spans="1:114" ht="32.1" hidden="1" customHeight="1" outlineLevel="1" x14ac:dyDescent="0.25">
      <c r="A221" s="92" t="s">
        <v>514</v>
      </c>
      <c r="B221" s="74"/>
      <c r="C221" s="85" t="s">
        <v>908</v>
      </c>
      <c r="D221" s="80">
        <f>+COUNTIFS('muddati otgan'!C:C,A221,'muddati otgan'!C:C,A221)</f>
        <v>0</v>
      </c>
      <c r="E221" s="10">
        <f>SUMIFS('muddati otgan'!$V:V,'muddati otgan'!$C:C,$A:A)</f>
        <v>0</v>
      </c>
      <c r="F221" s="10">
        <f>SUMIFS('muddati otgan'!$W:W,'muddati otgan'!$C:C,$A:A)</f>
        <v>0</v>
      </c>
      <c r="G221" s="24">
        <f>SUMIFS('muddati otgan'!$U:U,'muddati otgan'!$C:C,$A:A)</f>
        <v>0</v>
      </c>
      <c r="H221" s="11">
        <f>SUMIFS('muddati otgan'!$G:G,'muddati otgan'!$C:C,$A:A)</f>
        <v>0</v>
      </c>
      <c r="I221" s="12">
        <f>SUMIFS('muddati otgan'!$H:H,'muddati otgan'!$C:C,$A:A)</f>
        <v>0</v>
      </c>
      <c r="J221" s="44">
        <f t="shared" si="23"/>
        <v>0</v>
      </c>
      <c r="K221" s="11">
        <f>+COUNTIFS('muddati otgan'!C:C,A221,'muddati otgan'!AA:AA,"Arizani qabul qilish")</f>
        <v>0</v>
      </c>
      <c r="L221" s="11">
        <f>+COUNTIFS('muddati otgan'!C:C,A221,'muddati otgan'!J:J,"Arizani rad etish")</f>
        <v>0</v>
      </c>
      <c r="M221" s="11">
        <f>+COUNTIFS('muddati otgan'!C:C,A221,'muddati otgan'!J:J,"Arizani tasdiqlash")</f>
        <v>0</v>
      </c>
      <c r="N221" s="11">
        <f>+COUNTIFS('muddati otgan'!C:C,A221,'muddati otgan'!J:J,"Arizani yo'naltirish")</f>
        <v>0</v>
      </c>
      <c r="O221" s="11">
        <f>+COUNTIFS('muddati otgan'!C:C,A221,'muddati otgan'!J:J,"Rad qilish sababini o'rganish")</f>
        <v>0</v>
      </c>
      <c r="P221" s="11">
        <f>+COUNTIFS('muddati otgan'!C:C,A221,'muddati otgan'!J:J,"Ko'chmas mulkni UZKAD ga migratsiya qilish")</f>
        <v>0</v>
      </c>
      <c r="Q221" s="11">
        <f>+COUNTIFS('muddati otgan'!C:C,A221,'muddati otgan'!J:J,"Migratisya qilingan obyekt holatini tekshirish")</f>
        <v>0</v>
      </c>
      <c r="R221" s="11">
        <f>+COUNTIFS('muddati otgan'!C:C,A221,'muddati otgan'!J:J,"Ko‘chmas mulkni tanlash")</f>
        <v>0</v>
      </c>
      <c r="S221" s="11">
        <f>+COUNTIFS('muddati otgan'!C:C,A221,'muddati otgan'!J:J,"Arizani ko'rib chiqish")</f>
        <v>0</v>
      </c>
      <c r="T221" s="11">
        <f>+COUNTIFS('muddati otgan'!C:C,A221,'muddati otgan'!J:J,"Kadastr muhandisini tanlash")</f>
        <v>0</v>
      </c>
      <c r="U221" s="11">
        <f>+COUNTIFS('muddati otgan'!C:C,A221,'muddati otgan'!J:J,"Ko'chmas mulk turini tanlahsh")</f>
        <v>0</v>
      </c>
      <c r="V221" s="11">
        <f>+COUNTIFS('muddati otgan'!C:C,A221,'muddati otgan'!AA:AA,"Rad qilish")</f>
        <v>0</v>
      </c>
      <c r="W221" s="11">
        <f>+COUNTIFS('muddati otgan'!C:C,A221,'muddati otgan'!J:J,"ijrochi tanlash")</f>
        <v>0</v>
      </c>
      <c r="X221" s="11">
        <f>+COUNTIFS('muddati otgan'!C:C,A221,'muddati otgan'!J:J,"Ko'chmas mulk turini tanlash")</f>
        <v>0</v>
      </c>
      <c r="Y221" s="11">
        <f t="shared" si="24"/>
        <v>0</v>
      </c>
      <c r="Z221" s="11">
        <f>+COUNTIFS('muddati otgan'!C:C,A221,'muddati otgan'!J:J,"Ijroga qabul qilish")</f>
        <v>0</v>
      </c>
      <c r="AA221" s="11">
        <f>+COUNTIFS('muddati otgan'!C:C,A221,'muddati otgan'!J:J,"Joyida o'rganish va ma'lumotlarni kiritish")</f>
        <v>0</v>
      </c>
      <c r="AB221" s="11">
        <f>+COUNTIFS('muddati otgan'!C:C,A221,'muddati otgan'!J:J,"Asosiy qismdan ajratish jarayonida")</f>
        <v>0</v>
      </c>
      <c r="AC221" s="11">
        <f>+COUNTIFS('muddati otgan'!C:C,A221,'muddati otgan'!J:J,"Umumiy foydalanishdagi obyekt yaratilish")</f>
        <v>0</v>
      </c>
      <c r="AD221" s="11">
        <f>+COUNTIFS('muddati otgan'!C:C,A221,'muddati otgan'!J:J,"Migratsiya qilinadigan kadastr raqamini kiritish")</f>
        <v>0</v>
      </c>
      <c r="AE221" s="11">
        <f>+COUNTIFS('muddati otgan'!C:C,A221,'muddati otgan'!J:J,"O'zida qolgan obyektni yaratish")</f>
        <v>0</v>
      </c>
      <c r="AF221" s="11">
        <f>+COUNTIFS('muddati otgan'!C:C,A221,'muddati otgan'!J:J,"O'lchov natijalarini kiritish")</f>
        <v>0</v>
      </c>
      <c r="AG221" s="11">
        <f>+COUNTIFS('muddati otgan'!C:C,A221,'muddati otgan'!J:J,"Topoxaritani tayyorlash (dwg, pdf)")</f>
        <v>0</v>
      </c>
      <c r="AH221" s="11">
        <f t="shared" si="25"/>
        <v>0</v>
      </c>
      <c r="AI221" s="11">
        <f>+COUNTIFS('muddati otgan'!C:C,A221,'muddati otgan'!J:J,"Yer uchastkasini yaratish")</f>
        <v>0</v>
      </c>
      <c r="AJ221" s="11">
        <f t="shared" si="26"/>
        <v>0</v>
      </c>
      <c r="AK221" s="11">
        <f>+COUNTIFS('muddati otgan'!C:C,A221,'muddati otgan'!J:J,"Kelishish (Boshqarma)")</f>
        <v>0</v>
      </c>
      <c r="AL221" s="11">
        <f t="shared" si="27"/>
        <v>0</v>
      </c>
      <c r="AM221" s="11">
        <f>+COUNTIFS('muddati otgan'!C:C,A221,'muddati otgan'!J:J,"Kelishish (DKP)")</f>
        <v>0</v>
      </c>
      <c r="AN221" s="11">
        <f>+COUNTIFS('muddati otgan'!C:C,A221,'muddati otgan'!J:J,"Kelishish")</f>
        <v>0</v>
      </c>
      <c r="AO221" s="11">
        <f>+COUNTIFS('muddati otgan'!C:C,A221,'muddati otgan'!J:J,"Kelishish (Registratsiya DKP)")</f>
        <v>0</v>
      </c>
      <c r="AP221" s="11">
        <f t="shared" si="28"/>
        <v>0</v>
      </c>
      <c r="AQ221" s="11">
        <f>+COUNTIFS('muddati otgan'!C:C,A221,'muddati otgan'!J:J,"Manzil biriktirish")</f>
        <v>0</v>
      </c>
      <c r="AR221" s="11">
        <f>+COUNTIFS('muddati otgan'!C:C,A221,'muddati otgan'!J:J,"Bino va inshootlarni yaratish")</f>
        <v>0</v>
      </c>
      <c r="AS221" s="11">
        <f>+COUNTIFS('muddati otgan'!C:C,A221,'muddati otgan'!J:J,"Dov daraxtlarni yaratish")</f>
        <v>0</v>
      </c>
      <c r="AT221" s="11">
        <f>+COUNTIFS('muddati otgan'!C:C,A221,'muddati otgan'!J:J,"Yer uchastkasini tahrirlash")</f>
        <v>0</v>
      </c>
      <c r="AU221" s="11">
        <f t="shared" si="29"/>
        <v>0</v>
      </c>
      <c r="AV221" s="11">
        <f>+COUNTIFS('muddati otgan'!C:C,A221,'muddati otgan'!J:J,"Yer toifasi va maqsadini kiritish")</f>
        <v>0</v>
      </c>
      <c r="AW221" s="11">
        <f>+COUNTIFS('muddati otgan'!C:C,A221,'muddati otgan'!J:J,"Auksion yer tekshirish")</f>
        <v>0</v>
      </c>
      <c r="AX221" s="11">
        <f>+COUNTIFS('muddati otgan'!C:C,A221,'muddati otgan'!J:J,"Yer turlarini kiritish")</f>
        <v>0</v>
      </c>
      <c r="AY221" s="11">
        <f>+COUNTIFS('muddati otgan'!C:C,A221,'muddati otgan'!J:J,"Ma'lumotlarni kiritish")</f>
        <v>0</v>
      </c>
      <c r="AZ221" s="11">
        <f>+COUNTIFS('muddati otgan'!C:C,A221,'muddati otgan'!J:J,"Yer tekshirish")</f>
        <v>0</v>
      </c>
      <c r="BA221" s="11">
        <f t="shared" si="30"/>
        <v>0</v>
      </c>
      <c r="BB221" s="11">
        <f>+COUNTIFS('muddati otgan'!C:C,A221,'muddati otgan'!J:J,"Bino va inshoot ma'lumotlarini to‘ldirish")</f>
        <v>0</v>
      </c>
      <c r="BC221" s="11">
        <f>+COUNTIFS('muddati otgan'!C:C,A221,'muddati otgan'!J:J,"Inventarizatsiya ma'lumotlarini to‘ldirish")</f>
        <v>0</v>
      </c>
      <c r="BD221" s="11">
        <f>+COUNTIFS('muddati otgan'!C:C,A221,'muddati otgan'!J:J,"Yer uchastkasiga huquqiy hujjatlarni kiritsh")</f>
        <v>0</v>
      </c>
      <c r="BE221" s="11">
        <f>+COUNTIFS('muddati otgan'!C:C,A221,'muddati otgan'!J:J,"Bino-inshootlarga huquqiy hujjatlarni kiritsh")</f>
        <v>0</v>
      </c>
      <c r="BF221" s="11">
        <f>+COUNTIFS('muddati otgan'!C:C,A221,'muddati otgan'!J:J,"Kadastr qiymatini hisoblash va kiritish")</f>
        <v>0</v>
      </c>
      <c r="BG221" s="11">
        <f>+COUNTIFS('muddati otgan'!C:C,A221,'muddati otgan'!J:J,"Kadastr raqam biriktirish")</f>
        <v>0</v>
      </c>
      <c r="BH221" s="11">
        <f>+COUNTIFS('muddati otgan'!C:C,A221,'muddati otgan'!J:J,"Kadastr yig'ma jildni tayyorlash")</f>
        <v>0</v>
      </c>
      <c r="BI221" s="11">
        <f>+COUNTIFS('muddati otgan'!C:C,A221,'muddati otgan'!J:J,"Huquqni yaratish")</f>
        <v>0</v>
      </c>
      <c r="BJ221" s="11">
        <f>+COUNTIFS('muddati otgan'!C:C,A221,'muddati otgan'!J:J,"Hujjatlarni o'rganish")</f>
        <v>0</v>
      </c>
      <c r="BK221" s="11">
        <f>+COUNTIFS('muddati otgan'!C:C,A221,'muddati otgan'!J:J,"Ma'lumotlarni tekshirish")</f>
        <v>0</v>
      </c>
      <c r="BL221" s="11">
        <f t="shared" si="31"/>
        <v>0</v>
      </c>
      <c r="BM221" s="11">
        <f>+COUNTIFS('muddati otgan'!C:C,A221,'muddati otgan'!J:J,"Tekshirish")</f>
        <v>0</v>
      </c>
      <c r="BN221" s="11">
        <f>+COUNTIFS('muddati otgan'!C:C,A221,'muddati otgan'!J:J,"Hujjatlarni tekshirish")</f>
        <v>0</v>
      </c>
      <c r="BO221" s="11">
        <f>+COUNTIFS('muddati otgan'!C:C,A221,'muddati otgan'!J:J,"Tasdiqlash")</f>
        <v>0</v>
      </c>
      <c r="BP221" s="11">
        <f>+COUNTIFS('muddati otgan'!C:C,A221,'muddati otgan'!J:J,"tekshirish/tasdiqlash")</f>
        <v>0</v>
      </c>
      <c r="BQ221" s="11">
        <f>+COUNTIFS('muddati otgan'!C:C,A221,'muddati otgan'!J:J,"Ma'lumotlarni tasdiqlash")</f>
        <v>0</v>
      </c>
      <c r="BR221" s="11">
        <f t="shared" si="32"/>
        <v>0</v>
      </c>
      <c r="BS221" s="11">
        <f>+COUNTIFS('muddati otgan'!C:C,A221,'muddati otgan'!J:J,"Ro'yxatdan o'tkazish ma'lumotlarini tekshirish")</f>
        <v>0</v>
      </c>
      <c r="BT221" s="11">
        <f>+COUNTIFS('muddati otgan'!C:C,A221,'muddati otgan'!J:J,"Kamchiliklar bo'yicha habarnoma yuborish va 3 kunga to'xtatish")</f>
        <v>0</v>
      </c>
      <c r="BU221" s="11">
        <f>+COUNTIFS('muddati otgan'!C:C,A221,'muddati otgan'!J:J,"Hisobga olish")</f>
        <v>0</v>
      </c>
      <c r="BV221" s="11">
        <f>+COUNTIFS('muddati otgan'!C:C,A221,'muddati otgan'!J:J,"Yer uchastkasiga huquq yaratish")</f>
        <v>0</v>
      </c>
      <c r="BW221" s="11">
        <f>+COUNTIFS('muddati otgan'!C:C,A221,'muddati otgan'!J:J,"Bino-inshootga huquq yaratish")</f>
        <v>0</v>
      </c>
      <c r="BX221" s="11">
        <f>+COUNTIFS('muddati otgan'!C:C,A221,'muddati otgan'!J:J,"Cheklov yaratish")</f>
        <v>0</v>
      </c>
      <c r="BY221" s="11">
        <f>+COUNTIFS('muddati otgan'!C:C,A221,'muddati otgan'!J:J,"Taqiq yaratish")</f>
        <v>0</v>
      </c>
      <c r="BZ221" s="11">
        <f t="shared" si="33"/>
        <v>0</v>
      </c>
      <c r="CA221" s="11">
        <f>+COUNTIFS('muddati otgan'!C:C,A221,'muddati otgan'!J:J,"Soliq maydonini tekshirish")</f>
        <v>0</v>
      </c>
      <c r="CB221" s="11">
        <f t="shared" si="34"/>
        <v>0</v>
      </c>
      <c r="CC221" s="11">
        <f>+COUNTIFS('muddati otgan'!C:C,A221,'muddati otgan'!J:J,"Kadastr yig'majildini shakllantirish")</f>
        <v>0</v>
      </c>
      <c r="CD221" s="11">
        <f t="shared" si="35"/>
        <v>0</v>
      </c>
      <c r="CE221" s="11">
        <f>+COUNTIFS('muddati otgan'!C:C,A221,'muddati otgan'!J:J,"Kadastr passportini shakllantirish")</f>
        <v>0</v>
      </c>
      <c r="CF221" s="11">
        <f>+COUNTIFS('muddati otgan'!C:C,A221,'muddati otgan'!J:J,"Yig'ma jildni tasdiqlash")</f>
        <v>0</v>
      </c>
      <c r="CG221" s="11">
        <f>+COUNTIFS('muddati otgan'!C:C,A221,'muddati otgan'!J:J,"To'lov yoki bepul tasdiqlash")</f>
        <v>0</v>
      </c>
      <c r="CH221" s="11">
        <f>+COUNTIFS('muddati otgan'!C:C,A221,'muddati otgan'!J:J,"Bog'liq arizani kutish")</f>
        <v>0</v>
      </c>
      <c r="CI221" s="11">
        <f>+COUNTIFS('muddati otgan'!C:C,A221,'muddati otgan'!J:J,"To'lovga chiqarish")</f>
        <v>0</v>
      </c>
      <c r="CJ221" s="11">
        <f>+COUNTIFS('muddati otgan'!C:C,A221,'muddati otgan'!J:J,"Hisobga qo'yish")</f>
        <v>0</v>
      </c>
      <c r="CK221" s="6">
        <f>+COUNTIFS('muddati otgan'!C:C,A221,'muddati otgan'!J:J,"To'lov kutilmoqda")</f>
        <v>0</v>
      </c>
      <c r="CL221" s="11">
        <f t="shared" si="36"/>
        <v>0</v>
      </c>
      <c r="CM221" s="11">
        <f>+COUNTIFS('muddati otgan'!C:C,A221,'muddati otgan'!AA:AA,"Arizani qabul qilish2")</f>
        <v>0</v>
      </c>
      <c r="CN221" s="11">
        <f>+COUNTIFS('muddati otgan'!C:C,A221,'muddati otgan'!J:J,"Huquqlarni tekshirish")</f>
        <v>0</v>
      </c>
      <c r="CO221" s="11">
        <f>+COUNTIFS('muddati otgan'!C:C,A221,'muddati otgan'!J:J,"Ko'chmas mulkni ro'yhatdan o'tkazishga qabul qilish")</f>
        <v>0</v>
      </c>
      <c r="CP221" s="11">
        <f>+COUNTIFS('muddati otgan'!C:C,A221,'muddati otgan'!J:J,"Ro'yxatdan o'tkazish")</f>
        <v>0</v>
      </c>
      <c r="CQ221" s="11">
        <f>+COUNTIFS('muddati otgan'!C:C,A221,'muddati otgan'!J:J,"Kadastr pasporti va ko'chirmani yuborish")</f>
        <v>0</v>
      </c>
      <c r="CR221" s="11">
        <f>+COUNTIFS('muddati otgan'!C:C,A221,'muddati otgan'!AA:AA,"Rad qilish2")</f>
        <v>0</v>
      </c>
      <c r="CS221" s="11">
        <f>+COUNTIFS('muddati otgan'!C:C,A221,'muddati otgan'!J:J,"Ko'chirmani yuborish")</f>
        <v>0</v>
      </c>
      <c r="CT221" s="11">
        <f>+COUNTIFS('muddati otgan'!C:C,A221,'muddati otgan'!J:J,"Ma‘lumotlarni tekshirish")</f>
        <v>0</v>
      </c>
      <c r="CU221" s="11">
        <f t="shared" si="37"/>
        <v>0</v>
      </c>
      <c r="CV221" s="11">
        <f>+COUNTIFS('muddati otgan'!C:C,A221,'muddati otgan'!J:J,"Kadastr yig'majildini chop etish va arxiv ishiga tikish")</f>
        <v>0</v>
      </c>
      <c r="CW221" s="11">
        <f t="shared" si="38"/>
        <v>0</v>
      </c>
      <c r="CX221" s="11">
        <f>+COUNTIFS('muddati otgan'!C:C,A221,'muddati otgan'!J:J,"Kadastr yig‘majildini qabul qilish, arizani yakunlash")</f>
        <v>0</v>
      </c>
      <c r="CY221" s="11">
        <f>+COUNTIFS('muddati otgan'!C:C,A221,'muddati otgan'!J:J,"Next Cloudga yuklash")</f>
        <v>0</v>
      </c>
      <c r="CZ221" s="6">
        <f>+COUNTIFS('muddati otgan'!C:C,A221,'muddati otgan'!J:J,"Kelishish kutilmoqda")</f>
        <v>0</v>
      </c>
      <c r="DA221" s="6">
        <f>+COUNTIFS('muddati otgan'!C:C,A221,'muddati otgan'!J:J,"Yakunlandi")</f>
        <v>0</v>
      </c>
      <c r="DB221" s="10">
        <f>+COUNTIFS('muddati otgan'!C:C,A221,'muddati otgan'!J:J,"Rad etildi")</f>
        <v>0</v>
      </c>
      <c r="DC221" s="100">
        <f t="shared" si="5"/>
        <v>0</v>
      </c>
      <c r="DD221" s="44">
        <f>COUNTIFS('jami 1-20 kunlik arizalar'!C:C,A:A,'jami 1-20 kunlik arizalar'!S:S,"1")</f>
        <v>0</v>
      </c>
      <c r="DE221" s="11">
        <f>COUNTIFS('jami 1-20 kunlik arizalar'!C:C,A:A,'jami 1-20 kunlik arizalar'!S:S,"2")</f>
        <v>0</v>
      </c>
      <c r="DF221" s="11">
        <f>COUNTIFS('jami 1-20 kunlik arizalar'!C:C,A:A,'jami 1-20 kunlik arizalar'!S:S,"3")</f>
        <v>0</v>
      </c>
      <c r="DG221" s="11">
        <f>COUNTIFS('jami 1-20 kunlik arizalar'!C:C,A:A,'jami 1-20 kunlik arizalar'!S:S,"4")</f>
        <v>0</v>
      </c>
      <c r="DH221" s="11">
        <f>COUNTIFS('jami 1-20 kunlik arizalar'!C:C,A:A,'jami 1-20 kunlik arizalar'!S:S,"5")</f>
        <v>0</v>
      </c>
      <c r="DI221" s="11">
        <f>SUM(COUNTIFS('jami 1-20 kunlik arizalar'!C:C,A:A, 'jami 1-20 kunlik arizalar'!S:S, {6,7,8,9,10}))</f>
        <v>0</v>
      </c>
      <c r="DJ221" s="12">
        <f>SUM(COUNTIFS('jami 1-20 kunlik arizalar'!C:C,A:A, 'jami 1-20 kunlik arizalar'!S:S, "&gt;10"))</f>
        <v>1</v>
      </c>
    </row>
    <row r="222" spans="1:114" ht="32.1" hidden="1" customHeight="1" outlineLevel="1" x14ac:dyDescent="0.25">
      <c r="A222" s="92" t="s">
        <v>497</v>
      </c>
      <c r="B222" s="74"/>
      <c r="C222" s="85" t="s">
        <v>909</v>
      </c>
      <c r="D222" s="80">
        <f>+COUNTIFS('muddati otgan'!C:C,A222,'muddati otgan'!C:C,A222)</f>
        <v>1</v>
      </c>
      <c r="E222" s="10">
        <f>SUMIFS('muddati otgan'!$V:V,'muddati otgan'!$C:C,$A:A)</f>
        <v>1</v>
      </c>
      <c r="F222" s="10">
        <f>SUMIFS('muddati otgan'!$W:W,'muddati otgan'!$C:C,$A:A)</f>
        <v>0</v>
      </c>
      <c r="G222" s="24">
        <f>SUMIFS('muddati otgan'!$U:U,'muddati otgan'!$C:C,$A:A)</f>
        <v>0</v>
      </c>
      <c r="H222" s="11">
        <f>SUMIFS('muddati otgan'!$G:G,'muddati otgan'!$C:C,$A:A)</f>
        <v>0</v>
      </c>
      <c r="I222" s="12">
        <f>SUMIFS('muddati otgan'!$H:H,'muddati otgan'!$C:C,$A:A)</f>
        <v>1</v>
      </c>
      <c r="J222" s="44">
        <f t="shared" si="23"/>
        <v>0</v>
      </c>
      <c r="K222" s="11">
        <f>+COUNTIFS('muddati otgan'!C:C,A222,'muddati otgan'!AA:AA,"Arizani qabul qilish")</f>
        <v>0</v>
      </c>
      <c r="L222" s="11">
        <f>+COUNTIFS('muddati otgan'!C:C,A222,'muddati otgan'!J:J,"Arizani rad etish")</f>
        <v>0</v>
      </c>
      <c r="M222" s="11">
        <f>+COUNTIFS('muddati otgan'!C:C,A222,'muddati otgan'!J:J,"Arizani tasdiqlash")</f>
        <v>0</v>
      </c>
      <c r="N222" s="11">
        <f>+COUNTIFS('muddati otgan'!C:C,A222,'muddati otgan'!J:J,"Arizani yo'naltirish")</f>
        <v>0</v>
      </c>
      <c r="O222" s="11">
        <f>+COUNTIFS('muddati otgan'!C:C,A222,'muddati otgan'!J:J,"Rad qilish sababini o'rganish")</f>
        <v>0</v>
      </c>
      <c r="P222" s="11">
        <f>+COUNTIFS('muddati otgan'!C:C,A222,'muddati otgan'!J:J,"Ko'chmas mulkni UZKAD ga migratsiya qilish")</f>
        <v>0</v>
      </c>
      <c r="Q222" s="11">
        <f>+COUNTIFS('muddati otgan'!C:C,A222,'muddati otgan'!J:J,"Migratisya qilingan obyekt holatini tekshirish")</f>
        <v>0</v>
      </c>
      <c r="R222" s="11">
        <f>+COUNTIFS('muddati otgan'!C:C,A222,'muddati otgan'!J:J,"Ko‘chmas mulkni tanlash")</f>
        <v>0</v>
      </c>
      <c r="S222" s="11">
        <f>+COUNTIFS('muddati otgan'!C:C,A222,'muddati otgan'!J:J,"Arizani ko'rib chiqish")</f>
        <v>0</v>
      </c>
      <c r="T222" s="11">
        <f>+COUNTIFS('muddati otgan'!C:C,A222,'muddati otgan'!J:J,"Kadastr muhandisini tanlash")</f>
        <v>0</v>
      </c>
      <c r="U222" s="11">
        <f>+COUNTIFS('muddati otgan'!C:C,A222,'muddati otgan'!J:J,"Ko'chmas mulk turini tanlahsh")</f>
        <v>0</v>
      </c>
      <c r="V222" s="11">
        <f>+COUNTIFS('muddati otgan'!C:C,A222,'muddati otgan'!AA:AA,"Rad qilish")</f>
        <v>0</v>
      </c>
      <c r="W222" s="11">
        <f>+COUNTIFS('muddati otgan'!C:C,A222,'muddati otgan'!J:J,"ijrochi tanlash")</f>
        <v>0</v>
      </c>
      <c r="X222" s="11">
        <f>+COUNTIFS('muddati otgan'!C:C,A222,'muddati otgan'!J:J,"Ko'chmas mulk turini tanlash")</f>
        <v>0</v>
      </c>
      <c r="Y222" s="11">
        <f t="shared" si="24"/>
        <v>0</v>
      </c>
      <c r="Z222" s="11">
        <f>+COUNTIFS('muddati otgan'!C:C,A222,'muddati otgan'!J:J,"Ijroga qabul qilish")</f>
        <v>0</v>
      </c>
      <c r="AA222" s="11">
        <f>+COUNTIFS('muddati otgan'!C:C,A222,'muddati otgan'!J:J,"Joyida o'rganish va ma'lumotlarni kiritish")</f>
        <v>0</v>
      </c>
      <c r="AB222" s="11">
        <f>+COUNTIFS('muddati otgan'!C:C,A222,'muddati otgan'!J:J,"Asosiy qismdan ajratish jarayonida")</f>
        <v>0</v>
      </c>
      <c r="AC222" s="11">
        <f>+COUNTIFS('muddati otgan'!C:C,A222,'muddati otgan'!J:J,"Umumiy foydalanishdagi obyekt yaratilish")</f>
        <v>0</v>
      </c>
      <c r="AD222" s="11">
        <f>+COUNTIFS('muddati otgan'!C:C,A222,'muddati otgan'!J:J,"Migratsiya qilinadigan kadastr raqamini kiritish")</f>
        <v>0</v>
      </c>
      <c r="AE222" s="11">
        <f>+COUNTIFS('muddati otgan'!C:C,A222,'muddati otgan'!J:J,"O'zida qolgan obyektni yaratish")</f>
        <v>0</v>
      </c>
      <c r="AF222" s="11">
        <f>+COUNTIFS('muddati otgan'!C:C,A222,'muddati otgan'!J:J,"O'lchov natijalarini kiritish")</f>
        <v>0</v>
      </c>
      <c r="AG222" s="11">
        <f>+COUNTIFS('muddati otgan'!C:C,A222,'muddati otgan'!J:J,"Topoxaritani tayyorlash (dwg, pdf)")</f>
        <v>0</v>
      </c>
      <c r="AH222" s="11">
        <f t="shared" si="25"/>
        <v>0</v>
      </c>
      <c r="AI222" s="11">
        <f>+COUNTIFS('muddati otgan'!C:C,A222,'muddati otgan'!J:J,"Yer uchastkasini yaratish")</f>
        <v>0</v>
      </c>
      <c r="AJ222" s="11">
        <f t="shared" si="26"/>
        <v>0</v>
      </c>
      <c r="AK222" s="11">
        <f>+COUNTIFS('muddati otgan'!C:C,A222,'muddati otgan'!J:J,"Kelishish (Boshqarma)")</f>
        <v>0</v>
      </c>
      <c r="AL222" s="11">
        <f t="shared" si="27"/>
        <v>0</v>
      </c>
      <c r="AM222" s="11">
        <f>+COUNTIFS('muddati otgan'!C:C,A222,'muddati otgan'!J:J,"Kelishish (DKP)")</f>
        <v>0</v>
      </c>
      <c r="AN222" s="11">
        <f>+COUNTIFS('muddati otgan'!C:C,A222,'muddati otgan'!J:J,"Kelishish")</f>
        <v>0</v>
      </c>
      <c r="AO222" s="11">
        <f>+COUNTIFS('muddati otgan'!C:C,A222,'muddati otgan'!J:J,"Kelishish (Registratsiya DKP)")</f>
        <v>0</v>
      </c>
      <c r="AP222" s="11">
        <f t="shared" si="28"/>
        <v>0</v>
      </c>
      <c r="AQ222" s="11">
        <f>+COUNTIFS('muddati otgan'!C:C,A222,'muddati otgan'!J:J,"Manzil biriktirish")</f>
        <v>0</v>
      </c>
      <c r="AR222" s="11">
        <f>+COUNTIFS('muddati otgan'!C:C,A222,'muddati otgan'!J:J,"Bino va inshootlarni yaratish")</f>
        <v>0</v>
      </c>
      <c r="AS222" s="11">
        <f>+COUNTIFS('muddati otgan'!C:C,A222,'muddati otgan'!J:J,"Dov daraxtlarni yaratish")</f>
        <v>0</v>
      </c>
      <c r="AT222" s="11">
        <f>+COUNTIFS('muddati otgan'!C:C,A222,'muddati otgan'!J:J,"Yer uchastkasini tahrirlash")</f>
        <v>0</v>
      </c>
      <c r="AU222" s="11">
        <f t="shared" si="29"/>
        <v>0</v>
      </c>
      <c r="AV222" s="11">
        <f>+COUNTIFS('muddati otgan'!C:C,A222,'muddati otgan'!J:J,"Yer toifasi va maqsadini kiritish")</f>
        <v>0</v>
      </c>
      <c r="AW222" s="11">
        <f>+COUNTIFS('muddati otgan'!C:C,A222,'muddati otgan'!J:J,"Auksion yer tekshirish")</f>
        <v>0</v>
      </c>
      <c r="AX222" s="11">
        <f>+COUNTIFS('muddati otgan'!C:C,A222,'muddati otgan'!J:J,"Yer turlarini kiritish")</f>
        <v>0</v>
      </c>
      <c r="AY222" s="11">
        <f>+COUNTIFS('muddati otgan'!C:C,A222,'muddati otgan'!J:J,"Ma'lumotlarni kiritish")</f>
        <v>0</v>
      </c>
      <c r="AZ222" s="11">
        <f>+COUNTIFS('muddati otgan'!C:C,A222,'muddati otgan'!J:J,"Yer tekshirish")</f>
        <v>0</v>
      </c>
      <c r="BA222" s="11">
        <f t="shared" si="30"/>
        <v>0</v>
      </c>
      <c r="BB222" s="11">
        <f>+COUNTIFS('muddati otgan'!C:C,A222,'muddati otgan'!J:J,"Bino va inshoot ma'lumotlarini to‘ldirish")</f>
        <v>0</v>
      </c>
      <c r="BC222" s="11">
        <f>+COUNTIFS('muddati otgan'!C:C,A222,'muddati otgan'!J:J,"Inventarizatsiya ma'lumotlarini to‘ldirish")</f>
        <v>0</v>
      </c>
      <c r="BD222" s="11">
        <f>+COUNTIFS('muddati otgan'!C:C,A222,'muddati otgan'!J:J,"Yer uchastkasiga huquqiy hujjatlarni kiritsh")</f>
        <v>0</v>
      </c>
      <c r="BE222" s="11">
        <f>+COUNTIFS('muddati otgan'!C:C,A222,'muddati otgan'!J:J,"Bino-inshootlarga huquqiy hujjatlarni kiritsh")</f>
        <v>0</v>
      </c>
      <c r="BF222" s="11">
        <f>+COUNTIFS('muddati otgan'!C:C,A222,'muddati otgan'!J:J,"Kadastr qiymatini hisoblash va kiritish")</f>
        <v>0</v>
      </c>
      <c r="BG222" s="11">
        <f>+COUNTIFS('muddati otgan'!C:C,A222,'muddati otgan'!J:J,"Kadastr raqam biriktirish")</f>
        <v>0</v>
      </c>
      <c r="BH222" s="11">
        <f>+COUNTIFS('muddati otgan'!C:C,A222,'muddati otgan'!J:J,"Kadastr yig'ma jildni tayyorlash")</f>
        <v>0</v>
      </c>
      <c r="BI222" s="11">
        <f>+COUNTIFS('muddati otgan'!C:C,A222,'muddati otgan'!J:J,"Huquqni yaratish")</f>
        <v>0</v>
      </c>
      <c r="BJ222" s="11">
        <f>+COUNTIFS('muddati otgan'!C:C,A222,'muddati otgan'!J:J,"Hujjatlarni o'rganish")</f>
        <v>0</v>
      </c>
      <c r="BK222" s="11">
        <f>+COUNTIFS('muddati otgan'!C:C,A222,'muddati otgan'!J:J,"Ma'lumotlarni tekshirish")</f>
        <v>0</v>
      </c>
      <c r="BL222" s="11">
        <f t="shared" si="31"/>
        <v>0</v>
      </c>
      <c r="BM222" s="11">
        <f>+COUNTIFS('muddati otgan'!C:C,A222,'muddati otgan'!J:J,"Tekshirish")</f>
        <v>0</v>
      </c>
      <c r="BN222" s="11">
        <f>+COUNTIFS('muddati otgan'!C:C,A222,'muddati otgan'!J:J,"Hujjatlarni tekshirish")</f>
        <v>0</v>
      </c>
      <c r="BO222" s="11">
        <f>+COUNTIFS('muddati otgan'!C:C,A222,'muddati otgan'!J:J,"Tasdiqlash")</f>
        <v>0</v>
      </c>
      <c r="BP222" s="11">
        <f>+COUNTIFS('muddati otgan'!C:C,A222,'muddati otgan'!J:J,"tekshirish/tasdiqlash")</f>
        <v>0</v>
      </c>
      <c r="BQ222" s="11">
        <f>+COUNTIFS('muddati otgan'!C:C,A222,'muddati otgan'!J:J,"Ma'lumotlarni tasdiqlash")</f>
        <v>0</v>
      </c>
      <c r="BR222" s="11">
        <f t="shared" si="32"/>
        <v>1</v>
      </c>
      <c r="BS222" s="11">
        <f>+COUNTIFS('muddati otgan'!C:C,A222,'muddati otgan'!J:J,"Ro'yxatdan o'tkazish ma'lumotlarini tekshirish")</f>
        <v>1</v>
      </c>
      <c r="BT222" s="11">
        <f>+COUNTIFS('muddati otgan'!C:C,A222,'muddati otgan'!J:J,"Kamchiliklar bo'yicha habarnoma yuborish va 3 kunga to'xtatish")</f>
        <v>0</v>
      </c>
      <c r="BU222" s="11">
        <f>+COUNTIFS('muddati otgan'!C:C,A222,'muddati otgan'!J:J,"Hisobga olish")</f>
        <v>0</v>
      </c>
      <c r="BV222" s="11">
        <f>+COUNTIFS('muddati otgan'!C:C,A222,'muddati otgan'!J:J,"Yer uchastkasiga huquq yaratish")</f>
        <v>0</v>
      </c>
      <c r="BW222" s="11">
        <f>+COUNTIFS('muddati otgan'!C:C,A222,'muddati otgan'!J:J,"Bino-inshootga huquq yaratish")</f>
        <v>0</v>
      </c>
      <c r="BX222" s="11">
        <f>+COUNTIFS('muddati otgan'!C:C,A222,'muddati otgan'!J:J,"Cheklov yaratish")</f>
        <v>0</v>
      </c>
      <c r="BY222" s="11">
        <f>+COUNTIFS('muddati otgan'!C:C,A222,'muddati otgan'!J:J,"Taqiq yaratish")</f>
        <v>0</v>
      </c>
      <c r="BZ222" s="11">
        <f t="shared" si="33"/>
        <v>0</v>
      </c>
      <c r="CA222" s="11">
        <f>+COUNTIFS('muddati otgan'!C:C,A222,'muddati otgan'!J:J,"Soliq maydonini tekshirish")</f>
        <v>0</v>
      </c>
      <c r="CB222" s="11">
        <f t="shared" si="34"/>
        <v>0</v>
      </c>
      <c r="CC222" s="11">
        <f>+COUNTIFS('muddati otgan'!C:C,A222,'muddati otgan'!J:J,"Kadastr yig'majildini shakllantirish")</f>
        <v>0</v>
      </c>
      <c r="CD222" s="11">
        <f t="shared" si="35"/>
        <v>0</v>
      </c>
      <c r="CE222" s="11">
        <f>+COUNTIFS('muddati otgan'!C:C,A222,'muddati otgan'!J:J,"Kadastr passportini shakllantirish")</f>
        <v>0</v>
      </c>
      <c r="CF222" s="11">
        <f>+COUNTIFS('muddati otgan'!C:C,A222,'muddati otgan'!J:J,"Yig'ma jildni tasdiqlash")</f>
        <v>0</v>
      </c>
      <c r="CG222" s="11">
        <f>+COUNTIFS('muddati otgan'!C:C,A222,'muddati otgan'!J:J,"To'lov yoki bepul tasdiqlash")</f>
        <v>0</v>
      </c>
      <c r="CH222" s="11">
        <f>+COUNTIFS('muddati otgan'!C:C,A222,'muddati otgan'!J:J,"Bog'liq arizani kutish")</f>
        <v>0</v>
      </c>
      <c r="CI222" s="11">
        <f>+COUNTIFS('muddati otgan'!C:C,A222,'muddati otgan'!J:J,"To'lovga chiqarish")</f>
        <v>0</v>
      </c>
      <c r="CJ222" s="11">
        <f>+COUNTIFS('muddati otgan'!C:C,A222,'muddati otgan'!J:J,"Hisobga qo'yish")</f>
        <v>0</v>
      </c>
      <c r="CK222" s="6">
        <f>+COUNTIFS('muddati otgan'!C:C,A222,'muddati otgan'!J:J,"To'lov kutilmoqda")</f>
        <v>0</v>
      </c>
      <c r="CL222" s="11">
        <f t="shared" si="36"/>
        <v>0</v>
      </c>
      <c r="CM222" s="11">
        <f>+COUNTIFS('muddati otgan'!C:C,A222,'muddati otgan'!AA:AA,"Arizani qabul qilish2")</f>
        <v>0</v>
      </c>
      <c r="CN222" s="11">
        <f>+COUNTIFS('muddati otgan'!C:C,A222,'muddati otgan'!J:J,"Huquqlarni tekshirish")</f>
        <v>0</v>
      </c>
      <c r="CO222" s="11">
        <f>+COUNTIFS('muddati otgan'!C:C,A222,'muddati otgan'!J:J,"Ko'chmas mulkni ro'yhatdan o'tkazishga qabul qilish")</f>
        <v>0</v>
      </c>
      <c r="CP222" s="11">
        <f>+COUNTIFS('muddati otgan'!C:C,A222,'muddati otgan'!J:J,"Ro'yxatdan o'tkazish")</f>
        <v>0</v>
      </c>
      <c r="CQ222" s="11">
        <f>+COUNTIFS('muddati otgan'!C:C,A222,'muddati otgan'!J:J,"Kadastr pasporti va ko'chirmani yuborish")</f>
        <v>0</v>
      </c>
      <c r="CR222" s="11">
        <f>+COUNTIFS('muddati otgan'!C:C,A222,'muddati otgan'!AA:AA,"Rad qilish2")</f>
        <v>0</v>
      </c>
      <c r="CS222" s="11">
        <f>+COUNTIFS('muddati otgan'!C:C,A222,'muddati otgan'!J:J,"Ko'chirmani yuborish")</f>
        <v>0</v>
      </c>
      <c r="CT222" s="11">
        <f>+COUNTIFS('muddati otgan'!C:C,A222,'muddati otgan'!J:J,"Ma‘lumotlarni tekshirish")</f>
        <v>0</v>
      </c>
      <c r="CU222" s="11">
        <f t="shared" si="37"/>
        <v>0</v>
      </c>
      <c r="CV222" s="11">
        <f>+COUNTIFS('muddati otgan'!C:C,A222,'muddati otgan'!J:J,"Kadastr yig'majildini chop etish va arxiv ishiga tikish")</f>
        <v>0</v>
      </c>
      <c r="CW222" s="11">
        <f t="shared" si="38"/>
        <v>0</v>
      </c>
      <c r="CX222" s="11">
        <f>+COUNTIFS('muddati otgan'!C:C,A222,'muddati otgan'!J:J,"Kadastr yig‘majildini qabul qilish, arizani yakunlash")</f>
        <v>0</v>
      </c>
      <c r="CY222" s="11">
        <f>+COUNTIFS('muddati otgan'!C:C,A222,'muddati otgan'!J:J,"Next Cloudga yuklash")</f>
        <v>0</v>
      </c>
      <c r="CZ222" s="6">
        <f>+COUNTIFS('muddati otgan'!C:C,A222,'muddati otgan'!J:J,"Kelishish kutilmoqda")</f>
        <v>0</v>
      </c>
      <c r="DA222" s="6">
        <f>+COUNTIFS('muddati otgan'!C:C,A222,'muddati otgan'!J:J,"Yakunlandi")</f>
        <v>0</v>
      </c>
      <c r="DB222" s="10">
        <f>+COUNTIFS('muddati otgan'!C:C,A222,'muddati otgan'!J:J,"Rad etildi")</f>
        <v>0</v>
      </c>
      <c r="DC222" s="100">
        <f t="shared" si="5"/>
        <v>-1</v>
      </c>
      <c r="DD222" s="44">
        <f>COUNTIFS('jami 1-20 kunlik arizalar'!C:C,A:A,'jami 1-20 kunlik arizalar'!S:S,"1")</f>
        <v>0</v>
      </c>
      <c r="DE222" s="11">
        <f>COUNTIFS('jami 1-20 kunlik arizalar'!C:C,A:A,'jami 1-20 kunlik arizalar'!S:S,"2")</f>
        <v>0</v>
      </c>
      <c r="DF222" s="11">
        <f>COUNTIFS('jami 1-20 kunlik arizalar'!C:C,A:A,'jami 1-20 kunlik arizalar'!S:S,"3")</f>
        <v>2</v>
      </c>
      <c r="DG222" s="11">
        <f>COUNTIFS('jami 1-20 kunlik arizalar'!C:C,A:A,'jami 1-20 kunlik arizalar'!S:S,"4")</f>
        <v>5</v>
      </c>
      <c r="DH222" s="11">
        <f>COUNTIFS('jami 1-20 kunlik arizalar'!C:C,A:A,'jami 1-20 kunlik arizalar'!S:S,"5")</f>
        <v>2</v>
      </c>
      <c r="DI222" s="11">
        <f>SUM(COUNTIFS('jami 1-20 kunlik arizalar'!C:C,A:A, 'jami 1-20 kunlik arizalar'!S:S, {6,7,8,9,10}))</f>
        <v>4</v>
      </c>
      <c r="DJ222" s="12">
        <f>SUM(COUNTIFS('jami 1-20 kunlik arizalar'!C:C,A:A, 'jami 1-20 kunlik arizalar'!S:S, "&gt;10"))</f>
        <v>3</v>
      </c>
    </row>
    <row r="223" spans="1:114" ht="32.1" hidden="1" customHeight="1" outlineLevel="1" x14ac:dyDescent="0.25">
      <c r="A223" s="94" t="s">
        <v>939</v>
      </c>
      <c r="B223" s="74"/>
      <c r="C223" s="85" t="s">
        <v>940</v>
      </c>
      <c r="D223" s="80">
        <f>+COUNTIFS('muddati otgan'!C:C,A223,'muddati otgan'!C:C,A223)</f>
        <v>0</v>
      </c>
      <c r="E223" s="10">
        <f>SUMIFS('muddati otgan'!$V:V,'muddati otgan'!$C:C,$A:A)</f>
        <v>0</v>
      </c>
      <c r="F223" s="10">
        <f>SUMIFS('muddati otgan'!$W:W,'muddati otgan'!$C:C,$A:A)</f>
        <v>0</v>
      </c>
      <c r="G223" s="24">
        <f>SUMIFS('muddati otgan'!$U:U,'muddati otgan'!$C:C,$A:A)</f>
        <v>0</v>
      </c>
      <c r="H223" s="11">
        <f>SUMIFS('muddati otgan'!$G:G,'muddati otgan'!$C:C,$A:A)</f>
        <v>0</v>
      </c>
      <c r="I223" s="12">
        <f>SUMIFS('muddati otgan'!$H:H,'muddati otgan'!$C:C,$A:A)</f>
        <v>0</v>
      </c>
      <c r="J223" s="44">
        <f t="shared" ref="J223" si="311">K223+P223+Q223+R223+S223+T223+U223+V223+W223+L223+O223+M223+N223+X223</f>
        <v>0</v>
      </c>
      <c r="K223" s="11">
        <f>+COUNTIFS('muddati otgan'!C:C,A223,'muddati otgan'!AA:AA,"Arizani qabul qilish")</f>
        <v>0</v>
      </c>
      <c r="L223" s="11">
        <f>+COUNTIFS('muddati otgan'!C:C,A223,'muddati otgan'!J:J,"Arizani rad etish")</f>
        <v>0</v>
      </c>
      <c r="M223" s="11">
        <f>+COUNTIFS('muddati otgan'!C:C,A223,'muddati otgan'!J:J,"Arizani tasdiqlash")</f>
        <v>0</v>
      </c>
      <c r="N223" s="11">
        <f>+COUNTIFS('muddati otgan'!C:C,A223,'muddati otgan'!J:J,"Arizani yo'naltirish")</f>
        <v>0</v>
      </c>
      <c r="O223" s="11">
        <f>+COUNTIFS('muddati otgan'!C:C,A223,'muddati otgan'!J:J,"Rad qilish sababini o'rganish")</f>
        <v>0</v>
      </c>
      <c r="P223" s="11">
        <f>+COUNTIFS('muddati otgan'!C:C,A223,'muddati otgan'!J:J,"Ko'chmas mulkni UZKAD ga migratsiya qilish")</f>
        <v>0</v>
      </c>
      <c r="Q223" s="11">
        <f>+COUNTIFS('muddati otgan'!C:C,A223,'muddati otgan'!J:J,"Migratisya qilingan obyekt holatini tekshirish")</f>
        <v>0</v>
      </c>
      <c r="R223" s="11">
        <f>+COUNTIFS('muddati otgan'!C:C,A223,'muddati otgan'!J:J,"Ko‘chmas mulkni tanlash")</f>
        <v>0</v>
      </c>
      <c r="S223" s="11">
        <f>+COUNTIFS('muddati otgan'!C:C,A223,'muddati otgan'!J:J,"Arizani ko'rib chiqish")</f>
        <v>0</v>
      </c>
      <c r="T223" s="11">
        <f>+COUNTIFS('muddati otgan'!C:C,A223,'muddati otgan'!J:J,"Kadastr muhandisini tanlash")</f>
        <v>0</v>
      </c>
      <c r="U223" s="11">
        <f>+COUNTIFS('muddati otgan'!C:C,A223,'muddati otgan'!J:J,"Ko'chmas mulk turini tanlahsh")</f>
        <v>0</v>
      </c>
      <c r="V223" s="11">
        <f>+COUNTIFS('muddati otgan'!C:C,A223,'muddati otgan'!AA:AA,"Rad qilish")</f>
        <v>0</v>
      </c>
      <c r="W223" s="11">
        <f>+COUNTIFS('muddati otgan'!C:C,A223,'muddati otgan'!J:J,"ijrochi tanlash")</f>
        <v>0</v>
      </c>
      <c r="X223" s="11">
        <f>+COUNTIFS('muddati otgan'!C:C,A223,'muddati otgan'!J:J,"Ko'chmas mulk turini tanlash")</f>
        <v>0</v>
      </c>
      <c r="Y223" s="11">
        <f t="shared" ref="Y223" si="312">Z223+AD223+AF223+AE223+AC223+AB223+AA223</f>
        <v>0</v>
      </c>
      <c r="Z223" s="11">
        <f>+COUNTIFS('muddati otgan'!C:C,A223,'muddati otgan'!J:J,"Ijroga qabul qilish")</f>
        <v>0</v>
      </c>
      <c r="AA223" s="11">
        <f>+COUNTIFS('muddati otgan'!C:C,A223,'muddati otgan'!J:J,"Joyida o'rganish va ma'lumotlarni kiritish")</f>
        <v>0</v>
      </c>
      <c r="AB223" s="11">
        <f>+COUNTIFS('muddati otgan'!C:C,A223,'muddati otgan'!J:J,"Asosiy qismdan ajratish jarayonida")</f>
        <v>0</v>
      </c>
      <c r="AC223" s="11">
        <f>+COUNTIFS('muddati otgan'!C:C,A223,'muddati otgan'!J:J,"Umumiy foydalanishdagi obyekt yaratilish")</f>
        <v>0</v>
      </c>
      <c r="AD223" s="11">
        <f>+COUNTIFS('muddati otgan'!C:C,A223,'muddati otgan'!J:J,"Migratsiya qilinadigan kadastr raqamini kiritish")</f>
        <v>0</v>
      </c>
      <c r="AE223" s="11">
        <f>+COUNTIFS('muddati otgan'!C:C,A223,'muddati otgan'!J:J,"O'zida qolgan obyektni yaratish")</f>
        <v>0</v>
      </c>
      <c r="AF223" s="11">
        <f>+COUNTIFS('muddati otgan'!C:C,A223,'muddati otgan'!J:J,"O'lchov natijalarini kiritish")</f>
        <v>0</v>
      </c>
      <c r="AG223" s="11">
        <f>+COUNTIFS('muddati otgan'!C:C,A223,'muddati otgan'!J:J,"Topoxaritani tayyorlash (dwg, pdf)")</f>
        <v>0</v>
      </c>
      <c r="AH223" s="11">
        <f t="shared" ref="AH223" si="313">AI223</f>
        <v>0</v>
      </c>
      <c r="AI223" s="11">
        <f>+COUNTIFS('muddati otgan'!C:C,A223,'muddati otgan'!J:J,"Yer uchastkasini yaratish")</f>
        <v>0</v>
      </c>
      <c r="AJ223" s="11">
        <f t="shared" ref="AJ223" si="314">AK223</f>
        <v>0</v>
      </c>
      <c r="AK223" s="11">
        <f>+COUNTIFS('muddati otgan'!C:C,A223,'muddati otgan'!J:J,"Kelishish (Boshqarma)")</f>
        <v>0</v>
      </c>
      <c r="AL223" s="11">
        <f t="shared" ref="AL223" si="315">AM223+AN223+AO223</f>
        <v>0</v>
      </c>
      <c r="AM223" s="11">
        <f>+COUNTIFS('muddati otgan'!C:C,A223,'muddati otgan'!J:J,"Kelishish (DKP)")</f>
        <v>0</v>
      </c>
      <c r="AN223" s="11">
        <f>+COUNTIFS('muddati otgan'!C:C,A223,'muddati otgan'!J:J,"Kelishish")</f>
        <v>0</v>
      </c>
      <c r="AO223" s="11">
        <f>+COUNTIFS('muddati otgan'!C:C,A223,'muddati otgan'!J:J,"Kelishish (Registratsiya DKP)")</f>
        <v>0</v>
      </c>
      <c r="AP223" s="11">
        <f t="shared" ref="AP223" si="316">AQ223+AR223+AS223+AT223</f>
        <v>0</v>
      </c>
      <c r="AQ223" s="11">
        <f>+COUNTIFS('muddati otgan'!C:C,A223,'muddati otgan'!J:J,"Manzil biriktirish")</f>
        <v>0</v>
      </c>
      <c r="AR223" s="11">
        <f>+COUNTIFS('muddati otgan'!C:C,A223,'muddati otgan'!J:J,"Bino va inshootlarni yaratish")</f>
        <v>0</v>
      </c>
      <c r="AS223" s="11">
        <f>+COUNTIFS('muddati otgan'!C:C,A223,'muddati otgan'!J:J,"Dov daraxtlarni yaratish")</f>
        <v>0</v>
      </c>
      <c r="AT223" s="11">
        <f>+COUNTIFS('muddati otgan'!C:C,A223,'muddati otgan'!J:J,"Yer uchastkasini tahrirlash")</f>
        <v>0</v>
      </c>
      <c r="AU223" s="11">
        <f t="shared" ref="AU223" si="317">AV223+AW223+AX223+AY223+AZ223</f>
        <v>0</v>
      </c>
      <c r="AV223" s="11">
        <f>+COUNTIFS('muddati otgan'!C:C,A223,'muddati otgan'!J:J,"Yer toifasi va maqsadini kiritish")</f>
        <v>0</v>
      </c>
      <c r="AW223" s="11">
        <f>+COUNTIFS('muddati otgan'!C:C,A223,'muddati otgan'!J:J,"Auksion yer tekshirish")</f>
        <v>0</v>
      </c>
      <c r="AX223" s="11">
        <f>+COUNTIFS('muddati otgan'!C:C,A223,'muddati otgan'!J:J,"Yer turlarini kiritish")</f>
        <v>0</v>
      </c>
      <c r="AY223" s="11">
        <f>+COUNTIFS('muddati otgan'!C:C,A223,'muddati otgan'!J:J,"Ma'lumotlarni kiritish")</f>
        <v>0</v>
      </c>
      <c r="AZ223" s="11">
        <f>+COUNTIFS('muddati otgan'!C:C,A223,'muddati otgan'!J:J,"Yer tekshirish")</f>
        <v>0</v>
      </c>
      <c r="BA223" s="11">
        <f t="shared" ref="BA223" si="318">BB223+BC223+BD223+BE223+BF223+BG223+BH223+BI223+BJ223+BK223</f>
        <v>0</v>
      </c>
      <c r="BB223" s="11">
        <f>+COUNTIFS('muddati otgan'!C:C,A223,'muddati otgan'!J:J,"Bino va inshoot ma'lumotlarini to‘ldirish")</f>
        <v>0</v>
      </c>
      <c r="BC223" s="11">
        <f>+COUNTIFS('muddati otgan'!C:C,A223,'muddati otgan'!J:J,"Inventarizatsiya ma'lumotlarini to‘ldirish")</f>
        <v>0</v>
      </c>
      <c r="BD223" s="11">
        <f>+COUNTIFS('muddati otgan'!C:C,A223,'muddati otgan'!J:J,"Yer uchastkasiga huquqiy hujjatlarni kiritsh")</f>
        <v>0</v>
      </c>
      <c r="BE223" s="11">
        <f>+COUNTIFS('muddati otgan'!C:C,A223,'muddati otgan'!J:J,"Bino-inshootlarga huquqiy hujjatlarni kiritsh")</f>
        <v>0</v>
      </c>
      <c r="BF223" s="11">
        <f>+COUNTIFS('muddati otgan'!C:C,A223,'muddati otgan'!J:J,"Kadastr qiymatini hisoblash va kiritish")</f>
        <v>0</v>
      </c>
      <c r="BG223" s="11">
        <f>+COUNTIFS('muddati otgan'!C:C,A223,'muddati otgan'!J:J,"Kadastr raqam biriktirish")</f>
        <v>0</v>
      </c>
      <c r="BH223" s="11">
        <f>+COUNTIFS('muddati otgan'!C:C,A223,'muddati otgan'!J:J,"Kadastr yig'ma jildni tayyorlash")</f>
        <v>0</v>
      </c>
      <c r="BI223" s="11">
        <f>+COUNTIFS('muddati otgan'!C:C,A223,'muddati otgan'!J:J,"Huquqni yaratish")</f>
        <v>0</v>
      </c>
      <c r="BJ223" s="11">
        <f>+COUNTIFS('muddati otgan'!C:C,A223,'muddati otgan'!J:J,"Hujjatlarni o'rganish")</f>
        <v>0</v>
      </c>
      <c r="BK223" s="11">
        <f>+COUNTIFS('muddati otgan'!C:C,A223,'muddati otgan'!J:J,"Ma'lumotlarni tekshirish")</f>
        <v>0</v>
      </c>
      <c r="BL223" s="11">
        <f t="shared" ref="BL223" si="319">BM223+BN223+BP223+BO223+BQ223</f>
        <v>0</v>
      </c>
      <c r="BM223" s="11">
        <f>+COUNTIFS('muddati otgan'!C:C,A223,'muddati otgan'!J:J,"Tekshirish")</f>
        <v>0</v>
      </c>
      <c r="BN223" s="11">
        <f>+COUNTIFS('muddati otgan'!C:C,A223,'muddati otgan'!J:J,"Hujjatlarni tekshirish")</f>
        <v>0</v>
      </c>
      <c r="BO223" s="11">
        <f>+COUNTIFS('muddati otgan'!C:C,A223,'muddati otgan'!J:J,"Tasdiqlash")</f>
        <v>0</v>
      </c>
      <c r="BP223" s="11">
        <f>+COUNTIFS('muddati otgan'!C:C,A223,'muddati otgan'!J:J,"tekshirish/tasdiqlash")</f>
        <v>0</v>
      </c>
      <c r="BQ223" s="11">
        <f>+COUNTIFS('muddati otgan'!C:C,A223,'muddati otgan'!J:J,"Ma'lumotlarni tasdiqlash")</f>
        <v>0</v>
      </c>
      <c r="BR223" s="11">
        <f t="shared" ref="BR223" si="320">BS223+BU223+BV223+BW223+BX223+BY223-BT223</f>
        <v>0</v>
      </c>
      <c r="BS223" s="11">
        <f>+COUNTIFS('muddati otgan'!C:C,A223,'muddati otgan'!J:J,"Ro'yxatdan o'tkazish ma'lumotlarini tekshirish")</f>
        <v>0</v>
      </c>
      <c r="BT223" s="11">
        <f>+COUNTIFS('muddati otgan'!C:C,A223,'muddati otgan'!J:J,"Kamchiliklar bo'yicha habarnoma yuborish va 3 kunga to'xtatish")</f>
        <v>0</v>
      </c>
      <c r="BU223" s="11">
        <f>+COUNTIFS('muddati otgan'!C:C,A223,'muddati otgan'!J:J,"Hisobga olish")</f>
        <v>0</v>
      </c>
      <c r="BV223" s="11">
        <f>+COUNTIFS('muddati otgan'!C:C,A223,'muddati otgan'!J:J,"Yer uchastkasiga huquq yaratish")</f>
        <v>0</v>
      </c>
      <c r="BW223" s="11">
        <f>+COUNTIFS('muddati otgan'!C:C,A223,'muddati otgan'!J:J,"Bino-inshootga huquq yaratish")</f>
        <v>0</v>
      </c>
      <c r="BX223" s="11">
        <f>+COUNTIFS('muddati otgan'!C:C,A223,'muddati otgan'!J:J,"Cheklov yaratish")</f>
        <v>0</v>
      </c>
      <c r="BY223" s="11">
        <f>+COUNTIFS('muddati otgan'!C:C,A223,'muddati otgan'!J:J,"Taqiq yaratish")</f>
        <v>0</v>
      </c>
      <c r="BZ223" s="11">
        <f t="shared" ref="BZ223" si="321">CA223</f>
        <v>0</v>
      </c>
      <c r="CA223" s="11">
        <f>+COUNTIFS('muddati otgan'!C:C,A223,'muddati otgan'!J:J,"Soliq maydonini tekshirish")</f>
        <v>0</v>
      </c>
      <c r="CB223" s="11">
        <f t="shared" ref="CB223" si="322">CC223</f>
        <v>0</v>
      </c>
      <c r="CC223" s="11">
        <f>+COUNTIFS('muddati otgan'!C:C,A223,'muddati otgan'!J:J,"Kadastr yig'majildini shakllantirish")</f>
        <v>0</v>
      </c>
      <c r="CD223" s="11">
        <f t="shared" ref="CD223" si="323">CE223+CF223+CG223+CI223+CJ223+CH223</f>
        <v>0</v>
      </c>
      <c r="CE223" s="11">
        <f>+COUNTIFS('muddati otgan'!C:C,A223,'muddati otgan'!J:J,"Kadastr passportini shakllantirish")</f>
        <v>0</v>
      </c>
      <c r="CF223" s="11">
        <f>+COUNTIFS('muddati otgan'!C:C,A223,'muddati otgan'!J:J,"Yig'ma jildni tasdiqlash")</f>
        <v>0</v>
      </c>
      <c r="CG223" s="11">
        <f>+COUNTIFS('muddati otgan'!C:C,A223,'muddati otgan'!J:J,"To'lov yoki bepul tasdiqlash")</f>
        <v>0</v>
      </c>
      <c r="CH223" s="11">
        <f>+COUNTIFS('muddati otgan'!C:C,A223,'muddati otgan'!J:J,"Bog'liq arizani kutish")</f>
        <v>0</v>
      </c>
      <c r="CI223" s="11">
        <f>+COUNTIFS('muddati otgan'!C:C,A223,'muddati otgan'!J:J,"To'lovga chiqarish")</f>
        <v>0</v>
      </c>
      <c r="CJ223" s="11">
        <f>+COUNTIFS('muddati otgan'!C:C,A223,'muddati otgan'!J:J,"Hisobga qo'yish")</f>
        <v>0</v>
      </c>
      <c r="CK223" s="6">
        <f>+COUNTIFS('muddati otgan'!C:C,A223,'muddati otgan'!J:J,"To'lov kutilmoqda")</f>
        <v>0</v>
      </c>
      <c r="CL223" s="11">
        <f t="shared" ref="CL223" si="324">CM223+CN223+CO223+CP223+CQ223+CR223+CS223+CT223</f>
        <v>0</v>
      </c>
      <c r="CM223" s="11">
        <f>+COUNTIFS('muddati otgan'!C:C,A223,'muddati otgan'!AA:AA,"Arizani qabul qilish2")</f>
        <v>0</v>
      </c>
      <c r="CN223" s="11">
        <f>+COUNTIFS('muddati otgan'!C:C,A223,'muddati otgan'!J:J,"Huquqlarni tekshirish")</f>
        <v>0</v>
      </c>
      <c r="CO223" s="11">
        <f>+COUNTIFS('muddati otgan'!C:C,A223,'muddati otgan'!J:J,"Ko'chmas mulkni ro'yhatdan o'tkazishga qabul qilish")</f>
        <v>0</v>
      </c>
      <c r="CP223" s="11">
        <f>+COUNTIFS('muddati otgan'!C:C,A223,'muddati otgan'!J:J,"Ro'yxatdan o'tkazish")</f>
        <v>0</v>
      </c>
      <c r="CQ223" s="11">
        <f>+COUNTIFS('muddati otgan'!C:C,A223,'muddati otgan'!J:J,"Kadastr pasporti va ko'chirmani yuborish")</f>
        <v>0</v>
      </c>
      <c r="CR223" s="11">
        <f>+COUNTIFS('muddati otgan'!C:C,A223,'muddati otgan'!AA:AA,"Rad qilish2")</f>
        <v>0</v>
      </c>
      <c r="CS223" s="11">
        <f>+COUNTIFS('muddati otgan'!C:C,A223,'muddati otgan'!J:J,"Ko'chirmani yuborish")</f>
        <v>0</v>
      </c>
      <c r="CT223" s="11">
        <f>+COUNTIFS('muddati otgan'!C:C,A223,'muddati otgan'!J:J,"Ma‘lumotlarni tekshirish")</f>
        <v>0</v>
      </c>
      <c r="CU223" s="11">
        <f t="shared" ref="CU223" si="325">CV223</f>
        <v>0</v>
      </c>
      <c r="CV223" s="11">
        <f>+COUNTIFS('muddati otgan'!C:C,A223,'muddati otgan'!J:J,"Kadastr yig'majildini chop etish va arxiv ishiga tikish")</f>
        <v>0</v>
      </c>
      <c r="CW223" s="11">
        <f t="shared" ref="CW223" si="326">CX223+CY223</f>
        <v>0</v>
      </c>
      <c r="CX223" s="11">
        <f>+COUNTIFS('muddati otgan'!C:C,A223,'muddati otgan'!J:J,"Kadastr yig‘majildini qabul qilish, arizani yakunlash")</f>
        <v>0</v>
      </c>
      <c r="CY223" s="11">
        <f>+COUNTIFS('muddati otgan'!C:C,A223,'muddati otgan'!J:J,"Next Cloudga yuklash")</f>
        <v>0</v>
      </c>
      <c r="CZ223" s="6">
        <f>+COUNTIFS('muddati otgan'!C:C,A223,'muddati otgan'!J:J,"Kelishish kutilmoqda")</f>
        <v>0</v>
      </c>
      <c r="DA223" s="6">
        <f>+COUNTIFS('muddati otgan'!C:C,A223,'muddati otgan'!J:J,"Yakunlandi")</f>
        <v>0</v>
      </c>
      <c r="DB223" s="10">
        <f>+COUNTIFS('muddati otgan'!C:C,A223,'muddati otgan'!J:J,"Rad etildi")</f>
        <v>0</v>
      </c>
      <c r="DC223" s="100">
        <f t="shared" ref="DC223" si="327">CK223+CZ223+DA223+DB223-D223</f>
        <v>0</v>
      </c>
      <c r="DD223" s="44">
        <f>COUNTIFS('jami 1-20 kunlik arizalar'!C:C,A:A,'jami 1-20 kunlik arizalar'!S:S,"1")</f>
        <v>0</v>
      </c>
      <c r="DE223" s="11">
        <f>COUNTIFS('jami 1-20 kunlik arizalar'!C:C,A:A,'jami 1-20 kunlik arizalar'!S:S,"2")</f>
        <v>0</v>
      </c>
      <c r="DF223" s="11">
        <f>COUNTIFS('jami 1-20 kunlik arizalar'!C:C,A:A,'jami 1-20 kunlik arizalar'!S:S,"3")</f>
        <v>0</v>
      </c>
      <c r="DG223" s="11">
        <f>COUNTIFS('jami 1-20 kunlik arizalar'!C:C,A:A,'jami 1-20 kunlik arizalar'!S:S,"4")</f>
        <v>2</v>
      </c>
      <c r="DH223" s="11">
        <f>COUNTIFS('jami 1-20 kunlik arizalar'!C:C,A:A,'jami 1-20 kunlik arizalar'!S:S,"5")</f>
        <v>1</v>
      </c>
      <c r="DI223" s="11">
        <f>SUM(COUNTIFS('jami 1-20 kunlik arizalar'!C:C,A:A, 'jami 1-20 kunlik arizalar'!S:S, {6,7,8,9,10}))</f>
        <v>11</v>
      </c>
      <c r="DJ223" s="12">
        <f>SUM(COUNTIFS('jami 1-20 kunlik arizalar'!C:C,A:A, 'jami 1-20 kunlik arizalar'!S:S, "&gt;10"))</f>
        <v>4</v>
      </c>
    </row>
    <row r="224" spans="1:114" ht="32.1" hidden="1" customHeight="1" outlineLevel="1" x14ac:dyDescent="0.25">
      <c r="A224" s="92" t="s">
        <v>494</v>
      </c>
      <c r="B224" s="74"/>
      <c r="C224" s="85" t="s">
        <v>910</v>
      </c>
      <c r="D224" s="80">
        <f>+COUNTIFS('muddati otgan'!C:C,A224,'muddati otgan'!C:C,A224)</f>
        <v>0</v>
      </c>
      <c r="E224" s="10">
        <f>SUMIFS('muddati otgan'!$V:V,'muddati otgan'!$C:C,$A:A)</f>
        <v>0</v>
      </c>
      <c r="F224" s="10">
        <f>SUMIFS('muddati otgan'!$W:W,'muddati otgan'!$C:C,$A:A)</f>
        <v>0</v>
      </c>
      <c r="G224" s="24">
        <f>SUMIFS('muddati otgan'!$U:U,'muddati otgan'!$C:C,$A:A)</f>
        <v>0</v>
      </c>
      <c r="H224" s="11">
        <f>SUMIFS('muddati otgan'!$G:G,'muddati otgan'!$C:C,$A:A)</f>
        <v>0</v>
      </c>
      <c r="I224" s="12">
        <f>SUMIFS('muddati otgan'!$H:H,'muddati otgan'!$C:C,$A:A)</f>
        <v>0</v>
      </c>
      <c r="J224" s="44">
        <f t="shared" si="23"/>
        <v>0</v>
      </c>
      <c r="K224" s="11">
        <f>+COUNTIFS('muddati otgan'!C:C,A224,'muddati otgan'!AA:AA,"Arizani qabul qilish")</f>
        <v>0</v>
      </c>
      <c r="L224" s="11">
        <f>+COUNTIFS('muddati otgan'!C:C,A224,'muddati otgan'!J:J,"Arizani rad etish")</f>
        <v>0</v>
      </c>
      <c r="M224" s="11">
        <f>+COUNTIFS('muddati otgan'!C:C,A224,'muddati otgan'!J:J,"Arizani tasdiqlash")</f>
        <v>0</v>
      </c>
      <c r="N224" s="11">
        <f>+COUNTIFS('muddati otgan'!C:C,A224,'muddati otgan'!J:J,"Arizani yo'naltirish")</f>
        <v>0</v>
      </c>
      <c r="O224" s="11">
        <f>+COUNTIFS('muddati otgan'!C:C,A224,'muddati otgan'!J:J,"Rad qilish sababini o'rganish")</f>
        <v>0</v>
      </c>
      <c r="P224" s="11">
        <f>+COUNTIFS('muddati otgan'!C:C,A224,'muddati otgan'!J:J,"Ko'chmas mulkni UZKAD ga migratsiya qilish")</f>
        <v>0</v>
      </c>
      <c r="Q224" s="11">
        <f>+COUNTIFS('muddati otgan'!C:C,A224,'muddati otgan'!J:J,"Migratisya qilingan obyekt holatini tekshirish")</f>
        <v>0</v>
      </c>
      <c r="R224" s="11">
        <f>+COUNTIFS('muddati otgan'!C:C,A224,'muddati otgan'!J:J,"Ko‘chmas mulkni tanlash")</f>
        <v>0</v>
      </c>
      <c r="S224" s="11">
        <f>+COUNTIFS('muddati otgan'!C:C,A224,'muddati otgan'!J:J,"Arizani ko'rib chiqish")</f>
        <v>0</v>
      </c>
      <c r="T224" s="11">
        <f>+COUNTIFS('muddati otgan'!C:C,A224,'muddati otgan'!J:J,"Kadastr muhandisini tanlash")</f>
        <v>0</v>
      </c>
      <c r="U224" s="11">
        <f>+COUNTIFS('muddati otgan'!C:C,A224,'muddati otgan'!J:J,"Ko'chmas mulk turini tanlahsh")</f>
        <v>0</v>
      </c>
      <c r="V224" s="11">
        <f>+COUNTIFS('muddati otgan'!C:C,A224,'muddati otgan'!AA:AA,"Rad qilish")</f>
        <v>0</v>
      </c>
      <c r="W224" s="11">
        <f>+COUNTIFS('muddati otgan'!C:C,A224,'muddati otgan'!J:J,"ijrochi tanlash")</f>
        <v>0</v>
      </c>
      <c r="X224" s="11">
        <f>+COUNTIFS('muddati otgan'!C:C,A224,'muddati otgan'!J:J,"Ko'chmas mulk turini tanlash")</f>
        <v>0</v>
      </c>
      <c r="Y224" s="11">
        <f t="shared" si="24"/>
        <v>0</v>
      </c>
      <c r="Z224" s="11">
        <f>+COUNTIFS('muddati otgan'!C:C,A224,'muddati otgan'!J:J,"Ijroga qabul qilish")</f>
        <v>0</v>
      </c>
      <c r="AA224" s="11">
        <f>+COUNTIFS('muddati otgan'!C:C,A224,'muddati otgan'!J:J,"Joyida o'rganish va ma'lumotlarni kiritish")</f>
        <v>0</v>
      </c>
      <c r="AB224" s="11">
        <f>+COUNTIFS('muddati otgan'!C:C,A224,'muddati otgan'!J:J,"Asosiy qismdan ajratish jarayonida")</f>
        <v>0</v>
      </c>
      <c r="AC224" s="11">
        <f>+COUNTIFS('muddati otgan'!C:C,A224,'muddati otgan'!J:J,"Umumiy foydalanishdagi obyekt yaratilish")</f>
        <v>0</v>
      </c>
      <c r="AD224" s="11">
        <f>+COUNTIFS('muddati otgan'!C:C,A224,'muddati otgan'!J:J,"Migratsiya qilinadigan kadastr raqamini kiritish")</f>
        <v>0</v>
      </c>
      <c r="AE224" s="11">
        <f>+COUNTIFS('muddati otgan'!C:C,A224,'muddati otgan'!J:J,"O'zida qolgan obyektni yaratish")</f>
        <v>0</v>
      </c>
      <c r="AF224" s="11">
        <f>+COUNTIFS('muddati otgan'!C:C,A224,'muddati otgan'!J:J,"O'lchov natijalarini kiritish")</f>
        <v>0</v>
      </c>
      <c r="AG224" s="11">
        <f>+COUNTIFS('muddati otgan'!C:C,A224,'muddati otgan'!J:J,"Topoxaritani tayyorlash (dwg, pdf)")</f>
        <v>0</v>
      </c>
      <c r="AH224" s="11">
        <f t="shared" si="25"/>
        <v>0</v>
      </c>
      <c r="AI224" s="11">
        <f>+COUNTIFS('muddati otgan'!C:C,A224,'muddati otgan'!J:J,"Yer uchastkasini yaratish")</f>
        <v>0</v>
      </c>
      <c r="AJ224" s="11">
        <f t="shared" si="26"/>
        <v>0</v>
      </c>
      <c r="AK224" s="11">
        <f>+COUNTIFS('muddati otgan'!C:C,A224,'muddati otgan'!J:J,"Kelishish (Boshqarma)")</f>
        <v>0</v>
      </c>
      <c r="AL224" s="11">
        <f t="shared" si="27"/>
        <v>0</v>
      </c>
      <c r="AM224" s="11">
        <f>+COUNTIFS('muddati otgan'!C:C,A224,'muddati otgan'!J:J,"Kelishish (DKP)")</f>
        <v>0</v>
      </c>
      <c r="AN224" s="11">
        <f>+COUNTIFS('muddati otgan'!C:C,A224,'muddati otgan'!J:J,"Kelishish")</f>
        <v>0</v>
      </c>
      <c r="AO224" s="11">
        <f>+COUNTIFS('muddati otgan'!C:C,A224,'muddati otgan'!J:J,"Kelishish (Registratsiya DKP)")</f>
        <v>0</v>
      </c>
      <c r="AP224" s="11">
        <f t="shared" si="28"/>
        <v>0</v>
      </c>
      <c r="AQ224" s="11">
        <f>+COUNTIFS('muddati otgan'!C:C,A224,'muddati otgan'!J:J,"Manzil biriktirish")</f>
        <v>0</v>
      </c>
      <c r="AR224" s="11">
        <f>+COUNTIFS('muddati otgan'!C:C,A224,'muddati otgan'!J:J,"Bino va inshootlarni yaratish")</f>
        <v>0</v>
      </c>
      <c r="AS224" s="11">
        <f>+COUNTIFS('muddati otgan'!C:C,A224,'muddati otgan'!J:J,"Dov daraxtlarni yaratish")</f>
        <v>0</v>
      </c>
      <c r="AT224" s="11">
        <f>+COUNTIFS('muddati otgan'!C:C,A224,'muddati otgan'!J:J,"Yer uchastkasini tahrirlash")</f>
        <v>0</v>
      </c>
      <c r="AU224" s="11">
        <f t="shared" si="29"/>
        <v>0</v>
      </c>
      <c r="AV224" s="11">
        <f>+COUNTIFS('muddati otgan'!C:C,A224,'muddati otgan'!J:J,"Yer toifasi va maqsadini kiritish")</f>
        <v>0</v>
      </c>
      <c r="AW224" s="11">
        <f>+COUNTIFS('muddati otgan'!C:C,A224,'muddati otgan'!J:J,"Auksion yer tekshirish")</f>
        <v>0</v>
      </c>
      <c r="AX224" s="11">
        <f>+COUNTIFS('muddati otgan'!C:C,A224,'muddati otgan'!J:J,"Yer turlarini kiritish")</f>
        <v>0</v>
      </c>
      <c r="AY224" s="11">
        <f>+COUNTIFS('muddati otgan'!C:C,A224,'muddati otgan'!J:J,"Ma'lumotlarni kiritish")</f>
        <v>0</v>
      </c>
      <c r="AZ224" s="11">
        <f>+COUNTIFS('muddati otgan'!C:C,A224,'muddati otgan'!J:J,"Yer tekshirish")</f>
        <v>0</v>
      </c>
      <c r="BA224" s="11">
        <f t="shared" si="30"/>
        <v>0</v>
      </c>
      <c r="BB224" s="11">
        <f>+COUNTIFS('muddati otgan'!C:C,A224,'muddati otgan'!J:J,"Bino va inshoot ma'lumotlarini to‘ldirish")</f>
        <v>0</v>
      </c>
      <c r="BC224" s="11">
        <f>+COUNTIFS('muddati otgan'!C:C,A224,'muddati otgan'!J:J,"Inventarizatsiya ma'lumotlarini to‘ldirish")</f>
        <v>0</v>
      </c>
      <c r="BD224" s="11">
        <f>+COUNTIFS('muddati otgan'!C:C,A224,'muddati otgan'!J:J,"Yer uchastkasiga huquqiy hujjatlarni kiritsh")</f>
        <v>0</v>
      </c>
      <c r="BE224" s="11">
        <f>+COUNTIFS('muddati otgan'!C:C,A224,'muddati otgan'!J:J,"Bino-inshootlarga huquqiy hujjatlarni kiritsh")</f>
        <v>0</v>
      </c>
      <c r="BF224" s="11">
        <f>+COUNTIFS('muddati otgan'!C:C,A224,'muddati otgan'!J:J,"Kadastr qiymatini hisoblash va kiritish")</f>
        <v>0</v>
      </c>
      <c r="BG224" s="11">
        <f>+COUNTIFS('muddati otgan'!C:C,A224,'muddati otgan'!J:J,"Kadastr raqam biriktirish")</f>
        <v>0</v>
      </c>
      <c r="BH224" s="11">
        <f>+COUNTIFS('muddati otgan'!C:C,A224,'muddati otgan'!J:J,"Kadastr yig'ma jildni tayyorlash")</f>
        <v>0</v>
      </c>
      <c r="BI224" s="11">
        <f>+COUNTIFS('muddati otgan'!C:C,A224,'muddati otgan'!J:J,"Huquqni yaratish")</f>
        <v>0</v>
      </c>
      <c r="BJ224" s="11">
        <f>+COUNTIFS('muddati otgan'!C:C,A224,'muddati otgan'!J:J,"Hujjatlarni o'rganish")</f>
        <v>0</v>
      </c>
      <c r="BK224" s="11">
        <f>+COUNTIFS('muddati otgan'!C:C,A224,'muddati otgan'!J:J,"Ma'lumotlarni tekshirish")</f>
        <v>0</v>
      </c>
      <c r="BL224" s="11">
        <f t="shared" si="31"/>
        <v>0</v>
      </c>
      <c r="BM224" s="11">
        <f>+COUNTIFS('muddati otgan'!C:C,A224,'muddati otgan'!J:J,"Tekshirish")</f>
        <v>0</v>
      </c>
      <c r="BN224" s="11">
        <f>+COUNTIFS('muddati otgan'!C:C,A224,'muddati otgan'!J:J,"Hujjatlarni tekshirish")</f>
        <v>0</v>
      </c>
      <c r="BO224" s="11">
        <f>+COUNTIFS('muddati otgan'!C:C,A224,'muddati otgan'!J:J,"Tasdiqlash")</f>
        <v>0</v>
      </c>
      <c r="BP224" s="11">
        <f>+COUNTIFS('muddati otgan'!C:C,A224,'muddati otgan'!J:J,"tekshirish/tasdiqlash")</f>
        <v>0</v>
      </c>
      <c r="BQ224" s="11">
        <f>+COUNTIFS('muddati otgan'!C:C,A224,'muddati otgan'!J:J,"Ma'lumotlarni tasdiqlash")</f>
        <v>0</v>
      </c>
      <c r="BR224" s="11">
        <f t="shared" si="32"/>
        <v>0</v>
      </c>
      <c r="BS224" s="11">
        <f>+COUNTIFS('muddati otgan'!C:C,A224,'muddati otgan'!J:J,"Ro'yxatdan o'tkazish ma'lumotlarini tekshirish")</f>
        <v>0</v>
      </c>
      <c r="BT224" s="11">
        <f>+COUNTIFS('muddati otgan'!C:C,A224,'muddati otgan'!J:J,"Kamchiliklar bo'yicha habarnoma yuborish va 3 kunga to'xtatish")</f>
        <v>0</v>
      </c>
      <c r="BU224" s="11">
        <f>+COUNTIFS('muddati otgan'!C:C,A224,'muddati otgan'!J:J,"Hisobga olish")</f>
        <v>0</v>
      </c>
      <c r="BV224" s="11">
        <f>+COUNTIFS('muddati otgan'!C:C,A224,'muddati otgan'!J:J,"Yer uchastkasiga huquq yaratish")</f>
        <v>0</v>
      </c>
      <c r="BW224" s="11">
        <f>+COUNTIFS('muddati otgan'!C:C,A224,'muddati otgan'!J:J,"Bino-inshootga huquq yaratish")</f>
        <v>0</v>
      </c>
      <c r="BX224" s="11">
        <f>+COUNTIFS('muddati otgan'!C:C,A224,'muddati otgan'!J:J,"Cheklov yaratish")</f>
        <v>0</v>
      </c>
      <c r="BY224" s="11">
        <f>+COUNTIFS('muddati otgan'!C:C,A224,'muddati otgan'!J:J,"Taqiq yaratish")</f>
        <v>0</v>
      </c>
      <c r="BZ224" s="11">
        <f t="shared" si="33"/>
        <v>0</v>
      </c>
      <c r="CA224" s="11">
        <f>+COUNTIFS('muddati otgan'!C:C,A224,'muddati otgan'!J:J,"Soliq maydonini tekshirish")</f>
        <v>0</v>
      </c>
      <c r="CB224" s="11">
        <f t="shared" si="34"/>
        <v>0</v>
      </c>
      <c r="CC224" s="11">
        <f>+COUNTIFS('muddati otgan'!C:C,A224,'muddati otgan'!J:J,"Kadastr yig'majildini shakllantirish")</f>
        <v>0</v>
      </c>
      <c r="CD224" s="11">
        <f t="shared" si="35"/>
        <v>0</v>
      </c>
      <c r="CE224" s="11">
        <f>+COUNTIFS('muddati otgan'!C:C,A224,'muddati otgan'!J:J,"Kadastr passportini shakllantirish")</f>
        <v>0</v>
      </c>
      <c r="CF224" s="11">
        <f>+COUNTIFS('muddati otgan'!C:C,A224,'muddati otgan'!J:J,"Yig'ma jildni tasdiqlash")</f>
        <v>0</v>
      </c>
      <c r="CG224" s="11">
        <f>+COUNTIFS('muddati otgan'!C:C,A224,'muddati otgan'!J:J,"To'lov yoki bepul tasdiqlash")</f>
        <v>0</v>
      </c>
      <c r="CH224" s="11">
        <f>+COUNTIFS('muddati otgan'!C:C,A224,'muddati otgan'!J:J,"Bog'liq arizani kutish")</f>
        <v>0</v>
      </c>
      <c r="CI224" s="11">
        <f>+COUNTIFS('muddati otgan'!C:C,A224,'muddati otgan'!J:J,"To'lovga chiqarish")</f>
        <v>0</v>
      </c>
      <c r="CJ224" s="11">
        <f>+COUNTIFS('muddati otgan'!C:C,A224,'muddati otgan'!J:J,"Hisobga qo'yish")</f>
        <v>0</v>
      </c>
      <c r="CK224" s="6">
        <f>+COUNTIFS('muddati otgan'!C:C,A224,'muddati otgan'!J:J,"To'lov kutilmoqda")</f>
        <v>0</v>
      </c>
      <c r="CL224" s="11">
        <f t="shared" si="36"/>
        <v>0</v>
      </c>
      <c r="CM224" s="11">
        <f>+COUNTIFS('muddati otgan'!C:C,A224,'muddati otgan'!AA:AA,"Arizani qabul qilish2")</f>
        <v>0</v>
      </c>
      <c r="CN224" s="11">
        <f>+COUNTIFS('muddati otgan'!C:C,A224,'muddati otgan'!J:J,"Huquqlarni tekshirish")</f>
        <v>0</v>
      </c>
      <c r="CO224" s="11">
        <f>+COUNTIFS('muddati otgan'!C:C,A224,'muddati otgan'!J:J,"Ko'chmas mulkni ro'yhatdan o'tkazishga qabul qilish")</f>
        <v>0</v>
      </c>
      <c r="CP224" s="11">
        <f>+COUNTIFS('muddati otgan'!C:C,A224,'muddati otgan'!J:J,"Ro'yxatdan o'tkazish")</f>
        <v>0</v>
      </c>
      <c r="CQ224" s="11">
        <f>+COUNTIFS('muddati otgan'!C:C,A224,'muddati otgan'!J:J,"Kadastr pasporti va ko'chirmani yuborish")</f>
        <v>0</v>
      </c>
      <c r="CR224" s="11">
        <f>+COUNTIFS('muddati otgan'!C:C,A224,'muddati otgan'!AA:AA,"Rad qilish2")</f>
        <v>0</v>
      </c>
      <c r="CS224" s="11">
        <f>+COUNTIFS('muddati otgan'!C:C,A224,'muddati otgan'!J:J,"Ko'chirmani yuborish")</f>
        <v>0</v>
      </c>
      <c r="CT224" s="11">
        <f>+COUNTIFS('muddati otgan'!C:C,A224,'muddati otgan'!J:J,"Ma‘lumotlarni tekshirish")</f>
        <v>0</v>
      </c>
      <c r="CU224" s="11">
        <f t="shared" si="37"/>
        <v>0</v>
      </c>
      <c r="CV224" s="11">
        <f>+COUNTIFS('muddati otgan'!C:C,A224,'muddati otgan'!J:J,"Kadastr yig'majildini chop etish va arxiv ishiga tikish")</f>
        <v>0</v>
      </c>
      <c r="CW224" s="11">
        <f t="shared" si="38"/>
        <v>0</v>
      </c>
      <c r="CX224" s="11">
        <f>+COUNTIFS('muddati otgan'!C:C,A224,'muddati otgan'!J:J,"Kadastr yig‘majildini qabul qilish, arizani yakunlash")</f>
        <v>0</v>
      </c>
      <c r="CY224" s="11">
        <f>+COUNTIFS('muddati otgan'!C:C,A224,'muddati otgan'!J:J,"Next Cloudga yuklash")</f>
        <v>0</v>
      </c>
      <c r="CZ224" s="6">
        <f>+COUNTIFS('muddati otgan'!C:C,A224,'muddati otgan'!J:J,"Kelishish kutilmoqda")</f>
        <v>0</v>
      </c>
      <c r="DA224" s="6">
        <f>+COUNTIFS('muddati otgan'!C:C,A224,'muddati otgan'!J:J,"Yakunlandi")</f>
        <v>0</v>
      </c>
      <c r="DB224" s="10">
        <f>+COUNTIFS('muddati otgan'!C:C,A224,'muddati otgan'!J:J,"Rad etildi")</f>
        <v>0</v>
      </c>
      <c r="DC224" s="100">
        <f t="shared" si="5"/>
        <v>0</v>
      </c>
      <c r="DD224" s="44">
        <f>COUNTIFS('jami 1-20 kunlik arizalar'!C:C,A:A,'jami 1-20 kunlik arizalar'!S:S,"1")</f>
        <v>0</v>
      </c>
      <c r="DE224" s="11">
        <f>COUNTIFS('jami 1-20 kunlik arizalar'!C:C,A:A,'jami 1-20 kunlik arizalar'!S:S,"2")</f>
        <v>0</v>
      </c>
      <c r="DF224" s="11">
        <f>COUNTIFS('jami 1-20 kunlik arizalar'!C:C,A:A,'jami 1-20 kunlik arizalar'!S:S,"3")</f>
        <v>2</v>
      </c>
      <c r="DG224" s="11">
        <f>COUNTIFS('jami 1-20 kunlik arizalar'!C:C,A:A,'jami 1-20 kunlik arizalar'!S:S,"4")</f>
        <v>1</v>
      </c>
      <c r="DH224" s="11">
        <f>COUNTIFS('jami 1-20 kunlik arizalar'!C:C,A:A,'jami 1-20 kunlik arizalar'!S:S,"5")</f>
        <v>2</v>
      </c>
      <c r="DI224" s="11">
        <f>SUM(COUNTIFS('jami 1-20 kunlik arizalar'!C:C,A:A, 'jami 1-20 kunlik arizalar'!S:S, {6,7,8,9,10}))</f>
        <v>5</v>
      </c>
      <c r="DJ224" s="12">
        <f>SUM(COUNTIFS('jami 1-20 kunlik arizalar'!C:C,A:A, 'jami 1-20 kunlik arizalar'!S:S, "&gt;10"))</f>
        <v>1</v>
      </c>
    </row>
    <row r="225" spans="1:115" ht="32.1" hidden="1" customHeight="1" outlineLevel="1" x14ac:dyDescent="0.25">
      <c r="A225" s="92" t="s">
        <v>511</v>
      </c>
      <c r="B225" s="74"/>
      <c r="C225" s="85" t="s">
        <v>911</v>
      </c>
      <c r="D225" s="80">
        <f>+COUNTIFS('muddati otgan'!C:C,A225,'muddati otgan'!C:C,A225)</f>
        <v>0</v>
      </c>
      <c r="E225" s="10">
        <f>SUMIFS('muddati otgan'!$V:V,'muddati otgan'!$C:C,$A:A)</f>
        <v>0</v>
      </c>
      <c r="F225" s="10">
        <f>SUMIFS('muddati otgan'!$W:W,'muddati otgan'!$C:C,$A:A)</f>
        <v>0</v>
      </c>
      <c r="G225" s="24">
        <f>SUMIFS('muddati otgan'!$U:U,'muddati otgan'!$C:C,$A:A)</f>
        <v>0</v>
      </c>
      <c r="H225" s="11">
        <f>SUMIFS('muddati otgan'!$G:G,'muddati otgan'!$C:C,$A:A)</f>
        <v>0</v>
      </c>
      <c r="I225" s="12">
        <f>SUMIFS('muddati otgan'!$H:H,'muddati otgan'!$C:C,$A:A)</f>
        <v>0</v>
      </c>
      <c r="J225" s="44">
        <f t="shared" si="23"/>
        <v>0</v>
      </c>
      <c r="K225" s="11">
        <f>+COUNTIFS('muddati otgan'!C:C,A225,'muddati otgan'!AA:AA,"Arizani qabul qilish")</f>
        <v>0</v>
      </c>
      <c r="L225" s="11">
        <f>+COUNTIFS('muddati otgan'!C:C,A225,'muddati otgan'!J:J,"Arizani rad etish")</f>
        <v>0</v>
      </c>
      <c r="M225" s="11">
        <f>+COUNTIFS('muddati otgan'!C:C,A225,'muddati otgan'!J:J,"Arizani tasdiqlash")</f>
        <v>0</v>
      </c>
      <c r="N225" s="11">
        <f>+COUNTIFS('muddati otgan'!C:C,A225,'muddati otgan'!J:J,"Arizani yo'naltirish")</f>
        <v>0</v>
      </c>
      <c r="O225" s="11">
        <f>+COUNTIFS('muddati otgan'!C:C,A225,'muddati otgan'!J:J,"Rad qilish sababini o'rganish")</f>
        <v>0</v>
      </c>
      <c r="P225" s="11">
        <f>+COUNTIFS('muddati otgan'!C:C,A225,'muddati otgan'!J:J,"Ko'chmas mulkni UZKAD ga migratsiya qilish")</f>
        <v>0</v>
      </c>
      <c r="Q225" s="11">
        <f>+COUNTIFS('muddati otgan'!C:C,A225,'muddati otgan'!J:J,"Migratisya qilingan obyekt holatini tekshirish")</f>
        <v>0</v>
      </c>
      <c r="R225" s="11">
        <f>+COUNTIFS('muddati otgan'!C:C,A225,'muddati otgan'!J:J,"Ko‘chmas mulkni tanlash")</f>
        <v>0</v>
      </c>
      <c r="S225" s="11">
        <f>+COUNTIFS('muddati otgan'!C:C,A225,'muddati otgan'!J:J,"Arizani ko'rib chiqish")</f>
        <v>0</v>
      </c>
      <c r="T225" s="11">
        <f>+COUNTIFS('muddati otgan'!C:C,A225,'muddati otgan'!J:J,"Kadastr muhandisini tanlash")</f>
        <v>0</v>
      </c>
      <c r="U225" s="11">
        <f>+COUNTIFS('muddati otgan'!C:C,A225,'muddati otgan'!J:J,"Ko'chmas mulk turini tanlahsh")</f>
        <v>0</v>
      </c>
      <c r="V225" s="11">
        <f>+COUNTIFS('muddati otgan'!C:C,A225,'muddati otgan'!AA:AA,"Rad qilish")</f>
        <v>0</v>
      </c>
      <c r="W225" s="11">
        <f>+COUNTIFS('muddati otgan'!C:C,A225,'muddati otgan'!J:J,"ijrochi tanlash")</f>
        <v>0</v>
      </c>
      <c r="X225" s="11">
        <f>+COUNTIFS('muddati otgan'!C:C,A225,'muddati otgan'!J:J,"Ko'chmas mulk turini tanlash")</f>
        <v>0</v>
      </c>
      <c r="Y225" s="11">
        <f t="shared" si="24"/>
        <v>0</v>
      </c>
      <c r="Z225" s="11">
        <f>+COUNTIFS('muddati otgan'!C:C,A225,'muddati otgan'!J:J,"Ijroga qabul qilish")</f>
        <v>0</v>
      </c>
      <c r="AA225" s="11">
        <f>+COUNTIFS('muddati otgan'!C:C,A225,'muddati otgan'!J:J,"Joyida o'rganish va ma'lumotlarni kiritish")</f>
        <v>0</v>
      </c>
      <c r="AB225" s="11">
        <f>+COUNTIFS('muddati otgan'!C:C,A225,'muddati otgan'!J:J,"Asosiy qismdan ajratish jarayonida")</f>
        <v>0</v>
      </c>
      <c r="AC225" s="11">
        <f>+COUNTIFS('muddati otgan'!C:C,A225,'muddati otgan'!J:J,"Umumiy foydalanishdagi obyekt yaratilish")</f>
        <v>0</v>
      </c>
      <c r="AD225" s="11">
        <f>+COUNTIFS('muddati otgan'!C:C,A225,'muddati otgan'!J:J,"Migratsiya qilinadigan kadastr raqamini kiritish")</f>
        <v>0</v>
      </c>
      <c r="AE225" s="11">
        <f>+COUNTIFS('muddati otgan'!C:C,A225,'muddati otgan'!J:J,"O'zida qolgan obyektni yaratish")</f>
        <v>0</v>
      </c>
      <c r="AF225" s="11">
        <f>+COUNTIFS('muddati otgan'!C:C,A225,'muddati otgan'!J:J,"O'lchov natijalarini kiritish")</f>
        <v>0</v>
      </c>
      <c r="AG225" s="11">
        <f>+COUNTIFS('muddati otgan'!C:C,A225,'muddati otgan'!J:J,"Topoxaritani tayyorlash (dwg, pdf)")</f>
        <v>0</v>
      </c>
      <c r="AH225" s="11">
        <f t="shared" si="25"/>
        <v>0</v>
      </c>
      <c r="AI225" s="11">
        <f>+COUNTIFS('muddati otgan'!C:C,A225,'muddati otgan'!J:J,"Yer uchastkasini yaratish")</f>
        <v>0</v>
      </c>
      <c r="AJ225" s="11">
        <f t="shared" si="26"/>
        <v>0</v>
      </c>
      <c r="AK225" s="11">
        <f>+COUNTIFS('muddati otgan'!C:C,A225,'muddati otgan'!J:J,"Kelishish (Boshqarma)")</f>
        <v>0</v>
      </c>
      <c r="AL225" s="11">
        <f t="shared" si="27"/>
        <v>0</v>
      </c>
      <c r="AM225" s="11">
        <f>+COUNTIFS('muddati otgan'!C:C,A225,'muddati otgan'!J:J,"Kelishish (DKP)")</f>
        <v>0</v>
      </c>
      <c r="AN225" s="11">
        <f>+COUNTIFS('muddati otgan'!C:C,A225,'muddati otgan'!J:J,"Kelishish")</f>
        <v>0</v>
      </c>
      <c r="AO225" s="11">
        <f>+COUNTIFS('muddati otgan'!C:C,A225,'muddati otgan'!J:J,"Kelishish (Registratsiya DKP)")</f>
        <v>0</v>
      </c>
      <c r="AP225" s="11">
        <f t="shared" si="28"/>
        <v>0</v>
      </c>
      <c r="AQ225" s="11">
        <f>+COUNTIFS('muddati otgan'!C:C,A225,'muddati otgan'!J:J,"Manzil biriktirish")</f>
        <v>0</v>
      </c>
      <c r="AR225" s="11">
        <f>+COUNTIFS('muddati otgan'!C:C,A225,'muddati otgan'!J:J,"Bino va inshootlarni yaratish")</f>
        <v>0</v>
      </c>
      <c r="AS225" s="11">
        <f>+COUNTIFS('muddati otgan'!C:C,A225,'muddati otgan'!J:J,"Dov daraxtlarni yaratish")</f>
        <v>0</v>
      </c>
      <c r="AT225" s="11">
        <f>+COUNTIFS('muddati otgan'!C:C,A225,'muddati otgan'!J:J,"Yer uchastkasini tahrirlash")</f>
        <v>0</v>
      </c>
      <c r="AU225" s="11">
        <f t="shared" si="29"/>
        <v>0</v>
      </c>
      <c r="AV225" s="11">
        <f>+COUNTIFS('muddati otgan'!C:C,A225,'muddati otgan'!J:J,"Yer toifasi va maqsadini kiritish")</f>
        <v>0</v>
      </c>
      <c r="AW225" s="11">
        <f>+COUNTIFS('muddati otgan'!C:C,A225,'muddati otgan'!J:J,"Auksion yer tekshirish")</f>
        <v>0</v>
      </c>
      <c r="AX225" s="11">
        <f>+COUNTIFS('muddati otgan'!C:C,A225,'muddati otgan'!J:J,"Yer turlarini kiritish")</f>
        <v>0</v>
      </c>
      <c r="AY225" s="11">
        <f>+COUNTIFS('muddati otgan'!C:C,A225,'muddati otgan'!J:J,"Ma'lumotlarni kiritish")</f>
        <v>0</v>
      </c>
      <c r="AZ225" s="11">
        <f>+COUNTIFS('muddati otgan'!C:C,A225,'muddati otgan'!J:J,"Yer tekshirish")</f>
        <v>0</v>
      </c>
      <c r="BA225" s="11">
        <f t="shared" si="30"/>
        <v>0</v>
      </c>
      <c r="BB225" s="11">
        <f>+COUNTIFS('muddati otgan'!C:C,A225,'muddati otgan'!J:J,"Bino va inshoot ma'lumotlarini to‘ldirish")</f>
        <v>0</v>
      </c>
      <c r="BC225" s="11">
        <f>+COUNTIFS('muddati otgan'!C:C,A225,'muddati otgan'!J:J,"Inventarizatsiya ma'lumotlarini to‘ldirish")</f>
        <v>0</v>
      </c>
      <c r="BD225" s="11">
        <f>+COUNTIFS('muddati otgan'!C:C,A225,'muddati otgan'!J:J,"Yer uchastkasiga huquqiy hujjatlarni kiritsh")</f>
        <v>0</v>
      </c>
      <c r="BE225" s="11">
        <f>+COUNTIFS('muddati otgan'!C:C,A225,'muddati otgan'!J:J,"Bino-inshootlarga huquqiy hujjatlarni kiritsh")</f>
        <v>0</v>
      </c>
      <c r="BF225" s="11">
        <f>+COUNTIFS('muddati otgan'!C:C,A225,'muddati otgan'!J:J,"Kadastr qiymatini hisoblash va kiritish")</f>
        <v>0</v>
      </c>
      <c r="BG225" s="11">
        <f>+COUNTIFS('muddati otgan'!C:C,A225,'muddati otgan'!J:J,"Kadastr raqam biriktirish")</f>
        <v>0</v>
      </c>
      <c r="BH225" s="11">
        <f>+COUNTIFS('muddati otgan'!C:C,A225,'muddati otgan'!J:J,"Kadastr yig'ma jildni tayyorlash")</f>
        <v>0</v>
      </c>
      <c r="BI225" s="11">
        <f>+COUNTIFS('muddati otgan'!C:C,A225,'muddati otgan'!J:J,"Huquqni yaratish")</f>
        <v>0</v>
      </c>
      <c r="BJ225" s="11">
        <f>+COUNTIFS('muddati otgan'!C:C,A225,'muddati otgan'!J:J,"Hujjatlarni o'rganish")</f>
        <v>0</v>
      </c>
      <c r="BK225" s="11">
        <f>+COUNTIFS('muddati otgan'!C:C,A225,'muddati otgan'!J:J,"Ma'lumotlarni tekshirish")</f>
        <v>0</v>
      </c>
      <c r="BL225" s="11">
        <f t="shared" si="31"/>
        <v>0</v>
      </c>
      <c r="BM225" s="11">
        <f>+COUNTIFS('muddati otgan'!C:C,A225,'muddati otgan'!J:J,"Tekshirish")</f>
        <v>0</v>
      </c>
      <c r="BN225" s="11">
        <f>+COUNTIFS('muddati otgan'!C:C,A225,'muddati otgan'!J:J,"Hujjatlarni tekshirish")</f>
        <v>0</v>
      </c>
      <c r="BO225" s="11">
        <f>+COUNTIFS('muddati otgan'!C:C,A225,'muddati otgan'!J:J,"Tasdiqlash")</f>
        <v>0</v>
      </c>
      <c r="BP225" s="11">
        <f>+COUNTIFS('muddati otgan'!C:C,A225,'muddati otgan'!J:J,"tekshirish/tasdiqlash")</f>
        <v>0</v>
      </c>
      <c r="BQ225" s="11">
        <f>+COUNTIFS('muddati otgan'!C:C,A225,'muddati otgan'!J:J,"Ma'lumotlarni tasdiqlash")</f>
        <v>0</v>
      </c>
      <c r="BR225" s="11">
        <f t="shared" si="32"/>
        <v>0</v>
      </c>
      <c r="BS225" s="11">
        <f>+COUNTIFS('muddati otgan'!C:C,A225,'muddati otgan'!J:J,"Ro'yxatdan o'tkazish ma'lumotlarini tekshirish")</f>
        <v>0</v>
      </c>
      <c r="BT225" s="11">
        <f>+COUNTIFS('muddati otgan'!C:C,A225,'muddati otgan'!J:J,"Kamchiliklar bo'yicha habarnoma yuborish va 3 kunga to'xtatish")</f>
        <v>0</v>
      </c>
      <c r="BU225" s="11">
        <f>+COUNTIFS('muddati otgan'!C:C,A225,'muddati otgan'!J:J,"Hisobga olish")</f>
        <v>0</v>
      </c>
      <c r="BV225" s="11">
        <f>+COUNTIFS('muddati otgan'!C:C,A225,'muddati otgan'!J:J,"Yer uchastkasiga huquq yaratish")</f>
        <v>0</v>
      </c>
      <c r="BW225" s="11">
        <f>+COUNTIFS('muddati otgan'!C:C,A225,'muddati otgan'!J:J,"Bino-inshootga huquq yaratish")</f>
        <v>0</v>
      </c>
      <c r="BX225" s="11">
        <f>+COUNTIFS('muddati otgan'!C:C,A225,'muddati otgan'!J:J,"Cheklov yaratish")</f>
        <v>0</v>
      </c>
      <c r="BY225" s="11">
        <f>+COUNTIFS('muddati otgan'!C:C,A225,'muddati otgan'!J:J,"Taqiq yaratish")</f>
        <v>0</v>
      </c>
      <c r="BZ225" s="11">
        <f t="shared" si="33"/>
        <v>0</v>
      </c>
      <c r="CA225" s="11">
        <f>+COUNTIFS('muddati otgan'!C:C,A225,'muddati otgan'!J:J,"Soliq maydonini tekshirish")</f>
        <v>0</v>
      </c>
      <c r="CB225" s="11">
        <f t="shared" si="34"/>
        <v>0</v>
      </c>
      <c r="CC225" s="11">
        <f>+COUNTIFS('muddati otgan'!C:C,A225,'muddati otgan'!J:J,"Kadastr yig'majildini shakllantirish")</f>
        <v>0</v>
      </c>
      <c r="CD225" s="11">
        <f t="shared" si="35"/>
        <v>0</v>
      </c>
      <c r="CE225" s="11">
        <f>+COUNTIFS('muddati otgan'!C:C,A225,'muddati otgan'!J:J,"Kadastr passportini shakllantirish")</f>
        <v>0</v>
      </c>
      <c r="CF225" s="11">
        <f>+COUNTIFS('muddati otgan'!C:C,A225,'muddati otgan'!J:J,"Yig'ma jildni tasdiqlash")</f>
        <v>0</v>
      </c>
      <c r="CG225" s="11">
        <f>+COUNTIFS('muddati otgan'!C:C,A225,'muddati otgan'!J:J,"To'lov yoki bepul tasdiqlash")</f>
        <v>0</v>
      </c>
      <c r="CH225" s="11">
        <f>+COUNTIFS('muddati otgan'!C:C,A225,'muddati otgan'!J:J,"Bog'liq arizani kutish")</f>
        <v>0</v>
      </c>
      <c r="CI225" s="11">
        <f>+COUNTIFS('muddati otgan'!C:C,A225,'muddati otgan'!J:J,"To'lovga chiqarish")</f>
        <v>0</v>
      </c>
      <c r="CJ225" s="11">
        <f>+COUNTIFS('muddati otgan'!C:C,A225,'muddati otgan'!J:J,"Hisobga qo'yish")</f>
        <v>0</v>
      </c>
      <c r="CK225" s="6">
        <f>+COUNTIFS('muddati otgan'!C:C,A225,'muddati otgan'!J:J,"To'lov kutilmoqda")</f>
        <v>0</v>
      </c>
      <c r="CL225" s="11">
        <f t="shared" si="36"/>
        <v>0</v>
      </c>
      <c r="CM225" s="11">
        <f>+COUNTIFS('muddati otgan'!C:C,A225,'muddati otgan'!AA:AA,"Arizani qabul qilish2")</f>
        <v>0</v>
      </c>
      <c r="CN225" s="11">
        <f>+COUNTIFS('muddati otgan'!C:C,A225,'muddati otgan'!J:J,"Huquqlarni tekshirish")</f>
        <v>0</v>
      </c>
      <c r="CO225" s="11">
        <f>+COUNTIFS('muddati otgan'!C:C,A225,'muddati otgan'!J:J,"Ko'chmas mulkni ro'yhatdan o'tkazishga qabul qilish")</f>
        <v>0</v>
      </c>
      <c r="CP225" s="11">
        <f>+COUNTIFS('muddati otgan'!C:C,A225,'muddati otgan'!J:J,"Ro'yxatdan o'tkazish")</f>
        <v>0</v>
      </c>
      <c r="CQ225" s="11">
        <f>+COUNTIFS('muddati otgan'!C:C,A225,'muddati otgan'!J:J,"Kadastr pasporti va ko'chirmani yuborish")</f>
        <v>0</v>
      </c>
      <c r="CR225" s="11">
        <f>+COUNTIFS('muddati otgan'!C:C,A225,'muddati otgan'!AA:AA,"Rad qilish2")</f>
        <v>0</v>
      </c>
      <c r="CS225" s="11">
        <f>+COUNTIFS('muddati otgan'!C:C,A225,'muddati otgan'!J:J,"Ko'chirmani yuborish")</f>
        <v>0</v>
      </c>
      <c r="CT225" s="11">
        <f>+COUNTIFS('muddati otgan'!C:C,A225,'muddati otgan'!J:J,"Ma‘lumotlarni tekshirish")</f>
        <v>0</v>
      </c>
      <c r="CU225" s="11">
        <f t="shared" si="37"/>
        <v>0</v>
      </c>
      <c r="CV225" s="11">
        <f>+COUNTIFS('muddati otgan'!C:C,A225,'muddati otgan'!J:J,"Kadastr yig'majildini chop etish va arxiv ishiga tikish")</f>
        <v>0</v>
      </c>
      <c r="CW225" s="11">
        <f t="shared" si="38"/>
        <v>0</v>
      </c>
      <c r="CX225" s="11">
        <f>+COUNTIFS('muddati otgan'!C:C,A225,'muddati otgan'!J:J,"Kadastr yig‘majildini qabul qilish, arizani yakunlash")</f>
        <v>0</v>
      </c>
      <c r="CY225" s="11">
        <f>+COUNTIFS('muddati otgan'!C:C,A225,'muddati otgan'!J:J,"Next Cloudga yuklash")</f>
        <v>0</v>
      </c>
      <c r="CZ225" s="6">
        <f>+COUNTIFS('muddati otgan'!C:C,A225,'muddati otgan'!J:J,"Kelishish kutilmoqda")</f>
        <v>0</v>
      </c>
      <c r="DA225" s="6">
        <f>+COUNTIFS('muddati otgan'!C:C,A225,'muddati otgan'!J:J,"Yakunlandi")</f>
        <v>0</v>
      </c>
      <c r="DB225" s="10">
        <f>+COUNTIFS('muddati otgan'!C:C,A225,'muddati otgan'!J:J,"Rad etildi")</f>
        <v>0</v>
      </c>
      <c r="DC225" s="100">
        <f t="shared" si="5"/>
        <v>0</v>
      </c>
      <c r="DD225" s="44">
        <f>COUNTIFS('jami 1-20 kunlik arizalar'!C:C,A:A,'jami 1-20 kunlik arizalar'!S:S,"1")</f>
        <v>0</v>
      </c>
      <c r="DE225" s="11">
        <f>COUNTIFS('jami 1-20 kunlik arizalar'!C:C,A:A,'jami 1-20 kunlik arizalar'!S:S,"2")</f>
        <v>0</v>
      </c>
      <c r="DF225" s="11">
        <f>COUNTIFS('jami 1-20 kunlik arizalar'!C:C,A:A,'jami 1-20 kunlik arizalar'!S:S,"3")</f>
        <v>1</v>
      </c>
      <c r="DG225" s="11">
        <f>COUNTIFS('jami 1-20 kunlik arizalar'!C:C,A:A,'jami 1-20 kunlik arizalar'!S:S,"4")</f>
        <v>2</v>
      </c>
      <c r="DH225" s="11">
        <f>COUNTIFS('jami 1-20 kunlik arizalar'!C:C,A:A,'jami 1-20 kunlik arizalar'!S:S,"5")</f>
        <v>3</v>
      </c>
      <c r="DI225" s="11">
        <f>SUM(COUNTIFS('jami 1-20 kunlik arizalar'!C:C,A:A, 'jami 1-20 kunlik arizalar'!S:S, {6,7,8,9,10}))</f>
        <v>3</v>
      </c>
      <c r="DJ225" s="12">
        <f>SUM(COUNTIFS('jami 1-20 kunlik arizalar'!C:C,A:A, 'jami 1-20 kunlik arizalar'!S:S, "&gt;10"))</f>
        <v>4</v>
      </c>
    </row>
    <row r="226" spans="1:115" ht="57.95" hidden="1" customHeight="1" outlineLevel="1" thickBot="1" x14ac:dyDescent="0.3">
      <c r="A226" s="92"/>
      <c r="B226" s="77"/>
      <c r="C226" s="86" t="s">
        <v>930</v>
      </c>
      <c r="D226" s="81">
        <f>+D208-(SUM(D209:D225))</f>
        <v>1</v>
      </c>
      <c r="E226" s="21"/>
      <c r="F226" s="21"/>
      <c r="G226" s="21"/>
      <c r="H226" s="41"/>
      <c r="I226" s="42"/>
      <c r="J226" s="45"/>
      <c r="K226" s="22"/>
      <c r="L226" s="22"/>
      <c r="M226" s="22"/>
      <c r="N226" s="22"/>
      <c r="O226" s="22"/>
      <c r="P226" s="22"/>
      <c r="Q226" s="22"/>
      <c r="R226" s="22"/>
      <c r="S226" s="22"/>
      <c r="T226" s="22"/>
      <c r="U226" s="22"/>
      <c r="V226" s="22"/>
      <c r="W226" s="22"/>
      <c r="X226" s="22"/>
      <c r="Y226" s="41"/>
      <c r="Z226" s="22"/>
      <c r="AA226" s="22"/>
      <c r="AB226" s="22"/>
      <c r="AC226" s="22"/>
      <c r="AD226" s="22"/>
      <c r="AE226" s="22"/>
      <c r="AF226" s="22"/>
      <c r="AG226" s="41"/>
      <c r="AH226" s="41"/>
      <c r="AI226" s="22"/>
      <c r="AJ226" s="41"/>
      <c r="AK226" s="22"/>
      <c r="AL226" s="41"/>
      <c r="AM226" s="22"/>
      <c r="AN226" s="22"/>
      <c r="AO226" s="22"/>
      <c r="AP226" s="41"/>
      <c r="AQ226" s="22"/>
      <c r="AR226" s="22"/>
      <c r="AS226" s="22"/>
      <c r="AT226" s="22"/>
      <c r="AU226" s="41"/>
      <c r="AV226" s="22"/>
      <c r="AW226" s="22"/>
      <c r="AX226" s="22"/>
      <c r="AY226" s="22"/>
      <c r="AZ226" s="22"/>
      <c r="BA226" s="41"/>
      <c r="BB226" s="22"/>
      <c r="BC226" s="22"/>
      <c r="BD226" s="22"/>
      <c r="BE226" s="22"/>
      <c r="BF226" s="22"/>
      <c r="BG226" s="22"/>
      <c r="BH226" s="22"/>
      <c r="BI226" s="22"/>
      <c r="BJ226" s="22"/>
      <c r="BK226" s="22"/>
      <c r="BL226" s="41"/>
      <c r="BM226" s="22"/>
      <c r="BN226" s="22"/>
      <c r="BO226" s="22"/>
      <c r="BP226" s="22"/>
      <c r="BQ226" s="22"/>
      <c r="BR226" s="41"/>
      <c r="BS226" s="22"/>
      <c r="BT226" s="22"/>
      <c r="BU226" s="22"/>
      <c r="BV226" s="22"/>
      <c r="BW226" s="22"/>
      <c r="BX226" s="22"/>
      <c r="BY226" s="22"/>
      <c r="BZ226" s="41"/>
      <c r="CA226" s="22"/>
      <c r="CB226" s="41"/>
      <c r="CC226" s="22"/>
      <c r="CD226" s="41"/>
      <c r="CE226" s="22"/>
      <c r="CF226" s="22"/>
      <c r="CG226" s="22"/>
      <c r="CH226" s="22"/>
      <c r="CI226" s="22"/>
      <c r="CJ226" s="22"/>
      <c r="CK226" s="68"/>
      <c r="CL226" s="41"/>
      <c r="CM226" s="22"/>
      <c r="CN226" s="22"/>
      <c r="CO226" s="22"/>
      <c r="CP226" s="22"/>
      <c r="CQ226" s="22"/>
      <c r="CR226" s="22"/>
      <c r="CS226" s="22"/>
      <c r="CT226" s="22"/>
      <c r="CU226" s="41"/>
      <c r="CV226" s="22"/>
      <c r="CW226" s="41"/>
      <c r="CX226" s="22"/>
      <c r="CY226" s="22"/>
      <c r="CZ226" s="68"/>
      <c r="DA226" s="68"/>
      <c r="DB226" s="21"/>
      <c r="DC226" s="101"/>
      <c r="DD226" s="45">
        <f t="shared" ref="DD226:DJ226" si="328">+DD208-(SUM(DD209:DD225))</f>
        <v>0</v>
      </c>
      <c r="DE226" s="41">
        <f t="shared" si="328"/>
        <v>0</v>
      </c>
      <c r="DF226" s="41">
        <f t="shared" si="328"/>
        <v>0</v>
      </c>
      <c r="DG226" s="41">
        <f t="shared" si="328"/>
        <v>0</v>
      </c>
      <c r="DH226" s="41">
        <f t="shared" si="328"/>
        <v>1</v>
      </c>
      <c r="DI226" s="41">
        <f t="shared" si="328"/>
        <v>4</v>
      </c>
      <c r="DJ226" s="42">
        <f t="shared" si="328"/>
        <v>9</v>
      </c>
    </row>
    <row r="227" spans="1:115" s="29" customFormat="1" ht="57.95" customHeight="1" collapsed="1" x14ac:dyDescent="0.25">
      <c r="A227" s="91" t="s">
        <v>83</v>
      </c>
      <c r="B227" s="76">
        <v>12</v>
      </c>
      <c r="C227" s="87" t="s">
        <v>71</v>
      </c>
      <c r="D227" s="79">
        <f>+COUNTIFS('muddati otgan'!B:B,A227,'muddati otgan'!B:B,"YGQT")</f>
        <v>23</v>
      </c>
      <c r="E227" s="37">
        <f>SUMIFS('muddati otgan'!$V:V,'muddati otgan'!$B:B,$A:A)</f>
        <v>8</v>
      </c>
      <c r="F227" s="37">
        <f>SUMIFS('muddati otgan'!$W:W,'muddati otgan'!$B:B,$A:A)</f>
        <v>1</v>
      </c>
      <c r="G227" s="38">
        <f>SUMIFS('muddati otgan'!$U:U,'muddati otgan'!$B:B,$A:A)</f>
        <v>14</v>
      </c>
      <c r="H227" s="39">
        <f>SUMIFS('muddati otgan'!$G:G,'muddati otgan'!$B:B,$A:A)</f>
        <v>16</v>
      </c>
      <c r="I227" s="40">
        <f>SUMIFS('muddati otgan'!$H:H,'muddati otgan'!$B:B,$A:A)</f>
        <v>7</v>
      </c>
      <c r="J227" s="43">
        <f t="shared" si="23"/>
        <v>2</v>
      </c>
      <c r="K227" s="39">
        <f>+COUNTIFS('muddati otgan'!B:B,A227,'muddati otgan'!AA:AA,"Arizani qabul qilish")</f>
        <v>0</v>
      </c>
      <c r="L227" s="39">
        <f>+COUNTIFS('muddati otgan'!B:B,A227,'muddati otgan'!J:J,"Arizani rad etish")</f>
        <v>0</v>
      </c>
      <c r="M227" s="39">
        <f>+COUNTIFS('muddati otgan'!B:B,A227,'muddati otgan'!J:J,"Arizani tasdiqlash")</f>
        <v>0</v>
      </c>
      <c r="N227" s="39">
        <f>+COUNTIFS('muddati otgan'!B:B,A227,'muddati otgan'!J:J,"Arizani yo'naltirish")</f>
        <v>0</v>
      </c>
      <c r="O227" s="39">
        <f>+COUNTIFS('muddati otgan'!B:B,A227,'muddati otgan'!J:J,"Rad qilish sababini o'rganish")</f>
        <v>2</v>
      </c>
      <c r="P227" s="39">
        <f>+COUNTIFS('muddati otgan'!B:B,A227,'muddati otgan'!J:J,"Ko'chmas mulkni UZKAD ga migratsiya qilish")</f>
        <v>0</v>
      </c>
      <c r="Q227" s="39">
        <f>+COUNTIFS('muddati otgan'!B:B,A227,'muddati otgan'!J:J,"Migratisya qilingan obyekt holatini tekshirish")</f>
        <v>0</v>
      </c>
      <c r="R227" s="39">
        <f>+COUNTIFS('muddati otgan'!B:B,A227,'muddati otgan'!J:J,"Ko‘chmas mulkni tanlash")</f>
        <v>0</v>
      </c>
      <c r="S227" s="39">
        <f>+COUNTIFS('muddati otgan'!B:B,A227,'muddati otgan'!J:J,"Arizani ko'rib chiqish")</f>
        <v>0</v>
      </c>
      <c r="T227" s="39">
        <f>+COUNTIFS('muddati otgan'!B:B,A227,'muddati otgan'!J:J,"Kadastr muhandisini tanlash")</f>
        <v>0</v>
      </c>
      <c r="U227" s="39">
        <f>+COUNTIFS('muddati otgan'!B:B,A227,'muddati otgan'!J:J,"Ko'chmas mulk turini tanlahsh")</f>
        <v>0</v>
      </c>
      <c r="V227" s="39">
        <f>+COUNTIFS('muddati otgan'!B:B,A227,'muddati otgan'!AA:AA,"Rad qilish")</f>
        <v>0</v>
      </c>
      <c r="W227" s="39">
        <f>+COUNTIFS('muddati otgan'!B:B,A227,'muddati otgan'!J:J,"ijrochi tanlash")</f>
        <v>0</v>
      </c>
      <c r="X227" s="39">
        <f>+COUNTIFS('muddati otgan'!B:B,A227,'muddati otgan'!J:J,"Ko'chmas mulk turini tanlash")</f>
        <v>0</v>
      </c>
      <c r="Y227" s="39">
        <f t="shared" si="24"/>
        <v>2</v>
      </c>
      <c r="Z227" s="39">
        <f>+COUNTIFS('muddati otgan'!B:B,A227,'muddati otgan'!J:J,"Ijroga qabul qilish")</f>
        <v>0</v>
      </c>
      <c r="AA227" s="39">
        <f>+COUNTIFS('muddati otgan'!B:B,A227,'muddati otgan'!J:J,"Joyida o'rganish va ma'lumotlarni kiritish")</f>
        <v>0</v>
      </c>
      <c r="AB227" s="39">
        <f>+COUNTIFS('muddati otgan'!B:B,A227,'muddati otgan'!J:J,"Asosiy qismdan ajratish jarayonida")</f>
        <v>0</v>
      </c>
      <c r="AC227" s="39">
        <f>+COUNTIFS('muddati otgan'!B:B,A227,'muddati otgan'!J:J,"Umumiy foydalanishdagi obyekt yaratilish")</f>
        <v>0</v>
      </c>
      <c r="AD227" s="39">
        <f>+COUNTIFS('muddati otgan'!B:B,A227,'muddati otgan'!J:J,"Migratsiya qilinadigan kadastr raqamini kiritish")</f>
        <v>0</v>
      </c>
      <c r="AE227" s="39">
        <f>+COUNTIFS('muddati otgan'!B:B,A227,'muddati otgan'!J:J,"O'zida qolgan obyektni yaratish")</f>
        <v>0</v>
      </c>
      <c r="AF227" s="39">
        <f>+COUNTIFS('muddati otgan'!B:B,A227,'muddati otgan'!J:J,"O'lchov natijalarini kiritish")</f>
        <v>2</v>
      </c>
      <c r="AG227" s="39">
        <f>+COUNTIFS('muddati otgan'!B:B,A227,'muddati otgan'!J:J,"Topoxaritani tayyorlash (dwg, pdf)")</f>
        <v>0</v>
      </c>
      <c r="AH227" s="39">
        <f t="shared" si="25"/>
        <v>1</v>
      </c>
      <c r="AI227" s="39">
        <f>+COUNTIFS('muddati otgan'!B:B,A227,'muddati otgan'!J:J,"Yer uchastkasini yaratish")</f>
        <v>1</v>
      </c>
      <c r="AJ227" s="39">
        <f t="shared" si="26"/>
        <v>0</v>
      </c>
      <c r="AK227" s="39">
        <f>+COUNTIFS('muddati otgan'!B:B,A227,'muddati otgan'!J:J,"Kelishish (Boshqarma)")</f>
        <v>0</v>
      </c>
      <c r="AL227" s="39">
        <f t="shared" si="27"/>
        <v>0</v>
      </c>
      <c r="AM227" s="39">
        <f>+COUNTIFS('muddati otgan'!B:B,A227,'muddati otgan'!J:J,"Kelishish (DKP)")</f>
        <v>0</v>
      </c>
      <c r="AN227" s="39">
        <f>+COUNTIFS('muddati otgan'!B:B,A227,'muddati otgan'!J:J,"Kelishish")</f>
        <v>0</v>
      </c>
      <c r="AO227" s="39">
        <f>+COUNTIFS('muddati otgan'!B:B,A227,'muddati otgan'!J:J,"Kelishish (Registratsiya DKP)")</f>
        <v>0</v>
      </c>
      <c r="AP227" s="39">
        <f t="shared" si="28"/>
        <v>0</v>
      </c>
      <c r="AQ227" s="39">
        <f>+COUNTIFS('muddati otgan'!B:B,A227,'muddati otgan'!J:J,"Manzil biriktirish")</f>
        <v>0</v>
      </c>
      <c r="AR227" s="39">
        <f>+COUNTIFS('muddati otgan'!B:B,A227,'muddati otgan'!J:J,"Bino va inshootlarni yaratish")</f>
        <v>0</v>
      </c>
      <c r="AS227" s="39">
        <f>+COUNTIFS('muddati otgan'!B:B,A227,'muddati otgan'!J:J,"Dov daraxtlarni yaratish")</f>
        <v>0</v>
      </c>
      <c r="AT227" s="39">
        <f>+COUNTIFS('muddati otgan'!B:B,A227,'muddati otgan'!J:J,"Yer uchastkasini tahrirlash")</f>
        <v>0</v>
      </c>
      <c r="AU227" s="39">
        <f t="shared" si="29"/>
        <v>2</v>
      </c>
      <c r="AV227" s="39">
        <f>+COUNTIFS('muddati otgan'!B:B,A227,'muddati otgan'!J:J,"Yer toifasi va maqsadini kiritish")</f>
        <v>2</v>
      </c>
      <c r="AW227" s="39">
        <f>+COUNTIFS('muddati otgan'!B:B,A227,'muddati otgan'!J:J,"Auksion yer tekshirish")</f>
        <v>0</v>
      </c>
      <c r="AX227" s="39">
        <f>+COUNTIFS('muddati otgan'!B:B,A227,'muddati otgan'!J:J,"Yer turlarini kiritish")</f>
        <v>0</v>
      </c>
      <c r="AY227" s="39">
        <f>+COUNTIFS('muddati otgan'!B:B,A227,'muddati otgan'!J:J,"Ma'lumotlarni kiritish")</f>
        <v>0</v>
      </c>
      <c r="AZ227" s="39">
        <f>+COUNTIFS('muddati otgan'!B:B,A227,'muddati otgan'!J:J,"Yer tekshirish")</f>
        <v>0</v>
      </c>
      <c r="BA227" s="39">
        <f t="shared" si="30"/>
        <v>1</v>
      </c>
      <c r="BB227" s="39">
        <f>+COUNTIFS('muddati otgan'!B:B,A227,'muddati otgan'!J:J,"Bino va inshoot ma'lumotlarini to‘ldirish")</f>
        <v>1</v>
      </c>
      <c r="BC227" s="39">
        <f>+COUNTIFS('muddati otgan'!B:B,A227,'muddati otgan'!J:J,"Inventarizatsiya ma'lumotlarini to‘ldirish")</f>
        <v>0</v>
      </c>
      <c r="BD227" s="39">
        <f>+COUNTIFS('muddati otgan'!B:B,A227,'muddati otgan'!J:J,"Yer uchastkasiga huquqiy hujjatlarni kiritsh")</f>
        <v>0</v>
      </c>
      <c r="BE227" s="39">
        <f>+COUNTIFS('muddati otgan'!B:B,A227,'muddati otgan'!J:J,"Bino-inshootlarga huquqiy hujjatlarni kiritsh")</f>
        <v>0</v>
      </c>
      <c r="BF227" s="39">
        <f>+COUNTIFS('muddati otgan'!B:B,A227,'muddati otgan'!J:J,"Kadastr qiymatini hisoblash va kiritish")</f>
        <v>0</v>
      </c>
      <c r="BG227" s="39">
        <f>+COUNTIFS('muddati otgan'!B:B,A227,'muddati otgan'!J:J,"Kadastr raqam biriktirish")</f>
        <v>0</v>
      </c>
      <c r="BH227" s="39">
        <f>+COUNTIFS('muddati otgan'!B:B,A227,'muddati otgan'!J:J,"Kadastr yig'ma jildni tayyorlash")</f>
        <v>0</v>
      </c>
      <c r="BI227" s="39">
        <f>+COUNTIFS('muddati otgan'!B:B,A227,'muddati otgan'!J:J,"Huquqni yaratish")</f>
        <v>0</v>
      </c>
      <c r="BJ227" s="39">
        <f>+COUNTIFS('muddati otgan'!B:B,A227,'muddati otgan'!J:J,"Hujjatlarni o'rganish")</f>
        <v>0</v>
      </c>
      <c r="BK227" s="39">
        <f>+COUNTIFS('muddati otgan'!B:B,A227,'muddati otgan'!J:J,"Ma'lumotlarni tekshirish")</f>
        <v>0</v>
      </c>
      <c r="BL227" s="39">
        <f t="shared" si="31"/>
        <v>0</v>
      </c>
      <c r="BM227" s="39">
        <f>+COUNTIFS('muddati otgan'!B:B,A227,'muddati otgan'!J:J,"Tekshirish")</f>
        <v>0</v>
      </c>
      <c r="BN227" s="39">
        <f>+COUNTIFS('muddati otgan'!B:B,A227,'muddati otgan'!J:J,"Hujjatlarni tekshirish")</f>
        <v>0</v>
      </c>
      <c r="BO227" s="39"/>
      <c r="BP227" s="39">
        <f>+COUNTIFS('muddati otgan'!B:B,A227,'muddati otgan'!J:J,"tekshirish/tasdiqlash")</f>
        <v>0</v>
      </c>
      <c r="BQ227" s="39">
        <f>+COUNTIFS('muddati otgan'!B:B,A227,'muddati otgan'!J:J,"Ma'lumotlarni tasdiqlash")</f>
        <v>0</v>
      </c>
      <c r="BR227" s="39">
        <f t="shared" si="32"/>
        <v>2</v>
      </c>
      <c r="BS227" s="39">
        <f>+COUNTIFS('muddati otgan'!B:B,A227,'muddati otgan'!J:J,"Ro'yxatdan o'tkazish ma'lumotlarini tekshirish")</f>
        <v>1</v>
      </c>
      <c r="BT227" s="39">
        <f>+COUNTIFS('muddati otgan'!B:B,A227,'muddati otgan'!J:J,"Kamchiliklar bo'yicha habarnoma yuborish va 3 kunga to'xtatish")</f>
        <v>0</v>
      </c>
      <c r="BU227" s="39">
        <f>+COUNTIFS('muddati otgan'!B:B,A227,'muddati otgan'!J:J,"Hisobga olish")</f>
        <v>0</v>
      </c>
      <c r="BV227" s="39">
        <f>+COUNTIFS('muddati otgan'!B:B,A227,'muddati otgan'!J:J,"Yer uchastkasiga huquq yaratish")</f>
        <v>1</v>
      </c>
      <c r="BW227" s="39">
        <f>+COUNTIFS('muddati otgan'!B:B,A227,'muddati otgan'!J:J,"Bino-inshootga huquq yaratish")</f>
        <v>0</v>
      </c>
      <c r="BX227" s="39">
        <f>+COUNTIFS('muddati otgan'!B:B,A227,'muddati otgan'!J:J,"Cheklov yaratish")</f>
        <v>0</v>
      </c>
      <c r="BY227" s="39">
        <f>+COUNTIFS('muddati otgan'!B:B,A227,'muddati otgan'!J:J,"Taqiq yaratish")</f>
        <v>0</v>
      </c>
      <c r="BZ227" s="39">
        <f t="shared" si="33"/>
        <v>0</v>
      </c>
      <c r="CA227" s="39">
        <f>+COUNTIFS('muddati otgan'!B:B,A227,'muddati otgan'!J:J,"Soliq maydonini tekshirish")</f>
        <v>0</v>
      </c>
      <c r="CB227" s="39">
        <f t="shared" si="34"/>
        <v>1</v>
      </c>
      <c r="CC227" s="39">
        <f>+COUNTIFS('muddati otgan'!B:B,A227,'muddati otgan'!J:J,"Kadastr yig'majildini shakllantirish")</f>
        <v>1</v>
      </c>
      <c r="CD227" s="39">
        <f t="shared" si="35"/>
        <v>0</v>
      </c>
      <c r="CE227" s="39">
        <f>+COUNTIFS('muddati otgan'!B:B,A227,'muddati otgan'!J:J,"Kadastr passportini shakllantirish")</f>
        <v>0</v>
      </c>
      <c r="CF227" s="39">
        <f>+COUNTIFS('muddati otgan'!B:B,A227,'muddati otgan'!J:J,"Yig'ma jildni tasdiqlash")</f>
        <v>0</v>
      </c>
      <c r="CG227" s="39">
        <f>+COUNTIFS('muddati otgan'!B:B,A227,'muddati otgan'!J:J,"To'lov yoki bepul tasdiqlash")</f>
        <v>0</v>
      </c>
      <c r="CH227" s="39">
        <f>+COUNTIFS('muddati otgan'!B:B,A227,'muddati otgan'!J:J,"Bog'liq arizani kutish")</f>
        <v>0</v>
      </c>
      <c r="CI227" s="39">
        <f>+COUNTIFS('muddati otgan'!B:B,A227,'muddati otgan'!J:J,"To'lovga chiqarish")</f>
        <v>0</v>
      </c>
      <c r="CJ227" s="39">
        <f>+COUNTIFS('muddati otgan'!B:B,A227,'muddati otgan'!J:J,"Hisobga qo'yish")</f>
        <v>0</v>
      </c>
      <c r="CK227" s="67">
        <f>+COUNTIFS('muddati otgan'!B:B,A227,'muddati otgan'!J:J,"To'lov kutilmoqda")</f>
        <v>1</v>
      </c>
      <c r="CL227" s="39">
        <f t="shared" si="36"/>
        <v>0</v>
      </c>
      <c r="CM227" s="39">
        <f>+COUNTIFS('muddati otgan'!B:B,A227,'muddati otgan'!AA:AA,"Arizani qabul qilish2")</f>
        <v>0</v>
      </c>
      <c r="CN227" s="39">
        <f>+COUNTIFS('muddati otgan'!B:B,A227,'muddati otgan'!J:J,"Huquqlarni tekshirish")</f>
        <v>0</v>
      </c>
      <c r="CO227" s="39">
        <f>+COUNTIFS('muddati otgan'!B:B,A227,'muddati otgan'!J:J,"Ko'chmas mulkni ro'yhatdan o'tkazishga qabul qilish")</f>
        <v>0</v>
      </c>
      <c r="CP227" s="39">
        <f>+COUNTIFS('muddati otgan'!B:B,A227,'muddati otgan'!J:J,"Ro'yxatdan o'tkazish")</f>
        <v>0</v>
      </c>
      <c r="CQ227" s="39">
        <f>+COUNTIFS('muddati otgan'!B:B,A227,'muddati otgan'!J:J,"Kadastr pasporti va ko'chirmani yuborish")</f>
        <v>0</v>
      </c>
      <c r="CR227" s="39">
        <f>+COUNTIFS('muddati otgan'!B:B,A227,'muddati otgan'!AA:AA,"Rad qilish2")</f>
        <v>0</v>
      </c>
      <c r="CS227" s="39">
        <f>+COUNTIFS('muddati otgan'!B:B,A227,'muddati otgan'!J:J,"Ko'chirmani yuborish")</f>
        <v>0</v>
      </c>
      <c r="CT227" s="39">
        <f>+COUNTIFS('muddati otgan'!B:B,A227,'muddati otgan'!J:J,"Ma‘lumotlarni tekshirish")</f>
        <v>0</v>
      </c>
      <c r="CU227" s="39">
        <f t="shared" si="37"/>
        <v>0</v>
      </c>
      <c r="CV227" s="39">
        <f>+COUNTIFS('muddati otgan'!B:B,A227,'muddati otgan'!J:J,"Kadastr yig'majildini chop etish va arxiv ishiga tikish")</f>
        <v>0</v>
      </c>
      <c r="CW227" s="39">
        <f t="shared" si="38"/>
        <v>4</v>
      </c>
      <c r="CX227" s="39">
        <f>+COUNTIFS('muddati otgan'!B:B,A227,'muddati otgan'!J:J,"Kadastr yig‘majildini qabul qilish, arizani yakunlash")</f>
        <v>3</v>
      </c>
      <c r="CY227" s="39">
        <f>+COUNTIFS('muddati otgan'!B:B,A227,'muddati otgan'!J:J,"Next Cloudga yuklash")</f>
        <v>1</v>
      </c>
      <c r="CZ227" s="67">
        <f>+COUNTIFS('muddati otgan'!B:B,A227,'muddati otgan'!J:J,"Kelishish kutilmoqda")</f>
        <v>0</v>
      </c>
      <c r="DA227" s="67">
        <f>+COUNTIFS('muddati otgan'!B:B,A227,'muddati otgan'!J:J,"Yakunlandi")</f>
        <v>7</v>
      </c>
      <c r="DB227" s="37">
        <f>+COUNTIFS('muddati otgan'!B:B,A227,'muddati otgan'!J:J,"Rad etildi")</f>
        <v>0</v>
      </c>
      <c r="DC227" s="99">
        <f t="shared" si="5"/>
        <v>-15</v>
      </c>
      <c r="DD227" s="43">
        <f>COUNTIFS('jami 1-20 kunlik arizalar'!B:B,A:A,'jami 1-20 kunlik arizalar'!S:S,"1")</f>
        <v>0</v>
      </c>
      <c r="DE227" s="39">
        <f>COUNTIFS('jami 1-20 kunlik arizalar'!B:B,A:A,'jami 1-20 kunlik arizalar'!S:S,"2")</f>
        <v>0</v>
      </c>
      <c r="DF227" s="39">
        <f>COUNTIFS('jami 1-20 kunlik arizalar'!B:B,A:A,'jami 1-20 kunlik arizalar'!S:S,"3")</f>
        <v>16</v>
      </c>
      <c r="DG227" s="39">
        <f>COUNTIFS('jami 1-20 kunlik arizalar'!B:B,A:A,'jami 1-20 kunlik arizalar'!S:S,"4")</f>
        <v>34</v>
      </c>
      <c r="DH227" s="39">
        <f>COUNTIFS('jami 1-20 kunlik arizalar'!B:B,A:A,'jami 1-20 kunlik arizalar'!S:S,"5")</f>
        <v>40</v>
      </c>
      <c r="DI227" s="39">
        <f>SUM(COUNTIFS('jami 1-20 kunlik arizalar'!B:B,A:A, 'jami 1-20 kunlik arizalar'!S:S, {6,7,8,9,10}))</f>
        <v>139</v>
      </c>
      <c r="DJ227" s="40">
        <f>SUMPRODUCT(('jami 1-20 kunlik arizalar'!B:B=A227)*('jami 1-20 kunlik arizalar'!S:S&gt;10))</f>
        <v>104</v>
      </c>
      <c r="DK227" s="34"/>
    </row>
    <row r="228" spans="1:115" ht="32.1" hidden="1" customHeight="1" outlineLevel="1" x14ac:dyDescent="0.25">
      <c r="A228" s="92" t="s">
        <v>734</v>
      </c>
      <c r="B228" s="74"/>
      <c r="C228" s="85" t="s">
        <v>912</v>
      </c>
      <c r="D228" s="80">
        <f>+COUNTIFS('muddati otgan'!C:C,A228,'muddati otgan'!C:C,A228)</f>
        <v>3</v>
      </c>
      <c r="E228" s="10">
        <f>SUMIFS('muddati otgan'!$V:V,'muddati otgan'!$C:C,$A:A)</f>
        <v>0</v>
      </c>
      <c r="F228" s="10">
        <f>SUMIFS('muddati otgan'!$W:W,'muddati otgan'!$C:C,$A:A)</f>
        <v>0</v>
      </c>
      <c r="G228" s="24">
        <f>SUMIFS('muddati otgan'!$U:U,'muddati otgan'!$C:C,$A:A)</f>
        <v>3</v>
      </c>
      <c r="H228" s="11">
        <f>SUMIFS('muddati otgan'!$G:G,'muddati otgan'!$C:C,$A:A)</f>
        <v>2</v>
      </c>
      <c r="I228" s="12">
        <f>SUMIFS('muddati otgan'!$H:H,'muddati otgan'!$C:C,$A:A)</f>
        <v>1</v>
      </c>
      <c r="J228" s="44">
        <f t="shared" ref="J228:J245" si="329">K228+P228+Q228+R228+S228+T228+U228+V228+W228+L228+O228+M228+N228+X228</f>
        <v>0</v>
      </c>
      <c r="K228" s="11">
        <f>+COUNTIFS('muddati otgan'!C:C,A228,'muddati otgan'!AA:AA,"Arizani qabul qilish")</f>
        <v>0</v>
      </c>
      <c r="L228" s="11">
        <f>+COUNTIFS('muddati otgan'!C:C,A228,'muddati otgan'!J:J,"Arizani rad etish")</f>
        <v>0</v>
      </c>
      <c r="M228" s="11">
        <f>+COUNTIFS('muddati otgan'!C:C,A228,'muddati otgan'!J:J,"Arizani tasdiqlash")</f>
        <v>0</v>
      </c>
      <c r="N228" s="11">
        <f>+COUNTIFS('muddati otgan'!C:C,A228,'muddati otgan'!J:J,"Arizani yo'naltirish")</f>
        <v>0</v>
      </c>
      <c r="O228" s="11">
        <f>+COUNTIFS('muddati otgan'!C:C,A228,'muddati otgan'!J:J,"Rad qilish sababini o'rganish")</f>
        <v>0</v>
      </c>
      <c r="P228" s="11">
        <f>+COUNTIFS('muddati otgan'!C:C,A228,'muddati otgan'!J:J,"Ko'chmas mulkni UZKAD ga migratsiya qilish")</f>
        <v>0</v>
      </c>
      <c r="Q228" s="11">
        <f>+COUNTIFS('muddati otgan'!C:C,A228,'muddati otgan'!J:J,"Migratisya qilingan obyekt holatini tekshirish")</f>
        <v>0</v>
      </c>
      <c r="R228" s="11">
        <f>+COUNTIFS('muddati otgan'!C:C,A228,'muddati otgan'!J:J,"Ko‘chmas mulkni tanlash")</f>
        <v>0</v>
      </c>
      <c r="S228" s="11">
        <f>+COUNTIFS('muddati otgan'!C:C,A228,'muddati otgan'!J:J,"Arizani ko'rib chiqish")</f>
        <v>0</v>
      </c>
      <c r="T228" s="11">
        <f>+COUNTIFS('muddati otgan'!C:C,A228,'muddati otgan'!J:J,"Kadastr muhandisini tanlash")</f>
        <v>0</v>
      </c>
      <c r="U228" s="11">
        <f>+COUNTIFS('muddati otgan'!C:C,A228,'muddati otgan'!J:J,"Ko'chmas mulk turini tanlahsh")</f>
        <v>0</v>
      </c>
      <c r="V228" s="11">
        <f>+COUNTIFS('muddati otgan'!C:C,A228,'muddati otgan'!AA:AA,"Rad qilish")</f>
        <v>0</v>
      </c>
      <c r="W228" s="11">
        <f>+COUNTIFS('muddati otgan'!C:C,A228,'muddati otgan'!J:J,"ijrochi tanlash")</f>
        <v>0</v>
      </c>
      <c r="X228" s="11">
        <f>+COUNTIFS('muddati otgan'!C:C,A228,'muddati otgan'!J:J,"Ko'chmas mulk turini tanlash")</f>
        <v>0</v>
      </c>
      <c r="Y228" s="11">
        <f t="shared" ref="Y228:Y245" si="330">Z228+AD228+AF228+AE228+AC228+AB228+AA228</f>
        <v>1</v>
      </c>
      <c r="Z228" s="11">
        <f>+COUNTIFS('muddati otgan'!C:C,A228,'muddati otgan'!J:J,"Ijroga qabul qilish")</f>
        <v>0</v>
      </c>
      <c r="AA228" s="11">
        <f>+COUNTIFS('muddati otgan'!C:C,A228,'muddati otgan'!J:J,"Joyida o'rganish va ma'lumotlarni kiritish")</f>
        <v>0</v>
      </c>
      <c r="AB228" s="11">
        <f>+COUNTIFS('muddati otgan'!C:C,A228,'muddati otgan'!J:J,"Asosiy qismdan ajratish jarayonida")</f>
        <v>0</v>
      </c>
      <c r="AC228" s="11">
        <f>+COUNTIFS('muddati otgan'!C:C,A228,'muddati otgan'!J:J,"Umumiy foydalanishdagi obyekt yaratilish")</f>
        <v>0</v>
      </c>
      <c r="AD228" s="11">
        <f>+COUNTIFS('muddati otgan'!C:C,A228,'muddati otgan'!J:J,"Migratsiya qilinadigan kadastr raqamini kiritish")</f>
        <v>0</v>
      </c>
      <c r="AE228" s="11">
        <f>+COUNTIFS('muddati otgan'!C:C,A228,'muddati otgan'!J:J,"O'zida qolgan obyektni yaratish")</f>
        <v>0</v>
      </c>
      <c r="AF228" s="11">
        <f>+COUNTIFS('muddati otgan'!C:C,A228,'muddati otgan'!J:J,"O'lchov natijalarini kiritish")</f>
        <v>1</v>
      </c>
      <c r="AG228" s="11">
        <f>+COUNTIFS('muddati otgan'!C:C,A228,'muddati otgan'!J:J,"Topoxaritani tayyorlash (dwg, pdf)")</f>
        <v>0</v>
      </c>
      <c r="AH228" s="11">
        <f t="shared" ref="AH228:AH245" si="331">AI228</f>
        <v>0</v>
      </c>
      <c r="AI228" s="11">
        <f>+COUNTIFS('muddati otgan'!C:C,A228,'muddati otgan'!J:J,"Yer uchastkasini yaratish")</f>
        <v>0</v>
      </c>
      <c r="AJ228" s="11">
        <f t="shared" ref="AJ228:AJ245" si="332">AK228</f>
        <v>0</v>
      </c>
      <c r="AK228" s="11">
        <f>+COUNTIFS('muddati otgan'!C:C,A228,'muddati otgan'!J:J,"Kelishish (Boshqarma)")</f>
        <v>0</v>
      </c>
      <c r="AL228" s="11">
        <f t="shared" ref="AL228:AL245" si="333">AM228+AN228+AO228</f>
        <v>0</v>
      </c>
      <c r="AM228" s="11">
        <f>+COUNTIFS('muddati otgan'!C:C,A228,'muddati otgan'!J:J,"Kelishish (DKP)")</f>
        <v>0</v>
      </c>
      <c r="AN228" s="11">
        <f>+COUNTIFS('muddati otgan'!C:C,A228,'muddati otgan'!J:J,"Kelishish")</f>
        <v>0</v>
      </c>
      <c r="AO228" s="11">
        <f>+COUNTIFS('muddati otgan'!C:C,A228,'muddati otgan'!J:J,"Kelishish (Registratsiya DKP)")</f>
        <v>0</v>
      </c>
      <c r="AP228" s="11">
        <f t="shared" ref="AP228:AP245" si="334">AQ228+AR228+AS228+AT228</f>
        <v>0</v>
      </c>
      <c r="AQ228" s="11">
        <f>+COUNTIFS('muddati otgan'!C:C,A228,'muddati otgan'!J:J,"Manzil biriktirish")</f>
        <v>0</v>
      </c>
      <c r="AR228" s="11">
        <f>+COUNTIFS('muddati otgan'!C:C,A228,'muddati otgan'!J:J,"Bino va inshootlarni yaratish")</f>
        <v>0</v>
      </c>
      <c r="AS228" s="11">
        <f>+COUNTIFS('muddati otgan'!C:C,A228,'muddati otgan'!J:J,"Dov daraxtlarni yaratish")</f>
        <v>0</v>
      </c>
      <c r="AT228" s="11">
        <f>+COUNTIFS('muddati otgan'!C:C,A228,'muddati otgan'!J:J,"Yer uchastkasini tahrirlash")</f>
        <v>0</v>
      </c>
      <c r="AU228" s="11">
        <f t="shared" ref="AU228:AU245" si="335">AV228+AW228+AX228+AY228+AZ228</f>
        <v>0</v>
      </c>
      <c r="AV228" s="11">
        <f>+COUNTIFS('muddati otgan'!C:C,A228,'muddati otgan'!J:J,"Yer toifasi va maqsadini kiritish")</f>
        <v>0</v>
      </c>
      <c r="AW228" s="11">
        <f>+COUNTIFS('muddati otgan'!C:C,A228,'muddati otgan'!J:J,"Auksion yer tekshirish")</f>
        <v>0</v>
      </c>
      <c r="AX228" s="11">
        <f>+COUNTIFS('muddati otgan'!C:C,A228,'muddati otgan'!J:J,"Yer turlarini kiritish")</f>
        <v>0</v>
      </c>
      <c r="AY228" s="11">
        <f>+COUNTIFS('muddati otgan'!C:C,A228,'muddati otgan'!J:J,"Ma'lumotlarni kiritish")</f>
        <v>0</v>
      </c>
      <c r="AZ228" s="11">
        <f>+COUNTIFS('muddati otgan'!C:C,A228,'muddati otgan'!J:J,"Yer tekshirish")</f>
        <v>0</v>
      </c>
      <c r="BA228" s="11">
        <f t="shared" ref="BA228:BA245" si="336">BB228+BC228+BD228+BE228+BF228+BG228+BH228+BI228+BJ228+BK228</f>
        <v>1</v>
      </c>
      <c r="BB228" s="11">
        <f>+COUNTIFS('muddati otgan'!C:C,A228,'muddati otgan'!J:J,"Bino va inshoot ma'lumotlarini to‘ldirish")</f>
        <v>1</v>
      </c>
      <c r="BC228" s="11">
        <f>+COUNTIFS('muddati otgan'!C:C,A228,'muddati otgan'!J:J,"Inventarizatsiya ma'lumotlarini to‘ldirish")</f>
        <v>0</v>
      </c>
      <c r="BD228" s="11">
        <f>+COUNTIFS('muddati otgan'!C:C,A228,'muddati otgan'!J:J,"Yer uchastkasiga huquqiy hujjatlarni kiritsh")</f>
        <v>0</v>
      </c>
      <c r="BE228" s="11">
        <f>+COUNTIFS('muddati otgan'!C:C,A228,'muddati otgan'!J:J,"Bino-inshootlarga huquqiy hujjatlarni kiritsh")</f>
        <v>0</v>
      </c>
      <c r="BF228" s="11">
        <f>+COUNTIFS('muddati otgan'!C:C,A228,'muddati otgan'!J:J,"Kadastr qiymatini hisoblash va kiritish")</f>
        <v>0</v>
      </c>
      <c r="BG228" s="11">
        <f>+COUNTIFS('muddati otgan'!C:C,A228,'muddati otgan'!J:J,"Kadastr raqam biriktirish")</f>
        <v>0</v>
      </c>
      <c r="BH228" s="11">
        <f>+COUNTIFS('muddati otgan'!C:C,A228,'muddati otgan'!J:J,"Kadastr yig'ma jildni tayyorlash")</f>
        <v>0</v>
      </c>
      <c r="BI228" s="11">
        <f>+COUNTIFS('muddati otgan'!C:C,A228,'muddati otgan'!J:J,"Huquqni yaratish")</f>
        <v>0</v>
      </c>
      <c r="BJ228" s="11">
        <f>+COUNTIFS('muddati otgan'!C:C,A228,'muddati otgan'!J:J,"Hujjatlarni o'rganish")</f>
        <v>0</v>
      </c>
      <c r="BK228" s="11">
        <f>+COUNTIFS('muddati otgan'!C:C,A228,'muddati otgan'!J:J,"Ma'lumotlarni tekshirish")</f>
        <v>0</v>
      </c>
      <c r="BL228" s="11">
        <f t="shared" ref="BL228:BL245" si="337">BM228+BN228+BP228+BO228+BQ228</f>
        <v>0</v>
      </c>
      <c r="BM228" s="11">
        <f>+COUNTIFS('muddati otgan'!C:C,A228,'muddati otgan'!J:J,"Tekshirish")</f>
        <v>0</v>
      </c>
      <c r="BN228" s="11">
        <f>+COUNTIFS('muddati otgan'!C:C,A228,'muddati otgan'!J:J,"Hujjatlarni tekshirish")</f>
        <v>0</v>
      </c>
      <c r="BO228" s="11">
        <f>+COUNTIFS('muddati otgan'!C:C,A228,'muddati otgan'!J:J,"Tasdiqlash")</f>
        <v>0</v>
      </c>
      <c r="BP228" s="11">
        <f>+COUNTIFS('muddati otgan'!C:C,A228,'muddati otgan'!J:J,"tekshirish/tasdiqlash")</f>
        <v>0</v>
      </c>
      <c r="BQ228" s="11">
        <f>+COUNTIFS('muddati otgan'!C:C,A228,'muddati otgan'!J:J,"Ma'lumotlarni tasdiqlash")</f>
        <v>0</v>
      </c>
      <c r="BR228" s="11">
        <f t="shared" ref="BR228:BR245" si="338">BS228+BU228+BV228+BW228+BX228+BY228-BT228</f>
        <v>0</v>
      </c>
      <c r="BS228" s="11">
        <f>+COUNTIFS('muddati otgan'!C:C,A228,'muddati otgan'!J:J,"Ro'yxatdan o'tkazish ma'lumotlarini tekshirish")</f>
        <v>0</v>
      </c>
      <c r="BT228" s="11">
        <f>+COUNTIFS('muddati otgan'!C:C,A228,'muddati otgan'!J:J,"Kamchiliklar bo'yicha habarnoma yuborish va 3 kunga to'xtatish")</f>
        <v>0</v>
      </c>
      <c r="BU228" s="11">
        <f>+COUNTIFS('muddati otgan'!C:C,A228,'muddati otgan'!J:J,"Hisobga olish")</f>
        <v>0</v>
      </c>
      <c r="BV228" s="11">
        <f>+COUNTIFS('muddati otgan'!C:C,A228,'muddati otgan'!J:J,"Yer uchastkasiga huquq yaratish")</f>
        <v>0</v>
      </c>
      <c r="BW228" s="11">
        <f>+COUNTIFS('muddati otgan'!C:C,A228,'muddati otgan'!J:J,"Bino-inshootga huquq yaratish")</f>
        <v>0</v>
      </c>
      <c r="BX228" s="11">
        <f>+COUNTIFS('muddati otgan'!C:C,A228,'muddati otgan'!J:J,"Cheklov yaratish")</f>
        <v>0</v>
      </c>
      <c r="BY228" s="11">
        <f>+COUNTIFS('muddati otgan'!C:C,A228,'muddati otgan'!J:J,"Taqiq yaratish")</f>
        <v>0</v>
      </c>
      <c r="BZ228" s="11">
        <f t="shared" ref="BZ228:BZ245" si="339">CA228</f>
        <v>0</v>
      </c>
      <c r="CA228" s="11">
        <f>+COUNTIFS('muddati otgan'!C:C,A228,'muddati otgan'!J:J,"Soliq maydonini tekshirish")</f>
        <v>0</v>
      </c>
      <c r="CB228" s="11">
        <f t="shared" ref="CB228:CB245" si="340">CC228</f>
        <v>0</v>
      </c>
      <c r="CC228" s="11">
        <f>+COUNTIFS('muddati otgan'!C:C,A228,'muddati otgan'!J:J,"Kadastr yig'majildini shakllantirish")</f>
        <v>0</v>
      </c>
      <c r="CD228" s="11">
        <f t="shared" ref="CD228:CD245" si="341">CE228+CF228+CG228+CI228+CJ228+CH228</f>
        <v>0</v>
      </c>
      <c r="CE228" s="11">
        <f>+COUNTIFS('muddati otgan'!C:C,A228,'muddati otgan'!J:J,"Kadastr passportini shakllantirish")</f>
        <v>0</v>
      </c>
      <c r="CF228" s="11">
        <f>+COUNTIFS('muddati otgan'!C:C,A228,'muddati otgan'!J:J,"Yig'ma jildni tasdiqlash")</f>
        <v>0</v>
      </c>
      <c r="CG228" s="11">
        <f>+COUNTIFS('muddati otgan'!C:C,A228,'muddati otgan'!J:J,"To'lov yoki bepul tasdiqlash")</f>
        <v>0</v>
      </c>
      <c r="CH228" s="11">
        <f>+COUNTIFS('muddati otgan'!C:C,A228,'muddati otgan'!J:J,"Bog'liq arizani kutish")</f>
        <v>0</v>
      </c>
      <c r="CI228" s="11">
        <f>+COUNTIFS('muddati otgan'!C:C,A228,'muddati otgan'!J:J,"To'lovga chiqarish")</f>
        <v>0</v>
      </c>
      <c r="CJ228" s="11">
        <f>+COUNTIFS('muddati otgan'!C:C,A228,'muddati otgan'!J:J,"Hisobga qo'yish")</f>
        <v>0</v>
      </c>
      <c r="CK228" s="6">
        <f>+COUNTIFS('muddati otgan'!C:C,A228,'muddati otgan'!J:J,"To'lov kutilmoqda")</f>
        <v>0</v>
      </c>
      <c r="CL228" s="11">
        <f t="shared" ref="CL228:CL245" si="342">CM228+CN228+CO228+CP228+CQ228+CR228+CS228+CT228</f>
        <v>0</v>
      </c>
      <c r="CM228" s="11">
        <f>+COUNTIFS('muddati otgan'!C:C,A228,'muddati otgan'!AA:AA,"Arizani qabul qilish2")</f>
        <v>0</v>
      </c>
      <c r="CN228" s="11">
        <f>+COUNTIFS('muddati otgan'!C:C,A228,'muddati otgan'!J:J,"Huquqlarni tekshirish")</f>
        <v>0</v>
      </c>
      <c r="CO228" s="11">
        <f>+COUNTIFS('muddati otgan'!C:C,A228,'muddati otgan'!J:J,"Ko'chmas mulkni ro'yhatdan o'tkazishga qabul qilish")</f>
        <v>0</v>
      </c>
      <c r="CP228" s="11">
        <f>+COUNTIFS('muddati otgan'!C:C,A228,'muddati otgan'!J:J,"Ro'yxatdan o'tkazish")</f>
        <v>0</v>
      </c>
      <c r="CQ228" s="11">
        <f>+COUNTIFS('muddati otgan'!C:C,A228,'muddati otgan'!J:J,"Kadastr pasporti va ko'chirmani yuborish")</f>
        <v>0</v>
      </c>
      <c r="CR228" s="11">
        <f>+COUNTIFS('muddati otgan'!C:C,A228,'muddati otgan'!AA:AA,"Rad qilish2")</f>
        <v>0</v>
      </c>
      <c r="CS228" s="11">
        <f>+COUNTIFS('muddati otgan'!C:C,A228,'muddati otgan'!J:J,"Ko'chirmani yuborish")</f>
        <v>0</v>
      </c>
      <c r="CT228" s="11">
        <f>+COUNTIFS('muddati otgan'!C:C,A228,'muddati otgan'!J:J,"Ma‘lumotlarni tekshirish")</f>
        <v>0</v>
      </c>
      <c r="CU228" s="11">
        <f t="shared" ref="CU228:CU245" si="343">CV228</f>
        <v>0</v>
      </c>
      <c r="CV228" s="11">
        <f>+COUNTIFS('muddati otgan'!C:C,A228,'muddati otgan'!J:J,"Kadastr yig'majildini chop etish va arxiv ishiga tikish")</f>
        <v>0</v>
      </c>
      <c r="CW228" s="11">
        <f t="shared" ref="CW228:CW245" si="344">CX228+CY228</f>
        <v>0</v>
      </c>
      <c r="CX228" s="11">
        <f>+COUNTIFS('muddati otgan'!C:C,A228,'muddati otgan'!J:J,"Kadastr yig‘majildini qabul qilish, arizani yakunlash")</f>
        <v>0</v>
      </c>
      <c r="CY228" s="11">
        <f>+COUNTIFS('muddati otgan'!C:C,A228,'muddati otgan'!J:J,"Next Cloudga yuklash")</f>
        <v>0</v>
      </c>
      <c r="CZ228" s="6">
        <f>+COUNTIFS('muddati otgan'!C:C,A228,'muddati otgan'!J:J,"Kelishish kutilmoqda")</f>
        <v>0</v>
      </c>
      <c r="DA228" s="6">
        <f>+COUNTIFS('muddati otgan'!C:C,A228,'muddati otgan'!J:J,"Yakunlandi")</f>
        <v>1</v>
      </c>
      <c r="DB228" s="10">
        <f>+COUNTIFS('muddati otgan'!C:C,A228,'muddati otgan'!J:J,"Rad etildi")</f>
        <v>0</v>
      </c>
      <c r="DC228" s="100">
        <f t="shared" ref="DC228:DC245" si="345">CK228+CZ228+DA228+DB228-D228</f>
        <v>-2</v>
      </c>
      <c r="DD228" s="44">
        <f>COUNTIFS('jami 1-20 kunlik arizalar'!C:C,A:A,'jami 1-20 kunlik arizalar'!S:S,"1")</f>
        <v>0</v>
      </c>
      <c r="DE228" s="11">
        <f>COUNTIFS('jami 1-20 kunlik arizalar'!C:C,A:A,'jami 1-20 kunlik arizalar'!S:S,"2")</f>
        <v>0</v>
      </c>
      <c r="DF228" s="11">
        <f>COUNTIFS('jami 1-20 kunlik arizalar'!C:C,A:A,'jami 1-20 kunlik arizalar'!S:S,"3")</f>
        <v>3</v>
      </c>
      <c r="DG228" s="11">
        <f>COUNTIFS('jami 1-20 kunlik arizalar'!C:C,A:A,'jami 1-20 kunlik arizalar'!S:S,"4")</f>
        <v>5</v>
      </c>
      <c r="DH228" s="11">
        <f>COUNTIFS('jami 1-20 kunlik arizalar'!C:C,A:A,'jami 1-20 kunlik arizalar'!S:S,"5")</f>
        <v>1</v>
      </c>
      <c r="DI228" s="11">
        <f>SUM(COUNTIFS('jami 1-20 kunlik arizalar'!C:C,A:A, 'jami 1-20 kunlik arizalar'!S:S, {6,7,8,9,10}))</f>
        <v>14</v>
      </c>
      <c r="DJ228" s="12">
        <f>SUM(COUNTIFS('jami 1-20 kunlik arizalar'!C:C,A:A, 'jami 1-20 kunlik arizalar'!S:S, "&gt;10"))</f>
        <v>7</v>
      </c>
    </row>
    <row r="229" spans="1:115" ht="32.1" hidden="1" customHeight="1" outlineLevel="1" x14ac:dyDescent="0.25">
      <c r="A229" s="92" t="s">
        <v>740</v>
      </c>
      <c r="B229" s="74"/>
      <c r="C229" s="85" t="s">
        <v>913</v>
      </c>
      <c r="D229" s="80">
        <f>+COUNTIFS('muddati otgan'!C:C,A229,'muddati otgan'!C:C,A229)</f>
        <v>1</v>
      </c>
      <c r="E229" s="10">
        <f>SUMIFS('muddati otgan'!$V:V,'muddati otgan'!$C:C,$A:A)</f>
        <v>0</v>
      </c>
      <c r="F229" s="10">
        <f>SUMIFS('muddati otgan'!$W:W,'muddati otgan'!$C:C,$A:A)</f>
        <v>0</v>
      </c>
      <c r="G229" s="24">
        <f>SUMIFS('muddati otgan'!$U:U,'muddati otgan'!$C:C,$A:A)</f>
        <v>1</v>
      </c>
      <c r="H229" s="11">
        <f>SUMIFS('muddati otgan'!$G:G,'muddati otgan'!$C:C,$A:A)</f>
        <v>1</v>
      </c>
      <c r="I229" s="12">
        <f>SUMIFS('muddati otgan'!$H:H,'muddati otgan'!$C:C,$A:A)</f>
        <v>0</v>
      </c>
      <c r="J229" s="44">
        <f t="shared" si="329"/>
        <v>0</v>
      </c>
      <c r="K229" s="11">
        <f>+COUNTIFS('muddati otgan'!C:C,A229,'muddati otgan'!AA:AA,"Arizani qabul qilish")</f>
        <v>0</v>
      </c>
      <c r="L229" s="11">
        <f>+COUNTIFS('muddati otgan'!C:C,A229,'muddati otgan'!J:J,"Arizani rad etish")</f>
        <v>0</v>
      </c>
      <c r="M229" s="11">
        <f>+COUNTIFS('muddati otgan'!C:C,A229,'muddati otgan'!J:J,"Arizani tasdiqlash")</f>
        <v>0</v>
      </c>
      <c r="N229" s="11">
        <f>+COUNTIFS('muddati otgan'!C:C,A229,'muddati otgan'!J:J,"Arizani yo'naltirish")</f>
        <v>0</v>
      </c>
      <c r="O229" s="11">
        <f>+COUNTIFS('muddati otgan'!C:C,A229,'muddati otgan'!J:J,"Rad qilish sababini o'rganish")</f>
        <v>0</v>
      </c>
      <c r="P229" s="11">
        <f>+COUNTIFS('muddati otgan'!C:C,A229,'muddati otgan'!J:J,"Ko'chmas mulkni UZKAD ga migratsiya qilish")</f>
        <v>0</v>
      </c>
      <c r="Q229" s="11">
        <f>+COUNTIFS('muddati otgan'!C:C,A229,'muddati otgan'!J:J,"Migratisya qilingan obyekt holatini tekshirish")</f>
        <v>0</v>
      </c>
      <c r="R229" s="11">
        <f>+COUNTIFS('muddati otgan'!C:C,A229,'muddati otgan'!J:J,"Ko‘chmas mulkni tanlash")</f>
        <v>0</v>
      </c>
      <c r="S229" s="11">
        <f>+COUNTIFS('muddati otgan'!C:C,A229,'muddati otgan'!J:J,"Arizani ko'rib chiqish")</f>
        <v>0</v>
      </c>
      <c r="T229" s="11">
        <f>+COUNTIFS('muddati otgan'!C:C,A229,'muddati otgan'!J:J,"Kadastr muhandisini tanlash")</f>
        <v>0</v>
      </c>
      <c r="U229" s="11">
        <f>+COUNTIFS('muddati otgan'!C:C,A229,'muddati otgan'!J:J,"Ko'chmas mulk turini tanlahsh")</f>
        <v>0</v>
      </c>
      <c r="V229" s="11">
        <f>+COUNTIFS('muddati otgan'!C:C,A229,'muddati otgan'!AA:AA,"Rad qilish")</f>
        <v>0</v>
      </c>
      <c r="W229" s="11">
        <f>+COUNTIFS('muddati otgan'!C:C,A229,'muddati otgan'!J:J,"ijrochi tanlash")</f>
        <v>0</v>
      </c>
      <c r="X229" s="11">
        <f>+COUNTIFS('muddati otgan'!C:C,A229,'muddati otgan'!J:J,"Ko'chmas mulk turini tanlash")</f>
        <v>0</v>
      </c>
      <c r="Y229" s="11">
        <f t="shared" si="330"/>
        <v>0</v>
      </c>
      <c r="Z229" s="11">
        <f>+COUNTIFS('muddati otgan'!C:C,A229,'muddati otgan'!J:J,"Ijroga qabul qilish")</f>
        <v>0</v>
      </c>
      <c r="AA229" s="11">
        <f>+COUNTIFS('muddati otgan'!C:C,A229,'muddati otgan'!J:J,"Joyida o'rganish va ma'lumotlarni kiritish")</f>
        <v>0</v>
      </c>
      <c r="AB229" s="11">
        <f>+COUNTIFS('muddati otgan'!C:C,A229,'muddati otgan'!J:J,"Asosiy qismdan ajratish jarayonida")</f>
        <v>0</v>
      </c>
      <c r="AC229" s="11">
        <f>+COUNTIFS('muddati otgan'!C:C,A229,'muddati otgan'!J:J,"Umumiy foydalanishdagi obyekt yaratilish")</f>
        <v>0</v>
      </c>
      <c r="AD229" s="11">
        <f>+COUNTIFS('muddati otgan'!C:C,A229,'muddati otgan'!J:J,"Migratsiya qilinadigan kadastr raqamini kiritish")</f>
        <v>0</v>
      </c>
      <c r="AE229" s="11">
        <f>+COUNTIFS('muddati otgan'!C:C,A229,'muddati otgan'!J:J,"O'zida qolgan obyektni yaratish")</f>
        <v>0</v>
      </c>
      <c r="AF229" s="11">
        <f>+COUNTIFS('muddati otgan'!C:C,A229,'muddati otgan'!J:J,"O'lchov natijalarini kiritish")</f>
        <v>0</v>
      </c>
      <c r="AG229" s="11">
        <f>+COUNTIFS('muddati otgan'!C:C,A229,'muddati otgan'!J:J,"Topoxaritani tayyorlash (dwg, pdf)")</f>
        <v>0</v>
      </c>
      <c r="AH229" s="11">
        <f t="shared" si="331"/>
        <v>0</v>
      </c>
      <c r="AI229" s="11">
        <f>+COUNTIFS('muddati otgan'!C:C,A229,'muddati otgan'!J:J,"Yer uchastkasini yaratish")</f>
        <v>0</v>
      </c>
      <c r="AJ229" s="11">
        <f t="shared" si="332"/>
        <v>0</v>
      </c>
      <c r="AK229" s="11">
        <f>+COUNTIFS('muddati otgan'!C:C,A229,'muddati otgan'!J:J,"Kelishish (Boshqarma)")</f>
        <v>0</v>
      </c>
      <c r="AL229" s="11">
        <f t="shared" si="333"/>
        <v>0</v>
      </c>
      <c r="AM229" s="11">
        <f>+COUNTIFS('muddati otgan'!C:C,A229,'muddati otgan'!J:J,"Kelishish (DKP)")</f>
        <v>0</v>
      </c>
      <c r="AN229" s="11">
        <f>+COUNTIFS('muddati otgan'!C:C,A229,'muddati otgan'!J:J,"Kelishish")</f>
        <v>0</v>
      </c>
      <c r="AO229" s="11">
        <f>+COUNTIFS('muddati otgan'!C:C,A229,'muddati otgan'!J:J,"Kelishish (Registratsiya DKP)")</f>
        <v>0</v>
      </c>
      <c r="AP229" s="11">
        <f t="shared" si="334"/>
        <v>0</v>
      </c>
      <c r="AQ229" s="11">
        <f>+COUNTIFS('muddati otgan'!C:C,A229,'muddati otgan'!J:J,"Manzil biriktirish")</f>
        <v>0</v>
      </c>
      <c r="AR229" s="11">
        <f>+COUNTIFS('muddati otgan'!C:C,A229,'muddati otgan'!J:J,"Bino va inshootlarni yaratish")</f>
        <v>0</v>
      </c>
      <c r="AS229" s="11">
        <f>+COUNTIFS('muddati otgan'!C:C,A229,'muddati otgan'!J:J,"Dov daraxtlarni yaratish")</f>
        <v>0</v>
      </c>
      <c r="AT229" s="11">
        <f>+COUNTIFS('muddati otgan'!C:C,A229,'muddati otgan'!J:J,"Yer uchastkasini tahrirlash")</f>
        <v>0</v>
      </c>
      <c r="AU229" s="11">
        <f t="shared" si="335"/>
        <v>1</v>
      </c>
      <c r="AV229" s="11">
        <f>+COUNTIFS('muddati otgan'!C:C,A229,'muddati otgan'!J:J,"Yer toifasi va maqsadini kiritish")</f>
        <v>1</v>
      </c>
      <c r="AW229" s="11">
        <f>+COUNTIFS('muddati otgan'!C:C,A229,'muddati otgan'!J:J,"Auksion yer tekshirish")</f>
        <v>0</v>
      </c>
      <c r="AX229" s="11">
        <f>+COUNTIFS('muddati otgan'!C:C,A229,'muddati otgan'!J:J,"Yer turlarini kiritish")</f>
        <v>0</v>
      </c>
      <c r="AY229" s="11">
        <f>+COUNTIFS('muddati otgan'!C:C,A229,'muddati otgan'!J:J,"Ma'lumotlarni kiritish")</f>
        <v>0</v>
      </c>
      <c r="AZ229" s="11">
        <f>+COUNTIFS('muddati otgan'!C:C,A229,'muddati otgan'!J:J,"Yer tekshirish")</f>
        <v>0</v>
      </c>
      <c r="BA229" s="11">
        <f t="shared" si="336"/>
        <v>0</v>
      </c>
      <c r="BB229" s="11">
        <f>+COUNTIFS('muddati otgan'!C:C,A229,'muddati otgan'!J:J,"Bino va inshoot ma'lumotlarini to‘ldirish")</f>
        <v>0</v>
      </c>
      <c r="BC229" s="11">
        <f>+COUNTIFS('muddati otgan'!C:C,A229,'muddati otgan'!J:J,"Inventarizatsiya ma'lumotlarini to‘ldirish")</f>
        <v>0</v>
      </c>
      <c r="BD229" s="11">
        <f>+COUNTIFS('muddati otgan'!C:C,A229,'muddati otgan'!J:J,"Yer uchastkasiga huquqiy hujjatlarni kiritsh")</f>
        <v>0</v>
      </c>
      <c r="BE229" s="11">
        <f>+COUNTIFS('muddati otgan'!C:C,A229,'muddati otgan'!J:J,"Bino-inshootlarga huquqiy hujjatlarni kiritsh")</f>
        <v>0</v>
      </c>
      <c r="BF229" s="11">
        <f>+COUNTIFS('muddati otgan'!C:C,A229,'muddati otgan'!J:J,"Kadastr qiymatini hisoblash va kiritish")</f>
        <v>0</v>
      </c>
      <c r="BG229" s="11">
        <f>+COUNTIFS('muddati otgan'!C:C,A229,'muddati otgan'!J:J,"Kadastr raqam biriktirish")</f>
        <v>0</v>
      </c>
      <c r="BH229" s="11">
        <f>+COUNTIFS('muddati otgan'!C:C,A229,'muddati otgan'!J:J,"Kadastr yig'ma jildni tayyorlash")</f>
        <v>0</v>
      </c>
      <c r="BI229" s="11">
        <f>+COUNTIFS('muddati otgan'!C:C,A229,'muddati otgan'!J:J,"Huquqni yaratish")</f>
        <v>0</v>
      </c>
      <c r="BJ229" s="11">
        <f>+COUNTIFS('muddati otgan'!C:C,A229,'muddati otgan'!J:J,"Hujjatlarni o'rganish")</f>
        <v>0</v>
      </c>
      <c r="BK229" s="11">
        <f>+COUNTIFS('muddati otgan'!C:C,A229,'muddati otgan'!J:J,"Ma'lumotlarni tekshirish")</f>
        <v>0</v>
      </c>
      <c r="BL229" s="11">
        <f t="shared" si="337"/>
        <v>0</v>
      </c>
      <c r="BM229" s="11">
        <f>+COUNTIFS('muddati otgan'!C:C,A229,'muddati otgan'!J:J,"Tekshirish")</f>
        <v>0</v>
      </c>
      <c r="BN229" s="11">
        <f>+COUNTIFS('muddati otgan'!C:C,A229,'muddati otgan'!J:J,"Hujjatlarni tekshirish")</f>
        <v>0</v>
      </c>
      <c r="BO229" s="11">
        <f>+COUNTIFS('muddati otgan'!C:C,A229,'muddati otgan'!J:J,"Tasdiqlash")</f>
        <v>0</v>
      </c>
      <c r="BP229" s="11">
        <f>+COUNTIFS('muddati otgan'!C:C,A229,'muddati otgan'!J:J,"tekshirish/tasdiqlash")</f>
        <v>0</v>
      </c>
      <c r="BQ229" s="11">
        <f>+COUNTIFS('muddati otgan'!C:C,A229,'muddati otgan'!J:J,"Ma'lumotlarni tasdiqlash")</f>
        <v>0</v>
      </c>
      <c r="BR229" s="11">
        <f t="shared" si="338"/>
        <v>0</v>
      </c>
      <c r="BS229" s="11">
        <f>+COUNTIFS('muddati otgan'!C:C,A229,'muddati otgan'!J:J,"Ro'yxatdan o'tkazish ma'lumotlarini tekshirish")</f>
        <v>0</v>
      </c>
      <c r="BT229" s="11">
        <f>+COUNTIFS('muddati otgan'!C:C,A229,'muddati otgan'!J:J,"Kamchiliklar bo'yicha habarnoma yuborish va 3 kunga to'xtatish")</f>
        <v>0</v>
      </c>
      <c r="BU229" s="11">
        <f>+COUNTIFS('muddati otgan'!C:C,A229,'muddati otgan'!J:J,"Hisobga olish")</f>
        <v>0</v>
      </c>
      <c r="BV229" s="11">
        <f>+COUNTIFS('muddati otgan'!C:C,A229,'muddati otgan'!J:J,"Yer uchastkasiga huquq yaratish")</f>
        <v>0</v>
      </c>
      <c r="BW229" s="11">
        <f>+COUNTIFS('muddati otgan'!C:C,A229,'muddati otgan'!J:J,"Bino-inshootga huquq yaratish")</f>
        <v>0</v>
      </c>
      <c r="BX229" s="11">
        <f>+COUNTIFS('muddati otgan'!C:C,A229,'muddati otgan'!J:J,"Cheklov yaratish")</f>
        <v>0</v>
      </c>
      <c r="BY229" s="11">
        <f>+COUNTIFS('muddati otgan'!C:C,A229,'muddati otgan'!J:J,"Taqiq yaratish")</f>
        <v>0</v>
      </c>
      <c r="BZ229" s="11">
        <f t="shared" si="339"/>
        <v>0</v>
      </c>
      <c r="CA229" s="11">
        <f>+COUNTIFS('muddati otgan'!C:C,A229,'muddati otgan'!J:J,"Soliq maydonini tekshirish")</f>
        <v>0</v>
      </c>
      <c r="CB229" s="11">
        <f t="shared" si="340"/>
        <v>0</v>
      </c>
      <c r="CC229" s="11">
        <f>+COUNTIFS('muddati otgan'!C:C,A229,'muddati otgan'!J:J,"Kadastr yig'majildini shakllantirish")</f>
        <v>0</v>
      </c>
      <c r="CD229" s="11">
        <f t="shared" si="341"/>
        <v>0</v>
      </c>
      <c r="CE229" s="11">
        <f>+COUNTIFS('muddati otgan'!C:C,A229,'muddati otgan'!J:J,"Kadastr passportini shakllantirish")</f>
        <v>0</v>
      </c>
      <c r="CF229" s="11">
        <f>+COUNTIFS('muddati otgan'!C:C,A229,'muddati otgan'!J:J,"Yig'ma jildni tasdiqlash")</f>
        <v>0</v>
      </c>
      <c r="CG229" s="11">
        <f>+COUNTIFS('muddati otgan'!C:C,A229,'muddati otgan'!J:J,"To'lov yoki bepul tasdiqlash")</f>
        <v>0</v>
      </c>
      <c r="CH229" s="11">
        <f>+COUNTIFS('muddati otgan'!C:C,A229,'muddati otgan'!J:J,"Bog'liq arizani kutish")</f>
        <v>0</v>
      </c>
      <c r="CI229" s="11">
        <f>+COUNTIFS('muddati otgan'!C:C,A229,'muddati otgan'!J:J,"To'lovga chiqarish")</f>
        <v>0</v>
      </c>
      <c r="CJ229" s="11">
        <f>+COUNTIFS('muddati otgan'!C:C,A229,'muddati otgan'!J:J,"Hisobga qo'yish")</f>
        <v>0</v>
      </c>
      <c r="CK229" s="6">
        <f>+COUNTIFS('muddati otgan'!C:C,A229,'muddati otgan'!J:J,"To'lov kutilmoqda")</f>
        <v>0</v>
      </c>
      <c r="CL229" s="11">
        <f t="shared" si="342"/>
        <v>0</v>
      </c>
      <c r="CM229" s="11">
        <f>+COUNTIFS('muddati otgan'!C:C,A229,'muddati otgan'!AA:AA,"Arizani qabul qilish2")</f>
        <v>0</v>
      </c>
      <c r="CN229" s="11">
        <f>+COUNTIFS('muddati otgan'!C:C,A229,'muddati otgan'!J:J,"Huquqlarni tekshirish")</f>
        <v>0</v>
      </c>
      <c r="CO229" s="11">
        <f>+COUNTIFS('muddati otgan'!C:C,A229,'muddati otgan'!J:J,"Ko'chmas mulkni ro'yhatdan o'tkazishga qabul qilish")</f>
        <v>0</v>
      </c>
      <c r="CP229" s="11">
        <f>+COUNTIFS('muddati otgan'!C:C,A229,'muddati otgan'!J:J,"Ro'yxatdan o'tkazish")</f>
        <v>0</v>
      </c>
      <c r="CQ229" s="11">
        <f>+COUNTIFS('muddati otgan'!C:C,A229,'muddati otgan'!J:J,"Kadastr pasporti va ko'chirmani yuborish")</f>
        <v>0</v>
      </c>
      <c r="CR229" s="11">
        <f>+COUNTIFS('muddati otgan'!C:C,A229,'muddati otgan'!AA:AA,"Rad qilish2")</f>
        <v>0</v>
      </c>
      <c r="CS229" s="11">
        <f>+COUNTIFS('muddati otgan'!C:C,A229,'muddati otgan'!J:J,"Ko'chirmani yuborish")</f>
        <v>0</v>
      </c>
      <c r="CT229" s="11">
        <f>+COUNTIFS('muddati otgan'!C:C,A229,'muddati otgan'!J:J,"Ma‘lumotlarni tekshirish")</f>
        <v>0</v>
      </c>
      <c r="CU229" s="11">
        <f t="shared" si="343"/>
        <v>0</v>
      </c>
      <c r="CV229" s="11">
        <f>+COUNTIFS('muddati otgan'!C:C,A229,'muddati otgan'!J:J,"Kadastr yig'majildini chop etish va arxiv ishiga tikish")</f>
        <v>0</v>
      </c>
      <c r="CW229" s="11">
        <f t="shared" si="344"/>
        <v>0</v>
      </c>
      <c r="CX229" s="11">
        <f>+COUNTIFS('muddati otgan'!C:C,A229,'muddati otgan'!J:J,"Kadastr yig‘majildini qabul qilish, arizani yakunlash")</f>
        <v>0</v>
      </c>
      <c r="CY229" s="11">
        <f>+COUNTIFS('muddati otgan'!C:C,A229,'muddati otgan'!J:J,"Next Cloudga yuklash")</f>
        <v>0</v>
      </c>
      <c r="CZ229" s="6">
        <f>+COUNTIFS('muddati otgan'!C:C,A229,'muddati otgan'!J:J,"Kelishish kutilmoqda")</f>
        <v>0</v>
      </c>
      <c r="DA229" s="6">
        <f>+COUNTIFS('muddati otgan'!C:C,A229,'muddati otgan'!J:J,"Yakunlandi")</f>
        <v>0</v>
      </c>
      <c r="DB229" s="10">
        <f>+COUNTIFS('muddati otgan'!C:C,A229,'muddati otgan'!J:J,"Rad etildi")</f>
        <v>0</v>
      </c>
      <c r="DC229" s="100">
        <f t="shared" si="345"/>
        <v>-1</v>
      </c>
      <c r="DD229" s="44">
        <f>COUNTIFS('jami 1-20 kunlik arizalar'!C:C,A:A,'jami 1-20 kunlik arizalar'!S:S,"1")</f>
        <v>0</v>
      </c>
      <c r="DE229" s="11">
        <f>COUNTIFS('jami 1-20 kunlik arizalar'!C:C,A:A,'jami 1-20 kunlik arizalar'!S:S,"2")</f>
        <v>0</v>
      </c>
      <c r="DF229" s="11">
        <f>COUNTIFS('jami 1-20 kunlik arizalar'!C:C,A:A,'jami 1-20 kunlik arizalar'!S:S,"3")</f>
        <v>0</v>
      </c>
      <c r="DG229" s="11">
        <f>COUNTIFS('jami 1-20 kunlik arizalar'!C:C,A:A,'jami 1-20 kunlik arizalar'!S:S,"4")</f>
        <v>1</v>
      </c>
      <c r="DH229" s="11">
        <f>COUNTIFS('jami 1-20 kunlik arizalar'!C:C,A:A,'jami 1-20 kunlik arizalar'!S:S,"5")</f>
        <v>2</v>
      </c>
      <c r="DI229" s="11">
        <f>SUM(COUNTIFS('jami 1-20 kunlik arizalar'!C:C,A:A, 'jami 1-20 kunlik arizalar'!S:S, {6,7,8,9,10}))</f>
        <v>9</v>
      </c>
      <c r="DJ229" s="12">
        <f>SUM(COUNTIFS('jami 1-20 kunlik arizalar'!C:C,A:A, 'jami 1-20 kunlik arizalar'!S:S, "&gt;10"))</f>
        <v>3</v>
      </c>
    </row>
    <row r="230" spans="1:115" ht="32.1" hidden="1" customHeight="1" outlineLevel="1" x14ac:dyDescent="0.25">
      <c r="A230" s="92" t="s">
        <v>727</v>
      </c>
      <c r="B230" s="74"/>
      <c r="C230" s="85" t="s">
        <v>914</v>
      </c>
      <c r="D230" s="80">
        <f>+COUNTIFS('muddati otgan'!C:C,A230,'muddati otgan'!C:C,A230)</f>
        <v>1</v>
      </c>
      <c r="E230" s="10">
        <f>SUMIFS('muddati otgan'!$V:V,'muddati otgan'!$C:C,$A:A)</f>
        <v>0</v>
      </c>
      <c r="F230" s="10">
        <f>SUMIFS('muddati otgan'!$W:W,'muddati otgan'!$C:C,$A:A)</f>
        <v>1</v>
      </c>
      <c r="G230" s="24">
        <f>SUMIFS('muddati otgan'!$U:U,'muddati otgan'!$C:C,$A:A)</f>
        <v>0</v>
      </c>
      <c r="H230" s="11">
        <f>SUMIFS('muddati otgan'!$G:G,'muddati otgan'!$C:C,$A:A)</f>
        <v>1</v>
      </c>
      <c r="I230" s="12">
        <f>SUMIFS('muddati otgan'!$H:H,'muddati otgan'!$C:C,$A:A)</f>
        <v>0</v>
      </c>
      <c r="J230" s="44">
        <f t="shared" si="329"/>
        <v>0</v>
      </c>
      <c r="K230" s="11">
        <f>+COUNTIFS('muddati otgan'!C:C,A230,'muddati otgan'!AA:AA,"Arizani qabul qilish")</f>
        <v>0</v>
      </c>
      <c r="L230" s="11">
        <f>+COUNTIFS('muddati otgan'!C:C,A230,'muddati otgan'!J:J,"Arizani rad etish")</f>
        <v>0</v>
      </c>
      <c r="M230" s="11">
        <f>+COUNTIFS('muddati otgan'!C:C,A230,'muddati otgan'!J:J,"Arizani tasdiqlash")</f>
        <v>0</v>
      </c>
      <c r="N230" s="11">
        <f>+COUNTIFS('muddati otgan'!C:C,A230,'muddati otgan'!J:J,"Arizani yo'naltirish")</f>
        <v>0</v>
      </c>
      <c r="O230" s="11">
        <f>+COUNTIFS('muddati otgan'!C:C,A230,'muddati otgan'!J:J,"Rad qilish sababini o'rganish")</f>
        <v>0</v>
      </c>
      <c r="P230" s="11">
        <f>+COUNTIFS('muddati otgan'!C:C,A230,'muddati otgan'!J:J,"Ko'chmas mulkni UZKAD ga migratsiya qilish")</f>
        <v>0</v>
      </c>
      <c r="Q230" s="11">
        <f>+COUNTIFS('muddati otgan'!C:C,A230,'muddati otgan'!J:J,"Migratisya qilingan obyekt holatini tekshirish")</f>
        <v>0</v>
      </c>
      <c r="R230" s="11">
        <f>+COUNTIFS('muddati otgan'!C:C,A230,'muddati otgan'!J:J,"Ko‘chmas mulkni tanlash")</f>
        <v>0</v>
      </c>
      <c r="S230" s="11">
        <f>+COUNTIFS('muddati otgan'!C:C,A230,'muddati otgan'!J:J,"Arizani ko'rib chiqish")</f>
        <v>0</v>
      </c>
      <c r="T230" s="11">
        <f>+COUNTIFS('muddati otgan'!C:C,A230,'muddati otgan'!J:J,"Kadastr muhandisini tanlash")</f>
        <v>0</v>
      </c>
      <c r="U230" s="11">
        <f>+COUNTIFS('muddati otgan'!C:C,A230,'muddati otgan'!J:J,"Ko'chmas mulk turini tanlahsh")</f>
        <v>0</v>
      </c>
      <c r="V230" s="11">
        <f>+COUNTIFS('muddati otgan'!C:C,A230,'muddati otgan'!AA:AA,"Rad qilish")</f>
        <v>0</v>
      </c>
      <c r="W230" s="11">
        <f>+COUNTIFS('muddati otgan'!C:C,A230,'muddati otgan'!J:J,"ijrochi tanlash")</f>
        <v>0</v>
      </c>
      <c r="X230" s="11">
        <f>+COUNTIFS('muddati otgan'!C:C,A230,'muddati otgan'!J:J,"Ko'chmas mulk turini tanlash")</f>
        <v>0</v>
      </c>
      <c r="Y230" s="11">
        <f t="shared" si="330"/>
        <v>0</v>
      </c>
      <c r="Z230" s="11">
        <f>+COUNTIFS('muddati otgan'!C:C,A230,'muddati otgan'!J:J,"Ijroga qabul qilish")</f>
        <v>0</v>
      </c>
      <c r="AA230" s="11">
        <f>+COUNTIFS('muddati otgan'!C:C,A230,'muddati otgan'!J:J,"Joyida o'rganish va ma'lumotlarni kiritish")</f>
        <v>0</v>
      </c>
      <c r="AB230" s="11">
        <f>+COUNTIFS('muddati otgan'!C:C,A230,'muddati otgan'!J:J,"Asosiy qismdan ajratish jarayonida")</f>
        <v>0</v>
      </c>
      <c r="AC230" s="11">
        <f>+COUNTIFS('muddati otgan'!C:C,A230,'muddati otgan'!J:J,"Umumiy foydalanishdagi obyekt yaratilish")</f>
        <v>0</v>
      </c>
      <c r="AD230" s="11">
        <f>+COUNTIFS('muddati otgan'!C:C,A230,'muddati otgan'!J:J,"Migratsiya qilinadigan kadastr raqamini kiritish")</f>
        <v>0</v>
      </c>
      <c r="AE230" s="11">
        <f>+COUNTIFS('muddati otgan'!C:C,A230,'muddati otgan'!J:J,"O'zida qolgan obyektni yaratish")</f>
        <v>0</v>
      </c>
      <c r="AF230" s="11">
        <f>+COUNTIFS('muddati otgan'!C:C,A230,'muddati otgan'!J:J,"O'lchov natijalarini kiritish")</f>
        <v>0</v>
      </c>
      <c r="AG230" s="11">
        <f>+COUNTIFS('muddati otgan'!C:C,A230,'muddati otgan'!J:J,"Topoxaritani tayyorlash (dwg, pdf)")</f>
        <v>0</v>
      </c>
      <c r="AH230" s="11">
        <f t="shared" si="331"/>
        <v>0</v>
      </c>
      <c r="AI230" s="11">
        <f>+COUNTIFS('muddati otgan'!C:C,A230,'muddati otgan'!J:J,"Yer uchastkasini yaratish")</f>
        <v>0</v>
      </c>
      <c r="AJ230" s="11">
        <f t="shared" si="332"/>
        <v>0</v>
      </c>
      <c r="AK230" s="11">
        <f>+COUNTIFS('muddati otgan'!C:C,A230,'muddati otgan'!J:J,"Kelishish (Boshqarma)")</f>
        <v>0</v>
      </c>
      <c r="AL230" s="11">
        <f t="shared" si="333"/>
        <v>0</v>
      </c>
      <c r="AM230" s="11">
        <f>+COUNTIFS('muddati otgan'!C:C,A230,'muddati otgan'!J:J,"Kelishish (DKP)")</f>
        <v>0</v>
      </c>
      <c r="AN230" s="11">
        <f>+COUNTIFS('muddati otgan'!C:C,A230,'muddati otgan'!J:J,"Kelishish")</f>
        <v>0</v>
      </c>
      <c r="AO230" s="11">
        <f>+COUNTIFS('muddati otgan'!C:C,A230,'muddati otgan'!J:J,"Kelishish (Registratsiya DKP)")</f>
        <v>0</v>
      </c>
      <c r="AP230" s="11">
        <f t="shared" si="334"/>
        <v>0</v>
      </c>
      <c r="AQ230" s="11">
        <f>+COUNTIFS('muddati otgan'!C:C,A230,'muddati otgan'!J:J,"Manzil biriktirish")</f>
        <v>0</v>
      </c>
      <c r="AR230" s="11">
        <f>+COUNTIFS('muddati otgan'!C:C,A230,'muddati otgan'!J:J,"Bino va inshootlarni yaratish")</f>
        <v>0</v>
      </c>
      <c r="AS230" s="11">
        <f>+COUNTIFS('muddati otgan'!C:C,A230,'muddati otgan'!J:J,"Dov daraxtlarni yaratish")</f>
        <v>0</v>
      </c>
      <c r="AT230" s="11">
        <f>+COUNTIFS('muddati otgan'!C:C,A230,'muddati otgan'!J:J,"Yer uchastkasini tahrirlash")</f>
        <v>0</v>
      </c>
      <c r="AU230" s="11">
        <f t="shared" si="335"/>
        <v>0</v>
      </c>
      <c r="AV230" s="11">
        <f>+COUNTIFS('muddati otgan'!C:C,A230,'muddati otgan'!J:J,"Yer toifasi va maqsadini kiritish")</f>
        <v>0</v>
      </c>
      <c r="AW230" s="11">
        <f>+COUNTIFS('muddati otgan'!C:C,A230,'muddati otgan'!J:J,"Auksion yer tekshirish")</f>
        <v>0</v>
      </c>
      <c r="AX230" s="11">
        <f>+COUNTIFS('muddati otgan'!C:C,A230,'muddati otgan'!J:J,"Yer turlarini kiritish")</f>
        <v>0</v>
      </c>
      <c r="AY230" s="11">
        <f>+COUNTIFS('muddati otgan'!C:C,A230,'muddati otgan'!J:J,"Ma'lumotlarni kiritish")</f>
        <v>0</v>
      </c>
      <c r="AZ230" s="11">
        <f>+COUNTIFS('muddati otgan'!C:C,A230,'muddati otgan'!J:J,"Yer tekshirish")</f>
        <v>0</v>
      </c>
      <c r="BA230" s="11">
        <f t="shared" si="336"/>
        <v>0</v>
      </c>
      <c r="BB230" s="11">
        <f>+COUNTIFS('muddati otgan'!C:C,A230,'muddati otgan'!J:J,"Bino va inshoot ma'lumotlarini to‘ldirish")</f>
        <v>0</v>
      </c>
      <c r="BC230" s="11">
        <f>+COUNTIFS('muddati otgan'!C:C,A230,'muddati otgan'!J:J,"Inventarizatsiya ma'lumotlarini to‘ldirish")</f>
        <v>0</v>
      </c>
      <c r="BD230" s="11">
        <f>+COUNTIFS('muddati otgan'!C:C,A230,'muddati otgan'!J:J,"Yer uchastkasiga huquqiy hujjatlarni kiritsh")</f>
        <v>0</v>
      </c>
      <c r="BE230" s="11">
        <f>+COUNTIFS('muddati otgan'!C:C,A230,'muddati otgan'!J:J,"Bino-inshootlarga huquqiy hujjatlarni kiritsh")</f>
        <v>0</v>
      </c>
      <c r="BF230" s="11">
        <f>+COUNTIFS('muddati otgan'!C:C,A230,'muddati otgan'!J:J,"Kadastr qiymatini hisoblash va kiritish")</f>
        <v>0</v>
      </c>
      <c r="BG230" s="11">
        <f>+COUNTIFS('muddati otgan'!C:C,A230,'muddati otgan'!J:J,"Kadastr raqam biriktirish")</f>
        <v>0</v>
      </c>
      <c r="BH230" s="11">
        <f>+COUNTIFS('muddati otgan'!C:C,A230,'muddati otgan'!J:J,"Kadastr yig'ma jildni tayyorlash")</f>
        <v>0</v>
      </c>
      <c r="BI230" s="11">
        <f>+COUNTIFS('muddati otgan'!C:C,A230,'muddati otgan'!J:J,"Huquqni yaratish")</f>
        <v>0</v>
      </c>
      <c r="BJ230" s="11">
        <f>+COUNTIFS('muddati otgan'!C:C,A230,'muddati otgan'!J:J,"Hujjatlarni o'rganish")</f>
        <v>0</v>
      </c>
      <c r="BK230" s="11">
        <f>+COUNTIFS('muddati otgan'!C:C,A230,'muddati otgan'!J:J,"Ma'lumotlarni tekshirish")</f>
        <v>0</v>
      </c>
      <c r="BL230" s="11">
        <f t="shared" si="337"/>
        <v>0</v>
      </c>
      <c r="BM230" s="11">
        <f>+COUNTIFS('muddati otgan'!C:C,A230,'muddati otgan'!J:J,"Tekshirish")</f>
        <v>0</v>
      </c>
      <c r="BN230" s="11">
        <f>+COUNTIFS('muddati otgan'!C:C,A230,'muddati otgan'!J:J,"Hujjatlarni tekshirish")</f>
        <v>0</v>
      </c>
      <c r="BO230" s="11">
        <f>+COUNTIFS('muddati otgan'!C:C,A230,'muddati otgan'!J:J,"Tasdiqlash")</f>
        <v>0</v>
      </c>
      <c r="BP230" s="11">
        <f>+COUNTIFS('muddati otgan'!C:C,A230,'muddati otgan'!J:J,"tekshirish/tasdiqlash")</f>
        <v>0</v>
      </c>
      <c r="BQ230" s="11">
        <f>+COUNTIFS('muddati otgan'!C:C,A230,'muddati otgan'!J:J,"Ma'lumotlarni tasdiqlash")</f>
        <v>0</v>
      </c>
      <c r="BR230" s="11">
        <f t="shared" si="338"/>
        <v>0</v>
      </c>
      <c r="BS230" s="11">
        <f>+COUNTIFS('muddati otgan'!C:C,A230,'muddati otgan'!J:J,"Ro'yxatdan o'tkazish ma'lumotlarini tekshirish")</f>
        <v>0</v>
      </c>
      <c r="BT230" s="11">
        <f>+COUNTIFS('muddati otgan'!C:C,A230,'muddati otgan'!J:J,"Kamchiliklar bo'yicha habarnoma yuborish va 3 kunga to'xtatish")</f>
        <v>0</v>
      </c>
      <c r="BU230" s="11">
        <f>+COUNTIFS('muddati otgan'!C:C,A230,'muddati otgan'!J:J,"Hisobga olish")</f>
        <v>0</v>
      </c>
      <c r="BV230" s="11">
        <f>+COUNTIFS('muddati otgan'!C:C,A230,'muddati otgan'!J:J,"Yer uchastkasiga huquq yaratish")</f>
        <v>0</v>
      </c>
      <c r="BW230" s="11">
        <f>+COUNTIFS('muddati otgan'!C:C,A230,'muddati otgan'!J:J,"Bino-inshootga huquq yaratish")</f>
        <v>0</v>
      </c>
      <c r="BX230" s="11">
        <f>+COUNTIFS('muddati otgan'!C:C,A230,'muddati otgan'!J:J,"Cheklov yaratish")</f>
        <v>0</v>
      </c>
      <c r="BY230" s="11">
        <f>+COUNTIFS('muddati otgan'!C:C,A230,'muddati otgan'!J:J,"Taqiq yaratish")</f>
        <v>0</v>
      </c>
      <c r="BZ230" s="11">
        <f t="shared" si="339"/>
        <v>0</v>
      </c>
      <c r="CA230" s="11">
        <f>+COUNTIFS('muddati otgan'!C:C,A230,'muddati otgan'!J:J,"Soliq maydonini tekshirish")</f>
        <v>0</v>
      </c>
      <c r="CB230" s="11">
        <f t="shared" si="340"/>
        <v>0</v>
      </c>
      <c r="CC230" s="11">
        <f>+COUNTIFS('muddati otgan'!C:C,A230,'muddati otgan'!J:J,"Kadastr yig'majildini shakllantirish")</f>
        <v>0</v>
      </c>
      <c r="CD230" s="11">
        <f t="shared" si="341"/>
        <v>0</v>
      </c>
      <c r="CE230" s="11">
        <f>+COUNTIFS('muddati otgan'!C:C,A230,'muddati otgan'!J:J,"Kadastr passportini shakllantirish")</f>
        <v>0</v>
      </c>
      <c r="CF230" s="11">
        <f>+COUNTIFS('muddati otgan'!C:C,A230,'muddati otgan'!J:J,"Yig'ma jildni tasdiqlash")</f>
        <v>0</v>
      </c>
      <c r="CG230" s="11">
        <f>+COUNTIFS('muddati otgan'!C:C,A230,'muddati otgan'!J:J,"To'lov yoki bepul tasdiqlash")</f>
        <v>0</v>
      </c>
      <c r="CH230" s="11">
        <f>+COUNTIFS('muddati otgan'!C:C,A230,'muddati otgan'!J:J,"Bog'liq arizani kutish")</f>
        <v>0</v>
      </c>
      <c r="CI230" s="11">
        <f>+COUNTIFS('muddati otgan'!C:C,A230,'muddati otgan'!J:J,"To'lovga chiqarish")</f>
        <v>0</v>
      </c>
      <c r="CJ230" s="11">
        <f>+COUNTIFS('muddati otgan'!C:C,A230,'muddati otgan'!J:J,"Hisobga qo'yish")</f>
        <v>0</v>
      </c>
      <c r="CK230" s="6">
        <f>+COUNTIFS('muddati otgan'!C:C,A230,'muddati otgan'!J:J,"To'lov kutilmoqda")</f>
        <v>0</v>
      </c>
      <c r="CL230" s="11">
        <f t="shared" si="342"/>
        <v>0</v>
      </c>
      <c r="CM230" s="11">
        <f>+COUNTIFS('muddati otgan'!C:C,A230,'muddati otgan'!AA:AA,"Arizani qabul qilish2")</f>
        <v>0</v>
      </c>
      <c r="CN230" s="11">
        <f>+COUNTIFS('muddati otgan'!C:C,A230,'muddati otgan'!J:J,"Huquqlarni tekshirish")</f>
        <v>0</v>
      </c>
      <c r="CO230" s="11">
        <f>+COUNTIFS('muddati otgan'!C:C,A230,'muddati otgan'!J:J,"Ko'chmas mulkni ro'yhatdan o'tkazishga qabul qilish")</f>
        <v>0</v>
      </c>
      <c r="CP230" s="11">
        <f>+COUNTIFS('muddati otgan'!C:C,A230,'muddati otgan'!J:J,"Ro'yxatdan o'tkazish")</f>
        <v>0</v>
      </c>
      <c r="CQ230" s="11">
        <f>+COUNTIFS('muddati otgan'!C:C,A230,'muddati otgan'!J:J,"Kadastr pasporti va ko'chirmani yuborish")</f>
        <v>0</v>
      </c>
      <c r="CR230" s="11">
        <f>+COUNTIFS('muddati otgan'!C:C,A230,'muddati otgan'!AA:AA,"Rad qilish2")</f>
        <v>0</v>
      </c>
      <c r="CS230" s="11">
        <f>+COUNTIFS('muddati otgan'!C:C,A230,'muddati otgan'!J:J,"Ko'chirmani yuborish")</f>
        <v>0</v>
      </c>
      <c r="CT230" s="11">
        <f>+COUNTIFS('muddati otgan'!C:C,A230,'muddati otgan'!J:J,"Ma‘lumotlarni tekshirish")</f>
        <v>0</v>
      </c>
      <c r="CU230" s="11">
        <f t="shared" si="343"/>
        <v>0</v>
      </c>
      <c r="CV230" s="11">
        <f>+COUNTIFS('muddati otgan'!C:C,A230,'muddati otgan'!J:J,"Kadastr yig'majildini chop etish va arxiv ishiga tikish")</f>
        <v>0</v>
      </c>
      <c r="CW230" s="11">
        <f t="shared" si="344"/>
        <v>1</v>
      </c>
      <c r="CX230" s="11">
        <f>+COUNTIFS('muddati otgan'!C:C,A230,'muddati otgan'!J:J,"Kadastr yig‘majildini qabul qilish, arizani yakunlash")</f>
        <v>1</v>
      </c>
      <c r="CY230" s="11">
        <f>+COUNTIFS('muddati otgan'!C:C,A230,'muddati otgan'!J:J,"Next Cloudga yuklash")</f>
        <v>0</v>
      </c>
      <c r="CZ230" s="6">
        <f>+COUNTIFS('muddati otgan'!C:C,A230,'muddati otgan'!J:J,"Kelishish kutilmoqda")</f>
        <v>0</v>
      </c>
      <c r="DA230" s="6">
        <f>+COUNTIFS('muddati otgan'!C:C,A230,'muddati otgan'!J:J,"Yakunlandi")</f>
        <v>0</v>
      </c>
      <c r="DB230" s="10">
        <f>+COUNTIFS('muddati otgan'!C:C,A230,'muddati otgan'!J:J,"Rad etildi")</f>
        <v>0</v>
      </c>
      <c r="DC230" s="100">
        <f t="shared" si="345"/>
        <v>-1</v>
      </c>
      <c r="DD230" s="44">
        <f>COUNTIFS('jami 1-20 kunlik arizalar'!C:C,A:A,'jami 1-20 kunlik arizalar'!S:S,"1")</f>
        <v>0</v>
      </c>
      <c r="DE230" s="11">
        <f>COUNTIFS('jami 1-20 kunlik arizalar'!C:C,A:A,'jami 1-20 kunlik arizalar'!S:S,"2")</f>
        <v>0</v>
      </c>
      <c r="DF230" s="11">
        <f>COUNTIFS('jami 1-20 kunlik arizalar'!C:C,A:A,'jami 1-20 kunlik arizalar'!S:S,"3")</f>
        <v>0</v>
      </c>
      <c r="DG230" s="11">
        <f>COUNTIFS('jami 1-20 kunlik arizalar'!C:C,A:A,'jami 1-20 kunlik arizalar'!S:S,"4")</f>
        <v>1</v>
      </c>
      <c r="DH230" s="11">
        <f>COUNTIFS('jami 1-20 kunlik arizalar'!C:C,A:A,'jami 1-20 kunlik arizalar'!S:S,"5")</f>
        <v>2</v>
      </c>
      <c r="DI230" s="11">
        <f>SUM(COUNTIFS('jami 1-20 kunlik arizalar'!C:C,A:A, 'jami 1-20 kunlik arizalar'!S:S, {6,7,8,9,10}))</f>
        <v>5</v>
      </c>
      <c r="DJ230" s="12">
        <f>SUM(COUNTIFS('jami 1-20 kunlik arizalar'!C:C,A:A, 'jami 1-20 kunlik arizalar'!S:S, "&gt;10"))</f>
        <v>2</v>
      </c>
    </row>
    <row r="231" spans="1:115" ht="32.1" hidden="1" customHeight="1" outlineLevel="1" x14ac:dyDescent="0.25">
      <c r="A231" s="92" t="s">
        <v>741</v>
      </c>
      <c r="B231" s="74"/>
      <c r="C231" s="85" t="s">
        <v>915</v>
      </c>
      <c r="D231" s="80">
        <f>+COUNTIFS('muddati otgan'!C:C,A231,'muddati otgan'!C:C,A231)</f>
        <v>2</v>
      </c>
      <c r="E231" s="10">
        <f>SUMIFS('muddati otgan'!$V:V,'muddati otgan'!$C:C,$A:A)</f>
        <v>0</v>
      </c>
      <c r="F231" s="10">
        <f>SUMIFS('muddati otgan'!$W:W,'muddati otgan'!$C:C,$A:A)</f>
        <v>0</v>
      </c>
      <c r="G231" s="24">
        <f>SUMIFS('muddati otgan'!$U:U,'muddati otgan'!$C:C,$A:A)</f>
        <v>2</v>
      </c>
      <c r="H231" s="11">
        <f>SUMIFS('muddati otgan'!$G:G,'muddati otgan'!$C:C,$A:A)</f>
        <v>2</v>
      </c>
      <c r="I231" s="12">
        <f>SUMIFS('muddati otgan'!$H:H,'muddati otgan'!$C:C,$A:A)</f>
        <v>0</v>
      </c>
      <c r="J231" s="44">
        <f t="shared" si="329"/>
        <v>0</v>
      </c>
      <c r="K231" s="11">
        <f>+COUNTIFS('muddati otgan'!C:C,A231,'muddati otgan'!AA:AA,"Arizani qabul qilish")</f>
        <v>0</v>
      </c>
      <c r="L231" s="11">
        <f>+COUNTIFS('muddati otgan'!C:C,A231,'muddati otgan'!J:J,"Arizani rad etish")</f>
        <v>0</v>
      </c>
      <c r="M231" s="11">
        <f>+COUNTIFS('muddati otgan'!C:C,A231,'muddati otgan'!J:J,"Arizani tasdiqlash")</f>
        <v>0</v>
      </c>
      <c r="N231" s="11">
        <f>+COUNTIFS('muddati otgan'!C:C,A231,'muddati otgan'!J:J,"Arizani yo'naltirish")</f>
        <v>0</v>
      </c>
      <c r="O231" s="11">
        <f>+COUNTIFS('muddati otgan'!C:C,A231,'muddati otgan'!J:J,"Rad qilish sababini o'rganish")</f>
        <v>0</v>
      </c>
      <c r="P231" s="11">
        <f>+COUNTIFS('muddati otgan'!C:C,A231,'muddati otgan'!J:J,"Ko'chmas mulkni UZKAD ga migratsiya qilish")</f>
        <v>0</v>
      </c>
      <c r="Q231" s="11">
        <f>+COUNTIFS('muddati otgan'!C:C,A231,'muddati otgan'!J:J,"Migratisya qilingan obyekt holatini tekshirish")</f>
        <v>0</v>
      </c>
      <c r="R231" s="11">
        <f>+COUNTIFS('muddati otgan'!C:C,A231,'muddati otgan'!J:J,"Ko‘chmas mulkni tanlash")</f>
        <v>0</v>
      </c>
      <c r="S231" s="11">
        <f>+COUNTIFS('muddati otgan'!C:C,A231,'muddati otgan'!J:J,"Arizani ko'rib chiqish")</f>
        <v>0</v>
      </c>
      <c r="T231" s="11">
        <f>+COUNTIFS('muddati otgan'!C:C,A231,'muddati otgan'!J:J,"Kadastr muhandisini tanlash")</f>
        <v>0</v>
      </c>
      <c r="U231" s="11">
        <f>+COUNTIFS('muddati otgan'!C:C,A231,'muddati otgan'!J:J,"Ko'chmas mulk turini tanlahsh")</f>
        <v>0</v>
      </c>
      <c r="V231" s="11">
        <f>+COUNTIFS('muddati otgan'!C:C,A231,'muddati otgan'!AA:AA,"Rad qilish")</f>
        <v>0</v>
      </c>
      <c r="W231" s="11">
        <f>+COUNTIFS('muddati otgan'!C:C,A231,'muddati otgan'!J:J,"ijrochi tanlash")</f>
        <v>0</v>
      </c>
      <c r="X231" s="11">
        <f>+COUNTIFS('muddati otgan'!C:C,A231,'muddati otgan'!J:J,"Ko'chmas mulk turini tanlash")</f>
        <v>0</v>
      </c>
      <c r="Y231" s="11">
        <f t="shared" si="330"/>
        <v>0</v>
      </c>
      <c r="Z231" s="11">
        <f>+COUNTIFS('muddati otgan'!C:C,A231,'muddati otgan'!J:J,"Ijroga qabul qilish")</f>
        <v>0</v>
      </c>
      <c r="AA231" s="11">
        <f>+COUNTIFS('muddati otgan'!C:C,A231,'muddati otgan'!J:J,"Joyida o'rganish va ma'lumotlarni kiritish")</f>
        <v>0</v>
      </c>
      <c r="AB231" s="11">
        <f>+COUNTIFS('muddati otgan'!C:C,A231,'muddati otgan'!J:J,"Asosiy qismdan ajratish jarayonida")</f>
        <v>0</v>
      </c>
      <c r="AC231" s="11">
        <f>+COUNTIFS('muddati otgan'!C:C,A231,'muddati otgan'!J:J,"Umumiy foydalanishdagi obyekt yaratilish")</f>
        <v>0</v>
      </c>
      <c r="AD231" s="11">
        <f>+COUNTIFS('muddati otgan'!C:C,A231,'muddati otgan'!J:J,"Migratsiya qilinadigan kadastr raqamini kiritish")</f>
        <v>0</v>
      </c>
      <c r="AE231" s="11">
        <f>+COUNTIFS('muddati otgan'!C:C,A231,'muddati otgan'!J:J,"O'zida qolgan obyektni yaratish")</f>
        <v>0</v>
      </c>
      <c r="AF231" s="11">
        <f>+COUNTIFS('muddati otgan'!C:C,A231,'muddati otgan'!J:J,"O'lchov natijalarini kiritish")</f>
        <v>0</v>
      </c>
      <c r="AG231" s="11">
        <f>+COUNTIFS('muddati otgan'!C:C,A231,'muddati otgan'!J:J,"Topoxaritani tayyorlash (dwg, pdf)")</f>
        <v>0</v>
      </c>
      <c r="AH231" s="11">
        <f t="shared" si="331"/>
        <v>0</v>
      </c>
      <c r="AI231" s="11">
        <f>+COUNTIFS('muddati otgan'!C:C,A231,'muddati otgan'!J:J,"Yer uchastkasini yaratish")</f>
        <v>0</v>
      </c>
      <c r="AJ231" s="11">
        <f t="shared" si="332"/>
        <v>0</v>
      </c>
      <c r="AK231" s="11">
        <f>+COUNTIFS('muddati otgan'!C:C,A231,'muddati otgan'!J:J,"Kelishish (Boshqarma)")</f>
        <v>0</v>
      </c>
      <c r="AL231" s="11">
        <f t="shared" si="333"/>
        <v>0</v>
      </c>
      <c r="AM231" s="11">
        <f>+COUNTIFS('muddati otgan'!C:C,A231,'muddati otgan'!J:J,"Kelishish (DKP)")</f>
        <v>0</v>
      </c>
      <c r="AN231" s="11">
        <f>+COUNTIFS('muddati otgan'!C:C,A231,'muddati otgan'!J:J,"Kelishish")</f>
        <v>0</v>
      </c>
      <c r="AO231" s="11">
        <f>+COUNTIFS('muddati otgan'!C:C,A231,'muddati otgan'!J:J,"Kelishish (Registratsiya DKP)")</f>
        <v>0</v>
      </c>
      <c r="AP231" s="11">
        <f t="shared" si="334"/>
        <v>0</v>
      </c>
      <c r="AQ231" s="11">
        <f>+COUNTIFS('muddati otgan'!C:C,A231,'muddati otgan'!J:J,"Manzil biriktirish")</f>
        <v>0</v>
      </c>
      <c r="AR231" s="11">
        <f>+COUNTIFS('muddati otgan'!C:C,A231,'muddati otgan'!J:J,"Bino va inshootlarni yaratish")</f>
        <v>0</v>
      </c>
      <c r="AS231" s="11">
        <f>+COUNTIFS('muddati otgan'!C:C,A231,'muddati otgan'!J:J,"Dov daraxtlarni yaratish")</f>
        <v>0</v>
      </c>
      <c r="AT231" s="11">
        <f>+COUNTIFS('muddati otgan'!C:C,A231,'muddati otgan'!J:J,"Yer uchastkasini tahrirlash")</f>
        <v>0</v>
      </c>
      <c r="AU231" s="11">
        <f t="shared" si="335"/>
        <v>1</v>
      </c>
      <c r="AV231" s="11">
        <f>+COUNTIFS('muddati otgan'!C:C,A231,'muddati otgan'!J:J,"Yer toifasi va maqsadini kiritish")</f>
        <v>1</v>
      </c>
      <c r="AW231" s="11">
        <f>+COUNTIFS('muddati otgan'!C:C,A231,'muddati otgan'!J:J,"Auksion yer tekshirish")</f>
        <v>0</v>
      </c>
      <c r="AX231" s="11">
        <f>+COUNTIFS('muddati otgan'!C:C,A231,'muddati otgan'!J:J,"Yer turlarini kiritish")</f>
        <v>0</v>
      </c>
      <c r="AY231" s="11">
        <f>+COUNTIFS('muddati otgan'!C:C,A231,'muddati otgan'!J:J,"Ma'lumotlarni kiritish")</f>
        <v>0</v>
      </c>
      <c r="AZ231" s="11">
        <f>+COUNTIFS('muddati otgan'!C:C,A231,'muddati otgan'!J:J,"Yer tekshirish")</f>
        <v>0</v>
      </c>
      <c r="BA231" s="11">
        <f t="shared" si="336"/>
        <v>0</v>
      </c>
      <c r="BB231" s="11">
        <f>+COUNTIFS('muddati otgan'!C:C,A231,'muddati otgan'!J:J,"Bino va inshoot ma'lumotlarini to‘ldirish")</f>
        <v>0</v>
      </c>
      <c r="BC231" s="11">
        <f>+COUNTIFS('muddati otgan'!C:C,A231,'muddati otgan'!J:J,"Inventarizatsiya ma'lumotlarini to‘ldirish")</f>
        <v>0</v>
      </c>
      <c r="BD231" s="11">
        <f>+COUNTIFS('muddati otgan'!C:C,A231,'muddati otgan'!J:J,"Yer uchastkasiga huquqiy hujjatlarni kiritsh")</f>
        <v>0</v>
      </c>
      <c r="BE231" s="11">
        <f>+COUNTIFS('muddati otgan'!C:C,A231,'muddati otgan'!J:J,"Bino-inshootlarga huquqiy hujjatlarni kiritsh")</f>
        <v>0</v>
      </c>
      <c r="BF231" s="11">
        <f>+COUNTIFS('muddati otgan'!C:C,A231,'muddati otgan'!J:J,"Kadastr qiymatini hisoblash va kiritish")</f>
        <v>0</v>
      </c>
      <c r="BG231" s="11">
        <f>+COUNTIFS('muddati otgan'!C:C,A231,'muddati otgan'!J:J,"Kadastr raqam biriktirish")</f>
        <v>0</v>
      </c>
      <c r="BH231" s="11">
        <f>+COUNTIFS('muddati otgan'!C:C,A231,'muddati otgan'!J:J,"Kadastr yig'ma jildni tayyorlash")</f>
        <v>0</v>
      </c>
      <c r="BI231" s="11">
        <f>+COUNTIFS('muddati otgan'!C:C,A231,'muddati otgan'!J:J,"Huquqni yaratish")</f>
        <v>0</v>
      </c>
      <c r="BJ231" s="11">
        <f>+COUNTIFS('muddati otgan'!C:C,A231,'muddati otgan'!J:J,"Hujjatlarni o'rganish")</f>
        <v>0</v>
      </c>
      <c r="BK231" s="11">
        <f>+COUNTIFS('muddati otgan'!C:C,A231,'muddati otgan'!J:J,"Ma'lumotlarni tekshirish")</f>
        <v>0</v>
      </c>
      <c r="BL231" s="11">
        <f t="shared" si="337"/>
        <v>0</v>
      </c>
      <c r="BM231" s="11">
        <f>+COUNTIFS('muddati otgan'!C:C,A231,'muddati otgan'!J:J,"Tekshirish")</f>
        <v>0</v>
      </c>
      <c r="BN231" s="11">
        <f>+COUNTIFS('muddati otgan'!C:C,A231,'muddati otgan'!J:J,"Hujjatlarni tekshirish")</f>
        <v>0</v>
      </c>
      <c r="BO231" s="11">
        <f>+COUNTIFS('muddati otgan'!C:C,A231,'muddati otgan'!J:J,"Tasdiqlash")</f>
        <v>0</v>
      </c>
      <c r="BP231" s="11">
        <f>+COUNTIFS('muddati otgan'!C:C,A231,'muddati otgan'!J:J,"tekshirish/tasdiqlash")</f>
        <v>0</v>
      </c>
      <c r="BQ231" s="11">
        <f>+COUNTIFS('muddati otgan'!C:C,A231,'muddati otgan'!J:J,"Ma'lumotlarni tasdiqlash")</f>
        <v>0</v>
      </c>
      <c r="BR231" s="11">
        <f t="shared" si="338"/>
        <v>0</v>
      </c>
      <c r="BS231" s="11">
        <f>+COUNTIFS('muddati otgan'!C:C,A231,'muddati otgan'!J:J,"Ro'yxatdan o'tkazish ma'lumotlarini tekshirish")</f>
        <v>0</v>
      </c>
      <c r="BT231" s="11">
        <f>+COUNTIFS('muddati otgan'!C:C,A231,'muddati otgan'!J:J,"Kamchiliklar bo'yicha habarnoma yuborish va 3 kunga to'xtatish")</f>
        <v>0</v>
      </c>
      <c r="BU231" s="11">
        <f>+COUNTIFS('muddati otgan'!C:C,A231,'muddati otgan'!J:J,"Hisobga olish")</f>
        <v>0</v>
      </c>
      <c r="BV231" s="11">
        <f>+COUNTIFS('muddati otgan'!C:C,A231,'muddati otgan'!J:J,"Yer uchastkasiga huquq yaratish")</f>
        <v>0</v>
      </c>
      <c r="BW231" s="11">
        <f>+COUNTIFS('muddati otgan'!C:C,A231,'muddati otgan'!J:J,"Bino-inshootga huquq yaratish")</f>
        <v>0</v>
      </c>
      <c r="BX231" s="11">
        <f>+COUNTIFS('muddati otgan'!C:C,A231,'muddati otgan'!J:J,"Cheklov yaratish")</f>
        <v>0</v>
      </c>
      <c r="BY231" s="11">
        <f>+COUNTIFS('muddati otgan'!C:C,A231,'muddati otgan'!J:J,"Taqiq yaratish")</f>
        <v>0</v>
      </c>
      <c r="BZ231" s="11">
        <f t="shared" si="339"/>
        <v>0</v>
      </c>
      <c r="CA231" s="11">
        <f>+COUNTIFS('muddati otgan'!C:C,A231,'muddati otgan'!J:J,"Soliq maydonini tekshirish")</f>
        <v>0</v>
      </c>
      <c r="CB231" s="11">
        <f t="shared" si="340"/>
        <v>1</v>
      </c>
      <c r="CC231" s="11">
        <f>+COUNTIFS('muddati otgan'!C:C,A231,'muddati otgan'!J:J,"Kadastr yig'majildini shakllantirish")</f>
        <v>1</v>
      </c>
      <c r="CD231" s="11">
        <f t="shared" si="341"/>
        <v>0</v>
      </c>
      <c r="CE231" s="11">
        <f>+COUNTIFS('muddati otgan'!C:C,A231,'muddati otgan'!J:J,"Kadastr passportini shakllantirish")</f>
        <v>0</v>
      </c>
      <c r="CF231" s="11">
        <f>+COUNTIFS('muddati otgan'!C:C,A231,'muddati otgan'!J:J,"Yig'ma jildni tasdiqlash")</f>
        <v>0</v>
      </c>
      <c r="CG231" s="11">
        <f>+COUNTIFS('muddati otgan'!C:C,A231,'muddati otgan'!J:J,"To'lov yoki bepul tasdiqlash")</f>
        <v>0</v>
      </c>
      <c r="CH231" s="11">
        <f>+COUNTIFS('muddati otgan'!C:C,A231,'muddati otgan'!J:J,"Bog'liq arizani kutish")</f>
        <v>0</v>
      </c>
      <c r="CI231" s="11">
        <f>+COUNTIFS('muddati otgan'!C:C,A231,'muddati otgan'!J:J,"To'lovga chiqarish")</f>
        <v>0</v>
      </c>
      <c r="CJ231" s="11">
        <f>+COUNTIFS('muddati otgan'!C:C,A231,'muddati otgan'!J:J,"Hisobga qo'yish")</f>
        <v>0</v>
      </c>
      <c r="CK231" s="6">
        <f>+COUNTIFS('muddati otgan'!C:C,A231,'muddati otgan'!J:J,"To'lov kutilmoqda")</f>
        <v>0</v>
      </c>
      <c r="CL231" s="11">
        <f t="shared" si="342"/>
        <v>0</v>
      </c>
      <c r="CM231" s="11">
        <f>+COUNTIFS('muddati otgan'!C:C,A231,'muddati otgan'!AA:AA,"Arizani qabul qilish2")</f>
        <v>0</v>
      </c>
      <c r="CN231" s="11">
        <f>+COUNTIFS('muddati otgan'!C:C,A231,'muddati otgan'!J:J,"Huquqlarni tekshirish")</f>
        <v>0</v>
      </c>
      <c r="CO231" s="11">
        <f>+COUNTIFS('muddati otgan'!C:C,A231,'muddati otgan'!J:J,"Ko'chmas mulkni ro'yhatdan o'tkazishga qabul qilish")</f>
        <v>0</v>
      </c>
      <c r="CP231" s="11">
        <f>+COUNTIFS('muddati otgan'!C:C,A231,'muddati otgan'!J:J,"Ro'yxatdan o'tkazish")</f>
        <v>0</v>
      </c>
      <c r="CQ231" s="11">
        <f>+COUNTIFS('muddati otgan'!C:C,A231,'muddati otgan'!J:J,"Kadastr pasporti va ko'chirmani yuborish")</f>
        <v>0</v>
      </c>
      <c r="CR231" s="11">
        <f>+COUNTIFS('muddati otgan'!C:C,A231,'muddati otgan'!AA:AA,"Rad qilish2")</f>
        <v>0</v>
      </c>
      <c r="CS231" s="11">
        <f>+COUNTIFS('muddati otgan'!C:C,A231,'muddati otgan'!J:J,"Ko'chirmani yuborish")</f>
        <v>0</v>
      </c>
      <c r="CT231" s="11">
        <f>+COUNTIFS('muddati otgan'!C:C,A231,'muddati otgan'!J:J,"Ma‘lumotlarni tekshirish")</f>
        <v>0</v>
      </c>
      <c r="CU231" s="11">
        <f t="shared" si="343"/>
        <v>0</v>
      </c>
      <c r="CV231" s="11">
        <f>+COUNTIFS('muddati otgan'!C:C,A231,'muddati otgan'!J:J,"Kadastr yig'majildini chop etish va arxiv ishiga tikish")</f>
        <v>0</v>
      </c>
      <c r="CW231" s="11">
        <f t="shared" si="344"/>
        <v>0</v>
      </c>
      <c r="CX231" s="11">
        <f>+COUNTIFS('muddati otgan'!C:C,A231,'muddati otgan'!J:J,"Kadastr yig‘majildini qabul qilish, arizani yakunlash")</f>
        <v>0</v>
      </c>
      <c r="CY231" s="11">
        <f>+COUNTIFS('muddati otgan'!C:C,A231,'muddati otgan'!J:J,"Next Cloudga yuklash")</f>
        <v>0</v>
      </c>
      <c r="CZ231" s="6">
        <f>+COUNTIFS('muddati otgan'!C:C,A231,'muddati otgan'!J:J,"Kelishish kutilmoqda")</f>
        <v>0</v>
      </c>
      <c r="DA231" s="6">
        <f>+COUNTIFS('muddati otgan'!C:C,A231,'muddati otgan'!J:J,"Yakunlandi")</f>
        <v>0</v>
      </c>
      <c r="DB231" s="10">
        <f>+COUNTIFS('muddati otgan'!C:C,A231,'muddati otgan'!J:J,"Rad etildi")</f>
        <v>0</v>
      </c>
      <c r="DC231" s="100">
        <f t="shared" si="345"/>
        <v>-2</v>
      </c>
      <c r="DD231" s="44">
        <f>COUNTIFS('jami 1-20 kunlik arizalar'!C:C,A:A,'jami 1-20 kunlik arizalar'!S:S,"1")</f>
        <v>0</v>
      </c>
      <c r="DE231" s="11">
        <f>COUNTIFS('jami 1-20 kunlik arizalar'!C:C,A:A,'jami 1-20 kunlik arizalar'!S:S,"2")</f>
        <v>0</v>
      </c>
      <c r="DF231" s="11">
        <f>COUNTIFS('jami 1-20 kunlik arizalar'!C:C,A:A,'jami 1-20 kunlik arizalar'!S:S,"3")</f>
        <v>2</v>
      </c>
      <c r="DG231" s="11">
        <f>COUNTIFS('jami 1-20 kunlik arizalar'!C:C,A:A,'jami 1-20 kunlik arizalar'!S:S,"4")</f>
        <v>3</v>
      </c>
      <c r="DH231" s="11">
        <f>COUNTIFS('jami 1-20 kunlik arizalar'!C:C,A:A,'jami 1-20 kunlik arizalar'!S:S,"5")</f>
        <v>2</v>
      </c>
      <c r="DI231" s="11">
        <f>SUM(COUNTIFS('jami 1-20 kunlik arizalar'!C:C,A:A, 'jami 1-20 kunlik arizalar'!S:S, {6,7,8,9,10}))</f>
        <v>17</v>
      </c>
      <c r="DJ231" s="12">
        <f>SUM(COUNTIFS('jami 1-20 kunlik arizalar'!C:C,A:A, 'jami 1-20 kunlik arizalar'!S:S, "&gt;10"))</f>
        <v>3</v>
      </c>
    </row>
    <row r="232" spans="1:115" ht="32.1" hidden="1" customHeight="1" outlineLevel="1" x14ac:dyDescent="0.25">
      <c r="A232" s="92" t="s">
        <v>547</v>
      </c>
      <c r="B232" s="74"/>
      <c r="C232" s="85" t="s">
        <v>916</v>
      </c>
      <c r="D232" s="80">
        <f>+COUNTIFS('muddati otgan'!C:C,A232,'muddati otgan'!C:C,A232)</f>
        <v>1</v>
      </c>
      <c r="E232" s="10">
        <f>SUMIFS('muddati otgan'!$V:V,'muddati otgan'!$C:C,$A:A)</f>
        <v>0</v>
      </c>
      <c r="F232" s="10">
        <f>SUMIFS('muddati otgan'!$W:W,'muddati otgan'!$C:C,$A:A)</f>
        <v>0</v>
      </c>
      <c r="G232" s="24">
        <f>SUMIFS('muddati otgan'!$U:U,'muddati otgan'!$C:C,$A:A)</f>
        <v>1</v>
      </c>
      <c r="H232" s="11">
        <f>SUMIFS('muddati otgan'!$G:G,'muddati otgan'!$C:C,$A:A)</f>
        <v>0</v>
      </c>
      <c r="I232" s="12">
        <f>SUMIFS('muddati otgan'!$H:H,'muddati otgan'!$C:C,$A:A)</f>
        <v>1</v>
      </c>
      <c r="J232" s="44">
        <f t="shared" si="329"/>
        <v>0</v>
      </c>
      <c r="K232" s="11">
        <f>+COUNTIFS('muddati otgan'!C:C,A232,'muddati otgan'!AA:AA,"Arizani qabul qilish")</f>
        <v>0</v>
      </c>
      <c r="L232" s="11">
        <f>+COUNTIFS('muddati otgan'!C:C,A232,'muddati otgan'!J:J,"Arizani rad etish")</f>
        <v>0</v>
      </c>
      <c r="M232" s="11">
        <f>+COUNTIFS('muddati otgan'!C:C,A232,'muddati otgan'!J:J,"Arizani tasdiqlash")</f>
        <v>0</v>
      </c>
      <c r="N232" s="11">
        <f>+COUNTIFS('muddati otgan'!C:C,A232,'muddati otgan'!J:J,"Arizani yo'naltirish")</f>
        <v>0</v>
      </c>
      <c r="O232" s="11">
        <f>+COUNTIFS('muddati otgan'!C:C,A232,'muddati otgan'!J:J,"Rad qilish sababini o'rganish")</f>
        <v>0</v>
      </c>
      <c r="P232" s="11">
        <f>+COUNTIFS('muddati otgan'!C:C,A232,'muddati otgan'!J:J,"Ko'chmas mulkni UZKAD ga migratsiya qilish")</f>
        <v>0</v>
      </c>
      <c r="Q232" s="11">
        <f>+COUNTIFS('muddati otgan'!C:C,A232,'muddati otgan'!J:J,"Migratisya qilingan obyekt holatini tekshirish")</f>
        <v>0</v>
      </c>
      <c r="R232" s="11">
        <f>+COUNTIFS('muddati otgan'!C:C,A232,'muddati otgan'!J:J,"Ko‘chmas mulkni tanlash")</f>
        <v>0</v>
      </c>
      <c r="S232" s="11">
        <f>+COUNTIFS('muddati otgan'!C:C,A232,'muddati otgan'!J:J,"Arizani ko'rib chiqish")</f>
        <v>0</v>
      </c>
      <c r="T232" s="11">
        <f>+COUNTIFS('muddati otgan'!C:C,A232,'muddati otgan'!J:J,"Kadastr muhandisini tanlash")</f>
        <v>0</v>
      </c>
      <c r="U232" s="11">
        <f>+COUNTIFS('muddati otgan'!C:C,A232,'muddati otgan'!J:J,"Ko'chmas mulk turini tanlahsh")</f>
        <v>0</v>
      </c>
      <c r="V232" s="11">
        <f>+COUNTIFS('muddati otgan'!C:C,A232,'muddati otgan'!AA:AA,"Rad qilish")</f>
        <v>0</v>
      </c>
      <c r="W232" s="11">
        <f>+COUNTIFS('muddati otgan'!C:C,A232,'muddati otgan'!J:J,"ijrochi tanlash")</f>
        <v>0</v>
      </c>
      <c r="X232" s="11">
        <f>+COUNTIFS('muddati otgan'!C:C,A232,'muddati otgan'!J:J,"Ko'chmas mulk turini tanlash")</f>
        <v>0</v>
      </c>
      <c r="Y232" s="11">
        <f t="shared" si="330"/>
        <v>1</v>
      </c>
      <c r="Z232" s="11">
        <f>+COUNTIFS('muddati otgan'!C:C,A232,'muddati otgan'!J:J,"Ijroga qabul qilish")</f>
        <v>0</v>
      </c>
      <c r="AA232" s="11">
        <f>+COUNTIFS('muddati otgan'!C:C,A232,'muddati otgan'!J:J,"Joyida o'rganish va ma'lumotlarni kiritish")</f>
        <v>0</v>
      </c>
      <c r="AB232" s="11">
        <f>+COUNTIFS('muddati otgan'!C:C,A232,'muddati otgan'!J:J,"Asosiy qismdan ajratish jarayonida")</f>
        <v>0</v>
      </c>
      <c r="AC232" s="11">
        <f>+COUNTIFS('muddati otgan'!C:C,A232,'muddati otgan'!J:J,"Umumiy foydalanishdagi obyekt yaratilish")</f>
        <v>0</v>
      </c>
      <c r="AD232" s="11">
        <f>+COUNTIFS('muddati otgan'!C:C,A232,'muddati otgan'!J:J,"Migratsiya qilinadigan kadastr raqamini kiritish")</f>
        <v>0</v>
      </c>
      <c r="AE232" s="11">
        <f>+COUNTIFS('muddati otgan'!C:C,A232,'muddati otgan'!J:J,"O'zida qolgan obyektni yaratish")</f>
        <v>0</v>
      </c>
      <c r="AF232" s="11">
        <f>+COUNTIFS('muddati otgan'!C:C,A232,'muddati otgan'!J:J,"O'lchov natijalarini kiritish")</f>
        <v>1</v>
      </c>
      <c r="AG232" s="11">
        <f>+COUNTIFS('muddati otgan'!C:C,A232,'muddati otgan'!J:J,"Topoxaritani tayyorlash (dwg, pdf)")</f>
        <v>0</v>
      </c>
      <c r="AH232" s="11">
        <f t="shared" si="331"/>
        <v>0</v>
      </c>
      <c r="AI232" s="11">
        <f>+COUNTIFS('muddati otgan'!C:C,A232,'muddati otgan'!J:J,"Yer uchastkasini yaratish")</f>
        <v>0</v>
      </c>
      <c r="AJ232" s="11">
        <f t="shared" si="332"/>
        <v>0</v>
      </c>
      <c r="AK232" s="11">
        <f>+COUNTIFS('muddati otgan'!C:C,A232,'muddati otgan'!J:J,"Kelishish (Boshqarma)")</f>
        <v>0</v>
      </c>
      <c r="AL232" s="11">
        <f t="shared" si="333"/>
        <v>0</v>
      </c>
      <c r="AM232" s="11">
        <f>+COUNTIFS('muddati otgan'!C:C,A232,'muddati otgan'!J:J,"Kelishish (DKP)")</f>
        <v>0</v>
      </c>
      <c r="AN232" s="11">
        <f>+COUNTIFS('muddati otgan'!C:C,A232,'muddati otgan'!J:J,"Kelishish")</f>
        <v>0</v>
      </c>
      <c r="AO232" s="11">
        <f>+COUNTIFS('muddati otgan'!C:C,A232,'muddati otgan'!J:J,"Kelishish (Registratsiya DKP)")</f>
        <v>0</v>
      </c>
      <c r="AP232" s="11">
        <f t="shared" si="334"/>
        <v>0</v>
      </c>
      <c r="AQ232" s="11">
        <f>+COUNTIFS('muddati otgan'!C:C,A232,'muddati otgan'!J:J,"Manzil biriktirish")</f>
        <v>0</v>
      </c>
      <c r="AR232" s="11">
        <f>+COUNTIFS('muddati otgan'!C:C,A232,'muddati otgan'!J:J,"Bino va inshootlarni yaratish")</f>
        <v>0</v>
      </c>
      <c r="AS232" s="11">
        <f>+COUNTIFS('muddati otgan'!C:C,A232,'muddati otgan'!J:J,"Dov daraxtlarni yaratish")</f>
        <v>0</v>
      </c>
      <c r="AT232" s="11">
        <f>+COUNTIFS('muddati otgan'!C:C,A232,'muddati otgan'!J:J,"Yer uchastkasini tahrirlash")</f>
        <v>0</v>
      </c>
      <c r="AU232" s="11">
        <f t="shared" si="335"/>
        <v>0</v>
      </c>
      <c r="AV232" s="11">
        <f>+COUNTIFS('muddati otgan'!C:C,A232,'muddati otgan'!J:J,"Yer toifasi va maqsadini kiritish")</f>
        <v>0</v>
      </c>
      <c r="AW232" s="11">
        <f>+COUNTIFS('muddati otgan'!C:C,A232,'muddati otgan'!J:J,"Auksion yer tekshirish")</f>
        <v>0</v>
      </c>
      <c r="AX232" s="11">
        <f>+COUNTIFS('muddati otgan'!C:C,A232,'muddati otgan'!J:J,"Yer turlarini kiritish")</f>
        <v>0</v>
      </c>
      <c r="AY232" s="11">
        <f>+COUNTIFS('muddati otgan'!C:C,A232,'muddati otgan'!J:J,"Ma'lumotlarni kiritish")</f>
        <v>0</v>
      </c>
      <c r="AZ232" s="11">
        <f>+COUNTIFS('muddati otgan'!C:C,A232,'muddati otgan'!J:J,"Yer tekshirish")</f>
        <v>0</v>
      </c>
      <c r="BA232" s="11">
        <f t="shared" si="336"/>
        <v>0</v>
      </c>
      <c r="BB232" s="11">
        <f>+COUNTIFS('muddati otgan'!C:C,A232,'muddati otgan'!J:J,"Bino va inshoot ma'lumotlarini to‘ldirish")</f>
        <v>0</v>
      </c>
      <c r="BC232" s="11">
        <f>+COUNTIFS('muddati otgan'!C:C,A232,'muddati otgan'!J:J,"Inventarizatsiya ma'lumotlarini to‘ldirish")</f>
        <v>0</v>
      </c>
      <c r="BD232" s="11">
        <f>+COUNTIFS('muddati otgan'!C:C,A232,'muddati otgan'!J:J,"Yer uchastkasiga huquqiy hujjatlarni kiritsh")</f>
        <v>0</v>
      </c>
      <c r="BE232" s="11">
        <f>+COUNTIFS('muddati otgan'!C:C,A232,'muddati otgan'!J:J,"Bino-inshootlarga huquqiy hujjatlarni kiritsh")</f>
        <v>0</v>
      </c>
      <c r="BF232" s="11">
        <f>+COUNTIFS('muddati otgan'!C:C,A232,'muddati otgan'!J:J,"Kadastr qiymatini hisoblash va kiritish")</f>
        <v>0</v>
      </c>
      <c r="BG232" s="11">
        <f>+COUNTIFS('muddati otgan'!C:C,A232,'muddati otgan'!J:J,"Kadastr raqam biriktirish")</f>
        <v>0</v>
      </c>
      <c r="BH232" s="11">
        <f>+COUNTIFS('muddati otgan'!C:C,A232,'muddati otgan'!J:J,"Kadastr yig'ma jildni tayyorlash")</f>
        <v>0</v>
      </c>
      <c r="BI232" s="11">
        <f>+COUNTIFS('muddati otgan'!C:C,A232,'muddati otgan'!J:J,"Huquqni yaratish")</f>
        <v>0</v>
      </c>
      <c r="BJ232" s="11">
        <f>+COUNTIFS('muddati otgan'!C:C,A232,'muddati otgan'!J:J,"Hujjatlarni o'rganish")</f>
        <v>0</v>
      </c>
      <c r="BK232" s="11">
        <f>+COUNTIFS('muddati otgan'!C:C,A232,'muddati otgan'!J:J,"Ma'lumotlarni tekshirish")</f>
        <v>0</v>
      </c>
      <c r="BL232" s="11">
        <f t="shared" si="337"/>
        <v>0</v>
      </c>
      <c r="BM232" s="11">
        <f>+COUNTIFS('muddati otgan'!C:C,A232,'muddati otgan'!J:J,"Tekshirish")</f>
        <v>0</v>
      </c>
      <c r="BN232" s="11">
        <f>+COUNTIFS('muddati otgan'!C:C,A232,'muddati otgan'!J:J,"Hujjatlarni tekshirish")</f>
        <v>0</v>
      </c>
      <c r="BO232" s="11">
        <f>+COUNTIFS('muddati otgan'!C:C,A232,'muddati otgan'!J:J,"Tasdiqlash")</f>
        <v>0</v>
      </c>
      <c r="BP232" s="11">
        <f>+COUNTIFS('muddati otgan'!C:C,A232,'muddati otgan'!J:J,"tekshirish/tasdiqlash")</f>
        <v>0</v>
      </c>
      <c r="BQ232" s="11">
        <f>+COUNTIFS('muddati otgan'!C:C,A232,'muddati otgan'!J:J,"Ma'lumotlarni tasdiqlash")</f>
        <v>0</v>
      </c>
      <c r="BR232" s="11">
        <f t="shared" si="338"/>
        <v>0</v>
      </c>
      <c r="BS232" s="11">
        <f>+COUNTIFS('muddati otgan'!C:C,A232,'muddati otgan'!J:J,"Ro'yxatdan o'tkazish ma'lumotlarini tekshirish")</f>
        <v>0</v>
      </c>
      <c r="BT232" s="11">
        <f>+COUNTIFS('muddati otgan'!C:C,A232,'muddati otgan'!J:J,"Kamchiliklar bo'yicha habarnoma yuborish va 3 kunga to'xtatish")</f>
        <v>0</v>
      </c>
      <c r="BU232" s="11">
        <f>+COUNTIFS('muddati otgan'!C:C,A232,'muddati otgan'!J:J,"Hisobga olish")</f>
        <v>0</v>
      </c>
      <c r="BV232" s="11">
        <f>+COUNTIFS('muddati otgan'!C:C,A232,'muddati otgan'!J:J,"Yer uchastkasiga huquq yaratish")</f>
        <v>0</v>
      </c>
      <c r="BW232" s="11">
        <f>+COUNTIFS('muddati otgan'!C:C,A232,'muddati otgan'!J:J,"Bino-inshootga huquq yaratish")</f>
        <v>0</v>
      </c>
      <c r="BX232" s="11">
        <f>+COUNTIFS('muddati otgan'!C:C,A232,'muddati otgan'!J:J,"Cheklov yaratish")</f>
        <v>0</v>
      </c>
      <c r="BY232" s="11">
        <f>+COUNTIFS('muddati otgan'!C:C,A232,'muddati otgan'!J:J,"Taqiq yaratish")</f>
        <v>0</v>
      </c>
      <c r="BZ232" s="11">
        <f t="shared" si="339"/>
        <v>0</v>
      </c>
      <c r="CA232" s="11">
        <f>+COUNTIFS('muddati otgan'!C:C,A232,'muddati otgan'!J:J,"Soliq maydonini tekshirish")</f>
        <v>0</v>
      </c>
      <c r="CB232" s="11">
        <f t="shared" si="340"/>
        <v>0</v>
      </c>
      <c r="CC232" s="11">
        <f>+COUNTIFS('muddati otgan'!C:C,A232,'muddati otgan'!J:J,"Kadastr yig'majildini shakllantirish")</f>
        <v>0</v>
      </c>
      <c r="CD232" s="11">
        <f t="shared" si="341"/>
        <v>0</v>
      </c>
      <c r="CE232" s="11">
        <f>+COUNTIFS('muddati otgan'!C:C,A232,'muddati otgan'!J:J,"Kadastr passportini shakllantirish")</f>
        <v>0</v>
      </c>
      <c r="CF232" s="11">
        <f>+COUNTIFS('muddati otgan'!C:C,A232,'muddati otgan'!J:J,"Yig'ma jildni tasdiqlash")</f>
        <v>0</v>
      </c>
      <c r="CG232" s="11">
        <f>+COUNTIFS('muddati otgan'!C:C,A232,'muddati otgan'!J:J,"To'lov yoki bepul tasdiqlash")</f>
        <v>0</v>
      </c>
      <c r="CH232" s="11">
        <f>+COUNTIFS('muddati otgan'!C:C,A232,'muddati otgan'!J:J,"Bog'liq arizani kutish")</f>
        <v>0</v>
      </c>
      <c r="CI232" s="11">
        <f>+COUNTIFS('muddati otgan'!C:C,A232,'muddati otgan'!J:J,"To'lovga chiqarish")</f>
        <v>0</v>
      </c>
      <c r="CJ232" s="11">
        <f>+COUNTIFS('muddati otgan'!C:C,A232,'muddati otgan'!J:J,"Hisobga qo'yish")</f>
        <v>0</v>
      </c>
      <c r="CK232" s="6">
        <f>+COUNTIFS('muddati otgan'!C:C,A232,'muddati otgan'!J:J,"To'lov kutilmoqda")</f>
        <v>0</v>
      </c>
      <c r="CL232" s="11">
        <f t="shared" si="342"/>
        <v>0</v>
      </c>
      <c r="CM232" s="11">
        <f>+COUNTIFS('muddati otgan'!C:C,A232,'muddati otgan'!AA:AA,"Arizani qabul qilish2")</f>
        <v>0</v>
      </c>
      <c r="CN232" s="11">
        <f>+COUNTIFS('muddati otgan'!C:C,A232,'muddati otgan'!J:J,"Huquqlarni tekshirish")</f>
        <v>0</v>
      </c>
      <c r="CO232" s="11">
        <f>+COUNTIFS('muddati otgan'!C:C,A232,'muddati otgan'!J:J,"Ko'chmas mulkni ro'yhatdan o'tkazishga qabul qilish")</f>
        <v>0</v>
      </c>
      <c r="CP232" s="11">
        <f>+COUNTIFS('muddati otgan'!C:C,A232,'muddati otgan'!J:J,"Ro'yxatdan o'tkazish")</f>
        <v>0</v>
      </c>
      <c r="CQ232" s="11">
        <f>+COUNTIFS('muddati otgan'!C:C,A232,'muddati otgan'!J:J,"Kadastr pasporti va ko'chirmani yuborish")</f>
        <v>0</v>
      </c>
      <c r="CR232" s="11">
        <f>+COUNTIFS('muddati otgan'!C:C,A232,'muddati otgan'!AA:AA,"Rad qilish2")</f>
        <v>0</v>
      </c>
      <c r="CS232" s="11">
        <f>+COUNTIFS('muddati otgan'!C:C,A232,'muddati otgan'!J:J,"Ko'chirmani yuborish")</f>
        <v>0</v>
      </c>
      <c r="CT232" s="11">
        <f>+COUNTIFS('muddati otgan'!C:C,A232,'muddati otgan'!J:J,"Ma‘lumotlarni tekshirish")</f>
        <v>0</v>
      </c>
      <c r="CU232" s="11">
        <f t="shared" si="343"/>
        <v>0</v>
      </c>
      <c r="CV232" s="11">
        <f>+COUNTIFS('muddati otgan'!C:C,A232,'muddati otgan'!J:J,"Kadastr yig'majildini chop etish va arxiv ishiga tikish")</f>
        <v>0</v>
      </c>
      <c r="CW232" s="11">
        <f t="shared" si="344"/>
        <v>0</v>
      </c>
      <c r="CX232" s="11">
        <f>+COUNTIFS('muddati otgan'!C:C,A232,'muddati otgan'!J:J,"Kadastr yig‘majildini qabul qilish, arizani yakunlash")</f>
        <v>0</v>
      </c>
      <c r="CY232" s="11">
        <f>+COUNTIFS('muddati otgan'!C:C,A232,'muddati otgan'!J:J,"Next Cloudga yuklash")</f>
        <v>0</v>
      </c>
      <c r="CZ232" s="6">
        <f>+COUNTIFS('muddati otgan'!C:C,A232,'muddati otgan'!J:J,"Kelishish kutilmoqda")</f>
        <v>0</v>
      </c>
      <c r="DA232" s="6">
        <f>+COUNTIFS('muddati otgan'!C:C,A232,'muddati otgan'!J:J,"Yakunlandi")</f>
        <v>0</v>
      </c>
      <c r="DB232" s="10">
        <f>+COUNTIFS('muddati otgan'!C:C,A232,'muddati otgan'!J:J,"Rad etildi")</f>
        <v>0</v>
      </c>
      <c r="DC232" s="100">
        <f t="shared" si="345"/>
        <v>-1</v>
      </c>
      <c r="DD232" s="44">
        <f>COUNTIFS('jami 1-20 kunlik arizalar'!C:C,A:A,'jami 1-20 kunlik arizalar'!S:S,"1")</f>
        <v>0</v>
      </c>
      <c r="DE232" s="11">
        <f>COUNTIFS('jami 1-20 kunlik arizalar'!C:C,A:A,'jami 1-20 kunlik arizalar'!S:S,"2")</f>
        <v>0</v>
      </c>
      <c r="DF232" s="11">
        <f>COUNTIFS('jami 1-20 kunlik arizalar'!C:C,A:A,'jami 1-20 kunlik arizalar'!S:S,"3")</f>
        <v>0</v>
      </c>
      <c r="DG232" s="11">
        <f>COUNTIFS('jami 1-20 kunlik arizalar'!C:C,A:A,'jami 1-20 kunlik arizalar'!S:S,"4")</f>
        <v>0</v>
      </c>
      <c r="DH232" s="11">
        <f>COUNTIFS('jami 1-20 kunlik arizalar'!C:C,A:A,'jami 1-20 kunlik arizalar'!S:S,"5")</f>
        <v>6</v>
      </c>
      <c r="DI232" s="11">
        <f>SUM(COUNTIFS('jami 1-20 kunlik arizalar'!C:C,A:A, 'jami 1-20 kunlik arizalar'!S:S, {6,7,8,9,10}))</f>
        <v>4</v>
      </c>
      <c r="DJ232" s="12">
        <f>SUM(COUNTIFS('jami 1-20 kunlik arizalar'!C:C,A:A, 'jami 1-20 kunlik arizalar'!S:S, "&gt;10"))</f>
        <v>3</v>
      </c>
    </row>
    <row r="233" spans="1:115" ht="32.1" hidden="1" customHeight="1" outlineLevel="1" x14ac:dyDescent="0.25">
      <c r="A233" s="92" t="s">
        <v>732</v>
      </c>
      <c r="B233" s="74"/>
      <c r="C233" s="85" t="s">
        <v>917</v>
      </c>
      <c r="D233" s="80">
        <f>+COUNTIFS('muddati otgan'!C:C,A233,'muddati otgan'!C:C,A233)</f>
        <v>0</v>
      </c>
      <c r="E233" s="10">
        <f>SUMIFS('muddati otgan'!$V:V,'muddati otgan'!$C:C,$A:A)</f>
        <v>0</v>
      </c>
      <c r="F233" s="10">
        <f>SUMIFS('muddati otgan'!$W:W,'muddati otgan'!$C:C,$A:A)</f>
        <v>0</v>
      </c>
      <c r="G233" s="24">
        <f>SUMIFS('muddati otgan'!$U:U,'muddati otgan'!$C:C,$A:A)</f>
        <v>0</v>
      </c>
      <c r="H233" s="11">
        <f>SUMIFS('muddati otgan'!$G:G,'muddati otgan'!$C:C,$A:A)</f>
        <v>0</v>
      </c>
      <c r="I233" s="12">
        <f>SUMIFS('muddati otgan'!$H:H,'muddati otgan'!$C:C,$A:A)</f>
        <v>0</v>
      </c>
      <c r="J233" s="44">
        <f t="shared" si="329"/>
        <v>0</v>
      </c>
      <c r="K233" s="11">
        <f>+COUNTIFS('muddati otgan'!C:C,A233,'muddati otgan'!AA:AA,"Arizani qabul qilish")</f>
        <v>0</v>
      </c>
      <c r="L233" s="11">
        <f>+COUNTIFS('muddati otgan'!C:C,A233,'muddati otgan'!J:J,"Arizani rad etish")</f>
        <v>0</v>
      </c>
      <c r="M233" s="11">
        <f>+COUNTIFS('muddati otgan'!C:C,A233,'muddati otgan'!J:J,"Arizani tasdiqlash")</f>
        <v>0</v>
      </c>
      <c r="N233" s="11">
        <f>+COUNTIFS('muddati otgan'!C:C,A233,'muddati otgan'!J:J,"Arizani yo'naltirish")</f>
        <v>0</v>
      </c>
      <c r="O233" s="11">
        <f>+COUNTIFS('muddati otgan'!C:C,A233,'muddati otgan'!J:J,"Rad qilish sababini o'rganish")</f>
        <v>0</v>
      </c>
      <c r="P233" s="11">
        <f>+COUNTIFS('muddati otgan'!C:C,A233,'muddati otgan'!J:J,"Ko'chmas mulkni UZKAD ga migratsiya qilish")</f>
        <v>0</v>
      </c>
      <c r="Q233" s="11">
        <f>+COUNTIFS('muddati otgan'!C:C,A233,'muddati otgan'!J:J,"Migratisya qilingan obyekt holatini tekshirish")</f>
        <v>0</v>
      </c>
      <c r="R233" s="11">
        <f>+COUNTIFS('muddati otgan'!C:C,A233,'muddati otgan'!J:J,"Ko‘chmas mulkni tanlash")</f>
        <v>0</v>
      </c>
      <c r="S233" s="11">
        <f>+COUNTIFS('muddati otgan'!C:C,A233,'muddati otgan'!J:J,"Arizani ko'rib chiqish")</f>
        <v>0</v>
      </c>
      <c r="T233" s="11">
        <f>+COUNTIFS('muddati otgan'!C:C,A233,'muddati otgan'!J:J,"Kadastr muhandisini tanlash")</f>
        <v>0</v>
      </c>
      <c r="U233" s="11">
        <f>+COUNTIFS('muddati otgan'!C:C,A233,'muddati otgan'!J:J,"Ko'chmas mulk turini tanlahsh")</f>
        <v>0</v>
      </c>
      <c r="V233" s="11">
        <f>+COUNTIFS('muddati otgan'!C:C,A233,'muddati otgan'!AA:AA,"Rad qilish")</f>
        <v>0</v>
      </c>
      <c r="W233" s="11">
        <f>+COUNTIFS('muddati otgan'!C:C,A233,'muddati otgan'!J:J,"ijrochi tanlash")</f>
        <v>0</v>
      </c>
      <c r="X233" s="11">
        <f>+COUNTIFS('muddati otgan'!C:C,A233,'muddati otgan'!J:J,"Ko'chmas mulk turini tanlash")</f>
        <v>0</v>
      </c>
      <c r="Y233" s="11">
        <f t="shared" si="330"/>
        <v>0</v>
      </c>
      <c r="Z233" s="11">
        <f>+COUNTIFS('muddati otgan'!C:C,A233,'muddati otgan'!J:J,"Ijroga qabul qilish")</f>
        <v>0</v>
      </c>
      <c r="AA233" s="11">
        <f>+COUNTIFS('muddati otgan'!C:C,A233,'muddati otgan'!J:J,"Joyida o'rganish va ma'lumotlarni kiritish")</f>
        <v>0</v>
      </c>
      <c r="AB233" s="11">
        <f>+COUNTIFS('muddati otgan'!C:C,A233,'muddati otgan'!J:J,"Asosiy qismdan ajratish jarayonida")</f>
        <v>0</v>
      </c>
      <c r="AC233" s="11">
        <f>+COUNTIFS('muddati otgan'!C:C,A233,'muddati otgan'!J:J,"Umumiy foydalanishdagi obyekt yaratilish")</f>
        <v>0</v>
      </c>
      <c r="AD233" s="11">
        <f>+COUNTIFS('muddati otgan'!C:C,A233,'muddati otgan'!J:J,"Migratsiya qilinadigan kadastr raqamini kiritish")</f>
        <v>0</v>
      </c>
      <c r="AE233" s="11">
        <f>+COUNTIFS('muddati otgan'!C:C,A233,'muddati otgan'!J:J,"O'zida qolgan obyektni yaratish")</f>
        <v>0</v>
      </c>
      <c r="AF233" s="11">
        <f>+COUNTIFS('muddati otgan'!C:C,A233,'muddati otgan'!J:J,"O'lchov natijalarini kiritish")</f>
        <v>0</v>
      </c>
      <c r="AG233" s="11">
        <f>+COUNTIFS('muddati otgan'!C:C,A233,'muddati otgan'!J:J,"Topoxaritani tayyorlash (dwg, pdf)")</f>
        <v>0</v>
      </c>
      <c r="AH233" s="11">
        <f t="shared" si="331"/>
        <v>0</v>
      </c>
      <c r="AI233" s="11">
        <f>+COUNTIFS('muddati otgan'!C:C,A233,'muddati otgan'!J:J,"Yer uchastkasini yaratish")</f>
        <v>0</v>
      </c>
      <c r="AJ233" s="11">
        <f t="shared" si="332"/>
        <v>0</v>
      </c>
      <c r="AK233" s="11">
        <f>+COUNTIFS('muddati otgan'!C:C,A233,'muddati otgan'!J:J,"Kelishish (Boshqarma)")</f>
        <v>0</v>
      </c>
      <c r="AL233" s="11">
        <f t="shared" si="333"/>
        <v>0</v>
      </c>
      <c r="AM233" s="11">
        <f>+COUNTIFS('muddati otgan'!C:C,A233,'muddati otgan'!J:J,"Kelishish (DKP)")</f>
        <v>0</v>
      </c>
      <c r="AN233" s="11">
        <f>+COUNTIFS('muddati otgan'!C:C,A233,'muddati otgan'!J:J,"Kelishish")</f>
        <v>0</v>
      </c>
      <c r="AO233" s="11">
        <f>+COUNTIFS('muddati otgan'!C:C,A233,'muddati otgan'!J:J,"Kelishish (Registratsiya DKP)")</f>
        <v>0</v>
      </c>
      <c r="AP233" s="11">
        <f t="shared" si="334"/>
        <v>0</v>
      </c>
      <c r="AQ233" s="11">
        <f>+COUNTIFS('muddati otgan'!C:C,A233,'muddati otgan'!J:J,"Manzil biriktirish")</f>
        <v>0</v>
      </c>
      <c r="AR233" s="11">
        <f>+COUNTIFS('muddati otgan'!C:C,A233,'muddati otgan'!J:J,"Bino va inshootlarni yaratish")</f>
        <v>0</v>
      </c>
      <c r="AS233" s="11">
        <f>+COUNTIFS('muddati otgan'!C:C,A233,'muddati otgan'!J:J,"Dov daraxtlarni yaratish")</f>
        <v>0</v>
      </c>
      <c r="AT233" s="11">
        <f>+COUNTIFS('muddati otgan'!C:C,A233,'muddati otgan'!J:J,"Yer uchastkasini tahrirlash")</f>
        <v>0</v>
      </c>
      <c r="AU233" s="11">
        <f t="shared" si="335"/>
        <v>0</v>
      </c>
      <c r="AV233" s="11">
        <f>+COUNTIFS('muddati otgan'!C:C,A233,'muddati otgan'!J:J,"Yer toifasi va maqsadini kiritish")</f>
        <v>0</v>
      </c>
      <c r="AW233" s="11">
        <f>+COUNTIFS('muddati otgan'!C:C,A233,'muddati otgan'!J:J,"Auksion yer tekshirish")</f>
        <v>0</v>
      </c>
      <c r="AX233" s="11">
        <f>+COUNTIFS('muddati otgan'!C:C,A233,'muddati otgan'!J:J,"Yer turlarini kiritish")</f>
        <v>0</v>
      </c>
      <c r="AY233" s="11">
        <f>+COUNTIFS('muddati otgan'!C:C,A233,'muddati otgan'!J:J,"Ma'lumotlarni kiritish")</f>
        <v>0</v>
      </c>
      <c r="AZ233" s="11">
        <f>+COUNTIFS('muddati otgan'!C:C,A233,'muddati otgan'!J:J,"Yer tekshirish")</f>
        <v>0</v>
      </c>
      <c r="BA233" s="11">
        <f t="shared" si="336"/>
        <v>0</v>
      </c>
      <c r="BB233" s="11">
        <f>+COUNTIFS('muddati otgan'!C:C,A233,'muddati otgan'!J:J,"Bino va inshoot ma'lumotlarini to‘ldirish")</f>
        <v>0</v>
      </c>
      <c r="BC233" s="11">
        <f>+COUNTIFS('muddati otgan'!C:C,A233,'muddati otgan'!J:J,"Inventarizatsiya ma'lumotlarini to‘ldirish")</f>
        <v>0</v>
      </c>
      <c r="BD233" s="11">
        <f>+COUNTIFS('muddati otgan'!C:C,A233,'muddati otgan'!J:J,"Yer uchastkasiga huquqiy hujjatlarni kiritsh")</f>
        <v>0</v>
      </c>
      <c r="BE233" s="11">
        <f>+COUNTIFS('muddati otgan'!C:C,A233,'muddati otgan'!J:J,"Bino-inshootlarga huquqiy hujjatlarni kiritsh")</f>
        <v>0</v>
      </c>
      <c r="BF233" s="11">
        <f>+COUNTIFS('muddati otgan'!C:C,A233,'muddati otgan'!J:J,"Kadastr qiymatini hisoblash va kiritish")</f>
        <v>0</v>
      </c>
      <c r="BG233" s="11">
        <f>+COUNTIFS('muddati otgan'!C:C,A233,'muddati otgan'!J:J,"Kadastr raqam biriktirish")</f>
        <v>0</v>
      </c>
      <c r="BH233" s="11">
        <f>+COUNTIFS('muddati otgan'!C:C,A233,'muddati otgan'!J:J,"Kadastr yig'ma jildni tayyorlash")</f>
        <v>0</v>
      </c>
      <c r="BI233" s="11">
        <f>+COUNTIFS('muddati otgan'!C:C,A233,'muddati otgan'!J:J,"Huquqni yaratish")</f>
        <v>0</v>
      </c>
      <c r="BJ233" s="11">
        <f>+COUNTIFS('muddati otgan'!C:C,A233,'muddati otgan'!J:J,"Hujjatlarni o'rganish")</f>
        <v>0</v>
      </c>
      <c r="BK233" s="11">
        <f>+COUNTIFS('muddati otgan'!C:C,A233,'muddati otgan'!J:J,"Ma'lumotlarni tekshirish")</f>
        <v>0</v>
      </c>
      <c r="BL233" s="11">
        <f t="shared" si="337"/>
        <v>0</v>
      </c>
      <c r="BM233" s="11">
        <f>+COUNTIFS('muddati otgan'!C:C,A233,'muddati otgan'!J:J,"Tekshirish")</f>
        <v>0</v>
      </c>
      <c r="BN233" s="11">
        <f>+COUNTIFS('muddati otgan'!C:C,A233,'muddati otgan'!J:J,"Hujjatlarni tekshirish")</f>
        <v>0</v>
      </c>
      <c r="BO233" s="11">
        <f>+COUNTIFS('muddati otgan'!C:C,A233,'muddati otgan'!J:J,"Tasdiqlash")</f>
        <v>0</v>
      </c>
      <c r="BP233" s="11">
        <f>+COUNTIFS('muddati otgan'!C:C,A233,'muddati otgan'!J:J,"tekshirish/tasdiqlash")</f>
        <v>0</v>
      </c>
      <c r="BQ233" s="11">
        <f>+COUNTIFS('muddati otgan'!C:C,A233,'muddati otgan'!J:J,"Ma'lumotlarni tasdiqlash")</f>
        <v>0</v>
      </c>
      <c r="BR233" s="11">
        <f t="shared" si="338"/>
        <v>0</v>
      </c>
      <c r="BS233" s="11">
        <f>+COUNTIFS('muddati otgan'!C:C,A233,'muddati otgan'!J:J,"Ro'yxatdan o'tkazish ma'lumotlarini tekshirish")</f>
        <v>0</v>
      </c>
      <c r="BT233" s="11">
        <f>+COUNTIFS('muddati otgan'!C:C,A233,'muddati otgan'!J:J,"Kamchiliklar bo'yicha habarnoma yuborish va 3 kunga to'xtatish")</f>
        <v>0</v>
      </c>
      <c r="BU233" s="11">
        <f>+COUNTIFS('muddati otgan'!C:C,A233,'muddati otgan'!J:J,"Hisobga olish")</f>
        <v>0</v>
      </c>
      <c r="BV233" s="11">
        <f>+COUNTIFS('muddati otgan'!C:C,A233,'muddati otgan'!J:J,"Yer uchastkasiga huquq yaratish")</f>
        <v>0</v>
      </c>
      <c r="BW233" s="11">
        <f>+COUNTIFS('muddati otgan'!C:C,A233,'muddati otgan'!J:J,"Bino-inshootga huquq yaratish")</f>
        <v>0</v>
      </c>
      <c r="BX233" s="11">
        <f>+COUNTIFS('muddati otgan'!C:C,A233,'muddati otgan'!J:J,"Cheklov yaratish")</f>
        <v>0</v>
      </c>
      <c r="BY233" s="11">
        <f>+COUNTIFS('muddati otgan'!C:C,A233,'muddati otgan'!J:J,"Taqiq yaratish")</f>
        <v>0</v>
      </c>
      <c r="BZ233" s="11">
        <f t="shared" si="339"/>
        <v>0</v>
      </c>
      <c r="CA233" s="11">
        <f>+COUNTIFS('muddati otgan'!C:C,A233,'muddati otgan'!J:J,"Soliq maydonini tekshirish")</f>
        <v>0</v>
      </c>
      <c r="CB233" s="11">
        <f t="shared" si="340"/>
        <v>0</v>
      </c>
      <c r="CC233" s="11">
        <f>+COUNTIFS('muddati otgan'!C:C,A233,'muddati otgan'!J:J,"Kadastr yig'majildini shakllantirish")</f>
        <v>0</v>
      </c>
      <c r="CD233" s="11">
        <f t="shared" si="341"/>
        <v>0</v>
      </c>
      <c r="CE233" s="11">
        <f>+COUNTIFS('muddati otgan'!C:C,A233,'muddati otgan'!J:J,"Kadastr passportini shakllantirish")</f>
        <v>0</v>
      </c>
      <c r="CF233" s="11">
        <f>+COUNTIFS('muddati otgan'!C:C,A233,'muddati otgan'!J:J,"Yig'ma jildni tasdiqlash")</f>
        <v>0</v>
      </c>
      <c r="CG233" s="11">
        <f>+COUNTIFS('muddati otgan'!C:C,A233,'muddati otgan'!J:J,"To'lov yoki bepul tasdiqlash")</f>
        <v>0</v>
      </c>
      <c r="CH233" s="11">
        <f>+COUNTIFS('muddati otgan'!C:C,A233,'muddati otgan'!J:J,"Bog'liq arizani kutish")</f>
        <v>0</v>
      </c>
      <c r="CI233" s="11">
        <f>+COUNTIFS('muddati otgan'!C:C,A233,'muddati otgan'!J:J,"To'lovga chiqarish")</f>
        <v>0</v>
      </c>
      <c r="CJ233" s="11">
        <f>+COUNTIFS('muddati otgan'!C:C,A233,'muddati otgan'!J:J,"Hisobga qo'yish")</f>
        <v>0</v>
      </c>
      <c r="CK233" s="6">
        <f>+COUNTIFS('muddati otgan'!C:C,A233,'muddati otgan'!J:J,"To'lov kutilmoqda")</f>
        <v>0</v>
      </c>
      <c r="CL233" s="11">
        <f t="shared" si="342"/>
        <v>0</v>
      </c>
      <c r="CM233" s="11">
        <f>+COUNTIFS('muddati otgan'!C:C,A233,'muddati otgan'!AA:AA,"Arizani qabul qilish2")</f>
        <v>0</v>
      </c>
      <c r="CN233" s="11">
        <f>+COUNTIFS('muddati otgan'!C:C,A233,'muddati otgan'!J:J,"Huquqlarni tekshirish")</f>
        <v>0</v>
      </c>
      <c r="CO233" s="11">
        <f>+COUNTIFS('muddati otgan'!C:C,A233,'muddati otgan'!J:J,"Ko'chmas mulkni ro'yhatdan o'tkazishga qabul qilish")</f>
        <v>0</v>
      </c>
      <c r="CP233" s="11">
        <f>+COUNTIFS('muddati otgan'!C:C,A233,'muddati otgan'!J:J,"Ro'yxatdan o'tkazish")</f>
        <v>0</v>
      </c>
      <c r="CQ233" s="11">
        <f>+COUNTIFS('muddati otgan'!C:C,A233,'muddati otgan'!J:J,"Kadastr pasporti va ko'chirmani yuborish")</f>
        <v>0</v>
      </c>
      <c r="CR233" s="11">
        <f>+COUNTIFS('muddati otgan'!C:C,A233,'muddati otgan'!AA:AA,"Rad qilish2")</f>
        <v>0</v>
      </c>
      <c r="CS233" s="11">
        <f>+COUNTIFS('muddati otgan'!C:C,A233,'muddati otgan'!J:J,"Ko'chirmani yuborish")</f>
        <v>0</v>
      </c>
      <c r="CT233" s="11">
        <f>+COUNTIFS('muddati otgan'!C:C,A233,'muddati otgan'!J:J,"Ma‘lumotlarni tekshirish")</f>
        <v>0</v>
      </c>
      <c r="CU233" s="11">
        <f t="shared" si="343"/>
        <v>0</v>
      </c>
      <c r="CV233" s="11">
        <f>+COUNTIFS('muddati otgan'!C:C,A233,'muddati otgan'!J:J,"Kadastr yig'majildini chop etish va arxiv ishiga tikish")</f>
        <v>0</v>
      </c>
      <c r="CW233" s="11">
        <f t="shared" si="344"/>
        <v>0</v>
      </c>
      <c r="CX233" s="11">
        <f>+COUNTIFS('muddati otgan'!C:C,A233,'muddati otgan'!J:J,"Kadastr yig‘majildini qabul qilish, arizani yakunlash")</f>
        <v>0</v>
      </c>
      <c r="CY233" s="11">
        <f>+COUNTIFS('muddati otgan'!C:C,A233,'muddati otgan'!J:J,"Next Cloudga yuklash")</f>
        <v>0</v>
      </c>
      <c r="CZ233" s="6">
        <f>+COUNTIFS('muddati otgan'!C:C,A233,'muddati otgan'!J:J,"Kelishish kutilmoqda")</f>
        <v>0</v>
      </c>
      <c r="DA233" s="6">
        <f>+COUNTIFS('muddati otgan'!C:C,A233,'muddati otgan'!J:J,"Yakunlandi")</f>
        <v>0</v>
      </c>
      <c r="DB233" s="10">
        <f>+COUNTIFS('muddati otgan'!C:C,A233,'muddati otgan'!J:J,"Rad etildi")</f>
        <v>0</v>
      </c>
      <c r="DC233" s="100">
        <f t="shared" si="345"/>
        <v>0</v>
      </c>
      <c r="DD233" s="44">
        <f>COUNTIFS('jami 1-20 kunlik arizalar'!C:C,A:A,'jami 1-20 kunlik arizalar'!S:S,"1")</f>
        <v>0</v>
      </c>
      <c r="DE233" s="11">
        <f>COUNTIFS('jami 1-20 kunlik arizalar'!C:C,A:A,'jami 1-20 kunlik arizalar'!S:S,"2")</f>
        <v>0</v>
      </c>
      <c r="DF233" s="11">
        <f>COUNTIFS('jami 1-20 kunlik arizalar'!C:C,A:A,'jami 1-20 kunlik arizalar'!S:S,"3")</f>
        <v>0</v>
      </c>
      <c r="DG233" s="11">
        <f>COUNTIFS('jami 1-20 kunlik arizalar'!C:C,A:A,'jami 1-20 kunlik arizalar'!S:S,"4")</f>
        <v>5</v>
      </c>
      <c r="DH233" s="11">
        <f>COUNTIFS('jami 1-20 kunlik arizalar'!C:C,A:A,'jami 1-20 kunlik arizalar'!S:S,"5")</f>
        <v>1</v>
      </c>
      <c r="DI233" s="11">
        <f>SUM(COUNTIFS('jami 1-20 kunlik arizalar'!C:C,A:A, 'jami 1-20 kunlik arizalar'!S:S, {6,7,8,9,10}))</f>
        <v>3</v>
      </c>
      <c r="DJ233" s="12">
        <f>SUM(COUNTIFS('jami 1-20 kunlik arizalar'!C:C,A:A, 'jami 1-20 kunlik arizalar'!S:S, "&gt;10"))</f>
        <v>2</v>
      </c>
    </row>
    <row r="234" spans="1:115" ht="32.1" hidden="1" customHeight="1" outlineLevel="1" x14ac:dyDescent="0.25">
      <c r="A234" s="92" t="s">
        <v>735</v>
      </c>
      <c r="B234" s="74"/>
      <c r="C234" s="85" t="s">
        <v>918</v>
      </c>
      <c r="D234" s="80">
        <f>+COUNTIFS('muddati otgan'!C:C,A234,'muddati otgan'!C:C,A234)</f>
        <v>4</v>
      </c>
      <c r="E234" s="10">
        <f>SUMIFS('muddati otgan'!$V:V,'muddati otgan'!$C:C,$A:A)</f>
        <v>2</v>
      </c>
      <c r="F234" s="10">
        <f>SUMIFS('muddati otgan'!$W:W,'muddati otgan'!$C:C,$A:A)</f>
        <v>0</v>
      </c>
      <c r="G234" s="24">
        <f>SUMIFS('muddati otgan'!$U:U,'muddati otgan'!$C:C,$A:A)</f>
        <v>2</v>
      </c>
      <c r="H234" s="11">
        <f>SUMIFS('muddati otgan'!$G:G,'muddati otgan'!$C:C,$A:A)</f>
        <v>3</v>
      </c>
      <c r="I234" s="12">
        <f>SUMIFS('muddati otgan'!$H:H,'muddati otgan'!$C:C,$A:A)</f>
        <v>1</v>
      </c>
      <c r="J234" s="44">
        <f t="shared" si="329"/>
        <v>1</v>
      </c>
      <c r="K234" s="11">
        <f>+COUNTIFS('muddati otgan'!C:C,A234,'muddati otgan'!AA:AA,"Arizani qabul qilish")</f>
        <v>0</v>
      </c>
      <c r="L234" s="11">
        <f>+COUNTIFS('muddati otgan'!C:C,A234,'muddati otgan'!J:J,"Arizani rad etish")</f>
        <v>0</v>
      </c>
      <c r="M234" s="11">
        <f>+COUNTIFS('muddati otgan'!C:C,A234,'muddati otgan'!J:J,"Arizani tasdiqlash")</f>
        <v>0</v>
      </c>
      <c r="N234" s="11">
        <f>+COUNTIFS('muddati otgan'!C:C,A234,'muddati otgan'!J:J,"Arizani yo'naltirish")</f>
        <v>0</v>
      </c>
      <c r="O234" s="11">
        <f>+COUNTIFS('muddati otgan'!C:C,A234,'muddati otgan'!J:J,"Rad qilish sababini o'rganish")</f>
        <v>1</v>
      </c>
      <c r="P234" s="11">
        <f>+COUNTIFS('muddati otgan'!C:C,A234,'muddati otgan'!J:J,"Ko'chmas mulkni UZKAD ga migratsiya qilish")</f>
        <v>0</v>
      </c>
      <c r="Q234" s="11">
        <f>+COUNTIFS('muddati otgan'!C:C,A234,'muddati otgan'!J:J,"Migratisya qilingan obyekt holatini tekshirish")</f>
        <v>0</v>
      </c>
      <c r="R234" s="11">
        <f>+COUNTIFS('muddati otgan'!C:C,A234,'muddati otgan'!J:J,"Ko‘chmas mulkni tanlash")</f>
        <v>0</v>
      </c>
      <c r="S234" s="11">
        <f>+COUNTIFS('muddati otgan'!C:C,A234,'muddati otgan'!J:J,"Arizani ko'rib chiqish")</f>
        <v>0</v>
      </c>
      <c r="T234" s="11">
        <f>+COUNTIFS('muddati otgan'!C:C,A234,'muddati otgan'!J:J,"Kadastr muhandisini tanlash")</f>
        <v>0</v>
      </c>
      <c r="U234" s="11">
        <f>+COUNTIFS('muddati otgan'!C:C,A234,'muddati otgan'!J:J,"Ko'chmas mulk turini tanlahsh")</f>
        <v>0</v>
      </c>
      <c r="V234" s="11">
        <f>+COUNTIFS('muddati otgan'!C:C,A234,'muddati otgan'!AA:AA,"Rad qilish")</f>
        <v>0</v>
      </c>
      <c r="W234" s="11">
        <f>+COUNTIFS('muddati otgan'!C:C,A234,'muddati otgan'!J:J,"ijrochi tanlash")</f>
        <v>0</v>
      </c>
      <c r="X234" s="11">
        <f>+COUNTIFS('muddati otgan'!C:C,A234,'muddati otgan'!J:J,"Ko'chmas mulk turini tanlash")</f>
        <v>0</v>
      </c>
      <c r="Y234" s="11">
        <f t="shared" si="330"/>
        <v>0</v>
      </c>
      <c r="Z234" s="11">
        <f>+COUNTIFS('muddati otgan'!C:C,A234,'muddati otgan'!J:J,"Ijroga qabul qilish")</f>
        <v>0</v>
      </c>
      <c r="AA234" s="11">
        <f>+COUNTIFS('muddati otgan'!C:C,A234,'muddati otgan'!J:J,"Joyida o'rganish va ma'lumotlarni kiritish")</f>
        <v>0</v>
      </c>
      <c r="AB234" s="11">
        <f>+COUNTIFS('muddati otgan'!C:C,A234,'muddati otgan'!J:J,"Asosiy qismdan ajratish jarayonida")</f>
        <v>0</v>
      </c>
      <c r="AC234" s="11">
        <f>+COUNTIFS('muddati otgan'!C:C,A234,'muddati otgan'!J:J,"Umumiy foydalanishdagi obyekt yaratilish")</f>
        <v>0</v>
      </c>
      <c r="AD234" s="11">
        <f>+COUNTIFS('muddati otgan'!C:C,A234,'muddati otgan'!J:J,"Migratsiya qilinadigan kadastr raqamini kiritish")</f>
        <v>0</v>
      </c>
      <c r="AE234" s="11">
        <f>+COUNTIFS('muddati otgan'!C:C,A234,'muddati otgan'!J:J,"O'zida qolgan obyektni yaratish")</f>
        <v>0</v>
      </c>
      <c r="AF234" s="11">
        <f>+COUNTIFS('muddati otgan'!C:C,A234,'muddati otgan'!J:J,"O'lchov natijalarini kiritish")</f>
        <v>0</v>
      </c>
      <c r="AG234" s="11">
        <f>+COUNTIFS('muddati otgan'!C:C,A234,'muddati otgan'!J:J,"Topoxaritani tayyorlash (dwg, pdf)")</f>
        <v>0</v>
      </c>
      <c r="AH234" s="11">
        <f t="shared" si="331"/>
        <v>0</v>
      </c>
      <c r="AI234" s="11">
        <f>+COUNTIFS('muddati otgan'!C:C,A234,'muddati otgan'!J:J,"Yer uchastkasini yaratish")</f>
        <v>0</v>
      </c>
      <c r="AJ234" s="11">
        <f t="shared" si="332"/>
        <v>0</v>
      </c>
      <c r="AK234" s="11">
        <f>+COUNTIFS('muddati otgan'!C:C,A234,'muddati otgan'!J:J,"Kelishish (Boshqarma)")</f>
        <v>0</v>
      </c>
      <c r="AL234" s="11">
        <f t="shared" si="333"/>
        <v>0</v>
      </c>
      <c r="AM234" s="11">
        <f>+COUNTIFS('muddati otgan'!C:C,A234,'muddati otgan'!J:J,"Kelishish (DKP)")</f>
        <v>0</v>
      </c>
      <c r="AN234" s="11">
        <f>+COUNTIFS('muddati otgan'!C:C,A234,'muddati otgan'!J:J,"Kelishish")</f>
        <v>0</v>
      </c>
      <c r="AO234" s="11">
        <f>+COUNTIFS('muddati otgan'!C:C,A234,'muddati otgan'!J:J,"Kelishish (Registratsiya DKP)")</f>
        <v>0</v>
      </c>
      <c r="AP234" s="11">
        <f t="shared" si="334"/>
        <v>0</v>
      </c>
      <c r="AQ234" s="11">
        <f>+COUNTIFS('muddati otgan'!C:C,A234,'muddati otgan'!J:J,"Manzil biriktirish")</f>
        <v>0</v>
      </c>
      <c r="AR234" s="11">
        <f>+COUNTIFS('muddati otgan'!C:C,A234,'muddati otgan'!J:J,"Bino va inshootlarni yaratish")</f>
        <v>0</v>
      </c>
      <c r="AS234" s="11">
        <f>+COUNTIFS('muddati otgan'!C:C,A234,'muddati otgan'!J:J,"Dov daraxtlarni yaratish")</f>
        <v>0</v>
      </c>
      <c r="AT234" s="11">
        <f>+COUNTIFS('muddati otgan'!C:C,A234,'muddati otgan'!J:J,"Yer uchastkasini tahrirlash")</f>
        <v>0</v>
      </c>
      <c r="AU234" s="11">
        <f t="shared" si="335"/>
        <v>0</v>
      </c>
      <c r="AV234" s="11">
        <f>+COUNTIFS('muddati otgan'!C:C,A234,'muddati otgan'!J:J,"Yer toifasi va maqsadini kiritish")</f>
        <v>0</v>
      </c>
      <c r="AW234" s="11">
        <f>+COUNTIFS('muddati otgan'!C:C,A234,'muddati otgan'!J:J,"Auksion yer tekshirish")</f>
        <v>0</v>
      </c>
      <c r="AX234" s="11">
        <f>+COUNTIFS('muddati otgan'!C:C,A234,'muddati otgan'!J:J,"Yer turlarini kiritish")</f>
        <v>0</v>
      </c>
      <c r="AY234" s="11">
        <f>+COUNTIFS('muddati otgan'!C:C,A234,'muddati otgan'!J:J,"Ma'lumotlarni kiritish")</f>
        <v>0</v>
      </c>
      <c r="AZ234" s="11">
        <f>+COUNTIFS('muddati otgan'!C:C,A234,'muddati otgan'!J:J,"Yer tekshirish")</f>
        <v>0</v>
      </c>
      <c r="BA234" s="11">
        <f t="shared" si="336"/>
        <v>0</v>
      </c>
      <c r="BB234" s="11">
        <f>+COUNTIFS('muddati otgan'!C:C,A234,'muddati otgan'!J:J,"Bino va inshoot ma'lumotlarini to‘ldirish")</f>
        <v>0</v>
      </c>
      <c r="BC234" s="11">
        <f>+COUNTIFS('muddati otgan'!C:C,A234,'muddati otgan'!J:J,"Inventarizatsiya ma'lumotlarini to‘ldirish")</f>
        <v>0</v>
      </c>
      <c r="BD234" s="11">
        <f>+COUNTIFS('muddati otgan'!C:C,A234,'muddati otgan'!J:J,"Yer uchastkasiga huquqiy hujjatlarni kiritsh")</f>
        <v>0</v>
      </c>
      <c r="BE234" s="11">
        <f>+COUNTIFS('muddati otgan'!C:C,A234,'muddati otgan'!J:J,"Bino-inshootlarga huquqiy hujjatlarni kiritsh")</f>
        <v>0</v>
      </c>
      <c r="BF234" s="11">
        <f>+COUNTIFS('muddati otgan'!C:C,A234,'muddati otgan'!J:J,"Kadastr qiymatini hisoblash va kiritish")</f>
        <v>0</v>
      </c>
      <c r="BG234" s="11">
        <f>+COUNTIFS('muddati otgan'!C:C,A234,'muddati otgan'!J:J,"Kadastr raqam biriktirish")</f>
        <v>0</v>
      </c>
      <c r="BH234" s="11">
        <f>+COUNTIFS('muddati otgan'!C:C,A234,'muddati otgan'!J:J,"Kadastr yig'ma jildni tayyorlash")</f>
        <v>0</v>
      </c>
      <c r="BI234" s="11">
        <f>+COUNTIFS('muddati otgan'!C:C,A234,'muddati otgan'!J:J,"Huquqni yaratish")</f>
        <v>0</v>
      </c>
      <c r="BJ234" s="11">
        <f>+COUNTIFS('muddati otgan'!C:C,A234,'muddati otgan'!J:J,"Hujjatlarni o'rganish")</f>
        <v>0</v>
      </c>
      <c r="BK234" s="11">
        <f>+COUNTIFS('muddati otgan'!C:C,A234,'muddati otgan'!J:J,"Ma'lumotlarni tekshirish")</f>
        <v>0</v>
      </c>
      <c r="BL234" s="11">
        <f t="shared" si="337"/>
        <v>0</v>
      </c>
      <c r="BM234" s="11">
        <f>+COUNTIFS('muddati otgan'!C:C,A234,'muddati otgan'!J:J,"Tekshirish")</f>
        <v>0</v>
      </c>
      <c r="BN234" s="11">
        <f>+COUNTIFS('muddati otgan'!C:C,A234,'muddati otgan'!J:J,"Hujjatlarni tekshirish")</f>
        <v>0</v>
      </c>
      <c r="BO234" s="11">
        <f>+COUNTIFS('muddati otgan'!C:C,A234,'muddati otgan'!J:J,"Tasdiqlash")</f>
        <v>0</v>
      </c>
      <c r="BP234" s="11">
        <f>+COUNTIFS('muddati otgan'!C:C,A234,'muddati otgan'!J:J,"tekshirish/tasdiqlash")</f>
        <v>0</v>
      </c>
      <c r="BQ234" s="11">
        <f>+COUNTIFS('muddati otgan'!C:C,A234,'muddati otgan'!J:J,"Ma'lumotlarni tasdiqlash")</f>
        <v>0</v>
      </c>
      <c r="BR234" s="11">
        <f t="shared" si="338"/>
        <v>0</v>
      </c>
      <c r="BS234" s="11">
        <f>+COUNTIFS('muddati otgan'!C:C,A234,'muddati otgan'!J:J,"Ro'yxatdan o'tkazish ma'lumotlarini tekshirish")</f>
        <v>0</v>
      </c>
      <c r="BT234" s="11">
        <f>+COUNTIFS('muddati otgan'!C:C,A234,'muddati otgan'!J:J,"Kamchiliklar bo'yicha habarnoma yuborish va 3 kunga to'xtatish")</f>
        <v>0</v>
      </c>
      <c r="BU234" s="11">
        <f>+COUNTIFS('muddati otgan'!C:C,A234,'muddati otgan'!J:J,"Hisobga olish")</f>
        <v>0</v>
      </c>
      <c r="BV234" s="11">
        <f>+COUNTIFS('muddati otgan'!C:C,A234,'muddati otgan'!J:J,"Yer uchastkasiga huquq yaratish")</f>
        <v>0</v>
      </c>
      <c r="BW234" s="11">
        <f>+COUNTIFS('muddati otgan'!C:C,A234,'muddati otgan'!J:J,"Bino-inshootga huquq yaratish")</f>
        <v>0</v>
      </c>
      <c r="BX234" s="11">
        <f>+COUNTIFS('muddati otgan'!C:C,A234,'muddati otgan'!J:J,"Cheklov yaratish")</f>
        <v>0</v>
      </c>
      <c r="BY234" s="11">
        <f>+COUNTIFS('muddati otgan'!C:C,A234,'muddati otgan'!J:J,"Taqiq yaratish")</f>
        <v>0</v>
      </c>
      <c r="BZ234" s="11">
        <f t="shared" si="339"/>
        <v>0</v>
      </c>
      <c r="CA234" s="11">
        <f>+COUNTIFS('muddati otgan'!C:C,A234,'muddati otgan'!J:J,"Soliq maydonini tekshirish")</f>
        <v>0</v>
      </c>
      <c r="CB234" s="11">
        <f t="shared" si="340"/>
        <v>0</v>
      </c>
      <c r="CC234" s="11">
        <f>+COUNTIFS('muddati otgan'!C:C,A234,'muddati otgan'!J:J,"Kadastr yig'majildini shakllantirish")</f>
        <v>0</v>
      </c>
      <c r="CD234" s="11">
        <f t="shared" si="341"/>
        <v>0</v>
      </c>
      <c r="CE234" s="11">
        <f>+COUNTIFS('muddati otgan'!C:C,A234,'muddati otgan'!J:J,"Kadastr passportini shakllantirish")</f>
        <v>0</v>
      </c>
      <c r="CF234" s="11">
        <f>+COUNTIFS('muddati otgan'!C:C,A234,'muddati otgan'!J:J,"Yig'ma jildni tasdiqlash")</f>
        <v>0</v>
      </c>
      <c r="CG234" s="11">
        <f>+COUNTIFS('muddati otgan'!C:C,A234,'muddati otgan'!J:J,"To'lov yoki bepul tasdiqlash")</f>
        <v>0</v>
      </c>
      <c r="CH234" s="11">
        <f>+COUNTIFS('muddati otgan'!C:C,A234,'muddati otgan'!J:J,"Bog'liq arizani kutish")</f>
        <v>0</v>
      </c>
      <c r="CI234" s="11">
        <f>+COUNTIFS('muddati otgan'!C:C,A234,'muddati otgan'!J:J,"To'lovga chiqarish")</f>
        <v>0</v>
      </c>
      <c r="CJ234" s="11">
        <f>+COUNTIFS('muddati otgan'!C:C,A234,'muddati otgan'!J:J,"Hisobga qo'yish")</f>
        <v>0</v>
      </c>
      <c r="CK234" s="6">
        <f>+COUNTIFS('muddati otgan'!C:C,A234,'muddati otgan'!J:J,"To'lov kutilmoqda")</f>
        <v>0</v>
      </c>
      <c r="CL234" s="11">
        <f t="shared" si="342"/>
        <v>0</v>
      </c>
      <c r="CM234" s="11">
        <f>+COUNTIFS('muddati otgan'!C:C,A234,'muddati otgan'!AA:AA,"Arizani qabul qilish2")</f>
        <v>0</v>
      </c>
      <c r="CN234" s="11">
        <f>+COUNTIFS('muddati otgan'!C:C,A234,'muddati otgan'!J:J,"Huquqlarni tekshirish")</f>
        <v>0</v>
      </c>
      <c r="CO234" s="11">
        <f>+COUNTIFS('muddati otgan'!C:C,A234,'muddati otgan'!J:J,"Ko'chmas mulkni ro'yhatdan o'tkazishga qabul qilish")</f>
        <v>0</v>
      </c>
      <c r="CP234" s="11">
        <f>+COUNTIFS('muddati otgan'!C:C,A234,'muddati otgan'!J:J,"Ro'yxatdan o'tkazish")</f>
        <v>0</v>
      </c>
      <c r="CQ234" s="11">
        <f>+COUNTIFS('muddati otgan'!C:C,A234,'muddati otgan'!J:J,"Kadastr pasporti va ko'chirmani yuborish")</f>
        <v>0</v>
      </c>
      <c r="CR234" s="11">
        <f>+COUNTIFS('muddati otgan'!C:C,A234,'muddati otgan'!AA:AA,"Rad qilish2")</f>
        <v>0</v>
      </c>
      <c r="CS234" s="11">
        <f>+COUNTIFS('muddati otgan'!C:C,A234,'muddati otgan'!J:J,"Ko'chirmani yuborish")</f>
        <v>0</v>
      </c>
      <c r="CT234" s="11">
        <f>+COUNTIFS('muddati otgan'!C:C,A234,'muddati otgan'!J:J,"Ma‘lumotlarni tekshirish")</f>
        <v>0</v>
      </c>
      <c r="CU234" s="11">
        <f t="shared" si="343"/>
        <v>0</v>
      </c>
      <c r="CV234" s="11">
        <f>+COUNTIFS('muddati otgan'!C:C,A234,'muddati otgan'!J:J,"Kadastr yig'majildini chop etish va arxiv ishiga tikish")</f>
        <v>0</v>
      </c>
      <c r="CW234" s="11">
        <f t="shared" si="344"/>
        <v>1</v>
      </c>
      <c r="CX234" s="11">
        <f>+COUNTIFS('muddati otgan'!C:C,A234,'muddati otgan'!J:J,"Kadastr yig‘majildini qabul qilish, arizani yakunlash")</f>
        <v>1</v>
      </c>
      <c r="CY234" s="11">
        <f>+COUNTIFS('muddati otgan'!C:C,A234,'muddati otgan'!J:J,"Next Cloudga yuklash")</f>
        <v>0</v>
      </c>
      <c r="CZ234" s="6">
        <f>+COUNTIFS('muddati otgan'!C:C,A234,'muddati otgan'!J:J,"Kelishish kutilmoqda")</f>
        <v>0</v>
      </c>
      <c r="DA234" s="6">
        <f>+COUNTIFS('muddati otgan'!C:C,A234,'muddati otgan'!J:J,"Yakunlandi")</f>
        <v>2</v>
      </c>
      <c r="DB234" s="10">
        <f>+COUNTIFS('muddati otgan'!C:C,A234,'muddati otgan'!J:J,"Rad etildi")</f>
        <v>0</v>
      </c>
      <c r="DC234" s="100">
        <f t="shared" si="345"/>
        <v>-2</v>
      </c>
      <c r="DD234" s="44">
        <f>COUNTIFS('jami 1-20 kunlik arizalar'!C:C,A:A,'jami 1-20 kunlik arizalar'!S:S,"1")</f>
        <v>0</v>
      </c>
      <c r="DE234" s="11">
        <f>COUNTIFS('jami 1-20 kunlik arizalar'!C:C,A:A,'jami 1-20 kunlik arizalar'!S:S,"2")</f>
        <v>0</v>
      </c>
      <c r="DF234" s="11">
        <f>COUNTIFS('jami 1-20 kunlik arizalar'!C:C,A:A,'jami 1-20 kunlik arizalar'!S:S,"3")</f>
        <v>4</v>
      </c>
      <c r="DG234" s="11">
        <f>COUNTIFS('jami 1-20 kunlik arizalar'!C:C,A:A,'jami 1-20 kunlik arizalar'!S:S,"4")</f>
        <v>0</v>
      </c>
      <c r="DH234" s="11">
        <f>COUNTIFS('jami 1-20 kunlik arizalar'!C:C,A:A,'jami 1-20 kunlik arizalar'!S:S,"5")</f>
        <v>1</v>
      </c>
      <c r="DI234" s="11">
        <f>SUM(COUNTIFS('jami 1-20 kunlik arizalar'!C:C,A:A, 'jami 1-20 kunlik arizalar'!S:S, {6,7,8,9,10}))</f>
        <v>4</v>
      </c>
      <c r="DJ234" s="12">
        <f>SUM(COUNTIFS('jami 1-20 kunlik arizalar'!C:C,A:A, 'jami 1-20 kunlik arizalar'!S:S, "&gt;10"))</f>
        <v>7</v>
      </c>
    </row>
    <row r="235" spans="1:115" ht="32.1" hidden="1" customHeight="1" outlineLevel="1" x14ac:dyDescent="0.25">
      <c r="A235" s="92" t="s">
        <v>737</v>
      </c>
      <c r="B235" s="74"/>
      <c r="C235" s="85" t="s">
        <v>919</v>
      </c>
      <c r="D235" s="80">
        <f>+COUNTIFS('muddati otgan'!C:C,A235,'muddati otgan'!C:C,A235)</f>
        <v>0</v>
      </c>
      <c r="E235" s="10">
        <f>SUMIFS('muddati otgan'!$V:V,'muddati otgan'!$C:C,$A:A)</f>
        <v>0</v>
      </c>
      <c r="F235" s="10">
        <f>SUMIFS('muddati otgan'!$W:W,'muddati otgan'!$C:C,$A:A)</f>
        <v>0</v>
      </c>
      <c r="G235" s="24">
        <f>SUMIFS('muddati otgan'!$U:U,'muddati otgan'!$C:C,$A:A)</f>
        <v>0</v>
      </c>
      <c r="H235" s="11">
        <f>SUMIFS('muddati otgan'!$G:G,'muddati otgan'!$C:C,$A:A)</f>
        <v>0</v>
      </c>
      <c r="I235" s="12">
        <f>SUMIFS('muddati otgan'!$H:H,'muddati otgan'!$C:C,$A:A)</f>
        <v>0</v>
      </c>
      <c r="J235" s="44">
        <f t="shared" si="329"/>
        <v>0</v>
      </c>
      <c r="K235" s="11">
        <f>+COUNTIFS('muddati otgan'!C:C,A235,'muddati otgan'!AA:AA,"Arizani qabul qilish")</f>
        <v>0</v>
      </c>
      <c r="L235" s="11">
        <f>+COUNTIFS('muddati otgan'!C:C,A235,'muddati otgan'!J:J,"Arizani rad etish")</f>
        <v>0</v>
      </c>
      <c r="M235" s="11">
        <f>+COUNTIFS('muddati otgan'!C:C,A235,'muddati otgan'!J:J,"Arizani tasdiqlash")</f>
        <v>0</v>
      </c>
      <c r="N235" s="11">
        <f>+COUNTIFS('muddati otgan'!C:C,A235,'muddati otgan'!J:J,"Arizani yo'naltirish")</f>
        <v>0</v>
      </c>
      <c r="O235" s="11">
        <f>+COUNTIFS('muddati otgan'!C:C,A235,'muddati otgan'!J:J,"Rad qilish sababini o'rganish")</f>
        <v>0</v>
      </c>
      <c r="P235" s="11">
        <f>+COUNTIFS('muddati otgan'!C:C,A235,'muddati otgan'!J:J,"Ko'chmas mulkni UZKAD ga migratsiya qilish")</f>
        <v>0</v>
      </c>
      <c r="Q235" s="11">
        <f>+COUNTIFS('muddati otgan'!C:C,A235,'muddati otgan'!J:J,"Migratisya qilingan obyekt holatini tekshirish")</f>
        <v>0</v>
      </c>
      <c r="R235" s="11">
        <f>+COUNTIFS('muddati otgan'!C:C,A235,'muddati otgan'!J:J,"Ko‘chmas mulkni tanlash")</f>
        <v>0</v>
      </c>
      <c r="S235" s="11">
        <f>+COUNTIFS('muddati otgan'!C:C,A235,'muddati otgan'!J:J,"Arizani ko'rib chiqish")</f>
        <v>0</v>
      </c>
      <c r="T235" s="11">
        <f>+COUNTIFS('muddati otgan'!C:C,A235,'muddati otgan'!J:J,"Kadastr muhandisini tanlash")</f>
        <v>0</v>
      </c>
      <c r="U235" s="11">
        <f>+COUNTIFS('muddati otgan'!C:C,A235,'muddati otgan'!J:J,"Ko'chmas mulk turini tanlahsh")</f>
        <v>0</v>
      </c>
      <c r="V235" s="11">
        <f>+COUNTIFS('muddati otgan'!C:C,A235,'muddati otgan'!AA:AA,"Rad qilish")</f>
        <v>0</v>
      </c>
      <c r="W235" s="11">
        <f>+COUNTIFS('muddati otgan'!C:C,A235,'muddati otgan'!J:J,"ijrochi tanlash")</f>
        <v>0</v>
      </c>
      <c r="X235" s="11">
        <f>+COUNTIFS('muddati otgan'!C:C,A235,'muddati otgan'!J:J,"Ko'chmas mulk turini tanlash")</f>
        <v>0</v>
      </c>
      <c r="Y235" s="11">
        <f t="shared" si="330"/>
        <v>0</v>
      </c>
      <c r="Z235" s="11">
        <f>+COUNTIFS('muddati otgan'!C:C,A235,'muddati otgan'!J:J,"Ijroga qabul qilish")</f>
        <v>0</v>
      </c>
      <c r="AA235" s="11">
        <f>+COUNTIFS('muddati otgan'!C:C,A235,'muddati otgan'!J:J,"Joyida o'rganish va ma'lumotlarni kiritish")</f>
        <v>0</v>
      </c>
      <c r="AB235" s="11">
        <f>+COUNTIFS('muddati otgan'!C:C,A235,'muddati otgan'!J:J,"Asosiy qismdan ajratish jarayonida")</f>
        <v>0</v>
      </c>
      <c r="AC235" s="11">
        <f>+COUNTIFS('muddati otgan'!C:C,A235,'muddati otgan'!J:J,"Umumiy foydalanishdagi obyekt yaratilish")</f>
        <v>0</v>
      </c>
      <c r="AD235" s="11">
        <f>+COUNTIFS('muddati otgan'!C:C,A235,'muddati otgan'!J:J,"Migratsiya qilinadigan kadastr raqamini kiritish")</f>
        <v>0</v>
      </c>
      <c r="AE235" s="11">
        <f>+COUNTIFS('muddati otgan'!C:C,A235,'muddati otgan'!J:J,"O'zida qolgan obyektni yaratish")</f>
        <v>0</v>
      </c>
      <c r="AF235" s="11">
        <f>+COUNTIFS('muddati otgan'!C:C,A235,'muddati otgan'!J:J,"O'lchov natijalarini kiritish")</f>
        <v>0</v>
      </c>
      <c r="AG235" s="11">
        <f>+COUNTIFS('muddati otgan'!C:C,A235,'muddati otgan'!J:J,"Topoxaritani tayyorlash (dwg, pdf)")</f>
        <v>0</v>
      </c>
      <c r="AH235" s="11">
        <f t="shared" si="331"/>
        <v>0</v>
      </c>
      <c r="AI235" s="11">
        <f>+COUNTIFS('muddati otgan'!C:C,A235,'muddati otgan'!J:J,"Yer uchastkasini yaratish")</f>
        <v>0</v>
      </c>
      <c r="AJ235" s="11">
        <f t="shared" si="332"/>
        <v>0</v>
      </c>
      <c r="AK235" s="11">
        <f>+COUNTIFS('muddati otgan'!C:C,A235,'muddati otgan'!J:J,"Kelishish (Boshqarma)")</f>
        <v>0</v>
      </c>
      <c r="AL235" s="11">
        <f t="shared" si="333"/>
        <v>0</v>
      </c>
      <c r="AM235" s="11">
        <f>+COUNTIFS('muddati otgan'!C:C,A235,'muddati otgan'!J:J,"Kelishish (DKP)")</f>
        <v>0</v>
      </c>
      <c r="AN235" s="11">
        <f>+COUNTIFS('muddati otgan'!C:C,A235,'muddati otgan'!J:J,"Kelishish")</f>
        <v>0</v>
      </c>
      <c r="AO235" s="11">
        <f>+COUNTIFS('muddati otgan'!C:C,A235,'muddati otgan'!J:J,"Kelishish (Registratsiya DKP)")</f>
        <v>0</v>
      </c>
      <c r="AP235" s="11">
        <f t="shared" si="334"/>
        <v>0</v>
      </c>
      <c r="AQ235" s="11">
        <f>+COUNTIFS('muddati otgan'!C:C,A235,'muddati otgan'!J:J,"Manzil biriktirish")</f>
        <v>0</v>
      </c>
      <c r="AR235" s="11">
        <f>+COUNTIFS('muddati otgan'!C:C,A235,'muddati otgan'!J:J,"Bino va inshootlarni yaratish")</f>
        <v>0</v>
      </c>
      <c r="AS235" s="11">
        <f>+COUNTIFS('muddati otgan'!C:C,A235,'muddati otgan'!J:J,"Dov daraxtlarni yaratish")</f>
        <v>0</v>
      </c>
      <c r="AT235" s="11">
        <f>+COUNTIFS('muddati otgan'!C:C,A235,'muddati otgan'!J:J,"Yer uchastkasini tahrirlash")</f>
        <v>0</v>
      </c>
      <c r="AU235" s="11">
        <f t="shared" si="335"/>
        <v>0</v>
      </c>
      <c r="AV235" s="11">
        <f>+COUNTIFS('muddati otgan'!C:C,A235,'muddati otgan'!J:J,"Yer toifasi va maqsadini kiritish")</f>
        <v>0</v>
      </c>
      <c r="AW235" s="11">
        <f>+COUNTIFS('muddati otgan'!C:C,A235,'muddati otgan'!J:J,"Auksion yer tekshirish")</f>
        <v>0</v>
      </c>
      <c r="AX235" s="11">
        <f>+COUNTIFS('muddati otgan'!C:C,A235,'muddati otgan'!J:J,"Yer turlarini kiritish")</f>
        <v>0</v>
      </c>
      <c r="AY235" s="11">
        <f>+COUNTIFS('muddati otgan'!C:C,A235,'muddati otgan'!J:J,"Ma'lumotlarni kiritish")</f>
        <v>0</v>
      </c>
      <c r="AZ235" s="11">
        <f>+COUNTIFS('muddati otgan'!C:C,A235,'muddati otgan'!J:J,"Yer tekshirish")</f>
        <v>0</v>
      </c>
      <c r="BA235" s="11">
        <f t="shared" si="336"/>
        <v>0</v>
      </c>
      <c r="BB235" s="11">
        <f>+COUNTIFS('muddati otgan'!C:C,A235,'muddati otgan'!J:J,"Bino va inshoot ma'lumotlarini to‘ldirish")</f>
        <v>0</v>
      </c>
      <c r="BC235" s="11">
        <f>+COUNTIFS('muddati otgan'!C:C,A235,'muddati otgan'!J:J,"Inventarizatsiya ma'lumotlarini to‘ldirish")</f>
        <v>0</v>
      </c>
      <c r="BD235" s="11">
        <f>+COUNTIFS('muddati otgan'!C:C,A235,'muddati otgan'!J:J,"Yer uchastkasiga huquqiy hujjatlarni kiritsh")</f>
        <v>0</v>
      </c>
      <c r="BE235" s="11">
        <f>+COUNTIFS('muddati otgan'!C:C,A235,'muddati otgan'!J:J,"Bino-inshootlarga huquqiy hujjatlarni kiritsh")</f>
        <v>0</v>
      </c>
      <c r="BF235" s="11">
        <f>+COUNTIFS('muddati otgan'!C:C,A235,'muddati otgan'!J:J,"Kadastr qiymatini hisoblash va kiritish")</f>
        <v>0</v>
      </c>
      <c r="BG235" s="11">
        <f>+COUNTIFS('muddati otgan'!C:C,A235,'muddati otgan'!J:J,"Kadastr raqam biriktirish")</f>
        <v>0</v>
      </c>
      <c r="BH235" s="11">
        <f>+COUNTIFS('muddati otgan'!C:C,A235,'muddati otgan'!J:J,"Kadastr yig'ma jildni tayyorlash")</f>
        <v>0</v>
      </c>
      <c r="BI235" s="11">
        <f>+COUNTIFS('muddati otgan'!C:C,A235,'muddati otgan'!J:J,"Huquqni yaratish")</f>
        <v>0</v>
      </c>
      <c r="BJ235" s="11">
        <f>+COUNTIFS('muddati otgan'!C:C,A235,'muddati otgan'!J:J,"Hujjatlarni o'rganish")</f>
        <v>0</v>
      </c>
      <c r="BK235" s="11">
        <f>+COUNTIFS('muddati otgan'!C:C,A235,'muddati otgan'!J:J,"Ma'lumotlarni tekshirish")</f>
        <v>0</v>
      </c>
      <c r="BL235" s="11">
        <f t="shared" si="337"/>
        <v>0</v>
      </c>
      <c r="BM235" s="11">
        <f>+COUNTIFS('muddati otgan'!C:C,A235,'muddati otgan'!J:J,"Tekshirish")</f>
        <v>0</v>
      </c>
      <c r="BN235" s="11">
        <f>+COUNTIFS('muddati otgan'!C:C,A235,'muddati otgan'!J:J,"Hujjatlarni tekshirish")</f>
        <v>0</v>
      </c>
      <c r="BO235" s="11">
        <f>+COUNTIFS('muddati otgan'!C:C,A235,'muddati otgan'!J:J,"Tasdiqlash")</f>
        <v>0</v>
      </c>
      <c r="BP235" s="11">
        <f>+COUNTIFS('muddati otgan'!C:C,A235,'muddati otgan'!J:J,"tekshirish/tasdiqlash")</f>
        <v>0</v>
      </c>
      <c r="BQ235" s="11">
        <f>+COUNTIFS('muddati otgan'!C:C,A235,'muddati otgan'!J:J,"Ma'lumotlarni tasdiqlash")</f>
        <v>0</v>
      </c>
      <c r="BR235" s="11">
        <f t="shared" si="338"/>
        <v>0</v>
      </c>
      <c r="BS235" s="11">
        <f>+COUNTIFS('muddati otgan'!C:C,A235,'muddati otgan'!J:J,"Ro'yxatdan o'tkazish ma'lumotlarini tekshirish")</f>
        <v>0</v>
      </c>
      <c r="BT235" s="11">
        <f>+COUNTIFS('muddati otgan'!C:C,A235,'muddati otgan'!J:J,"Kamchiliklar bo'yicha habarnoma yuborish va 3 kunga to'xtatish")</f>
        <v>0</v>
      </c>
      <c r="BU235" s="11">
        <f>+COUNTIFS('muddati otgan'!C:C,A235,'muddati otgan'!J:J,"Hisobga olish")</f>
        <v>0</v>
      </c>
      <c r="BV235" s="11">
        <f>+COUNTIFS('muddati otgan'!C:C,A235,'muddati otgan'!J:J,"Yer uchastkasiga huquq yaratish")</f>
        <v>0</v>
      </c>
      <c r="BW235" s="11">
        <f>+COUNTIFS('muddati otgan'!C:C,A235,'muddati otgan'!J:J,"Bino-inshootga huquq yaratish")</f>
        <v>0</v>
      </c>
      <c r="BX235" s="11">
        <f>+COUNTIFS('muddati otgan'!C:C,A235,'muddati otgan'!J:J,"Cheklov yaratish")</f>
        <v>0</v>
      </c>
      <c r="BY235" s="11">
        <f>+COUNTIFS('muddati otgan'!C:C,A235,'muddati otgan'!J:J,"Taqiq yaratish")</f>
        <v>0</v>
      </c>
      <c r="BZ235" s="11">
        <f t="shared" si="339"/>
        <v>0</v>
      </c>
      <c r="CA235" s="11">
        <f>+COUNTIFS('muddati otgan'!C:C,A235,'muddati otgan'!J:J,"Soliq maydonini tekshirish")</f>
        <v>0</v>
      </c>
      <c r="CB235" s="11">
        <f t="shared" si="340"/>
        <v>0</v>
      </c>
      <c r="CC235" s="11">
        <f>+COUNTIFS('muddati otgan'!C:C,A235,'muddati otgan'!J:J,"Kadastr yig'majildini shakllantirish")</f>
        <v>0</v>
      </c>
      <c r="CD235" s="11">
        <f t="shared" si="341"/>
        <v>0</v>
      </c>
      <c r="CE235" s="11">
        <f>+COUNTIFS('muddati otgan'!C:C,A235,'muddati otgan'!J:J,"Kadastr passportini shakllantirish")</f>
        <v>0</v>
      </c>
      <c r="CF235" s="11">
        <f>+COUNTIFS('muddati otgan'!C:C,A235,'muddati otgan'!J:J,"Yig'ma jildni tasdiqlash")</f>
        <v>0</v>
      </c>
      <c r="CG235" s="11">
        <f>+COUNTIFS('muddati otgan'!C:C,A235,'muddati otgan'!J:J,"To'lov yoki bepul tasdiqlash")</f>
        <v>0</v>
      </c>
      <c r="CH235" s="11">
        <f>+COUNTIFS('muddati otgan'!C:C,A235,'muddati otgan'!J:J,"Bog'liq arizani kutish")</f>
        <v>0</v>
      </c>
      <c r="CI235" s="11">
        <f>+COUNTIFS('muddati otgan'!C:C,A235,'muddati otgan'!J:J,"To'lovga chiqarish")</f>
        <v>0</v>
      </c>
      <c r="CJ235" s="11">
        <f>+COUNTIFS('muddati otgan'!C:C,A235,'muddati otgan'!J:J,"Hisobga qo'yish")</f>
        <v>0</v>
      </c>
      <c r="CK235" s="6">
        <f>+COUNTIFS('muddati otgan'!C:C,A235,'muddati otgan'!J:J,"To'lov kutilmoqda")</f>
        <v>0</v>
      </c>
      <c r="CL235" s="11">
        <f t="shared" si="342"/>
        <v>0</v>
      </c>
      <c r="CM235" s="11">
        <f>+COUNTIFS('muddati otgan'!C:C,A235,'muddati otgan'!AA:AA,"Arizani qabul qilish2")</f>
        <v>0</v>
      </c>
      <c r="CN235" s="11">
        <f>+COUNTIFS('muddati otgan'!C:C,A235,'muddati otgan'!J:J,"Huquqlarni tekshirish")</f>
        <v>0</v>
      </c>
      <c r="CO235" s="11">
        <f>+COUNTIFS('muddati otgan'!C:C,A235,'muddati otgan'!J:J,"Ko'chmas mulkni ro'yhatdan o'tkazishga qabul qilish")</f>
        <v>0</v>
      </c>
      <c r="CP235" s="11">
        <f>+COUNTIFS('muddati otgan'!C:C,A235,'muddati otgan'!J:J,"Ro'yxatdan o'tkazish")</f>
        <v>0</v>
      </c>
      <c r="CQ235" s="11">
        <f>+COUNTIFS('muddati otgan'!C:C,A235,'muddati otgan'!J:J,"Kadastr pasporti va ko'chirmani yuborish")</f>
        <v>0</v>
      </c>
      <c r="CR235" s="11">
        <f>+COUNTIFS('muddati otgan'!C:C,A235,'muddati otgan'!AA:AA,"Rad qilish2")</f>
        <v>0</v>
      </c>
      <c r="CS235" s="11">
        <f>+COUNTIFS('muddati otgan'!C:C,A235,'muddati otgan'!J:J,"Ko'chirmani yuborish")</f>
        <v>0</v>
      </c>
      <c r="CT235" s="11">
        <f>+COUNTIFS('muddati otgan'!C:C,A235,'muddati otgan'!J:J,"Ma‘lumotlarni tekshirish")</f>
        <v>0</v>
      </c>
      <c r="CU235" s="11">
        <f t="shared" si="343"/>
        <v>0</v>
      </c>
      <c r="CV235" s="11">
        <f>+COUNTIFS('muddati otgan'!C:C,A235,'muddati otgan'!J:J,"Kadastr yig'majildini chop etish va arxiv ishiga tikish")</f>
        <v>0</v>
      </c>
      <c r="CW235" s="11">
        <f t="shared" si="344"/>
        <v>0</v>
      </c>
      <c r="CX235" s="11">
        <f>+COUNTIFS('muddati otgan'!C:C,A235,'muddati otgan'!J:J,"Kadastr yig‘majildini qabul qilish, arizani yakunlash")</f>
        <v>0</v>
      </c>
      <c r="CY235" s="11">
        <f>+COUNTIFS('muddati otgan'!C:C,A235,'muddati otgan'!J:J,"Next Cloudga yuklash")</f>
        <v>0</v>
      </c>
      <c r="CZ235" s="6">
        <f>+COUNTIFS('muddati otgan'!C:C,A235,'muddati otgan'!J:J,"Kelishish kutilmoqda")</f>
        <v>0</v>
      </c>
      <c r="DA235" s="6">
        <f>+COUNTIFS('muddati otgan'!C:C,A235,'muddati otgan'!J:J,"Yakunlandi")</f>
        <v>0</v>
      </c>
      <c r="DB235" s="10">
        <f>+COUNTIFS('muddati otgan'!C:C,A235,'muddati otgan'!J:J,"Rad etildi")</f>
        <v>0</v>
      </c>
      <c r="DC235" s="100">
        <f t="shared" si="345"/>
        <v>0</v>
      </c>
      <c r="DD235" s="44">
        <f>COUNTIFS('jami 1-20 kunlik arizalar'!C:C,A:A,'jami 1-20 kunlik arizalar'!S:S,"1")</f>
        <v>0</v>
      </c>
      <c r="DE235" s="11">
        <f>COUNTIFS('jami 1-20 kunlik arizalar'!C:C,A:A,'jami 1-20 kunlik arizalar'!S:S,"2")</f>
        <v>0</v>
      </c>
      <c r="DF235" s="11">
        <f>COUNTIFS('jami 1-20 kunlik arizalar'!C:C,A:A,'jami 1-20 kunlik arizalar'!S:S,"3")</f>
        <v>1</v>
      </c>
      <c r="DG235" s="11">
        <f>COUNTIFS('jami 1-20 kunlik arizalar'!C:C,A:A,'jami 1-20 kunlik arizalar'!S:S,"4")</f>
        <v>2</v>
      </c>
      <c r="DH235" s="11">
        <f>COUNTIFS('jami 1-20 kunlik arizalar'!C:C,A:A,'jami 1-20 kunlik arizalar'!S:S,"5")</f>
        <v>3</v>
      </c>
      <c r="DI235" s="11">
        <f>SUM(COUNTIFS('jami 1-20 kunlik arizalar'!C:C,A:A, 'jami 1-20 kunlik arizalar'!S:S, {6,7,8,9,10}))</f>
        <v>6</v>
      </c>
      <c r="DJ235" s="12">
        <f>SUM(COUNTIFS('jami 1-20 kunlik arizalar'!C:C,A:A, 'jami 1-20 kunlik arizalar'!S:S, "&gt;10"))</f>
        <v>2</v>
      </c>
    </row>
    <row r="236" spans="1:115" ht="32.1" hidden="1" customHeight="1" outlineLevel="1" x14ac:dyDescent="0.25">
      <c r="A236" s="92" t="s">
        <v>736</v>
      </c>
      <c r="B236" s="74"/>
      <c r="C236" s="85" t="s">
        <v>920</v>
      </c>
      <c r="D236" s="80">
        <f>+COUNTIFS('muddati otgan'!C:C,A236,'muddati otgan'!C:C,A236)</f>
        <v>1</v>
      </c>
      <c r="E236" s="10">
        <f>SUMIFS('muddati otgan'!$V:V,'muddati otgan'!$C:C,$A:A)</f>
        <v>1</v>
      </c>
      <c r="F236" s="10">
        <f>SUMIFS('muddati otgan'!$W:W,'muddati otgan'!$C:C,$A:A)</f>
        <v>0</v>
      </c>
      <c r="G236" s="24">
        <f>SUMIFS('muddati otgan'!$U:U,'muddati otgan'!$C:C,$A:A)</f>
        <v>0</v>
      </c>
      <c r="H236" s="11">
        <f>SUMIFS('muddati otgan'!$G:G,'muddati otgan'!$C:C,$A:A)</f>
        <v>1</v>
      </c>
      <c r="I236" s="12">
        <f>SUMIFS('muddati otgan'!$H:H,'muddati otgan'!$C:C,$A:A)</f>
        <v>0</v>
      </c>
      <c r="J236" s="44">
        <f t="shared" si="329"/>
        <v>0</v>
      </c>
      <c r="K236" s="11">
        <f>+COUNTIFS('muddati otgan'!C:C,A236,'muddati otgan'!AA:AA,"Arizani qabul qilish")</f>
        <v>0</v>
      </c>
      <c r="L236" s="11">
        <f>+COUNTIFS('muddati otgan'!C:C,A236,'muddati otgan'!J:J,"Arizani rad etish")</f>
        <v>0</v>
      </c>
      <c r="M236" s="11">
        <f>+COUNTIFS('muddati otgan'!C:C,A236,'muddati otgan'!J:J,"Arizani tasdiqlash")</f>
        <v>0</v>
      </c>
      <c r="N236" s="11">
        <f>+COUNTIFS('muddati otgan'!C:C,A236,'muddati otgan'!J:J,"Arizani yo'naltirish")</f>
        <v>0</v>
      </c>
      <c r="O236" s="11">
        <f>+COUNTIFS('muddati otgan'!C:C,A236,'muddati otgan'!J:J,"Rad qilish sababini o'rganish")</f>
        <v>0</v>
      </c>
      <c r="P236" s="11">
        <f>+COUNTIFS('muddati otgan'!C:C,A236,'muddati otgan'!J:J,"Ko'chmas mulkni UZKAD ga migratsiya qilish")</f>
        <v>0</v>
      </c>
      <c r="Q236" s="11">
        <f>+COUNTIFS('muddati otgan'!C:C,A236,'muddati otgan'!J:J,"Migratisya qilingan obyekt holatini tekshirish")</f>
        <v>0</v>
      </c>
      <c r="R236" s="11">
        <f>+COUNTIFS('muddati otgan'!C:C,A236,'muddati otgan'!J:J,"Ko‘chmas mulkni tanlash")</f>
        <v>0</v>
      </c>
      <c r="S236" s="11">
        <f>+COUNTIFS('muddati otgan'!C:C,A236,'muddati otgan'!J:J,"Arizani ko'rib chiqish")</f>
        <v>0</v>
      </c>
      <c r="T236" s="11">
        <f>+COUNTIFS('muddati otgan'!C:C,A236,'muddati otgan'!J:J,"Kadastr muhandisini tanlash")</f>
        <v>0</v>
      </c>
      <c r="U236" s="11">
        <f>+COUNTIFS('muddati otgan'!C:C,A236,'muddati otgan'!J:J,"Ko'chmas mulk turini tanlahsh")</f>
        <v>0</v>
      </c>
      <c r="V236" s="11">
        <f>+COUNTIFS('muddati otgan'!C:C,A236,'muddati otgan'!AA:AA,"Rad qilish")</f>
        <v>0</v>
      </c>
      <c r="W236" s="11">
        <f>+COUNTIFS('muddati otgan'!C:C,A236,'muddati otgan'!J:J,"ijrochi tanlash")</f>
        <v>0</v>
      </c>
      <c r="X236" s="11">
        <f>+COUNTIFS('muddati otgan'!C:C,A236,'muddati otgan'!J:J,"Ko'chmas mulk turini tanlash")</f>
        <v>0</v>
      </c>
      <c r="Y236" s="11">
        <f t="shared" si="330"/>
        <v>0</v>
      </c>
      <c r="Z236" s="11">
        <f>+COUNTIFS('muddati otgan'!C:C,A236,'muddati otgan'!J:J,"Ijroga qabul qilish")</f>
        <v>0</v>
      </c>
      <c r="AA236" s="11">
        <f>+COUNTIFS('muddati otgan'!C:C,A236,'muddati otgan'!J:J,"Joyida o'rganish va ma'lumotlarni kiritish")</f>
        <v>0</v>
      </c>
      <c r="AB236" s="11">
        <f>+COUNTIFS('muddati otgan'!C:C,A236,'muddati otgan'!J:J,"Asosiy qismdan ajratish jarayonida")</f>
        <v>0</v>
      </c>
      <c r="AC236" s="11">
        <f>+COUNTIFS('muddati otgan'!C:C,A236,'muddati otgan'!J:J,"Umumiy foydalanishdagi obyekt yaratilish")</f>
        <v>0</v>
      </c>
      <c r="AD236" s="11">
        <f>+COUNTIFS('muddati otgan'!C:C,A236,'muddati otgan'!J:J,"Migratsiya qilinadigan kadastr raqamini kiritish")</f>
        <v>0</v>
      </c>
      <c r="AE236" s="11">
        <f>+COUNTIFS('muddati otgan'!C:C,A236,'muddati otgan'!J:J,"O'zida qolgan obyektni yaratish")</f>
        <v>0</v>
      </c>
      <c r="AF236" s="11">
        <f>+COUNTIFS('muddati otgan'!C:C,A236,'muddati otgan'!J:J,"O'lchov natijalarini kiritish")</f>
        <v>0</v>
      </c>
      <c r="AG236" s="11">
        <f>+COUNTIFS('muddati otgan'!C:C,A236,'muddati otgan'!J:J,"Topoxaritani tayyorlash (dwg, pdf)")</f>
        <v>0</v>
      </c>
      <c r="AH236" s="11">
        <f t="shared" si="331"/>
        <v>0</v>
      </c>
      <c r="AI236" s="11">
        <f>+COUNTIFS('muddati otgan'!C:C,A236,'muddati otgan'!J:J,"Yer uchastkasini yaratish")</f>
        <v>0</v>
      </c>
      <c r="AJ236" s="11">
        <f t="shared" si="332"/>
        <v>0</v>
      </c>
      <c r="AK236" s="11">
        <f>+COUNTIFS('muddati otgan'!C:C,A236,'muddati otgan'!J:J,"Kelishish (Boshqarma)")</f>
        <v>0</v>
      </c>
      <c r="AL236" s="11">
        <f t="shared" si="333"/>
        <v>0</v>
      </c>
      <c r="AM236" s="11">
        <f>+COUNTIFS('muddati otgan'!C:C,A236,'muddati otgan'!J:J,"Kelishish (DKP)")</f>
        <v>0</v>
      </c>
      <c r="AN236" s="11">
        <f>+COUNTIFS('muddati otgan'!C:C,A236,'muddati otgan'!J:J,"Kelishish")</f>
        <v>0</v>
      </c>
      <c r="AO236" s="11">
        <f>+COUNTIFS('muddati otgan'!C:C,A236,'muddati otgan'!J:J,"Kelishish (Registratsiya DKP)")</f>
        <v>0</v>
      </c>
      <c r="AP236" s="11">
        <f t="shared" si="334"/>
        <v>0</v>
      </c>
      <c r="AQ236" s="11">
        <f>+COUNTIFS('muddati otgan'!C:C,A236,'muddati otgan'!J:J,"Manzil biriktirish")</f>
        <v>0</v>
      </c>
      <c r="AR236" s="11">
        <f>+COUNTIFS('muddati otgan'!C:C,A236,'muddati otgan'!J:J,"Bino va inshootlarni yaratish")</f>
        <v>0</v>
      </c>
      <c r="AS236" s="11">
        <f>+COUNTIFS('muddati otgan'!C:C,A236,'muddati otgan'!J:J,"Dov daraxtlarni yaratish")</f>
        <v>0</v>
      </c>
      <c r="AT236" s="11">
        <f>+COUNTIFS('muddati otgan'!C:C,A236,'muddati otgan'!J:J,"Yer uchastkasini tahrirlash")</f>
        <v>0</v>
      </c>
      <c r="AU236" s="11">
        <f t="shared" si="335"/>
        <v>0</v>
      </c>
      <c r="AV236" s="11">
        <f>+COUNTIFS('muddati otgan'!C:C,A236,'muddati otgan'!J:J,"Yer toifasi va maqsadini kiritish")</f>
        <v>0</v>
      </c>
      <c r="AW236" s="11">
        <f>+COUNTIFS('muddati otgan'!C:C,A236,'muddati otgan'!J:J,"Auksion yer tekshirish")</f>
        <v>0</v>
      </c>
      <c r="AX236" s="11">
        <f>+COUNTIFS('muddati otgan'!C:C,A236,'muddati otgan'!J:J,"Yer turlarini kiritish")</f>
        <v>0</v>
      </c>
      <c r="AY236" s="11">
        <f>+COUNTIFS('muddati otgan'!C:C,A236,'muddati otgan'!J:J,"Ma'lumotlarni kiritish")</f>
        <v>0</v>
      </c>
      <c r="AZ236" s="11">
        <f>+COUNTIFS('muddati otgan'!C:C,A236,'muddati otgan'!J:J,"Yer tekshirish")</f>
        <v>0</v>
      </c>
      <c r="BA236" s="11">
        <f t="shared" si="336"/>
        <v>0</v>
      </c>
      <c r="BB236" s="11">
        <f>+COUNTIFS('muddati otgan'!C:C,A236,'muddati otgan'!J:J,"Bino va inshoot ma'lumotlarini to‘ldirish")</f>
        <v>0</v>
      </c>
      <c r="BC236" s="11">
        <f>+COUNTIFS('muddati otgan'!C:C,A236,'muddati otgan'!J:J,"Inventarizatsiya ma'lumotlarini to‘ldirish")</f>
        <v>0</v>
      </c>
      <c r="BD236" s="11">
        <f>+COUNTIFS('muddati otgan'!C:C,A236,'muddati otgan'!J:J,"Yer uchastkasiga huquqiy hujjatlarni kiritsh")</f>
        <v>0</v>
      </c>
      <c r="BE236" s="11">
        <f>+COUNTIFS('muddati otgan'!C:C,A236,'muddati otgan'!J:J,"Bino-inshootlarga huquqiy hujjatlarni kiritsh")</f>
        <v>0</v>
      </c>
      <c r="BF236" s="11">
        <f>+COUNTIFS('muddati otgan'!C:C,A236,'muddati otgan'!J:J,"Kadastr qiymatini hisoblash va kiritish")</f>
        <v>0</v>
      </c>
      <c r="BG236" s="11">
        <f>+COUNTIFS('muddati otgan'!C:C,A236,'muddati otgan'!J:J,"Kadastr raqam biriktirish")</f>
        <v>0</v>
      </c>
      <c r="BH236" s="11">
        <f>+COUNTIFS('muddati otgan'!C:C,A236,'muddati otgan'!J:J,"Kadastr yig'ma jildni tayyorlash")</f>
        <v>0</v>
      </c>
      <c r="BI236" s="11">
        <f>+COUNTIFS('muddati otgan'!C:C,A236,'muddati otgan'!J:J,"Huquqni yaratish")</f>
        <v>0</v>
      </c>
      <c r="BJ236" s="11">
        <f>+COUNTIFS('muddati otgan'!C:C,A236,'muddati otgan'!J:J,"Hujjatlarni o'rganish")</f>
        <v>0</v>
      </c>
      <c r="BK236" s="11">
        <f>+COUNTIFS('muddati otgan'!C:C,A236,'muddati otgan'!J:J,"Ma'lumotlarni tekshirish")</f>
        <v>0</v>
      </c>
      <c r="BL236" s="11">
        <f t="shared" si="337"/>
        <v>0</v>
      </c>
      <c r="BM236" s="11">
        <f>+COUNTIFS('muddati otgan'!C:C,A236,'muddati otgan'!J:J,"Tekshirish")</f>
        <v>0</v>
      </c>
      <c r="BN236" s="11">
        <f>+COUNTIFS('muddati otgan'!C:C,A236,'muddati otgan'!J:J,"Hujjatlarni tekshirish")</f>
        <v>0</v>
      </c>
      <c r="BO236" s="11">
        <f>+COUNTIFS('muddati otgan'!C:C,A236,'muddati otgan'!J:J,"Tasdiqlash")</f>
        <v>0</v>
      </c>
      <c r="BP236" s="11">
        <f>+COUNTIFS('muddati otgan'!C:C,A236,'muddati otgan'!J:J,"tekshirish/tasdiqlash")</f>
        <v>0</v>
      </c>
      <c r="BQ236" s="11">
        <f>+COUNTIFS('muddati otgan'!C:C,A236,'muddati otgan'!J:J,"Ma'lumotlarni tasdiqlash")</f>
        <v>0</v>
      </c>
      <c r="BR236" s="11">
        <f t="shared" si="338"/>
        <v>0</v>
      </c>
      <c r="BS236" s="11">
        <f>+COUNTIFS('muddati otgan'!C:C,A236,'muddati otgan'!J:J,"Ro'yxatdan o'tkazish ma'lumotlarini tekshirish")</f>
        <v>0</v>
      </c>
      <c r="BT236" s="11">
        <f>+COUNTIFS('muddati otgan'!C:C,A236,'muddati otgan'!J:J,"Kamchiliklar bo'yicha habarnoma yuborish va 3 kunga to'xtatish")</f>
        <v>0</v>
      </c>
      <c r="BU236" s="11">
        <f>+COUNTIFS('muddati otgan'!C:C,A236,'muddati otgan'!J:J,"Hisobga olish")</f>
        <v>0</v>
      </c>
      <c r="BV236" s="11">
        <f>+COUNTIFS('muddati otgan'!C:C,A236,'muddati otgan'!J:J,"Yer uchastkasiga huquq yaratish")</f>
        <v>0</v>
      </c>
      <c r="BW236" s="11">
        <f>+COUNTIFS('muddati otgan'!C:C,A236,'muddati otgan'!J:J,"Bino-inshootga huquq yaratish")</f>
        <v>0</v>
      </c>
      <c r="BX236" s="11">
        <f>+COUNTIFS('muddati otgan'!C:C,A236,'muddati otgan'!J:J,"Cheklov yaratish")</f>
        <v>0</v>
      </c>
      <c r="BY236" s="11">
        <f>+COUNTIFS('muddati otgan'!C:C,A236,'muddati otgan'!J:J,"Taqiq yaratish")</f>
        <v>0</v>
      </c>
      <c r="BZ236" s="11">
        <f t="shared" si="339"/>
        <v>0</v>
      </c>
      <c r="CA236" s="11">
        <f>+COUNTIFS('muddati otgan'!C:C,A236,'muddati otgan'!J:J,"Soliq maydonini tekshirish")</f>
        <v>0</v>
      </c>
      <c r="CB236" s="11">
        <f t="shared" si="340"/>
        <v>0</v>
      </c>
      <c r="CC236" s="11">
        <f>+COUNTIFS('muddati otgan'!C:C,A236,'muddati otgan'!J:J,"Kadastr yig'majildini shakllantirish")</f>
        <v>0</v>
      </c>
      <c r="CD236" s="11">
        <f t="shared" si="341"/>
        <v>0</v>
      </c>
      <c r="CE236" s="11">
        <f>+COUNTIFS('muddati otgan'!C:C,A236,'muddati otgan'!J:J,"Kadastr passportini shakllantirish")</f>
        <v>0</v>
      </c>
      <c r="CF236" s="11">
        <f>+COUNTIFS('muddati otgan'!C:C,A236,'muddati otgan'!J:J,"Yig'ma jildni tasdiqlash")</f>
        <v>0</v>
      </c>
      <c r="CG236" s="11">
        <f>+COUNTIFS('muddati otgan'!C:C,A236,'muddati otgan'!J:J,"To'lov yoki bepul tasdiqlash")</f>
        <v>0</v>
      </c>
      <c r="CH236" s="11">
        <f>+COUNTIFS('muddati otgan'!C:C,A236,'muddati otgan'!J:J,"Bog'liq arizani kutish")</f>
        <v>0</v>
      </c>
      <c r="CI236" s="11">
        <f>+COUNTIFS('muddati otgan'!C:C,A236,'muddati otgan'!J:J,"To'lovga chiqarish")</f>
        <v>0</v>
      </c>
      <c r="CJ236" s="11">
        <f>+COUNTIFS('muddati otgan'!C:C,A236,'muddati otgan'!J:J,"Hisobga qo'yish")</f>
        <v>0</v>
      </c>
      <c r="CK236" s="6">
        <f>+COUNTIFS('muddati otgan'!C:C,A236,'muddati otgan'!J:J,"To'lov kutilmoqda")</f>
        <v>0</v>
      </c>
      <c r="CL236" s="11">
        <f t="shared" si="342"/>
        <v>0</v>
      </c>
      <c r="CM236" s="11">
        <f>+COUNTIFS('muddati otgan'!C:C,A236,'muddati otgan'!AA:AA,"Arizani qabul qilish2")</f>
        <v>0</v>
      </c>
      <c r="CN236" s="11">
        <f>+COUNTIFS('muddati otgan'!C:C,A236,'muddati otgan'!J:J,"Huquqlarni tekshirish")</f>
        <v>0</v>
      </c>
      <c r="CO236" s="11">
        <f>+COUNTIFS('muddati otgan'!C:C,A236,'muddati otgan'!J:J,"Ko'chmas mulkni ro'yhatdan o'tkazishga qabul qilish")</f>
        <v>0</v>
      </c>
      <c r="CP236" s="11">
        <f>+COUNTIFS('muddati otgan'!C:C,A236,'muddati otgan'!J:J,"Ro'yxatdan o'tkazish")</f>
        <v>0</v>
      </c>
      <c r="CQ236" s="11">
        <f>+COUNTIFS('muddati otgan'!C:C,A236,'muddati otgan'!J:J,"Kadastr pasporti va ko'chirmani yuborish")</f>
        <v>0</v>
      </c>
      <c r="CR236" s="11">
        <f>+COUNTIFS('muddati otgan'!C:C,A236,'muddati otgan'!AA:AA,"Rad qilish2")</f>
        <v>0</v>
      </c>
      <c r="CS236" s="11">
        <f>+COUNTIFS('muddati otgan'!C:C,A236,'muddati otgan'!J:J,"Ko'chirmani yuborish")</f>
        <v>0</v>
      </c>
      <c r="CT236" s="11">
        <f>+COUNTIFS('muddati otgan'!C:C,A236,'muddati otgan'!J:J,"Ma‘lumotlarni tekshirish")</f>
        <v>0</v>
      </c>
      <c r="CU236" s="11">
        <f t="shared" si="343"/>
        <v>0</v>
      </c>
      <c r="CV236" s="11">
        <f>+COUNTIFS('muddati otgan'!C:C,A236,'muddati otgan'!J:J,"Kadastr yig'majildini chop etish va arxiv ishiga tikish")</f>
        <v>0</v>
      </c>
      <c r="CW236" s="11">
        <f t="shared" si="344"/>
        <v>0</v>
      </c>
      <c r="CX236" s="11">
        <f>+COUNTIFS('muddati otgan'!C:C,A236,'muddati otgan'!J:J,"Kadastr yig‘majildini qabul qilish, arizani yakunlash")</f>
        <v>0</v>
      </c>
      <c r="CY236" s="11">
        <f>+COUNTIFS('muddati otgan'!C:C,A236,'muddati otgan'!J:J,"Next Cloudga yuklash")</f>
        <v>0</v>
      </c>
      <c r="CZ236" s="6">
        <f>+COUNTIFS('muddati otgan'!C:C,A236,'muddati otgan'!J:J,"Kelishish kutilmoqda")</f>
        <v>0</v>
      </c>
      <c r="DA236" s="6">
        <f>+COUNTIFS('muddati otgan'!C:C,A236,'muddati otgan'!J:J,"Yakunlandi")</f>
        <v>1</v>
      </c>
      <c r="DB236" s="10">
        <f>+COUNTIFS('muddati otgan'!C:C,A236,'muddati otgan'!J:J,"Rad etildi")</f>
        <v>0</v>
      </c>
      <c r="DC236" s="100">
        <f t="shared" si="345"/>
        <v>0</v>
      </c>
      <c r="DD236" s="44">
        <f>COUNTIFS('jami 1-20 kunlik arizalar'!C:C,A:A,'jami 1-20 kunlik arizalar'!S:S,"1")</f>
        <v>0</v>
      </c>
      <c r="DE236" s="11">
        <f>COUNTIFS('jami 1-20 kunlik arizalar'!C:C,A:A,'jami 1-20 kunlik arizalar'!S:S,"2")</f>
        <v>0</v>
      </c>
      <c r="DF236" s="11">
        <f>COUNTIFS('jami 1-20 kunlik arizalar'!C:C,A:A,'jami 1-20 kunlik arizalar'!S:S,"3")</f>
        <v>0</v>
      </c>
      <c r="DG236" s="11">
        <f>COUNTIFS('jami 1-20 kunlik arizalar'!C:C,A:A,'jami 1-20 kunlik arizalar'!S:S,"4")</f>
        <v>0</v>
      </c>
      <c r="DH236" s="11">
        <f>COUNTIFS('jami 1-20 kunlik arizalar'!C:C,A:A,'jami 1-20 kunlik arizalar'!S:S,"5")</f>
        <v>0</v>
      </c>
      <c r="DI236" s="11">
        <f>SUM(COUNTIFS('jami 1-20 kunlik arizalar'!C:C,A:A, 'jami 1-20 kunlik arizalar'!S:S, {6,7,8,9,10}))</f>
        <v>1</v>
      </c>
      <c r="DJ236" s="12">
        <f>SUM(COUNTIFS('jami 1-20 kunlik arizalar'!C:C,A:A, 'jami 1-20 kunlik arizalar'!S:S, "&gt;10"))</f>
        <v>1</v>
      </c>
    </row>
    <row r="237" spans="1:115" ht="32.1" hidden="1" customHeight="1" outlineLevel="1" x14ac:dyDescent="0.25">
      <c r="A237" s="92" t="s">
        <v>731</v>
      </c>
      <c r="B237" s="74"/>
      <c r="C237" s="85" t="s">
        <v>921</v>
      </c>
      <c r="D237" s="80">
        <f>+COUNTIFS('muddati otgan'!C:C,A237,'muddati otgan'!C:C,A237)</f>
        <v>0</v>
      </c>
      <c r="E237" s="10">
        <f>SUMIFS('muddati otgan'!$V:V,'muddati otgan'!$C:C,$A:A)</f>
        <v>0</v>
      </c>
      <c r="F237" s="10">
        <f>SUMIFS('muddati otgan'!$W:W,'muddati otgan'!$C:C,$A:A)</f>
        <v>0</v>
      </c>
      <c r="G237" s="24">
        <f>SUMIFS('muddati otgan'!$U:U,'muddati otgan'!$C:C,$A:A)</f>
        <v>0</v>
      </c>
      <c r="H237" s="11">
        <f>SUMIFS('muddati otgan'!$G:G,'muddati otgan'!$C:C,$A:A)</f>
        <v>0</v>
      </c>
      <c r="I237" s="12">
        <f>SUMIFS('muddati otgan'!$H:H,'muddati otgan'!$C:C,$A:A)</f>
        <v>0</v>
      </c>
      <c r="J237" s="44">
        <f t="shared" si="329"/>
        <v>0</v>
      </c>
      <c r="K237" s="11">
        <f>+COUNTIFS('muddati otgan'!C:C,A237,'muddati otgan'!AA:AA,"Arizani qabul qilish")</f>
        <v>0</v>
      </c>
      <c r="L237" s="11">
        <f>+COUNTIFS('muddati otgan'!C:C,A237,'muddati otgan'!J:J,"Arizani rad etish")</f>
        <v>0</v>
      </c>
      <c r="M237" s="11">
        <f>+COUNTIFS('muddati otgan'!C:C,A237,'muddati otgan'!J:J,"Arizani tasdiqlash")</f>
        <v>0</v>
      </c>
      <c r="N237" s="11">
        <f>+COUNTIFS('muddati otgan'!C:C,A237,'muddati otgan'!J:J,"Arizani yo'naltirish")</f>
        <v>0</v>
      </c>
      <c r="O237" s="11">
        <f>+COUNTIFS('muddati otgan'!C:C,A237,'muddati otgan'!J:J,"Rad qilish sababini o'rganish")</f>
        <v>0</v>
      </c>
      <c r="P237" s="11">
        <f>+COUNTIFS('muddati otgan'!C:C,A237,'muddati otgan'!J:J,"Ko'chmas mulkni UZKAD ga migratsiya qilish")</f>
        <v>0</v>
      </c>
      <c r="Q237" s="11">
        <f>+COUNTIFS('muddati otgan'!C:C,A237,'muddati otgan'!J:J,"Migratisya qilingan obyekt holatini tekshirish")</f>
        <v>0</v>
      </c>
      <c r="R237" s="11">
        <f>+COUNTIFS('muddati otgan'!C:C,A237,'muddati otgan'!J:J,"Ko‘chmas mulkni tanlash")</f>
        <v>0</v>
      </c>
      <c r="S237" s="11">
        <f>+COUNTIFS('muddati otgan'!C:C,A237,'muddati otgan'!J:J,"Arizani ko'rib chiqish")</f>
        <v>0</v>
      </c>
      <c r="T237" s="11">
        <f>+COUNTIFS('muddati otgan'!C:C,A237,'muddati otgan'!J:J,"Kadastr muhandisini tanlash")</f>
        <v>0</v>
      </c>
      <c r="U237" s="11">
        <f>+COUNTIFS('muddati otgan'!C:C,A237,'muddati otgan'!J:J,"Ko'chmas mulk turini tanlahsh")</f>
        <v>0</v>
      </c>
      <c r="V237" s="11">
        <f>+COUNTIFS('muddati otgan'!C:C,A237,'muddati otgan'!AA:AA,"Rad qilish")</f>
        <v>0</v>
      </c>
      <c r="W237" s="11">
        <f>+COUNTIFS('muddati otgan'!C:C,A237,'muddati otgan'!J:J,"ijrochi tanlash")</f>
        <v>0</v>
      </c>
      <c r="X237" s="11">
        <f>+COUNTIFS('muddati otgan'!C:C,A237,'muddati otgan'!J:J,"Ko'chmas mulk turini tanlash")</f>
        <v>0</v>
      </c>
      <c r="Y237" s="11">
        <f t="shared" si="330"/>
        <v>0</v>
      </c>
      <c r="Z237" s="11">
        <f>+COUNTIFS('muddati otgan'!C:C,A237,'muddati otgan'!J:J,"Ijroga qabul qilish")</f>
        <v>0</v>
      </c>
      <c r="AA237" s="11">
        <f>+COUNTIFS('muddati otgan'!C:C,A237,'muddati otgan'!J:J,"Joyida o'rganish va ma'lumotlarni kiritish")</f>
        <v>0</v>
      </c>
      <c r="AB237" s="11">
        <f>+COUNTIFS('muddati otgan'!C:C,A237,'muddati otgan'!J:J,"Asosiy qismdan ajratish jarayonida")</f>
        <v>0</v>
      </c>
      <c r="AC237" s="11">
        <f>+COUNTIFS('muddati otgan'!C:C,A237,'muddati otgan'!J:J,"Umumiy foydalanishdagi obyekt yaratilish")</f>
        <v>0</v>
      </c>
      <c r="AD237" s="11">
        <f>+COUNTIFS('muddati otgan'!C:C,A237,'muddati otgan'!J:J,"Migratsiya qilinadigan kadastr raqamini kiritish")</f>
        <v>0</v>
      </c>
      <c r="AE237" s="11">
        <f>+COUNTIFS('muddati otgan'!C:C,A237,'muddati otgan'!J:J,"O'zida qolgan obyektni yaratish")</f>
        <v>0</v>
      </c>
      <c r="AF237" s="11">
        <f>+COUNTIFS('muddati otgan'!C:C,A237,'muddati otgan'!J:J,"O'lchov natijalarini kiritish")</f>
        <v>0</v>
      </c>
      <c r="AG237" s="11">
        <f>+COUNTIFS('muddati otgan'!C:C,A237,'muddati otgan'!J:J,"Topoxaritani tayyorlash (dwg, pdf)")</f>
        <v>0</v>
      </c>
      <c r="AH237" s="11">
        <f t="shared" si="331"/>
        <v>0</v>
      </c>
      <c r="AI237" s="11">
        <f>+COUNTIFS('muddati otgan'!C:C,A237,'muddati otgan'!J:J,"Yer uchastkasini yaratish")</f>
        <v>0</v>
      </c>
      <c r="AJ237" s="11">
        <f t="shared" si="332"/>
        <v>0</v>
      </c>
      <c r="AK237" s="11">
        <f>+COUNTIFS('muddati otgan'!C:C,A237,'muddati otgan'!J:J,"Kelishish (Boshqarma)")</f>
        <v>0</v>
      </c>
      <c r="AL237" s="11">
        <f t="shared" si="333"/>
        <v>0</v>
      </c>
      <c r="AM237" s="11">
        <f>+COUNTIFS('muddati otgan'!C:C,A237,'muddati otgan'!J:J,"Kelishish (DKP)")</f>
        <v>0</v>
      </c>
      <c r="AN237" s="11">
        <f>+COUNTIFS('muddati otgan'!C:C,A237,'muddati otgan'!J:J,"Kelishish")</f>
        <v>0</v>
      </c>
      <c r="AO237" s="11">
        <f>+COUNTIFS('muddati otgan'!C:C,A237,'muddati otgan'!J:J,"Kelishish (Registratsiya DKP)")</f>
        <v>0</v>
      </c>
      <c r="AP237" s="11">
        <f t="shared" si="334"/>
        <v>0</v>
      </c>
      <c r="AQ237" s="11">
        <f>+COUNTIFS('muddati otgan'!C:C,A237,'muddati otgan'!J:J,"Manzil biriktirish")</f>
        <v>0</v>
      </c>
      <c r="AR237" s="11">
        <f>+COUNTIFS('muddati otgan'!C:C,A237,'muddati otgan'!J:J,"Bino va inshootlarni yaratish")</f>
        <v>0</v>
      </c>
      <c r="AS237" s="11">
        <f>+COUNTIFS('muddati otgan'!C:C,A237,'muddati otgan'!J:J,"Dov daraxtlarni yaratish")</f>
        <v>0</v>
      </c>
      <c r="AT237" s="11">
        <f>+COUNTIFS('muddati otgan'!C:C,A237,'muddati otgan'!J:J,"Yer uchastkasini tahrirlash")</f>
        <v>0</v>
      </c>
      <c r="AU237" s="11">
        <f t="shared" si="335"/>
        <v>0</v>
      </c>
      <c r="AV237" s="11">
        <f>+COUNTIFS('muddati otgan'!C:C,A237,'muddati otgan'!J:J,"Yer toifasi va maqsadini kiritish")</f>
        <v>0</v>
      </c>
      <c r="AW237" s="11">
        <f>+COUNTIFS('muddati otgan'!C:C,A237,'muddati otgan'!J:J,"Auksion yer tekshirish")</f>
        <v>0</v>
      </c>
      <c r="AX237" s="11">
        <f>+COUNTIFS('muddati otgan'!C:C,A237,'muddati otgan'!J:J,"Yer turlarini kiritish")</f>
        <v>0</v>
      </c>
      <c r="AY237" s="11">
        <f>+COUNTIFS('muddati otgan'!C:C,A237,'muddati otgan'!J:J,"Ma'lumotlarni kiritish")</f>
        <v>0</v>
      </c>
      <c r="AZ237" s="11">
        <f>+COUNTIFS('muddati otgan'!C:C,A237,'muddati otgan'!J:J,"Yer tekshirish")</f>
        <v>0</v>
      </c>
      <c r="BA237" s="11">
        <f t="shared" si="336"/>
        <v>0</v>
      </c>
      <c r="BB237" s="11">
        <f>+COUNTIFS('muddati otgan'!C:C,A237,'muddati otgan'!J:J,"Bino va inshoot ma'lumotlarini to‘ldirish")</f>
        <v>0</v>
      </c>
      <c r="BC237" s="11">
        <f>+COUNTIFS('muddati otgan'!C:C,A237,'muddati otgan'!J:J,"Inventarizatsiya ma'lumotlarini to‘ldirish")</f>
        <v>0</v>
      </c>
      <c r="BD237" s="11">
        <f>+COUNTIFS('muddati otgan'!C:C,A237,'muddati otgan'!J:J,"Yer uchastkasiga huquqiy hujjatlarni kiritsh")</f>
        <v>0</v>
      </c>
      <c r="BE237" s="11">
        <f>+COUNTIFS('muddati otgan'!C:C,A237,'muddati otgan'!J:J,"Bino-inshootlarga huquqiy hujjatlarni kiritsh")</f>
        <v>0</v>
      </c>
      <c r="BF237" s="11">
        <f>+COUNTIFS('muddati otgan'!C:C,A237,'muddati otgan'!J:J,"Kadastr qiymatini hisoblash va kiritish")</f>
        <v>0</v>
      </c>
      <c r="BG237" s="11">
        <f>+COUNTIFS('muddati otgan'!C:C,A237,'muddati otgan'!J:J,"Kadastr raqam biriktirish")</f>
        <v>0</v>
      </c>
      <c r="BH237" s="11">
        <f>+COUNTIFS('muddati otgan'!C:C,A237,'muddati otgan'!J:J,"Kadastr yig'ma jildni tayyorlash")</f>
        <v>0</v>
      </c>
      <c r="BI237" s="11">
        <f>+COUNTIFS('muddati otgan'!C:C,A237,'muddati otgan'!J:J,"Huquqni yaratish")</f>
        <v>0</v>
      </c>
      <c r="BJ237" s="11">
        <f>+COUNTIFS('muddati otgan'!C:C,A237,'muddati otgan'!J:J,"Hujjatlarni o'rganish")</f>
        <v>0</v>
      </c>
      <c r="BK237" s="11">
        <f>+COUNTIFS('muddati otgan'!C:C,A237,'muddati otgan'!J:J,"Ma'lumotlarni tekshirish")</f>
        <v>0</v>
      </c>
      <c r="BL237" s="11">
        <f t="shared" si="337"/>
        <v>0</v>
      </c>
      <c r="BM237" s="11">
        <f>+COUNTIFS('muddati otgan'!C:C,A237,'muddati otgan'!J:J,"Tekshirish")</f>
        <v>0</v>
      </c>
      <c r="BN237" s="11">
        <f>+COUNTIFS('muddati otgan'!C:C,A237,'muddati otgan'!J:J,"Hujjatlarni tekshirish")</f>
        <v>0</v>
      </c>
      <c r="BO237" s="11">
        <f>+COUNTIFS('muddati otgan'!C:C,A237,'muddati otgan'!J:J,"Tasdiqlash")</f>
        <v>0</v>
      </c>
      <c r="BP237" s="11">
        <f>+COUNTIFS('muddati otgan'!C:C,A237,'muddati otgan'!J:J,"tekshirish/tasdiqlash")</f>
        <v>0</v>
      </c>
      <c r="BQ237" s="11">
        <f>+COUNTIFS('muddati otgan'!C:C,A237,'muddati otgan'!J:J,"Ma'lumotlarni tasdiqlash")</f>
        <v>0</v>
      </c>
      <c r="BR237" s="11">
        <f t="shared" si="338"/>
        <v>0</v>
      </c>
      <c r="BS237" s="11">
        <f>+COUNTIFS('muddati otgan'!C:C,A237,'muddati otgan'!J:J,"Ro'yxatdan o'tkazish ma'lumotlarini tekshirish")</f>
        <v>0</v>
      </c>
      <c r="BT237" s="11">
        <f>+COUNTIFS('muddati otgan'!C:C,A237,'muddati otgan'!J:J,"Kamchiliklar bo'yicha habarnoma yuborish va 3 kunga to'xtatish")</f>
        <v>0</v>
      </c>
      <c r="BU237" s="11">
        <f>+COUNTIFS('muddati otgan'!C:C,A237,'muddati otgan'!J:J,"Hisobga olish")</f>
        <v>0</v>
      </c>
      <c r="BV237" s="11">
        <f>+COUNTIFS('muddati otgan'!C:C,A237,'muddati otgan'!J:J,"Yer uchastkasiga huquq yaratish")</f>
        <v>0</v>
      </c>
      <c r="BW237" s="11">
        <f>+COUNTIFS('muddati otgan'!C:C,A237,'muddati otgan'!J:J,"Bino-inshootga huquq yaratish")</f>
        <v>0</v>
      </c>
      <c r="BX237" s="11">
        <f>+COUNTIFS('muddati otgan'!C:C,A237,'muddati otgan'!J:J,"Cheklov yaratish")</f>
        <v>0</v>
      </c>
      <c r="BY237" s="11">
        <f>+COUNTIFS('muddati otgan'!C:C,A237,'muddati otgan'!J:J,"Taqiq yaratish")</f>
        <v>0</v>
      </c>
      <c r="BZ237" s="11">
        <f t="shared" si="339"/>
        <v>0</v>
      </c>
      <c r="CA237" s="11">
        <f>+COUNTIFS('muddati otgan'!C:C,A237,'muddati otgan'!J:J,"Soliq maydonini tekshirish")</f>
        <v>0</v>
      </c>
      <c r="CB237" s="11">
        <f t="shared" si="340"/>
        <v>0</v>
      </c>
      <c r="CC237" s="11">
        <f>+COUNTIFS('muddati otgan'!C:C,A237,'muddati otgan'!J:J,"Kadastr yig'majildini shakllantirish")</f>
        <v>0</v>
      </c>
      <c r="CD237" s="11">
        <f t="shared" si="341"/>
        <v>0</v>
      </c>
      <c r="CE237" s="11">
        <f>+COUNTIFS('muddati otgan'!C:C,A237,'muddati otgan'!J:J,"Kadastr passportini shakllantirish")</f>
        <v>0</v>
      </c>
      <c r="CF237" s="11">
        <f>+COUNTIFS('muddati otgan'!C:C,A237,'muddati otgan'!J:J,"Yig'ma jildni tasdiqlash")</f>
        <v>0</v>
      </c>
      <c r="CG237" s="11">
        <f>+COUNTIFS('muddati otgan'!C:C,A237,'muddati otgan'!J:J,"To'lov yoki bepul tasdiqlash")</f>
        <v>0</v>
      </c>
      <c r="CH237" s="11">
        <f>+COUNTIFS('muddati otgan'!C:C,A237,'muddati otgan'!J:J,"Bog'liq arizani kutish")</f>
        <v>0</v>
      </c>
      <c r="CI237" s="11">
        <f>+COUNTIFS('muddati otgan'!C:C,A237,'muddati otgan'!J:J,"To'lovga chiqarish")</f>
        <v>0</v>
      </c>
      <c r="CJ237" s="11">
        <f>+COUNTIFS('muddati otgan'!C:C,A237,'muddati otgan'!J:J,"Hisobga qo'yish")</f>
        <v>0</v>
      </c>
      <c r="CK237" s="6">
        <f>+COUNTIFS('muddati otgan'!C:C,A237,'muddati otgan'!J:J,"To'lov kutilmoqda")</f>
        <v>0</v>
      </c>
      <c r="CL237" s="11">
        <f t="shared" si="342"/>
        <v>0</v>
      </c>
      <c r="CM237" s="11">
        <f>+COUNTIFS('muddati otgan'!C:C,A237,'muddati otgan'!AA:AA,"Arizani qabul qilish2")</f>
        <v>0</v>
      </c>
      <c r="CN237" s="11">
        <f>+COUNTIFS('muddati otgan'!C:C,A237,'muddati otgan'!J:J,"Huquqlarni tekshirish")</f>
        <v>0</v>
      </c>
      <c r="CO237" s="11">
        <f>+COUNTIFS('muddati otgan'!C:C,A237,'muddati otgan'!J:J,"Ko'chmas mulkni ro'yhatdan o'tkazishga qabul qilish")</f>
        <v>0</v>
      </c>
      <c r="CP237" s="11">
        <f>+COUNTIFS('muddati otgan'!C:C,A237,'muddati otgan'!J:J,"Ro'yxatdan o'tkazish")</f>
        <v>0</v>
      </c>
      <c r="CQ237" s="11">
        <f>+COUNTIFS('muddati otgan'!C:C,A237,'muddati otgan'!J:J,"Kadastr pasporti va ko'chirmani yuborish")</f>
        <v>0</v>
      </c>
      <c r="CR237" s="11">
        <f>+COUNTIFS('muddati otgan'!C:C,A237,'muddati otgan'!AA:AA,"Rad qilish2")</f>
        <v>0</v>
      </c>
      <c r="CS237" s="11">
        <f>+COUNTIFS('muddati otgan'!C:C,A237,'muddati otgan'!J:J,"Ko'chirmani yuborish")</f>
        <v>0</v>
      </c>
      <c r="CT237" s="11">
        <f>+COUNTIFS('muddati otgan'!C:C,A237,'muddati otgan'!J:J,"Ma‘lumotlarni tekshirish")</f>
        <v>0</v>
      </c>
      <c r="CU237" s="11">
        <f t="shared" si="343"/>
        <v>0</v>
      </c>
      <c r="CV237" s="11">
        <f>+COUNTIFS('muddati otgan'!C:C,A237,'muddati otgan'!J:J,"Kadastr yig'majildini chop etish va arxiv ishiga tikish")</f>
        <v>0</v>
      </c>
      <c r="CW237" s="11">
        <f t="shared" si="344"/>
        <v>0</v>
      </c>
      <c r="CX237" s="11">
        <f>+COUNTIFS('muddati otgan'!C:C,A237,'muddati otgan'!J:J,"Kadastr yig‘majildini qabul qilish, arizani yakunlash")</f>
        <v>0</v>
      </c>
      <c r="CY237" s="11">
        <f>+COUNTIFS('muddati otgan'!C:C,A237,'muddati otgan'!J:J,"Next Cloudga yuklash")</f>
        <v>0</v>
      </c>
      <c r="CZ237" s="6">
        <f>+COUNTIFS('muddati otgan'!C:C,A237,'muddati otgan'!J:J,"Kelishish kutilmoqda")</f>
        <v>0</v>
      </c>
      <c r="DA237" s="6">
        <f>+COUNTIFS('muddati otgan'!C:C,A237,'muddati otgan'!J:J,"Yakunlandi")</f>
        <v>0</v>
      </c>
      <c r="DB237" s="10">
        <f>+COUNTIFS('muddati otgan'!C:C,A237,'muddati otgan'!J:J,"Rad etildi")</f>
        <v>0</v>
      </c>
      <c r="DC237" s="100">
        <f t="shared" si="345"/>
        <v>0</v>
      </c>
      <c r="DD237" s="44">
        <f>COUNTIFS('jami 1-20 kunlik arizalar'!C:C,A:A,'jami 1-20 kunlik arizalar'!S:S,"1")</f>
        <v>0</v>
      </c>
      <c r="DE237" s="11">
        <f>COUNTIFS('jami 1-20 kunlik arizalar'!C:C,A:A,'jami 1-20 kunlik arizalar'!S:S,"2")</f>
        <v>0</v>
      </c>
      <c r="DF237" s="11">
        <f>COUNTIFS('jami 1-20 kunlik arizalar'!C:C,A:A,'jami 1-20 kunlik arizalar'!S:S,"3")</f>
        <v>0</v>
      </c>
      <c r="DG237" s="11">
        <f>COUNTIFS('jami 1-20 kunlik arizalar'!C:C,A:A,'jami 1-20 kunlik arizalar'!S:S,"4")</f>
        <v>0</v>
      </c>
      <c r="DH237" s="11">
        <f>COUNTIFS('jami 1-20 kunlik arizalar'!C:C,A:A,'jami 1-20 kunlik arizalar'!S:S,"5")</f>
        <v>0</v>
      </c>
      <c r="DI237" s="11">
        <f>SUM(COUNTIFS('jami 1-20 kunlik arizalar'!C:C,A:A, 'jami 1-20 kunlik arizalar'!S:S, {6,7,8,9,10}))</f>
        <v>0</v>
      </c>
      <c r="DJ237" s="12">
        <f>SUM(COUNTIFS('jami 1-20 kunlik arizalar'!C:C,A:A, 'jami 1-20 kunlik arizalar'!S:S, "&gt;10"))</f>
        <v>0</v>
      </c>
    </row>
    <row r="238" spans="1:115" ht="32.1" hidden="1" customHeight="1" outlineLevel="1" x14ac:dyDescent="0.25">
      <c r="A238" s="92" t="s">
        <v>739</v>
      </c>
      <c r="B238" s="74"/>
      <c r="C238" s="85" t="s">
        <v>922</v>
      </c>
      <c r="D238" s="80">
        <f>+COUNTIFS('muddati otgan'!C:C,A238,'muddati otgan'!C:C,A238)</f>
        <v>0</v>
      </c>
      <c r="E238" s="10">
        <f>SUMIFS('muddati otgan'!$V:V,'muddati otgan'!$C:C,$A:A)</f>
        <v>0</v>
      </c>
      <c r="F238" s="10">
        <f>SUMIFS('muddati otgan'!$W:W,'muddati otgan'!$C:C,$A:A)</f>
        <v>0</v>
      </c>
      <c r="G238" s="24">
        <f>SUMIFS('muddati otgan'!$U:U,'muddati otgan'!$C:C,$A:A)</f>
        <v>0</v>
      </c>
      <c r="H238" s="11">
        <f>SUMIFS('muddati otgan'!$G:G,'muddati otgan'!$C:C,$A:A)</f>
        <v>0</v>
      </c>
      <c r="I238" s="12">
        <f>SUMIFS('muddati otgan'!$H:H,'muddati otgan'!$C:C,$A:A)</f>
        <v>0</v>
      </c>
      <c r="J238" s="44">
        <f t="shared" si="329"/>
        <v>0</v>
      </c>
      <c r="K238" s="11">
        <f>+COUNTIFS('muddati otgan'!C:C,A238,'muddati otgan'!AA:AA,"Arizani qabul qilish")</f>
        <v>0</v>
      </c>
      <c r="L238" s="11">
        <f>+COUNTIFS('muddati otgan'!C:C,A238,'muddati otgan'!J:J,"Arizani rad etish")</f>
        <v>0</v>
      </c>
      <c r="M238" s="11">
        <f>+COUNTIFS('muddati otgan'!C:C,A238,'muddati otgan'!J:J,"Arizani tasdiqlash")</f>
        <v>0</v>
      </c>
      <c r="N238" s="11">
        <f>+COUNTIFS('muddati otgan'!C:C,A238,'muddati otgan'!J:J,"Arizani yo'naltirish")</f>
        <v>0</v>
      </c>
      <c r="O238" s="11">
        <f>+COUNTIFS('muddati otgan'!C:C,A238,'muddati otgan'!J:J,"Rad qilish sababini o'rganish")</f>
        <v>0</v>
      </c>
      <c r="P238" s="11">
        <f>+COUNTIFS('muddati otgan'!C:C,A238,'muddati otgan'!J:J,"Ko'chmas mulkni UZKAD ga migratsiya qilish")</f>
        <v>0</v>
      </c>
      <c r="Q238" s="11">
        <f>+COUNTIFS('muddati otgan'!C:C,A238,'muddati otgan'!J:J,"Migratisya qilingan obyekt holatini tekshirish")</f>
        <v>0</v>
      </c>
      <c r="R238" s="11">
        <f>+COUNTIFS('muddati otgan'!C:C,A238,'muddati otgan'!J:J,"Ko‘chmas mulkni tanlash")</f>
        <v>0</v>
      </c>
      <c r="S238" s="11">
        <f>+COUNTIFS('muddati otgan'!C:C,A238,'muddati otgan'!J:J,"Arizani ko'rib chiqish")</f>
        <v>0</v>
      </c>
      <c r="T238" s="11">
        <f>+COUNTIFS('muddati otgan'!C:C,A238,'muddati otgan'!J:J,"Kadastr muhandisini tanlash")</f>
        <v>0</v>
      </c>
      <c r="U238" s="11">
        <f>+COUNTIFS('muddati otgan'!C:C,A238,'muddati otgan'!J:J,"Ko'chmas mulk turini tanlahsh")</f>
        <v>0</v>
      </c>
      <c r="V238" s="11">
        <f>+COUNTIFS('muddati otgan'!C:C,A238,'muddati otgan'!AA:AA,"Rad qilish")</f>
        <v>0</v>
      </c>
      <c r="W238" s="11">
        <f>+COUNTIFS('muddati otgan'!C:C,A238,'muddati otgan'!J:J,"ijrochi tanlash")</f>
        <v>0</v>
      </c>
      <c r="X238" s="11">
        <f>+COUNTIFS('muddati otgan'!C:C,A238,'muddati otgan'!J:J,"Ko'chmas mulk turini tanlash")</f>
        <v>0</v>
      </c>
      <c r="Y238" s="11">
        <f t="shared" si="330"/>
        <v>0</v>
      </c>
      <c r="Z238" s="11">
        <f>+COUNTIFS('muddati otgan'!C:C,A238,'muddati otgan'!J:J,"Ijroga qabul qilish")</f>
        <v>0</v>
      </c>
      <c r="AA238" s="11">
        <f>+COUNTIFS('muddati otgan'!C:C,A238,'muddati otgan'!J:J,"Joyida o'rganish va ma'lumotlarni kiritish")</f>
        <v>0</v>
      </c>
      <c r="AB238" s="11">
        <f>+COUNTIFS('muddati otgan'!C:C,A238,'muddati otgan'!J:J,"Asosiy qismdan ajratish jarayonida")</f>
        <v>0</v>
      </c>
      <c r="AC238" s="11">
        <f>+COUNTIFS('muddati otgan'!C:C,A238,'muddati otgan'!J:J,"Umumiy foydalanishdagi obyekt yaratilish")</f>
        <v>0</v>
      </c>
      <c r="AD238" s="11">
        <f>+COUNTIFS('muddati otgan'!C:C,A238,'muddati otgan'!J:J,"Migratsiya qilinadigan kadastr raqamini kiritish")</f>
        <v>0</v>
      </c>
      <c r="AE238" s="11">
        <f>+COUNTIFS('muddati otgan'!C:C,A238,'muddati otgan'!J:J,"O'zida qolgan obyektni yaratish")</f>
        <v>0</v>
      </c>
      <c r="AF238" s="11">
        <f>+COUNTIFS('muddati otgan'!C:C,A238,'muddati otgan'!J:J,"O'lchov natijalarini kiritish")</f>
        <v>0</v>
      </c>
      <c r="AG238" s="11">
        <f>+COUNTIFS('muddati otgan'!C:C,A238,'muddati otgan'!J:J,"Topoxaritani tayyorlash (dwg, pdf)")</f>
        <v>0</v>
      </c>
      <c r="AH238" s="11">
        <f t="shared" si="331"/>
        <v>0</v>
      </c>
      <c r="AI238" s="11">
        <f>+COUNTIFS('muddati otgan'!C:C,A238,'muddati otgan'!J:J,"Yer uchastkasini yaratish")</f>
        <v>0</v>
      </c>
      <c r="AJ238" s="11">
        <f t="shared" si="332"/>
        <v>0</v>
      </c>
      <c r="AK238" s="11">
        <f>+COUNTIFS('muddati otgan'!C:C,A238,'muddati otgan'!J:J,"Kelishish (Boshqarma)")</f>
        <v>0</v>
      </c>
      <c r="AL238" s="11">
        <f t="shared" si="333"/>
        <v>0</v>
      </c>
      <c r="AM238" s="11">
        <f>+COUNTIFS('muddati otgan'!C:C,A238,'muddati otgan'!J:J,"Kelishish (DKP)")</f>
        <v>0</v>
      </c>
      <c r="AN238" s="11">
        <f>+COUNTIFS('muddati otgan'!C:C,A238,'muddati otgan'!J:J,"Kelishish")</f>
        <v>0</v>
      </c>
      <c r="AO238" s="11">
        <f>+COUNTIFS('muddati otgan'!C:C,A238,'muddati otgan'!J:J,"Kelishish (Registratsiya DKP)")</f>
        <v>0</v>
      </c>
      <c r="AP238" s="11">
        <f t="shared" si="334"/>
        <v>0</v>
      </c>
      <c r="AQ238" s="11">
        <f>+COUNTIFS('muddati otgan'!C:C,A238,'muddati otgan'!J:J,"Manzil biriktirish")</f>
        <v>0</v>
      </c>
      <c r="AR238" s="11">
        <f>+COUNTIFS('muddati otgan'!C:C,A238,'muddati otgan'!J:J,"Bino va inshootlarni yaratish")</f>
        <v>0</v>
      </c>
      <c r="AS238" s="11">
        <f>+COUNTIFS('muddati otgan'!C:C,A238,'muddati otgan'!J:J,"Dov daraxtlarni yaratish")</f>
        <v>0</v>
      </c>
      <c r="AT238" s="11">
        <f>+COUNTIFS('muddati otgan'!C:C,A238,'muddati otgan'!J:J,"Yer uchastkasini tahrirlash")</f>
        <v>0</v>
      </c>
      <c r="AU238" s="11">
        <f t="shared" si="335"/>
        <v>0</v>
      </c>
      <c r="AV238" s="11">
        <f>+COUNTIFS('muddati otgan'!C:C,A238,'muddati otgan'!J:J,"Yer toifasi va maqsadini kiritish")</f>
        <v>0</v>
      </c>
      <c r="AW238" s="11">
        <f>+COUNTIFS('muddati otgan'!C:C,A238,'muddati otgan'!J:J,"Auksion yer tekshirish")</f>
        <v>0</v>
      </c>
      <c r="AX238" s="11">
        <f>+COUNTIFS('muddati otgan'!C:C,A238,'muddati otgan'!J:J,"Yer turlarini kiritish")</f>
        <v>0</v>
      </c>
      <c r="AY238" s="11">
        <f>+COUNTIFS('muddati otgan'!C:C,A238,'muddati otgan'!J:J,"Ma'lumotlarni kiritish")</f>
        <v>0</v>
      </c>
      <c r="AZ238" s="11">
        <f>+COUNTIFS('muddati otgan'!C:C,A238,'muddati otgan'!J:J,"Yer tekshirish")</f>
        <v>0</v>
      </c>
      <c r="BA238" s="11">
        <f t="shared" si="336"/>
        <v>0</v>
      </c>
      <c r="BB238" s="11">
        <f>+COUNTIFS('muddati otgan'!C:C,A238,'muddati otgan'!J:J,"Bino va inshoot ma'lumotlarini to‘ldirish")</f>
        <v>0</v>
      </c>
      <c r="BC238" s="11">
        <f>+COUNTIFS('muddati otgan'!C:C,A238,'muddati otgan'!J:J,"Inventarizatsiya ma'lumotlarini to‘ldirish")</f>
        <v>0</v>
      </c>
      <c r="BD238" s="11">
        <f>+COUNTIFS('muddati otgan'!C:C,A238,'muddati otgan'!J:J,"Yer uchastkasiga huquqiy hujjatlarni kiritsh")</f>
        <v>0</v>
      </c>
      <c r="BE238" s="11">
        <f>+COUNTIFS('muddati otgan'!C:C,A238,'muddati otgan'!J:J,"Bino-inshootlarga huquqiy hujjatlarni kiritsh")</f>
        <v>0</v>
      </c>
      <c r="BF238" s="11">
        <f>+COUNTIFS('muddati otgan'!C:C,A238,'muddati otgan'!J:J,"Kadastr qiymatini hisoblash va kiritish")</f>
        <v>0</v>
      </c>
      <c r="BG238" s="11">
        <f>+COUNTIFS('muddati otgan'!C:C,A238,'muddati otgan'!J:J,"Kadastr raqam biriktirish")</f>
        <v>0</v>
      </c>
      <c r="BH238" s="11">
        <f>+COUNTIFS('muddati otgan'!C:C,A238,'muddati otgan'!J:J,"Kadastr yig'ma jildni tayyorlash")</f>
        <v>0</v>
      </c>
      <c r="BI238" s="11">
        <f>+COUNTIFS('muddati otgan'!C:C,A238,'muddati otgan'!J:J,"Huquqni yaratish")</f>
        <v>0</v>
      </c>
      <c r="BJ238" s="11">
        <f>+COUNTIFS('muddati otgan'!C:C,A238,'muddati otgan'!J:J,"Hujjatlarni o'rganish")</f>
        <v>0</v>
      </c>
      <c r="BK238" s="11">
        <f>+COUNTIFS('muddati otgan'!C:C,A238,'muddati otgan'!J:J,"Ma'lumotlarni tekshirish")</f>
        <v>0</v>
      </c>
      <c r="BL238" s="11">
        <f t="shared" si="337"/>
        <v>0</v>
      </c>
      <c r="BM238" s="11">
        <f>+COUNTIFS('muddati otgan'!C:C,A238,'muddati otgan'!J:J,"Tekshirish")</f>
        <v>0</v>
      </c>
      <c r="BN238" s="11">
        <f>+COUNTIFS('muddati otgan'!C:C,A238,'muddati otgan'!J:J,"Hujjatlarni tekshirish")</f>
        <v>0</v>
      </c>
      <c r="BO238" s="11">
        <f>+COUNTIFS('muddati otgan'!C:C,A238,'muddati otgan'!J:J,"Tasdiqlash")</f>
        <v>0</v>
      </c>
      <c r="BP238" s="11">
        <f>+COUNTIFS('muddati otgan'!C:C,A238,'muddati otgan'!J:J,"tekshirish/tasdiqlash")</f>
        <v>0</v>
      </c>
      <c r="BQ238" s="11">
        <f>+COUNTIFS('muddati otgan'!C:C,A238,'muddati otgan'!J:J,"Ma'lumotlarni tasdiqlash")</f>
        <v>0</v>
      </c>
      <c r="BR238" s="11">
        <f t="shared" si="338"/>
        <v>0</v>
      </c>
      <c r="BS238" s="11">
        <f>+COUNTIFS('muddati otgan'!C:C,A238,'muddati otgan'!J:J,"Ro'yxatdan o'tkazish ma'lumotlarini tekshirish")</f>
        <v>0</v>
      </c>
      <c r="BT238" s="11">
        <f>+COUNTIFS('muddati otgan'!C:C,A238,'muddati otgan'!J:J,"Kamchiliklar bo'yicha habarnoma yuborish va 3 kunga to'xtatish")</f>
        <v>0</v>
      </c>
      <c r="BU238" s="11">
        <f>+COUNTIFS('muddati otgan'!C:C,A238,'muddati otgan'!J:J,"Hisobga olish")</f>
        <v>0</v>
      </c>
      <c r="BV238" s="11">
        <f>+COUNTIFS('muddati otgan'!C:C,A238,'muddati otgan'!J:J,"Yer uchastkasiga huquq yaratish")</f>
        <v>0</v>
      </c>
      <c r="BW238" s="11">
        <f>+COUNTIFS('muddati otgan'!C:C,A238,'muddati otgan'!J:J,"Bino-inshootga huquq yaratish")</f>
        <v>0</v>
      </c>
      <c r="BX238" s="11">
        <f>+COUNTIFS('muddati otgan'!C:C,A238,'muddati otgan'!J:J,"Cheklov yaratish")</f>
        <v>0</v>
      </c>
      <c r="BY238" s="11">
        <f>+COUNTIFS('muddati otgan'!C:C,A238,'muddati otgan'!J:J,"Taqiq yaratish")</f>
        <v>0</v>
      </c>
      <c r="BZ238" s="11">
        <f t="shared" si="339"/>
        <v>0</v>
      </c>
      <c r="CA238" s="11">
        <f>+COUNTIFS('muddati otgan'!C:C,A238,'muddati otgan'!J:J,"Soliq maydonini tekshirish")</f>
        <v>0</v>
      </c>
      <c r="CB238" s="11">
        <f t="shared" si="340"/>
        <v>0</v>
      </c>
      <c r="CC238" s="11">
        <f>+COUNTIFS('muddati otgan'!C:C,A238,'muddati otgan'!J:J,"Kadastr yig'majildini shakllantirish")</f>
        <v>0</v>
      </c>
      <c r="CD238" s="11">
        <f t="shared" si="341"/>
        <v>0</v>
      </c>
      <c r="CE238" s="11">
        <f>+COUNTIFS('muddati otgan'!C:C,A238,'muddati otgan'!J:J,"Kadastr passportini shakllantirish")</f>
        <v>0</v>
      </c>
      <c r="CF238" s="11">
        <f>+COUNTIFS('muddati otgan'!C:C,A238,'muddati otgan'!J:J,"Yig'ma jildni tasdiqlash")</f>
        <v>0</v>
      </c>
      <c r="CG238" s="11">
        <f>+COUNTIFS('muddati otgan'!C:C,A238,'muddati otgan'!J:J,"To'lov yoki bepul tasdiqlash")</f>
        <v>0</v>
      </c>
      <c r="CH238" s="11">
        <f>+COUNTIFS('muddati otgan'!C:C,A238,'muddati otgan'!J:J,"Bog'liq arizani kutish")</f>
        <v>0</v>
      </c>
      <c r="CI238" s="11">
        <f>+COUNTIFS('muddati otgan'!C:C,A238,'muddati otgan'!J:J,"To'lovga chiqarish")</f>
        <v>0</v>
      </c>
      <c r="CJ238" s="11">
        <f>+COUNTIFS('muddati otgan'!C:C,A238,'muddati otgan'!J:J,"Hisobga qo'yish")</f>
        <v>0</v>
      </c>
      <c r="CK238" s="6">
        <f>+COUNTIFS('muddati otgan'!C:C,A238,'muddati otgan'!J:J,"To'lov kutilmoqda")</f>
        <v>0</v>
      </c>
      <c r="CL238" s="11">
        <f t="shared" si="342"/>
        <v>0</v>
      </c>
      <c r="CM238" s="11">
        <f>+COUNTIFS('muddati otgan'!C:C,A238,'muddati otgan'!AA:AA,"Arizani qabul qilish2")</f>
        <v>0</v>
      </c>
      <c r="CN238" s="11">
        <f>+COUNTIFS('muddati otgan'!C:C,A238,'muddati otgan'!J:J,"Huquqlarni tekshirish")</f>
        <v>0</v>
      </c>
      <c r="CO238" s="11">
        <f>+COUNTIFS('muddati otgan'!C:C,A238,'muddati otgan'!J:J,"Ko'chmas mulkni ro'yhatdan o'tkazishga qabul qilish")</f>
        <v>0</v>
      </c>
      <c r="CP238" s="11">
        <f>+COUNTIFS('muddati otgan'!C:C,A238,'muddati otgan'!J:J,"Ro'yxatdan o'tkazish")</f>
        <v>0</v>
      </c>
      <c r="CQ238" s="11">
        <f>+COUNTIFS('muddati otgan'!C:C,A238,'muddati otgan'!J:J,"Kadastr pasporti va ko'chirmani yuborish")</f>
        <v>0</v>
      </c>
      <c r="CR238" s="11">
        <f>+COUNTIFS('muddati otgan'!C:C,A238,'muddati otgan'!AA:AA,"Rad qilish2")</f>
        <v>0</v>
      </c>
      <c r="CS238" s="11">
        <f>+COUNTIFS('muddati otgan'!C:C,A238,'muddati otgan'!J:J,"Ko'chirmani yuborish")</f>
        <v>0</v>
      </c>
      <c r="CT238" s="11">
        <f>+COUNTIFS('muddati otgan'!C:C,A238,'muddati otgan'!J:J,"Ma‘lumotlarni tekshirish")</f>
        <v>0</v>
      </c>
      <c r="CU238" s="11">
        <f t="shared" si="343"/>
        <v>0</v>
      </c>
      <c r="CV238" s="11">
        <f>+COUNTIFS('muddati otgan'!C:C,A238,'muddati otgan'!J:J,"Kadastr yig'majildini chop etish va arxiv ishiga tikish")</f>
        <v>0</v>
      </c>
      <c r="CW238" s="11">
        <f t="shared" si="344"/>
        <v>0</v>
      </c>
      <c r="CX238" s="11">
        <f>+COUNTIFS('muddati otgan'!C:C,A238,'muddati otgan'!J:J,"Kadastr yig‘majildini qabul qilish, arizani yakunlash")</f>
        <v>0</v>
      </c>
      <c r="CY238" s="11">
        <f>+COUNTIFS('muddati otgan'!C:C,A238,'muddati otgan'!J:J,"Next Cloudga yuklash")</f>
        <v>0</v>
      </c>
      <c r="CZ238" s="6">
        <f>+COUNTIFS('muddati otgan'!C:C,A238,'muddati otgan'!J:J,"Kelishish kutilmoqda")</f>
        <v>0</v>
      </c>
      <c r="DA238" s="6">
        <f>+COUNTIFS('muddati otgan'!C:C,A238,'muddati otgan'!J:J,"Yakunlandi")</f>
        <v>0</v>
      </c>
      <c r="DB238" s="10">
        <f>+COUNTIFS('muddati otgan'!C:C,A238,'muddati otgan'!J:J,"Rad etildi")</f>
        <v>0</v>
      </c>
      <c r="DC238" s="100">
        <f t="shared" si="345"/>
        <v>0</v>
      </c>
      <c r="DD238" s="44">
        <f>COUNTIFS('jami 1-20 kunlik arizalar'!C:C,A:A,'jami 1-20 kunlik arizalar'!S:S,"1")</f>
        <v>0</v>
      </c>
      <c r="DE238" s="11">
        <f>COUNTIFS('jami 1-20 kunlik arizalar'!C:C,A:A,'jami 1-20 kunlik arizalar'!S:S,"2")</f>
        <v>0</v>
      </c>
      <c r="DF238" s="11">
        <f>COUNTIFS('jami 1-20 kunlik arizalar'!C:C,A:A,'jami 1-20 kunlik arizalar'!S:S,"3")</f>
        <v>1</v>
      </c>
      <c r="DG238" s="11">
        <f>COUNTIFS('jami 1-20 kunlik arizalar'!C:C,A:A,'jami 1-20 kunlik arizalar'!S:S,"4")</f>
        <v>3</v>
      </c>
      <c r="DH238" s="11">
        <f>COUNTIFS('jami 1-20 kunlik arizalar'!C:C,A:A,'jami 1-20 kunlik arizalar'!S:S,"5")</f>
        <v>0</v>
      </c>
      <c r="DI238" s="11">
        <f>SUM(COUNTIFS('jami 1-20 kunlik arizalar'!C:C,A:A, 'jami 1-20 kunlik arizalar'!S:S, {6,7,8,9,10}))</f>
        <v>3</v>
      </c>
      <c r="DJ238" s="12">
        <f>SUM(COUNTIFS('jami 1-20 kunlik arizalar'!C:C,A:A, 'jami 1-20 kunlik arizalar'!S:S, "&gt;10"))</f>
        <v>2</v>
      </c>
    </row>
    <row r="239" spans="1:115" ht="32.1" hidden="1" customHeight="1" outlineLevel="1" x14ac:dyDescent="0.25">
      <c r="A239" s="92" t="s">
        <v>728</v>
      </c>
      <c r="B239" s="74"/>
      <c r="C239" s="85" t="s">
        <v>923</v>
      </c>
      <c r="D239" s="80">
        <f>+COUNTIFS('muddati otgan'!C:C,A239,'muddati otgan'!C:C,A239)</f>
        <v>3</v>
      </c>
      <c r="E239" s="10">
        <f>SUMIFS('muddati otgan'!$V:V,'muddati otgan'!$C:C,$A:A)</f>
        <v>3</v>
      </c>
      <c r="F239" s="10">
        <f>SUMIFS('muddati otgan'!$W:W,'muddati otgan'!$C:C,$A:A)</f>
        <v>0</v>
      </c>
      <c r="G239" s="24">
        <f>SUMIFS('muddati otgan'!$U:U,'muddati otgan'!$C:C,$A:A)</f>
        <v>0</v>
      </c>
      <c r="H239" s="11">
        <f>SUMIFS('muddati otgan'!$G:G,'muddati otgan'!$C:C,$A:A)</f>
        <v>2</v>
      </c>
      <c r="I239" s="12">
        <f>SUMIFS('muddati otgan'!$H:H,'muddati otgan'!$C:C,$A:A)</f>
        <v>1</v>
      </c>
      <c r="J239" s="44">
        <f t="shared" si="329"/>
        <v>0</v>
      </c>
      <c r="K239" s="11">
        <f>+COUNTIFS('muddati otgan'!C:C,A239,'muddati otgan'!AA:AA,"Arizani qabul qilish")</f>
        <v>0</v>
      </c>
      <c r="L239" s="11">
        <f>+COUNTIFS('muddati otgan'!C:C,A239,'muddati otgan'!J:J,"Arizani rad etish")</f>
        <v>0</v>
      </c>
      <c r="M239" s="11">
        <f>+COUNTIFS('muddati otgan'!C:C,A239,'muddati otgan'!J:J,"Arizani tasdiqlash")</f>
        <v>0</v>
      </c>
      <c r="N239" s="11">
        <f>+COUNTIFS('muddati otgan'!C:C,A239,'muddati otgan'!J:J,"Arizani yo'naltirish")</f>
        <v>0</v>
      </c>
      <c r="O239" s="11">
        <f>+COUNTIFS('muddati otgan'!C:C,A239,'muddati otgan'!J:J,"Rad qilish sababini o'rganish")</f>
        <v>0</v>
      </c>
      <c r="P239" s="11">
        <f>+COUNTIFS('muddati otgan'!C:C,A239,'muddati otgan'!J:J,"Ko'chmas mulkni UZKAD ga migratsiya qilish")</f>
        <v>0</v>
      </c>
      <c r="Q239" s="11">
        <f>+COUNTIFS('muddati otgan'!C:C,A239,'muddati otgan'!J:J,"Migratisya qilingan obyekt holatini tekshirish")</f>
        <v>0</v>
      </c>
      <c r="R239" s="11">
        <f>+COUNTIFS('muddati otgan'!C:C,A239,'muddati otgan'!J:J,"Ko‘chmas mulkni tanlash")</f>
        <v>0</v>
      </c>
      <c r="S239" s="11">
        <f>+COUNTIFS('muddati otgan'!C:C,A239,'muddati otgan'!J:J,"Arizani ko'rib chiqish")</f>
        <v>0</v>
      </c>
      <c r="T239" s="11">
        <f>+COUNTIFS('muddati otgan'!C:C,A239,'muddati otgan'!J:J,"Kadastr muhandisini tanlash")</f>
        <v>0</v>
      </c>
      <c r="U239" s="11">
        <f>+COUNTIFS('muddati otgan'!C:C,A239,'muddati otgan'!J:J,"Ko'chmas mulk turini tanlahsh")</f>
        <v>0</v>
      </c>
      <c r="V239" s="11">
        <f>+COUNTIFS('muddati otgan'!C:C,A239,'muddati otgan'!AA:AA,"Rad qilish")</f>
        <v>0</v>
      </c>
      <c r="W239" s="11">
        <f>+COUNTIFS('muddati otgan'!C:C,A239,'muddati otgan'!J:J,"ijrochi tanlash")</f>
        <v>0</v>
      </c>
      <c r="X239" s="11">
        <f>+COUNTIFS('muddati otgan'!C:C,A239,'muddati otgan'!J:J,"Ko'chmas mulk turini tanlash")</f>
        <v>0</v>
      </c>
      <c r="Y239" s="11">
        <f t="shared" si="330"/>
        <v>0</v>
      </c>
      <c r="Z239" s="11">
        <f>+COUNTIFS('muddati otgan'!C:C,A239,'muddati otgan'!J:J,"Ijroga qabul qilish")</f>
        <v>0</v>
      </c>
      <c r="AA239" s="11">
        <f>+COUNTIFS('muddati otgan'!C:C,A239,'muddati otgan'!J:J,"Joyida o'rganish va ma'lumotlarni kiritish")</f>
        <v>0</v>
      </c>
      <c r="AB239" s="11">
        <f>+COUNTIFS('muddati otgan'!C:C,A239,'muddati otgan'!J:J,"Asosiy qismdan ajratish jarayonida")</f>
        <v>0</v>
      </c>
      <c r="AC239" s="11">
        <f>+COUNTIFS('muddati otgan'!C:C,A239,'muddati otgan'!J:J,"Umumiy foydalanishdagi obyekt yaratilish")</f>
        <v>0</v>
      </c>
      <c r="AD239" s="11">
        <f>+COUNTIFS('muddati otgan'!C:C,A239,'muddati otgan'!J:J,"Migratsiya qilinadigan kadastr raqamini kiritish")</f>
        <v>0</v>
      </c>
      <c r="AE239" s="11">
        <f>+COUNTIFS('muddati otgan'!C:C,A239,'muddati otgan'!J:J,"O'zida qolgan obyektni yaratish")</f>
        <v>0</v>
      </c>
      <c r="AF239" s="11">
        <f>+COUNTIFS('muddati otgan'!C:C,A239,'muddati otgan'!J:J,"O'lchov natijalarini kiritish")</f>
        <v>0</v>
      </c>
      <c r="AG239" s="11">
        <f>+COUNTIFS('muddati otgan'!C:C,A239,'muddati otgan'!J:J,"Topoxaritani tayyorlash (dwg, pdf)")</f>
        <v>0</v>
      </c>
      <c r="AH239" s="11">
        <f t="shared" si="331"/>
        <v>0</v>
      </c>
      <c r="AI239" s="11">
        <f>+COUNTIFS('muddati otgan'!C:C,A239,'muddati otgan'!J:J,"Yer uchastkasini yaratish")</f>
        <v>0</v>
      </c>
      <c r="AJ239" s="11">
        <f t="shared" si="332"/>
        <v>0</v>
      </c>
      <c r="AK239" s="11">
        <f>+COUNTIFS('muddati otgan'!C:C,A239,'muddati otgan'!J:J,"Kelishish (Boshqarma)")</f>
        <v>0</v>
      </c>
      <c r="AL239" s="11">
        <f t="shared" si="333"/>
        <v>0</v>
      </c>
      <c r="AM239" s="11">
        <f>+COUNTIFS('muddati otgan'!C:C,A239,'muddati otgan'!J:J,"Kelishish (DKP)")</f>
        <v>0</v>
      </c>
      <c r="AN239" s="11">
        <f>+COUNTIFS('muddati otgan'!C:C,A239,'muddati otgan'!J:J,"Kelishish")</f>
        <v>0</v>
      </c>
      <c r="AO239" s="11">
        <f>+COUNTIFS('muddati otgan'!C:C,A239,'muddati otgan'!J:J,"Kelishish (Registratsiya DKP)")</f>
        <v>0</v>
      </c>
      <c r="AP239" s="11">
        <f t="shared" si="334"/>
        <v>0</v>
      </c>
      <c r="AQ239" s="11">
        <f>+COUNTIFS('muddati otgan'!C:C,A239,'muddati otgan'!J:J,"Manzil biriktirish")</f>
        <v>0</v>
      </c>
      <c r="AR239" s="11">
        <f>+COUNTIFS('muddati otgan'!C:C,A239,'muddati otgan'!J:J,"Bino va inshootlarni yaratish")</f>
        <v>0</v>
      </c>
      <c r="AS239" s="11">
        <f>+COUNTIFS('muddati otgan'!C:C,A239,'muddati otgan'!J:J,"Dov daraxtlarni yaratish")</f>
        <v>0</v>
      </c>
      <c r="AT239" s="11">
        <f>+COUNTIFS('muddati otgan'!C:C,A239,'muddati otgan'!J:J,"Yer uchastkasini tahrirlash")</f>
        <v>0</v>
      </c>
      <c r="AU239" s="11">
        <f t="shared" si="335"/>
        <v>0</v>
      </c>
      <c r="AV239" s="11">
        <f>+COUNTIFS('muddati otgan'!C:C,A239,'muddati otgan'!J:J,"Yer toifasi va maqsadini kiritish")</f>
        <v>0</v>
      </c>
      <c r="AW239" s="11">
        <f>+COUNTIFS('muddati otgan'!C:C,A239,'muddati otgan'!J:J,"Auksion yer tekshirish")</f>
        <v>0</v>
      </c>
      <c r="AX239" s="11">
        <f>+COUNTIFS('muddati otgan'!C:C,A239,'muddati otgan'!J:J,"Yer turlarini kiritish")</f>
        <v>0</v>
      </c>
      <c r="AY239" s="11">
        <f>+COUNTIFS('muddati otgan'!C:C,A239,'muddati otgan'!J:J,"Ma'lumotlarni kiritish")</f>
        <v>0</v>
      </c>
      <c r="AZ239" s="11">
        <f>+COUNTIFS('muddati otgan'!C:C,A239,'muddati otgan'!J:J,"Yer tekshirish")</f>
        <v>0</v>
      </c>
      <c r="BA239" s="11">
        <f t="shared" si="336"/>
        <v>0</v>
      </c>
      <c r="BB239" s="11">
        <f>+COUNTIFS('muddati otgan'!C:C,A239,'muddati otgan'!J:J,"Bino va inshoot ma'lumotlarini to‘ldirish")</f>
        <v>0</v>
      </c>
      <c r="BC239" s="11">
        <f>+COUNTIFS('muddati otgan'!C:C,A239,'muddati otgan'!J:J,"Inventarizatsiya ma'lumotlarini to‘ldirish")</f>
        <v>0</v>
      </c>
      <c r="BD239" s="11">
        <f>+COUNTIFS('muddati otgan'!C:C,A239,'muddati otgan'!J:J,"Yer uchastkasiga huquqiy hujjatlarni kiritsh")</f>
        <v>0</v>
      </c>
      <c r="BE239" s="11">
        <f>+COUNTIFS('muddati otgan'!C:C,A239,'muddati otgan'!J:J,"Bino-inshootlarga huquqiy hujjatlarni kiritsh")</f>
        <v>0</v>
      </c>
      <c r="BF239" s="11">
        <f>+COUNTIFS('muddati otgan'!C:C,A239,'muddati otgan'!J:J,"Kadastr qiymatini hisoblash va kiritish")</f>
        <v>0</v>
      </c>
      <c r="BG239" s="11">
        <f>+COUNTIFS('muddati otgan'!C:C,A239,'muddati otgan'!J:J,"Kadastr raqam biriktirish")</f>
        <v>0</v>
      </c>
      <c r="BH239" s="11">
        <f>+COUNTIFS('muddati otgan'!C:C,A239,'muddati otgan'!J:J,"Kadastr yig'ma jildni tayyorlash")</f>
        <v>0</v>
      </c>
      <c r="BI239" s="11">
        <f>+COUNTIFS('muddati otgan'!C:C,A239,'muddati otgan'!J:J,"Huquqni yaratish")</f>
        <v>0</v>
      </c>
      <c r="BJ239" s="11">
        <f>+COUNTIFS('muddati otgan'!C:C,A239,'muddati otgan'!J:J,"Hujjatlarni o'rganish")</f>
        <v>0</v>
      </c>
      <c r="BK239" s="11">
        <f>+COUNTIFS('muddati otgan'!C:C,A239,'muddati otgan'!J:J,"Ma'lumotlarni tekshirish")</f>
        <v>0</v>
      </c>
      <c r="BL239" s="11">
        <f t="shared" si="337"/>
        <v>0</v>
      </c>
      <c r="BM239" s="11">
        <f>+COUNTIFS('muddati otgan'!C:C,A239,'muddati otgan'!J:J,"Tekshirish")</f>
        <v>0</v>
      </c>
      <c r="BN239" s="11">
        <f>+COUNTIFS('muddati otgan'!C:C,A239,'muddati otgan'!J:J,"Hujjatlarni tekshirish")</f>
        <v>0</v>
      </c>
      <c r="BO239" s="11">
        <f>+COUNTIFS('muddati otgan'!C:C,A239,'muddati otgan'!J:J,"Tasdiqlash")</f>
        <v>0</v>
      </c>
      <c r="BP239" s="11">
        <f>+COUNTIFS('muddati otgan'!C:C,A239,'muddati otgan'!J:J,"tekshirish/tasdiqlash")</f>
        <v>0</v>
      </c>
      <c r="BQ239" s="11">
        <f>+COUNTIFS('muddati otgan'!C:C,A239,'muddati otgan'!J:J,"Ma'lumotlarni tasdiqlash")</f>
        <v>0</v>
      </c>
      <c r="BR239" s="11">
        <f t="shared" si="338"/>
        <v>0</v>
      </c>
      <c r="BS239" s="11">
        <f>+COUNTIFS('muddati otgan'!C:C,A239,'muddati otgan'!J:J,"Ro'yxatdan o'tkazish ma'lumotlarini tekshirish")</f>
        <v>0</v>
      </c>
      <c r="BT239" s="11">
        <f>+COUNTIFS('muddati otgan'!C:C,A239,'muddati otgan'!J:J,"Kamchiliklar bo'yicha habarnoma yuborish va 3 kunga to'xtatish")</f>
        <v>0</v>
      </c>
      <c r="BU239" s="11">
        <f>+COUNTIFS('muddati otgan'!C:C,A239,'muddati otgan'!J:J,"Hisobga olish")</f>
        <v>0</v>
      </c>
      <c r="BV239" s="11">
        <f>+COUNTIFS('muddati otgan'!C:C,A239,'muddati otgan'!J:J,"Yer uchastkasiga huquq yaratish")</f>
        <v>0</v>
      </c>
      <c r="BW239" s="11">
        <f>+COUNTIFS('muddati otgan'!C:C,A239,'muddati otgan'!J:J,"Bino-inshootga huquq yaratish")</f>
        <v>0</v>
      </c>
      <c r="BX239" s="11">
        <f>+COUNTIFS('muddati otgan'!C:C,A239,'muddati otgan'!J:J,"Cheklov yaratish")</f>
        <v>0</v>
      </c>
      <c r="BY239" s="11">
        <f>+COUNTIFS('muddati otgan'!C:C,A239,'muddati otgan'!J:J,"Taqiq yaratish")</f>
        <v>0</v>
      </c>
      <c r="BZ239" s="11">
        <f t="shared" si="339"/>
        <v>0</v>
      </c>
      <c r="CA239" s="11">
        <f>+COUNTIFS('muddati otgan'!C:C,A239,'muddati otgan'!J:J,"Soliq maydonini tekshirish")</f>
        <v>0</v>
      </c>
      <c r="CB239" s="11">
        <f t="shared" si="340"/>
        <v>0</v>
      </c>
      <c r="CC239" s="11">
        <f>+COUNTIFS('muddati otgan'!C:C,A239,'muddati otgan'!J:J,"Kadastr yig'majildini shakllantirish")</f>
        <v>0</v>
      </c>
      <c r="CD239" s="11">
        <f t="shared" si="341"/>
        <v>0</v>
      </c>
      <c r="CE239" s="11">
        <f>+COUNTIFS('muddati otgan'!C:C,A239,'muddati otgan'!J:J,"Kadastr passportini shakllantirish")</f>
        <v>0</v>
      </c>
      <c r="CF239" s="11">
        <f>+COUNTIFS('muddati otgan'!C:C,A239,'muddati otgan'!J:J,"Yig'ma jildni tasdiqlash")</f>
        <v>0</v>
      </c>
      <c r="CG239" s="11">
        <f>+COUNTIFS('muddati otgan'!C:C,A239,'muddati otgan'!J:J,"To'lov yoki bepul tasdiqlash")</f>
        <v>0</v>
      </c>
      <c r="CH239" s="11">
        <f>+COUNTIFS('muddati otgan'!C:C,A239,'muddati otgan'!J:J,"Bog'liq arizani kutish")</f>
        <v>0</v>
      </c>
      <c r="CI239" s="11">
        <f>+COUNTIFS('muddati otgan'!C:C,A239,'muddati otgan'!J:J,"To'lovga chiqarish")</f>
        <v>0</v>
      </c>
      <c r="CJ239" s="11">
        <f>+COUNTIFS('muddati otgan'!C:C,A239,'muddati otgan'!J:J,"Hisobga qo'yish")</f>
        <v>0</v>
      </c>
      <c r="CK239" s="6">
        <f>+COUNTIFS('muddati otgan'!C:C,A239,'muddati otgan'!J:J,"To'lov kutilmoqda")</f>
        <v>0</v>
      </c>
      <c r="CL239" s="11">
        <f t="shared" si="342"/>
        <v>0</v>
      </c>
      <c r="CM239" s="11">
        <f>+COUNTIFS('muddati otgan'!C:C,A239,'muddati otgan'!AA:AA,"Arizani qabul qilish2")</f>
        <v>0</v>
      </c>
      <c r="CN239" s="11">
        <f>+COUNTIFS('muddati otgan'!C:C,A239,'muddati otgan'!J:J,"Huquqlarni tekshirish")</f>
        <v>0</v>
      </c>
      <c r="CO239" s="11">
        <f>+COUNTIFS('muddati otgan'!C:C,A239,'muddati otgan'!J:J,"Ko'chmas mulkni ro'yhatdan o'tkazishga qabul qilish")</f>
        <v>0</v>
      </c>
      <c r="CP239" s="11">
        <f>+COUNTIFS('muddati otgan'!C:C,A239,'muddati otgan'!J:J,"Ro'yxatdan o'tkazish")</f>
        <v>0</v>
      </c>
      <c r="CQ239" s="11">
        <f>+COUNTIFS('muddati otgan'!C:C,A239,'muddati otgan'!J:J,"Kadastr pasporti va ko'chirmani yuborish")</f>
        <v>0</v>
      </c>
      <c r="CR239" s="11">
        <f>+COUNTIFS('muddati otgan'!C:C,A239,'muddati otgan'!AA:AA,"Rad qilish2")</f>
        <v>0</v>
      </c>
      <c r="CS239" s="11">
        <f>+COUNTIFS('muddati otgan'!C:C,A239,'muddati otgan'!J:J,"Ko'chirmani yuborish")</f>
        <v>0</v>
      </c>
      <c r="CT239" s="11">
        <f>+COUNTIFS('muddati otgan'!C:C,A239,'muddati otgan'!J:J,"Ma‘lumotlarni tekshirish")</f>
        <v>0</v>
      </c>
      <c r="CU239" s="11">
        <f t="shared" si="343"/>
        <v>0</v>
      </c>
      <c r="CV239" s="11">
        <f>+COUNTIFS('muddati otgan'!C:C,A239,'muddati otgan'!J:J,"Kadastr yig'majildini chop etish va arxiv ishiga tikish")</f>
        <v>0</v>
      </c>
      <c r="CW239" s="11">
        <f t="shared" si="344"/>
        <v>1</v>
      </c>
      <c r="CX239" s="11">
        <f>+COUNTIFS('muddati otgan'!C:C,A239,'muddati otgan'!J:J,"Kadastr yig‘majildini qabul qilish, arizani yakunlash")</f>
        <v>1</v>
      </c>
      <c r="CY239" s="11">
        <f>+COUNTIFS('muddati otgan'!C:C,A239,'muddati otgan'!J:J,"Next Cloudga yuklash")</f>
        <v>0</v>
      </c>
      <c r="CZ239" s="6">
        <f>+COUNTIFS('muddati otgan'!C:C,A239,'muddati otgan'!J:J,"Kelishish kutilmoqda")</f>
        <v>0</v>
      </c>
      <c r="DA239" s="6">
        <f>+COUNTIFS('muddati otgan'!C:C,A239,'muddati otgan'!J:J,"Yakunlandi")</f>
        <v>2</v>
      </c>
      <c r="DB239" s="10">
        <f>+COUNTIFS('muddati otgan'!C:C,A239,'muddati otgan'!J:J,"Rad etildi")</f>
        <v>0</v>
      </c>
      <c r="DC239" s="100">
        <f t="shared" si="345"/>
        <v>-1</v>
      </c>
      <c r="DD239" s="44">
        <f>COUNTIFS('jami 1-20 kunlik arizalar'!C:C,A:A,'jami 1-20 kunlik arizalar'!S:S,"1")</f>
        <v>0</v>
      </c>
      <c r="DE239" s="11">
        <f>COUNTIFS('jami 1-20 kunlik arizalar'!C:C,A:A,'jami 1-20 kunlik arizalar'!S:S,"2")</f>
        <v>0</v>
      </c>
      <c r="DF239" s="11">
        <f>COUNTIFS('jami 1-20 kunlik arizalar'!C:C,A:A,'jami 1-20 kunlik arizalar'!S:S,"3")</f>
        <v>1</v>
      </c>
      <c r="DG239" s="11">
        <f>COUNTIFS('jami 1-20 kunlik arizalar'!C:C,A:A,'jami 1-20 kunlik arizalar'!S:S,"4")</f>
        <v>2</v>
      </c>
      <c r="DH239" s="11">
        <f>COUNTIFS('jami 1-20 kunlik arizalar'!C:C,A:A,'jami 1-20 kunlik arizalar'!S:S,"5")</f>
        <v>6</v>
      </c>
      <c r="DI239" s="11">
        <f>SUM(COUNTIFS('jami 1-20 kunlik arizalar'!C:C,A:A, 'jami 1-20 kunlik arizalar'!S:S, {6,7,8,9,10}))</f>
        <v>13</v>
      </c>
      <c r="DJ239" s="12">
        <f>SUM(COUNTIFS('jami 1-20 kunlik arizalar'!C:C,A:A, 'jami 1-20 kunlik arizalar'!S:S, "&gt;10"))</f>
        <v>13</v>
      </c>
    </row>
    <row r="240" spans="1:115" ht="32.1" hidden="1" customHeight="1" outlineLevel="1" x14ac:dyDescent="0.25">
      <c r="A240" s="92" t="s">
        <v>733</v>
      </c>
      <c r="B240" s="74"/>
      <c r="C240" s="85" t="s">
        <v>924</v>
      </c>
      <c r="D240" s="80">
        <f>+COUNTIFS('muddati otgan'!C:C,A240,'muddati otgan'!C:C,A240)</f>
        <v>1</v>
      </c>
      <c r="E240" s="10">
        <f>SUMIFS('muddati otgan'!$V:V,'muddati otgan'!$C:C,$A:A)</f>
        <v>1</v>
      </c>
      <c r="F240" s="10">
        <f>SUMIFS('muddati otgan'!$W:W,'muddati otgan'!$C:C,$A:A)</f>
        <v>0</v>
      </c>
      <c r="G240" s="24">
        <f>SUMIFS('muddati otgan'!$U:U,'muddati otgan'!$C:C,$A:A)</f>
        <v>0</v>
      </c>
      <c r="H240" s="11">
        <f>SUMIFS('muddati otgan'!$G:G,'muddati otgan'!$C:C,$A:A)</f>
        <v>1</v>
      </c>
      <c r="I240" s="12">
        <f>SUMIFS('muddati otgan'!$H:H,'muddati otgan'!$C:C,$A:A)</f>
        <v>0</v>
      </c>
      <c r="J240" s="44">
        <f t="shared" si="329"/>
        <v>0</v>
      </c>
      <c r="K240" s="11">
        <f>+COUNTIFS('muddati otgan'!C:C,A240,'muddati otgan'!AA:AA,"Arizani qabul qilish")</f>
        <v>0</v>
      </c>
      <c r="L240" s="11">
        <f>+COUNTIFS('muddati otgan'!C:C,A240,'muddati otgan'!J:J,"Arizani rad etish")</f>
        <v>0</v>
      </c>
      <c r="M240" s="11">
        <f>+COUNTIFS('muddati otgan'!C:C,A240,'muddati otgan'!J:J,"Arizani tasdiqlash")</f>
        <v>0</v>
      </c>
      <c r="N240" s="11">
        <f>+COUNTIFS('muddati otgan'!C:C,A240,'muddati otgan'!J:J,"Arizani yo'naltirish")</f>
        <v>0</v>
      </c>
      <c r="O240" s="11">
        <f>+COUNTIFS('muddati otgan'!C:C,A240,'muddati otgan'!J:J,"Rad qilish sababini o'rganish")</f>
        <v>0</v>
      </c>
      <c r="P240" s="11">
        <f>+COUNTIFS('muddati otgan'!C:C,A240,'muddati otgan'!J:J,"Ko'chmas mulkni UZKAD ga migratsiya qilish")</f>
        <v>0</v>
      </c>
      <c r="Q240" s="11">
        <f>+COUNTIFS('muddati otgan'!C:C,A240,'muddati otgan'!J:J,"Migratisya qilingan obyekt holatini tekshirish")</f>
        <v>0</v>
      </c>
      <c r="R240" s="11">
        <f>+COUNTIFS('muddati otgan'!C:C,A240,'muddati otgan'!J:J,"Ko‘chmas mulkni tanlash")</f>
        <v>0</v>
      </c>
      <c r="S240" s="11">
        <f>+COUNTIFS('muddati otgan'!C:C,A240,'muddati otgan'!J:J,"Arizani ko'rib chiqish")</f>
        <v>0</v>
      </c>
      <c r="T240" s="11">
        <f>+COUNTIFS('muddati otgan'!C:C,A240,'muddati otgan'!J:J,"Kadastr muhandisini tanlash")</f>
        <v>0</v>
      </c>
      <c r="U240" s="11">
        <f>+COUNTIFS('muddati otgan'!C:C,A240,'muddati otgan'!J:J,"Ko'chmas mulk turini tanlahsh")</f>
        <v>0</v>
      </c>
      <c r="V240" s="11">
        <f>+COUNTIFS('muddati otgan'!C:C,A240,'muddati otgan'!AA:AA,"Rad qilish")</f>
        <v>0</v>
      </c>
      <c r="W240" s="11">
        <f>+COUNTIFS('muddati otgan'!C:C,A240,'muddati otgan'!J:J,"ijrochi tanlash")</f>
        <v>0</v>
      </c>
      <c r="X240" s="11">
        <f>+COUNTIFS('muddati otgan'!C:C,A240,'muddati otgan'!J:J,"Ko'chmas mulk turini tanlash")</f>
        <v>0</v>
      </c>
      <c r="Y240" s="11">
        <f t="shared" si="330"/>
        <v>0</v>
      </c>
      <c r="Z240" s="11">
        <f>+COUNTIFS('muddati otgan'!C:C,A240,'muddati otgan'!J:J,"Ijroga qabul qilish")</f>
        <v>0</v>
      </c>
      <c r="AA240" s="11">
        <f>+COUNTIFS('muddati otgan'!C:C,A240,'muddati otgan'!J:J,"Joyida o'rganish va ma'lumotlarni kiritish")</f>
        <v>0</v>
      </c>
      <c r="AB240" s="11">
        <f>+COUNTIFS('muddati otgan'!C:C,A240,'muddati otgan'!J:J,"Asosiy qismdan ajratish jarayonida")</f>
        <v>0</v>
      </c>
      <c r="AC240" s="11">
        <f>+COUNTIFS('muddati otgan'!C:C,A240,'muddati otgan'!J:J,"Umumiy foydalanishdagi obyekt yaratilish")</f>
        <v>0</v>
      </c>
      <c r="AD240" s="11">
        <f>+COUNTIFS('muddati otgan'!C:C,A240,'muddati otgan'!J:J,"Migratsiya qilinadigan kadastr raqamini kiritish")</f>
        <v>0</v>
      </c>
      <c r="AE240" s="11">
        <f>+COUNTIFS('muddati otgan'!C:C,A240,'muddati otgan'!J:J,"O'zida qolgan obyektni yaratish")</f>
        <v>0</v>
      </c>
      <c r="AF240" s="11">
        <f>+COUNTIFS('muddati otgan'!C:C,A240,'muddati otgan'!J:J,"O'lchov natijalarini kiritish")</f>
        <v>0</v>
      </c>
      <c r="AG240" s="11">
        <f>+COUNTIFS('muddati otgan'!C:C,A240,'muddati otgan'!J:J,"Topoxaritani tayyorlash (dwg, pdf)")</f>
        <v>0</v>
      </c>
      <c r="AH240" s="11">
        <f t="shared" si="331"/>
        <v>0</v>
      </c>
      <c r="AI240" s="11">
        <f>+COUNTIFS('muddati otgan'!C:C,A240,'muddati otgan'!J:J,"Yer uchastkasini yaratish")</f>
        <v>0</v>
      </c>
      <c r="AJ240" s="11">
        <f t="shared" si="332"/>
        <v>0</v>
      </c>
      <c r="AK240" s="11">
        <f>+COUNTIFS('muddati otgan'!C:C,A240,'muddati otgan'!J:J,"Kelishish (Boshqarma)")</f>
        <v>0</v>
      </c>
      <c r="AL240" s="11">
        <f t="shared" si="333"/>
        <v>0</v>
      </c>
      <c r="AM240" s="11">
        <f>+COUNTIFS('muddati otgan'!C:C,A240,'muddati otgan'!J:J,"Kelishish (DKP)")</f>
        <v>0</v>
      </c>
      <c r="AN240" s="11">
        <f>+COUNTIFS('muddati otgan'!C:C,A240,'muddati otgan'!J:J,"Kelishish")</f>
        <v>0</v>
      </c>
      <c r="AO240" s="11">
        <f>+COUNTIFS('muddati otgan'!C:C,A240,'muddati otgan'!J:J,"Kelishish (Registratsiya DKP)")</f>
        <v>0</v>
      </c>
      <c r="AP240" s="11">
        <f t="shared" si="334"/>
        <v>0</v>
      </c>
      <c r="AQ240" s="11">
        <f>+COUNTIFS('muddati otgan'!C:C,A240,'muddati otgan'!J:J,"Manzil biriktirish")</f>
        <v>0</v>
      </c>
      <c r="AR240" s="11">
        <f>+COUNTIFS('muddati otgan'!C:C,A240,'muddati otgan'!J:J,"Bino va inshootlarni yaratish")</f>
        <v>0</v>
      </c>
      <c r="AS240" s="11">
        <f>+COUNTIFS('muddati otgan'!C:C,A240,'muddati otgan'!J:J,"Dov daraxtlarni yaratish")</f>
        <v>0</v>
      </c>
      <c r="AT240" s="11">
        <f>+COUNTIFS('muddati otgan'!C:C,A240,'muddati otgan'!J:J,"Yer uchastkasini tahrirlash")</f>
        <v>0</v>
      </c>
      <c r="AU240" s="11">
        <f t="shared" si="335"/>
        <v>0</v>
      </c>
      <c r="AV240" s="11">
        <f>+COUNTIFS('muddati otgan'!C:C,A240,'muddati otgan'!J:J,"Yer toifasi va maqsadini kiritish")</f>
        <v>0</v>
      </c>
      <c r="AW240" s="11">
        <f>+COUNTIFS('muddati otgan'!C:C,A240,'muddati otgan'!J:J,"Auksion yer tekshirish")</f>
        <v>0</v>
      </c>
      <c r="AX240" s="11">
        <f>+COUNTIFS('muddati otgan'!C:C,A240,'muddati otgan'!J:J,"Yer turlarini kiritish")</f>
        <v>0</v>
      </c>
      <c r="AY240" s="11">
        <f>+COUNTIFS('muddati otgan'!C:C,A240,'muddati otgan'!J:J,"Ma'lumotlarni kiritish")</f>
        <v>0</v>
      </c>
      <c r="AZ240" s="11">
        <f>+COUNTIFS('muddati otgan'!C:C,A240,'muddati otgan'!J:J,"Yer tekshirish")</f>
        <v>0</v>
      </c>
      <c r="BA240" s="11">
        <f t="shared" si="336"/>
        <v>0</v>
      </c>
      <c r="BB240" s="11">
        <f>+COUNTIFS('muddati otgan'!C:C,A240,'muddati otgan'!J:J,"Bino va inshoot ma'lumotlarini to‘ldirish")</f>
        <v>0</v>
      </c>
      <c r="BC240" s="11">
        <f>+COUNTIFS('muddati otgan'!C:C,A240,'muddati otgan'!J:J,"Inventarizatsiya ma'lumotlarini to‘ldirish")</f>
        <v>0</v>
      </c>
      <c r="BD240" s="11">
        <f>+COUNTIFS('muddati otgan'!C:C,A240,'muddati otgan'!J:J,"Yer uchastkasiga huquqiy hujjatlarni kiritsh")</f>
        <v>0</v>
      </c>
      <c r="BE240" s="11">
        <f>+COUNTIFS('muddati otgan'!C:C,A240,'muddati otgan'!J:J,"Bino-inshootlarga huquqiy hujjatlarni kiritsh")</f>
        <v>0</v>
      </c>
      <c r="BF240" s="11">
        <f>+COUNTIFS('muddati otgan'!C:C,A240,'muddati otgan'!J:J,"Kadastr qiymatini hisoblash va kiritish")</f>
        <v>0</v>
      </c>
      <c r="BG240" s="11">
        <f>+COUNTIFS('muddati otgan'!C:C,A240,'muddati otgan'!J:J,"Kadastr raqam biriktirish")</f>
        <v>0</v>
      </c>
      <c r="BH240" s="11">
        <f>+COUNTIFS('muddati otgan'!C:C,A240,'muddati otgan'!J:J,"Kadastr yig'ma jildni tayyorlash")</f>
        <v>0</v>
      </c>
      <c r="BI240" s="11">
        <f>+COUNTIFS('muddati otgan'!C:C,A240,'muddati otgan'!J:J,"Huquqni yaratish")</f>
        <v>0</v>
      </c>
      <c r="BJ240" s="11">
        <f>+COUNTIFS('muddati otgan'!C:C,A240,'muddati otgan'!J:J,"Hujjatlarni o'rganish")</f>
        <v>0</v>
      </c>
      <c r="BK240" s="11">
        <f>+COUNTIFS('muddati otgan'!C:C,A240,'muddati otgan'!J:J,"Ma'lumotlarni tekshirish")</f>
        <v>0</v>
      </c>
      <c r="BL240" s="11">
        <f t="shared" si="337"/>
        <v>0</v>
      </c>
      <c r="BM240" s="11">
        <f>+COUNTIFS('muddati otgan'!C:C,A240,'muddati otgan'!J:J,"Tekshirish")</f>
        <v>0</v>
      </c>
      <c r="BN240" s="11">
        <f>+COUNTIFS('muddati otgan'!C:C,A240,'muddati otgan'!J:J,"Hujjatlarni tekshirish")</f>
        <v>0</v>
      </c>
      <c r="BO240" s="11">
        <f>+COUNTIFS('muddati otgan'!C:C,A240,'muddati otgan'!J:J,"Tasdiqlash")</f>
        <v>0</v>
      </c>
      <c r="BP240" s="11">
        <f>+COUNTIFS('muddati otgan'!C:C,A240,'muddati otgan'!J:J,"tekshirish/tasdiqlash")</f>
        <v>0</v>
      </c>
      <c r="BQ240" s="11">
        <f>+COUNTIFS('muddati otgan'!C:C,A240,'muddati otgan'!J:J,"Ma'lumotlarni tasdiqlash")</f>
        <v>0</v>
      </c>
      <c r="BR240" s="11">
        <f t="shared" si="338"/>
        <v>0</v>
      </c>
      <c r="BS240" s="11">
        <f>+COUNTIFS('muddati otgan'!C:C,A240,'muddati otgan'!J:J,"Ro'yxatdan o'tkazish ma'lumotlarini tekshirish")</f>
        <v>0</v>
      </c>
      <c r="BT240" s="11">
        <f>+COUNTIFS('muddati otgan'!C:C,A240,'muddati otgan'!J:J,"Kamchiliklar bo'yicha habarnoma yuborish va 3 kunga to'xtatish")</f>
        <v>0</v>
      </c>
      <c r="BU240" s="11">
        <f>+COUNTIFS('muddati otgan'!C:C,A240,'muddati otgan'!J:J,"Hisobga olish")</f>
        <v>0</v>
      </c>
      <c r="BV240" s="11">
        <f>+COUNTIFS('muddati otgan'!C:C,A240,'muddati otgan'!J:J,"Yer uchastkasiga huquq yaratish")</f>
        <v>0</v>
      </c>
      <c r="BW240" s="11">
        <f>+COUNTIFS('muddati otgan'!C:C,A240,'muddati otgan'!J:J,"Bino-inshootga huquq yaratish")</f>
        <v>0</v>
      </c>
      <c r="BX240" s="11">
        <f>+COUNTIFS('muddati otgan'!C:C,A240,'muddati otgan'!J:J,"Cheklov yaratish")</f>
        <v>0</v>
      </c>
      <c r="BY240" s="11">
        <f>+COUNTIFS('muddati otgan'!C:C,A240,'muddati otgan'!J:J,"Taqiq yaratish")</f>
        <v>0</v>
      </c>
      <c r="BZ240" s="11">
        <f t="shared" si="339"/>
        <v>0</v>
      </c>
      <c r="CA240" s="11">
        <f>+COUNTIFS('muddati otgan'!C:C,A240,'muddati otgan'!J:J,"Soliq maydonini tekshirish")</f>
        <v>0</v>
      </c>
      <c r="CB240" s="11">
        <f t="shared" si="340"/>
        <v>0</v>
      </c>
      <c r="CC240" s="11">
        <f>+COUNTIFS('muddati otgan'!C:C,A240,'muddati otgan'!J:J,"Kadastr yig'majildini shakllantirish")</f>
        <v>0</v>
      </c>
      <c r="CD240" s="11">
        <f t="shared" si="341"/>
        <v>0</v>
      </c>
      <c r="CE240" s="11">
        <f>+COUNTIFS('muddati otgan'!C:C,A240,'muddati otgan'!J:J,"Kadastr passportini shakllantirish")</f>
        <v>0</v>
      </c>
      <c r="CF240" s="11">
        <f>+COUNTIFS('muddati otgan'!C:C,A240,'muddati otgan'!J:J,"Yig'ma jildni tasdiqlash")</f>
        <v>0</v>
      </c>
      <c r="CG240" s="11">
        <f>+COUNTIFS('muddati otgan'!C:C,A240,'muddati otgan'!J:J,"To'lov yoki bepul tasdiqlash")</f>
        <v>0</v>
      </c>
      <c r="CH240" s="11">
        <f>+COUNTIFS('muddati otgan'!C:C,A240,'muddati otgan'!J:J,"Bog'liq arizani kutish")</f>
        <v>0</v>
      </c>
      <c r="CI240" s="11">
        <f>+COUNTIFS('muddati otgan'!C:C,A240,'muddati otgan'!J:J,"To'lovga chiqarish")</f>
        <v>0</v>
      </c>
      <c r="CJ240" s="11">
        <f>+COUNTIFS('muddati otgan'!C:C,A240,'muddati otgan'!J:J,"Hisobga qo'yish")</f>
        <v>0</v>
      </c>
      <c r="CK240" s="6">
        <f>+COUNTIFS('muddati otgan'!C:C,A240,'muddati otgan'!J:J,"To'lov kutilmoqda")</f>
        <v>0</v>
      </c>
      <c r="CL240" s="11">
        <f t="shared" si="342"/>
        <v>0</v>
      </c>
      <c r="CM240" s="11">
        <f>+COUNTIFS('muddati otgan'!C:C,A240,'muddati otgan'!AA:AA,"Arizani qabul qilish2")</f>
        <v>0</v>
      </c>
      <c r="CN240" s="11">
        <f>+COUNTIFS('muddati otgan'!C:C,A240,'muddati otgan'!J:J,"Huquqlarni tekshirish")</f>
        <v>0</v>
      </c>
      <c r="CO240" s="11">
        <f>+COUNTIFS('muddati otgan'!C:C,A240,'muddati otgan'!J:J,"Ko'chmas mulkni ro'yhatdan o'tkazishga qabul qilish")</f>
        <v>0</v>
      </c>
      <c r="CP240" s="11">
        <f>+COUNTIFS('muddati otgan'!C:C,A240,'muddati otgan'!J:J,"Ro'yxatdan o'tkazish")</f>
        <v>0</v>
      </c>
      <c r="CQ240" s="11">
        <f>+COUNTIFS('muddati otgan'!C:C,A240,'muddati otgan'!J:J,"Kadastr pasporti va ko'chirmani yuborish")</f>
        <v>0</v>
      </c>
      <c r="CR240" s="11">
        <f>+COUNTIFS('muddati otgan'!C:C,A240,'muddati otgan'!AA:AA,"Rad qilish2")</f>
        <v>0</v>
      </c>
      <c r="CS240" s="11">
        <f>+COUNTIFS('muddati otgan'!C:C,A240,'muddati otgan'!J:J,"Ko'chirmani yuborish")</f>
        <v>0</v>
      </c>
      <c r="CT240" s="11">
        <f>+COUNTIFS('muddati otgan'!C:C,A240,'muddati otgan'!J:J,"Ma‘lumotlarni tekshirish")</f>
        <v>0</v>
      </c>
      <c r="CU240" s="11">
        <f t="shared" si="343"/>
        <v>0</v>
      </c>
      <c r="CV240" s="11">
        <f>+COUNTIFS('muddati otgan'!C:C,A240,'muddati otgan'!J:J,"Kadastr yig'majildini chop etish va arxiv ishiga tikish")</f>
        <v>0</v>
      </c>
      <c r="CW240" s="11">
        <f t="shared" si="344"/>
        <v>0</v>
      </c>
      <c r="CX240" s="11">
        <f>+COUNTIFS('muddati otgan'!C:C,A240,'muddati otgan'!J:J,"Kadastr yig‘majildini qabul qilish, arizani yakunlash")</f>
        <v>0</v>
      </c>
      <c r="CY240" s="11">
        <f>+COUNTIFS('muddati otgan'!C:C,A240,'muddati otgan'!J:J,"Next Cloudga yuklash")</f>
        <v>0</v>
      </c>
      <c r="CZ240" s="6">
        <f>+COUNTIFS('muddati otgan'!C:C,A240,'muddati otgan'!J:J,"Kelishish kutilmoqda")</f>
        <v>0</v>
      </c>
      <c r="DA240" s="6">
        <f>+COUNTIFS('muddati otgan'!C:C,A240,'muddati otgan'!J:J,"Yakunlandi")</f>
        <v>1</v>
      </c>
      <c r="DB240" s="10">
        <f>+COUNTIFS('muddati otgan'!C:C,A240,'muddati otgan'!J:J,"Rad etildi")</f>
        <v>0</v>
      </c>
      <c r="DC240" s="100">
        <f t="shared" si="345"/>
        <v>0</v>
      </c>
      <c r="DD240" s="44">
        <f>COUNTIFS('jami 1-20 kunlik arizalar'!C:C,A:A,'jami 1-20 kunlik arizalar'!S:S,"1")</f>
        <v>0</v>
      </c>
      <c r="DE240" s="11">
        <f>COUNTIFS('jami 1-20 kunlik arizalar'!C:C,A:A,'jami 1-20 kunlik arizalar'!S:S,"2")</f>
        <v>0</v>
      </c>
      <c r="DF240" s="11">
        <f>COUNTIFS('jami 1-20 kunlik arizalar'!C:C,A:A,'jami 1-20 kunlik arizalar'!S:S,"3")</f>
        <v>0</v>
      </c>
      <c r="DG240" s="11">
        <f>COUNTIFS('jami 1-20 kunlik arizalar'!C:C,A:A,'jami 1-20 kunlik arizalar'!S:S,"4")</f>
        <v>0</v>
      </c>
      <c r="DH240" s="11">
        <f>COUNTIFS('jami 1-20 kunlik arizalar'!C:C,A:A,'jami 1-20 kunlik arizalar'!S:S,"5")</f>
        <v>0</v>
      </c>
      <c r="DI240" s="11">
        <f>SUM(COUNTIFS('jami 1-20 kunlik arizalar'!C:C,A:A, 'jami 1-20 kunlik arizalar'!S:S, {6,7,8,9,10}))</f>
        <v>6</v>
      </c>
      <c r="DJ240" s="12">
        <f>SUM(COUNTIFS('jami 1-20 kunlik arizalar'!C:C,A:A, 'jami 1-20 kunlik arizalar'!S:S, "&gt;10"))</f>
        <v>2</v>
      </c>
    </row>
    <row r="241" spans="1:114" ht="32.1" hidden="1" customHeight="1" outlineLevel="1" x14ac:dyDescent="0.25">
      <c r="A241" s="92" t="s">
        <v>729</v>
      </c>
      <c r="B241" s="74"/>
      <c r="C241" s="85" t="s">
        <v>925</v>
      </c>
      <c r="D241" s="80">
        <f>+COUNTIFS('muddati otgan'!C:C,A241,'muddati otgan'!C:C,A241)</f>
        <v>1</v>
      </c>
      <c r="E241" s="10">
        <f>SUMIFS('muddati otgan'!$V:V,'muddati otgan'!$C:C,$A:A)</f>
        <v>0</v>
      </c>
      <c r="F241" s="10">
        <f>SUMIFS('muddati otgan'!$W:W,'muddati otgan'!$C:C,$A:A)</f>
        <v>0</v>
      </c>
      <c r="G241" s="24">
        <f>SUMIFS('muddati otgan'!$U:U,'muddati otgan'!$C:C,$A:A)</f>
        <v>1</v>
      </c>
      <c r="H241" s="11">
        <f>SUMIFS('muddati otgan'!$G:G,'muddati otgan'!$C:C,$A:A)</f>
        <v>0</v>
      </c>
      <c r="I241" s="12">
        <f>SUMIFS('muddati otgan'!$H:H,'muddati otgan'!$C:C,$A:A)</f>
        <v>1</v>
      </c>
      <c r="J241" s="44">
        <f t="shared" si="329"/>
        <v>0</v>
      </c>
      <c r="K241" s="11">
        <f>+COUNTIFS('muddati otgan'!C:C,A241,'muddati otgan'!AA:AA,"Arizani qabul qilish")</f>
        <v>0</v>
      </c>
      <c r="L241" s="11">
        <f>+COUNTIFS('muddati otgan'!C:C,A241,'muddati otgan'!J:J,"Arizani rad etish")</f>
        <v>0</v>
      </c>
      <c r="M241" s="11">
        <f>+COUNTIFS('muddati otgan'!C:C,A241,'muddati otgan'!J:J,"Arizani tasdiqlash")</f>
        <v>0</v>
      </c>
      <c r="N241" s="11">
        <f>+COUNTIFS('muddati otgan'!C:C,A241,'muddati otgan'!J:J,"Arizani yo'naltirish")</f>
        <v>0</v>
      </c>
      <c r="O241" s="11">
        <f>+COUNTIFS('muddati otgan'!C:C,A241,'muddati otgan'!J:J,"Rad qilish sababini o'rganish")</f>
        <v>0</v>
      </c>
      <c r="P241" s="11">
        <f>+COUNTIFS('muddati otgan'!C:C,A241,'muddati otgan'!J:J,"Ko'chmas mulkni UZKAD ga migratsiya qilish")</f>
        <v>0</v>
      </c>
      <c r="Q241" s="11">
        <f>+COUNTIFS('muddati otgan'!C:C,A241,'muddati otgan'!J:J,"Migratisya qilingan obyekt holatini tekshirish")</f>
        <v>0</v>
      </c>
      <c r="R241" s="11">
        <f>+COUNTIFS('muddati otgan'!C:C,A241,'muddati otgan'!J:J,"Ko‘chmas mulkni tanlash")</f>
        <v>0</v>
      </c>
      <c r="S241" s="11">
        <f>+COUNTIFS('muddati otgan'!C:C,A241,'muddati otgan'!J:J,"Arizani ko'rib chiqish")</f>
        <v>0</v>
      </c>
      <c r="T241" s="11">
        <f>+COUNTIFS('muddati otgan'!C:C,A241,'muddati otgan'!J:J,"Kadastr muhandisini tanlash")</f>
        <v>0</v>
      </c>
      <c r="U241" s="11">
        <f>+COUNTIFS('muddati otgan'!C:C,A241,'muddati otgan'!J:J,"Ko'chmas mulk turini tanlahsh")</f>
        <v>0</v>
      </c>
      <c r="V241" s="11">
        <f>+COUNTIFS('muddati otgan'!C:C,A241,'muddati otgan'!AA:AA,"Rad qilish")</f>
        <v>0</v>
      </c>
      <c r="W241" s="11">
        <f>+COUNTIFS('muddati otgan'!C:C,A241,'muddati otgan'!J:J,"ijrochi tanlash")</f>
        <v>0</v>
      </c>
      <c r="X241" s="11">
        <f>+COUNTIFS('muddati otgan'!C:C,A241,'muddati otgan'!J:J,"Ko'chmas mulk turini tanlash")</f>
        <v>0</v>
      </c>
      <c r="Y241" s="11">
        <f t="shared" si="330"/>
        <v>0</v>
      </c>
      <c r="Z241" s="11">
        <f>+COUNTIFS('muddati otgan'!C:C,A241,'muddati otgan'!J:J,"Ijroga qabul qilish")</f>
        <v>0</v>
      </c>
      <c r="AA241" s="11">
        <f>+COUNTIFS('muddati otgan'!C:C,A241,'muddati otgan'!J:J,"Joyida o'rganish va ma'lumotlarni kiritish")</f>
        <v>0</v>
      </c>
      <c r="AB241" s="11">
        <f>+COUNTIFS('muddati otgan'!C:C,A241,'muddati otgan'!J:J,"Asosiy qismdan ajratish jarayonida")</f>
        <v>0</v>
      </c>
      <c r="AC241" s="11">
        <f>+COUNTIFS('muddati otgan'!C:C,A241,'muddati otgan'!J:J,"Umumiy foydalanishdagi obyekt yaratilish")</f>
        <v>0</v>
      </c>
      <c r="AD241" s="11">
        <f>+COUNTIFS('muddati otgan'!C:C,A241,'muddati otgan'!J:J,"Migratsiya qilinadigan kadastr raqamini kiritish")</f>
        <v>0</v>
      </c>
      <c r="AE241" s="11">
        <f>+COUNTIFS('muddati otgan'!C:C,A241,'muddati otgan'!J:J,"O'zida qolgan obyektni yaratish")</f>
        <v>0</v>
      </c>
      <c r="AF241" s="11">
        <f>+COUNTIFS('muddati otgan'!C:C,A241,'muddati otgan'!J:J,"O'lchov natijalarini kiritish")</f>
        <v>0</v>
      </c>
      <c r="AG241" s="11">
        <f>+COUNTIFS('muddati otgan'!C:C,A241,'muddati otgan'!J:J,"Topoxaritani tayyorlash (dwg, pdf)")</f>
        <v>0</v>
      </c>
      <c r="AH241" s="11">
        <f t="shared" si="331"/>
        <v>0</v>
      </c>
      <c r="AI241" s="11">
        <f>+COUNTIFS('muddati otgan'!C:C,A241,'muddati otgan'!J:J,"Yer uchastkasini yaratish")</f>
        <v>0</v>
      </c>
      <c r="AJ241" s="11">
        <f t="shared" si="332"/>
        <v>0</v>
      </c>
      <c r="AK241" s="11">
        <f>+COUNTIFS('muddati otgan'!C:C,A241,'muddati otgan'!J:J,"Kelishish (Boshqarma)")</f>
        <v>0</v>
      </c>
      <c r="AL241" s="11">
        <f t="shared" si="333"/>
        <v>0</v>
      </c>
      <c r="AM241" s="11">
        <f>+COUNTIFS('muddati otgan'!C:C,A241,'muddati otgan'!J:J,"Kelishish (DKP)")</f>
        <v>0</v>
      </c>
      <c r="AN241" s="11">
        <f>+COUNTIFS('muddati otgan'!C:C,A241,'muddati otgan'!J:J,"Kelishish")</f>
        <v>0</v>
      </c>
      <c r="AO241" s="11">
        <f>+COUNTIFS('muddati otgan'!C:C,A241,'muddati otgan'!J:J,"Kelishish (Registratsiya DKP)")</f>
        <v>0</v>
      </c>
      <c r="AP241" s="11">
        <f t="shared" si="334"/>
        <v>0</v>
      </c>
      <c r="AQ241" s="11">
        <f>+COUNTIFS('muddati otgan'!C:C,A241,'muddati otgan'!J:J,"Manzil biriktirish")</f>
        <v>0</v>
      </c>
      <c r="AR241" s="11">
        <f>+COUNTIFS('muddati otgan'!C:C,A241,'muddati otgan'!J:J,"Bino va inshootlarni yaratish")</f>
        <v>0</v>
      </c>
      <c r="AS241" s="11">
        <f>+COUNTIFS('muddati otgan'!C:C,A241,'muddati otgan'!J:J,"Dov daraxtlarni yaratish")</f>
        <v>0</v>
      </c>
      <c r="AT241" s="11">
        <f>+COUNTIFS('muddati otgan'!C:C,A241,'muddati otgan'!J:J,"Yer uchastkasini tahrirlash")</f>
        <v>0</v>
      </c>
      <c r="AU241" s="11">
        <f t="shared" si="335"/>
        <v>0</v>
      </c>
      <c r="AV241" s="11">
        <f>+COUNTIFS('muddati otgan'!C:C,A241,'muddati otgan'!J:J,"Yer toifasi va maqsadini kiritish")</f>
        <v>0</v>
      </c>
      <c r="AW241" s="11">
        <f>+COUNTIFS('muddati otgan'!C:C,A241,'muddati otgan'!J:J,"Auksion yer tekshirish")</f>
        <v>0</v>
      </c>
      <c r="AX241" s="11">
        <f>+COUNTIFS('muddati otgan'!C:C,A241,'muddati otgan'!J:J,"Yer turlarini kiritish")</f>
        <v>0</v>
      </c>
      <c r="AY241" s="11">
        <f>+COUNTIFS('muddati otgan'!C:C,A241,'muddati otgan'!J:J,"Ma'lumotlarni kiritish")</f>
        <v>0</v>
      </c>
      <c r="AZ241" s="11">
        <f>+COUNTIFS('muddati otgan'!C:C,A241,'muddati otgan'!J:J,"Yer tekshirish")</f>
        <v>0</v>
      </c>
      <c r="BA241" s="11">
        <f t="shared" si="336"/>
        <v>0</v>
      </c>
      <c r="BB241" s="11">
        <f>+COUNTIFS('muddati otgan'!C:C,A241,'muddati otgan'!J:J,"Bino va inshoot ma'lumotlarini to‘ldirish")</f>
        <v>0</v>
      </c>
      <c r="BC241" s="11">
        <f>+COUNTIFS('muddati otgan'!C:C,A241,'muddati otgan'!J:J,"Inventarizatsiya ma'lumotlarini to‘ldirish")</f>
        <v>0</v>
      </c>
      <c r="BD241" s="11">
        <f>+COUNTIFS('muddati otgan'!C:C,A241,'muddati otgan'!J:J,"Yer uchastkasiga huquqiy hujjatlarni kiritsh")</f>
        <v>0</v>
      </c>
      <c r="BE241" s="11">
        <f>+COUNTIFS('muddati otgan'!C:C,A241,'muddati otgan'!J:J,"Bino-inshootlarga huquqiy hujjatlarni kiritsh")</f>
        <v>0</v>
      </c>
      <c r="BF241" s="11">
        <f>+COUNTIFS('muddati otgan'!C:C,A241,'muddati otgan'!J:J,"Kadastr qiymatini hisoblash va kiritish")</f>
        <v>0</v>
      </c>
      <c r="BG241" s="11">
        <f>+COUNTIFS('muddati otgan'!C:C,A241,'muddati otgan'!J:J,"Kadastr raqam biriktirish")</f>
        <v>0</v>
      </c>
      <c r="BH241" s="11">
        <f>+COUNTIFS('muddati otgan'!C:C,A241,'muddati otgan'!J:J,"Kadastr yig'ma jildni tayyorlash")</f>
        <v>0</v>
      </c>
      <c r="BI241" s="11">
        <f>+COUNTIFS('muddati otgan'!C:C,A241,'muddati otgan'!J:J,"Huquqni yaratish")</f>
        <v>0</v>
      </c>
      <c r="BJ241" s="11">
        <f>+COUNTIFS('muddati otgan'!C:C,A241,'muddati otgan'!J:J,"Hujjatlarni o'rganish")</f>
        <v>0</v>
      </c>
      <c r="BK241" s="11">
        <f>+COUNTIFS('muddati otgan'!C:C,A241,'muddati otgan'!J:J,"Ma'lumotlarni tekshirish")</f>
        <v>0</v>
      </c>
      <c r="BL241" s="11">
        <f t="shared" si="337"/>
        <v>0</v>
      </c>
      <c r="BM241" s="11">
        <f>+COUNTIFS('muddati otgan'!C:C,A241,'muddati otgan'!J:J,"Tekshirish")</f>
        <v>0</v>
      </c>
      <c r="BN241" s="11">
        <f>+COUNTIFS('muddati otgan'!C:C,A241,'muddati otgan'!J:J,"Hujjatlarni tekshirish")</f>
        <v>0</v>
      </c>
      <c r="BO241" s="11">
        <f>+COUNTIFS('muddati otgan'!C:C,A241,'muddati otgan'!J:J,"Tasdiqlash")</f>
        <v>0</v>
      </c>
      <c r="BP241" s="11">
        <f>+COUNTIFS('muddati otgan'!C:C,A241,'muddati otgan'!J:J,"tekshirish/tasdiqlash")</f>
        <v>0</v>
      </c>
      <c r="BQ241" s="11">
        <f>+COUNTIFS('muddati otgan'!C:C,A241,'muddati otgan'!J:J,"Ma'lumotlarni tasdiqlash")</f>
        <v>0</v>
      </c>
      <c r="BR241" s="11">
        <f t="shared" si="338"/>
        <v>1</v>
      </c>
      <c r="BS241" s="11">
        <f>+COUNTIFS('muddati otgan'!C:C,A241,'muddati otgan'!J:J,"Ro'yxatdan o'tkazish ma'lumotlarini tekshirish")</f>
        <v>1</v>
      </c>
      <c r="BT241" s="11">
        <f>+COUNTIFS('muddati otgan'!C:C,A241,'muddati otgan'!J:J,"Kamchiliklar bo'yicha habarnoma yuborish va 3 kunga to'xtatish")</f>
        <v>0</v>
      </c>
      <c r="BU241" s="11">
        <f>+COUNTIFS('muddati otgan'!C:C,A241,'muddati otgan'!J:J,"Hisobga olish")</f>
        <v>0</v>
      </c>
      <c r="BV241" s="11">
        <f>+COUNTIFS('muddati otgan'!C:C,A241,'muddati otgan'!J:J,"Yer uchastkasiga huquq yaratish")</f>
        <v>0</v>
      </c>
      <c r="BW241" s="11">
        <f>+COUNTIFS('muddati otgan'!C:C,A241,'muddati otgan'!J:J,"Bino-inshootga huquq yaratish")</f>
        <v>0</v>
      </c>
      <c r="BX241" s="11">
        <f>+COUNTIFS('muddati otgan'!C:C,A241,'muddati otgan'!J:J,"Cheklov yaratish")</f>
        <v>0</v>
      </c>
      <c r="BY241" s="11">
        <f>+COUNTIFS('muddati otgan'!C:C,A241,'muddati otgan'!J:J,"Taqiq yaratish")</f>
        <v>0</v>
      </c>
      <c r="BZ241" s="11">
        <f t="shared" si="339"/>
        <v>0</v>
      </c>
      <c r="CA241" s="11">
        <f>+COUNTIFS('muddati otgan'!C:C,A241,'muddati otgan'!J:J,"Soliq maydonini tekshirish")</f>
        <v>0</v>
      </c>
      <c r="CB241" s="11">
        <f t="shared" si="340"/>
        <v>0</v>
      </c>
      <c r="CC241" s="11">
        <f>+COUNTIFS('muddati otgan'!C:C,A241,'muddati otgan'!J:J,"Kadastr yig'majildini shakllantirish")</f>
        <v>0</v>
      </c>
      <c r="CD241" s="11">
        <f t="shared" si="341"/>
        <v>0</v>
      </c>
      <c r="CE241" s="11">
        <f>+COUNTIFS('muddati otgan'!C:C,A241,'muddati otgan'!J:J,"Kadastr passportini shakllantirish")</f>
        <v>0</v>
      </c>
      <c r="CF241" s="11">
        <f>+COUNTIFS('muddati otgan'!C:C,A241,'muddati otgan'!J:J,"Yig'ma jildni tasdiqlash")</f>
        <v>0</v>
      </c>
      <c r="CG241" s="11">
        <f>+COUNTIFS('muddati otgan'!C:C,A241,'muddati otgan'!J:J,"To'lov yoki bepul tasdiqlash")</f>
        <v>0</v>
      </c>
      <c r="CH241" s="11">
        <f>+COUNTIFS('muddati otgan'!C:C,A241,'muddati otgan'!J:J,"Bog'liq arizani kutish")</f>
        <v>0</v>
      </c>
      <c r="CI241" s="11">
        <f>+COUNTIFS('muddati otgan'!C:C,A241,'muddati otgan'!J:J,"To'lovga chiqarish")</f>
        <v>0</v>
      </c>
      <c r="CJ241" s="11">
        <f>+COUNTIFS('muddati otgan'!C:C,A241,'muddati otgan'!J:J,"Hisobga qo'yish")</f>
        <v>0</v>
      </c>
      <c r="CK241" s="6">
        <f>+COUNTIFS('muddati otgan'!C:C,A241,'muddati otgan'!J:J,"To'lov kutilmoqda")</f>
        <v>0</v>
      </c>
      <c r="CL241" s="11">
        <f t="shared" si="342"/>
        <v>0</v>
      </c>
      <c r="CM241" s="11">
        <f>+COUNTIFS('muddati otgan'!C:C,A241,'muddati otgan'!AA:AA,"Arizani qabul qilish2")</f>
        <v>0</v>
      </c>
      <c r="CN241" s="11">
        <f>+COUNTIFS('muddati otgan'!C:C,A241,'muddati otgan'!J:J,"Huquqlarni tekshirish")</f>
        <v>0</v>
      </c>
      <c r="CO241" s="11">
        <f>+COUNTIFS('muddati otgan'!C:C,A241,'muddati otgan'!J:J,"Ko'chmas mulkni ro'yhatdan o'tkazishga qabul qilish")</f>
        <v>0</v>
      </c>
      <c r="CP241" s="11">
        <f>+COUNTIFS('muddati otgan'!C:C,A241,'muddati otgan'!J:J,"Ro'yxatdan o'tkazish")</f>
        <v>0</v>
      </c>
      <c r="CQ241" s="11">
        <f>+COUNTIFS('muddati otgan'!C:C,A241,'muddati otgan'!J:J,"Kadastr pasporti va ko'chirmani yuborish")</f>
        <v>0</v>
      </c>
      <c r="CR241" s="11">
        <f>+COUNTIFS('muddati otgan'!C:C,A241,'muddati otgan'!AA:AA,"Rad qilish2")</f>
        <v>0</v>
      </c>
      <c r="CS241" s="11">
        <f>+COUNTIFS('muddati otgan'!C:C,A241,'muddati otgan'!J:J,"Ko'chirmani yuborish")</f>
        <v>0</v>
      </c>
      <c r="CT241" s="11">
        <f>+COUNTIFS('muddati otgan'!C:C,A241,'muddati otgan'!J:J,"Ma‘lumotlarni tekshirish")</f>
        <v>0</v>
      </c>
      <c r="CU241" s="11">
        <f t="shared" si="343"/>
        <v>0</v>
      </c>
      <c r="CV241" s="11">
        <f>+COUNTIFS('muddati otgan'!C:C,A241,'muddati otgan'!J:J,"Kadastr yig'majildini chop etish va arxiv ishiga tikish")</f>
        <v>0</v>
      </c>
      <c r="CW241" s="11">
        <f t="shared" si="344"/>
        <v>0</v>
      </c>
      <c r="CX241" s="11">
        <f>+COUNTIFS('muddati otgan'!C:C,A241,'muddati otgan'!J:J,"Kadastr yig‘majildini qabul qilish, arizani yakunlash")</f>
        <v>0</v>
      </c>
      <c r="CY241" s="11">
        <f>+COUNTIFS('muddati otgan'!C:C,A241,'muddati otgan'!J:J,"Next Cloudga yuklash")</f>
        <v>0</v>
      </c>
      <c r="CZ241" s="6">
        <f>+COUNTIFS('muddati otgan'!C:C,A241,'muddati otgan'!J:J,"Kelishish kutilmoqda")</f>
        <v>0</v>
      </c>
      <c r="DA241" s="6">
        <f>+COUNTIFS('muddati otgan'!C:C,A241,'muddati otgan'!J:J,"Yakunlandi")</f>
        <v>0</v>
      </c>
      <c r="DB241" s="10">
        <f>+COUNTIFS('muddati otgan'!C:C,A241,'muddati otgan'!J:J,"Rad etildi")</f>
        <v>0</v>
      </c>
      <c r="DC241" s="100">
        <f t="shared" si="345"/>
        <v>-1</v>
      </c>
      <c r="DD241" s="44">
        <f>COUNTIFS('jami 1-20 kunlik arizalar'!C:C,A:A,'jami 1-20 kunlik arizalar'!S:S,"1")</f>
        <v>0</v>
      </c>
      <c r="DE241" s="11">
        <f>COUNTIFS('jami 1-20 kunlik arizalar'!C:C,A:A,'jami 1-20 kunlik arizalar'!S:S,"2")</f>
        <v>0</v>
      </c>
      <c r="DF241" s="11">
        <f>COUNTIFS('jami 1-20 kunlik arizalar'!C:C,A:A,'jami 1-20 kunlik arizalar'!S:S,"3")</f>
        <v>1</v>
      </c>
      <c r="DG241" s="11">
        <f>COUNTIFS('jami 1-20 kunlik arizalar'!C:C,A:A,'jami 1-20 kunlik arizalar'!S:S,"4")</f>
        <v>1</v>
      </c>
      <c r="DH241" s="11">
        <f>COUNTIFS('jami 1-20 kunlik arizalar'!C:C,A:A,'jami 1-20 kunlik arizalar'!S:S,"5")</f>
        <v>3</v>
      </c>
      <c r="DI241" s="11">
        <f>SUM(COUNTIFS('jami 1-20 kunlik arizalar'!C:C,A:A, 'jami 1-20 kunlik arizalar'!S:S, {6,7,8,9,10}))</f>
        <v>20</v>
      </c>
      <c r="DJ241" s="12">
        <f>SUM(COUNTIFS('jami 1-20 kunlik arizalar'!C:C,A:A, 'jami 1-20 kunlik arizalar'!S:S, "&gt;10"))</f>
        <v>1</v>
      </c>
    </row>
    <row r="242" spans="1:114" ht="32.1" hidden="1" customHeight="1" outlineLevel="1" x14ac:dyDescent="0.25">
      <c r="A242" s="92" t="s">
        <v>595</v>
      </c>
      <c r="B242" s="74"/>
      <c r="C242" s="85" t="s">
        <v>926</v>
      </c>
      <c r="D242" s="80">
        <f>+COUNTIFS('muddati otgan'!C:C,A242,'muddati otgan'!C:C,A242)</f>
        <v>3</v>
      </c>
      <c r="E242" s="10">
        <f>SUMIFS('muddati otgan'!$V:V,'muddati otgan'!$C:C,$A:A)</f>
        <v>0</v>
      </c>
      <c r="F242" s="10">
        <f>SUMIFS('muddati otgan'!$W:W,'muddati otgan'!$C:C,$A:A)</f>
        <v>0</v>
      </c>
      <c r="G242" s="24">
        <f>SUMIFS('muddati otgan'!$U:U,'muddati otgan'!$C:C,$A:A)</f>
        <v>3</v>
      </c>
      <c r="H242" s="11">
        <f>SUMIFS('muddati otgan'!$G:G,'muddati otgan'!$C:C,$A:A)</f>
        <v>1</v>
      </c>
      <c r="I242" s="12">
        <f>SUMIFS('muddati otgan'!$H:H,'muddati otgan'!$C:C,$A:A)</f>
        <v>2</v>
      </c>
      <c r="J242" s="44">
        <f t="shared" si="329"/>
        <v>1</v>
      </c>
      <c r="K242" s="11">
        <f>+COUNTIFS('muddati otgan'!C:C,A242,'muddati otgan'!AA:AA,"Arizani qabul qilish")</f>
        <v>0</v>
      </c>
      <c r="L242" s="11">
        <f>+COUNTIFS('muddati otgan'!C:C,A242,'muddati otgan'!J:J,"Arizani rad etish")</f>
        <v>0</v>
      </c>
      <c r="M242" s="11">
        <f>+COUNTIFS('muddati otgan'!C:C,A242,'muddati otgan'!J:J,"Arizani tasdiqlash")</f>
        <v>0</v>
      </c>
      <c r="N242" s="11">
        <f>+COUNTIFS('muddati otgan'!C:C,A242,'muddati otgan'!J:J,"Arizani yo'naltirish")</f>
        <v>0</v>
      </c>
      <c r="O242" s="11">
        <f>+COUNTIFS('muddati otgan'!C:C,A242,'muddati otgan'!J:J,"Rad qilish sababini o'rganish")</f>
        <v>1</v>
      </c>
      <c r="P242" s="11">
        <f>+COUNTIFS('muddati otgan'!C:C,A242,'muddati otgan'!J:J,"Ko'chmas mulkni UZKAD ga migratsiya qilish")</f>
        <v>0</v>
      </c>
      <c r="Q242" s="11">
        <f>+COUNTIFS('muddati otgan'!C:C,A242,'muddati otgan'!J:J,"Migratisya qilingan obyekt holatini tekshirish")</f>
        <v>0</v>
      </c>
      <c r="R242" s="11">
        <f>+COUNTIFS('muddati otgan'!C:C,A242,'muddati otgan'!J:J,"Ko‘chmas mulkni tanlash")</f>
        <v>0</v>
      </c>
      <c r="S242" s="11">
        <f>+COUNTIFS('muddati otgan'!C:C,A242,'muddati otgan'!J:J,"Arizani ko'rib chiqish")</f>
        <v>0</v>
      </c>
      <c r="T242" s="11">
        <f>+COUNTIFS('muddati otgan'!C:C,A242,'muddati otgan'!J:J,"Kadastr muhandisini tanlash")</f>
        <v>0</v>
      </c>
      <c r="U242" s="11">
        <f>+COUNTIFS('muddati otgan'!C:C,A242,'muddati otgan'!J:J,"Ko'chmas mulk turini tanlahsh")</f>
        <v>0</v>
      </c>
      <c r="V242" s="11">
        <f>+COUNTIFS('muddati otgan'!C:C,A242,'muddati otgan'!AA:AA,"Rad qilish")</f>
        <v>0</v>
      </c>
      <c r="W242" s="11">
        <f>+COUNTIFS('muddati otgan'!C:C,A242,'muddati otgan'!J:J,"ijrochi tanlash")</f>
        <v>0</v>
      </c>
      <c r="X242" s="11">
        <f>+COUNTIFS('muddati otgan'!C:C,A242,'muddati otgan'!J:J,"Ko'chmas mulk turini tanlash")</f>
        <v>0</v>
      </c>
      <c r="Y242" s="11">
        <f t="shared" si="330"/>
        <v>0</v>
      </c>
      <c r="Z242" s="11">
        <f>+COUNTIFS('muddati otgan'!C:C,A242,'muddati otgan'!J:J,"Ijroga qabul qilish")</f>
        <v>0</v>
      </c>
      <c r="AA242" s="11">
        <f>+COUNTIFS('muddati otgan'!C:C,A242,'muddati otgan'!J:J,"Joyida o'rganish va ma'lumotlarni kiritish")</f>
        <v>0</v>
      </c>
      <c r="AB242" s="11">
        <f>+COUNTIFS('muddati otgan'!C:C,A242,'muddati otgan'!J:J,"Asosiy qismdan ajratish jarayonida")</f>
        <v>0</v>
      </c>
      <c r="AC242" s="11">
        <f>+COUNTIFS('muddati otgan'!C:C,A242,'muddati otgan'!J:J,"Umumiy foydalanishdagi obyekt yaratilish")</f>
        <v>0</v>
      </c>
      <c r="AD242" s="11">
        <f>+COUNTIFS('muddati otgan'!C:C,A242,'muddati otgan'!J:J,"Migratsiya qilinadigan kadastr raqamini kiritish")</f>
        <v>0</v>
      </c>
      <c r="AE242" s="11">
        <f>+COUNTIFS('muddati otgan'!C:C,A242,'muddati otgan'!J:J,"O'zida qolgan obyektni yaratish")</f>
        <v>0</v>
      </c>
      <c r="AF242" s="11">
        <f>+COUNTIFS('muddati otgan'!C:C,A242,'muddati otgan'!J:J,"O'lchov natijalarini kiritish")</f>
        <v>0</v>
      </c>
      <c r="AG242" s="11">
        <f>+COUNTIFS('muddati otgan'!C:C,A242,'muddati otgan'!J:J,"Topoxaritani tayyorlash (dwg, pdf)")</f>
        <v>0</v>
      </c>
      <c r="AH242" s="11">
        <f t="shared" si="331"/>
        <v>0</v>
      </c>
      <c r="AI242" s="11">
        <f>+COUNTIFS('muddati otgan'!C:C,A242,'muddati otgan'!J:J,"Yer uchastkasini yaratish")</f>
        <v>0</v>
      </c>
      <c r="AJ242" s="11">
        <f t="shared" si="332"/>
        <v>0</v>
      </c>
      <c r="AK242" s="11">
        <f>+COUNTIFS('muddati otgan'!C:C,A242,'muddati otgan'!J:J,"Kelishish (Boshqarma)")</f>
        <v>0</v>
      </c>
      <c r="AL242" s="11">
        <f t="shared" si="333"/>
        <v>0</v>
      </c>
      <c r="AM242" s="11">
        <f>+COUNTIFS('muddati otgan'!C:C,A242,'muddati otgan'!J:J,"Kelishish (DKP)")</f>
        <v>0</v>
      </c>
      <c r="AN242" s="11">
        <f>+COUNTIFS('muddati otgan'!C:C,A242,'muddati otgan'!J:J,"Kelishish")</f>
        <v>0</v>
      </c>
      <c r="AO242" s="11">
        <f>+COUNTIFS('muddati otgan'!C:C,A242,'muddati otgan'!J:J,"Kelishish (Registratsiya DKP)")</f>
        <v>0</v>
      </c>
      <c r="AP242" s="11">
        <f t="shared" si="334"/>
        <v>0</v>
      </c>
      <c r="AQ242" s="11">
        <f>+COUNTIFS('muddati otgan'!C:C,A242,'muddati otgan'!J:J,"Manzil biriktirish")</f>
        <v>0</v>
      </c>
      <c r="AR242" s="11">
        <f>+COUNTIFS('muddati otgan'!C:C,A242,'muddati otgan'!J:J,"Bino va inshootlarni yaratish")</f>
        <v>0</v>
      </c>
      <c r="AS242" s="11">
        <f>+COUNTIFS('muddati otgan'!C:C,A242,'muddati otgan'!J:J,"Dov daraxtlarni yaratish")</f>
        <v>0</v>
      </c>
      <c r="AT242" s="11">
        <f>+COUNTIFS('muddati otgan'!C:C,A242,'muddati otgan'!J:J,"Yer uchastkasini tahrirlash")</f>
        <v>0</v>
      </c>
      <c r="AU242" s="11">
        <f t="shared" si="335"/>
        <v>0</v>
      </c>
      <c r="AV242" s="11">
        <f>+COUNTIFS('muddati otgan'!C:C,A242,'muddati otgan'!J:J,"Yer toifasi va maqsadini kiritish")</f>
        <v>0</v>
      </c>
      <c r="AW242" s="11">
        <f>+COUNTIFS('muddati otgan'!C:C,A242,'muddati otgan'!J:J,"Auksion yer tekshirish")</f>
        <v>0</v>
      </c>
      <c r="AX242" s="11">
        <f>+COUNTIFS('muddati otgan'!C:C,A242,'muddati otgan'!J:J,"Yer turlarini kiritish")</f>
        <v>0</v>
      </c>
      <c r="AY242" s="11">
        <f>+COUNTIFS('muddati otgan'!C:C,A242,'muddati otgan'!J:J,"Ma'lumotlarni kiritish")</f>
        <v>0</v>
      </c>
      <c r="AZ242" s="11">
        <f>+COUNTIFS('muddati otgan'!C:C,A242,'muddati otgan'!J:J,"Yer tekshirish")</f>
        <v>0</v>
      </c>
      <c r="BA242" s="11">
        <f t="shared" si="336"/>
        <v>0</v>
      </c>
      <c r="BB242" s="11">
        <f>+COUNTIFS('muddati otgan'!C:C,A242,'muddati otgan'!J:J,"Bino va inshoot ma'lumotlarini to‘ldirish")</f>
        <v>0</v>
      </c>
      <c r="BC242" s="11">
        <f>+COUNTIFS('muddati otgan'!C:C,A242,'muddati otgan'!J:J,"Inventarizatsiya ma'lumotlarini to‘ldirish")</f>
        <v>0</v>
      </c>
      <c r="BD242" s="11">
        <f>+COUNTIFS('muddati otgan'!C:C,A242,'muddati otgan'!J:J,"Yer uchastkasiga huquqiy hujjatlarni kiritsh")</f>
        <v>0</v>
      </c>
      <c r="BE242" s="11">
        <f>+COUNTIFS('muddati otgan'!C:C,A242,'muddati otgan'!J:J,"Bino-inshootlarga huquqiy hujjatlarni kiritsh")</f>
        <v>0</v>
      </c>
      <c r="BF242" s="11">
        <f>+COUNTIFS('muddati otgan'!C:C,A242,'muddati otgan'!J:J,"Kadastr qiymatini hisoblash va kiritish")</f>
        <v>0</v>
      </c>
      <c r="BG242" s="11">
        <f>+COUNTIFS('muddati otgan'!C:C,A242,'muddati otgan'!J:J,"Kadastr raqam biriktirish")</f>
        <v>0</v>
      </c>
      <c r="BH242" s="11">
        <f>+COUNTIFS('muddati otgan'!C:C,A242,'muddati otgan'!J:J,"Kadastr yig'ma jildni tayyorlash")</f>
        <v>0</v>
      </c>
      <c r="BI242" s="11">
        <f>+COUNTIFS('muddati otgan'!C:C,A242,'muddati otgan'!J:J,"Huquqni yaratish")</f>
        <v>0</v>
      </c>
      <c r="BJ242" s="11">
        <f>+COUNTIFS('muddati otgan'!C:C,A242,'muddati otgan'!J:J,"Hujjatlarni o'rganish")</f>
        <v>0</v>
      </c>
      <c r="BK242" s="11">
        <f>+COUNTIFS('muddati otgan'!C:C,A242,'muddati otgan'!J:J,"Ma'lumotlarni tekshirish")</f>
        <v>0</v>
      </c>
      <c r="BL242" s="11">
        <f t="shared" si="337"/>
        <v>0</v>
      </c>
      <c r="BM242" s="11">
        <f>+COUNTIFS('muddati otgan'!C:C,A242,'muddati otgan'!J:J,"Tekshirish")</f>
        <v>0</v>
      </c>
      <c r="BN242" s="11">
        <f>+COUNTIFS('muddati otgan'!C:C,A242,'muddati otgan'!J:J,"Hujjatlarni tekshirish")</f>
        <v>0</v>
      </c>
      <c r="BO242" s="11">
        <f>+COUNTIFS('muddati otgan'!C:C,A242,'muddati otgan'!J:J,"Tasdiqlash")</f>
        <v>0</v>
      </c>
      <c r="BP242" s="11">
        <f>+COUNTIFS('muddati otgan'!C:C,A242,'muddati otgan'!J:J,"tekshirish/tasdiqlash")</f>
        <v>0</v>
      </c>
      <c r="BQ242" s="11">
        <f>+COUNTIFS('muddati otgan'!C:C,A242,'muddati otgan'!J:J,"Ma'lumotlarni tasdiqlash")</f>
        <v>0</v>
      </c>
      <c r="BR242" s="11">
        <f t="shared" si="338"/>
        <v>1</v>
      </c>
      <c r="BS242" s="11">
        <f>+COUNTIFS('muddati otgan'!C:C,A242,'muddati otgan'!J:J,"Ro'yxatdan o'tkazish ma'lumotlarini tekshirish")</f>
        <v>0</v>
      </c>
      <c r="BT242" s="11">
        <f>+COUNTIFS('muddati otgan'!C:C,A242,'muddati otgan'!J:J,"Kamchiliklar bo'yicha habarnoma yuborish va 3 kunga to'xtatish")</f>
        <v>0</v>
      </c>
      <c r="BU242" s="11">
        <f>+COUNTIFS('muddati otgan'!C:C,A242,'muddati otgan'!J:J,"Hisobga olish")</f>
        <v>0</v>
      </c>
      <c r="BV242" s="11">
        <f>+COUNTIFS('muddati otgan'!C:C,A242,'muddati otgan'!J:J,"Yer uchastkasiga huquq yaratish")</f>
        <v>1</v>
      </c>
      <c r="BW242" s="11">
        <f>+COUNTIFS('muddati otgan'!C:C,A242,'muddati otgan'!J:J,"Bino-inshootga huquq yaratish")</f>
        <v>0</v>
      </c>
      <c r="BX242" s="11">
        <f>+COUNTIFS('muddati otgan'!C:C,A242,'muddati otgan'!J:J,"Cheklov yaratish")</f>
        <v>0</v>
      </c>
      <c r="BY242" s="11">
        <f>+COUNTIFS('muddati otgan'!C:C,A242,'muddati otgan'!J:J,"Taqiq yaratish")</f>
        <v>0</v>
      </c>
      <c r="BZ242" s="11">
        <f t="shared" si="339"/>
        <v>0</v>
      </c>
      <c r="CA242" s="11">
        <f>+COUNTIFS('muddati otgan'!C:C,A242,'muddati otgan'!J:J,"Soliq maydonini tekshirish")</f>
        <v>0</v>
      </c>
      <c r="CB242" s="11">
        <f t="shared" si="340"/>
        <v>0</v>
      </c>
      <c r="CC242" s="11">
        <f>+COUNTIFS('muddati otgan'!C:C,A242,'muddati otgan'!J:J,"Kadastr yig'majildini shakllantirish")</f>
        <v>0</v>
      </c>
      <c r="CD242" s="11">
        <f t="shared" si="341"/>
        <v>0</v>
      </c>
      <c r="CE242" s="11">
        <f>+COUNTIFS('muddati otgan'!C:C,A242,'muddati otgan'!J:J,"Kadastr passportini shakllantirish")</f>
        <v>0</v>
      </c>
      <c r="CF242" s="11">
        <f>+COUNTIFS('muddati otgan'!C:C,A242,'muddati otgan'!J:J,"Yig'ma jildni tasdiqlash")</f>
        <v>0</v>
      </c>
      <c r="CG242" s="11">
        <f>+COUNTIFS('muddati otgan'!C:C,A242,'muddati otgan'!J:J,"To'lov yoki bepul tasdiqlash")</f>
        <v>0</v>
      </c>
      <c r="CH242" s="11">
        <f>+COUNTIFS('muddati otgan'!C:C,A242,'muddati otgan'!J:J,"Bog'liq arizani kutish")</f>
        <v>0</v>
      </c>
      <c r="CI242" s="11">
        <f>+COUNTIFS('muddati otgan'!C:C,A242,'muddati otgan'!J:J,"To'lovga chiqarish")</f>
        <v>0</v>
      </c>
      <c r="CJ242" s="11">
        <f>+COUNTIFS('muddati otgan'!C:C,A242,'muddati otgan'!J:J,"Hisobga qo'yish")</f>
        <v>0</v>
      </c>
      <c r="CK242" s="6">
        <f>+COUNTIFS('muddati otgan'!C:C,A242,'muddati otgan'!J:J,"To'lov kutilmoqda")</f>
        <v>1</v>
      </c>
      <c r="CL242" s="11">
        <f t="shared" si="342"/>
        <v>0</v>
      </c>
      <c r="CM242" s="11">
        <f>+COUNTIFS('muddati otgan'!C:C,A242,'muddati otgan'!AA:AA,"Arizani qabul qilish2")</f>
        <v>0</v>
      </c>
      <c r="CN242" s="11">
        <f>+COUNTIFS('muddati otgan'!C:C,A242,'muddati otgan'!J:J,"Huquqlarni tekshirish")</f>
        <v>0</v>
      </c>
      <c r="CO242" s="11">
        <f>+COUNTIFS('muddati otgan'!C:C,A242,'muddati otgan'!J:J,"Ko'chmas mulkni ro'yhatdan o'tkazishga qabul qilish")</f>
        <v>0</v>
      </c>
      <c r="CP242" s="11">
        <f>+COUNTIFS('muddati otgan'!C:C,A242,'muddati otgan'!J:J,"Ro'yxatdan o'tkazish")</f>
        <v>0</v>
      </c>
      <c r="CQ242" s="11">
        <f>+COUNTIFS('muddati otgan'!C:C,A242,'muddati otgan'!J:J,"Kadastr pasporti va ko'chirmani yuborish")</f>
        <v>0</v>
      </c>
      <c r="CR242" s="11">
        <f>+COUNTIFS('muddati otgan'!C:C,A242,'muddati otgan'!AA:AA,"Rad qilish2")</f>
        <v>0</v>
      </c>
      <c r="CS242" s="11">
        <f>+COUNTIFS('muddati otgan'!C:C,A242,'muddati otgan'!J:J,"Ko'chirmani yuborish")</f>
        <v>0</v>
      </c>
      <c r="CT242" s="11">
        <f>+COUNTIFS('muddati otgan'!C:C,A242,'muddati otgan'!J:J,"Ma‘lumotlarni tekshirish")</f>
        <v>0</v>
      </c>
      <c r="CU242" s="11">
        <f t="shared" si="343"/>
        <v>0</v>
      </c>
      <c r="CV242" s="11">
        <f>+COUNTIFS('muddati otgan'!C:C,A242,'muddati otgan'!J:J,"Kadastr yig'majildini chop etish va arxiv ishiga tikish")</f>
        <v>0</v>
      </c>
      <c r="CW242" s="11">
        <f t="shared" si="344"/>
        <v>0</v>
      </c>
      <c r="CX242" s="11">
        <f>+COUNTIFS('muddati otgan'!C:C,A242,'muddati otgan'!J:J,"Kadastr yig‘majildini qabul qilish, arizani yakunlash")</f>
        <v>0</v>
      </c>
      <c r="CY242" s="11">
        <f>+COUNTIFS('muddati otgan'!C:C,A242,'muddati otgan'!J:J,"Next Cloudga yuklash")</f>
        <v>0</v>
      </c>
      <c r="CZ242" s="6">
        <f>+COUNTIFS('muddati otgan'!C:C,A242,'muddati otgan'!J:J,"Kelishish kutilmoqda")</f>
        <v>0</v>
      </c>
      <c r="DA242" s="6">
        <f>+COUNTIFS('muddati otgan'!C:C,A242,'muddati otgan'!J:J,"Yakunlandi")</f>
        <v>0</v>
      </c>
      <c r="DB242" s="10">
        <f>+COUNTIFS('muddati otgan'!C:C,A242,'muddati otgan'!J:J,"Rad etildi")</f>
        <v>0</v>
      </c>
      <c r="DC242" s="100">
        <f t="shared" si="345"/>
        <v>-2</v>
      </c>
      <c r="DD242" s="44">
        <f>COUNTIFS('jami 1-20 kunlik arizalar'!C:C,A:A,'jami 1-20 kunlik arizalar'!S:S,"1")</f>
        <v>0</v>
      </c>
      <c r="DE242" s="11">
        <f>COUNTIFS('jami 1-20 kunlik arizalar'!C:C,A:A,'jami 1-20 kunlik arizalar'!S:S,"2")</f>
        <v>0</v>
      </c>
      <c r="DF242" s="11">
        <f>COUNTIFS('jami 1-20 kunlik arizalar'!C:C,A:A,'jami 1-20 kunlik arizalar'!S:S,"3")</f>
        <v>0</v>
      </c>
      <c r="DG242" s="11">
        <f>COUNTIFS('jami 1-20 kunlik arizalar'!C:C,A:A,'jami 1-20 kunlik arizalar'!S:S,"4")</f>
        <v>2</v>
      </c>
      <c r="DH242" s="11">
        <f>COUNTIFS('jami 1-20 kunlik arizalar'!C:C,A:A,'jami 1-20 kunlik arizalar'!S:S,"5")</f>
        <v>6</v>
      </c>
      <c r="DI242" s="11">
        <f>SUM(COUNTIFS('jami 1-20 kunlik arizalar'!C:C,A:A, 'jami 1-20 kunlik arizalar'!S:S, {6,7,8,9,10}))</f>
        <v>10</v>
      </c>
      <c r="DJ242" s="12">
        <f>SUM(COUNTIFS('jami 1-20 kunlik arizalar'!C:C,A:A, 'jami 1-20 kunlik arizalar'!S:S, "&gt;10"))</f>
        <v>7</v>
      </c>
    </row>
    <row r="243" spans="1:114" ht="32.1" hidden="1" customHeight="1" outlineLevel="1" x14ac:dyDescent="0.25">
      <c r="A243" s="92" t="s">
        <v>738</v>
      </c>
      <c r="B243" s="74"/>
      <c r="C243" s="85" t="s">
        <v>927</v>
      </c>
      <c r="D243" s="80">
        <f>+COUNTIFS('muddati otgan'!C:C,A243,'muddati otgan'!C:C,A243)</f>
        <v>0</v>
      </c>
      <c r="E243" s="10">
        <f>SUMIFS('muddati otgan'!$V:V,'muddati otgan'!$C:C,$A:A)</f>
        <v>0</v>
      </c>
      <c r="F243" s="10">
        <f>SUMIFS('muddati otgan'!$W:W,'muddati otgan'!$C:C,$A:A)</f>
        <v>0</v>
      </c>
      <c r="G243" s="24">
        <f>SUMIFS('muddati otgan'!$U:U,'muddati otgan'!$C:C,$A:A)</f>
        <v>0</v>
      </c>
      <c r="H243" s="11">
        <f>SUMIFS('muddati otgan'!$G:G,'muddati otgan'!$C:C,$A:A)</f>
        <v>0</v>
      </c>
      <c r="I243" s="12">
        <f>SUMIFS('muddati otgan'!$H:H,'muddati otgan'!$C:C,$A:A)</f>
        <v>0</v>
      </c>
      <c r="J243" s="44">
        <f t="shared" si="329"/>
        <v>0</v>
      </c>
      <c r="K243" s="11">
        <f>+COUNTIFS('muddati otgan'!C:C,A243,'muddati otgan'!AA:AA,"Arizani qabul qilish")</f>
        <v>0</v>
      </c>
      <c r="L243" s="11">
        <f>+COUNTIFS('muddati otgan'!C:C,A243,'muddati otgan'!J:J,"Arizani rad etish")</f>
        <v>0</v>
      </c>
      <c r="M243" s="11">
        <f>+COUNTIFS('muddati otgan'!C:C,A243,'muddati otgan'!J:J,"Arizani tasdiqlash")</f>
        <v>0</v>
      </c>
      <c r="N243" s="11">
        <f>+COUNTIFS('muddati otgan'!C:C,A243,'muddati otgan'!J:J,"Arizani yo'naltirish")</f>
        <v>0</v>
      </c>
      <c r="O243" s="11">
        <f>+COUNTIFS('muddati otgan'!C:C,A243,'muddati otgan'!J:J,"Rad qilish sababini o'rganish")</f>
        <v>0</v>
      </c>
      <c r="P243" s="11">
        <f>+COUNTIFS('muddati otgan'!C:C,A243,'muddati otgan'!J:J,"Ko'chmas mulkni UZKAD ga migratsiya qilish")</f>
        <v>0</v>
      </c>
      <c r="Q243" s="11">
        <f>+COUNTIFS('muddati otgan'!C:C,A243,'muddati otgan'!J:J,"Migratisya qilingan obyekt holatini tekshirish")</f>
        <v>0</v>
      </c>
      <c r="R243" s="11">
        <f>+COUNTIFS('muddati otgan'!C:C,A243,'muddati otgan'!J:J,"Ko‘chmas mulkni tanlash")</f>
        <v>0</v>
      </c>
      <c r="S243" s="11">
        <f>+COUNTIFS('muddati otgan'!C:C,A243,'muddati otgan'!J:J,"Arizani ko'rib chiqish")</f>
        <v>0</v>
      </c>
      <c r="T243" s="11">
        <f>+COUNTIFS('muddati otgan'!C:C,A243,'muddati otgan'!J:J,"Kadastr muhandisini tanlash")</f>
        <v>0</v>
      </c>
      <c r="U243" s="11">
        <f>+COUNTIFS('muddati otgan'!C:C,A243,'muddati otgan'!J:J,"Ko'chmas mulk turini tanlahsh")</f>
        <v>0</v>
      </c>
      <c r="V243" s="11">
        <f>+COUNTIFS('muddati otgan'!C:C,A243,'muddati otgan'!AA:AA,"Rad qilish")</f>
        <v>0</v>
      </c>
      <c r="W243" s="11">
        <f>+COUNTIFS('muddati otgan'!C:C,A243,'muddati otgan'!J:J,"ijrochi tanlash")</f>
        <v>0</v>
      </c>
      <c r="X243" s="11">
        <f>+COUNTIFS('muddati otgan'!C:C,A243,'muddati otgan'!J:J,"Ko'chmas mulk turini tanlash")</f>
        <v>0</v>
      </c>
      <c r="Y243" s="11">
        <f t="shared" si="330"/>
        <v>0</v>
      </c>
      <c r="Z243" s="11">
        <f>+COUNTIFS('muddati otgan'!C:C,A243,'muddati otgan'!J:J,"Ijroga qabul qilish")</f>
        <v>0</v>
      </c>
      <c r="AA243" s="11">
        <f>+COUNTIFS('muddati otgan'!C:C,A243,'muddati otgan'!J:J,"Joyida o'rganish va ma'lumotlarni kiritish")</f>
        <v>0</v>
      </c>
      <c r="AB243" s="11">
        <f>+COUNTIFS('muddati otgan'!C:C,A243,'muddati otgan'!J:J,"Asosiy qismdan ajratish jarayonida")</f>
        <v>0</v>
      </c>
      <c r="AC243" s="11">
        <f>+COUNTIFS('muddati otgan'!C:C,A243,'muddati otgan'!J:J,"Umumiy foydalanishdagi obyekt yaratilish")</f>
        <v>0</v>
      </c>
      <c r="AD243" s="11">
        <f>+COUNTIFS('muddati otgan'!C:C,A243,'muddati otgan'!J:J,"Migratsiya qilinadigan kadastr raqamini kiritish")</f>
        <v>0</v>
      </c>
      <c r="AE243" s="11">
        <f>+COUNTIFS('muddati otgan'!C:C,A243,'muddati otgan'!J:J,"O'zida qolgan obyektni yaratish")</f>
        <v>0</v>
      </c>
      <c r="AF243" s="11">
        <f>+COUNTIFS('muddati otgan'!C:C,A243,'muddati otgan'!J:J,"O'lchov natijalarini kiritish")</f>
        <v>0</v>
      </c>
      <c r="AG243" s="11">
        <f>+COUNTIFS('muddati otgan'!C:C,A243,'muddati otgan'!J:J,"Topoxaritani tayyorlash (dwg, pdf)")</f>
        <v>0</v>
      </c>
      <c r="AH243" s="11">
        <f t="shared" si="331"/>
        <v>0</v>
      </c>
      <c r="AI243" s="11">
        <f>+COUNTIFS('muddati otgan'!C:C,A243,'muddati otgan'!J:J,"Yer uchastkasini yaratish")</f>
        <v>0</v>
      </c>
      <c r="AJ243" s="11">
        <f t="shared" si="332"/>
        <v>0</v>
      </c>
      <c r="AK243" s="11">
        <f>+COUNTIFS('muddati otgan'!C:C,A243,'muddati otgan'!J:J,"Kelishish (Boshqarma)")</f>
        <v>0</v>
      </c>
      <c r="AL243" s="11">
        <f t="shared" si="333"/>
        <v>0</v>
      </c>
      <c r="AM243" s="11">
        <f>+COUNTIFS('muddati otgan'!C:C,A243,'muddati otgan'!J:J,"Kelishish (DKP)")</f>
        <v>0</v>
      </c>
      <c r="AN243" s="11">
        <f>+COUNTIFS('muddati otgan'!C:C,A243,'muddati otgan'!J:J,"Kelishish")</f>
        <v>0</v>
      </c>
      <c r="AO243" s="11">
        <f>+COUNTIFS('muddati otgan'!C:C,A243,'muddati otgan'!J:J,"Kelishish (Registratsiya DKP)")</f>
        <v>0</v>
      </c>
      <c r="AP243" s="11">
        <f t="shared" si="334"/>
        <v>0</v>
      </c>
      <c r="AQ243" s="11">
        <f>+COUNTIFS('muddati otgan'!C:C,A243,'muddati otgan'!J:J,"Manzil biriktirish")</f>
        <v>0</v>
      </c>
      <c r="AR243" s="11">
        <f>+COUNTIFS('muddati otgan'!C:C,A243,'muddati otgan'!J:J,"Bino va inshootlarni yaratish")</f>
        <v>0</v>
      </c>
      <c r="AS243" s="11">
        <f>+COUNTIFS('muddati otgan'!C:C,A243,'muddati otgan'!J:J,"Dov daraxtlarni yaratish")</f>
        <v>0</v>
      </c>
      <c r="AT243" s="11">
        <f>+COUNTIFS('muddati otgan'!C:C,A243,'muddati otgan'!J:J,"Yer uchastkasini tahrirlash")</f>
        <v>0</v>
      </c>
      <c r="AU243" s="11">
        <f t="shared" si="335"/>
        <v>0</v>
      </c>
      <c r="AV243" s="11">
        <f>+COUNTIFS('muddati otgan'!C:C,A243,'muddati otgan'!J:J,"Yer toifasi va maqsadini kiritish")</f>
        <v>0</v>
      </c>
      <c r="AW243" s="11">
        <f>+COUNTIFS('muddati otgan'!C:C,A243,'muddati otgan'!J:J,"Auksion yer tekshirish")</f>
        <v>0</v>
      </c>
      <c r="AX243" s="11">
        <f>+COUNTIFS('muddati otgan'!C:C,A243,'muddati otgan'!J:J,"Yer turlarini kiritish")</f>
        <v>0</v>
      </c>
      <c r="AY243" s="11">
        <f>+COUNTIFS('muddati otgan'!C:C,A243,'muddati otgan'!J:J,"Ma'lumotlarni kiritish")</f>
        <v>0</v>
      </c>
      <c r="AZ243" s="11">
        <f>+COUNTIFS('muddati otgan'!C:C,A243,'muddati otgan'!J:J,"Yer tekshirish")</f>
        <v>0</v>
      </c>
      <c r="BA243" s="11">
        <f t="shared" si="336"/>
        <v>0</v>
      </c>
      <c r="BB243" s="11">
        <f>+COUNTIFS('muddati otgan'!C:C,A243,'muddati otgan'!J:J,"Bino va inshoot ma'lumotlarini to‘ldirish")</f>
        <v>0</v>
      </c>
      <c r="BC243" s="11">
        <f>+COUNTIFS('muddati otgan'!C:C,A243,'muddati otgan'!J:J,"Inventarizatsiya ma'lumotlarini to‘ldirish")</f>
        <v>0</v>
      </c>
      <c r="BD243" s="11">
        <f>+COUNTIFS('muddati otgan'!C:C,A243,'muddati otgan'!J:J,"Yer uchastkasiga huquqiy hujjatlarni kiritsh")</f>
        <v>0</v>
      </c>
      <c r="BE243" s="11">
        <f>+COUNTIFS('muddati otgan'!C:C,A243,'muddati otgan'!J:J,"Bino-inshootlarga huquqiy hujjatlarni kiritsh")</f>
        <v>0</v>
      </c>
      <c r="BF243" s="11">
        <f>+COUNTIFS('muddati otgan'!C:C,A243,'muddati otgan'!J:J,"Kadastr qiymatini hisoblash va kiritish")</f>
        <v>0</v>
      </c>
      <c r="BG243" s="11">
        <f>+COUNTIFS('muddati otgan'!C:C,A243,'muddati otgan'!J:J,"Kadastr raqam biriktirish")</f>
        <v>0</v>
      </c>
      <c r="BH243" s="11">
        <f>+COUNTIFS('muddati otgan'!C:C,A243,'muddati otgan'!J:J,"Kadastr yig'ma jildni tayyorlash")</f>
        <v>0</v>
      </c>
      <c r="BI243" s="11">
        <f>+COUNTIFS('muddati otgan'!C:C,A243,'muddati otgan'!J:J,"Huquqni yaratish")</f>
        <v>0</v>
      </c>
      <c r="BJ243" s="11">
        <f>+COUNTIFS('muddati otgan'!C:C,A243,'muddati otgan'!J:J,"Hujjatlarni o'rganish")</f>
        <v>0</v>
      </c>
      <c r="BK243" s="11">
        <f>+COUNTIFS('muddati otgan'!C:C,A243,'muddati otgan'!J:J,"Ma'lumotlarni tekshirish")</f>
        <v>0</v>
      </c>
      <c r="BL243" s="11">
        <f t="shared" si="337"/>
        <v>0</v>
      </c>
      <c r="BM243" s="11">
        <f>+COUNTIFS('muddati otgan'!C:C,A243,'muddati otgan'!J:J,"Tekshirish")</f>
        <v>0</v>
      </c>
      <c r="BN243" s="11">
        <f>+COUNTIFS('muddati otgan'!C:C,A243,'muddati otgan'!J:J,"Hujjatlarni tekshirish")</f>
        <v>0</v>
      </c>
      <c r="BO243" s="11">
        <f>+COUNTIFS('muddati otgan'!C:C,A243,'muddati otgan'!J:J,"Tasdiqlash")</f>
        <v>0</v>
      </c>
      <c r="BP243" s="11">
        <f>+COUNTIFS('muddati otgan'!C:C,A243,'muddati otgan'!J:J,"tekshirish/tasdiqlash")</f>
        <v>0</v>
      </c>
      <c r="BQ243" s="11">
        <f>+COUNTIFS('muddati otgan'!C:C,A243,'muddati otgan'!J:J,"Ma'lumotlarni tasdiqlash")</f>
        <v>0</v>
      </c>
      <c r="BR243" s="11">
        <f t="shared" si="338"/>
        <v>0</v>
      </c>
      <c r="BS243" s="11">
        <f>+COUNTIFS('muddati otgan'!C:C,A243,'muddati otgan'!J:J,"Ro'yxatdan o'tkazish ma'lumotlarini tekshirish")</f>
        <v>0</v>
      </c>
      <c r="BT243" s="11">
        <f>+COUNTIFS('muddati otgan'!C:C,A243,'muddati otgan'!J:J,"Kamchiliklar bo'yicha habarnoma yuborish va 3 kunga to'xtatish")</f>
        <v>0</v>
      </c>
      <c r="BU243" s="11">
        <f>+COUNTIFS('muddati otgan'!C:C,A243,'muddati otgan'!J:J,"Hisobga olish")</f>
        <v>0</v>
      </c>
      <c r="BV243" s="11">
        <f>+COUNTIFS('muddati otgan'!C:C,A243,'muddati otgan'!J:J,"Yer uchastkasiga huquq yaratish")</f>
        <v>0</v>
      </c>
      <c r="BW243" s="11">
        <f>+COUNTIFS('muddati otgan'!C:C,A243,'muddati otgan'!J:J,"Bino-inshootga huquq yaratish")</f>
        <v>0</v>
      </c>
      <c r="BX243" s="11">
        <f>+COUNTIFS('muddati otgan'!C:C,A243,'muddati otgan'!J:J,"Cheklov yaratish")</f>
        <v>0</v>
      </c>
      <c r="BY243" s="11">
        <f>+COUNTIFS('muddati otgan'!C:C,A243,'muddati otgan'!J:J,"Taqiq yaratish")</f>
        <v>0</v>
      </c>
      <c r="BZ243" s="11">
        <f t="shared" si="339"/>
        <v>0</v>
      </c>
      <c r="CA243" s="11">
        <f>+COUNTIFS('muddati otgan'!C:C,A243,'muddati otgan'!J:J,"Soliq maydonini tekshirish")</f>
        <v>0</v>
      </c>
      <c r="CB243" s="11">
        <f t="shared" si="340"/>
        <v>0</v>
      </c>
      <c r="CC243" s="11">
        <f>+COUNTIFS('muddati otgan'!C:C,A243,'muddati otgan'!J:J,"Kadastr yig'majildini shakllantirish")</f>
        <v>0</v>
      </c>
      <c r="CD243" s="11">
        <f t="shared" si="341"/>
        <v>0</v>
      </c>
      <c r="CE243" s="11">
        <f>+COUNTIFS('muddati otgan'!C:C,A243,'muddati otgan'!J:J,"Kadastr passportini shakllantirish")</f>
        <v>0</v>
      </c>
      <c r="CF243" s="11">
        <f>+COUNTIFS('muddati otgan'!C:C,A243,'muddati otgan'!J:J,"Yig'ma jildni tasdiqlash")</f>
        <v>0</v>
      </c>
      <c r="CG243" s="11">
        <f>+COUNTIFS('muddati otgan'!C:C,A243,'muddati otgan'!J:J,"To'lov yoki bepul tasdiqlash")</f>
        <v>0</v>
      </c>
      <c r="CH243" s="11">
        <f>+COUNTIFS('muddati otgan'!C:C,A243,'muddati otgan'!J:J,"Bog'liq arizani kutish")</f>
        <v>0</v>
      </c>
      <c r="CI243" s="11">
        <f>+COUNTIFS('muddati otgan'!C:C,A243,'muddati otgan'!J:J,"To'lovga chiqarish")</f>
        <v>0</v>
      </c>
      <c r="CJ243" s="11">
        <f>+COUNTIFS('muddati otgan'!C:C,A243,'muddati otgan'!J:J,"Hisobga qo'yish")</f>
        <v>0</v>
      </c>
      <c r="CK243" s="6">
        <f>+COUNTIFS('muddati otgan'!C:C,A243,'muddati otgan'!J:J,"To'lov kutilmoqda")</f>
        <v>0</v>
      </c>
      <c r="CL243" s="11">
        <f t="shared" si="342"/>
        <v>0</v>
      </c>
      <c r="CM243" s="11">
        <f>+COUNTIFS('muddati otgan'!C:C,A243,'muddati otgan'!AA:AA,"Arizani qabul qilish2")</f>
        <v>0</v>
      </c>
      <c r="CN243" s="11">
        <f>+COUNTIFS('muddati otgan'!C:C,A243,'muddati otgan'!J:J,"Huquqlarni tekshirish")</f>
        <v>0</v>
      </c>
      <c r="CO243" s="11">
        <f>+COUNTIFS('muddati otgan'!C:C,A243,'muddati otgan'!J:J,"Ko'chmas mulkni ro'yhatdan o'tkazishga qabul qilish")</f>
        <v>0</v>
      </c>
      <c r="CP243" s="11">
        <f>+COUNTIFS('muddati otgan'!C:C,A243,'muddati otgan'!J:J,"Ro'yxatdan o'tkazish")</f>
        <v>0</v>
      </c>
      <c r="CQ243" s="11">
        <f>+COUNTIFS('muddati otgan'!C:C,A243,'muddati otgan'!J:J,"Kadastr pasporti va ko'chirmani yuborish")</f>
        <v>0</v>
      </c>
      <c r="CR243" s="11">
        <f>+COUNTIFS('muddati otgan'!C:C,A243,'muddati otgan'!AA:AA,"Rad qilish2")</f>
        <v>0</v>
      </c>
      <c r="CS243" s="11">
        <f>+COUNTIFS('muddati otgan'!C:C,A243,'muddati otgan'!J:J,"Ko'chirmani yuborish")</f>
        <v>0</v>
      </c>
      <c r="CT243" s="11">
        <f>+COUNTIFS('muddati otgan'!C:C,A243,'muddati otgan'!J:J,"Ma‘lumotlarni tekshirish")</f>
        <v>0</v>
      </c>
      <c r="CU243" s="11">
        <f t="shared" si="343"/>
        <v>0</v>
      </c>
      <c r="CV243" s="11">
        <f>+COUNTIFS('muddati otgan'!C:C,A243,'muddati otgan'!J:J,"Kadastr yig'majildini chop etish va arxiv ishiga tikish")</f>
        <v>0</v>
      </c>
      <c r="CW243" s="11">
        <f t="shared" si="344"/>
        <v>0</v>
      </c>
      <c r="CX243" s="11">
        <f>+COUNTIFS('muddati otgan'!C:C,A243,'muddati otgan'!J:J,"Kadastr yig‘majildini qabul qilish, arizani yakunlash")</f>
        <v>0</v>
      </c>
      <c r="CY243" s="11">
        <f>+COUNTIFS('muddati otgan'!C:C,A243,'muddati otgan'!J:J,"Next Cloudga yuklash")</f>
        <v>0</v>
      </c>
      <c r="CZ243" s="6">
        <f>+COUNTIFS('muddati otgan'!C:C,A243,'muddati otgan'!J:J,"Kelishish kutilmoqda")</f>
        <v>0</v>
      </c>
      <c r="DA243" s="6">
        <f>+COUNTIFS('muddati otgan'!C:C,A243,'muddati otgan'!J:J,"Yakunlandi")</f>
        <v>0</v>
      </c>
      <c r="DB243" s="10">
        <f>+COUNTIFS('muddati otgan'!C:C,A243,'muddati otgan'!J:J,"Rad etildi")</f>
        <v>0</v>
      </c>
      <c r="DC243" s="100">
        <f t="shared" si="345"/>
        <v>0</v>
      </c>
      <c r="DD243" s="44">
        <f>COUNTIFS('jami 1-20 kunlik arizalar'!C:C,A:A,'jami 1-20 kunlik arizalar'!S:S,"1")</f>
        <v>0</v>
      </c>
      <c r="DE243" s="11">
        <f>COUNTIFS('jami 1-20 kunlik arizalar'!C:C,A:A,'jami 1-20 kunlik arizalar'!S:S,"2")</f>
        <v>0</v>
      </c>
      <c r="DF243" s="11">
        <f>COUNTIFS('jami 1-20 kunlik arizalar'!C:C,A:A,'jami 1-20 kunlik arizalar'!S:S,"3")</f>
        <v>2</v>
      </c>
      <c r="DG243" s="11">
        <f>COUNTIFS('jami 1-20 kunlik arizalar'!C:C,A:A,'jami 1-20 kunlik arizalar'!S:S,"4")</f>
        <v>2</v>
      </c>
      <c r="DH243" s="11">
        <f>COUNTIFS('jami 1-20 kunlik arizalar'!C:C,A:A,'jami 1-20 kunlik arizalar'!S:S,"5")</f>
        <v>0</v>
      </c>
      <c r="DI243" s="11">
        <f>SUM(COUNTIFS('jami 1-20 kunlik arizalar'!C:C,A:A, 'jami 1-20 kunlik arizalar'!S:S, {6,7,8,9,10}))</f>
        <v>5</v>
      </c>
      <c r="DJ243" s="12">
        <f>SUM(COUNTIFS('jami 1-20 kunlik arizalar'!C:C,A:A, 'jami 1-20 kunlik arizalar'!S:S, "&gt;10"))</f>
        <v>4</v>
      </c>
    </row>
    <row r="244" spans="1:114" ht="32.1" hidden="1" customHeight="1" outlineLevel="1" x14ac:dyDescent="0.25">
      <c r="A244" s="92" t="s">
        <v>604</v>
      </c>
      <c r="B244" s="74"/>
      <c r="C244" s="85" t="s">
        <v>928</v>
      </c>
      <c r="D244" s="80">
        <f>+COUNTIFS('muddati otgan'!C:C,A244,'muddati otgan'!C:C,A244)</f>
        <v>0</v>
      </c>
      <c r="E244" s="10">
        <f>SUMIFS('muddati otgan'!$V:V,'muddati otgan'!$C:C,$A:A)</f>
        <v>0</v>
      </c>
      <c r="F244" s="10">
        <f>SUMIFS('muddati otgan'!$W:W,'muddati otgan'!$C:C,$A:A)</f>
        <v>0</v>
      </c>
      <c r="G244" s="24">
        <f>SUMIFS('muddati otgan'!$U:U,'muddati otgan'!$C:C,$A:A)</f>
        <v>0</v>
      </c>
      <c r="H244" s="11">
        <f>SUMIFS('muddati otgan'!$G:G,'muddati otgan'!$C:C,$A:A)</f>
        <v>0</v>
      </c>
      <c r="I244" s="12">
        <f>SUMIFS('muddati otgan'!$H:H,'muddati otgan'!$C:C,$A:A)</f>
        <v>0</v>
      </c>
      <c r="J244" s="44">
        <f t="shared" si="329"/>
        <v>0</v>
      </c>
      <c r="K244" s="11">
        <f>+COUNTIFS('muddati otgan'!C:C,A244,'muddati otgan'!AA:AA,"Arizani qabul qilish")</f>
        <v>0</v>
      </c>
      <c r="L244" s="11">
        <f>+COUNTIFS('muddati otgan'!C:C,A244,'muddati otgan'!J:J,"Arizani rad etish")</f>
        <v>0</v>
      </c>
      <c r="M244" s="11">
        <f>+COUNTIFS('muddati otgan'!C:C,A244,'muddati otgan'!J:J,"Arizani tasdiqlash")</f>
        <v>0</v>
      </c>
      <c r="N244" s="11">
        <f>+COUNTIFS('muddati otgan'!C:C,A244,'muddati otgan'!J:J,"Arizani yo'naltirish")</f>
        <v>0</v>
      </c>
      <c r="O244" s="11">
        <f>+COUNTIFS('muddati otgan'!C:C,A244,'muddati otgan'!J:J,"Rad qilish sababini o'rganish")</f>
        <v>0</v>
      </c>
      <c r="P244" s="11">
        <f>+COUNTIFS('muddati otgan'!C:C,A244,'muddati otgan'!J:J,"Ko'chmas mulkni UZKAD ga migratsiya qilish")</f>
        <v>0</v>
      </c>
      <c r="Q244" s="11">
        <f>+COUNTIFS('muddati otgan'!C:C,A244,'muddati otgan'!J:J,"Migratisya qilingan obyekt holatini tekshirish")</f>
        <v>0</v>
      </c>
      <c r="R244" s="11">
        <f>+COUNTIFS('muddati otgan'!C:C,A244,'muddati otgan'!J:J,"Ko‘chmas mulkni tanlash")</f>
        <v>0</v>
      </c>
      <c r="S244" s="11">
        <f>+COUNTIFS('muddati otgan'!C:C,A244,'muddati otgan'!J:J,"Arizani ko'rib chiqish")</f>
        <v>0</v>
      </c>
      <c r="T244" s="11">
        <f>+COUNTIFS('muddati otgan'!C:C,A244,'muddati otgan'!J:J,"Kadastr muhandisini tanlash")</f>
        <v>0</v>
      </c>
      <c r="U244" s="11">
        <f>+COUNTIFS('muddati otgan'!C:C,A244,'muddati otgan'!J:J,"Ko'chmas mulk turini tanlahsh")</f>
        <v>0</v>
      </c>
      <c r="V244" s="11">
        <f>+COUNTIFS('muddati otgan'!C:C,A244,'muddati otgan'!AA:AA,"Rad qilish")</f>
        <v>0</v>
      </c>
      <c r="W244" s="11">
        <f>+COUNTIFS('muddati otgan'!C:C,A244,'muddati otgan'!J:J,"ijrochi tanlash")</f>
        <v>0</v>
      </c>
      <c r="X244" s="11">
        <f>+COUNTIFS('muddati otgan'!C:C,A244,'muddati otgan'!J:J,"Ko'chmas mulk turini tanlash")</f>
        <v>0</v>
      </c>
      <c r="Y244" s="11">
        <f t="shared" si="330"/>
        <v>0</v>
      </c>
      <c r="Z244" s="11">
        <f>+COUNTIFS('muddati otgan'!C:C,A244,'muddati otgan'!J:J,"Ijroga qabul qilish")</f>
        <v>0</v>
      </c>
      <c r="AA244" s="11">
        <f>+COUNTIFS('muddati otgan'!C:C,A244,'muddati otgan'!J:J,"Joyida o'rganish va ma'lumotlarni kiritish")</f>
        <v>0</v>
      </c>
      <c r="AB244" s="11">
        <f>+COUNTIFS('muddati otgan'!C:C,A244,'muddati otgan'!J:J,"Asosiy qismdan ajratish jarayonida")</f>
        <v>0</v>
      </c>
      <c r="AC244" s="11">
        <f>+COUNTIFS('muddati otgan'!C:C,A244,'muddati otgan'!J:J,"Umumiy foydalanishdagi obyekt yaratilish")</f>
        <v>0</v>
      </c>
      <c r="AD244" s="11">
        <f>+COUNTIFS('muddati otgan'!C:C,A244,'muddati otgan'!J:J,"Migratsiya qilinadigan kadastr raqamini kiritish")</f>
        <v>0</v>
      </c>
      <c r="AE244" s="11">
        <f>+COUNTIFS('muddati otgan'!C:C,A244,'muddati otgan'!J:J,"O'zida qolgan obyektni yaratish")</f>
        <v>0</v>
      </c>
      <c r="AF244" s="11">
        <f>+COUNTIFS('muddati otgan'!C:C,A244,'muddati otgan'!J:J,"O'lchov natijalarini kiritish")</f>
        <v>0</v>
      </c>
      <c r="AG244" s="11">
        <f>+COUNTIFS('muddati otgan'!C:C,A244,'muddati otgan'!J:J,"Topoxaritani tayyorlash (dwg, pdf)")</f>
        <v>0</v>
      </c>
      <c r="AH244" s="11">
        <f t="shared" si="331"/>
        <v>0</v>
      </c>
      <c r="AI244" s="11">
        <f>+COUNTIFS('muddati otgan'!C:C,A244,'muddati otgan'!J:J,"Yer uchastkasini yaratish")</f>
        <v>0</v>
      </c>
      <c r="AJ244" s="11">
        <f t="shared" si="332"/>
        <v>0</v>
      </c>
      <c r="AK244" s="11">
        <f>+COUNTIFS('muddati otgan'!C:C,A244,'muddati otgan'!J:J,"Kelishish (Boshqarma)")</f>
        <v>0</v>
      </c>
      <c r="AL244" s="11">
        <f t="shared" si="333"/>
        <v>0</v>
      </c>
      <c r="AM244" s="11">
        <f>+COUNTIFS('muddati otgan'!C:C,A244,'muddati otgan'!J:J,"Kelishish (DKP)")</f>
        <v>0</v>
      </c>
      <c r="AN244" s="11">
        <f>+COUNTIFS('muddati otgan'!C:C,A244,'muddati otgan'!J:J,"Kelishish")</f>
        <v>0</v>
      </c>
      <c r="AO244" s="11">
        <f>+COUNTIFS('muddati otgan'!C:C,A244,'muddati otgan'!J:J,"Kelishish (Registratsiya DKP)")</f>
        <v>0</v>
      </c>
      <c r="AP244" s="11">
        <f t="shared" si="334"/>
        <v>0</v>
      </c>
      <c r="AQ244" s="11">
        <f>+COUNTIFS('muddati otgan'!C:C,A244,'muddati otgan'!J:J,"Manzil biriktirish")</f>
        <v>0</v>
      </c>
      <c r="AR244" s="11">
        <f>+COUNTIFS('muddati otgan'!C:C,A244,'muddati otgan'!J:J,"Bino va inshootlarni yaratish")</f>
        <v>0</v>
      </c>
      <c r="AS244" s="11">
        <f>+COUNTIFS('muddati otgan'!C:C,A244,'muddati otgan'!J:J,"Dov daraxtlarni yaratish")</f>
        <v>0</v>
      </c>
      <c r="AT244" s="11">
        <f>+COUNTIFS('muddati otgan'!C:C,A244,'muddati otgan'!J:J,"Yer uchastkasini tahrirlash")</f>
        <v>0</v>
      </c>
      <c r="AU244" s="11">
        <f t="shared" si="335"/>
        <v>0</v>
      </c>
      <c r="AV244" s="11">
        <f>+COUNTIFS('muddati otgan'!C:C,A244,'muddati otgan'!J:J,"Yer toifasi va maqsadini kiritish")</f>
        <v>0</v>
      </c>
      <c r="AW244" s="11">
        <f>+COUNTIFS('muddati otgan'!C:C,A244,'muddati otgan'!J:J,"Auksion yer tekshirish")</f>
        <v>0</v>
      </c>
      <c r="AX244" s="11">
        <f>+COUNTIFS('muddati otgan'!C:C,A244,'muddati otgan'!J:J,"Yer turlarini kiritish")</f>
        <v>0</v>
      </c>
      <c r="AY244" s="11">
        <f>+COUNTIFS('muddati otgan'!C:C,A244,'muddati otgan'!J:J,"Ma'lumotlarni kiritish")</f>
        <v>0</v>
      </c>
      <c r="AZ244" s="11">
        <f>+COUNTIFS('muddati otgan'!C:C,A244,'muddati otgan'!J:J,"Yer tekshirish")</f>
        <v>0</v>
      </c>
      <c r="BA244" s="11">
        <f t="shared" si="336"/>
        <v>0</v>
      </c>
      <c r="BB244" s="11">
        <f>+COUNTIFS('muddati otgan'!C:C,A244,'muddati otgan'!J:J,"Bino va inshoot ma'lumotlarini to‘ldirish")</f>
        <v>0</v>
      </c>
      <c r="BC244" s="11">
        <f>+COUNTIFS('muddati otgan'!C:C,A244,'muddati otgan'!J:J,"Inventarizatsiya ma'lumotlarini to‘ldirish")</f>
        <v>0</v>
      </c>
      <c r="BD244" s="11">
        <f>+COUNTIFS('muddati otgan'!C:C,A244,'muddati otgan'!J:J,"Yer uchastkasiga huquqiy hujjatlarni kiritsh")</f>
        <v>0</v>
      </c>
      <c r="BE244" s="11">
        <f>+COUNTIFS('muddati otgan'!C:C,A244,'muddati otgan'!J:J,"Bino-inshootlarga huquqiy hujjatlarni kiritsh")</f>
        <v>0</v>
      </c>
      <c r="BF244" s="11">
        <f>+COUNTIFS('muddati otgan'!C:C,A244,'muddati otgan'!J:J,"Kadastr qiymatini hisoblash va kiritish")</f>
        <v>0</v>
      </c>
      <c r="BG244" s="11">
        <f>+COUNTIFS('muddati otgan'!C:C,A244,'muddati otgan'!J:J,"Kadastr raqam biriktirish")</f>
        <v>0</v>
      </c>
      <c r="BH244" s="11">
        <f>+COUNTIFS('muddati otgan'!C:C,A244,'muddati otgan'!J:J,"Kadastr yig'ma jildni tayyorlash")</f>
        <v>0</v>
      </c>
      <c r="BI244" s="11">
        <f>+COUNTIFS('muddati otgan'!C:C,A244,'muddati otgan'!J:J,"Huquqni yaratish")</f>
        <v>0</v>
      </c>
      <c r="BJ244" s="11">
        <f>+COUNTIFS('muddati otgan'!C:C,A244,'muddati otgan'!J:J,"Hujjatlarni o'rganish")</f>
        <v>0</v>
      </c>
      <c r="BK244" s="11">
        <f>+COUNTIFS('muddati otgan'!C:C,A244,'muddati otgan'!J:J,"Ma'lumotlarni tekshirish")</f>
        <v>0</v>
      </c>
      <c r="BL244" s="11">
        <f t="shared" si="337"/>
        <v>0</v>
      </c>
      <c r="BM244" s="11">
        <f>+COUNTIFS('muddati otgan'!C:C,A244,'muddati otgan'!J:J,"Tekshirish")</f>
        <v>0</v>
      </c>
      <c r="BN244" s="11">
        <f>+COUNTIFS('muddati otgan'!C:C,A244,'muddati otgan'!J:J,"Hujjatlarni tekshirish")</f>
        <v>0</v>
      </c>
      <c r="BO244" s="11">
        <f>+COUNTIFS('muddati otgan'!C:C,A244,'muddati otgan'!J:J,"Tasdiqlash")</f>
        <v>0</v>
      </c>
      <c r="BP244" s="11">
        <f>+COUNTIFS('muddati otgan'!C:C,A244,'muddati otgan'!J:J,"tekshirish/tasdiqlash")</f>
        <v>0</v>
      </c>
      <c r="BQ244" s="11">
        <f>+COUNTIFS('muddati otgan'!C:C,A244,'muddati otgan'!J:J,"Ma'lumotlarni tasdiqlash")</f>
        <v>0</v>
      </c>
      <c r="BR244" s="11">
        <f t="shared" si="338"/>
        <v>0</v>
      </c>
      <c r="BS244" s="11">
        <f>+COUNTIFS('muddati otgan'!C:C,A244,'muddati otgan'!J:J,"Ro'yxatdan o'tkazish ma'lumotlarini tekshirish")</f>
        <v>0</v>
      </c>
      <c r="BT244" s="11">
        <f>+COUNTIFS('muddati otgan'!C:C,A244,'muddati otgan'!J:J,"Kamchiliklar bo'yicha habarnoma yuborish va 3 kunga to'xtatish")</f>
        <v>0</v>
      </c>
      <c r="BU244" s="11">
        <f>+COUNTIFS('muddati otgan'!C:C,A244,'muddati otgan'!J:J,"Hisobga olish")</f>
        <v>0</v>
      </c>
      <c r="BV244" s="11">
        <f>+COUNTIFS('muddati otgan'!C:C,A244,'muddati otgan'!J:J,"Yer uchastkasiga huquq yaratish")</f>
        <v>0</v>
      </c>
      <c r="BW244" s="11">
        <f>+COUNTIFS('muddati otgan'!C:C,A244,'muddati otgan'!J:J,"Bino-inshootga huquq yaratish")</f>
        <v>0</v>
      </c>
      <c r="BX244" s="11">
        <f>+COUNTIFS('muddati otgan'!C:C,A244,'muddati otgan'!J:J,"Cheklov yaratish")</f>
        <v>0</v>
      </c>
      <c r="BY244" s="11">
        <f>+COUNTIFS('muddati otgan'!C:C,A244,'muddati otgan'!J:J,"Taqiq yaratish")</f>
        <v>0</v>
      </c>
      <c r="BZ244" s="11">
        <f t="shared" si="339"/>
        <v>0</v>
      </c>
      <c r="CA244" s="11">
        <f>+COUNTIFS('muddati otgan'!C:C,A244,'muddati otgan'!J:J,"Soliq maydonini tekshirish")</f>
        <v>0</v>
      </c>
      <c r="CB244" s="11">
        <f t="shared" si="340"/>
        <v>0</v>
      </c>
      <c r="CC244" s="11">
        <f>+COUNTIFS('muddati otgan'!C:C,A244,'muddati otgan'!J:J,"Kadastr yig'majildini shakllantirish")</f>
        <v>0</v>
      </c>
      <c r="CD244" s="11">
        <f t="shared" si="341"/>
        <v>0</v>
      </c>
      <c r="CE244" s="11">
        <f>+COUNTIFS('muddati otgan'!C:C,A244,'muddati otgan'!J:J,"Kadastr passportini shakllantirish")</f>
        <v>0</v>
      </c>
      <c r="CF244" s="11">
        <f>+COUNTIFS('muddati otgan'!C:C,A244,'muddati otgan'!J:J,"Yig'ma jildni tasdiqlash")</f>
        <v>0</v>
      </c>
      <c r="CG244" s="11">
        <f>+COUNTIFS('muddati otgan'!C:C,A244,'muddati otgan'!J:J,"To'lov yoki bepul tasdiqlash")</f>
        <v>0</v>
      </c>
      <c r="CH244" s="11">
        <f>+COUNTIFS('muddati otgan'!C:C,A244,'muddati otgan'!J:J,"Bog'liq arizani kutish")</f>
        <v>0</v>
      </c>
      <c r="CI244" s="11">
        <f>+COUNTIFS('muddati otgan'!C:C,A244,'muddati otgan'!J:J,"To'lovga chiqarish")</f>
        <v>0</v>
      </c>
      <c r="CJ244" s="11">
        <f>+COUNTIFS('muddati otgan'!C:C,A244,'muddati otgan'!J:J,"Hisobga qo'yish")</f>
        <v>0</v>
      </c>
      <c r="CK244" s="6">
        <f>+COUNTIFS('muddati otgan'!C:C,A244,'muddati otgan'!J:J,"To'lov kutilmoqda")</f>
        <v>0</v>
      </c>
      <c r="CL244" s="11">
        <f t="shared" si="342"/>
        <v>0</v>
      </c>
      <c r="CM244" s="11">
        <f>+COUNTIFS('muddati otgan'!C:C,A244,'muddati otgan'!AA:AA,"Arizani qabul qilish2")</f>
        <v>0</v>
      </c>
      <c r="CN244" s="11">
        <f>+COUNTIFS('muddati otgan'!C:C,A244,'muddati otgan'!J:J,"Huquqlarni tekshirish")</f>
        <v>0</v>
      </c>
      <c r="CO244" s="11">
        <f>+COUNTIFS('muddati otgan'!C:C,A244,'muddati otgan'!J:J,"Ko'chmas mulkni ro'yhatdan o'tkazishga qabul qilish")</f>
        <v>0</v>
      </c>
      <c r="CP244" s="11">
        <f>+COUNTIFS('muddati otgan'!C:C,A244,'muddati otgan'!J:J,"Ro'yxatdan o'tkazish")</f>
        <v>0</v>
      </c>
      <c r="CQ244" s="11">
        <f>+COUNTIFS('muddati otgan'!C:C,A244,'muddati otgan'!J:J,"Kadastr pasporti va ko'chirmani yuborish")</f>
        <v>0</v>
      </c>
      <c r="CR244" s="11">
        <f>+COUNTIFS('muddati otgan'!C:C,A244,'muddati otgan'!AA:AA,"Rad qilish2")</f>
        <v>0</v>
      </c>
      <c r="CS244" s="11">
        <f>+COUNTIFS('muddati otgan'!C:C,A244,'muddati otgan'!J:J,"Ko'chirmani yuborish")</f>
        <v>0</v>
      </c>
      <c r="CT244" s="11">
        <f>+COUNTIFS('muddati otgan'!C:C,A244,'muddati otgan'!J:J,"Ma‘lumotlarni tekshirish")</f>
        <v>0</v>
      </c>
      <c r="CU244" s="11">
        <f t="shared" si="343"/>
        <v>0</v>
      </c>
      <c r="CV244" s="11">
        <f>+COUNTIFS('muddati otgan'!C:C,A244,'muddati otgan'!J:J,"Kadastr yig'majildini chop etish va arxiv ishiga tikish")</f>
        <v>0</v>
      </c>
      <c r="CW244" s="11">
        <f t="shared" si="344"/>
        <v>0</v>
      </c>
      <c r="CX244" s="11">
        <f>+COUNTIFS('muddati otgan'!C:C,A244,'muddati otgan'!J:J,"Kadastr yig‘majildini qabul qilish, arizani yakunlash")</f>
        <v>0</v>
      </c>
      <c r="CY244" s="11">
        <f>+COUNTIFS('muddati otgan'!C:C,A244,'muddati otgan'!J:J,"Next Cloudga yuklash")</f>
        <v>0</v>
      </c>
      <c r="CZ244" s="6">
        <f>+COUNTIFS('muddati otgan'!C:C,A244,'muddati otgan'!J:J,"Kelishish kutilmoqda")</f>
        <v>0</v>
      </c>
      <c r="DA244" s="6">
        <f>+COUNTIFS('muddati otgan'!C:C,A244,'muddati otgan'!J:J,"Yakunlandi")</f>
        <v>0</v>
      </c>
      <c r="DB244" s="10">
        <f>+COUNTIFS('muddati otgan'!C:C,A244,'muddati otgan'!J:J,"Rad etildi")</f>
        <v>0</v>
      </c>
      <c r="DC244" s="100">
        <f t="shared" si="345"/>
        <v>0</v>
      </c>
      <c r="DD244" s="44">
        <f>COUNTIFS('jami 1-20 kunlik arizalar'!C:C,A:A,'jami 1-20 kunlik arizalar'!S:S,"1")</f>
        <v>0</v>
      </c>
      <c r="DE244" s="11">
        <f>COUNTIFS('jami 1-20 kunlik arizalar'!C:C,A:A,'jami 1-20 kunlik arizalar'!S:S,"2")</f>
        <v>0</v>
      </c>
      <c r="DF244" s="11">
        <f>COUNTIFS('jami 1-20 kunlik arizalar'!C:C,A:A,'jami 1-20 kunlik arizalar'!S:S,"3")</f>
        <v>1</v>
      </c>
      <c r="DG244" s="11">
        <f>COUNTIFS('jami 1-20 kunlik arizalar'!C:C,A:A,'jami 1-20 kunlik arizalar'!S:S,"4")</f>
        <v>0</v>
      </c>
      <c r="DH244" s="11">
        <f>COUNTIFS('jami 1-20 kunlik arizalar'!C:C,A:A,'jami 1-20 kunlik arizalar'!S:S,"5")</f>
        <v>0</v>
      </c>
      <c r="DI244" s="11">
        <f>SUM(COUNTIFS('jami 1-20 kunlik arizalar'!C:C,A:A, 'jami 1-20 kunlik arizalar'!S:S, {6,7,8,9,10}))</f>
        <v>5</v>
      </c>
      <c r="DJ244" s="12">
        <f>SUM(COUNTIFS('jami 1-20 kunlik arizalar'!C:C,A:A, 'jami 1-20 kunlik arizalar'!S:S, "&gt;10"))</f>
        <v>1</v>
      </c>
    </row>
    <row r="245" spans="1:114" ht="32.1" hidden="1" customHeight="1" outlineLevel="1" x14ac:dyDescent="0.25">
      <c r="A245" s="92" t="s">
        <v>624</v>
      </c>
      <c r="B245" s="74"/>
      <c r="C245" s="85" t="s">
        <v>929</v>
      </c>
      <c r="D245" s="80">
        <f>+COUNTIFS('muddati otgan'!C:C,A245,'muddati otgan'!C:C,A245)</f>
        <v>0</v>
      </c>
      <c r="E245" s="10">
        <f>SUMIFS('muddati otgan'!$V:V,'muddati otgan'!$C:C,$A:A)</f>
        <v>0</v>
      </c>
      <c r="F245" s="10">
        <f>SUMIFS('muddati otgan'!$W:W,'muddati otgan'!$C:C,$A:A)</f>
        <v>0</v>
      </c>
      <c r="G245" s="24">
        <f>SUMIFS('muddati otgan'!$U:U,'muddati otgan'!$C:C,$A:A)</f>
        <v>0</v>
      </c>
      <c r="H245" s="11">
        <f>SUMIFS('muddati otgan'!$G:G,'muddati otgan'!$C:C,$A:A)</f>
        <v>0</v>
      </c>
      <c r="I245" s="12">
        <f>SUMIFS('muddati otgan'!$H:H,'muddati otgan'!$C:C,$A:A)</f>
        <v>0</v>
      </c>
      <c r="J245" s="44">
        <f t="shared" si="329"/>
        <v>0</v>
      </c>
      <c r="K245" s="11">
        <f>+COUNTIFS('muddati otgan'!C:C,A245,'muddati otgan'!AA:AA,"Arizani qabul qilish")</f>
        <v>0</v>
      </c>
      <c r="L245" s="11">
        <f>+COUNTIFS('muddati otgan'!C:C,A245,'muddati otgan'!J:J,"Arizani rad etish")</f>
        <v>0</v>
      </c>
      <c r="M245" s="11">
        <f>+COUNTIFS('muddati otgan'!C:C,A245,'muddati otgan'!J:J,"Arizani tasdiqlash")</f>
        <v>0</v>
      </c>
      <c r="N245" s="11">
        <f>+COUNTIFS('muddati otgan'!C:C,A245,'muddati otgan'!J:J,"Arizani yo'naltirish")</f>
        <v>0</v>
      </c>
      <c r="O245" s="11">
        <f>+COUNTIFS('muddati otgan'!C:C,A245,'muddati otgan'!J:J,"Rad qilish sababini o'rganish")</f>
        <v>0</v>
      </c>
      <c r="P245" s="11">
        <f>+COUNTIFS('muddati otgan'!C:C,A245,'muddati otgan'!J:J,"Ko'chmas mulkni UZKAD ga migratsiya qilish")</f>
        <v>0</v>
      </c>
      <c r="Q245" s="11">
        <f>+COUNTIFS('muddati otgan'!C:C,A245,'muddati otgan'!J:J,"Migratisya qilingan obyekt holatini tekshirish")</f>
        <v>0</v>
      </c>
      <c r="R245" s="11">
        <f>+COUNTIFS('muddati otgan'!C:C,A245,'muddati otgan'!J:J,"Ko‘chmas mulkni tanlash")</f>
        <v>0</v>
      </c>
      <c r="S245" s="11">
        <f>+COUNTIFS('muddati otgan'!C:C,A245,'muddati otgan'!J:J,"Arizani ko'rib chiqish")</f>
        <v>0</v>
      </c>
      <c r="T245" s="11">
        <f>+COUNTIFS('muddati otgan'!C:C,A245,'muddati otgan'!J:J,"Kadastr muhandisini tanlash")</f>
        <v>0</v>
      </c>
      <c r="U245" s="11">
        <f>+COUNTIFS('muddati otgan'!C:C,A245,'muddati otgan'!J:J,"Ko'chmas mulk turini tanlahsh")</f>
        <v>0</v>
      </c>
      <c r="V245" s="11">
        <f>+COUNTIFS('muddati otgan'!C:C,A245,'muddati otgan'!AA:AA,"Rad qilish")</f>
        <v>0</v>
      </c>
      <c r="W245" s="11">
        <f>+COUNTIFS('muddati otgan'!C:C,A245,'muddati otgan'!J:J,"ijrochi tanlash")</f>
        <v>0</v>
      </c>
      <c r="X245" s="11">
        <f>+COUNTIFS('muddati otgan'!C:C,A245,'muddati otgan'!J:J,"Ko'chmas mulk turini tanlash")</f>
        <v>0</v>
      </c>
      <c r="Y245" s="11">
        <f t="shared" si="330"/>
        <v>0</v>
      </c>
      <c r="Z245" s="11">
        <f>+COUNTIFS('muddati otgan'!C:C,A245,'muddati otgan'!J:J,"Ijroga qabul qilish")</f>
        <v>0</v>
      </c>
      <c r="AA245" s="11">
        <f>+COUNTIFS('muddati otgan'!C:C,A245,'muddati otgan'!J:J,"Joyida o'rganish va ma'lumotlarni kiritish")</f>
        <v>0</v>
      </c>
      <c r="AB245" s="11">
        <f>+COUNTIFS('muddati otgan'!C:C,A245,'muddati otgan'!J:J,"Asosiy qismdan ajratish jarayonida")</f>
        <v>0</v>
      </c>
      <c r="AC245" s="11">
        <f>+COUNTIFS('muddati otgan'!C:C,A245,'muddati otgan'!J:J,"Umumiy foydalanishdagi obyekt yaratilish")</f>
        <v>0</v>
      </c>
      <c r="AD245" s="11">
        <f>+COUNTIFS('muddati otgan'!C:C,A245,'muddati otgan'!J:J,"Migratsiya qilinadigan kadastr raqamini kiritish")</f>
        <v>0</v>
      </c>
      <c r="AE245" s="11">
        <f>+COUNTIFS('muddati otgan'!C:C,A245,'muddati otgan'!J:J,"O'zida qolgan obyektni yaratish")</f>
        <v>0</v>
      </c>
      <c r="AF245" s="11">
        <f>+COUNTIFS('muddati otgan'!C:C,A245,'muddati otgan'!J:J,"O'lchov natijalarini kiritish")</f>
        <v>0</v>
      </c>
      <c r="AG245" s="11">
        <f>+COUNTIFS('muddati otgan'!C:C,A245,'muddati otgan'!J:J,"Topoxaritani tayyorlash (dwg, pdf)")</f>
        <v>0</v>
      </c>
      <c r="AH245" s="11">
        <f t="shared" si="331"/>
        <v>0</v>
      </c>
      <c r="AI245" s="11">
        <f>+COUNTIFS('muddati otgan'!C:C,A245,'muddati otgan'!J:J,"Yer uchastkasini yaratish")</f>
        <v>0</v>
      </c>
      <c r="AJ245" s="11">
        <f t="shared" si="332"/>
        <v>0</v>
      </c>
      <c r="AK245" s="11">
        <f>+COUNTIFS('muddati otgan'!C:C,A245,'muddati otgan'!J:J,"Kelishish (Boshqarma)")</f>
        <v>0</v>
      </c>
      <c r="AL245" s="11">
        <f t="shared" si="333"/>
        <v>0</v>
      </c>
      <c r="AM245" s="11">
        <f>+COUNTIFS('muddati otgan'!C:C,A245,'muddati otgan'!J:J,"Kelishish (DKP)")</f>
        <v>0</v>
      </c>
      <c r="AN245" s="11">
        <f>+COUNTIFS('muddati otgan'!C:C,A245,'muddati otgan'!J:J,"Kelishish")</f>
        <v>0</v>
      </c>
      <c r="AO245" s="11">
        <f>+COUNTIFS('muddati otgan'!C:C,A245,'muddati otgan'!J:J,"Kelishish (Registratsiya DKP)")</f>
        <v>0</v>
      </c>
      <c r="AP245" s="11">
        <f t="shared" si="334"/>
        <v>0</v>
      </c>
      <c r="AQ245" s="11">
        <f>+COUNTIFS('muddati otgan'!C:C,A245,'muddati otgan'!J:J,"Manzil biriktirish")</f>
        <v>0</v>
      </c>
      <c r="AR245" s="11">
        <f>+COUNTIFS('muddati otgan'!C:C,A245,'muddati otgan'!J:J,"Bino va inshootlarni yaratish")</f>
        <v>0</v>
      </c>
      <c r="AS245" s="11">
        <f>+COUNTIFS('muddati otgan'!C:C,A245,'muddati otgan'!J:J,"Dov daraxtlarni yaratish")</f>
        <v>0</v>
      </c>
      <c r="AT245" s="11">
        <f>+COUNTIFS('muddati otgan'!C:C,A245,'muddati otgan'!J:J,"Yer uchastkasini tahrirlash")</f>
        <v>0</v>
      </c>
      <c r="AU245" s="11">
        <f t="shared" si="335"/>
        <v>0</v>
      </c>
      <c r="AV245" s="11">
        <f>+COUNTIFS('muddati otgan'!C:C,A245,'muddati otgan'!J:J,"Yer toifasi va maqsadini kiritish")</f>
        <v>0</v>
      </c>
      <c r="AW245" s="11">
        <f>+COUNTIFS('muddati otgan'!C:C,A245,'muddati otgan'!J:J,"Auksion yer tekshirish")</f>
        <v>0</v>
      </c>
      <c r="AX245" s="11">
        <f>+COUNTIFS('muddati otgan'!C:C,A245,'muddati otgan'!J:J,"Yer turlarini kiritish")</f>
        <v>0</v>
      </c>
      <c r="AY245" s="11">
        <f>+COUNTIFS('muddati otgan'!C:C,A245,'muddati otgan'!J:J,"Ma'lumotlarni kiritish")</f>
        <v>0</v>
      </c>
      <c r="AZ245" s="11">
        <f>+COUNTIFS('muddati otgan'!C:C,A245,'muddati otgan'!J:J,"Yer tekshirish")</f>
        <v>0</v>
      </c>
      <c r="BA245" s="11">
        <f t="shared" si="336"/>
        <v>0</v>
      </c>
      <c r="BB245" s="11">
        <f>+COUNTIFS('muddati otgan'!C:C,A245,'muddati otgan'!J:J,"Bino va inshoot ma'lumotlarini to‘ldirish")</f>
        <v>0</v>
      </c>
      <c r="BC245" s="11">
        <f>+COUNTIFS('muddati otgan'!C:C,A245,'muddati otgan'!J:J,"Inventarizatsiya ma'lumotlarini to‘ldirish")</f>
        <v>0</v>
      </c>
      <c r="BD245" s="11">
        <f>+COUNTIFS('muddati otgan'!C:C,A245,'muddati otgan'!J:J,"Yer uchastkasiga huquqiy hujjatlarni kiritsh")</f>
        <v>0</v>
      </c>
      <c r="BE245" s="11">
        <f>+COUNTIFS('muddati otgan'!C:C,A245,'muddati otgan'!J:J,"Bino-inshootlarga huquqiy hujjatlarni kiritsh")</f>
        <v>0</v>
      </c>
      <c r="BF245" s="11">
        <f>+COUNTIFS('muddati otgan'!C:C,A245,'muddati otgan'!J:J,"Kadastr qiymatini hisoblash va kiritish")</f>
        <v>0</v>
      </c>
      <c r="BG245" s="11">
        <f>+COUNTIFS('muddati otgan'!C:C,A245,'muddati otgan'!J:J,"Kadastr raqam biriktirish")</f>
        <v>0</v>
      </c>
      <c r="BH245" s="11">
        <f>+COUNTIFS('muddati otgan'!C:C,A245,'muddati otgan'!J:J,"Kadastr yig'ma jildni tayyorlash")</f>
        <v>0</v>
      </c>
      <c r="BI245" s="11">
        <f>+COUNTIFS('muddati otgan'!C:C,A245,'muddati otgan'!J:J,"Huquqni yaratish")</f>
        <v>0</v>
      </c>
      <c r="BJ245" s="11">
        <f>+COUNTIFS('muddati otgan'!C:C,A245,'muddati otgan'!J:J,"Hujjatlarni o'rganish")</f>
        <v>0</v>
      </c>
      <c r="BK245" s="11">
        <f>+COUNTIFS('muddati otgan'!C:C,A245,'muddati otgan'!J:J,"Ma'lumotlarni tekshirish")</f>
        <v>0</v>
      </c>
      <c r="BL245" s="11">
        <f t="shared" si="337"/>
        <v>0</v>
      </c>
      <c r="BM245" s="11">
        <f>+COUNTIFS('muddati otgan'!C:C,A245,'muddati otgan'!J:J,"Tekshirish")</f>
        <v>0</v>
      </c>
      <c r="BN245" s="11">
        <f>+COUNTIFS('muddati otgan'!C:C,A245,'muddati otgan'!J:J,"Hujjatlarni tekshirish")</f>
        <v>0</v>
      </c>
      <c r="BO245" s="11">
        <f>+COUNTIFS('muddati otgan'!C:C,A245,'muddati otgan'!J:J,"Tasdiqlash")</f>
        <v>0</v>
      </c>
      <c r="BP245" s="11">
        <f>+COUNTIFS('muddati otgan'!C:C,A245,'muddati otgan'!J:J,"tekshirish/tasdiqlash")</f>
        <v>0</v>
      </c>
      <c r="BQ245" s="11">
        <f>+COUNTIFS('muddati otgan'!C:C,A245,'muddati otgan'!J:J,"Ma'lumotlarni tasdiqlash")</f>
        <v>0</v>
      </c>
      <c r="BR245" s="11">
        <f t="shared" si="338"/>
        <v>0</v>
      </c>
      <c r="BS245" s="11">
        <f>+COUNTIFS('muddati otgan'!C:C,A245,'muddati otgan'!J:J,"Ro'yxatdan o'tkazish ma'lumotlarini tekshirish")</f>
        <v>0</v>
      </c>
      <c r="BT245" s="11">
        <f>+COUNTIFS('muddati otgan'!C:C,A245,'muddati otgan'!J:J,"Kamchiliklar bo'yicha habarnoma yuborish va 3 kunga to'xtatish")</f>
        <v>0</v>
      </c>
      <c r="BU245" s="11">
        <f>+COUNTIFS('muddati otgan'!C:C,A245,'muddati otgan'!J:J,"Hisobga olish")</f>
        <v>0</v>
      </c>
      <c r="BV245" s="11">
        <f>+COUNTIFS('muddati otgan'!C:C,A245,'muddati otgan'!J:J,"Yer uchastkasiga huquq yaratish")</f>
        <v>0</v>
      </c>
      <c r="BW245" s="11">
        <f>+COUNTIFS('muddati otgan'!C:C,A245,'muddati otgan'!J:J,"Bino-inshootga huquq yaratish")</f>
        <v>0</v>
      </c>
      <c r="BX245" s="11">
        <f>+COUNTIFS('muddati otgan'!C:C,A245,'muddati otgan'!J:J,"Cheklov yaratish")</f>
        <v>0</v>
      </c>
      <c r="BY245" s="11">
        <f>+COUNTIFS('muddati otgan'!C:C,A245,'muddati otgan'!J:J,"Taqiq yaratish")</f>
        <v>0</v>
      </c>
      <c r="BZ245" s="11">
        <f t="shared" si="339"/>
        <v>0</v>
      </c>
      <c r="CA245" s="11">
        <f>+COUNTIFS('muddati otgan'!C:C,A245,'muddati otgan'!J:J,"Soliq maydonini tekshirish")</f>
        <v>0</v>
      </c>
      <c r="CB245" s="11">
        <f t="shared" si="340"/>
        <v>0</v>
      </c>
      <c r="CC245" s="11">
        <f>+COUNTIFS('muddati otgan'!C:C,A245,'muddati otgan'!J:J,"Kadastr yig'majildini shakllantirish")</f>
        <v>0</v>
      </c>
      <c r="CD245" s="11">
        <f t="shared" si="341"/>
        <v>0</v>
      </c>
      <c r="CE245" s="11">
        <f>+COUNTIFS('muddati otgan'!C:C,A245,'muddati otgan'!J:J,"Kadastr passportini shakllantirish")</f>
        <v>0</v>
      </c>
      <c r="CF245" s="11">
        <f>+COUNTIFS('muddati otgan'!C:C,A245,'muddati otgan'!J:J,"Yig'ma jildni tasdiqlash")</f>
        <v>0</v>
      </c>
      <c r="CG245" s="11">
        <f>+COUNTIFS('muddati otgan'!C:C,A245,'muddati otgan'!J:J,"To'lov yoki bepul tasdiqlash")</f>
        <v>0</v>
      </c>
      <c r="CH245" s="11">
        <f>+COUNTIFS('muddati otgan'!C:C,A245,'muddati otgan'!J:J,"Bog'liq arizani kutish")</f>
        <v>0</v>
      </c>
      <c r="CI245" s="11">
        <f>+COUNTIFS('muddati otgan'!C:C,A245,'muddati otgan'!J:J,"To'lovga chiqarish")</f>
        <v>0</v>
      </c>
      <c r="CJ245" s="11">
        <f>+COUNTIFS('muddati otgan'!C:C,A245,'muddati otgan'!J:J,"Hisobga qo'yish")</f>
        <v>0</v>
      </c>
      <c r="CK245" s="6">
        <f>+COUNTIFS('muddati otgan'!C:C,A245,'muddati otgan'!J:J,"To'lov kutilmoqda")</f>
        <v>0</v>
      </c>
      <c r="CL245" s="11">
        <f t="shared" si="342"/>
        <v>0</v>
      </c>
      <c r="CM245" s="11">
        <f>+COUNTIFS('muddati otgan'!C:C,A245,'muddati otgan'!AA:AA,"Arizani qabul qilish2")</f>
        <v>0</v>
      </c>
      <c r="CN245" s="11">
        <f>+COUNTIFS('muddati otgan'!C:C,A245,'muddati otgan'!J:J,"Huquqlarni tekshirish")</f>
        <v>0</v>
      </c>
      <c r="CO245" s="11">
        <f>+COUNTIFS('muddati otgan'!C:C,A245,'muddati otgan'!J:J,"Ko'chmas mulkni ro'yhatdan o'tkazishga qabul qilish")</f>
        <v>0</v>
      </c>
      <c r="CP245" s="11">
        <f>+COUNTIFS('muddati otgan'!C:C,A245,'muddati otgan'!J:J,"Ro'yxatdan o'tkazish")</f>
        <v>0</v>
      </c>
      <c r="CQ245" s="11">
        <f>+COUNTIFS('muddati otgan'!C:C,A245,'muddati otgan'!J:J,"Kadastr pasporti va ko'chirmani yuborish")</f>
        <v>0</v>
      </c>
      <c r="CR245" s="11">
        <f>+COUNTIFS('muddati otgan'!C:C,A245,'muddati otgan'!AA:AA,"Rad qilish2")</f>
        <v>0</v>
      </c>
      <c r="CS245" s="11">
        <f>+COUNTIFS('muddati otgan'!C:C,A245,'muddati otgan'!J:J,"Ko'chirmani yuborish")</f>
        <v>0</v>
      </c>
      <c r="CT245" s="11">
        <f>+COUNTIFS('muddati otgan'!C:C,A245,'muddati otgan'!J:J,"Ma‘lumotlarni tekshirish")</f>
        <v>0</v>
      </c>
      <c r="CU245" s="11">
        <f t="shared" si="343"/>
        <v>0</v>
      </c>
      <c r="CV245" s="11">
        <f>+COUNTIFS('muddati otgan'!C:C,A245,'muddati otgan'!J:J,"Kadastr yig'majildini chop etish va arxiv ishiga tikish")</f>
        <v>0</v>
      </c>
      <c r="CW245" s="11">
        <f t="shared" si="344"/>
        <v>0</v>
      </c>
      <c r="CX245" s="11">
        <f>+COUNTIFS('muddati otgan'!C:C,A245,'muddati otgan'!J:J,"Kadastr yig‘majildini qabul qilish, arizani yakunlash")</f>
        <v>0</v>
      </c>
      <c r="CY245" s="11">
        <f>+COUNTIFS('muddati otgan'!C:C,A245,'muddati otgan'!J:J,"Next Cloudga yuklash")</f>
        <v>0</v>
      </c>
      <c r="CZ245" s="6">
        <f>+COUNTIFS('muddati otgan'!C:C,A245,'muddati otgan'!J:J,"Kelishish kutilmoqda")</f>
        <v>0</v>
      </c>
      <c r="DA245" s="6">
        <f>+COUNTIFS('muddati otgan'!C:C,A245,'muddati otgan'!J:J,"Yakunlandi")</f>
        <v>0</v>
      </c>
      <c r="DB245" s="10">
        <f>+COUNTIFS('muddati otgan'!C:C,A245,'muddati otgan'!J:J,"Rad etildi")</f>
        <v>0</v>
      </c>
      <c r="DC245" s="100">
        <f t="shared" si="345"/>
        <v>0</v>
      </c>
      <c r="DD245" s="44">
        <f>COUNTIFS('jami 1-20 kunlik arizalar'!C:C,A:A,'jami 1-20 kunlik arizalar'!S:S,"1")</f>
        <v>0</v>
      </c>
      <c r="DE245" s="11">
        <f>COUNTIFS('jami 1-20 kunlik arizalar'!C:C,A:A,'jami 1-20 kunlik arizalar'!S:S,"2")</f>
        <v>0</v>
      </c>
      <c r="DF245" s="11">
        <f>COUNTIFS('jami 1-20 kunlik arizalar'!C:C,A:A,'jami 1-20 kunlik arizalar'!S:S,"3")</f>
        <v>0</v>
      </c>
      <c r="DG245" s="11">
        <f>COUNTIFS('jami 1-20 kunlik arizalar'!C:C,A:A,'jami 1-20 kunlik arizalar'!S:S,"4")</f>
        <v>1</v>
      </c>
      <c r="DH245" s="11">
        <f>COUNTIFS('jami 1-20 kunlik arizalar'!C:C,A:A,'jami 1-20 kunlik arizalar'!S:S,"5")</f>
        <v>4</v>
      </c>
      <c r="DI245" s="11">
        <f>SUM(COUNTIFS('jami 1-20 kunlik arizalar'!C:C,A:A, 'jami 1-20 kunlik arizalar'!S:S, {6,7,8,9,10}))</f>
        <v>5</v>
      </c>
      <c r="DJ245" s="12">
        <f>SUM(COUNTIFS('jami 1-20 kunlik arizalar'!C:C,A:A, 'jami 1-20 kunlik arizalar'!S:S, "&gt;10"))</f>
        <v>2</v>
      </c>
    </row>
    <row r="246" spans="1:114" ht="45.75" hidden="1" outlineLevel="1" thickBot="1" x14ac:dyDescent="0.3">
      <c r="A246" s="92"/>
      <c r="B246" s="95"/>
      <c r="C246" s="90" t="s">
        <v>930</v>
      </c>
      <c r="D246" s="81">
        <f>+D227-(SUM(D228:D245))</f>
        <v>2</v>
      </c>
      <c r="E246" s="21"/>
      <c r="F246" s="21"/>
      <c r="G246" s="21"/>
      <c r="H246" s="41"/>
      <c r="I246" s="42"/>
      <c r="J246" s="45"/>
      <c r="K246" s="22"/>
      <c r="L246" s="22"/>
      <c r="M246" s="22"/>
      <c r="N246" s="22"/>
      <c r="O246" s="22"/>
      <c r="P246" s="22"/>
      <c r="Q246" s="22"/>
      <c r="R246" s="22"/>
      <c r="S246" s="22"/>
      <c r="T246" s="22"/>
      <c r="U246" s="22"/>
      <c r="V246" s="22"/>
      <c r="W246" s="22"/>
      <c r="X246" s="22"/>
      <c r="Y246" s="41"/>
      <c r="Z246" s="22"/>
      <c r="AA246" s="22"/>
      <c r="AB246" s="22"/>
      <c r="AC246" s="22"/>
      <c r="AD246" s="22"/>
      <c r="AE246" s="22"/>
      <c r="AF246" s="22"/>
      <c r="AG246" s="41"/>
      <c r="AH246" s="41"/>
      <c r="AI246" s="22"/>
      <c r="AJ246" s="41"/>
      <c r="AK246" s="22"/>
      <c r="AL246" s="41"/>
      <c r="AM246" s="22"/>
      <c r="AN246" s="22"/>
      <c r="AO246" s="22"/>
      <c r="AP246" s="41"/>
      <c r="AQ246" s="22"/>
      <c r="AR246" s="22"/>
      <c r="AS246" s="22"/>
      <c r="AT246" s="22"/>
      <c r="AU246" s="41"/>
      <c r="AV246" s="22"/>
      <c r="AW246" s="22"/>
      <c r="AX246" s="22"/>
      <c r="AY246" s="22"/>
      <c r="AZ246" s="22"/>
      <c r="BA246" s="41"/>
      <c r="BB246" s="22"/>
      <c r="BC246" s="22"/>
      <c r="BD246" s="22"/>
      <c r="BE246" s="22"/>
      <c r="BF246" s="22"/>
      <c r="BG246" s="22"/>
      <c r="BH246" s="22"/>
      <c r="BI246" s="22"/>
      <c r="BJ246" s="22"/>
      <c r="BK246" s="22"/>
      <c r="BL246" s="41"/>
      <c r="BM246" s="22"/>
      <c r="BN246" s="22"/>
      <c r="BO246" s="22"/>
      <c r="BP246" s="22"/>
      <c r="BQ246" s="22"/>
      <c r="BR246" s="41"/>
      <c r="BS246" s="22"/>
      <c r="BT246" s="22"/>
      <c r="BU246" s="22"/>
      <c r="BV246" s="22"/>
      <c r="BW246" s="22"/>
      <c r="BX246" s="22"/>
      <c r="BY246" s="22"/>
      <c r="BZ246" s="41"/>
      <c r="CA246" s="22"/>
      <c r="CB246" s="41"/>
      <c r="CC246" s="22"/>
      <c r="CD246" s="41"/>
      <c r="CE246" s="22"/>
      <c r="CF246" s="22"/>
      <c r="CG246" s="22"/>
      <c r="CH246" s="22"/>
      <c r="CI246" s="22"/>
      <c r="CJ246" s="22"/>
      <c r="CK246" s="68"/>
      <c r="CL246" s="41"/>
      <c r="CM246" s="22"/>
      <c r="CN246" s="22"/>
      <c r="CO246" s="22"/>
      <c r="CP246" s="22"/>
      <c r="CQ246" s="22"/>
      <c r="CR246" s="22"/>
      <c r="CS246" s="22"/>
      <c r="CT246" s="22"/>
      <c r="CU246" s="41"/>
      <c r="CV246" s="22"/>
      <c r="CW246" s="41"/>
      <c r="CX246" s="22"/>
      <c r="CY246" s="22"/>
      <c r="CZ246" s="68"/>
      <c r="DA246" s="68"/>
      <c r="DB246" s="21"/>
      <c r="DC246" s="101"/>
      <c r="DD246" s="45">
        <f t="shared" ref="DD246:DJ246" si="346">+DD227-(SUM(DD228:DD245))</f>
        <v>0</v>
      </c>
      <c r="DE246" s="41">
        <f t="shared" si="346"/>
        <v>0</v>
      </c>
      <c r="DF246" s="41">
        <f t="shared" si="346"/>
        <v>0</v>
      </c>
      <c r="DG246" s="41">
        <f t="shared" si="346"/>
        <v>6</v>
      </c>
      <c r="DH246" s="41">
        <f t="shared" si="346"/>
        <v>3</v>
      </c>
      <c r="DI246" s="41">
        <f t="shared" si="346"/>
        <v>9</v>
      </c>
      <c r="DJ246" s="42">
        <f t="shared" si="346"/>
        <v>42</v>
      </c>
    </row>
    <row r="247" spans="1:114" collapsed="1" x14ac:dyDescent="0.25"/>
  </sheetData>
  <mergeCells count="9">
    <mergeCell ref="DD3:DJ3"/>
    <mergeCell ref="B1:DJ1"/>
    <mergeCell ref="B3:B4"/>
    <mergeCell ref="C3:C4"/>
    <mergeCell ref="D3:D4"/>
    <mergeCell ref="J3:DC3"/>
    <mergeCell ref="H3:I3"/>
    <mergeCell ref="E3:F3"/>
    <mergeCell ref="G3:G4"/>
  </mergeCells>
  <conditionalFormatting sqref="D22:D33 D7:D19 D36:D47 D50:D73">
    <cfRule type="dataBar" priority="777">
      <dataBar>
        <cfvo type="min"/>
        <cfvo type="max"/>
        <color rgb="FFFF555A"/>
      </dataBar>
      <extLst>
        <ext xmlns:x14="http://schemas.microsoft.com/office/spreadsheetml/2009/9/main" uri="{B025F937-C7B1-47D3-B67F-A62EFF666E3E}">
          <x14:id>{2651C60A-6D0F-490D-A2E8-7FD2EE886553}</x14:id>
        </ext>
      </extLst>
    </cfRule>
  </conditionalFormatting>
  <conditionalFormatting sqref="D116:D117 D20:D21 D6 D34:D35 D140:D141 D160:D161 D179:D180 D193:D194 D207:D208 D226:D227 D74:D86 D48:D49 D99:D100">
    <cfRule type="dataBar" priority="738">
      <dataBar>
        <cfvo type="min"/>
        <cfvo type="max"/>
        <color rgb="FFFF555A"/>
      </dataBar>
      <extLst>
        <ext xmlns:x14="http://schemas.microsoft.com/office/spreadsheetml/2009/9/main" uri="{B025F937-C7B1-47D3-B67F-A62EFF666E3E}">
          <x14:id>{E239510B-F990-4CCB-A9A3-3F8EC5C55B53}</x14:id>
        </ext>
      </extLst>
    </cfRule>
  </conditionalFormatting>
  <conditionalFormatting sqref="D228:D245 D195:D206 D181:D192 D209:D225 D142:D159 D162:D178 D87:D98 D118:D139 D101:D115">
    <cfRule type="dataBar" priority="30">
      <dataBar>
        <cfvo type="min"/>
        <cfvo type="max"/>
        <color rgb="FFFF555A"/>
      </dataBar>
      <extLst>
        <ext xmlns:x14="http://schemas.microsoft.com/office/spreadsheetml/2009/9/main" uri="{B025F937-C7B1-47D3-B67F-A62EFF666E3E}">
          <x14:id>{4526ECEC-68CF-4BE6-8BA5-47AD39FF9D94}</x14:id>
        </ext>
      </extLst>
    </cfRule>
  </conditionalFormatting>
  <conditionalFormatting sqref="D246">
    <cfRule type="dataBar" priority="17">
      <dataBar>
        <cfvo type="min"/>
        <cfvo type="max"/>
        <color rgb="FFFF555A"/>
      </dataBar>
      <extLst>
        <ext xmlns:x14="http://schemas.microsoft.com/office/spreadsheetml/2009/9/main" uri="{B025F937-C7B1-47D3-B67F-A62EFF666E3E}">
          <x14:id>{4B746415-038F-4796-83D3-2F6CC4D5074B}</x14:id>
        </ext>
      </extLst>
    </cfRule>
  </conditionalFormatting>
  <printOptions horizontalCentered="1" verticalCentered="1"/>
  <pageMargins left="0.23622047244094491" right="0.23622047244094491" top="0.39370078740157483" bottom="0.19685039370078741" header="0.31496062992125984" footer="0.31496062992125984"/>
  <pageSetup paperSize="9" scale="32" fitToHeight="0" orientation="landscape" r:id="rId1"/>
  <ignoredErrors>
    <ignoredError sqref="CA227 AI227 AK227 AK35 AI35 CA35 CA6 AI6 AK6 CA21 AI21 AK21 AK117 AI117 CA117 AK141 AI141 CA141 AK161 AI161 CA161 AK180 AI180 CA180 AK194 AI194 CA194 AK208 AI208 CA208 CA100 AI100 AK100 D100:AH100 AL100:BZ100 AJ100 CB100:DJ100" formula="1"/>
  </ignoredErrors>
  <extLst>
    <ext xmlns:x14="http://schemas.microsoft.com/office/spreadsheetml/2009/9/main" uri="{78C0D931-6437-407d-A8EE-F0AAD7539E65}">
      <x14:conditionalFormattings>
        <x14:conditionalFormatting xmlns:xm="http://schemas.microsoft.com/office/excel/2006/main">
          <x14:cfRule type="dataBar" id="{2651C60A-6D0F-490D-A2E8-7FD2EE886553}">
            <x14:dataBar minLength="0" maxLength="100" gradient="0">
              <x14:cfvo type="autoMin"/>
              <x14:cfvo type="autoMax"/>
              <x14:negativeFillColor rgb="FFFF0000"/>
              <x14:axisColor rgb="FF000000"/>
            </x14:dataBar>
          </x14:cfRule>
          <xm:sqref>D22:D33 D7:D19 D36:D47 D50:D73</xm:sqref>
        </x14:conditionalFormatting>
        <x14:conditionalFormatting xmlns:xm="http://schemas.microsoft.com/office/excel/2006/main">
          <x14:cfRule type="dataBar" id="{E239510B-F990-4CCB-A9A3-3F8EC5C55B53}">
            <x14:dataBar minLength="0" maxLength="100" gradient="0">
              <x14:cfvo type="autoMin"/>
              <x14:cfvo type="autoMax"/>
              <x14:negativeFillColor rgb="FFFF0000"/>
              <x14:axisColor rgb="FF000000"/>
            </x14:dataBar>
          </x14:cfRule>
          <xm:sqref>D116:D117 D20:D21 D6 D34:D35 D140:D141 D160:D161 D179:D180 D193:D194 D207:D208 D226:D227 D74:D86 D48:D49 D99:D100</xm:sqref>
        </x14:conditionalFormatting>
        <x14:conditionalFormatting xmlns:xm="http://schemas.microsoft.com/office/excel/2006/main">
          <x14:cfRule type="dataBar" id="{4526ECEC-68CF-4BE6-8BA5-47AD39FF9D94}">
            <x14:dataBar minLength="0" maxLength="100" gradient="0">
              <x14:cfvo type="autoMin"/>
              <x14:cfvo type="autoMax"/>
              <x14:negativeFillColor rgb="FFFF0000"/>
              <x14:axisColor rgb="FF000000"/>
            </x14:dataBar>
          </x14:cfRule>
          <xm:sqref>D228:D245 D195:D206 D181:D192 D209:D225 D142:D159 D162:D178 D87:D98 D118:D139 D101:D115</xm:sqref>
        </x14:conditionalFormatting>
        <x14:conditionalFormatting xmlns:xm="http://schemas.microsoft.com/office/excel/2006/main">
          <x14:cfRule type="dataBar" id="{4B746415-038F-4796-83D3-2F6CC4D5074B}">
            <x14:dataBar minLength="0" maxLength="100" gradient="0">
              <x14:cfvo type="autoMin"/>
              <x14:cfvo type="autoMax"/>
              <x14:negativeFillColor rgb="FFFF0000"/>
              <x14:axisColor rgb="FF000000"/>
            </x14:dataBar>
          </x14:cfRule>
          <xm:sqref>D246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0000"/>
  </sheetPr>
  <dimension ref="A1:AC277"/>
  <sheetViews>
    <sheetView tabSelected="1" zoomScale="145" zoomScaleNormal="145" workbookViewId="0">
      <pane ySplit="1" topLeftCell="A2" activePane="bottomLeft" state="frozen"/>
      <selection activeCell="B1" sqref="B1:DJ1"/>
      <selection pane="bottomLeft" activeCell="J1" sqref="J1"/>
    </sheetView>
  </sheetViews>
  <sheetFormatPr defaultColWidth="9.140625" defaultRowHeight="15" x14ac:dyDescent="0.25"/>
  <cols>
    <col min="1" max="1" width="4.42578125" style="118" customWidth="1"/>
    <col min="2" max="2" width="7.42578125" style="118" customWidth="1"/>
    <col min="3" max="3" width="21.7109375" style="118" customWidth="1"/>
    <col min="4" max="4" width="18" style="118" customWidth="1"/>
    <col min="5" max="5" width="15.28515625" style="114" customWidth="1"/>
    <col min="6" max="6" width="12.7109375" style="114" hidden="1" customWidth="1"/>
    <col min="7" max="7" width="6.85546875" style="118" hidden="1" customWidth="1"/>
    <col min="8" max="8" width="8" style="118" hidden="1" customWidth="1"/>
    <col min="9" max="9" width="48.140625" style="114" hidden="1" customWidth="1"/>
    <col min="10" max="10" width="44.85546875" style="114" customWidth="1"/>
    <col min="11" max="11" width="42.7109375" style="114" customWidth="1"/>
    <col min="12" max="13" width="25.7109375" style="114" customWidth="1"/>
    <col min="14" max="14" width="13.140625" style="114" customWidth="1"/>
    <col min="15" max="15" width="40.7109375" style="114" customWidth="1"/>
    <col min="16" max="16" width="16.140625" style="114" customWidth="1"/>
    <col min="17" max="17" width="11.5703125" style="119" customWidth="1"/>
    <col min="18" max="18" width="11.42578125" style="117" customWidth="1"/>
    <col min="19" max="19" width="13.28515625" style="118" customWidth="1"/>
    <col min="20" max="20" width="9.5703125" style="118" customWidth="1"/>
    <col min="21" max="21" width="14.140625" style="118" customWidth="1"/>
    <col min="22" max="22" width="8.85546875" style="118" customWidth="1"/>
    <col min="23" max="23" width="11.28515625" style="118" customWidth="1"/>
    <col min="24" max="24" width="9.140625" style="118"/>
    <col min="25" max="25" width="14.42578125" style="118" customWidth="1"/>
    <col min="26" max="26" width="11.5703125" style="118" customWidth="1"/>
    <col min="27" max="27" width="9.85546875" style="118" customWidth="1"/>
    <col min="28" max="29" width="25.7109375" style="114" customWidth="1"/>
    <col min="30" max="16384" width="9.140625" style="118"/>
  </cols>
  <sheetData>
    <row r="1" spans="1:29" s="113" customFormat="1" ht="42.75" x14ac:dyDescent="0.25">
      <c r="A1" s="13" t="s">
        <v>0</v>
      </c>
      <c r="B1" s="14" t="s">
        <v>119</v>
      </c>
      <c r="C1" s="14" t="s">
        <v>931</v>
      </c>
      <c r="D1" s="13" t="s">
        <v>4</v>
      </c>
      <c r="E1" s="15" t="s">
        <v>3</v>
      </c>
      <c r="F1" s="15" t="s">
        <v>149</v>
      </c>
      <c r="G1" s="15" t="s">
        <v>142</v>
      </c>
      <c r="H1" s="15" t="s">
        <v>143</v>
      </c>
      <c r="I1" s="15" t="s">
        <v>141</v>
      </c>
      <c r="J1" s="15" t="s">
        <v>147</v>
      </c>
      <c r="K1" s="15" t="s">
        <v>135</v>
      </c>
      <c r="L1" s="15" t="s">
        <v>140</v>
      </c>
      <c r="M1" s="15" t="s">
        <v>380</v>
      </c>
      <c r="N1" s="15" t="s">
        <v>148</v>
      </c>
      <c r="O1" s="15" t="s">
        <v>110</v>
      </c>
      <c r="P1" s="15" t="s">
        <v>118</v>
      </c>
      <c r="Q1" s="15" t="s">
        <v>14</v>
      </c>
      <c r="R1" s="15" t="s">
        <v>151</v>
      </c>
      <c r="S1" s="15" t="s">
        <v>6</v>
      </c>
      <c r="T1" s="16" t="s">
        <v>125</v>
      </c>
      <c r="U1" s="17" t="s">
        <v>5</v>
      </c>
      <c r="V1" s="20" t="s">
        <v>120</v>
      </c>
      <c r="W1" s="20" t="s">
        <v>121</v>
      </c>
      <c r="X1" s="14" t="s">
        <v>122</v>
      </c>
      <c r="Y1" s="14" t="s">
        <v>123</v>
      </c>
      <c r="Z1" s="14" t="s">
        <v>122</v>
      </c>
      <c r="AA1" s="13" t="s">
        <v>124</v>
      </c>
      <c r="AB1" s="15" t="s">
        <v>146</v>
      </c>
      <c r="AC1" s="15" t="s">
        <v>144</v>
      </c>
    </row>
    <row r="2" spans="1:29" hidden="1" x14ac:dyDescent="0.25">
      <c r="A2" s="135">
        <v>16</v>
      </c>
      <c r="B2" s="136" t="str">
        <f t="shared" ref="B2:B33" si="0">LEFT(E2,4)</f>
        <v>UYCT</v>
      </c>
      <c r="C2" s="136" t="str">
        <f>+VLOOKUP(AC2,Ходим!A:B,2,0)</f>
        <v>31703985930055</v>
      </c>
      <c r="D2" s="136" t="str">
        <f>IFERROR(VLOOKUP($B:$B,[20]свод!$A:$AB,3,0)," ")</f>
        <v>Уйчи тумани</v>
      </c>
      <c r="E2" s="7" t="s">
        <v>1172</v>
      </c>
      <c r="F2" s="7"/>
      <c r="G2" s="134">
        <v>1</v>
      </c>
      <c r="H2" s="134" t="s">
        <v>411</v>
      </c>
      <c r="I2" s="7" t="s">
        <v>154</v>
      </c>
      <c r="J2" s="7" t="s">
        <v>10639</v>
      </c>
      <c r="K2" s="7"/>
      <c r="L2" s="7" t="s">
        <v>167</v>
      </c>
      <c r="M2" s="7" t="s">
        <v>4275</v>
      </c>
      <c r="N2" s="7" t="s">
        <v>368</v>
      </c>
      <c r="O2" s="7"/>
      <c r="P2" s="7" t="s">
        <v>6291</v>
      </c>
      <c r="Q2" s="129">
        <v>46199</v>
      </c>
      <c r="R2" s="130">
        <v>46198</v>
      </c>
      <c r="S2" s="131">
        <v>-1</v>
      </c>
      <c r="T2" s="127">
        <v>1</v>
      </c>
      <c r="U2" s="127"/>
      <c r="V2" s="127">
        <v>1</v>
      </c>
      <c r="W2" s="127"/>
      <c r="X2" s="135">
        <f t="shared" ref="X2:X65" si="1">+IF(I2="Cheklov yaratish",1,IF(I2="Registratsiya (tashqi - UZKAD da bor)",1,IF(I2="G'olib nomiga ko'chirma shakllantirish",1,IF(I2="Auksion yerlari uchun ko'chirma shakllantirish",1,0))))</f>
        <v>0</v>
      </c>
      <c r="Y2" s="135" t="b">
        <f t="shared" ref="Y2:Y33" si="2">IF(J2="Arizani qabul qilish",IF(X2=1,"Arizani qabul qilish2","Arizani qabul qilish"))</f>
        <v>0</v>
      </c>
      <c r="Z2" s="135" t="b">
        <f t="shared" ref="Z2:Z33" si="3">IF(J2="Rad qilish",IF(X2=1,"Rad qilish2","Rad qilish"))</f>
        <v>0</v>
      </c>
      <c r="AA2" s="135" t="b">
        <f t="shared" ref="AA2:AA33" si="4">+IF(J2="Arizani qabul qilish",Y2,IF(J2="Rad qilish",Z2))</f>
        <v>0</v>
      </c>
      <c r="AB2" s="7" t="s">
        <v>379</v>
      </c>
      <c r="AC2" s="7" t="s">
        <v>276</v>
      </c>
    </row>
    <row r="3" spans="1:29" x14ac:dyDescent="0.25">
      <c r="A3" s="135">
        <v>17</v>
      </c>
      <c r="B3" s="136" t="str">
        <f t="shared" si="0"/>
        <v>YGQT</v>
      </c>
      <c r="C3" s="136" t="str">
        <f>+VLOOKUP(AC3,Ходим!A:B,2,0)</f>
        <v>30107965950010</v>
      </c>
      <c r="D3" s="136" t="str">
        <f>IFERROR(VLOOKUP($B:$B,[20]свод!$A:$AB,3,0)," ")</f>
        <v>Янгиқўрғон тумани</v>
      </c>
      <c r="E3" s="7" t="s">
        <v>1174</v>
      </c>
      <c r="F3" s="7" t="s">
        <v>7578</v>
      </c>
      <c r="G3" s="134" t="s">
        <v>411</v>
      </c>
      <c r="H3" s="134">
        <v>1</v>
      </c>
      <c r="I3" s="7" t="s">
        <v>157</v>
      </c>
      <c r="J3" s="7" t="s">
        <v>134</v>
      </c>
      <c r="K3" s="7"/>
      <c r="L3" s="7" t="s">
        <v>168</v>
      </c>
      <c r="M3" s="7" t="s">
        <v>4276</v>
      </c>
      <c r="N3" s="7" t="s">
        <v>170</v>
      </c>
      <c r="O3" s="7" t="s">
        <v>161</v>
      </c>
      <c r="P3" s="7" t="s">
        <v>6293</v>
      </c>
      <c r="Q3" s="129">
        <v>46199</v>
      </c>
      <c r="R3" s="130">
        <v>46199</v>
      </c>
      <c r="S3" s="131">
        <v>0</v>
      </c>
      <c r="T3" s="127"/>
      <c r="U3" s="127">
        <v>1</v>
      </c>
      <c r="V3" s="127"/>
      <c r="W3" s="127"/>
      <c r="X3" s="135">
        <f t="shared" si="1"/>
        <v>0</v>
      </c>
      <c r="Y3" s="135" t="b">
        <f t="shared" si="2"/>
        <v>0</v>
      </c>
      <c r="Z3" s="135" t="b">
        <f t="shared" si="3"/>
        <v>0</v>
      </c>
      <c r="AA3" s="135" t="b">
        <f t="shared" si="4"/>
        <v>0</v>
      </c>
      <c r="AB3" s="7" t="s">
        <v>182</v>
      </c>
      <c r="AC3" s="7" t="s">
        <v>244</v>
      </c>
    </row>
    <row r="4" spans="1:29" x14ac:dyDescent="0.25">
      <c r="A4" s="135">
        <v>36</v>
      </c>
      <c r="B4" s="136" t="str">
        <f t="shared" si="0"/>
        <v>MINT</v>
      </c>
      <c r="C4" s="136" t="str">
        <f>+VLOOKUP(AC4,Ходим!A:B,2,0)</f>
        <v>53110035990017</v>
      </c>
      <c r="D4" s="136" t="str">
        <f>IFERROR(VLOOKUP($B:$B,[20]свод!$A:$AB,3,0)," ")</f>
        <v>Мингбулоқ тумани</v>
      </c>
      <c r="E4" s="7" t="s">
        <v>1178</v>
      </c>
      <c r="F4" s="7" t="s">
        <v>7582</v>
      </c>
      <c r="G4" s="134">
        <v>1</v>
      </c>
      <c r="H4" s="134" t="s">
        <v>411</v>
      </c>
      <c r="I4" s="7" t="s">
        <v>158</v>
      </c>
      <c r="J4" s="7" t="s">
        <v>134</v>
      </c>
      <c r="K4" s="7"/>
      <c r="L4" s="7"/>
      <c r="M4" s="7"/>
      <c r="N4" s="7" t="s">
        <v>410</v>
      </c>
      <c r="O4" s="7" t="s">
        <v>162</v>
      </c>
      <c r="P4" s="7" t="s">
        <v>6296</v>
      </c>
      <c r="Q4" s="129">
        <v>46199</v>
      </c>
      <c r="R4" s="130">
        <v>46199</v>
      </c>
      <c r="S4" s="131">
        <v>0</v>
      </c>
      <c r="T4" s="127"/>
      <c r="U4" s="127">
        <v>1</v>
      </c>
      <c r="V4" s="127"/>
      <c r="W4" s="127"/>
      <c r="X4" s="135">
        <f t="shared" si="1"/>
        <v>0</v>
      </c>
      <c r="Y4" s="135" t="b">
        <f t="shared" si="2"/>
        <v>0</v>
      </c>
      <c r="Z4" s="135" t="b">
        <f t="shared" si="3"/>
        <v>0</v>
      </c>
      <c r="AA4" s="135" t="b">
        <f t="shared" si="4"/>
        <v>0</v>
      </c>
      <c r="AB4" s="7" t="s">
        <v>220</v>
      </c>
      <c r="AC4" s="7" t="s">
        <v>372</v>
      </c>
    </row>
    <row r="5" spans="1:29" hidden="1" x14ac:dyDescent="0.25">
      <c r="A5" s="135">
        <v>38</v>
      </c>
      <c r="B5" s="136" t="str">
        <f t="shared" si="0"/>
        <v>MINT</v>
      </c>
      <c r="C5" s="136" t="str">
        <f>+VLOOKUP(AC5,Ходим!A:B,2,0)</f>
        <v>51604025990014</v>
      </c>
      <c r="D5" s="136" t="str">
        <f>IFERROR(VLOOKUP($B:$B,[20]свод!$A:$AB,3,0)," ")</f>
        <v>Мингбулоқ тумани</v>
      </c>
      <c r="E5" s="7" t="s">
        <v>1207</v>
      </c>
      <c r="F5" s="7" t="s">
        <v>7611</v>
      </c>
      <c r="G5" s="134">
        <v>1</v>
      </c>
      <c r="H5" s="134" t="s">
        <v>411</v>
      </c>
      <c r="I5" s="7" t="s">
        <v>158</v>
      </c>
      <c r="J5" s="7" t="s">
        <v>10638</v>
      </c>
      <c r="K5" s="7"/>
      <c r="L5" s="7" t="s">
        <v>167</v>
      </c>
      <c r="M5" s="7" t="s">
        <v>4292</v>
      </c>
      <c r="N5" s="7" t="s">
        <v>410</v>
      </c>
      <c r="O5" s="7" t="s">
        <v>162</v>
      </c>
      <c r="P5" s="7" t="s">
        <v>6324</v>
      </c>
      <c r="Q5" s="129">
        <v>46199</v>
      </c>
      <c r="R5" s="130">
        <v>46199</v>
      </c>
      <c r="S5" s="131">
        <v>0</v>
      </c>
      <c r="T5" s="127"/>
      <c r="U5" s="127">
        <v>1</v>
      </c>
      <c r="V5" s="127"/>
      <c r="W5" s="127"/>
      <c r="X5" s="135">
        <f t="shared" si="1"/>
        <v>0</v>
      </c>
      <c r="Y5" s="135" t="b">
        <f t="shared" si="2"/>
        <v>0</v>
      </c>
      <c r="Z5" s="135" t="b">
        <f t="shared" si="3"/>
        <v>0</v>
      </c>
      <c r="AA5" s="135" t="b">
        <f t="shared" si="4"/>
        <v>0</v>
      </c>
      <c r="AB5" s="7" t="s">
        <v>220</v>
      </c>
      <c r="AC5" s="7" t="s">
        <v>252</v>
      </c>
    </row>
    <row r="6" spans="1:29" x14ac:dyDescent="0.25">
      <c r="A6" s="135">
        <v>39</v>
      </c>
      <c r="B6" s="136" t="str">
        <f t="shared" si="0"/>
        <v>YGQT</v>
      </c>
      <c r="C6" s="136" t="str">
        <f>+VLOOKUP(AC6,Ходим!A:B,2,0)</f>
        <v>30107965950010</v>
      </c>
      <c r="D6" s="136" t="str">
        <f>IFERROR(VLOOKUP($B:$B,[20]свод!$A:$AB,3,0)," ")</f>
        <v>Янгиқўрғон тумани</v>
      </c>
      <c r="E6" s="7" t="s">
        <v>1225</v>
      </c>
      <c r="F6" s="7" t="s">
        <v>7629</v>
      </c>
      <c r="G6" s="134">
        <v>1</v>
      </c>
      <c r="H6" s="134" t="s">
        <v>411</v>
      </c>
      <c r="I6" s="7" t="s">
        <v>158</v>
      </c>
      <c r="J6" s="7" t="s">
        <v>55</v>
      </c>
      <c r="K6" s="7"/>
      <c r="L6" s="7" t="s">
        <v>167</v>
      </c>
      <c r="M6" s="7" t="s">
        <v>4304</v>
      </c>
      <c r="N6" s="7" t="s">
        <v>410</v>
      </c>
      <c r="O6" s="7" t="s">
        <v>162</v>
      </c>
      <c r="P6" s="7" t="s">
        <v>6339</v>
      </c>
      <c r="Q6" s="129">
        <v>46199</v>
      </c>
      <c r="R6" s="130">
        <v>46196</v>
      </c>
      <c r="S6" s="131">
        <v>-3</v>
      </c>
      <c r="T6" s="127">
        <v>1</v>
      </c>
      <c r="U6" s="127"/>
      <c r="V6" s="127">
        <v>1</v>
      </c>
      <c r="W6" s="127"/>
      <c r="X6" s="135">
        <f t="shared" si="1"/>
        <v>0</v>
      </c>
      <c r="Y6" s="135" t="b">
        <f t="shared" si="2"/>
        <v>0</v>
      </c>
      <c r="Z6" s="135" t="b">
        <f t="shared" si="3"/>
        <v>0</v>
      </c>
      <c r="AA6" s="135" t="b">
        <f t="shared" si="4"/>
        <v>0</v>
      </c>
      <c r="AB6" s="7" t="s">
        <v>182</v>
      </c>
      <c r="AC6" s="7" t="s">
        <v>244</v>
      </c>
    </row>
    <row r="7" spans="1:29" x14ac:dyDescent="0.25">
      <c r="A7" s="135">
        <v>40</v>
      </c>
      <c r="B7" s="136" t="str">
        <f t="shared" si="0"/>
        <v>TORT</v>
      </c>
      <c r="C7" s="136" t="str">
        <f>+VLOOKUP(AC7,Ходим!A:B,2,0)</f>
        <v>40302922130046</v>
      </c>
      <c r="D7" s="136" t="str">
        <f>IFERROR(VLOOKUP($B:$B,[20]свод!$A:$AB,3,0)," ")</f>
        <v>Тўрақўрғон тумани</v>
      </c>
      <c r="E7" s="7" t="s">
        <v>1273</v>
      </c>
      <c r="F7" s="7" t="s">
        <v>7677</v>
      </c>
      <c r="G7" s="134">
        <v>1</v>
      </c>
      <c r="H7" s="134" t="s">
        <v>411</v>
      </c>
      <c r="I7" s="7" t="s">
        <v>158</v>
      </c>
      <c r="J7" s="7" t="s">
        <v>1</v>
      </c>
      <c r="K7" s="7"/>
      <c r="L7" s="7" t="s">
        <v>167</v>
      </c>
      <c r="M7" s="7" t="s">
        <v>4333</v>
      </c>
      <c r="N7" s="7" t="s">
        <v>410</v>
      </c>
      <c r="O7" s="7" t="s">
        <v>162</v>
      </c>
      <c r="P7" s="7" t="s">
        <v>6373</v>
      </c>
      <c r="Q7" s="129">
        <v>46199</v>
      </c>
      <c r="R7" s="130">
        <v>46199</v>
      </c>
      <c r="S7" s="131">
        <v>0</v>
      </c>
      <c r="T7" s="127"/>
      <c r="U7" s="127">
        <v>1</v>
      </c>
      <c r="V7" s="127"/>
      <c r="W7" s="127"/>
      <c r="X7" s="135">
        <f t="shared" si="1"/>
        <v>0</v>
      </c>
      <c r="Y7" s="135" t="b">
        <f t="shared" si="2"/>
        <v>0</v>
      </c>
      <c r="Z7" s="135" t="b">
        <f t="shared" si="3"/>
        <v>0</v>
      </c>
      <c r="AA7" s="135" t="b">
        <f t="shared" si="4"/>
        <v>0</v>
      </c>
      <c r="AB7" s="7" t="s">
        <v>203</v>
      </c>
      <c r="AC7" s="7" t="s">
        <v>258</v>
      </c>
    </row>
    <row r="8" spans="1:29" x14ac:dyDescent="0.25">
      <c r="A8" s="135">
        <v>41</v>
      </c>
      <c r="B8" s="136" t="str">
        <f t="shared" si="0"/>
        <v>KSST</v>
      </c>
      <c r="C8" s="136" t="str">
        <f>+VLOOKUP(AC8,Ходим!A:B,2,0)</f>
        <v>31407932190092</v>
      </c>
      <c r="D8" s="136" t="str">
        <f>IFERROR(VLOOKUP($B:$B,[20]свод!$A:$AB,3,0)," ")</f>
        <v>Косонсой тумани</v>
      </c>
      <c r="E8" s="7" t="s">
        <v>1276</v>
      </c>
      <c r="F8" s="7" t="s">
        <v>7680</v>
      </c>
      <c r="G8" s="134">
        <v>1</v>
      </c>
      <c r="H8" s="134" t="s">
        <v>411</v>
      </c>
      <c r="I8" s="7" t="s">
        <v>158</v>
      </c>
      <c r="J8" s="7" t="s">
        <v>1</v>
      </c>
      <c r="K8" s="7"/>
      <c r="L8" s="7" t="s">
        <v>167</v>
      </c>
      <c r="M8" s="7" t="s">
        <v>4335</v>
      </c>
      <c r="N8" s="7" t="s">
        <v>170</v>
      </c>
      <c r="O8" s="7" t="s">
        <v>162</v>
      </c>
      <c r="P8" s="7" t="s">
        <v>6375</v>
      </c>
      <c r="Q8" s="129">
        <v>46199</v>
      </c>
      <c r="R8" s="130">
        <v>46199</v>
      </c>
      <c r="S8" s="131">
        <v>0</v>
      </c>
      <c r="T8" s="127"/>
      <c r="U8" s="127">
        <v>1</v>
      </c>
      <c r="V8" s="127"/>
      <c r="W8" s="127"/>
      <c r="X8" s="135">
        <f t="shared" si="1"/>
        <v>0</v>
      </c>
      <c r="Y8" s="135" t="b">
        <f t="shared" si="2"/>
        <v>0</v>
      </c>
      <c r="Z8" s="135" t="b">
        <f t="shared" si="3"/>
        <v>0</v>
      </c>
      <c r="AA8" s="135" t="b">
        <f t="shared" si="4"/>
        <v>0</v>
      </c>
      <c r="AB8" s="7" t="s">
        <v>180</v>
      </c>
      <c r="AC8" s="7" t="s">
        <v>188</v>
      </c>
    </row>
    <row r="9" spans="1:29" x14ac:dyDescent="0.25">
      <c r="A9" s="135">
        <v>43</v>
      </c>
      <c r="B9" s="136" t="str">
        <f t="shared" si="0"/>
        <v>POPT</v>
      </c>
      <c r="C9" s="136" t="str">
        <f>+VLOOKUP(AC9,Ходим!A:B,2,0)</f>
        <v>30809922120031</v>
      </c>
      <c r="D9" s="136" t="str">
        <f>IFERROR(VLOOKUP($B:$B,[20]свод!$A:$AB,3,0)," ")</f>
        <v>Поп тумани</v>
      </c>
      <c r="E9" s="7" t="s">
        <v>960</v>
      </c>
      <c r="F9" s="7" t="s">
        <v>961</v>
      </c>
      <c r="G9" s="134">
        <v>1</v>
      </c>
      <c r="H9" s="134" t="s">
        <v>411</v>
      </c>
      <c r="I9" s="7" t="s">
        <v>154</v>
      </c>
      <c r="J9" s="7" t="s">
        <v>2</v>
      </c>
      <c r="K9" s="7"/>
      <c r="L9" s="7"/>
      <c r="M9" s="7"/>
      <c r="N9" s="7" t="s">
        <v>410</v>
      </c>
      <c r="O9" s="7" t="s">
        <v>162</v>
      </c>
      <c r="P9" s="7" t="s">
        <v>962</v>
      </c>
      <c r="Q9" s="129">
        <v>46199</v>
      </c>
      <c r="R9" s="130">
        <v>46160</v>
      </c>
      <c r="S9" s="131">
        <v>-39</v>
      </c>
      <c r="T9" s="127">
        <v>1</v>
      </c>
      <c r="U9" s="127"/>
      <c r="V9" s="127">
        <v>1</v>
      </c>
      <c r="W9" s="127"/>
      <c r="X9" s="135">
        <f t="shared" si="1"/>
        <v>0</v>
      </c>
      <c r="Y9" s="135" t="b">
        <f t="shared" si="2"/>
        <v>0</v>
      </c>
      <c r="Z9" s="135" t="b">
        <f t="shared" si="3"/>
        <v>0</v>
      </c>
      <c r="AA9" s="135" t="b">
        <f t="shared" si="4"/>
        <v>0</v>
      </c>
      <c r="AB9" s="7" t="s">
        <v>214</v>
      </c>
      <c r="AC9" s="7" t="s">
        <v>339</v>
      </c>
    </row>
    <row r="10" spans="1:29" hidden="1" x14ac:dyDescent="0.25">
      <c r="A10" s="135">
        <v>46</v>
      </c>
      <c r="B10" s="136" t="str">
        <f t="shared" si="0"/>
        <v>NAMS</v>
      </c>
      <c r="C10" s="136" t="str">
        <f>+VLOOKUP(AC10,Ходим!A:B,2,0)</f>
        <v>51705025890024</v>
      </c>
      <c r="D10" s="136" t="str">
        <f>IFERROR(VLOOKUP($B:$B,[20]свод!$A:$AB,3,0)," ")</f>
        <v>Наманган шаҳар</v>
      </c>
      <c r="E10" s="7" t="s">
        <v>1317</v>
      </c>
      <c r="F10" s="7" t="s">
        <v>7721</v>
      </c>
      <c r="G10" s="134">
        <v>1</v>
      </c>
      <c r="H10" s="134" t="s">
        <v>411</v>
      </c>
      <c r="I10" s="7" t="s">
        <v>158</v>
      </c>
      <c r="J10" s="7" t="s">
        <v>10639</v>
      </c>
      <c r="K10" s="7"/>
      <c r="L10" s="7" t="s">
        <v>167</v>
      </c>
      <c r="M10" s="7" t="s">
        <v>4355</v>
      </c>
      <c r="N10" s="7" t="s">
        <v>170</v>
      </c>
      <c r="O10" s="7" t="s">
        <v>162</v>
      </c>
      <c r="P10" s="7" t="s">
        <v>6394</v>
      </c>
      <c r="Q10" s="129">
        <v>46199</v>
      </c>
      <c r="R10" s="130">
        <v>46199</v>
      </c>
      <c r="S10" s="131">
        <v>0</v>
      </c>
      <c r="T10" s="127"/>
      <c r="U10" s="127">
        <v>1</v>
      </c>
      <c r="V10" s="127"/>
      <c r="W10" s="127"/>
      <c r="X10" s="135">
        <f t="shared" si="1"/>
        <v>0</v>
      </c>
      <c r="Y10" s="135" t="b">
        <f t="shared" si="2"/>
        <v>0</v>
      </c>
      <c r="Z10" s="135" t="b">
        <f t="shared" si="3"/>
        <v>0</v>
      </c>
      <c r="AA10" s="135" t="b">
        <f t="shared" si="4"/>
        <v>0</v>
      </c>
      <c r="AB10" s="7" t="s">
        <v>185</v>
      </c>
      <c r="AC10" s="7" t="s">
        <v>189</v>
      </c>
    </row>
    <row r="11" spans="1:29" x14ac:dyDescent="0.25">
      <c r="A11" s="135">
        <v>48</v>
      </c>
      <c r="B11" s="136" t="str">
        <f t="shared" si="0"/>
        <v>NAMS</v>
      </c>
      <c r="C11" s="136" t="str">
        <f>+VLOOKUP(AC11,Ходим!A:B,2,0)</f>
        <v>52710005960025</v>
      </c>
      <c r="D11" s="136" t="str">
        <f>IFERROR(VLOOKUP($B:$B,[20]свод!$A:$AB,3,0)," ")</f>
        <v>Наманган шаҳар</v>
      </c>
      <c r="E11" s="7" t="s">
        <v>1348</v>
      </c>
      <c r="F11" s="7" t="s">
        <v>7752</v>
      </c>
      <c r="G11" s="134">
        <v>1</v>
      </c>
      <c r="H11" s="134" t="s">
        <v>411</v>
      </c>
      <c r="I11" s="7" t="s">
        <v>158</v>
      </c>
      <c r="J11" s="7" t="s">
        <v>13</v>
      </c>
      <c r="K11" s="7"/>
      <c r="L11" s="7" t="s">
        <v>169</v>
      </c>
      <c r="M11" s="7" t="s">
        <v>381</v>
      </c>
      <c r="N11" s="7" t="s">
        <v>170</v>
      </c>
      <c r="O11" s="7" t="s">
        <v>162</v>
      </c>
      <c r="P11" s="7" t="s">
        <v>6410</v>
      </c>
      <c r="Q11" s="129">
        <v>46199</v>
      </c>
      <c r="R11" s="130">
        <v>46199</v>
      </c>
      <c r="S11" s="131">
        <v>0</v>
      </c>
      <c r="T11" s="127"/>
      <c r="U11" s="127">
        <v>1</v>
      </c>
      <c r="V11" s="127"/>
      <c r="W11" s="127"/>
      <c r="X11" s="135">
        <f t="shared" si="1"/>
        <v>0</v>
      </c>
      <c r="Y11" s="135" t="b">
        <f t="shared" si="2"/>
        <v>0</v>
      </c>
      <c r="Z11" s="135" t="b">
        <f t="shared" si="3"/>
        <v>0</v>
      </c>
      <c r="AA11" s="135" t="b">
        <f t="shared" si="4"/>
        <v>0</v>
      </c>
      <c r="AB11" s="7" t="s">
        <v>173</v>
      </c>
      <c r="AC11" s="7" t="s">
        <v>274</v>
      </c>
    </row>
    <row r="12" spans="1:29" x14ac:dyDescent="0.25">
      <c r="A12" s="135">
        <v>51</v>
      </c>
      <c r="B12" s="136" t="str">
        <f t="shared" si="0"/>
        <v>NAMS</v>
      </c>
      <c r="C12" s="136" t="str">
        <f>+VLOOKUP(AC12,Ходим!A:B,2,0)</f>
        <v>51110025960044</v>
      </c>
      <c r="D12" s="136" t="str">
        <f>IFERROR(VLOOKUP($B:$B,[20]свод!$A:$AB,3,0)," ")</f>
        <v>Наманган шаҳар</v>
      </c>
      <c r="E12" s="7" t="s">
        <v>1394</v>
      </c>
      <c r="F12" s="7" t="s">
        <v>7797</v>
      </c>
      <c r="G12" s="134">
        <v>1</v>
      </c>
      <c r="H12" s="134" t="s">
        <v>411</v>
      </c>
      <c r="I12" s="7" t="s">
        <v>158</v>
      </c>
      <c r="J12" s="7" t="s">
        <v>2</v>
      </c>
      <c r="K12" s="7"/>
      <c r="L12" s="7" t="s">
        <v>167</v>
      </c>
      <c r="M12" s="7" t="s">
        <v>4393</v>
      </c>
      <c r="N12" s="7" t="s">
        <v>170</v>
      </c>
      <c r="O12" s="7" t="s">
        <v>162</v>
      </c>
      <c r="P12" s="7" t="s">
        <v>6436</v>
      </c>
      <c r="Q12" s="129">
        <v>46199</v>
      </c>
      <c r="R12" s="130">
        <v>46197</v>
      </c>
      <c r="S12" s="131">
        <v>-2</v>
      </c>
      <c r="T12" s="127">
        <v>1</v>
      </c>
      <c r="U12" s="127"/>
      <c r="V12" s="127">
        <v>1</v>
      </c>
      <c r="W12" s="127"/>
      <c r="X12" s="135">
        <f t="shared" si="1"/>
        <v>0</v>
      </c>
      <c r="Y12" s="135" t="b">
        <f t="shared" si="2"/>
        <v>0</v>
      </c>
      <c r="Z12" s="135" t="b">
        <f t="shared" si="3"/>
        <v>0</v>
      </c>
      <c r="AA12" s="135" t="b">
        <f t="shared" si="4"/>
        <v>0</v>
      </c>
      <c r="AB12" s="7" t="s">
        <v>173</v>
      </c>
      <c r="AC12" s="7" t="s">
        <v>294</v>
      </c>
    </row>
    <row r="13" spans="1:29" hidden="1" x14ac:dyDescent="0.25">
      <c r="A13" s="135">
        <v>52</v>
      </c>
      <c r="B13" s="136" t="str">
        <f t="shared" si="0"/>
        <v>KSST</v>
      </c>
      <c r="C13" s="136" t="str">
        <f>+VLOOKUP(AC13,Ходим!A:B,2,0)</f>
        <v>50709025980034</v>
      </c>
      <c r="D13" s="136" t="str">
        <f>IFERROR(VLOOKUP($B:$B,[20]свод!$A:$AB,3,0)," ")</f>
        <v>Косонсой тумани</v>
      </c>
      <c r="E13" s="7" t="s">
        <v>1401</v>
      </c>
      <c r="F13" s="7" t="s">
        <v>7804</v>
      </c>
      <c r="G13" s="134">
        <v>1</v>
      </c>
      <c r="H13" s="134" t="s">
        <v>411</v>
      </c>
      <c r="I13" s="7" t="s">
        <v>158</v>
      </c>
      <c r="J13" s="7" t="s">
        <v>10638</v>
      </c>
      <c r="K13" s="7"/>
      <c r="L13" s="7" t="s">
        <v>167</v>
      </c>
      <c r="M13" s="7" t="s">
        <v>4398</v>
      </c>
      <c r="N13" s="7" t="s">
        <v>170</v>
      </c>
      <c r="O13" s="7" t="s">
        <v>162</v>
      </c>
      <c r="P13" s="7" t="s">
        <v>6441</v>
      </c>
      <c r="Q13" s="129">
        <v>46199</v>
      </c>
      <c r="R13" s="130">
        <v>46199</v>
      </c>
      <c r="S13" s="131">
        <v>0</v>
      </c>
      <c r="T13" s="127"/>
      <c r="U13" s="127">
        <v>1</v>
      </c>
      <c r="V13" s="127"/>
      <c r="W13" s="127"/>
      <c r="X13" s="135">
        <f t="shared" si="1"/>
        <v>0</v>
      </c>
      <c r="Y13" s="135" t="b">
        <f t="shared" si="2"/>
        <v>0</v>
      </c>
      <c r="Z13" s="135" t="b">
        <f t="shared" si="3"/>
        <v>0</v>
      </c>
      <c r="AA13" s="135" t="b">
        <f t="shared" si="4"/>
        <v>0</v>
      </c>
      <c r="AB13" s="7" t="s">
        <v>180</v>
      </c>
      <c r="AC13" s="7" t="s">
        <v>286</v>
      </c>
    </row>
    <row r="14" spans="1:29" hidden="1" x14ac:dyDescent="0.25">
      <c r="A14" s="135">
        <v>53</v>
      </c>
      <c r="B14" s="136" t="str">
        <f t="shared" si="0"/>
        <v>KSST</v>
      </c>
      <c r="C14" s="136" t="str">
        <f>+VLOOKUP(AC14,Ходим!A:B,2,0)</f>
        <v>31611995980026</v>
      </c>
      <c r="D14" s="136" t="str">
        <f>IFERROR(VLOOKUP($B:$B,[20]свод!$A:$AB,3,0)," ")</f>
        <v>Косонсой тумани</v>
      </c>
      <c r="E14" s="7" t="s">
        <v>1406</v>
      </c>
      <c r="F14" s="7" t="s">
        <v>7809</v>
      </c>
      <c r="G14" s="134">
        <v>1</v>
      </c>
      <c r="H14" s="134" t="s">
        <v>411</v>
      </c>
      <c r="I14" s="7" t="s">
        <v>158</v>
      </c>
      <c r="J14" s="7" t="s">
        <v>10638</v>
      </c>
      <c r="K14" s="7"/>
      <c r="L14" s="7" t="s">
        <v>167</v>
      </c>
      <c r="M14" s="7" t="s">
        <v>4400</v>
      </c>
      <c r="N14" s="7" t="s">
        <v>170</v>
      </c>
      <c r="O14" s="7" t="s">
        <v>162</v>
      </c>
      <c r="P14" s="7" t="s">
        <v>6441</v>
      </c>
      <c r="Q14" s="129">
        <v>46199</v>
      </c>
      <c r="R14" s="130">
        <v>46199</v>
      </c>
      <c r="S14" s="131">
        <v>0</v>
      </c>
      <c r="T14" s="127"/>
      <c r="U14" s="127">
        <v>1</v>
      </c>
      <c r="V14" s="127"/>
      <c r="W14" s="127"/>
      <c r="X14" s="135">
        <f t="shared" si="1"/>
        <v>0</v>
      </c>
      <c r="Y14" s="135" t="b">
        <f t="shared" si="2"/>
        <v>0</v>
      </c>
      <c r="Z14" s="135" t="b">
        <f t="shared" si="3"/>
        <v>0</v>
      </c>
      <c r="AA14" s="135" t="b">
        <f t="shared" si="4"/>
        <v>0</v>
      </c>
      <c r="AB14" s="7" t="s">
        <v>180</v>
      </c>
      <c r="AC14" s="7" t="s">
        <v>181</v>
      </c>
    </row>
    <row r="15" spans="1:29" x14ac:dyDescent="0.25">
      <c r="A15" s="135">
        <v>54</v>
      </c>
      <c r="B15" s="136" t="str">
        <f t="shared" si="0"/>
        <v>CHUT</v>
      </c>
      <c r="C15" s="136" t="str">
        <f>+VLOOKUP(AC15,Ходим!A:B,2,0)</f>
        <v>52508015970048</v>
      </c>
      <c r="D15" s="136" t="str">
        <f>IFERROR(VLOOKUP($B:$B,[20]свод!$A:$AB,3,0)," ")</f>
        <v>Чуст тумани</v>
      </c>
      <c r="E15" s="7" t="s">
        <v>1426</v>
      </c>
      <c r="F15" s="7" t="s">
        <v>7829</v>
      </c>
      <c r="G15" s="134">
        <v>1</v>
      </c>
      <c r="H15" s="134" t="s">
        <v>411</v>
      </c>
      <c r="I15" s="7" t="s">
        <v>158</v>
      </c>
      <c r="J15" s="7" t="s">
        <v>2</v>
      </c>
      <c r="K15" s="7"/>
      <c r="L15" s="7" t="s">
        <v>167</v>
      </c>
      <c r="M15" s="7" t="s">
        <v>1109</v>
      </c>
      <c r="N15" s="7" t="s">
        <v>170</v>
      </c>
      <c r="O15" s="7" t="s">
        <v>162</v>
      </c>
      <c r="P15" s="7" t="s">
        <v>6455</v>
      </c>
      <c r="Q15" s="129">
        <v>46199</v>
      </c>
      <c r="R15" s="130">
        <v>46198</v>
      </c>
      <c r="S15" s="131">
        <v>-1</v>
      </c>
      <c r="T15" s="127">
        <v>1</v>
      </c>
      <c r="U15" s="127"/>
      <c r="V15" s="127">
        <v>1</v>
      </c>
      <c r="W15" s="127"/>
      <c r="X15" s="135">
        <f t="shared" si="1"/>
        <v>0</v>
      </c>
      <c r="Y15" s="135" t="b">
        <f t="shared" si="2"/>
        <v>0</v>
      </c>
      <c r="Z15" s="135" t="b">
        <f t="shared" si="3"/>
        <v>0</v>
      </c>
      <c r="AA15" s="135" t="b">
        <f t="shared" si="4"/>
        <v>0</v>
      </c>
      <c r="AB15" s="7" t="s">
        <v>178</v>
      </c>
      <c r="AC15" s="7" t="s">
        <v>350</v>
      </c>
    </row>
    <row r="16" spans="1:29" x14ac:dyDescent="0.25">
      <c r="A16" s="135">
        <v>59</v>
      </c>
      <c r="B16" s="136" t="str">
        <f t="shared" si="0"/>
        <v>NAMT</v>
      </c>
      <c r="C16" s="136" t="str">
        <f>+VLOOKUP(AC16,Ходим!A:B,2,0)</f>
        <v>31702942090041</v>
      </c>
      <c r="D16" s="136" t="str">
        <f>IFERROR(VLOOKUP($B:$B,[20]свод!$A:$AB,3,0)," ")</f>
        <v>Наманган тумани</v>
      </c>
      <c r="E16" s="7" t="s">
        <v>1432</v>
      </c>
      <c r="F16" s="7" t="s">
        <v>7835</v>
      </c>
      <c r="G16" s="134">
        <v>1</v>
      </c>
      <c r="H16" s="134" t="s">
        <v>411</v>
      </c>
      <c r="I16" s="7" t="s">
        <v>158</v>
      </c>
      <c r="J16" s="7" t="s">
        <v>13</v>
      </c>
      <c r="K16" s="7"/>
      <c r="L16" s="7" t="s">
        <v>169</v>
      </c>
      <c r="M16" s="7" t="s">
        <v>1139</v>
      </c>
      <c r="N16" s="7" t="s">
        <v>170</v>
      </c>
      <c r="O16" s="7" t="s">
        <v>162</v>
      </c>
      <c r="P16" s="7" t="s">
        <v>6328</v>
      </c>
      <c r="Q16" s="129">
        <v>46199</v>
      </c>
      <c r="R16" s="130">
        <v>46199</v>
      </c>
      <c r="S16" s="131">
        <v>0</v>
      </c>
      <c r="T16" s="127"/>
      <c r="U16" s="127">
        <v>1</v>
      </c>
      <c r="V16" s="127"/>
      <c r="W16" s="127"/>
      <c r="X16" s="135">
        <f t="shared" si="1"/>
        <v>0</v>
      </c>
      <c r="Y16" s="135" t="b">
        <f t="shared" si="2"/>
        <v>0</v>
      </c>
      <c r="Z16" s="135" t="b">
        <f t="shared" si="3"/>
        <v>0</v>
      </c>
      <c r="AA16" s="135" t="b">
        <f t="shared" si="4"/>
        <v>0</v>
      </c>
      <c r="AB16" s="7" t="s">
        <v>193</v>
      </c>
      <c r="AC16" s="7" t="s">
        <v>194</v>
      </c>
    </row>
    <row r="17" spans="1:29" x14ac:dyDescent="0.25">
      <c r="A17" s="135">
        <v>65</v>
      </c>
      <c r="B17" s="136" t="str">
        <f t="shared" si="0"/>
        <v>YGQT</v>
      </c>
      <c r="C17" s="136" t="str">
        <f>+VLOOKUP(AC17,Ходим!A:B,2,0)</f>
        <v>30809995950021</v>
      </c>
      <c r="D17" s="136" t="str">
        <f>IFERROR(VLOOKUP($B:$B,[20]свод!$A:$AB,3,0)," ")</f>
        <v>Янгиқўрғон тумани</v>
      </c>
      <c r="E17" s="7" t="s">
        <v>1448</v>
      </c>
      <c r="F17" s="7" t="s">
        <v>7851</v>
      </c>
      <c r="G17" s="134">
        <v>1</v>
      </c>
      <c r="H17" s="134" t="s">
        <v>411</v>
      </c>
      <c r="I17" s="7" t="s">
        <v>158</v>
      </c>
      <c r="J17" s="7" t="s">
        <v>35</v>
      </c>
      <c r="K17" s="7"/>
      <c r="L17" s="7" t="s">
        <v>169</v>
      </c>
      <c r="M17" s="7" t="s">
        <v>4430</v>
      </c>
      <c r="N17" s="7" t="s">
        <v>410</v>
      </c>
      <c r="O17" s="7" t="s">
        <v>162</v>
      </c>
      <c r="P17" s="7" t="s">
        <v>6470</v>
      </c>
      <c r="Q17" s="129">
        <v>46199</v>
      </c>
      <c r="R17" s="130">
        <v>46199</v>
      </c>
      <c r="S17" s="131">
        <v>0</v>
      </c>
      <c r="T17" s="127"/>
      <c r="U17" s="127">
        <v>1</v>
      </c>
      <c r="V17" s="127"/>
      <c r="W17" s="127"/>
      <c r="X17" s="135">
        <f t="shared" si="1"/>
        <v>0</v>
      </c>
      <c r="Y17" s="135" t="b">
        <f t="shared" si="2"/>
        <v>0</v>
      </c>
      <c r="Z17" s="135" t="b">
        <f t="shared" si="3"/>
        <v>0</v>
      </c>
      <c r="AA17" s="135" t="b">
        <f t="shared" si="4"/>
        <v>0</v>
      </c>
      <c r="AB17" s="7" t="s">
        <v>255</v>
      </c>
      <c r="AC17" s="7" t="s">
        <v>223</v>
      </c>
    </row>
    <row r="18" spans="1:29" x14ac:dyDescent="0.25">
      <c r="A18" s="135">
        <v>74</v>
      </c>
      <c r="B18" s="136" t="str">
        <f t="shared" si="0"/>
        <v>TORT</v>
      </c>
      <c r="C18" s="136" t="str">
        <f>+VLOOKUP(AC18,Ходим!A:B,2,0)</f>
        <v>31704782130035</v>
      </c>
      <c r="D18" s="136" t="str">
        <f>IFERROR(VLOOKUP($B:$B,[20]свод!$A:$AB,3,0)," ")</f>
        <v>Тўрақўрғон тумани</v>
      </c>
      <c r="E18" s="7" t="s">
        <v>1462</v>
      </c>
      <c r="F18" s="7" t="s">
        <v>7865</v>
      </c>
      <c r="G18" s="134">
        <v>1</v>
      </c>
      <c r="H18" s="134" t="s">
        <v>411</v>
      </c>
      <c r="I18" s="7" t="s">
        <v>158</v>
      </c>
      <c r="J18" s="7" t="s">
        <v>1</v>
      </c>
      <c r="K18" s="7"/>
      <c r="L18" s="7" t="s">
        <v>167</v>
      </c>
      <c r="M18" s="7" t="s">
        <v>4441</v>
      </c>
      <c r="N18" s="7" t="s">
        <v>170</v>
      </c>
      <c r="O18" s="7" t="s">
        <v>162</v>
      </c>
      <c r="P18" s="7" t="s">
        <v>6474</v>
      </c>
      <c r="Q18" s="129">
        <v>46199</v>
      </c>
      <c r="R18" s="130">
        <v>46199</v>
      </c>
      <c r="S18" s="131">
        <v>0</v>
      </c>
      <c r="T18" s="127"/>
      <c r="U18" s="127">
        <v>1</v>
      </c>
      <c r="V18" s="127"/>
      <c r="W18" s="127"/>
      <c r="X18" s="135">
        <f t="shared" si="1"/>
        <v>0</v>
      </c>
      <c r="Y18" s="135" t="b">
        <f t="shared" si="2"/>
        <v>0</v>
      </c>
      <c r="Z18" s="135" t="b">
        <f t="shared" si="3"/>
        <v>0</v>
      </c>
      <c r="AA18" s="135" t="b">
        <f t="shared" si="4"/>
        <v>0</v>
      </c>
      <c r="AB18" s="7" t="s">
        <v>203</v>
      </c>
      <c r="AC18" s="7" t="s">
        <v>344</v>
      </c>
    </row>
    <row r="19" spans="1:29" x14ac:dyDescent="0.25">
      <c r="A19" s="135">
        <v>76</v>
      </c>
      <c r="B19" s="136" t="str">
        <f t="shared" si="0"/>
        <v>CHUT</v>
      </c>
      <c r="C19" s="136" t="str">
        <f>+VLOOKUP(AC19,Ходим!A:B,2,0)</f>
        <v>31608922180118</v>
      </c>
      <c r="D19" s="136" t="str">
        <f>IFERROR(VLOOKUP($B:$B,[20]свод!$A:$AB,3,0)," ")</f>
        <v>Чуст тумани</v>
      </c>
      <c r="E19" s="7" t="s">
        <v>1539</v>
      </c>
      <c r="F19" s="7" t="s">
        <v>7939</v>
      </c>
      <c r="G19" s="134">
        <v>1</v>
      </c>
      <c r="H19" s="134" t="s">
        <v>411</v>
      </c>
      <c r="I19" s="7" t="s">
        <v>156</v>
      </c>
      <c r="J19" s="7" t="s">
        <v>11</v>
      </c>
      <c r="K19" s="7"/>
      <c r="L19" s="7"/>
      <c r="M19" s="7"/>
      <c r="N19" s="7" t="s">
        <v>170</v>
      </c>
      <c r="O19" s="7" t="s">
        <v>162</v>
      </c>
      <c r="P19" s="7" t="s">
        <v>6509</v>
      </c>
      <c r="Q19" s="129">
        <v>46199</v>
      </c>
      <c r="R19" s="130">
        <v>46198</v>
      </c>
      <c r="S19" s="131">
        <v>-1</v>
      </c>
      <c r="T19" s="127">
        <v>1</v>
      </c>
      <c r="U19" s="127"/>
      <c r="V19" s="127">
        <v>1</v>
      </c>
      <c r="W19" s="127"/>
      <c r="X19" s="135">
        <f t="shared" si="1"/>
        <v>0</v>
      </c>
      <c r="Y19" s="135" t="str">
        <f t="shared" si="2"/>
        <v>Arizani qabul qilish</v>
      </c>
      <c r="Z19" s="135" t="b">
        <f t="shared" si="3"/>
        <v>0</v>
      </c>
      <c r="AA19" s="135" t="str">
        <f t="shared" si="4"/>
        <v>Arizani qabul qilish</v>
      </c>
      <c r="AB19" s="7" t="s">
        <v>178</v>
      </c>
      <c r="AC19" s="7" t="s">
        <v>284</v>
      </c>
    </row>
    <row r="20" spans="1:29" x14ac:dyDescent="0.25">
      <c r="A20" s="135">
        <v>77</v>
      </c>
      <c r="B20" s="136" t="str">
        <f t="shared" si="0"/>
        <v>NAMS</v>
      </c>
      <c r="C20" s="136" t="str">
        <f>+VLOOKUP(AC20,Ходим!A:B,2,0)</f>
        <v>51110025960044</v>
      </c>
      <c r="D20" s="136" t="str">
        <f>IFERROR(VLOOKUP($B:$B,[20]свод!$A:$AB,3,0)," ")</f>
        <v>Наманган шаҳар</v>
      </c>
      <c r="E20" s="7" t="s">
        <v>1554</v>
      </c>
      <c r="F20" s="7" t="s">
        <v>7954</v>
      </c>
      <c r="G20" s="134">
        <v>1</v>
      </c>
      <c r="H20" s="134" t="s">
        <v>411</v>
      </c>
      <c r="I20" s="7" t="s">
        <v>158</v>
      </c>
      <c r="J20" s="7" t="s">
        <v>2</v>
      </c>
      <c r="K20" s="7"/>
      <c r="L20" s="7" t="s">
        <v>167</v>
      </c>
      <c r="M20" s="7" t="s">
        <v>1003</v>
      </c>
      <c r="N20" s="7" t="s">
        <v>170</v>
      </c>
      <c r="O20" s="7" t="s">
        <v>162</v>
      </c>
      <c r="P20" s="7" t="s">
        <v>6514</v>
      </c>
      <c r="Q20" s="129">
        <v>46199</v>
      </c>
      <c r="R20" s="130">
        <v>46198</v>
      </c>
      <c r="S20" s="131">
        <v>-1</v>
      </c>
      <c r="T20" s="127">
        <v>1</v>
      </c>
      <c r="U20" s="127"/>
      <c r="V20" s="127">
        <v>1</v>
      </c>
      <c r="W20" s="127"/>
      <c r="X20" s="135">
        <f t="shared" si="1"/>
        <v>0</v>
      </c>
      <c r="Y20" s="135" t="b">
        <f t="shared" si="2"/>
        <v>0</v>
      </c>
      <c r="Z20" s="135" t="b">
        <f t="shared" si="3"/>
        <v>0</v>
      </c>
      <c r="AA20" s="135" t="b">
        <f t="shared" si="4"/>
        <v>0</v>
      </c>
      <c r="AB20" s="7" t="s">
        <v>328</v>
      </c>
      <c r="AC20" s="7" t="s">
        <v>294</v>
      </c>
    </row>
    <row r="21" spans="1:29" x14ac:dyDescent="0.25">
      <c r="A21" s="135">
        <v>84</v>
      </c>
      <c r="B21" s="136" t="str">
        <f t="shared" si="0"/>
        <v>POPT</v>
      </c>
      <c r="C21" s="136" t="str">
        <f>+VLOOKUP(AC21,Ходим!A:B,2,0)</f>
        <v>30809922120031</v>
      </c>
      <c r="D21" s="136" t="str">
        <f>IFERROR(VLOOKUP($B:$B,[20]свод!$A:$AB,3,0)," ")</f>
        <v>Поп тумани</v>
      </c>
      <c r="E21" s="7" t="s">
        <v>1067</v>
      </c>
      <c r="F21" s="7" t="s">
        <v>987</v>
      </c>
      <c r="G21" s="134">
        <v>1</v>
      </c>
      <c r="H21" s="134" t="s">
        <v>411</v>
      </c>
      <c r="I21" s="7" t="s">
        <v>154</v>
      </c>
      <c r="J21" s="7" t="s">
        <v>16</v>
      </c>
      <c r="K21" s="7"/>
      <c r="L21" s="7" t="s">
        <v>167</v>
      </c>
      <c r="M21" s="7" t="s">
        <v>986</v>
      </c>
      <c r="N21" s="7" t="s">
        <v>410</v>
      </c>
      <c r="O21" s="7" t="s">
        <v>162</v>
      </c>
      <c r="P21" s="7" t="s">
        <v>1080</v>
      </c>
      <c r="Q21" s="129">
        <v>46199</v>
      </c>
      <c r="R21" s="130">
        <v>46190</v>
      </c>
      <c r="S21" s="131">
        <v>-9</v>
      </c>
      <c r="T21" s="127">
        <v>1</v>
      </c>
      <c r="U21" s="127"/>
      <c r="V21" s="127">
        <v>1</v>
      </c>
      <c r="W21" s="127"/>
      <c r="X21" s="135">
        <f t="shared" si="1"/>
        <v>0</v>
      </c>
      <c r="Y21" s="135" t="b">
        <f t="shared" si="2"/>
        <v>0</v>
      </c>
      <c r="Z21" s="135" t="b">
        <f t="shared" si="3"/>
        <v>0</v>
      </c>
      <c r="AA21" s="135" t="b">
        <f t="shared" si="4"/>
        <v>0</v>
      </c>
      <c r="AB21" s="7" t="s">
        <v>214</v>
      </c>
      <c r="AC21" s="7" t="s">
        <v>339</v>
      </c>
    </row>
    <row r="22" spans="1:29" hidden="1" x14ac:dyDescent="0.25">
      <c r="A22" s="135">
        <v>90</v>
      </c>
      <c r="B22" s="136" t="str">
        <f t="shared" si="0"/>
        <v>MINT</v>
      </c>
      <c r="C22" s="136" t="str">
        <f>+VLOOKUP(AC22,Ходим!A:B,2,0)</f>
        <v>30910905990010</v>
      </c>
      <c r="D22" s="136" t="str">
        <f>IFERROR(VLOOKUP($B:$B,[20]свод!$A:$AB,3,0)," ")</f>
        <v>Мингбулоқ тумани</v>
      </c>
      <c r="E22" s="7" t="s">
        <v>1595</v>
      </c>
      <c r="F22" s="7" t="s">
        <v>7995</v>
      </c>
      <c r="G22" s="134">
        <v>1</v>
      </c>
      <c r="H22" s="134" t="s">
        <v>411</v>
      </c>
      <c r="I22" s="7" t="s">
        <v>158</v>
      </c>
      <c r="J22" s="7" t="s">
        <v>10638</v>
      </c>
      <c r="K22" s="7"/>
      <c r="L22" s="7" t="s">
        <v>167</v>
      </c>
      <c r="M22" s="7" t="s">
        <v>4509</v>
      </c>
      <c r="N22" s="7" t="s">
        <v>410</v>
      </c>
      <c r="O22" s="7" t="s">
        <v>162</v>
      </c>
      <c r="P22" s="7" t="s">
        <v>6534</v>
      </c>
      <c r="Q22" s="129">
        <v>46199</v>
      </c>
      <c r="R22" s="130">
        <v>46199</v>
      </c>
      <c r="S22" s="131">
        <v>0</v>
      </c>
      <c r="T22" s="127"/>
      <c r="U22" s="127">
        <v>1</v>
      </c>
      <c r="V22" s="127"/>
      <c r="W22" s="127"/>
      <c r="X22" s="135">
        <f t="shared" si="1"/>
        <v>0</v>
      </c>
      <c r="Y22" s="135" t="b">
        <f t="shared" si="2"/>
        <v>0</v>
      </c>
      <c r="Z22" s="135" t="b">
        <f t="shared" si="3"/>
        <v>0</v>
      </c>
      <c r="AA22" s="135" t="b">
        <f t="shared" si="4"/>
        <v>0</v>
      </c>
      <c r="AB22" s="7" t="s">
        <v>220</v>
      </c>
      <c r="AC22" s="7" t="s">
        <v>221</v>
      </c>
    </row>
    <row r="23" spans="1:29" hidden="1" x14ac:dyDescent="0.25">
      <c r="A23" s="135">
        <v>101</v>
      </c>
      <c r="B23" s="136" t="str">
        <f t="shared" si="0"/>
        <v>UCQT</v>
      </c>
      <c r="C23" s="136" t="str">
        <f>+VLOOKUP(AC23,Ходим!A:B,2,0)</f>
        <v>30307955940049</v>
      </c>
      <c r="D23" s="136" t="str">
        <f>IFERROR(VLOOKUP($B:$B,[20]свод!$A:$AB,3,0)," ")</f>
        <v>Учқўрғон тумани</v>
      </c>
      <c r="E23" s="7" t="s">
        <v>1020</v>
      </c>
      <c r="F23" s="7" t="s">
        <v>1061</v>
      </c>
      <c r="G23" s="134">
        <v>1</v>
      </c>
      <c r="H23" s="134" t="s">
        <v>411</v>
      </c>
      <c r="I23" s="7" t="s">
        <v>158</v>
      </c>
      <c r="J23" s="7" t="s">
        <v>10639</v>
      </c>
      <c r="K23" s="7"/>
      <c r="L23" s="7" t="s">
        <v>167</v>
      </c>
      <c r="M23" s="7" t="s">
        <v>4546</v>
      </c>
      <c r="N23" s="7" t="s">
        <v>170</v>
      </c>
      <c r="O23" s="7" t="s">
        <v>162</v>
      </c>
      <c r="P23" s="7" t="s">
        <v>1064</v>
      </c>
      <c r="Q23" s="129">
        <v>46199</v>
      </c>
      <c r="R23" s="130">
        <v>46178</v>
      </c>
      <c r="S23" s="131">
        <v>-21</v>
      </c>
      <c r="T23" s="127">
        <v>1</v>
      </c>
      <c r="U23" s="127"/>
      <c r="V23" s="127">
        <v>1</v>
      </c>
      <c r="W23" s="127"/>
      <c r="X23" s="135">
        <f t="shared" si="1"/>
        <v>0</v>
      </c>
      <c r="Y23" s="135" t="b">
        <f t="shared" si="2"/>
        <v>0</v>
      </c>
      <c r="Z23" s="135" t="b">
        <f t="shared" si="3"/>
        <v>0</v>
      </c>
      <c r="AA23" s="135" t="b">
        <f t="shared" si="4"/>
        <v>0</v>
      </c>
      <c r="AB23" s="7" t="s">
        <v>175</v>
      </c>
      <c r="AC23" s="7" t="s">
        <v>306</v>
      </c>
    </row>
    <row r="24" spans="1:29" hidden="1" x14ac:dyDescent="0.25">
      <c r="A24" s="135">
        <v>102</v>
      </c>
      <c r="B24" s="136" t="str">
        <f t="shared" si="0"/>
        <v>UYCT</v>
      </c>
      <c r="C24" s="136" t="str">
        <f>+VLOOKUP(AC24,Ходим!A:B,2,0)</f>
        <v>30309975930028</v>
      </c>
      <c r="D24" s="136" t="str">
        <f>IFERROR(VLOOKUP($B:$B,[20]свод!$A:$AB,3,0)," ")</f>
        <v>Уйчи тумани</v>
      </c>
      <c r="E24" s="7" t="s">
        <v>1713</v>
      </c>
      <c r="F24" s="7" t="s">
        <v>8112</v>
      </c>
      <c r="G24" s="134">
        <v>1</v>
      </c>
      <c r="H24" s="134" t="s">
        <v>411</v>
      </c>
      <c r="I24" s="7" t="s">
        <v>158</v>
      </c>
      <c r="J24" s="7" t="s">
        <v>10638</v>
      </c>
      <c r="K24" s="7"/>
      <c r="L24" s="7" t="s">
        <v>167</v>
      </c>
      <c r="M24" s="7" t="s">
        <v>4584</v>
      </c>
      <c r="N24" s="7" t="s">
        <v>170</v>
      </c>
      <c r="O24" s="7" t="s">
        <v>162</v>
      </c>
      <c r="P24" s="7" t="s">
        <v>6579</v>
      </c>
      <c r="Q24" s="129">
        <v>46199</v>
      </c>
      <c r="R24" s="130">
        <v>46198</v>
      </c>
      <c r="S24" s="131">
        <v>-1</v>
      </c>
      <c r="T24" s="127">
        <v>1</v>
      </c>
      <c r="U24" s="127"/>
      <c r="V24" s="127">
        <v>1</v>
      </c>
      <c r="W24" s="127"/>
      <c r="X24" s="135">
        <f t="shared" si="1"/>
        <v>0</v>
      </c>
      <c r="Y24" s="135" t="b">
        <f t="shared" si="2"/>
        <v>0</v>
      </c>
      <c r="Z24" s="135" t="b">
        <f t="shared" si="3"/>
        <v>0</v>
      </c>
      <c r="AA24" s="135" t="b">
        <f t="shared" si="4"/>
        <v>0</v>
      </c>
      <c r="AB24" s="7" t="s">
        <v>947</v>
      </c>
      <c r="AC24" s="7" t="s">
        <v>261</v>
      </c>
    </row>
    <row r="25" spans="1:29" hidden="1" x14ac:dyDescent="0.25">
      <c r="A25" s="135">
        <v>103</v>
      </c>
      <c r="B25" s="136" t="str">
        <f t="shared" si="0"/>
        <v>KSST</v>
      </c>
      <c r="C25" s="136" t="str">
        <f>+VLOOKUP(AC25,Ходим!A:B,2,0)</f>
        <v>52812015980061</v>
      </c>
      <c r="D25" s="136" t="str">
        <f>IFERROR(VLOOKUP($B:$B,[20]свод!$A:$AB,3,0)," ")</f>
        <v>Косонсой тумани</v>
      </c>
      <c r="E25" s="7" t="s">
        <v>1850</v>
      </c>
      <c r="F25" s="7" t="s">
        <v>8246</v>
      </c>
      <c r="G25" s="134" t="s">
        <v>411</v>
      </c>
      <c r="H25" s="134">
        <v>1</v>
      </c>
      <c r="I25" s="7" t="s">
        <v>157</v>
      </c>
      <c r="J25" s="7" t="s">
        <v>10639</v>
      </c>
      <c r="K25" s="7"/>
      <c r="L25" s="7" t="s">
        <v>166</v>
      </c>
      <c r="M25" s="7" t="s">
        <v>4666</v>
      </c>
      <c r="N25" s="7" t="s">
        <v>170</v>
      </c>
      <c r="O25" s="7" t="s">
        <v>163</v>
      </c>
      <c r="P25" s="7" t="s">
        <v>6628</v>
      </c>
      <c r="Q25" s="129">
        <v>46199</v>
      </c>
      <c r="R25" s="130">
        <v>46199</v>
      </c>
      <c r="S25" s="131">
        <v>0</v>
      </c>
      <c r="T25" s="127"/>
      <c r="U25" s="127">
        <v>1</v>
      </c>
      <c r="V25" s="127"/>
      <c r="W25" s="127"/>
      <c r="X25" s="135">
        <f t="shared" si="1"/>
        <v>0</v>
      </c>
      <c r="Y25" s="135" t="b">
        <f t="shared" si="2"/>
        <v>0</v>
      </c>
      <c r="Z25" s="135" t="b">
        <f t="shared" si="3"/>
        <v>0</v>
      </c>
      <c r="AA25" s="135" t="b">
        <f t="shared" si="4"/>
        <v>0</v>
      </c>
      <c r="AB25" s="7" t="s">
        <v>180</v>
      </c>
      <c r="AC25" s="7" t="s">
        <v>307</v>
      </c>
    </row>
    <row r="26" spans="1:29" x14ac:dyDescent="0.25">
      <c r="A26" s="135">
        <v>105</v>
      </c>
      <c r="B26" s="136" t="str">
        <f t="shared" si="0"/>
        <v>NAMS</v>
      </c>
      <c r="C26" s="136" t="str">
        <f>+VLOOKUP(AC26,Ходим!A:B,2,0)</f>
        <v>30304915960053</v>
      </c>
      <c r="D26" s="136" t="str">
        <f>IFERROR(VLOOKUP($B:$B,[20]свод!$A:$AB,3,0)," ")</f>
        <v>Наманган шаҳар</v>
      </c>
      <c r="E26" s="7" t="s">
        <v>1853</v>
      </c>
      <c r="F26" s="7" t="s">
        <v>8249</v>
      </c>
      <c r="G26" s="134" t="s">
        <v>411</v>
      </c>
      <c r="H26" s="134">
        <v>1</v>
      </c>
      <c r="I26" s="7" t="s">
        <v>157</v>
      </c>
      <c r="J26" s="7" t="s">
        <v>17</v>
      </c>
      <c r="K26" s="7"/>
      <c r="L26" s="7" t="s">
        <v>166</v>
      </c>
      <c r="M26" s="7" t="s">
        <v>4668</v>
      </c>
      <c r="N26" s="7" t="s">
        <v>410</v>
      </c>
      <c r="O26" s="7" t="s">
        <v>161</v>
      </c>
      <c r="P26" s="7" t="s">
        <v>6630</v>
      </c>
      <c r="Q26" s="129">
        <v>46199</v>
      </c>
      <c r="R26" s="130">
        <v>46199</v>
      </c>
      <c r="S26" s="131">
        <v>0</v>
      </c>
      <c r="T26" s="127"/>
      <c r="U26" s="127">
        <v>1</v>
      </c>
      <c r="V26" s="127"/>
      <c r="W26" s="127"/>
      <c r="X26" s="135">
        <f t="shared" si="1"/>
        <v>0</v>
      </c>
      <c r="Y26" s="135" t="b">
        <f t="shared" si="2"/>
        <v>0</v>
      </c>
      <c r="Z26" s="135" t="b">
        <f t="shared" si="3"/>
        <v>0</v>
      </c>
      <c r="AA26" s="135" t="b">
        <f t="shared" si="4"/>
        <v>0</v>
      </c>
      <c r="AB26" s="7" t="s">
        <v>227</v>
      </c>
      <c r="AC26" s="7" t="s">
        <v>314</v>
      </c>
    </row>
    <row r="27" spans="1:29" x14ac:dyDescent="0.25">
      <c r="A27" s="135">
        <v>106</v>
      </c>
      <c r="B27" s="136" t="str">
        <f t="shared" si="0"/>
        <v>CHUT</v>
      </c>
      <c r="C27" s="136" t="str">
        <f>+VLOOKUP(AC27,Ходим!A:B,2,0)</f>
        <v>32511965970037</v>
      </c>
      <c r="D27" s="136" t="str">
        <f>IFERROR(VLOOKUP($B:$B,[20]свод!$A:$AB,3,0)," ")</f>
        <v>Чуст тумани</v>
      </c>
      <c r="E27" s="7" t="s">
        <v>1866</v>
      </c>
      <c r="F27" s="7" t="s">
        <v>8262</v>
      </c>
      <c r="G27" s="134">
        <v>1</v>
      </c>
      <c r="H27" s="134" t="s">
        <v>411</v>
      </c>
      <c r="I27" s="7" t="s">
        <v>158</v>
      </c>
      <c r="J27" s="7" t="s">
        <v>1</v>
      </c>
      <c r="K27" s="7"/>
      <c r="L27" s="7" t="s">
        <v>167</v>
      </c>
      <c r="M27" s="7" t="s">
        <v>4675</v>
      </c>
      <c r="N27" s="7" t="s">
        <v>170</v>
      </c>
      <c r="O27" s="7" t="s">
        <v>162</v>
      </c>
      <c r="P27" s="7" t="s">
        <v>6637</v>
      </c>
      <c r="Q27" s="129">
        <v>46199</v>
      </c>
      <c r="R27" s="130">
        <v>46198</v>
      </c>
      <c r="S27" s="131">
        <v>-1</v>
      </c>
      <c r="T27" s="127">
        <v>1</v>
      </c>
      <c r="U27" s="127"/>
      <c r="V27" s="127">
        <v>1</v>
      </c>
      <c r="W27" s="127"/>
      <c r="X27" s="135">
        <f t="shared" si="1"/>
        <v>0</v>
      </c>
      <c r="Y27" s="135" t="b">
        <f t="shared" si="2"/>
        <v>0</v>
      </c>
      <c r="Z27" s="135" t="b">
        <f t="shared" si="3"/>
        <v>0</v>
      </c>
      <c r="AA27" s="135" t="b">
        <f t="shared" si="4"/>
        <v>0</v>
      </c>
      <c r="AB27" s="7" t="s">
        <v>178</v>
      </c>
      <c r="AC27" s="7" t="s">
        <v>351</v>
      </c>
    </row>
    <row r="28" spans="1:29" x14ac:dyDescent="0.25">
      <c r="A28" s="135">
        <v>109</v>
      </c>
      <c r="B28" s="136" t="str">
        <f t="shared" si="0"/>
        <v>UYCT</v>
      </c>
      <c r="C28" s="136" t="str">
        <f>+VLOOKUP(AC28,Ходим!A:B,2,0)</f>
        <v>30309975930028</v>
      </c>
      <c r="D28" s="136" t="str">
        <f>IFERROR(VLOOKUP($B:$B,[20]свод!$A:$AB,3,0)," ")</f>
        <v>Уйчи тумани</v>
      </c>
      <c r="E28" s="7" t="s">
        <v>1867</v>
      </c>
      <c r="F28" s="7" t="s">
        <v>8263</v>
      </c>
      <c r="G28" s="134">
        <v>1</v>
      </c>
      <c r="H28" s="134" t="s">
        <v>411</v>
      </c>
      <c r="I28" s="7" t="s">
        <v>158</v>
      </c>
      <c r="J28" s="7" t="s">
        <v>1</v>
      </c>
      <c r="K28" s="7"/>
      <c r="L28" s="7" t="s">
        <v>167</v>
      </c>
      <c r="M28" s="7" t="s">
        <v>4676</v>
      </c>
      <c r="N28" s="7" t="s">
        <v>170</v>
      </c>
      <c r="O28" s="7" t="s">
        <v>162</v>
      </c>
      <c r="P28" s="7" t="s">
        <v>6638</v>
      </c>
      <c r="Q28" s="129">
        <v>46199</v>
      </c>
      <c r="R28" s="130">
        <v>46198</v>
      </c>
      <c r="S28" s="131">
        <v>-1</v>
      </c>
      <c r="T28" s="127">
        <v>1</v>
      </c>
      <c r="U28" s="127"/>
      <c r="V28" s="127">
        <v>1</v>
      </c>
      <c r="W28" s="127"/>
      <c r="X28" s="135">
        <f t="shared" si="1"/>
        <v>0</v>
      </c>
      <c r="Y28" s="135" t="b">
        <f t="shared" si="2"/>
        <v>0</v>
      </c>
      <c r="Z28" s="135" t="b">
        <f t="shared" si="3"/>
        <v>0</v>
      </c>
      <c r="AA28" s="135" t="b">
        <f t="shared" si="4"/>
        <v>0</v>
      </c>
      <c r="AB28" s="7" t="s">
        <v>947</v>
      </c>
      <c r="AC28" s="7" t="s">
        <v>261</v>
      </c>
    </row>
    <row r="29" spans="1:29" hidden="1" x14ac:dyDescent="0.25">
      <c r="A29" s="135">
        <v>112</v>
      </c>
      <c r="B29" s="136" t="str">
        <f t="shared" si="0"/>
        <v>CHUT</v>
      </c>
      <c r="C29" s="136" t="str">
        <f>+VLOOKUP(AC29,Ходим!A:B,2,0)</f>
        <v>30901882180031</v>
      </c>
      <c r="D29" s="136" t="str">
        <f>IFERROR(VLOOKUP($B:$B,[20]свод!$A:$AB,3,0)," ")</f>
        <v>Чуст тумани</v>
      </c>
      <c r="E29" s="7" t="s">
        <v>1022</v>
      </c>
      <c r="F29" s="7" t="s">
        <v>1063</v>
      </c>
      <c r="G29" s="134" t="s">
        <v>411</v>
      </c>
      <c r="H29" s="134">
        <v>1</v>
      </c>
      <c r="I29" s="7" t="s">
        <v>157</v>
      </c>
      <c r="J29" s="7" t="s">
        <v>10639</v>
      </c>
      <c r="K29" s="7"/>
      <c r="L29" s="7" t="s">
        <v>166</v>
      </c>
      <c r="M29" s="7" t="s">
        <v>1059</v>
      </c>
      <c r="N29" s="7" t="s">
        <v>170</v>
      </c>
      <c r="O29" s="7" t="s">
        <v>161</v>
      </c>
      <c r="P29" s="7" t="s">
        <v>1066</v>
      </c>
      <c r="Q29" s="129">
        <v>46199</v>
      </c>
      <c r="R29" s="130">
        <v>46182</v>
      </c>
      <c r="S29" s="131">
        <v>-17</v>
      </c>
      <c r="T29" s="127">
        <v>1</v>
      </c>
      <c r="U29" s="127"/>
      <c r="V29" s="127">
        <v>1</v>
      </c>
      <c r="W29" s="127"/>
      <c r="X29" s="135">
        <f t="shared" si="1"/>
        <v>0</v>
      </c>
      <c r="Y29" s="135" t="b">
        <f t="shared" si="2"/>
        <v>0</v>
      </c>
      <c r="Z29" s="135" t="b">
        <f t="shared" si="3"/>
        <v>0</v>
      </c>
      <c r="AA29" s="135" t="b">
        <f t="shared" si="4"/>
        <v>0</v>
      </c>
      <c r="AB29" s="7" t="s">
        <v>178</v>
      </c>
      <c r="AC29" s="7" t="s">
        <v>238</v>
      </c>
    </row>
    <row r="30" spans="1:29" x14ac:dyDescent="0.25">
      <c r="A30" s="135">
        <v>115</v>
      </c>
      <c r="B30" s="136" t="str">
        <f t="shared" si="0"/>
        <v>CHOT</v>
      </c>
      <c r="C30" s="136" t="str">
        <f>+VLOOKUP(AC30,Ходим!A:B,2,0)</f>
        <v>51408005890064</v>
      </c>
      <c r="D30" s="136" t="str">
        <f>IFERROR(VLOOKUP($B:$B,[20]свод!$A:$AB,3,0)," ")</f>
        <v>Чортоқ тумани</v>
      </c>
      <c r="E30" s="7" t="s">
        <v>1875</v>
      </c>
      <c r="F30" s="7" t="s">
        <v>8271</v>
      </c>
      <c r="G30" s="134">
        <v>1</v>
      </c>
      <c r="H30" s="134" t="s">
        <v>411</v>
      </c>
      <c r="I30" s="7" t="s">
        <v>158</v>
      </c>
      <c r="J30" s="7" t="s">
        <v>29</v>
      </c>
      <c r="K30" s="7"/>
      <c r="L30" s="7" t="s">
        <v>167</v>
      </c>
      <c r="M30" s="7" t="s">
        <v>1122</v>
      </c>
      <c r="N30" s="7" t="s">
        <v>170</v>
      </c>
      <c r="O30" s="7" t="s">
        <v>162</v>
      </c>
      <c r="P30" s="7" t="s">
        <v>6643</v>
      </c>
      <c r="Q30" s="129">
        <v>46199</v>
      </c>
      <c r="R30" s="130">
        <v>46198</v>
      </c>
      <c r="S30" s="131">
        <v>-1</v>
      </c>
      <c r="T30" s="127">
        <v>1</v>
      </c>
      <c r="U30" s="127"/>
      <c r="V30" s="127">
        <v>1</v>
      </c>
      <c r="W30" s="127"/>
      <c r="X30" s="135">
        <f t="shared" si="1"/>
        <v>0</v>
      </c>
      <c r="Y30" s="135" t="b">
        <f t="shared" si="2"/>
        <v>0</v>
      </c>
      <c r="Z30" s="135" t="b">
        <f t="shared" si="3"/>
        <v>0</v>
      </c>
      <c r="AA30" s="135" t="b">
        <f t="shared" si="4"/>
        <v>0</v>
      </c>
      <c r="AB30" s="7" t="s">
        <v>10635</v>
      </c>
      <c r="AC30" s="7" t="s">
        <v>409</v>
      </c>
    </row>
    <row r="31" spans="1:29" hidden="1" x14ac:dyDescent="0.25">
      <c r="A31" s="135">
        <v>1</v>
      </c>
      <c r="B31" s="136" t="str">
        <f t="shared" si="0"/>
        <v>CHUT</v>
      </c>
      <c r="C31" s="136" t="str">
        <f>+VLOOKUP(AC31,Ходим!A:B,2,0)</f>
        <v>30202885970013</v>
      </c>
      <c r="D31" s="136" t="str">
        <f>IFERROR(VLOOKUP($B:$B,[20]свод!$A:$AB,3,0)," ")</f>
        <v>Чуст тумани</v>
      </c>
      <c r="E31" s="7" t="s">
        <v>1880</v>
      </c>
      <c r="F31" s="7" t="s">
        <v>8276</v>
      </c>
      <c r="G31" s="134">
        <v>1</v>
      </c>
      <c r="H31" s="134" t="s">
        <v>411</v>
      </c>
      <c r="I31" s="7" t="s">
        <v>158</v>
      </c>
      <c r="J31" s="7" t="s">
        <v>10639</v>
      </c>
      <c r="K31" s="7"/>
      <c r="L31" s="7"/>
      <c r="M31" s="7"/>
      <c r="N31" s="7" t="s">
        <v>170</v>
      </c>
      <c r="O31" s="7" t="s">
        <v>162</v>
      </c>
      <c r="P31" s="7" t="s">
        <v>6648</v>
      </c>
      <c r="Q31" s="129">
        <v>46199</v>
      </c>
      <c r="R31" s="130">
        <v>46199</v>
      </c>
      <c r="S31" s="131">
        <v>0</v>
      </c>
      <c r="T31" s="127"/>
      <c r="U31" s="127">
        <v>1</v>
      </c>
      <c r="V31" s="127"/>
      <c r="W31" s="127"/>
      <c r="X31" s="135">
        <f t="shared" si="1"/>
        <v>0</v>
      </c>
      <c r="Y31" s="135" t="b">
        <f t="shared" si="2"/>
        <v>0</v>
      </c>
      <c r="Z31" s="135" t="b">
        <f t="shared" si="3"/>
        <v>0</v>
      </c>
      <c r="AA31" s="135" t="b">
        <f t="shared" si="4"/>
        <v>0</v>
      </c>
      <c r="AB31" s="7" t="s">
        <v>178</v>
      </c>
      <c r="AC31" s="7" t="s">
        <v>289</v>
      </c>
    </row>
    <row r="32" spans="1:29" hidden="1" x14ac:dyDescent="0.25">
      <c r="A32" s="135">
        <v>2</v>
      </c>
      <c r="B32" s="136" t="str">
        <f t="shared" si="0"/>
        <v>UYCT</v>
      </c>
      <c r="C32" s="136" t="str">
        <f>+VLOOKUP(AC32,Ходим!A:B,2,0)</f>
        <v>30510922140032</v>
      </c>
      <c r="D32" s="136" t="str">
        <f>IFERROR(VLOOKUP($B:$B,[20]свод!$A:$AB,3,0)," ")</f>
        <v>Уйчи тумани</v>
      </c>
      <c r="E32" s="7" t="s">
        <v>1881</v>
      </c>
      <c r="F32" s="7" t="s">
        <v>8277</v>
      </c>
      <c r="G32" s="134">
        <v>1</v>
      </c>
      <c r="H32" s="134" t="s">
        <v>411</v>
      </c>
      <c r="I32" s="7" t="s">
        <v>158</v>
      </c>
      <c r="J32" s="7" t="s">
        <v>10639</v>
      </c>
      <c r="K32" s="7"/>
      <c r="L32" s="7"/>
      <c r="M32" s="7"/>
      <c r="N32" s="7" t="s">
        <v>170</v>
      </c>
      <c r="O32" s="7" t="s">
        <v>162</v>
      </c>
      <c r="P32" s="7" t="s">
        <v>6648</v>
      </c>
      <c r="Q32" s="129">
        <v>46199</v>
      </c>
      <c r="R32" s="130">
        <v>46199</v>
      </c>
      <c r="S32" s="131">
        <v>0</v>
      </c>
      <c r="T32" s="127"/>
      <c r="U32" s="127">
        <v>1</v>
      </c>
      <c r="V32" s="127"/>
      <c r="W32" s="127"/>
      <c r="X32" s="135">
        <f t="shared" si="1"/>
        <v>0</v>
      </c>
      <c r="Y32" s="135" t="b">
        <f t="shared" si="2"/>
        <v>0</v>
      </c>
      <c r="Z32" s="135" t="b">
        <f t="shared" si="3"/>
        <v>0</v>
      </c>
      <c r="AA32" s="135" t="b">
        <f t="shared" si="4"/>
        <v>0</v>
      </c>
      <c r="AB32" s="7" t="s">
        <v>947</v>
      </c>
      <c r="AC32" s="7" t="s">
        <v>199</v>
      </c>
    </row>
    <row r="33" spans="1:29" hidden="1" x14ac:dyDescent="0.25">
      <c r="A33" s="135">
        <v>3</v>
      </c>
      <c r="B33" s="136" t="str">
        <f t="shared" si="0"/>
        <v>NAMS</v>
      </c>
      <c r="C33" s="136" t="str">
        <f>+VLOOKUP(AC33,Ходим!A:B,2,0)</f>
        <v>32407752170062</v>
      </c>
      <c r="D33" s="136" t="str">
        <f>IFERROR(VLOOKUP($B:$B,[20]свод!$A:$AB,3,0)," ")</f>
        <v>Наманган шаҳар</v>
      </c>
      <c r="E33" s="7" t="s">
        <v>1888</v>
      </c>
      <c r="F33" s="7" t="s">
        <v>8284</v>
      </c>
      <c r="G33" s="134">
        <v>1</v>
      </c>
      <c r="H33" s="134" t="s">
        <v>411</v>
      </c>
      <c r="I33" s="7" t="s">
        <v>158</v>
      </c>
      <c r="J33" s="7" t="s">
        <v>10639</v>
      </c>
      <c r="K33" s="7"/>
      <c r="L33" s="7"/>
      <c r="M33" s="7"/>
      <c r="N33" s="7" t="s">
        <v>170</v>
      </c>
      <c r="O33" s="7" t="s">
        <v>162</v>
      </c>
      <c r="P33" s="7" t="s">
        <v>6651</v>
      </c>
      <c r="Q33" s="129">
        <v>46199</v>
      </c>
      <c r="R33" s="130">
        <v>46199</v>
      </c>
      <c r="S33" s="131">
        <v>0</v>
      </c>
      <c r="T33" s="127"/>
      <c r="U33" s="127">
        <v>1</v>
      </c>
      <c r="V33" s="127"/>
      <c r="W33" s="127"/>
      <c r="X33" s="135">
        <f t="shared" si="1"/>
        <v>0</v>
      </c>
      <c r="Y33" s="135" t="b">
        <f t="shared" si="2"/>
        <v>0</v>
      </c>
      <c r="Z33" s="135" t="b">
        <f t="shared" si="3"/>
        <v>0</v>
      </c>
      <c r="AA33" s="135" t="b">
        <f t="shared" si="4"/>
        <v>0</v>
      </c>
      <c r="AB33" s="7" t="s">
        <v>173</v>
      </c>
      <c r="AC33" s="7" t="s">
        <v>264</v>
      </c>
    </row>
    <row r="34" spans="1:29" x14ac:dyDescent="0.25">
      <c r="A34" s="135">
        <v>4</v>
      </c>
      <c r="B34" s="136" t="str">
        <f t="shared" ref="B34:B65" si="5">LEFT(E34,4)</f>
        <v>UCQT</v>
      </c>
      <c r="C34" s="136" t="str">
        <f>+VLOOKUP(AC34,Ходим!A:B,2,0)</f>
        <v>52405005940019</v>
      </c>
      <c r="D34" s="136" t="str">
        <f>IFERROR(VLOOKUP($B:$B,[20]свод!$A:$AB,3,0)," ")</f>
        <v>Учқўрғон тумани</v>
      </c>
      <c r="E34" s="7" t="s">
        <v>1889</v>
      </c>
      <c r="F34" s="7" t="s">
        <v>8285</v>
      </c>
      <c r="G34" s="134">
        <v>1</v>
      </c>
      <c r="H34" s="134" t="s">
        <v>411</v>
      </c>
      <c r="I34" s="7" t="s">
        <v>154</v>
      </c>
      <c r="J34" s="7" t="s">
        <v>29</v>
      </c>
      <c r="K34" s="7"/>
      <c r="L34" s="7" t="s">
        <v>167</v>
      </c>
      <c r="M34" s="7" t="s">
        <v>4690</v>
      </c>
      <c r="N34" s="7" t="s">
        <v>170</v>
      </c>
      <c r="O34" s="7" t="s">
        <v>162</v>
      </c>
      <c r="P34" s="7" t="s">
        <v>6652</v>
      </c>
      <c r="Q34" s="129">
        <v>46199</v>
      </c>
      <c r="R34" s="130">
        <v>46199</v>
      </c>
      <c r="S34" s="131">
        <v>0</v>
      </c>
      <c r="T34" s="127"/>
      <c r="U34" s="127">
        <v>1</v>
      </c>
      <c r="V34" s="127"/>
      <c r="W34" s="127"/>
      <c r="X34" s="135">
        <f t="shared" si="1"/>
        <v>0</v>
      </c>
      <c r="Y34" s="135" t="b">
        <f t="shared" ref="Y34:Y65" si="6">IF(J34="Arizani qabul qilish",IF(X34=1,"Arizani qabul qilish2","Arizani qabul qilish"))</f>
        <v>0</v>
      </c>
      <c r="Z34" s="135" t="b">
        <f t="shared" ref="Z34:Z65" si="7">IF(J34="Rad qilish",IF(X34=1,"Rad qilish2","Rad qilish"))</f>
        <v>0</v>
      </c>
      <c r="AA34" s="135" t="b">
        <f t="shared" ref="AA34:AA65" si="8">+IF(J34="Arizani qabul qilish",Y34,IF(J34="Rad qilish",Z34))</f>
        <v>0</v>
      </c>
      <c r="AB34" s="7" t="s">
        <v>175</v>
      </c>
      <c r="AC34" s="7" t="s">
        <v>209</v>
      </c>
    </row>
    <row r="35" spans="1:29" x14ac:dyDescent="0.25">
      <c r="A35" s="135">
        <v>5</v>
      </c>
      <c r="B35" s="136" t="str">
        <f t="shared" si="5"/>
        <v>UCQT</v>
      </c>
      <c r="C35" s="136">
        <f>+VLOOKUP(AC35,Ходим!A:B,2,0)</f>
        <v>52107015940019</v>
      </c>
      <c r="D35" s="136" t="str">
        <f>IFERROR(VLOOKUP($B:$B,[20]свод!$A:$AB,3,0)," ")</f>
        <v>Учқўрғон тумани</v>
      </c>
      <c r="E35" s="7" t="s">
        <v>1890</v>
      </c>
      <c r="F35" s="7" t="s">
        <v>8286</v>
      </c>
      <c r="G35" s="134">
        <v>1</v>
      </c>
      <c r="H35" s="134" t="s">
        <v>411</v>
      </c>
      <c r="I35" s="7" t="s">
        <v>158</v>
      </c>
      <c r="J35" s="7" t="s">
        <v>1</v>
      </c>
      <c r="K35" s="7"/>
      <c r="L35" s="7" t="s">
        <v>167</v>
      </c>
      <c r="M35" s="7" t="s">
        <v>4691</v>
      </c>
      <c r="N35" s="7" t="s">
        <v>170</v>
      </c>
      <c r="O35" s="7" t="s">
        <v>162</v>
      </c>
      <c r="P35" s="7" t="s">
        <v>6652</v>
      </c>
      <c r="Q35" s="129">
        <v>46199</v>
      </c>
      <c r="R35" s="130">
        <v>46199</v>
      </c>
      <c r="S35" s="131">
        <v>0</v>
      </c>
      <c r="T35" s="127"/>
      <c r="U35" s="127">
        <v>1</v>
      </c>
      <c r="V35" s="127"/>
      <c r="W35" s="127"/>
      <c r="X35" s="135">
        <f t="shared" si="1"/>
        <v>0</v>
      </c>
      <c r="Y35" s="135" t="b">
        <f t="shared" si="6"/>
        <v>0</v>
      </c>
      <c r="Z35" s="135" t="b">
        <f t="shared" si="7"/>
        <v>0</v>
      </c>
      <c r="AA35" s="135" t="b">
        <f t="shared" si="8"/>
        <v>0</v>
      </c>
      <c r="AB35" s="7" t="s">
        <v>175</v>
      </c>
      <c r="AC35" s="7" t="s">
        <v>361</v>
      </c>
    </row>
    <row r="36" spans="1:29" hidden="1" x14ac:dyDescent="0.25">
      <c r="A36" s="135">
        <v>6</v>
      </c>
      <c r="B36" s="136" t="str">
        <f t="shared" si="5"/>
        <v>UYCT</v>
      </c>
      <c r="C36" s="136" t="str">
        <f>+VLOOKUP(AC36,Ходим!A:B,2,0)</f>
        <v>31101985930022</v>
      </c>
      <c r="D36" s="136" t="str">
        <f>IFERROR(VLOOKUP($B:$B,[20]свод!$A:$AB,3,0)," ")</f>
        <v>Уйчи тумани</v>
      </c>
      <c r="E36" s="7" t="s">
        <v>1891</v>
      </c>
      <c r="F36" s="7" t="s">
        <v>8287</v>
      </c>
      <c r="G36" s="134">
        <v>1</v>
      </c>
      <c r="H36" s="134" t="s">
        <v>411</v>
      </c>
      <c r="I36" s="7" t="s">
        <v>158</v>
      </c>
      <c r="J36" s="7" t="s">
        <v>10639</v>
      </c>
      <c r="K36" s="7"/>
      <c r="L36" s="7" t="s">
        <v>169</v>
      </c>
      <c r="M36" s="7" t="s">
        <v>4692</v>
      </c>
      <c r="N36" s="7" t="s">
        <v>170</v>
      </c>
      <c r="O36" s="7" t="s">
        <v>162</v>
      </c>
      <c r="P36" s="7" t="s">
        <v>6451</v>
      </c>
      <c r="Q36" s="129">
        <v>46199</v>
      </c>
      <c r="R36" s="130">
        <v>46199</v>
      </c>
      <c r="S36" s="131">
        <v>0</v>
      </c>
      <c r="T36" s="127"/>
      <c r="U36" s="127">
        <v>1</v>
      </c>
      <c r="V36" s="127"/>
      <c r="W36" s="127"/>
      <c r="X36" s="135">
        <f t="shared" si="1"/>
        <v>0</v>
      </c>
      <c r="Y36" s="135" t="b">
        <f t="shared" si="6"/>
        <v>0</v>
      </c>
      <c r="Z36" s="135" t="b">
        <f t="shared" si="7"/>
        <v>0</v>
      </c>
      <c r="AA36" s="135" t="b">
        <f t="shared" si="8"/>
        <v>0</v>
      </c>
      <c r="AB36" s="7" t="s">
        <v>947</v>
      </c>
      <c r="AC36" s="7" t="s">
        <v>299</v>
      </c>
    </row>
    <row r="37" spans="1:29" x14ac:dyDescent="0.25">
      <c r="A37" s="135">
        <v>7</v>
      </c>
      <c r="B37" s="136" t="str">
        <f t="shared" si="5"/>
        <v>TORT</v>
      </c>
      <c r="C37" s="136" t="str">
        <f>+VLOOKUP(AC37,Ходим!A:B,2,0)</f>
        <v>32211772130034</v>
      </c>
      <c r="D37" s="136" t="str">
        <f>IFERROR(VLOOKUP($B:$B,[20]свод!$A:$AB,3,0)," ")</f>
        <v>Тўрақўрғон тумани</v>
      </c>
      <c r="E37" s="7" t="s">
        <v>1892</v>
      </c>
      <c r="F37" s="7" t="s">
        <v>8288</v>
      </c>
      <c r="G37" s="134">
        <v>1</v>
      </c>
      <c r="H37" s="134" t="s">
        <v>411</v>
      </c>
      <c r="I37" s="7" t="s">
        <v>158</v>
      </c>
      <c r="J37" s="7" t="s">
        <v>1</v>
      </c>
      <c r="K37" s="7"/>
      <c r="L37" s="7" t="s">
        <v>167</v>
      </c>
      <c r="M37" s="7" t="s">
        <v>4693</v>
      </c>
      <c r="N37" s="7" t="s">
        <v>410</v>
      </c>
      <c r="O37" s="7" t="s">
        <v>162</v>
      </c>
      <c r="P37" s="7" t="s">
        <v>6653</v>
      </c>
      <c r="Q37" s="129">
        <v>46199</v>
      </c>
      <c r="R37" s="130">
        <v>46199</v>
      </c>
      <c r="S37" s="131">
        <v>0</v>
      </c>
      <c r="T37" s="127"/>
      <c r="U37" s="127">
        <v>1</v>
      </c>
      <c r="V37" s="127"/>
      <c r="W37" s="127"/>
      <c r="X37" s="135">
        <f t="shared" si="1"/>
        <v>0</v>
      </c>
      <c r="Y37" s="135" t="b">
        <f t="shared" si="6"/>
        <v>0</v>
      </c>
      <c r="Z37" s="135" t="b">
        <f t="shared" si="7"/>
        <v>0</v>
      </c>
      <c r="AA37" s="135" t="b">
        <f t="shared" si="8"/>
        <v>0</v>
      </c>
      <c r="AB37" s="7" t="s">
        <v>203</v>
      </c>
      <c r="AC37" s="7" t="s">
        <v>270</v>
      </c>
    </row>
    <row r="38" spans="1:29" hidden="1" x14ac:dyDescent="0.25">
      <c r="A38" s="135">
        <v>8</v>
      </c>
      <c r="B38" s="136" t="str">
        <f t="shared" si="5"/>
        <v>NAMT</v>
      </c>
      <c r="C38" s="136" t="str">
        <f>+VLOOKUP(AC38,Ходим!A:B,2,0)</f>
        <v>31702942090041</v>
      </c>
      <c r="D38" s="136" t="str">
        <f>IFERROR(VLOOKUP($B:$B,[20]свод!$A:$AB,3,0)," ")</f>
        <v>Наманган тумани</v>
      </c>
      <c r="E38" s="7" t="s">
        <v>1893</v>
      </c>
      <c r="F38" s="7" t="s">
        <v>8289</v>
      </c>
      <c r="G38" s="134">
        <v>1</v>
      </c>
      <c r="H38" s="134" t="s">
        <v>411</v>
      </c>
      <c r="I38" s="7" t="s">
        <v>158</v>
      </c>
      <c r="J38" s="7" t="s">
        <v>10638</v>
      </c>
      <c r="K38" s="7"/>
      <c r="L38" s="7" t="s">
        <v>167</v>
      </c>
      <c r="M38" s="7" t="s">
        <v>4694</v>
      </c>
      <c r="N38" s="7" t="s">
        <v>170</v>
      </c>
      <c r="O38" s="7" t="s">
        <v>162</v>
      </c>
      <c r="P38" s="7" t="s">
        <v>6653</v>
      </c>
      <c r="Q38" s="129">
        <v>46199</v>
      </c>
      <c r="R38" s="130">
        <v>46199</v>
      </c>
      <c r="S38" s="131">
        <v>0</v>
      </c>
      <c r="T38" s="127"/>
      <c r="U38" s="127">
        <v>1</v>
      </c>
      <c r="V38" s="127"/>
      <c r="W38" s="127"/>
      <c r="X38" s="135">
        <f t="shared" si="1"/>
        <v>0</v>
      </c>
      <c r="Y38" s="135" t="b">
        <f t="shared" si="6"/>
        <v>0</v>
      </c>
      <c r="Z38" s="135" t="b">
        <f t="shared" si="7"/>
        <v>0</v>
      </c>
      <c r="AA38" s="135" t="b">
        <f t="shared" si="8"/>
        <v>0</v>
      </c>
      <c r="AB38" s="7" t="s">
        <v>193</v>
      </c>
      <c r="AC38" s="7" t="s">
        <v>194</v>
      </c>
    </row>
    <row r="39" spans="1:29" hidden="1" x14ac:dyDescent="0.25">
      <c r="A39" s="135">
        <v>9</v>
      </c>
      <c r="B39" s="136" t="str">
        <f t="shared" si="5"/>
        <v>NAMT</v>
      </c>
      <c r="C39" s="136" t="str">
        <f>+VLOOKUP(AC39,Ходим!A:B,2,0)</f>
        <v>31702942090041</v>
      </c>
      <c r="D39" s="136" t="str">
        <f>IFERROR(VLOOKUP($B:$B,[20]свод!$A:$AB,3,0)," ")</f>
        <v>Наманган тумани</v>
      </c>
      <c r="E39" s="7" t="s">
        <v>1896</v>
      </c>
      <c r="F39" s="7" t="s">
        <v>8292</v>
      </c>
      <c r="G39" s="134">
        <v>1</v>
      </c>
      <c r="H39" s="134" t="s">
        <v>411</v>
      </c>
      <c r="I39" s="7" t="s">
        <v>158</v>
      </c>
      <c r="J39" s="7" t="s">
        <v>10638</v>
      </c>
      <c r="K39" s="7"/>
      <c r="L39" s="7" t="s">
        <v>167</v>
      </c>
      <c r="M39" s="7" t="s">
        <v>4697</v>
      </c>
      <c r="N39" s="7" t="s">
        <v>170</v>
      </c>
      <c r="O39" s="7" t="s">
        <v>162</v>
      </c>
      <c r="P39" s="7" t="s">
        <v>6324</v>
      </c>
      <c r="Q39" s="129">
        <v>46199</v>
      </c>
      <c r="R39" s="130">
        <v>46199</v>
      </c>
      <c r="S39" s="131">
        <v>0</v>
      </c>
      <c r="T39" s="127"/>
      <c r="U39" s="127">
        <v>1</v>
      </c>
      <c r="V39" s="127"/>
      <c r="W39" s="127"/>
      <c r="X39" s="135">
        <f t="shared" si="1"/>
        <v>0</v>
      </c>
      <c r="Y39" s="135" t="b">
        <f t="shared" si="6"/>
        <v>0</v>
      </c>
      <c r="Z39" s="135" t="b">
        <f t="shared" si="7"/>
        <v>0</v>
      </c>
      <c r="AA39" s="135" t="b">
        <f t="shared" si="8"/>
        <v>0</v>
      </c>
      <c r="AB39" s="7" t="s">
        <v>193</v>
      </c>
      <c r="AC39" s="7" t="s">
        <v>194</v>
      </c>
    </row>
    <row r="40" spans="1:29" x14ac:dyDescent="0.25">
      <c r="A40" s="135">
        <v>10</v>
      </c>
      <c r="B40" s="136" t="str">
        <f t="shared" si="5"/>
        <v>NAMT</v>
      </c>
      <c r="C40" s="136" t="str">
        <f>+VLOOKUP(AC40,Ходим!A:B,2,0)</f>
        <v>31205812090050</v>
      </c>
      <c r="D40" s="136" t="str">
        <f>IFERROR(VLOOKUP($B:$B,[20]свод!$A:$AB,3,0)," ")</f>
        <v>Наманган тумани</v>
      </c>
      <c r="E40" s="7" t="s">
        <v>1897</v>
      </c>
      <c r="F40" s="7" t="s">
        <v>8293</v>
      </c>
      <c r="G40" s="134">
        <v>1</v>
      </c>
      <c r="H40" s="134" t="s">
        <v>411</v>
      </c>
      <c r="I40" s="7" t="s">
        <v>158</v>
      </c>
      <c r="J40" s="7" t="s">
        <v>10</v>
      </c>
      <c r="K40" s="7"/>
      <c r="L40" s="7" t="s">
        <v>167</v>
      </c>
      <c r="M40" s="7" t="s">
        <v>4698</v>
      </c>
      <c r="N40" s="7" t="s">
        <v>170</v>
      </c>
      <c r="O40" s="7" t="s">
        <v>162</v>
      </c>
      <c r="P40" s="7" t="s">
        <v>6656</v>
      </c>
      <c r="Q40" s="129">
        <v>46199</v>
      </c>
      <c r="R40" s="130">
        <v>46199</v>
      </c>
      <c r="S40" s="131">
        <v>0</v>
      </c>
      <c r="T40" s="127"/>
      <c r="U40" s="127">
        <v>1</v>
      </c>
      <c r="V40" s="127"/>
      <c r="W40" s="127"/>
      <c r="X40" s="135">
        <f t="shared" si="1"/>
        <v>0</v>
      </c>
      <c r="Y40" s="135" t="b">
        <f t="shared" si="6"/>
        <v>0</v>
      </c>
      <c r="Z40" s="135" t="b">
        <f t="shared" si="7"/>
        <v>0</v>
      </c>
      <c r="AA40" s="135" t="b">
        <f t="shared" si="8"/>
        <v>0</v>
      </c>
      <c r="AB40" s="7" t="s">
        <v>193</v>
      </c>
      <c r="AC40" s="7" t="s">
        <v>346</v>
      </c>
    </row>
    <row r="41" spans="1:29" x14ac:dyDescent="0.25">
      <c r="A41" s="135">
        <v>11</v>
      </c>
      <c r="B41" s="136" t="str">
        <f t="shared" si="5"/>
        <v>UCQT</v>
      </c>
      <c r="C41" s="136" t="str">
        <f>+VLOOKUP(AC41,Ходим!A:B,2,0)</f>
        <v>31206892150069</v>
      </c>
      <c r="D41" s="136" t="str">
        <f>IFERROR(VLOOKUP($B:$B,[20]свод!$A:$AB,3,0)," ")</f>
        <v>Учқўрғон тумани</v>
      </c>
      <c r="E41" s="7" t="s">
        <v>1898</v>
      </c>
      <c r="F41" s="7" t="s">
        <v>8294</v>
      </c>
      <c r="G41" s="134">
        <v>1</v>
      </c>
      <c r="H41" s="134" t="s">
        <v>411</v>
      </c>
      <c r="I41" s="7" t="s">
        <v>158</v>
      </c>
      <c r="J41" s="7" t="s">
        <v>12</v>
      </c>
      <c r="K41" s="7"/>
      <c r="L41" s="7" t="s">
        <v>167</v>
      </c>
      <c r="M41" s="7" t="s">
        <v>4699</v>
      </c>
      <c r="N41" s="7" t="s">
        <v>170</v>
      </c>
      <c r="O41" s="7" t="s">
        <v>162</v>
      </c>
      <c r="P41" s="7" t="s">
        <v>6657</v>
      </c>
      <c r="Q41" s="129">
        <v>46199</v>
      </c>
      <c r="R41" s="130">
        <v>46199</v>
      </c>
      <c r="S41" s="131">
        <v>0</v>
      </c>
      <c r="T41" s="127"/>
      <c r="U41" s="127">
        <v>1</v>
      </c>
      <c r="V41" s="127"/>
      <c r="W41" s="127"/>
      <c r="X41" s="135">
        <f t="shared" si="1"/>
        <v>0</v>
      </c>
      <c r="Y41" s="135" t="b">
        <f t="shared" si="6"/>
        <v>0</v>
      </c>
      <c r="Z41" s="135" t="b">
        <f t="shared" si="7"/>
        <v>0</v>
      </c>
      <c r="AA41" s="135" t="b">
        <f t="shared" si="8"/>
        <v>0</v>
      </c>
      <c r="AB41" s="7" t="s">
        <v>175</v>
      </c>
      <c r="AC41" s="7" t="s">
        <v>318</v>
      </c>
    </row>
    <row r="42" spans="1:29" x14ac:dyDescent="0.25">
      <c r="A42" s="135">
        <v>12</v>
      </c>
      <c r="B42" s="136" t="str">
        <f t="shared" si="5"/>
        <v>UCQT</v>
      </c>
      <c r="C42" s="136" t="str">
        <f>+VLOOKUP(AC42,Ходим!A:B,2,0)</f>
        <v>30307955940049</v>
      </c>
      <c r="D42" s="136" t="str">
        <f>IFERROR(VLOOKUP($B:$B,[20]свод!$A:$AB,3,0)," ")</f>
        <v>Учқўрғон тумани</v>
      </c>
      <c r="E42" s="7" t="s">
        <v>1899</v>
      </c>
      <c r="F42" s="7" t="s">
        <v>8295</v>
      </c>
      <c r="G42" s="134">
        <v>1</v>
      </c>
      <c r="H42" s="134" t="s">
        <v>411</v>
      </c>
      <c r="I42" s="7" t="s">
        <v>158</v>
      </c>
      <c r="J42" s="7" t="s">
        <v>12</v>
      </c>
      <c r="K42" s="7"/>
      <c r="L42" s="7" t="s">
        <v>167</v>
      </c>
      <c r="M42" s="7" t="s">
        <v>4700</v>
      </c>
      <c r="N42" s="7" t="s">
        <v>170</v>
      </c>
      <c r="O42" s="7" t="s">
        <v>162</v>
      </c>
      <c r="P42" s="7" t="s">
        <v>6655</v>
      </c>
      <c r="Q42" s="129">
        <v>46199</v>
      </c>
      <c r="R42" s="130">
        <v>46199</v>
      </c>
      <c r="S42" s="131">
        <v>0</v>
      </c>
      <c r="T42" s="127"/>
      <c r="U42" s="127">
        <v>1</v>
      </c>
      <c r="V42" s="127"/>
      <c r="W42" s="127"/>
      <c r="X42" s="135">
        <f t="shared" si="1"/>
        <v>0</v>
      </c>
      <c r="Y42" s="135" t="b">
        <f t="shared" si="6"/>
        <v>0</v>
      </c>
      <c r="Z42" s="135" t="b">
        <f t="shared" si="7"/>
        <v>0</v>
      </c>
      <c r="AA42" s="135" t="b">
        <f t="shared" si="8"/>
        <v>0</v>
      </c>
      <c r="AB42" s="7" t="s">
        <v>390</v>
      </c>
      <c r="AC42" s="7" t="s">
        <v>306</v>
      </c>
    </row>
    <row r="43" spans="1:29" hidden="1" x14ac:dyDescent="0.25">
      <c r="A43" s="135">
        <v>13</v>
      </c>
      <c r="B43" s="136" t="str">
        <f t="shared" si="5"/>
        <v>NORT</v>
      </c>
      <c r="C43" s="136" t="str">
        <f>+VLOOKUP(AC43,Ходим!A:B,2,0)</f>
        <v>32907985900051</v>
      </c>
      <c r="D43" s="136" t="str">
        <f>IFERROR(VLOOKUP($B:$B,[20]свод!$A:$AB,3,0)," ")</f>
        <v>Норин тумани</v>
      </c>
      <c r="E43" s="7" t="s">
        <v>1901</v>
      </c>
      <c r="F43" s="7" t="s">
        <v>8297</v>
      </c>
      <c r="G43" s="134">
        <v>1</v>
      </c>
      <c r="H43" s="134" t="s">
        <v>411</v>
      </c>
      <c r="I43" s="7" t="s">
        <v>158</v>
      </c>
      <c r="J43" s="7" t="s">
        <v>10638</v>
      </c>
      <c r="K43" s="7"/>
      <c r="L43" s="7" t="s">
        <v>167</v>
      </c>
      <c r="M43" s="7" t="s">
        <v>4701</v>
      </c>
      <c r="N43" s="7" t="s">
        <v>170</v>
      </c>
      <c r="O43" s="7" t="s">
        <v>162</v>
      </c>
      <c r="P43" s="7" t="s">
        <v>6534</v>
      </c>
      <c r="Q43" s="129">
        <v>46199</v>
      </c>
      <c r="R43" s="130">
        <v>46199</v>
      </c>
      <c r="S43" s="131">
        <v>0</v>
      </c>
      <c r="T43" s="127"/>
      <c r="U43" s="127">
        <v>1</v>
      </c>
      <c r="V43" s="127"/>
      <c r="W43" s="127"/>
      <c r="X43" s="135">
        <f t="shared" si="1"/>
        <v>0</v>
      </c>
      <c r="Y43" s="135" t="b">
        <f t="shared" si="6"/>
        <v>0</v>
      </c>
      <c r="Z43" s="135" t="b">
        <f t="shared" si="7"/>
        <v>0</v>
      </c>
      <c r="AA43" s="135" t="b">
        <f t="shared" si="8"/>
        <v>0</v>
      </c>
      <c r="AB43" s="7" t="s">
        <v>210</v>
      </c>
      <c r="AC43" s="7" t="s">
        <v>293</v>
      </c>
    </row>
    <row r="44" spans="1:29" x14ac:dyDescent="0.25">
      <c r="A44" s="135">
        <v>14</v>
      </c>
      <c r="B44" s="136" t="str">
        <f t="shared" si="5"/>
        <v>NAMS</v>
      </c>
      <c r="C44" s="136" t="str">
        <f>+VLOOKUP(AC44,Ходим!A:B,2,0)</f>
        <v>53008015960094</v>
      </c>
      <c r="D44" s="136" t="str">
        <f>IFERROR(VLOOKUP($B:$B,[20]свод!$A:$AB,3,0)," ")</f>
        <v>Наманган шаҳар</v>
      </c>
      <c r="E44" s="7" t="s">
        <v>1902</v>
      </c>
      <c r="F44" s="7" t="s">
        <v>8298</v>
      </c>
      <c r="G44" s="134">
        <v>1</v>
      </c>
      <c r="H44" s="134" t="s">
        <v>411</v>
      </c>
      <c r="I44" s="7" t="s">
        <v>158</v>
      </c>
      <c r="J44" s="7" t="s">
        <v>1</v>
      </c>
      <c r="K44" s="7"/>
      <c r="L44" s="7" t="s">
        <v>167</v>
      </c>
      <c r="M44" s="7" t="s">
        <v>381</v>
      </c>
      <c r="N44" s="7" t="s">
        <v>170</v>
      </c>
      <c r="O44" s="7" t="s">
        <v>162</v>
      </c>
      <c r="P44" s="7" t="s">
        <v>6534</v>
      </c>
      <c r="Q44" s="129">
        <v>46199</v>
      </c>
      <c r="R44" s="130">
        <v>46199</v>
      </c>
      <c r="S44" s="131">
        <v>0</v>
      </c>
      <c r="T44" s="127"/>
      <c r="U44" s="127">
        <v>1</v>
      </c>
      <c r="V44" s="127"/>
      <c r="W44" s="127"/>
      <c r="X44" s="135">
        <f t="shared" si="1"/>
        <v>0</v>
      </c>
      <c r="Y44" s="135" t="b">
        <f t="shared" si="6"/>
        <v>0</v>
      </c>
      <c r="Z44" s="135" t="b">
        <f t="shared" si="7"/>
        <v>0</v>
      </c>
      <c r="AA44" s="135" t="b">
        <f t="shared" si="8"/>
        <v>0</v>
      </c>
      <c r="AB44" s="7" t="s">
        <v>173</v>
      </c>
      <c r="AC44" s="7" t="s">
        <v>403</v>
      </c>
    </row>
    <row r="45" spans="1:29" x14ac:dyDescent="0.25">
      <c r="A45" s="135">
        <v>15</v>
      </c>
      <c r="B45" s="136" t="str">
        <f t="shared" si="5"/>
        <v>UCQT</v>
      </c>
      <c r="C45" s="136" t="str">
        <f>+VLOOKUP(AC45,Ходим!A:B,2,0)</f>
        <v>40906955940018</v>
      </c>
      <c r="D45" s="136" t="str">
        <f>IFERROR(VLOOKUP($B:$B,[20]свод!$A:$AB,3,0)," ")</f>
        <v>Учқўрғон тумани</v>
      </c>
      <c r="E45" s="7" t="s">
        <v>1903</v>
      </c>
      <c r="F45" s="7" t="s">
        <v>8299</v>
      </c>
      <c r="G45" s="134">
        <v>1</v>
      </c>
      <c r="H45" s="134" t="s">
        <v>411</v>
      </c>
      <c r="I45" s="7" t="s">
        <v>158</v>
      </c>
      <c r="J45" s="7" t="s">
        <v>1</v>
      </c>
      <c r="K45" s="7"/>
      <c r="L45" s="7" t="s">
        <v>167</v>
      </c>
      <c r="M45" s="7" t="s">
        <v>4702</v>
      </c>
      <c r="N45" s="7" t="s">
        <v>170</v>
      </c>
      <c r="O45" s="7" t="s">
        <v>162</v>
      </c>
      <c r="P45" s="7" t="s">
        <v>6659</v>
      </c>
      <c r="Q45" s="129">
        <v>46199</v>
      </c>
      <c r="R45" s="130">
        <v>46199</v>
      </c>
      <c r="S45" s="131">
        <v>0</v>
      </c>
      <c r="T45" s="127"/>
      <c r="U45" s="127">
        <v>1</v>
      </c>
      <c r="V45" s="127"/>
      <c r="W45" s="127"/>
      <c r="X45" s="135">
        <f t="shared" si="1"/>
        <v>0</v>
      </c>
      <c r="Y45" s="135" t="b">
        <f t="shared" si="6"/>
        <v>0</v>
      </c>
      <c r="Z45" s="135" t="b">
        <f t="shared" si="7"/>
        <v>0</v>
      </c>
      <c r="AA45" s="135" t="b">
        <f t="shared" si="8"/>
        <v>0</v>
      </c>
      <c r="AB45" s="7" t="s">
        <v>175</v>
      </c>
      <c r="AC45" s="7" t="s">
        <v>330</v>
      </c>
    </row>
    <row r="46" spans="1:29" x14ac:dyDescent="0.25">
      <c r="A46" s="135">
        <v>18</v>
      </c>
      <c r="B46" s="136" t="str">
        <f t="shared" si="5"/>
        <v>CHOT</v>
      </c>
      <c r="C46" s="136" t="str">
        <f>+VLOOKUP(AC46,Ходим!A:B,2,0)</f>
        <v>32906975890046</v>
      </c>
      <c r="D46" s="136" t="str">
        <f>IFERROR(VLOOKUP($B:$B,[20]свод!$A:$AB,3,0)," ")</f>
        <v>Чортоқ тумани</v>
      </c>
      <c r="E46" s="7" t="s">
        <v>1909</v>
      </c>
      <c r="F46" s="7" t="s">
        <v>8305</v>
      </c>
      <c r="G46" s="134">
        <v>1</v>
      </c>
      <c r="H46" s="134" t="s">
        <v>411</v>
      </c>
      <c r="I46" s="7" t="s">
        <v>158</v>
      </c>
      <c r="J46" s="7" t="s">
        <v>2</v>
      </c>
      <c r="K46" s="7"/>
      <c r="L46" s="7"/>
      <c r="M46" s="7"/>
      <c r="N46" s="7" t="s">
        <v>410</v>
      </c>
      <c r="O46" s="7" t="s">
        <v>162</v>
      </c>
      <c r="P46" s="7" t="s">
        <v>6664</v>
      </c>
      <c r="Q46" s="129">
        <v>46199</v>
      </c>
      <c r="R46" s="130">
        <v>46199</v>
      </c>
      <c r="S46" s="131">
        <v>0</v>
      </c>
      <c r="T46" s="127"/>
      <c r="U46" s="127">
        <v>1</v>
      </c>
      <c r="V46" s="127"/>
      <c r="W46" s="127"/>
      <c r="X46" s="135">
        <f t="shared" si="1"/>
        <v>0</v>
      </c>
      <c r="Y46" s="135" t="b">
        <f t="shared" si="6"/>
        <v>0</v>
      </c>
      <c r="Z46" s="135" t="b">
        <f t="shared" si="7"/>
        <v>0</v>
      </c>
      <c r="AA46" s="135" t="b">
        <f t="shared" si="8"/>
        <v>0</v>
      </c>
      <c r="AB46" s="7" t="s">
        <v>184</v>
      </c>
      <c r="AC46" s="7" t="s">
        <v>335</v>
      </c>
    </row>
    <row r="47" spans="1:29" hidden="1" x14ac:dyDescent="0.25">
      <c r="A47" s="135">
        <v>19</v>
      </c>
      <c r="B47" s="136" t="str">
        <f t="shared" si="5"/>
        <v>UCQT</v>
      </c>
      <c r="C47" s="136" t="str">
        <f>+VLOOKUP(AC47,Ходим!A:B,2,0)</f>
        <v>32805962150027</v>
      </c>
      <c r="D47" s="136" t="str">
        <f>IFERROR(VLOOKUP($B:$B,[20]свод!$A:$AB,3,0)," ")</f>
        <v>Учқўрғон тумани</v>
      </c>
      <c r="E47" s="7" t="s">
        <v>1910</v>
      </c>
      <c r="F47" s="7" t="s">
        <v>8306</v>
      </c>
      <c r="G47" s="134">
        <v>1</v>
      </c>
      <c r="H47" s="134" t="s">
        <v>411</v>
      </c>
      <c r="I47" s="7" t="s">
        <v>158</v>
      </c>
      <c r="J47" s="7" t="s">
        <v>10639</v>
      </c>
      <c r="K47" s="7"/>
      <c r="L47" s="7" t="s">
        <v>167</v>
      </c>
      <c r="M47" s="7" t="s">
        <v>4707</v>
      </c>
      <c r="N47" s="7" t="s">
        <v>170</v>
      </c>
      <c r="O47" s="7" t="s">
        <v>162</v>
      </c>
      <c r="P47" s="7" t="s">
        <v>6665</v>
      </c>
      <c r="Q47" s="129">
        <v>46199</v>
      </c>
      <c r="R47" s="130">
        <v>46199</v>
      </c>
      <c r="S47" s="131">
        <v>0</v>
      </c>
      <c r="T47" s="127"/>
      <c r="U47" s="127">
        <v>1</v>
      </c>
      <c r="V47" s="127"/>
      <c r="W47" s="127"/>
      <c r="X47" s="135">
        <f t="shared" si="1"/>
        <v>0</v>
      </c>
      <c r="Y47" s="135" t="b">
        <f t="shared" si="6"/>
        <v>0</v>
      </c>
      <c r="Z47" s="135" t="b">
        <f t="shared" si="7"/>
        <v>0</v>
      </c>
      <c r="AA47" s="135" t="b">
        <f t="shared" si="8"/>
        <v>0</v>
      </c>
      <c r="AB47" s="7" t="s">
        <v>175</v>
      </c>
      <c r="AC47" s="7" t="s">
        <v>369</v>
      </c>
    </row>
    <row r="48" spans="1:29" x14ac:dyDescent="0.25">
      <c r="A48" s="135">
        <v>20</v>
      </c>
      <c r="B48" s="136" t="str">
        <f t="shared" si="5"/>
        <v>TORT</v>
      </c>
      <c r="C48" s="136" t="str">
        <f>+VLOOKUP(AC48,Ходим!A:B,2,0)</f>
        <v>52603025920015</v>
      </c>
      <c r="D48" s="136" t="str">
        <f>IFERROR(VLOOKUP($B:$B,[20]свод!$A:$AB,3,0)," ")</f>
        <v>Тўрақўрғон тумани</v>
      </c>
      <c r="E48" s="7" t="s">
        <v>1911</v>
      </c>
      <c r="F48" s="7" t="s">
        <v>8307</v>
      </c>
      <c r="G48" s="134">
        <v>1</v>
      </c>
      <c r="H48" s="134" t="s">
        <v>411</v>
      </c>
      <c r="I48" s="7" t="s">
        <v>158</v>
      </c>
      <c r="J48" s="7" t="s">
        <v>1</v>
      </c>
      <c r="K48" s="7"/>
      <c r="L48" s="7" t="s">
        <v>167</v>
      </c>
      <c r="M48" s="7" t="s">
        <v>4708</v>
      </c>
      <c r="N48" s="7" t="s">
        <v>170</v>
      </c>
      <c r="O48" s="7" t="s">
        <v>162</v>
      </c>
      <c r="P48" s="7" t="s">
        <v>6666</v>
      </c>
      <c r="Q48" s="129">
        <v>46199</v>
      </c>
      <c r="R48" s="130">
        <v>46199</v>
      </c>
      <c r="S48" s="131">
        <v>0</v>
      </c>
      <c r="T48" s="127"/>
      <c r="U48" s="127">
        <v>1</v>
      </c>
      <c r="V48" s="127"/>
      <c r="W48" s="127"/>
      <c r="X48" s="135">
        <f t="shared" si="1"/>
        <v>0</v>
      </c>
      <c r="Y48" s="135" t="b">
        <f t="shared" si="6"/>
        <v>0</v>
      </c>
      <c r="Z48" s="135" t="b">
        <f t="shared" si="7"/>
        <v>0</v>
      </c>
      <c r="AA48" s="135" t="b">
        <f t="shared" si="8"/>
        <v>0</v>
      </c>
      <c r="AB48" s="7" t="s">
        <v>203</v>
      </c>
      <c r="AC48" s="7" t="s">
        <v>374</v>
      </c>
    </row>
    <row r="49" spans="1:29" x14ac:dyDescent="0.25">
      <c r="A49" s="135">
        <v>21</v>
      </c>
      <c r="B49" s="136" t="str">
        <f t="shared" si="5"/>
        <v>TORT</v>
      </c>
      <c r="C49" s="136" t="str">
        <f>+VLOOKUP(AC49,Ходим!A:B,2,0)</f>
        <v>40302922130046</v>
      </c>
      <c r="D49" s="136" t="str">
        <f>IFERROR(VLOOKUP($B:$B,[20]свод!$A:$AB,3,0)," ")</f>
        <v>Тўрақўрғон тумани</v>
      </c>
      <c r="E49" s="7" t="s">
        <v>1914</v>
      </c>
      <c r="F49" s="7" t="s">
        <v>8310</v>
      </c>
      <c r="G49" s="134">
        <v>1</v>
      </c>
      <c r="H49" s="134" t="s">
        <v>411</v>
      </c>
      <c r="I49" s="7" t="s">
        <v>158</v>
      </c>
      <c r="J49" s="7" t="s">
        <v>1</v>
      </c>
      <c r="K49" s="7"/>
      <c r="L49" s="7" t="s">
        <v>167</v>
      </c>
      <c r="M49" s="7" t="s">
        <v>1001</v>
      </c>
      <c r="N49" s="7" t="s">
        <v>410</v>
      </c>
      <c r="O49" s="7" t="s">
        <v>162</v>
      </c>
      <c r="P49" s="7" t="s">
        <v>6664</v>
      </c>
      <c r="Q49" s="129">
        <v>46199</v>
      </c>
      <c r="R49" s="130">
        <v>46199</v>
      </c>
      <c r="S49" s="131">
        <v>0</v>
      </c>
      <c r="T49" s="127"/>
      <c r="U49" s="127">
        <v>1</v>
      </c>
      <c r="V49" s="127"/>
      <c r="W49" s="127"/>
      <c r="X49" s="135">
        <f t="shared" si="1"/>
        <v>0</v>
      </c>
      <c r="Y49" s="135" t="b">
        <f t="shared" si="6"/>
        <v>0</v>
      </c>
      <c r="Z49" s="135" t="b">
        <f t="shared" si="7"/>
        <v>0</v>
      </c>
      <c r="AA49" s="135" t="b">
        <f t="shared" si="8"/>
        <v>0</v>
      </c>
      <c r="AB49" s="7" t="s">
        <v>203</v>
      </c>
      <c r="AC49" s="7" t="s">
        <v>258</v>
      </c>
    </row>
    <row r="50" spans="1:29" x14ac:dyDescent="0.25">
      <c r="A50" s="135">
        <v>22</v>
      </c>
      <c r="B50" s="136" t="str">
        <f t="shared" si="5"/>
        <v>UYCT</v>
      </c>
      <c r="C50" s="136" t="str">
        <f>+VLOOKUP(AC50,Ходим!A:B,2,0)</f>
        <v>52811025930077</v>
      </c>
      <c r="D50" s="136" t="str">
        <f>IFERROR(VLOOKUP($B:$B,[20]свод!$A:$AB,3,0)," ")</f>
        <v>Уйчи тумани</v>
      </c>
      <c r="E50" s="7" t="s">
        <v>1917</v>
      </c>
      <c r="F50" s="7" t="s">
        <v>8313</v>
      </c>
      <c r="G50" s="134">
        <v>1</v>
      </c>
      <c r="H50" s="134" t="s">
        <v>411</v>
      </c>
      <c r="I50" s="7" t="s">
        <v>158</v>
      </c>
      <c r="J50" s="7" t="s">
        <v>1</v>
      </c>
      <c r="K50" s="7"/>
      <c r="L50" s="7" t="s">
        <v>167</v>
      </c>
      <c r="M50" s="7" t="s">
        <v>4712</v>
      </c>
      <c r="N50" s="7" t="s">
        <v>170</v>
      </c>
      <c r="O50" s="7" t="s">
        <v>162</v>
      </c>
      <c r="P50" s="7" t="s">
        <v>6670</v>
      </c>
      <c r="Q50" s="129">
        <v>46199</v>
      </c>
      <c r="R50" s="130">
        <v>46199</v>
      </c>
      <c r="S50" s="131">
        <v>0</v>
      </c>
      <c r="T50" s="127"/>
      <c r="U50" s="127">
        <v>1</v>
      </c>
      <c r="V50" s="127"/>
      <c r="W50" s="127"/>
      <c r="X50" s="135">
        <f t="shared" si="1"/>
        <v>0</v>
      </c>
      <c r="Y50" s="135" t="b">
        <f t="shared" si="6"/>
        <v>0</v>
      </c>
      <c r="Z50" s="135" t="b">
        <f t="shared" si="7"/>
        <v>0</v>
      </c>
      <c r="AA50" s="135" t="b">
        <f t="shared" si="8"/>
        <v>0</v>
      </c>
      <c r="AB50" s="7" t="s">
        <v>947</v>
      </c>
      <c r="AC50" s="7" t="s">
        <v>356</v>
      </c>
    </row>
    <row r="51" spans="1:29" x14ac:dyDescent="0.25">
      <c r="A51" s="135">
        <v>23</v>
      </c>
      <c r="B51" s="136" t="str">
        <f t="shared" si="5"/>
        <v>NAMS</v>
      </c>
      <c r="C51" s="136" t="str">
        <f>+VLOOKUP(AC51,Ходим!A:B,2,0)</f>
        <v>31007955980023</v>
      </c>
      <c r="D51" s="136" t="str">
        <f>IFERROR(VLOOKUP($B:$B,[20]свод!$A:$AB,3,0)," ")</f>
        <v>Наманган шаҳар</v>
      </c>
      <c r="E51" s="7" t="s">
        <v>1918</v>
      </c>
      <c r="F51" s="7" t="s">
        <v>8314</v>
      </c>
      <c r="G51" s="134">
        <v>1</v>
      </c>
      <c r="H51" s="134" t="s">
        <v>411</v>
      </c>
      <c r="I51" s="7" t="s">
        <v>158</v>
      </c>
      <c r="J51" s="7" t="s">
        <v>1</v>
      </c>
      <c r="K51" s="7"/>
      <c r="L51" s="7" t="s">
        <v>167</v>
      </c>
      <c r="M51" s="7" t="s">
        <v>4713</v>
      </c>
      <c r="N51" s="7" t="s">
        <v>170</v>
      </c>
      <c r="O51" s="7" t="s">
        <v>162</v>
      </c>
      <c r="P51" s="7" t="s">
        <v>6670</v>
      </c>
      <c r="Q51" s="129">
        <v>46199</v>
      </c>
      <c r="R51" s="130">
        <v>46199</v>
      </c>
      <c r="S51" s="131">
        <v>0</v>
      </c>
      <c r="T51" s="127"/>
      <c r="U51" s="127">
        <v>1</v>
      </c>
      <c r="V51" s="127"/>
      <c r="W51" s="127"/>
      <c r="X51" s="135">
        <f t="shared" si="1"/>
        <v>0</v>
      </c>
      <c r="Y51" s="135" t="b">
        <f t="shared" si="6"/>
        <v>0</v>
      </c>
      <c r="Z51" s="135" t="b">
        <f t="shared" si="7"/>
        <v>0</v>
      </c>
      <c r="AA51" s="135" t="b">
        <f t="shared" si="8"/>
        <v>0</v>
      </c>
      <c r="AB51" s="7" t="s">
        <v>185</v>
      </c>
      <c r="AC51" s="7" t="s">
        <v>207</v>
      </c>
    </row>
    <row r="52" spans="1:29" x14ac:dyDescent="0.25">
      <c r="A52" s="135">
        <v>24</v>
      </c>
      <c r="B52" s="136" t="str">
        <f t="shared" si="5"/>
        <v>UCQT</v>
      </c>
      <c r="C52" s="136" t="str">
        <f>+VLOOKUP(AC52,Ходим!A:B,2,0)</f>
        <v>31402915940019</v>
      </c>
      <c r="D52" s="136" t="str">
        <f>IFERROR(VLOOKUP($B:$B,[20]свод!$A:$AB,3,0)," ")</f>
        <v>Учқўрғон тумани</v>
      </c>
      <c r="E52" s="7" t="s">
        <v>1922</v>
      </c>
      <c r="F52" s="7" t="s">
        <v>8318</v>
      </c>
      <c r="G52" s="134">
        <v>1</v>
      </c>
      <c r="H52" s="134" t="s">
        <v>411</v>
      </c>
      <c r="I52" s="7" t="s">
        <v>158</v>
      </c>
      <c r="J52" s="7" t="s">
        <v>1</v>
      </c>
      <c r="K52" s="7"/>
      <c r="L52" s="7" t="s">
        <v>167</v>
      </c>
      <c r="M52" s="7" t="s">
        <v>4715</v>
      </c>
      <c r="N52" s="7" t="s">
        <v>170</v>
      </c>
      <c r="O52" s="7" t="s">
        <v>162</v>
      </c>
      <c r="P52" s="7" t="s">
        <v>6672</v>
      </c>
      <c r="Q52" s="129">
        <v>46199</v>
      </c>
      <c r="R52" s="130">
        <v>46199</v>
      </c>
      <c r="S52" s="131">
        <v>0</v>
      </c>
      <c r="T52" s="127"/>
      <c r="U52" s="127">
        <v>1</v>
      </c>
      <c r="V52" s="127"/>
      <c r="W52" s="127"/>
      <c r="X52" s="135">
        <f t="shared" si="1"/>
        <v>0</v>
      </c>
      <c r="Y52" s="135" t="b">
        <f t="shared" si="6"/>
        <v>0</v>
      </c>
      <c r="Z52" s="135" t="b">
        <f t="shared" si="7"/>
        <v>0</v>
      </c>
      <c r="AA52" s="135" t="b">
        <f t="shared" si="8"/>
        <v>0</v>
      </c>
      <c r="AB52" s="7" t="s">
        <v>175</v>
      </c>
      <c r="AC52" s="7" t="s">
        <v>292</v>
      </c>
    </row>
    <row r="53" spans="1:29" x14ac:dyDescent="0.25">
      <c r="A53" s="135">
        <v>25</v>
      </c>
      <c r="B53" s="136" t="str">
        <f t="shared" si="5"/>
        <v>TORT</v>
      </c>
      <c r="C53" s="136" t="str">
        <f>+VLOOKUP(AC53,Ходим!A:B,2,0)</f>
        <v>30708792130017</v>
      </c>
      <c r="D53" s="136" t="str">
        <f>IFERROR(VLOOKUP($B:$B,[20]свод!$A:$AB,3,0)," ")</f>
        <v>Тўрақўрғон тумани</v>
      </c>
      <c r="E53" s="7" t="s">
        <v>1923</v>
      </c>
      <c r="F53" s="7" t="s">
        <v>8319</v>
      </c>
      <c r="G53" s="134">
        <v>1</v>
      </c>
      <c r="H53" s="134" t="s">
        <v>411</v>
      </c>
      <c r="I53" s="7" t="s">
        <v>158</v>
      </c>
      <c r="J53" s="7" t="s">
        <v>1</v>
      </c>
      <c r="K53" s="7"/>
      <c r="L53" s="7" t="s">
        <v>167</v>
      </c>
      <c r="M53" s="7" t="s">
        <v>4716</v>
      </c>
      <c r="N53" s="7" t="s">
        <v>170</v>
      </c>
      <c r="O53" s="7" t="s">
        <v>162</v>
      </c>
      <c r="P53" s="7" t="s">
        <v>6672</v>
      </c>
      <c r="Q53" s="129">
        <v>46199</v>
      </c>
      <c r="R53" s="130">
        <v>46199</v>
      </c>
      <c r="S53" s="131">
        <v>0</v>
      </c>
      <c r="T53" s="127"/>
      <c r="U53" s="127">
        <v>1</v>
      </c>
      <c r="V53" s="127"/>
      <c r="W53" s="127"/>
      <c r="X53" s="135">
        <f t="shared" si="1"/>
        <v>0</v>
      </c>
      <c r="Y53" s="135" t="b">
        <f t="shared" si="6"/>
        <v>0</v>
      </c>
      <c r="Z53" s="135" t="b">
        <f t="shared" si="7"/>
        <v>0</v>
      </c>
      <c r="AA53" s="135" t="b">
        <f t="shared" si="8"/>
        <v>0</v>
      </c>
      <c r="AB53" s="7" t="s">
        <v>203</v>
      </c>
      <c r="AC53" s="7" t="s">
        <v>204</v>
      </c>
    </row>
    <row r="54" spans="1:29" x14ac:dyDescent="0.25">
      <c r="A54" s="135">
        <v>26</v>
      </c>
      <c r="B54" s="136" t="str">
        <f t="shared" si="5"/>
        <v>NAMS</v>
      </c>
      <c r="C54" s="136" t="str">
        <f>+VLOOKUP(AC54,Ходим!A:B,2,0)</f>
        <v>51705025890024</v>
      </c>
      <c r="D54" s="136" t="str">
        <f>IFERROR(VLOOKUP($B:$B,[20]свод!$A:$AB,3,0)," ")</f>
        <v>Наманган шаҳар</v>
      </c>
      <c r="E54" s="7" t="s">
        <v>1924</v>
      </c>
      <c r="F54" s="7" t="s">
        <v>8320</v>
      </c>
      <c r="G54" s="134">
        <v>1</v>
      </c>
      <c r="H54" s="134" t="s">
        <v>411</v>
      </c>
      <c r="I54" s="7" t="s">
        <v>158</v>
      </c>
      <c r="J54" s="7" t="s">
        <v>9</v>
      </c>
      <c r="K54" s="7"/>
      <c r="L54" s="7" t="s">
        <v>167</v>
      </c>
      <c r="M54" s="7" t="s">
        <v>4717</v>
      </c>
      <c r="N54" s="7" t="s">
        <v>170</v>
      </c>
      <c r="O54" s="7" t="s">
        <v>163</v>
      </c>
      <c r="P54" s="7" t="s">
        <v>6673</v>
      </c>
      <c r="Q54" s="129">
        <v>46199</v>
      </c>
      <c r="R54" s="130">
        <v>46199</v>
      </c>
      <c r="S54" s="131">
        <v>0</v>
      </c>
      <c r="T54" s="127"/>
      <c r="U54" s="127">
        <v>1</v>
      </c>
      <c r="V54" s="127"/>
      <c r="W54" s="127"/>
      <c r="X54" s="135">
        <f t="shared" si="1"/>
        <v>0</v>
      </c>
      <c r="Y54" s="135" t="b">
        <f t="shared" si="6"/>
        <v>0</v>
      </c>
      <c r="Z54" s="135" t="b">
        <f t="shared" si="7"/>
        <v>0</v>
      </c>
      <c r="AA54" s="135" t="b">
        <f t="shared" si="8"/>
        <v>0</v>
      </c>
      <c r="AB54" s="7" t="s">
        <v>185</v>
      </c>
      <c r="AC54" s="7" t="s">
        <v>189</v>
      </c>
    </row>
    <row r="55" spans="1:29" x14ac:dyDescent="0.25">
      <c r="A55" s="135">
        <v>27</v>
      </c>
      <c r="B55" s="136" t="str">
        <f t="shared" si="5"/>
        <v>UCQT</v>
      </c>
      <c r="C55" s="136" t="str">
        <f>+VLOOKUP(AC55,Ходим!A:B,2,0)</f>
        <v>30307955940049</v>
      </c>
      <c r="D55" s="136" t="str">
        <f>IFERROR(VLOOKUP($B:$B,[20]свод!$A:$AB,3,0)," ")</f>
        <v>Учқўрғон тумани</v>
      </c>
      <c r="E55" s="7" t="s">
        <v>1925</v>
      </c>
      <c r="F55" s="7" t="s">
        <v>8321</v>
      </c>
      <c r="G55" s="134">
        <v>1</v>
      </c>
      <c r="H55" s="134" t="s">
        <v>411</v>
      </c>
      <c r="I55" s="7" t="s">
        <v>158</v>
      </c>
      <c r="J55" s="7" t="s">
        <v>12</v>
      </c>
      <c r="K55" s="7"/>
      <c r="L55" s="7" t="s">
        <v>167</v>
      </c>
      <c r="M55" s="7" t="s">
        <v>4718</v>
      </c>
      <c r="N55" s="7" t="s">
        <v>170</v>
      </c>
      <c r="O55" s="7" t="s">
        <v>162</v>
      </c>
      <c r="P55" s="7" t="s">
        <v>6673</v>
      </c>
      <c r="Q55" s="129">
        <v>46199</v>
      </c>
      <c r="R55" s="130">
        <v>46199</v>
      </c>
      <c r="S55" s="131">
        <v>0</v>
      </c>
      <c r="T55" s="127"/>
      <c r="U55" s="127">
        <v>1</v>
      </c>
      <c r="V55" s="127"/>
      <c r="W55" s="127"/>
      <c r="X55" s="135">
        <f t="shared" si="1"/>
        <v>0</v>
      </c>
      <c r="Y55" s="135" t="b">
        <f t="shared" si="6"/>
        <v>0</v>
      </c>
      <c r="Z55" s="135" t="b">
        <f t="shared" si="7"/>
        <v>0</v>
      </c>
      <c r="AA55" s="135" t="b">
        <f t="shared" si="8"/>
        <v>0</v>
      </c>
      <c r="AB55" s="7" t="s">
        <v>390</v>
      </c>
      <c r="AC55" s="7" t="s">
        <v>306</v>
      </c>
    </row>
    <row r="56" spans="1:29" x14ac:dyDescent="0.25">
      <c r="A56" s="135">
        <v>28</v>
      </c>
      <c r="B56" s="136" t="str">
        <f t="shared" si="5"/>
        <v>CHUT</v>
      </c>
      <c r="C56" s="136" t="str">
        <f>+VLOOKUP(AC56,Ходим!A:B,2,0)</f>
        <v>30901882180031</v>
      </c>
      <c r="D56" s="136" t="str">
        <f>IFERROR(VLOOKUP($B:$B,[20]свод!$A:$AB,3,0)," ")</f>
        <v>Чуст тумани</v>
      </c>
      <c r="E56" s="7" t="s">
        <v>1930</v>
      </c>
      <c r="F56" s="7" t="s">
        <v>8326</v>
      </c>
      <c r="G56" s="134" t="s">
        <v>411</v>
      </c>
      <c r="H56" s="134">
        <v>1</v>
      </c>
      <c r="I56" s="7" t="s">
        <v>157</v>
      </c>
      <c r="J56" s="7" t="s">
        <v>1</v>
      </c>
      <c r="K56" s="7"/>
      <c r="L56" s="7" t="s">
        <v>166</v>
      </c>
      <c r="M56" s="7" t="s">
        <v>4721</v>
      </c>
      <c r="N56" s="7" t="s">
        <v>170</v>
      </c>
      <c r="O56" s="7" t="s">
        <v>161</v>
      </c>
      <c r="P56" s="7" t="s">
        <v>6676</v>
      </c>
      <c r="Q56" s="129">
        <v>46199</v>
      </c>
      <c r="R56" s="130">
        <v>46199</v>
      </c>
      <c r="S56" s="131">
        <v>0</v>
      </c>
      <c r="T56" s="127"/>
      <c r="U56" s="127">
        <v>1</v>
      </c>
      <c r="V56" s="127"/>
      <c r="W56" s="127"/>
      <c r="X56" s="135">
        <f t="shared" si="1"/>
        <v>0</v>
      </c>
      <c r="Y56" s="135" t="b">
        <f t="shared" si="6"/>
        <v>0</v>
      </c>
      <c r="Z56" s="135" t="b">
        <f t="shared" si="7"/>
        <v>0</v>
      </c>
      <c r="AA56" s="135" t="b">
        <f t="shared" si="8"/>
        <v>0</v>
      </c>
      <c r="AB56" s="7" t="s">
        <v>178</v>
      </c>
      <c r="AC56" s="7" t="s">
        <v>238</v>
      </c>
    </row>
    <row r="57" spans="1:29" x14ac:dyDescent="0.25">
      <c r="A57" s="135">
        <v>29</v>
      </c>
      <c r="B57" s="136" t="str">
        <f t="shared" si="5"/>
        <v>TORT</v>
      </c>
      <c r="C57" s="136" t="str">
        <f>+VLOOKUP(AC57,Ходим!A:B,2,0)</f>
        <v>31701915920077</v>
      </c>
      <c r="D57" s="136" t="str">
        <f>IFERROR(VLOOKUP($B:$B,[20]свод!$A:$AB,3,0)," ")</f>
        <v>Тўрақўрғон тумани</v>
      </c>
      <c r="E57" s="7" t="s">
        <v>1933</v>
      </c>
      <c r="F57" s="7" t="s">
        <v>8329</v>
      </c>
      <c r="G57" s="134">
        <v>1</v>
      </c>
      <c r="H57" s="134" t="s">
        <v>411</v>
      </c>
      <c r="I57" s="7" t="s">
        <v>158</v>
      </c>
      <c r="J57" s="7" t="s">
        <v>16</v>
      </c>
      <c r="K57" s="7"/>
      <c r="L57" s="7" t="s">
        <v>167</v>
      </c>
      <c r="M57" s="7" t="s">
        <v>4724</v>
      </c>
      <c r="N57" s="7" t="s">
        <v>170</v>
      </c>
      <c r="O57" s="7" t="s">
        <v>162</v>
      </c>
      <c r="P57" s="7" t="s">
        <v>6677</v>
      </c>
      <c r="Q57" s="129">
        <v>46199</v>
      </c>
      <c r="R57" s="130">
        <v>46199</v>
      </c>
      <c r="S57" s="131">
        <v>0</v>
      </c>
      <c r="T57" s="127"/>
      <c r="U57" s="127">
        <v>1</v>
      </c>
      <c r="V57" s="127"/>
      <c r="W57" s="127"/>
      <c r="X57" s="135">
        <f t="shared" si="1"/>
        <v>0</v>
      </c>
      <c r="Y57" s="135" t="b">
        <f t="shared" si="6"/>
        <v>0</v>
      </c>
      <c r="Z57" s="135" t="b">
        <f t="shared" si="7"/>
        <v>0</v>
      </c>
      <c r="AA57" s="135" t="b">
        <f t="shared" si="8"/>
        <v>0</v>
      </c>
      <c r="AB57" s="7" t="s">
        <v>203</v>
      </c>
      <c r="AC57" s="7" t="s">
        <v>332</v>
      </c>
    </row>
    <row r="58" spans="1:29" x14ac:dyDescent="0.25">
      <c r="A58" s="135">
        <v>30</v>
      </c>
      <c r="B58" s="136" t="str">
        <f t="shared" si="5"/>
        <v>UCQT</v>
      </c>
      <c r="C58" s="136" t="str">
        <f>+VLOOKUP(AC58,Ходим!A:B,2,0)</f>
        <v>31206892150069</v>
      </c>
      <c r="D58" s="136" t="str">
        <f>IFERROR(VLOOKUP($B:$B,[20]свод!$A:$AB,3,0)," ")</f>
        <v>Учқўрғон тумани</v>
      </c>
      <c r="E58" s="7" t="s">
        <v>1934</v>
      </c>
      <c r="F58" s="7" t="s">
        <v>8330</v>
      </c>
      <c r="G58" s="134">
        <v>1</v>
      </c>
      <c r="H58" s="134" t="s">
        <v>411</v>
      </c>
      <c r="I58" s="7" t="s">
        <v>158</v>
      </c>
      <c r="J58" s="7" t="s">
        <v>12</v>
      </c>
      <c r="K58" s="7"/>
      <c r="L58" s="7" t="s">
        <v>167</v>
      </c>
      <c r="M58" s="7" t="s">
        <v>4725</v>
      </c>
      <c r="N58" s="7" t="s">
        <v>170</v>
      </c>
      <c r="O58" s="7" t="s">
        <v>162</v>
      </c>
      <c r="P58" s="7" t="s">
        <v>6677</v>
      </c>
      <c r="Q58" s="129">
        <v>46199</v>
      </c>
      <c r="R58" s="130">
        <v>46199</v>
      </c>
      <c r="S58" s="131">
        <v>0</v>
      </c>
      <c r="T58" s="127"/>
      <c r="U58" s="127">
        <v>1</v>
      </c>
      <c r="V58" s="127"/>
      <c r="W58" s="127"/>
      <c r="X58" s="135">
        <f t="shared" si="1"/>
        <v>0</v>
      </c>
      <c r="Y58" s="135" t="b">
        <f t="shared" si="6"/>
        <v>0</v>
      </c>
      <c r="Z58" s="135" t="b">
        <f t="shared" si="7"/>
        <v>0</v>
      </c>
      <c r="AA58" s="135" t="b">
        <f t="shared" si="8"/>
        <v>0</v>
      </c>
      <c r="AB58" s="7" t="s">
        <v>175</v>
      </c>
      <c r="AC58" s="7" t="s">
        <v>318</v>
      </c>
    </row>
    <row r="59" spans="1:29" x14ac:dyDescent="0.25">
      <c r="A59" s="135">
        <v>31</v>
      </c>
      <c r="B59" s="136" t="str">
        <f t="shared" si="5"/>
        <v>CHOT</v>
      </c>
      <c r="C59" s="136" t="str">
        <f>+VLOOKUP(AC59,Ходим!A:B,2,0)</f>
        <v>30308922100022</v>
      </c>
      <c r="D59" s="136" t="str">
        <f>IFERROR(VLOOKUP($B:$B,[20]свод!$A:$AB,3,0)," ")</f>
        <v>Чортоқ тумани</v>
      </c>
      <c r="E59" s="7" t="s">
        <v>1938</v>
      </c>
      <c r="F59" s="7" t="s">
        <v>8334</v>
      </c>
      <c r="G59" s="134">
        <v>1</v>
      </c>
      <c r="H59" s="134" t="s">
        <v>411</v>
      </c>
      <c r="I59" s="7" t="s">
        <v>158</v>
      </c>
      <c r="J59" s="7" t="s">
        <v>1</v>
      </c>
      <c r="K59" s="7"/>
      <c r="L59" s="7" t="s">
        <v>167</v>
      </c>
      <c r="M59" s="7" t="s">
        <v>4729</v>
      </c>
      <c r="N59" s="7" t="s">
        <v>170</v>
      </c>
      <c r="O59" s="7" t="s">
        <v>162</v>
      </c>
      <c r="P59" s="7" t="s">
        <v>6679</v>
      </c>
      <c r="Q59" s="129">
        <v>46199</v>
      </c>
      <c r="R59" s="130">
        <v>46199</v>
      </c>
      <c r="S59" s="131">
        <v>0</v>
      </c>
      <c r="T59" s="127"/>
      <c r="U59" s="127">
        <v>1</v>
      </c>
      <c r="V59" s="127"/>
      <c r="W59" s="127"/>
      <c r="X59" s="135">
        <f t="shared" si="1"/>
        <v>0</v>
      </c>
      <c r="Y59" s="135" t="b">
        <f t="shared" si="6"/>
        <v>0</v>
      </c>
      <c r="Z59" s="135" t="b">
        <f t="shared" si="7"/>
        <v>0</v>
      </c>
      <c r="AA59" s="135" t="b">
        <f t="shared" si="8"/>
        <v>0</v>
      </c>
      <c r="AB59" s="7" t="s">
        <v>184</v>
      </c>
      <c r="AC59" s="7" t="s">
        <v>190</v>
      </c>
    </row>
    <row r="60" spans="1:29" hidden="1" x14ac:dyDescent="0.25">
      <c r="A60" s="135">
        <v>32</v>
      </c>
      <c r="B60" s="136" t="str">
        <f t="shared" si="5"/>
        <v>UYCT</v>
      </c>
      <c r="C60" s="136" t="str">
        <f>+VLOOKUP(AC60,Ходим!A:B,2,0)</f>
        <v>30309975930028</v>
      </c>
      <c r="D60" s="136" t="str">
        <f>IFERROR(VLOOKUP($B:$B,[20]свод!$A:$AB,3,0)," ")</f>
        <v>Уйчи тумани</v>
      </c>
      <c r="E60" s="7" t="s">
        <v>1946</v>
      </c>
      <c r="F60" s="7" t="s">
        <v>8342</v>
      </c>
      <c r="G60" s="134">
        <v>1</v>
      </c>
      <c r="H60" s="134" t="s">
        <v>411</v>
      </c>
      <c r="I60" s="7" t="s">
        <v>158</v>
      </c>
      <c r="J60" s="7" t="s">
        <v>10639</v>
      </c>
      <c r="K60" s="7"/>
      <c r="L60" s="7"/>
      <c r="M60" s="7"/>
      <c r="N60" s="7" t="s">
        <v>410</v>
      </c>
      <c r="O60" s="7" t="s">
        <v>162</v>
      </c>
      <c r="P60" s="7" t="s">
        <v>6683</v>
      </c>
      <c r="Q60" s="129">
        <v>46199</v>
      </c>
      <c r="R60" s="130">
        <v>46199</v>
      </c>
      <c r="S60" s="131">
        <v>0</v>
      </c>
      <c r="T60" s="127"/>
      <c r="U60" s="127">
        <v>1</v>
      </c>
      <c r="V60" s="127"/>
      <c r="W60" s="127"/>
      <c r="X60" s="135">
        <f t="shared" si="1"/>
        <v>0</v>
      </c>
      <c r="Y60" s="135" t="b">
        <f t="shared" si="6"/>
        <v>0</v>
      </c>
      <c r="Z60" s="135" t="b">
        <f t="shared" si="7"/>
        <v>0</v>
      </c>
      <c r="AA60" s="135" t="b">
        <f t="shared" si="8"/>
        <v>0</v>
      </c>
      <c r="AB60" s="7" t="s">
        <v>947</v>
      </c>
      <c r="AC60" s="7" t="s">
        <v>261</v>
      </c>
    </row>
    <row r="61" spans="1:29" x14ac:dyDescent="0.25">
      <c r="A61" s="135">
        <v>33</v>
      </c>
      <c r="B61" s="136" t="str">
        <f t="shared" si="5"/>
        <v>NAMT</v>
      </c>
      <c r="C61" s="136">
        <f>+VLOOKUP(AC61,Ходим!A:B,2,0)</f>
        <v>32712932090068</v>
      </c>
      <c r="D61" s="136" t="str">
        <f>IFERROR(VLOOKUP($B:$B,[20]свод!$A:$AB,3,0)," ")</f>
        <v>Наманган тумани</v>
      </c>
      <c r="E61" s="7" t="s">
        <v>1947</v>
      </c>
      <c r="F61" s="7" t="s">
        <v>8343</v>
      </c>
      <c r="G61" s="134">
        <v>1</v>
      </c>
      <c r="H61" s="134" t="s">
        <v>411</v>
      </c>
      <c r="I61" s="7" t="s">
        <v>158</v>
      </c>
      <c r="J61" s="7" t="s">
        <v>10</v>
      </c>
      <c r="K61" s="7"/>
      <c r="L61" s="7" t="s">
        <v>167</v>
      </c>
      <c r="M61" s="7" t="s">
        <v>4733</v>
      </c>
      <c r="N61" s="7" t="s">
        <v>170</v>
      </c>
      <c r="O61" s="7" t="s">
        <v>162</v>
      </c>
      <c r="P61" s="7" t="s">
        <v>6683</v>
      </c>
      <c r="Q61" s="129">
        <v>46199</v>
      </c>
      <c r="R61" s="130">
        <v>46199</v>
      </c>
      <c r="S61" s="131">
        <v>0</v>
      </c>
      <c r="T61" s="127"/>
      <c r="U61" s="127">
        <v>1</v>
      </c>
      <c r="V61" s="127"/>
      <c r="W61" s="127"/>
      <c r="X61" s="135">
        <f t="shared" si="1"/>
        <v>0</v>
      </c>
      <c r="Y61" s="135" t="b">
        <f t="shared" si="6"/>
        <v>0</v>
      </c>
      <c r="Z61" s="135" t="b">
        <f t="shared" si="7"/>
        <v>0</v>
      </c>
      <c r="AA61" s="135" t="b">
        <f t="shared" si="8"/>
        <v>0</v>
      </c>
      <c r="AB61" s="7" t="s">
        <v>193</v>
      </c>
      <c r="AC61" s="7" t="s">
        <v>1016</v>
      </c>
    </row>
    <row r="62" spans="1:29" x14ac:dyDescent="0.25">
      <c r="A62" s="135">
        <v>34</v>
      </c>
      <c r="B62" s="136" t="str">
        <f t="shared" si="5"/>
        <v>POPT</v>
      </c>
      <c r="C62" s="136" t="str">
        <f>+VLOOKUP(AC62,Ходим!A:B,2,0)</f>
        <v>30808922120014</v>
      </c>
      <c r="D62" s="136" t="str">
        <f>IFERROR(VLOOKUP($B:$B,[20]свод!$A:$AB,3,0)," ")</f>
        <v>Поп тумани</v>
      </c>
      <c r="E62" s="7" t="s">
        <v>1963</v>
      </c>
      <c r="F62" s="7" t="s">
        <v>8359</v>
      </c>
      <c r="G62" s="134">
        <v>1</v>
      </c>
      <c r="H62" s="134" t="s">
        <v>411</v>
      </c>
      <c r="I62" s="7" t="s">
        <v>154</v>
      </c>
      <c r="J62" s="7" t="s">
        <v>100</v>
      </c>
      <c r="K62" s="7"/>
      <c r="L62" s="7" t="s">
        <v>167</v>
      </c>
      <c r="M62" s="7" t="s">
        <v>4744</v>
      </c>
      <c r="N62" s="7" t="s">
        <v>410</v>
      </c>
      <c r="O62" s="7" t="s">
        <v>162</v>
      </c>
      <c r="P62" s="7" t="s">
        <v>6687</v>
      </c>
      <c r="Q62" s="129">
        <v>46199</v>
      </c>
      <c r="R62" s="130">
        <v>46199</v>
      </c>
      <c r="S62" s="131">
        <v>0</v>
      </c>
      <c r="T62" s="127"/>
      <c r="U62" s="127">
        <v>1</v>
      </c>
      <c r="V62" s="127"/>
      <c r="W62" s="127"/>
      <c r="X62" s="135">
        <f t="shared" si="1"/>
        <v>0</v>
      </c>
      <c r="Y62" s="135" t="b">
        <f t="shared" si="6"/>
        <v>0</v>
      </c>
      <c r="Z62" s="135" t="b">
        <f t="shared" si="7"/>
        <v>0</v>
      </c>
      <c r="AA62" s="135" t="b">
        <f t="shared" si="8"/>
        <v>0</v>
      </c>
      <c r="AB62" s="7" t="s">
        <v>214</v>
      </c>
      <c r="AC62" s="7" t="s">
        <v>242</v>
      </c>
    </row>
    <row r="63" spans="1:29" hidden="1" x14ac:dyDescent="0.25">
      <c r="A63" s="135">
        <v>35</v>
      </c>
      <c r="B63" s="136" t="str">
        <f t="shared" si="5"/>
        <v>NAMS</v>
      </c>
      <c r="C63" s="136" t="str">
        <f>+VLOOKUP(AC63,Ходим!A:B,2,0)</f>
        <v>31408622170123</v>
      </c>
      <c r="D63" s="136" t="str">
        <f>IFERROR(VLOOKUP($B:$B,[20]свод!$A:$AB,3,0)," ")</f>
        <v>Наманган шаҳар</v>
      </c>
      <c r="E63" s="7" t="s">
        <v>1964</v>
      </c>
      <c r="F63" s="7" t="s">
        <v>8360</v>
      </c>
      <c r="G63" s="134" t="s">
        <v>411</v>
      </c>
      <c r="H63" s="134">
        <v>1</v>
      </c>
      <c r="I63" s="7" t="s">
        <v>157</v>
      </c>
      <c r="J63" s="7" t="s">
        <v>10639</v>
      </c>
      <c r="K63" s="7"/>
      <c r="L63" s="7" t="s">
        <v>168</v>
      </c>
      <c r="M63" s="7" t="s">
        <v>4745</v>
      </c>
      <c r="N63" s="7" t="s">
        <v>410</v>
      </c>
      <c r="O63" s="7" t="s">
        <v>161</v>
      </c>
      <c r="P63" s="7" t="s">
        <v>6688</v>
      </c>
      <c r="Q63" s="129">
        <v>46199</v>
      </c>
      <c r="R63" s="130">
        <v>46198</v>
      </c>
      <c r="S63" s="131">
        <v>-1</v>
      </c>
      <c r="T63" s="127">
        <v>1</v>
      </c>
      <c r="U63" s="127"/>
      <c r="V63" s="127">
        <v>1</v>
      </c>
      <c r="W63" s="127"/>
      <c r="X63" s="135">
        <f t="shared" si="1"/>
        <v>0</v>
      </c>
      <c r="Y63" s="135" t="b">
        <f t="shared" si="6"/>
        <v>0</v>
      </c>
      <c r="Z63" s="135" t="b">
        <f t="shared" si="7"/>
        <v>0</v>
      </c>
      <c r="AA63" s="135" t="b">
        <f t="shared" si="8"/>
        <v>0</v>
      </c>
      <c r="AB63" s="7" t="s">
        <v>983</v>
      </c>
      <c r="AC63" s="7" t="s">
        <v>402</v>
      </c>
    </row>
    <row r="64" spans="1:29" hidden="1" x14ac:dyDescent="0.25">
      <c r="A64" s="135">
        <v>37</v>
      </c>
      <c r="B64" s="136" t="str">
        <f t="shared" si="5"/>
        <v>NAMS</v>
      </c>
      <c r="C64" s="136" t="str">
        <f>+VLOOKUP(AC64,Ходим!A:B,2,0)</f>
        <v>33012942170121</v>
      </c>
      <c r="D64" s="136" t="str">
        <f>IFERROR(VLOOKUP($B:$B,[20]свод!$A:$AB,3,0)," ")</f>
        <v>Наманган шаҳар</v>
      </c>
      <c r="E64" s="7" t="s">
        <v>1083</v>
      </c>
      <c r="F64" s="7" t="s">
        <v>1084</v>
      </c>
      <c r="G64" s="134" t="s">
        <v>411</v>
      </c>
      <c r="H64" s="134">
        <v>1</v>
      </c>
      <c r="I64" s="7" t="s">
        <v>157</v>
      </c>
      <c r="J64" s="7" t="s">
        <v>10639</v>
      </c>
      <c r="K64" s="7"/>
      <c r="L64" s="7" t="s">
        <v>166</v>
      </c>
      <c r="M64" s="7" t="s">
        <v>1094</v>
      </c>
      <c r="N64" s="7" t="s">
        <v>170</v>
      </c>
      <c r="O64" s="7" t="s">
        <v>163</v>
      </c>
      <c r="P64" s="7" t="s">
        <v>1104</v>
      </c>
      <c r="Q64" s="129">
        <v>46199</v>
      </c>
      <c r="R64" s="130">
        <v>46195</v>
      </c>
      <c r="S64" s="131">
        <v>-4</v>
      </c>
      <c r="T64" s="127">
        <v>1</v>
      </c>
      <c r="U64" s="127"/>
      <c r="V64" s="127"/>
      <c r="W64" s="127">
        <v>1</v>
      </c>
      <c r="X64" s="135">
        <f t="shared" si="1"/>
        <v>0</v>
      </c>
      <c r="Y64" s="135" t="b">
        <f t="shared" si="6"/>
        <v>0</v>
      </c>
      <c r="Z64" s="135" t="b">
        <f t="shared" si="7"/>
        <v>0</v>
      </c>
      <c r="AA64" s="135" t="b">
        <f t="shared" si="8"/>
        <v>0</v>
      </c>
      <c r="AB64" s="7" t="s">
        <v>234</v>
      </c>
      <c r="AC64" s="7" t="s">
        <v>259</v>
      </c>
    </row>
    <row r="65" spans="1:29" hidden="1" x14ac:dyDescent="0.25">
      <c r="A65" s="135">
        <v>42</v>
      </c>
      <c r="B65" s="136" t="str">
        <f t="shared" si="5"/>
        <v>UYCT</v>
      </c>
      <c r="C65" s="136" t="str">
        <f>+VLOOKUP(AC65,Ходим!A:B,2,0)</f>
        <v>31310995930032</v>
      </c>
      <c r="D65" s="136" t="str">
        <f>IFERROR(VLOOKUP($B:$B,[20]свод!$A:$AB,3,0)," ")</f>
        <v>Уйчи тумани</v>
      </c>
      <c r="E65" s="7" t="s">
        <v>1972</v>
      </c>
      <c r="F65" s="7" t="s">
        <v>8368</v>
      </c>
      <c r="G65" s="134" t="s">
        <v>411</v>
      </c>
      <c r="H65" s="134">
        <v>1</v>
      </c>
      <c r="I65" s="7" t="s">
        <v>157</v>
      </c>
      <c r="J65" s="7" t="s">
        <v>10639</v>
      </c>
      <c r="K65" s="7"/>
      <c r="L65" s="7" t="s">
        <v>168</v>
      </c>
      <c r="M65" s="7" t="s">
        <v>4750</v>
      </c>
      <c r="N65" s="7" t="s">
        <v>410</v>
      </c>
      <c r="O65" s="7" t="s">
        <v>161</v>
      </c>
      <c r="P65" s="7" t="s">
        <v>6692</v>
      </c>
      <c r="Q65" s="129">
        <v>46199</v>
      </c>
      <c r="R65" s="130">
        <v>46195</v>
      </c>
      <c r="S65" s="131">
        <v>-4</v>
      </c>
      <c r="T65" s="127">
        <v>1</v>
      </c>
      <c r="U65" s="127"/>
      <c r="V65" s="127">
        <v>1</v>
      </c>
      <c r="W65" s="127"/>
      <c r="X65" s="135">
        <f t="shared" si="1"/>
        <v>0</v>
      </c>
      <c r="Y65" s="135" t="b">
        <f t="shared" si="6"/>
        <v>0</v>
      </c>
      <c r="Z65" s="135" t="b">
        <f t="shared" si="7"/>
        <v>0</v>
      </c>
      <c r="AA65" s="135" t="b">
        <f t="shared" si="8"/>
        <v>0</v>
      </c>
      <c r="AB65" s="7" t="s">
        <v>379</v>
      </c>
      <c r="AC65" s="7" t="s">
        <v>399</v>
      </c>
    </row>
    <row r="66" spans="1:29" hidden="1" x14ac:dyDescent="0.25">
      <c r="A66" s="135">
        <v>44</v>
      </c>
      <c r="B66" s="136" t="str">
        <f t="shared" ref="B66:B97" si="9">LEFT(E66,4)</f>
        <v>NAMS</v>
      </c>
      <c r="C66" s="136" t="str">
        <f>+VLOOKUP(AC66,Ходим!A:B,2,0)</f>
        <v>33012942170121</v>
      </c>
      <c r="D66" s="136" t="str">
        <f>IFERROR(VLOOKUP($B:$B,[20]свод!$A:$AB,3,0)," ")</f>
        <v>Наманган шаҳар</v>
      </c>
      <c r="E66" s="7" t="s">
        <v>1973</v>
      </c>
      <c r="F66" s="7" t="s">
        <v>8369</v>
      </c>
      <c r="G66" s="134">
        <v>1</v>
      </c>
      <c r="H66" s="134" t="s">
        <v>411</v>
      </c>
      <c r="I66" s="7" t="s">
        <v>158</v>
      </c>
      <c r="J66" s="7" t="s">
        <v>10638</v>
      </c>
      <c r="K66" s="7"/>
      <c r="L66" s="7" t="s">
        <v>167</v>
      </c>
      <c r="M66" s="7" t="s">
        <v>4751</v>
      </c>
      <c r="N66" s="7" t="s">
        <v>170</v>
      </c>
      <c r="O66" s="7" t="s">
        <v>162</v>
      </c>
      <c r="P66" s="7" t="s">
        <v>6693</v>
      </c>
      <c r="Q66" s="129">
        <v>46199</v>
      </c>
      <c r="R66" s="130">
        <v>46199</v>
      </c>
      <c r="S66" s="131">
        <v>0</v>
      </c>
      <c r="T66" s="127"/>
      <c r="U66" s="127">
        <v>1</v>
      </c>
      <c r="V66" s="127"/>
      <c r="W66" s="127"/>
      <c r="X66" s="135">
        <f t="shared" ref="X66:X129" si="10">+IF(I66="Cheklov yaratish",1,IF(I66="Registratsiya (tashqi - UZKAD da bor)",1,IF(I66="G'olib nomiga ko'chirma shakllantirish",1,IF(I66="Auksion yerlari uchun ko'chirma shakllantirish",1,0))))</f>
        <v>0</v>
      </c>
      <c r="Y66" s="135" t="b">
        <f t="shared" ref="Y66:Y97" si="11">IF(J66="Arizani qabul qilish",IF(X66=1,"Arizani qabul qilish2","Arizani qabul qilish"))</f>
        <v>0</v>
      </c>
      <c r="Z66" s="135" t="b">
        <f t="shared" ref="Z66:Z97" si="12">IF(J66="Rad qilish",IF(X66=1,"Rad qilish2","Rad qilish"))</f>
        <v>0</v>
      </c>
      <c r="AA66" s="135" t="b">
        <f t="shared" ref="AA66:AA97" si="13">+IF(J66="Arizani qabul qilish",Y66,IF(J66="Rad qilish",Z66))</f>
        <v>0</v>
      </c>
      <c r="AB66" s="7" t="s">
        <v>185</v>
      </c>
      <c r="AC66" s="7" t="s">
        <v>259</v>
      </c>
    </row>
    <row r="67" spans="1:29" x14ac:dyDescent="0.25">
      <c r="A67" s="135">
        <v>45</v>
      </c>
      <c r="B67" s="136" t="str">
        <f t="shared" si="9"/>
        <v>YGQT</v>
      </c>
      <c r="C67" s="136" t="str">
        <f>+VLOOKUP(AC67,Ходим!A:B,2,0)</f>
        <v>52802005950028</v>
      </c>
      <c r="D67" s="136" t="str">
        <f>IFERROR(VLOOKUP($B:$B,[20]свод!$A:$AB,3,0)," ")</f>
        <v>Янгиқўрғон тумани</v>
      </c>
      <c r="E67" s="7" t="s">
        <v>1977</v>
      </c>
      <c r="F67" s="7" t="s">
        <v>8373</v>
      </c>
      <c r="G67" s="134" t="s">
        <v>411</v>
      </c>
      <c r="H67" s="134">
        <v>1</v>
      </c>
      <c r="I67" s="7" t="s">
        <v>157</v>
      </c>
      <c r="J67" s="7" t="s">
        <v>1</v>
      </c>
      <c r="K67" s="7"/>
      <c r="L67" s="7" t="s">
        <v>168</v>
      </c>
      <c r="M67" s="7" t="s">
        <v>4755</v>
      </c>
      <c r="N67" s="7" t="s">
        <v>170</v>
      </c>
      <c r="O67" s="7" t="s">
        <v>161</v>
      </c>
      <c r="P67" s="7" t="s">
        <v>6695</v>
      </c>
      <c r="Q67" s="129">
        <v>46199</v>
      </c>
      <c r="R67" s="130">
        <v>46199</v>
      </c>
      <c r="S67" s="131">
        <v>0</v>
      </c>
      <c r="T67" s="127"/>
      <c r="U67" s="127">
        <v>1</v>
      </c>
      <c r="V67" s="127"/>
      <c r="W67" s="127"/>
      <c r="X67" s="135">
        <f t="shared" si="10"/>
        <v>0</v>
      </c>
      <c r="Y67" s="135" t="b">
        <f t="shared" si="11"/>
        <v>0</v>
      </c>
      <c r="Z67" s="135" t="b">
        <f t="shared" si="12"/>
        <v>0</v>
      </c>
      <c r="AA67" s="135" t="b">
        <f t="shared" si="13"/>
        <v>0</v>
      </c>
      <c r="AB67" s="7" t="s">
        <v>255</v>
      </c>
      <c r="AC67" s="7" t="s">
        <v>281</v>
      </c>
    </row>
    <row r="68" spans="1:29" x14ac:dyDescent="0.25">
      <c r="A68" s="135">
        <v>47</v>
      </c>
      <c r="B68" s="136" t="str">
        <f t="shared" si="9"/>
        <v>UYCT</v>
      </c>
      <c r="C68" s="136" t="str">
        <f>+VLOOKUP(AC68,Ходим!A:B,2,0)</f>
        <v>50304035930044</v>
      </c>
      <c r="D68" s="136" t="str">
        <f>IFERROR(VLOOKUP($B:$B,[20]свод!$A:$AB,3,0)," ")</f>
        <v>Уйчи тумани</v>
      </c>
      <c r="E68" s="7" t="s">
        <v>1989</v>
      </c>
      <c r="F68" s="7" t="s">
        <v>8385</v>
      </c>
      <c r="G68" s="134">
        <v>1</v>
      </c>
      <c r="H68" s="134" t="s">
        <v>411</v>
      </c>
      <c r="I68" s="7" t="s">
        <v>158</v>
      </c>
      <c r="J68" s="7" t="s">
        <v>1</v>
      </c>
      <c r="K68" s="7"/>
      <c r="L68" s="7" t="s">
        <v>167</v>
      </c>
      <c r="M68" s="7" t="s">
        <v>4762</v>
      </c>
      <c r="N68" s="7" t="s">
        <v>170</v>
      </c>
      <c r="O68" s="7" t="s">
        <v>162</v>
      </c>
      <c r="P68" s="7" t="s">
        <v>6701</v>
      </c>
      <c r="Q68" s="129">
        <v>46199</v>
      </c>
      <c r="R68" s="130">
        <v>46199</v>
      </c>
      <c r="S68" s="131">
        <v>0</v>
      </c>
      <c r="T68" s="127"/>
      <c r="U68" s="127">
        <v>1</v>
      </c>
      <c r="V68" s="127"/>
      <c r="W68" s="127"/>
      <c r="X68" s="135">
        <f t="shared" si="10"/>
        <v>0</v>
      </c>
      <c r="Y68" s="135" t="b">
        <f t="shared" si="11"/>
        <v>0</v>
      </c>
      <c r="Z68" s="135" t="b">
        <f t="shared" si="12"/>
        <v>0</v>
      </c>
      <c r="AA68" s="135" t="b">
        <f t="shared" si="13"/>
        <v>0</v>
      </c>
      <c r="AB68" s="7" t="s">
        <v>947</v>
      </c>
      <c r="AC68" s="7" t="s">
        <v>956</v>
      </c>
    </row>
    <row r="69" spans="1:29" x14ac:dyDescent="0.25">
      <c r="A69" s="135">
        <v>49</v>
      </c>
      <c r="B69" s="136" t="str">
        <f t="shared" si="9"/>
        <v>NAMS</v>
      </c>
      <c r="C69" s="136" t="str">
        <f>+VLOOKUP(AC69,Ходим!A:B,2,0)</f>
        <v>53008015960094</v>
      </c>
      <c r="D69" s="136" t="str">
        <f>IFERROR(VLOOKUP($B:$B,[20]свод!$A:$AB,3,0)," ")</f>
        <v>Наманган шаҳар</v>
      </c>
      <c r="E69" s="7" t="s">
        <v>1995</v>
      </c>
      <c r="F69" s="7" t="s">
        <v>8391</v>
      </c>
      <c r="G69" s="134">
        <v>1</v>
      </c>
      <c r="H69" s="134" t="s">
        <v>411</v>
      </c>
      <c r="I69" s="7" t="s">
        <v>158</v>
      </c>
      <c r="J69" s="7" t="s">
        <v>10</v>
      </c>
      <c r="K69" s="7"/>
      <c r="L69" s="7" t="s">
        <v>167</v>
      </c>
      <c r="M69" s="7" t="s">
        <v>4765</v>
      </c>
      <c r="N69" s="7" t="s">
        <v>170</v>
      </c>
      <c r="O69" s="7" t="s">
        <v>163</v>
      </c>
      <c r="P69" s="7" t="s">
        <v>6670</v>
      </c>
      <c r="Q69" s="129">
        <v>46199</v>
      </c>
      <c r="R69" s="130">
        <v>46199</v>
      </c>
      <c r="S69" s="131">
        <v>0</v>
      </c>
      <c r="T69" s="127"/>
      <c r="U69" s="127">
        <v>1</v>
      </c>
      <c r="V69" s="127"/>
      <c r="W69" s="127"/>
      <c r="X69" s="135">
        <f t="shared" si="10"/>
        <v>0</v>
      </c>
      <c r="Y69" s="135" t="b">
        <f t="shared" si="11"/>
        <v>0</v>
      </c>
      <c r="Z69" s="135" t="b">
        <f t="shared" si="12"/>
        <v>0</v>
      </c>
      <c r="AA69" s="135" t="b">
        <f t="shared" si="13"/>
        <v>0</v>
      </c>
      <c r="AB69" s="7" t="s">
        <v>185</v>
      </c>
      <c r="AC69" s="7" t="s">
        <v>403</v>
      </c>
    </row>
    <row r="70" spans="1:29" x14ac:dyDescent="0.25">
      <c r="A70" s="135">
        <v>50</v>
      </c>
      <c r="B70" s="136" t="str">
        <f t="shared" si="9"/>
        <v>NAMS</v>
      </c>
      <c r="C70" s="136" t="str">
        <f>+VLOOKUP(AC70,Ходим!A:B,2,0)</f>
        <v>52503015960039</v>
      </c>
      <c r="D70" s="136" t="str">
        <f>IFERROR(VLOOKUP($B:$B,[20]свод!$A:$AB,3,0)," ")</f>
        <v>Наманган шаҳар</v>
      </c>
      <c r="E70" s="7" t="s">
        <v>1999</v>
      </c>
      <c r="F70" s="7" t="s">
        <v>8394</v>
      </c>
      <c r="G70" s="134">
        <v>1</v>
      </c>
      <c r="H70" s="134" t="s">
        <v>411</v>
      </c>
      <c r="I70" s="7" t="s">
        <v>158</v>
      </c>
      <c r="J70" s="7" t="s">
        <v>10</v>
      </c>
      <c r="K70" s="7"/>
      <c r="L70" s="7" t="s">
        <v>167</v>
      </c>
      <c r="M70" s="7" t="s">
        <v>4768</v>
      </c>
      <c r="N70" s="7" t="s">
        <v>170</v>
      </c>
      <c r="O70" s="7" t="s">
        <v>162</v>
      </c>
      <c r="P70" s="7" t="s">
        <v>6707</v>
      </c>
      <c r="Q70" s="129">
        <v>46199</v>
      </c>
      <c r="R70" s="130">
        <v>46198</v>
      </c>
      <c r="S70" s="131">
        <v>-1</v>
      </c>
      <c r="T70" s="127">
        <v>1</v>
      </c>
      <c r="U70" s="127"/>
      <c r="V70" s="127"/>
      <c r="W70" s="127">
        <v>1</v>
      </c>
      <c r="X70" s="135">
        <f t="shared" si="10"/>
        <v>0</v>
      </c>
      <c r="Y70" s="135" t="b">
        <f t="shared" si="11"/>
        <v>0</v>
      </c>
      <c r="Z70" s="135" t="b">
        <f t="shared" si="12"/>
        <v>0</v>
      </c>
      <c r="AA70" s="135" t="b">
        <f t="shared" si="13"/>
        <v>0</v>
      </c>
      <c r="AB70" s="7" t="s">
        <v>185</v>
      </c>
      <c r="AC70" s="7" t="s">
        <v>246</v>
      </c>
    </row>
    <row r="71" spans="1:29" x14ac:dyDescent="0.25">
      <c r="A71" s="135">
        <v>55</v>
      </c>
      <c r="B71" s="136" t="str">
        <f t="shared" si="9"/>
        <v>UYCT</v>
      </c>
      <c r="C71" s="136" t="str">
        <f>+VLOOKUP(AC71,Ходим!A:B,2,0)</f>
        <v>32002975930037</v>
      </c>
      <c r="D71" s="136" t="str">
        <f>IFERROR(VLOOKUP($B:$B,[20]свод!$A:$AB,3,0)," ")</f>
        <v>Уйчи тумани</v>
      </c>
      <c r="E71" s="7" t="s">
        <v>2000</v>
      </c>
      <c r="F71" s="7" t="s">
        <v>8395</v>
      </c>
      <c r="G71" s="134">
        <v>1</v>
      </c>
      <c r="H71" s="134" t="s">
        <v>411</v>
      </c>
      <c r="I71" s="7" t="s">
        <v>158</v>
      </c>
      <c r="J71" s="7" t="s">
        <v>17</v>
      </c>
      <c r="K71" s="7"/>
      <c r="L71" s="7" t="s">
        <v>167</v>
      </c>
      <c r="M71" s="7" t="s">
        <v>4769</v>
      </c>
      <c r="N71" s="7" t="s">
        <v>170</v>
      </c>
      <c r="O71" s="7" t="s">
        <v>163</v>
      </c>
      <c r="P71" s="7" t="s">
        <v>6666</v>
      </c>
      <c r="Q71" s="129">
        <v>46199</v>
      </c>
      <c r="R71" s="130">
        <v>46199</v>
      </c>
      <c r="S71" s="131">
        <v>0</v>
      </c>
      <c r="T71" s="127"/>
      <c r="U71" s="127">
        <v>1</v>
      </c>
      <c r="V71" s="127"/>
      <c r="W71" s="127"/>
      <c r="X71" s="135">
        <f t="shared" si="10"/>
        <v>0</v>
      </c>
      <c r="Y71" s="135" t="b">
        <f t="shared" si="11"/>
        <v>0</v>
      </c>
      <c r="Z71" s="135" t="b">
        <f t="shared" si="12"/>
        <v>0</v>
      </c>
      <c r="AA71" s="135" t="b">
        <f t="shared" si="13"/>
        <v>0</v>
      </c>
      <c r="AB71" s="7" t="s">
        <v>947</v>
      </c>
      <c r="AC71" s="7" t="s">
        <v>260</v>
      </c>
    </row>
    <row r="72" spans="1:29" hidden="1" x14ac:dyDescent="0.25">
      <c r="A72" s="135">
        <v>56</v>
      </c>
      <c r="B72" s="136" t="str">
        <f t="shared" si="9"/>
        <v>KSST</v>
      </c>
      <c r="C72" s="136" t="str">
        <f>+VLOOKUP(AC72,Ходим!A:B,2,0)</f>
        <v>30507932190090</v>
      </c>
      <c r="D72" s="136" t="str">
        <f>IFERROR(VLOOKUP($B:$B,[20]свод!$A:$AB,3,0)," ")</f>
        <v>Косонсой тумани</v>
      </c>
      <c r="E72" s="7" t="s">
        <v>2001</v>
      </c>
      <c r="F72" s="7" t="s">
        <v>8396</v>
      </c>
      <c r="G72" s="134">
        <v>1</v>
      </c>
      <c r="H72" s="134" t="s">
        <v>411</v>
      </c>
      <c r="I72" s="7" t="s">
        <v>158</v>
      </c>
      <c r="J72" s="7" t="s">
        <v>10638</v>
      </c>
      <c r="K72" s="7"/>
      <c r="L72" s="7" t="s">
        <v>167</v>
      </c>
      <c r="M72" s="7" t="s">
        <v>4770</v>
      </c>
      <c r="N72" s="7" t="s">
        <v>170</v>
      </c>
      <c r="O72" s="7" t="s">
        <v>162</v>
      </c>
      <c r="P72" s="7" t="s">
        <v>6708</v>
      </c>
      <c r="Q72" s="129">
        <v>46199</v>
      </c>
      <c r="R72" s="130">
        <v>46199</v>
      </c>
      <c r="S72" s="131">
        <v>0</v>
      </c>
      <c r="T72" s="127"/>
      <c r="U72" s="127">
        <v>1</v>
      </c>
      <c r="V72" s="127"/>
      <c r="W72" s="127"/>
      <c r="X72" s="135">
        <f t="shared" si="10"/>
        <v>0</v>
      </c>
      <c r="Y72" s="135" t="b">
        <f t="shared" si="11"/>
        <v>0</v>
      </c>
      <c r="Z72" s="135" t="b">
        <f t="shared" si="12"/>
        <v>0</v>
      </c>
      <c r="AA72" s="135" t="b">
        <f t="shared" si="13"/>
        <v>0</v>
      </c>
      <c r="AB72" s="7" t="s">
        <v>180</v>
      </c>
      <c r="AC72" s="7" t="s">
        <v>232</v>
      </c>
    </row>
    <row r="73" spans="1:29" x14ac:dyDescent="0.25">
      <c r="A73" s="135">
        <v>57</v>
      </c>
      <c r="B73" s="136" t="str">
        <f t="shared" si="9"/>
        <v>UCQT</v>
      </c>
      <c r="C73" s="136" t="str">
        <f>+VLOOKUP(AC73,Ходим!A:B,2,0)</f>
        <v>52405005940019</v>
      </c>
      <c r="D73" s="136" t="str">
        <f>IFERROR(VLOOKUP($B:$B,[20]свод!$A:$AB,3,0)," ")</f>
        <v>Учқўрғон тумани</v>
      </c>
      <c r="E73" s="7" t="s">
        <v>2002</v>
      </c>
      <c r="F73" s="7" t="s">
        <v>8397</v>
      </c>
      <c r="G73" s="134">
        <v>1</v>
      </c>
      <c r="H73" s="134" t="s">
        <v>411</v>
      </c>
      <c r="I73" s="7" t="s">
        <v>158</v>
      </c>
      <c r="J73" s="7" t="s">
        <v>17</v>
      </c>
      <c r="K73" s="7"/>
      <c r="L73" s="7" t="s">
        <v>167</v>
      </c>
      <c r="M73" s="7" t="s">
        <v>4771</v>
      </c>
      <c r="N73" s="7" t="s">
        <v>410</v>
      </c>
      <c r="O73" s="7" t="s">
        <v>162</v>
      </c>
      <c r="P73" s="7" t="s">
        <v>6709</v>
      </c>
      <c r="Q73" s="129">
        <v>46199</v>
      </c>
      <c r="R73" s="130">
        <v>46199</v>
      </c>
      <c r="S73" s="131">
        <v>0</v>
      </c>
      <c r="T73" s="127"/>
      <c r="U73" s="127">
        <v>1</v>
      </c>
      <c r="V73" s="127"/>
      <c r="W73" s="127"/>
      <c r="X73" s="135">
        <f t="shared" si="10"/>
        <v>0</v>
      </c>
      <c r="Y73" s="135" t="b">
        <f t="shared" si="11"/>
        <v>0</v>
      </c>
      <c r="Z73" s="135" t="b">
        <f t="shared" si="12"/>
        <v>0</v>
      </c>
      <c r="AA73" s="135" t="b">
        <f t="shared" si="13"/>
        <v>0</v>
      </c>
      <c r="AB73" s="7" t="s">
        <v>175</v>
      </c>
      <c r="AC73" s="7" t="s">
        <v>209</v>
      </c>
    </row>
    <row r="74" spans="1:29" x14ac:dyDescent="0.25">
      <c r="A74" s="135">
        <v>58</v>
      </c>
      <c r="B74" s="136" t="str">
        <f t="shared" si="9"/>
        <v>NAMS</v>
      </c>
      <c r="C74" s="136" t="str">
        <f>+VLOOKUP(AC74,Ходим!A:B,2,0)</f>
        <v>51110025960044</v>
      </c>
      <c r="D74" s="136" t="str">
        <f>IFERROR(VLOOKUP($B:$B,[20]свод!$A:$AB,3,0)," ")</f>
        <v>Наманган шаҳар</v>
      </c>
      <c r="E74" s="7" t="s">
        <v>2007</v>
      </c>
      <c r="F74" s="7" t="s">
        <v>8402</v>
      </c>
      <c r="G74" s="134">
        <v>1</v>
      </c>
      <c r="H74" s="134" t="s">
        <v>411</v>
      </c>
      <c r="I74" s="7" t="s">
        <v>154</v>
      </c>
      <c r="J74" s="7" t="s">
        <v>2</v>
      </c>
      <c r="K74" s="7"/>
      <c r="L74" s="7" t="s">
        <v>167</v>
      </c>
      <c r="M74" s="7" t="s">
        <v>4773</v>
      </c>
      <c r="N74" s="7" t="s">
        <v>170</v>
      </c>
      <c r="O74" s="7" t="s">
        <v>162</v>
      </c>
      <c r="P74" s="7" t="s">
        <v>6712</v>
      </c>
      <c r="Q74" s="129">
        <v>46199</v>
      </c>
      <c r="R74" s="130">
        <v>46195</v>
      </c>
      <c r="S74" s="131">
        <v>-4</v>
      </c>
      <c r="T74" s="127">
        <v>1</v>
      </c>
      <c r="U74" s="127"/>
      <c r="V74" s="127">
        <v>1</v>
      </c>
      <c r="W74" s="127"/>
      <c r="X74" s="135">
        <f t="shared" si="10"/>
        <v>0</v>
      </c>
      <c r="Y74" s="135" t="b">
        <f t="shared" si="11"/>
        <v>0</v>
      </c>
      <c r="Z74" s="135" t="b">
        <f t="shared" si="12"/>
        <v>0</v>
      </c>
      <c r="AA74" s="135" t="b">
        <f t="shared" si="13"/>
        <v>0</v>
      </c>
      <c r="AB74" s="7" t="s">
        <v>173</v>
      </c>
      <c r="AC74" s="7" t="s">
        <v>294</v>
      </c>
    </row>
    <row r="75" spans="1:29" x14ac:dyDescent="0.25">
      <c r="A75" s="135">
        <v>60</v>
      </c>
      <c r="B75" s="136" t="str">
        <f t="shared" si="9"/>
        <v>UCQT</v>
      </c>
      <c r="C75" s="136" t="str">
        <f>+VLOOKUP(AC75,Ходим!A:B,2,0)</f>
        <v>30307955940049</v>
      </c>
      <c r="D75" s="136" t="str">
        <f>IFERROR(VLOOKUP($B:$B,[20]свод!$A:$AB,3,0)," ")</f>
        <v>Учқўрғон тумани</v>
      </c>
      <c r="E75" s="7" t="s">
        <v>2008</v>
      </c>
      <c r="F75" s="7" t="s">
        <v>8403</v>
      </c>
      <c r="G75" s="134">
        <v>1</v>
      </c>
      <c r="H75" s="134" t="s">
        <v>411</v>
      </c>
      <c r="I75" s="7" t="s">
        <v>158</v>
      </c>
      <c r="J75" s="7" t="s">
        <v>1</v>
      </c>
      <c r="K75" s="7"/>
      <c r="L75" s="7" t="s">
        <v>167</v>
      </c>
      <c r="M75" s="7" t="s">
        <v>4774</v>
      </c>
      <c r="N75" s="7" t="s">
        <v>170</v>
      </c>
      <c r="O75" s="7" t="s">
        <v>162</v>
      </c>
      <c r="P75" s="7" t="s">
        <v>6713</v>
      </c>
      <c r="Q75" s="129">
        <v>46199</v>
      </c>
      <c r="R75" s="130">
        <v>46199</v>
      </c>
      <c r="S75" s="131">
        <v>0</v>
      </c>
      <c r="T75" s="127"/>
      <c r="U75" s="127">
        <v>1</v>
      </c>
      <c r="V75" s="127"/>
      <c r="W75" s="127"/>
      <c r="X75" s="135">
        <f t="shared" si="10"/>
        <v>0</v>
      </c>
      <c r="Y75" s="135" t="b">
        <f t="shared" si="11"/>
        <v>0</v>
      </c>
      <c r="Z75" s="135" t="b">
        <f t="shared" si="12"/>
        <v>0</v>
      </c>
      <c r="AA75" s="135" t="b">
        <f t="shared" si="13"/>
        <v>0</v>
      </c>
      <c r="AB75" s="7" t="s">
        <v>390</v>
      </c>
      <c r="AC75" s="7" t="s">
        <v>306</v>
      </c>
    </row>
    <row r="76" spans="1:29" x14ac:dyDescent="0.25">
      <c r="A76" s="135">
        <v>61</v>
      </c>
      <c r="B76" s="136" t="str">
        <f t="shared" si="9"/>
        <v>UCQT</v>
      </c>
      <c r="C76" s="136" t="str">
        <f>+VLOOKUP(AC76,Ходим!A:B,2,0)</f>
        <v>30307955940049</v>
      </c>
      <c r="D76" s="136" t="str">
        <f>IFERROR(VLOOKUP($B:$B,[20]свод!$A:$AB,3,0)," ")</f>
        <v>Учқўрғон тумани</v>
      </c>
      <c r="E76" s="7" t="s">
        <v>2009</v>
      </c>
      <c r="F76" s="7" t="s">
        <v>8404</v>
      </c>
      <c r="G76" s="134">
        <v>1</v>
      </c>
      <c r="H76" s="134" t="s">
        <v>411</v>
      </c>
      <c r="I76" s="7" t="s">
        <v>158</v>
      </c>
      <c r="J76" s="7" t="s">
        <v>10</v>
      </c>
      <c r="K76" s="7"/>
      <c r="L76" s="7" t="s">
        <v>167</v>
      </c>
      <c r="M76" s="7" t="s">
        <v>4775</v>
      </c>
      <c r="N76" s="7" t="s">
        <v>170</v>
      </c>
      <c r="O76" s="7" t="s">
        <v>162</v>
      </c>
      <c r="P76" s="7" t="s">
        <v>6713</v>
      </c>
      <c r="Q76" s="129">
        <v>46199</v>
      </c>
      <c r="R76" s="130">
        <v>46199</v>
      </c>
      <c r="S76" s="131">
        <v>0</v>
      </c>
      <c r="T76" s="127"/>
      <c r="U76" s="127">
        <v>1</v>
      </c>
      <c r="V76" s="127"/>
      <c r="W76" s="127"/>
      <c r="X76" s="135">
        <f t="shared" si="10"/>
        <v>0</v>
      </c>
      <c r="Y76" s="135" t="b">
        <f t="shared" si="11"/>
        <v>0</v>
      </c>
      <c r="Z76" s="135" t="b">
        <f t="shared" si="12"/>
        <v>0</v>
      </c>
      <c r="AA76" s="135" t="b">
        <f t="shared" si="13"/>
        <v>0</v>
      </c>
      <c r="AB76" s="7" t="s">
        <v>390</v>
      </c>
      <c r="AC76" s="7" t="s">
        <v>306</v>
      </c>
    </row>
    <row r="77" spans="1:29" x14ac:dyDescent="0.25">
      <c r="A77" s="135">
        <v>62</v>
      </c>
      <c r="B77" s="136" t="str">
        <f t="shared" si="9"/>
        <v>UCQT</v>
      </c>
      <c r="C77" s="136" t="str">
        <f>+VLOOKUP(AC77,Ходим!A:B,2,0)</f>
        <v>30307955940049</v>
      </c>
      <c r="D77" s="136" t="str">
        <f>IFERROR(VLOOKUP($B:$B,[20]свод!$A:$AB,3,0)," ")</f>
        <v>Учқўрғон тумани</v>
      </c>
      <c r="E77" s="7" t="s">
        <v>2010</v>
      </c>
      <c r="F77" s="7" t="s">
        <v>8405</v>
      </c>
      <c r="G77" s="134">
        <v>1</v>
      </c>
      <c r="H77" s="134" t="s">
        <v>411</v>
      </c>
      <c r="I77" s="7" t="s">
        <v>158</v>
      </c>
      <c r="J77" s="7" t="s">
        <v>1</v>
      </c>
      <c r="K77" s="7"/>
      <c r="L77" s="7" t="s">
        <v>167</v>
      </c>
      <c r="M77" s="7" t="s">
        <v>4776</v>
      </c>
      <c r="N77" s="7" t="s">
        <v>170</v>
      </c>
      <c r="O77" s="7" t="s">
        <v>162</v>
      </c>
      <c r="P77" s="7" t="s">
        <v>6713</v>
      </c>
      <c r="Q77" s="129">
        <v>46199</v>
      </c>
      <c r="R77" s="130">
        <v>46199</v>
      </c>
      <c r="S77" s="131">
        <v>0</v>
      </c>
      <c r="T77" s="127"/>
      <c r="U77" s="127">
        <v>1</v>
      </c>
      <c r="V77" s="127"/>
      <c r="W77" s="127"/>
      <c r="X77" s="135">
        <f t="shared" si="10"/>
        <v>0</v>
      </c>
      <c r="Y77" s="135" t="b">
        <f t="shared" si="11"/>
        <v>0</v>
      </c>
      <c r="Z77" s="135" t="b">
        <f t="shared" si="12"/>
        <v>0</v>
      </c>
      <c r="AA77" s="135" t="b">
        <f t="shared" si="13"/>
        <v>0</v>
      </c>
      <c r="AB77" s="7" t="s">
        <v>390</v>
      </c>
      <c r="AC77" s="7" t="s">
        <v>306</v>
      </c>
    </row>
    <row r="78" spans="1:29" hidden="1" x14ac:dyDescent="0.25">
      <c r="A78" s="135">
        <v>63</v>
      </c>
      <c r="B78" s="136" t="str">
        <f t="shared" si="9"/>
        <v>UYCT</v>
      </c>
      <c r="C78" s="136" t="e">
        <f>+VLOOKUP(AC78,Ходим!A:B,2,0)</f>
        <v>#N/A</v>
      </c>
      <c r="D78" s="136" t="str">
        <f>IFERROR(VLOOKUP($B:$B,[20]свод!$A:$AB,3,0)," ")</f>
        <v>Уйчи тумани</v>
      </c>
      <c r="E78" s="7" t="s">
        <v>2023</v>
      </c>
      <c r="F78" s="7" t="s">
        <v>8418</v>
      </c>
      <c r="G78" s="134">
        <v>1</v>
      </c>
      <c r="H78" s="134" t="s">
        <v>411</v>
      </c>
      <c r="I78" s="7" t="s">
        <v>160</v>
      </c>
      <c r="J78" s="7" t="s">
        <v>10639</v>
      </c>
      <c r="K78" s="7" t="s">
        <v>10622</v>
      </c>
      <c r="L78" s="7" t="s">
        <v>167</v>
      </c>
      <c r="M78" s="7" t="s">
        <v>4784</v>
      </c>
      <c r="N78" s="7" t="s">
        <v>171</v>
      </c>
      <c r="O78" s="7" t="s">
        <v>164</v>
      </c>
      <c r="P78" s="7" t="s">
        <v>6716</v>
      </c>
      <c r="Q78" s="129">
        <v>46199</v>
      </c>
      <c r="R78" s="130">
        <v>46199</v>
      </c>
      <c r="S78" s="131">
        <v>0</v>
      </c>
      <c r="T78" s="127"/>
      <c r="U78" s="127">
        <v>1</v>
      </c>
      <c r="V78" s="127"/>
      <c r="W78" s="127"/>
      <c r="X78" s="135">
        <f t="shared" si="10"/>
        <v>0</v>
      </c>
      <c r="Y78" s="135" t="b">
        <f t="shared" si="11"/>
        <v>0</v>
      </c>
      <c r="Z78" s="135" t="b">
        <f t="shared" si="12"/>
        <v>0</v>
      </c>
      <c r="AA78" s="135" t="b">
        <f t="shared" si="13"/>
        <v>0</v>
      </c>
      <c r="AB78" s="7"/>
      <c r="AC78" s="7"/>
    </row>
    <row r="79" spans="1:29" x14ac:dyDescent="0.25">
      <c r="A79" s="135">
        <v>64</v>
      </c>
      <c r="B79" s="136" t="str">
        <f t="shared" si="9"/>
        <v>MINT</v>
      </c>
      <c r="C79" s="136" t="str">
        <f>+VLOOKUP(AC79,Ходим!A:B,2,0)</f>
        <v>53110035990017</v>
      </c>
      <c r="D79" s="136" t="str">
        <f>IFERROR(VLOOKUP($B:$B,[20]свод!$A:$AB,3,0)," ")</f>
        <v>Мингбулоқ тумани</v>
      </c>
      <c r="E79" s="7" t="s">
        <v>2036</v>
      </c>
      <c r="F79" s="7" t="s">
        <v>8431</v>
      </c>
      <c r="G79" s="134">
        <v>1</v>
      </c>
      <c r="H79" s="134" t="s">
        <v>411</v>
      </c>
      <c r="I79" s="7" t="s">
        <v>158</v>
      </c>
      <c r="J79" s="7" t="s">
        <v>134</v>
      </c>
      <c r="K79" s="7"/>
      <c r="L79" s="7"/>
      <c r="M79" s="7"/>
      <c r="N79" s="7" t="s">
        <v>410</v>
      </c>
      <c r="O79" s="7" t="s">
        <v>162</v>
      </c>
      <c r="P79" s="7" t="s">
        <v>6722</v>
      </c>
      <c r="Q79" s="129">
        <v>46199</v>
      </c>
      <c r="R79" s="130">
        <v>46199</v>
      </c>
      <c r="S79" s="131">
        <v>0</v>
      </c>
      <c r="T79" s="127"/>
      <c r="U79" s="127">
        <v>1</v>
      </c>
      <c r="V79" s="127"/>
      <c r="W79" s="127"/>
      <c r="X79" s="135">
        <f t="shared" si="10"/>
        <v>0</v>
      </c>
      <c r="Y79" s="135" t="b">
        <f t="shared" si="11"/>
        <v>0</v>
      </c>
      <c r="Z79" s="135" t="b">
        <f t="shared" si="12"/>
        <v>0</v>
      </c>
      <c r="AA79" s="135" t="b">
        <f t="shared" si="13"/>
        <v>0</v>
      </c>
      <c r="AB79" s="7" t="s">
        <v>220</v>
      </c>
      <c r="AC79" s="7" t="s">
        <v>372</v>
      </c>
    </row>
    <row r="80" spans="1:29" x14ac:dyDescent="0.25">
      <c r="A80" s="135">
        <v>66</v>
      </c>
      <c r="B80" s="136" t="str">
        <f t="shared" si="9"/>
        <v>MINT</v>
      </c>
      <c r="C80" s="136" t="str">
        <f>+VLOOKUP(AC80,Ходим!A:B,2,0)</f>
        <v>53110035990017</v>
      </c>
      <c r="D80" s="136" t="str">
        <f>IFERROR(VLOOKUP($B:$B,[20]свод!$A:$AB,3,0)," ")</f>
        <v>Мингбулоқ тумани</v>
      </c>
      <c r="E80" s="7" t="s">
        <v>2038</v>
      </c>
      <c r="F80" s="7" t="s">
        <v>8433</v>
      </c>
      <c r="G80" s="134">
        <v>1</v>
      </c>
      <c r="H80" s="134" t="s">
        <v>411</v>
      </c>
      <c r="I80" s="7" t="s">
        <v>158</v>
      </c>
      <c r="J80" s="7" t="s">
        <v>134</v>
      </c>
      <c r="K80" s="7"/>
      <c r="L80" s="7"/>
      <c r="M80" s="7"/>
      <c r="N80" s="7" t="s">
        <v>410</v>
      </c>
      <c r="O80" s="7" t="s">
        <v>162</v>
      </c>
      <c r="P80" s="7" t="s">
        <v>6722</v>
      </c>
      <c r="Q80" s="129">
        <v>46199</v>
      </c>
      <c r="R80" s="130">
        <v>46199</v>
      </c>
      <c r="S80" s="131">
        <v>0</v>
      </c>
      <c r="T80" s="127"/>
      <c r="U80" s="127">
        <v>1</v>
      </c>
      <c r="V80" s="127"/>
      <c r="W80" s="127"/>
      <c r="X80" s="135">
        <f t="shared" si="10"/>
        <v>0</v>
      </c>
      <c r="Y80" s="135" t="b">
        <f t="shared" si="11"/>
        <v>0</v>
      </c>
      <c r="Z80" s="135" t="b">
        <f t="shared" si="12"/>
        <v>0</v>
      </c>
      <c r="AA80" s="135" t="b">
        <f t="shared" si="13"/>
        <v>0</v>
      </c>
      <c r="AB80" s="7" t="s">
        <v>220</v>
      </c>
      <c r="AC80" s="7" t="s">
        <v>372</v>
      </c>
    </row>
    <row r="81" spans="1:29" hidden="1" x14ac:dyDescent="0.25">
      <c r="A81" s="135">
        <v>67</v>
      </c>
      <c r="B81" s="136" t="str">
        <f t="shared" si="9"/>
        <v>NAMS</v>
      </c>
      <c r="C81" s="136" t="str">
        <f>+VLOOKUP(AC81,Ходим!A:B,2,0)</f>
        <v>30302942170072</v>
      </c>
      <c r="D81" s="136" t="str">
        <f>IFERROR(VLOOKUP($B:$B,[20]свод!$A:$AB,3,0)," ")</f>
        <v>Наманган шаҳар</v>
      </c>
      <c r="E81" s="7" t="s">
        <v>2062</v>
      </c>
      <c r="F81" s="7" t="s">
        <v>8457</v>
      </c>
      <c r="G81" s="134" t="s">
        <v>411</v>
      </c>
      <c r="H81" s="134">
        <v>1</v>
      </c>
      <c r="I81" s="7" t="s">
        <v>157</v>
      </c>
      <c r="J81" s="7" t="s">
        <v>10639</v>
      </c>
      <c r="K81" s="7"/>
      <c r="L81" s="7"/>
      <c r="M81" s="7"/>
      <c r="N81" s="7" t="s">
        <v>410</v>
      </c>
      <c r="O81" s="7" t="s">
        <v>161</v>
      </c>
      <c r="P81" s="7" t="s">
        <v>6732</v>
      </c>
      <c r="Q81" s="129">
        <v>46199</v>
      </c>
      <c r="R81" s="130">
        <v>46199</v>
      </c>
      <c r="S81" s="131">
        <v>0</v>
      </c>
      <c r="T81" s="127"/>
      <c r="U81" s="127">
        <v>1</v>
      </c>
      <c r="V81" s="127"/>
      <c r="W81" s="127"/>
      <c r="X81" s="135">
        <f t="shared" si="10"/>
        <v>0</v>
      </c>
      <c r="Y81" s="135" t="b">
        <f t="shared" si="11"/>
        <v>0</v>
      </c>
      <c r="Z81" s="135" t="b">
        <f t="shared" si="12"/>
        <v>0</v>
      </c>
      <c r="AA81" s="135" t="b">
        <f t="shared" si="13"/>
        <v>0</v>
      </c>
      <c r="AB81" s="7" t="s">
        <v>173</v>
      </c>
      <c r="AC81" s="7" t="s">
        <v>325</v>
      </c>
    </row>
    <row r="82" spans="1:29" hidden="1" x14ac:dyDescent="0.25">
      <c r="A82" s="135">
        <v>68</v>
      </c>
      <c r="B82" s="136" t="str">
        <f t="shared" si="9"/>
        <v>NAMS</v>
      </c>
      <c r="C82" s="136" t="str">
        <f>+VLOOKUP(AC82,Ходим!A:B,2,0)</f>
        <v>30108932170088</v>
      </c>
      <c r="D82" s="136" t="str">
        <f>IFERROR(VLOOKUP($B:$B,[20]свод!$A:$AB,3,0)," ")</f>
        <v>Наманган шаҳар</v>
      </c>
      <c r="E82" s="7" t="s">
        <v>2064</v>
      </c>
      <c r="F82" s="7" t="s">
        <v>8459</v>
      </c>
      <c r="G82" s="134">
        <v>1</v>
      </c>
      <c r="H82" s="134" t="s">
        <v>411</v>
      </c>
      <c r="I82" s="7" t="s">
        <v>158</v>
      </c>
      <c r="J82" s="7" t="s">
        <v>10638</v>
      </c>
      <c r="K82" s="7"/>
      <c r="L82" s="7" t="s">
        <v>167</v>
      </c>
      <c r="M82" s="7" t="s">
        <v>4809</v>
      </c>
      <c r="N82" s="7" t="s">
        <v>170</v>
      </c>
      <c r="O82" s="7" t="s">
        <v>162</v>
      </c>
      <c r="P82" s="7" t="s">
        <v>6734</v>
      </c>
      <c r="Q82" s="129">
        <v>46199</v>
      </c>
      <c r="R82" s="130">
        <v>46199</v>
      </c>
      <c r="S82" s="131">
        <v>0</v>
      </c>
      <c r="T82" s="127"/>
      <c r="U82" s="127">
        <v>1</v>
      </c>
      <c r="V82" s="127"/>
      <c r="W82" s="127"/>
      <c r="X82" s="135">
        <f t="shared" si="10"/>
        <v>0</v>
      </c>
      <c r="Y82" s="135" t="b">
        <f t="shared" si="11"/>
        <v>0</v>
      </c>
      <c r="Z82" s="135" t="b">
        <f t="shared" si="12"/>
        <v>0</v>
      </c>
      <c r="AA82" s="135" t="b">
        <f t="shared" si="13"/>
        <v>0</v>
      </c>
      <c r="AB82" s="7" t="s">
        <v>185</v>
      </c>
      <c r="AC82" s="7" t="s">
        <v>329</v>
      </c>
    </row>
    <row r="83" spans="1:29" x14ac:dyDescent="0.25">
      <c r="A83" s="135">
        <v>69</v>
      </c>
      <c r="B83" s="136" t="str">
        <f t="shared" si="9"/>
        <v>NAMS</v>
      </c>
      <c r="C83" s="136" t="str">
        <f>+VLOOKUP(AC83,Ходим!A:B,2,0)</f>
        <v>31408622170123</v>
      </c>
      <c r="D83" s="136" t="str">
        <f>IFERROR(VLOOKUP($B:$B,[20]свод!$A:$AB,3,0)," ")</f>
        <v>Наманган шаҳар</v>
      </c>
      <c r="E83" s="7" t="s">
        <v>2069</v>
      </c>
      <c r="F83" s="7" t="s">
        <v>8464</v>
      </c>
      <c r="G83" s="134">
        <v>1</v>
      </c>
      <c r="H83" s="134" t="s">
        <v>411</v>
      </c>
      <c r="I83" s="7" t="s">
        <v>158</v>
      </c>
      <c r="J83" s="7" t="s">
        <v>13</v>
      </c>
      <c r="K83" s="7"/>
      <c r="L83" s="7" t="s">
        <v>167</v>
      </c>
      <c r="M83" s="7" t="s">
        <v>381</v>
      </c>
      <c r="N83" s="7" t="s">
        <v>170</v>
      </c>
      <c r="O83" s="7" t="s">
        <v>162</v>
      </c>
      <c r="P83" s="7" t="s">
        <v>6679</v>
      </c>
      <c r="Q83" s="129">
        <v>46199</v>
      </c>
      <c r="R83" s="130">
        <v>46199</v>
      </c>
      <c r="S83" s="131">
        <v>0</v>
      </c>
      <c r="T83" s="127"/>
      <c r="U83" s="127">
        <v>1</v>
      </c>
      <c r="V83" s="127"/>
      <c r="W83" s="127"/>
      <c r="X83" s="135">
        <f t="shared" si="10"/>
        <v>0</v>
      </c>
      <c r="Y83" s="135" t="b">
        <f t="shared" si="11"/>
        <v>0</v>
      </c>
      <c r="Z83" s="135" t="b">
        <f t="shared" si="12"/>
        <v>0</v>
      </c>
      <c r="AA83" s="135" t="b">
        <f t="shared" si="13"/>
        <v>0</v>
      </c>
      <c r="AB83" s="7" t="s">
        <v>173</v>
      </c>
      <c r="AC83" s="7" t="s">
        <v>402</v>
      </c>
    </row>
    <row r="84" spans="1:29" hidden="1" x14ac:dyDescent="0.25">
      <c r="A84" s="135">
        <v>70</v>
      </c>
      <c r="B84" s="136" t="str">
        <f t="shared" si="9"/>
        <v>NAMS</v>
      </c>
      <c r="C84" s="136" t="str">
        <f>+VLOOKUP(AC84,Ходим!A:B,2,0)</f>
        <v>30302965960014</v>
      </c>
      <c r="D84" s="136" t="str">
        <f>IFERROR(VLOOKUP($B:$B,[20]свод!$A:$AB,3,0)," ")</f>
        <v>Наманган шаҳар</v>
      </c>
      <c r="E84" s="7" t="s">
        <v>2070</v>
      </c>
      <c r="F84" s="7" t="s">
        <v>8465</v>
      </c>
      <c r="G84" s="134">
        <v>1</v>
      </c>
      <c r="H84" s="134" t="s">
        <v>411</v>
      </c>
      <c r="I84" s="7" t="s">
        <v>158</v>
      </c>
      <c r="J84" s="7" t="s">
        <v>10639</v>
      </c>
      <c r="K84" s="7"/>
      <c r="L84" s="7" t="s">
        <v>167</v>
      </c>
      <c r="M84" s="7" t="s">
        <v>4810</v>
      </c>
      <c r="N84" s="7" t="s">
        <v>170</v>
      </c>
      <c r="O84" s="7" t="s">
        <v>162</v>
      </c>
      <c r="P84" s="7" t="s">
        <v>6737</v>
      </c>
      <c r="Q84" s="129">
        <v>46199</v>
      </c>
      <c r="R84" s="130">
        <v>46199</v>
      </c>
      <c r="S84" s="131">
        <v>0</v>
      </c>
      <c r="T84" s="127"/>
      <c r="U84" s="127">
        <v>1</v>
      </c>
      <c r="V84" s="127"/>
      <c r="W84" s="127"/>
      <c r="X84" s="135">
        <f t="shared" si="10"/>
        <v>0</v>
      </c>
      <c r="Y84" s="135" t="b">
        <f t="shared" si="11"/>
        <v>0</v>
      </c>
      <c r="Z84" s="135" t="b">
        <f t="shared" si="12"/>
        <v>0</v>
      </c>
      <c r="AA84" s="135" t="b">
        <f t="shared" si="13"/>
        <v>0</v>
      </c>
      <c r="AB84" s="7" t="s">
        <v>234</v>
      </c>
      <c r="AC84" s="7" t="s">
        <v>304</v>
      </c>
    </row>
    <row r="85" spans="1:29" x14ac:dyDescent="0.25">
      <c r="A85" s="135">
        <v>71</v>
      </c>
      <c r="B85" s="136" t="str">
        <f t="shared" si="9"/>
        <v>CHOT</v>
      </c>
      <c r="C85" s="136" t="str">
        <f>+VLOOKUP(AC85,Ходим!A:B,2,0)</f>
        <v>30608892100030</v>
      </c>
      <c r="D85" s="136" t="str">
        <f>IFERROR(VLOOKUP($B:$B,[20]свод!$A:$AB,3,0)," ")</f>
        <v>Чортоқ тумани</v>
      </c>
      <c r="E85" s="7" t="s">
        <v>2081</v>
      </c>
      <c r="F85" s="7"/>
      <c r="G85" s="134">
        <v>1</v>
      </c>
      <c r="H85" s="134" t="s">
        <v>411</v>
      </c>
      <c r="I85" s="7" t="s">
        <v>154</v>
      </c>
      <c r="J85" s="7" t="s">
        <v>145</v>
      </c>
      <c r="K85" s="7"/>
      <c r="L85" s="7" t="s">
        <v>167</v>
      </c>
      <c r="M85" s="7" t="s">
        <v>4818</v>
      </c>
      <c r="N85" s="7" t="s">
        <v>368</v>
      </c>
      <c r="O85" s="7"/>
      <c r="P85" s="7" t="s">
        <v>6694</v>
      </c>
      <c r="Q85" s="129">
        <v>46199</v>
      </c>
      <c r="R85" s="130">
        <v>46199</v>
      </c>
      <c r="S85" s="131">
        <v>0</v>
      </c>
      <c r="T85" s="127"/>
      <c r="U85" s="127">
        <v>1</v>
      </c>
      <c r="V85" s="127"/>
      <c r="W85" s="127"/>
      <c r="X85" s="135">
        <f t="shared" si="10"/>
        <v>0</v>
      </c>
      <c r="Y85" s="135" t="b">
        <f t="shared" si="11"/>
        <v>0</v>
      </c>
      <c r="Z85" s="135" t="b">
        <f t="shared" si="12"/>
        <v>0</v>
      </c>
      <c r="AA85" s="135" t="b">
        <f t="shared" si="13"/>
        <v>0</v>
      </c>
      <c r="AB85" s="7" t="s">
        <v>10635</v>
      </c>
      <c r="AC85" s="7" t="s">
        <v>266</v>
      </c>
    </row>
    <row r="86" spans="1:29" x14ac:dyDescent="0.25">
      <c r="A86" s="135">
        <v>72</v>
      </c>
      <c r="B86" s="136" t="str">
        <f t="shared" si="9"/>
        <v>CHOT</v>
      </c>
      <c r="C86" s="136" t="str">
        <f>+VLOOKUP(AC86,Ходим!A:B,2,0)</f>
        <v>30608892100030</v>
      </c>
      <c r="D86" s="136" t="str">
        <f>IFERROR(VLOOKUP($B:$B,[20]свод!$A:$AB,3,0)," ")</f>
        <v>Чортоқ тумани</v>
      </c>
      <c r="E86" s="7" t="s">
        <v>2084</v>
      </c>
      <c r="F86" s="7"/>
      <c r="G86" s="134" t="s">
        <v>411</v>
      </c>
      <c r="H86" s="134">
        <v>1</v>
      </c>
      <c r="I86" s="7" t="s">
        <v>154</v>
      </c>
      <c r="J86" s="7" t="s">
        <v>145</v>
      </c>
      <c r="K86" s="7"/>
      <c r="L86" s="7" t="s">
        <v>166</v>
      </c>
      <c r="M86" s="7" t="s">
        <v>4820</v>
      </c>
      <c r="N86" s="7" t="s">
        <v>368</v>
      </c>
      <c r="O86" s="7"/>
      <c r="P86" s="7" t="s">
        <v>6740</v>
      </c>
      <c r="Q86" s="129">
        <v>46199</v>
      </c>
      <c r="R86" s="130">
        <v>46198</v>
      </c>
      <c r="S86" s="131">
        <v>-1</v>
      </c>
      <c r="T86" s="127">
        <v>1</v>
      </c>
      <c r="U86" s="127"/>
      <c r="V86" s="127">
        <v>1</v>
      </c>
      <c r="W86" s="127"/>
      <c r="X86" s="135">
        <f t="shared" si="10"/>
        <v>0</v>
      </c>
      <c r="Y86" s="135" t="b">
        <f t="shared" si="11"/>
        <v>0</v>
      </c>
      <c r="Z86" s="135" t="b">
        <f t="shared" si="12"/>
        <v>0</v>
      </c>
      <c r="AA86" s="135" t="b">
        <f t="shared" si="13"/>
        <v>0</v>
      </c>
      <c r="AB86" s="7" t="s">
        <v>10635</v>
      </c>
      <c r="AC86" s="7" t="s">
        <v>266</v>
      </c>
    </row>
    <row r="87" spans="1:29" x14ac:dyDescent="0.25">
      <c r="A87" s="135">
        <v>73</v>
      </c>
      <c r="B87" s="136" t="str">
        <f t="shared" si="9"/>
        <v>UCQT</v>
      </c>
      <c r="C87" s="136" t="str">
        <f>+VLOOKUP(AC87,Ходим!A:B,2,0)</f>
        <v>42005872150022</v>
      </c>
      <c r="D87" s="136" t="str">
        <f>IFERROR(VLOOKUP($B:$B,[20]свод!$A:$AB,3,0)," ")</f>
        <v>Учқўрғон тумани</v>
      </c>
      <c r="E87" s="7" t="s">
        <v>2087</v>
      </c>
      <c r="F87" s="7" t="s">
        <v>8480</v>
      </c>
      <c r="G87" s="134">
        <v>1</v>
      </c>
      <c r="H87" s="134" t="s">
        <v>411</v>
      </c>
      <c r="I87" s="7" t="s">
        <v>158</v>
      </c>
      <c r="J87" s="7" t="s">
        <v>36</v>
      </c>
      <c r="K87" s="7"/>
      <c r="L87" s="7" t="s">
        <v>167</v>
      </c>
      <c r="M87" s="7" t="s">
        <v>4822</v>
      </c>
      <c r="N87" s="7" t="s">
        <v>170</v>
      </c>
      <c r="O87" s="7" t="s">
        <v>162</v>
      </c>
      <c r="P87" s="7" t="s">
        <v>6742</v>
      </c>
      <c r="Q87" s="129">
        <v>46199</v>
      </c>
      <c r="R87" s="130">
        <v>46199</v>
      </c>
      <c r="S87" s="131">
        <v>0</v>
      </c>
      <c r="T87" s="127"/>
      <c r="U87" s="127">
        <v>1</v>
      </c>
      <c r="V87" s="127"/>
      <c r="W87" s="127"/>
      <c r="X87" s="135">
        <f t="shared" si="10"/>
        <v>0</v>
      </c>
      <c r="Y87" s="135" t="b">
        <f t="shared" si="11"/>
        <v>0</v>
      </c>
      <c r="Z87" s="135" t="b">
        <f t="shared" si="12"/>
        <v>0</v>
      </c>
      <c r="AA87" s="135" t="b">
        <f t="shared" si="13"/>
        <v>0</v>
      </c>
      <c r="AB87" s="7" t="s">
        <v>390</v>
      </c>
      <c r="AC87" s="7" t="s">
        <v>176</v>
      </c>
    </row>
    <row r="88" spans="1:29" x14ac:dyDescent="0.25">
      <c r="A88" s="135">
        <v>75</v>
      </c>
      <c r="B88" s="136" t="str">
        <f t="shared" si="9"/>
        <v>NAMS</v>
      </c>
      <c r="C88" s="136" t="str">
        <f>+VLOOKUP(AC88,Ходим!A:B,2,0)</f>
        <v>32211885960016</v>
      </c>
      <c r="D88" s="136" t="str">
        <f>IFERROR(VLOOKUP($B:$B,[20]свод!$A:$AB,3,0)," ")</f>
        <v>Наманган шаҳар</v>
      </c>
      <c r="E88" s="7" t="s">
        <v>2098</v>
      </c>
      <c r="F88" s="7" t="s">
        <v>8491</v>
      </c>
      <c r="G88" s="134" t="s">
        <v>411</v>
      </c>
      <c r="H88" s="134">
        <v>1</v>
      </c>
      <c r="I88" s="7" t="s">
        <v>154</v>
      </c>
      <c r="J88" s="7" t="s">
        <v>10</v>
      </c>
      <c r="K88" s="7"/>
      <c r="L88" s="7" t="s">
        <v>166</v>
      </c>
      <c r="M88" s="7" t="s">
        <v>4827</v>
      </c>
      <c r="N88" s="7" t="s">
        <v>170</v>
      </c>
      <c r="O88" s="7" t="s">
        <v>161</v>
      </c>
      <c r="P88" s="7" t="s">
        <v>6664</v>
      </c>
      <c r="Q88" s="129">
        <v>46199</v>
      </c>
      <c r="R88" s="130">
        <v>46199</v>
      </c>
      <c r="S88" s="131">
        <v>0</v>
      </c>
      <c r="T88" s="127"/>
      <c r="U88" s="127">
        <v>1</v>
      </c>
      <c r="V88" s="127"/>
      <c r="W88" s="127"/>
      <c r="X88" s="135">
        <f t="shared" si="10"/>
        <v>0</v>
      </c>
      <c r="Y88" s="135" t="b">
        <f t="shared" si="11"/>
        <v>0</v>
      </c>
      <c r="Z88" s="135" t="b">
        <f t="shared" si="12"/>
        <v>0</v>
      </c>
      <c r="AA88" s="135" t="b">
        <f t="shared" si="13"/>
        <v>0</v>
      </c>
      <c r="AB88" s="7" t="s">
        <v>227</v>
      </c>
      <c r="AC88" s="7" t="s">
        <v>279</v>
      </c>
    </row>
    <row r="89" spans="1:29" x14ac:dyDescent="0.25">
      <c r="A89" s="135">
        <v>78</v>
      </c>
      <c r="B89" s="136" t="str">
        <f t="shared" si="9"/>
        <v>KSST</v>
      </c>
      <c r="C89" s="136" t="str">
        <f>+VLOOKUP(AC89,Ходим!A:B,2,0)</f>
        <v>50709025980034</v>
      </c>
      <c r="D89" s="136" t="str">
        <f>IFERROR(VLOOKUP($B:$B,[20]свод!$A:$AB,3,0)," ")</f>
        <v>Косонсой тумани</v>
      </c>
      <c r="E89" s="7" t="s">
        <v>2101</v>
      </c>
      <c r="F89" s="7" t="s">
        <v>8494</v>
      </c>
      <c r="G89" s="134">
        <v>1</v>
      </c>
      <c r="H89" s="134" t="s">
        <v>411</v>
      </c>
      <c r="I89" s="7" t="s">
        <v>158</v>
      </c>
      <c r="J89" s="7" t="s">
        <v>1</v>
      </c>
      <c r="K89" s="7"/>
      <c r="L89" s="7" t="s">
        <v>167</v>
      </c>
      <c r="M89" s="7" t="s">
        <v>383</v>
      </c>
      <c r="N89" s="7" t="s">
        <v>170</v>
      </c>
      <c r="O89" s="7" t="s">
        <v>162</v>
      </c>
      <c r="P89" s="7" t="s">
        <v>6749</v>
      </c>
      <c r="Q89" s="129">
        <v>46199</v>
      </c>
      <c r="R89" s="130">
        <v>46199</v>
      </c>
      <c r="S89" s="131">
        <v>0</v>
      </c>
      <c r="T89" s="127"/>
      <c r="U89" s="127">
        <v>1</v>
      </c>
      <c r="V89" s="127"/>
      <c r="W89" s="127"/>
      <c r="X89" s="135">
        <f t="shared" si="10"/>
        <v>0</v>
      </c>
      <c r="Y89" s="135" t="b">
        <f t="shared" si="11"/>
        <v>0</v>
      </c>
      <c r="Z89" s="135" t="b">
        <f t="shared" si="12"/>
        <v>0</v>
      </c>
      <c r="AA89" s="135" t="b">
        <f t="shared" si="13"/>
        <v>0</v>
      </c>
      <c r="AB89" s="7" t="s">
        <v>180</v>
      </c>
      <c r="AC89" s="7" t="s">
        <v>286</v>
      </c>
    </row>
    <row r="90" spans="1:29" hidden="1" x14ac:dyDescent="0.25">
      <c r="A90" s="135">
        <v>79</v>
      </c>
      <c r="B90" s="136" t="str">
        <f t="shared" si="9"/>
        <v>KSST</v>
      </c>
      <c r="C90" s="136" t="str">
        <f>+VLOOKUP(AC90,Ходим!A:B,2,0)</f>
        <v>32910975980025</v>
      </c>
      <c r="D90" s="136" t="str">
        <f>IFERROR(VLOOKUP($B:$B,[20]свод!$A:$AB,3,0)," ")</f>
        <v>Косонсой тумани</v>
      </c>
      <c r="E90" s="7" t="s">
        <v>2111</v>
      </c>
      <c r="F90" s="7" t="s">
        <v>8504</v>
      </c>
      <c r="G90" s="134" t="s">
        <v>411</v>
      </c>
      <c r="H90" s="134">
        <v>1</v>
      </c>
      <c r="I90" s="7" t="s">
        <v>157</v>
      </c>
      <c r="J90" s="7" t="s">
        <v>10639</v>
      </c>
      <c r="K90" s="7"/>
      <c r="L90" s="7" t="s">
        <v>168</v>
      </c>
      <c r="M90" s="7" t="s">
        <v>4834</v>
      </c>
      <c r="N90" s="7" t="s">
        <v>170</v>
      </c>
      <c r="O90" s="7" t="s">
        <v>161</v>
      </c>
      <c r="P90" s="7" t="s">
        <v>6317</v>
      </c>
      <c r="Q90" s="129">
        <v>46199</v>
      </c>
      <c r="R90" s="130">
        <v>46199</v>
      </c>
      <c r="S90" s="131">
        <v>0</v>
      </c>
      <c r="T90" s="127"/>
      <c r="U90" s="127">
        <v>1</v>
      </c>
      <c r="V90" s="127"/>
      <c r="W90" s="127"/>
      <c r="X90" s="135">
        <f t="shared" si="10"/>
        <v>0</v>
      </c>
      <c r="Y90" s="135" t="b">
        <f t="shared" si="11"/>
        <v>0</v>
      </c>
      <c r="Z90" s="135" t="b">
        <f t="shared" si="12"/>
        <v>0</v>
      </c>
      <c r="AA90" s="135" t="b">
        <f t="shared" si="13"/>
        <v>0</v>
      </c>
      <c r="AB90" s="7" t="s">
        <v>180</v>
      </c>
      <c r="AC90" s="7" t="s">
        <v>187</v>
      </c>
    </row>
    <row r="91" spans="1:29" x14ac:dyDescent="0.25">
      <c r="A91" s="135">
        <v>80</v>
      </c>
      <c r="B91" s="136" t="str">
        <f t="shared" si="9"/>
        <v>UCQT</v>
      </c>
      <c r="C91" s="136" t="str">
        <f>+VLOOKUP(AC91,Ходим!A:B,2,0)</f>
        <v>42005872150022</v>
      </c>
      <c r="D91" s="136" t="str">
        <f>IFERROR(VLOOKUP($B:$B,[20]свод!$A:$AB,3,0)," ")</f>
        <v>Учқўрғон тумани</v>
      </c>
      <c r="E91" s="7" t="s">
        <v>2113</v>
      </c>
      <c r="F91" s="7" t="s">
        <v>8506</v>
      </c>
      <c r="G91" s="134">
        <v>1</v>
      </c>
      <c r="H91" s="134" t="s">
        <v>411</v>
      </c>
      <c r="I91" s="7" t="s">
        <v>158</v>
      </c>
      <c r="J91" s="7" t="s">
        <v>12</v>
      </c>
      <c r="K91" s="7"/>
      <c r="L91" s="7" t="s">
        <v>167</v>
      </c>
      <c r="M91" s="7" t="s">
        <v>4836</v>
      </c>
      <c r="N91" s="7" t="s">
        <v>170</v>
      </c>
      <c r="O91" s="7" t="s">
        <v>162</v>
      </c>
      <c r="P91" s="7" t="s">
        <v>6657</v>
      </c>
      <c r="Q91" s="129">
        <v>46199</v>
      </c>
      <c r="R91" s="130">
        <v>46199</v>
      </c>
      <c r="S91" s="131">
        <v>0</v>
      </c>
      <c r="T91" s="127"/>
      <c r="U91" s="127">
        <v>1</v>
      </c>
      <c r="V91" s="127"/>
      <c r="W91" s="127"/>
      <c r="X91" s="135">
        <f t="shared" si="10"/>
        <v>0</v>
      </c>
      <c r="Y91" s="135" t="b">
        <f t="shared" si="11"/>
        <v>0</v>
      </c>
      <c r="Z91" s="135" t="b">
        <f t="shared" si="12"/>
        <v>0</v>
      </c>
      <c r="AA91" s="135" t="b">
        <f t="shared" si="13"/>
        <v>0</v>
      </c>
      <c r="AB91" s="7" t="s">
        <v>390</v>
      </c>
      <c r="AC91" s="7" t="s">
        <v>176</v>
      </c>
    </row>
    <row r="92" spans="1:29" x14ac:dyDescent="0.25">
      <c r="A92" s="135">
        <v>81</v>
      </c>
      <c r="B92" s="136" t="str">
        <f t="shared" si="9"/>
        <v>UCQT</v>
      </c>
      <c r="C92" s="136" t="str">
        <f>+VLOOKUP(AC92,Ходим!A:B,2,0)</f>
        <v>42005872150022</v>
      </c>
      <c r="D92" s="136" t="str">
        <f>IFERROR(VLOOKUP($B:$B,[20]свод!$A:$AB,3,0)," ")</f>
        <v>Учқўрғон тумани</v>
      </c>
      <c r="E92" s="7" t="s">
        <v>2121</v>
      </c>
      <c r="F92" s="7" t="s">
        <v>8514</v>
      </c>
      <c r="G92" s="134">
        <v>1</v>
      </c>
      <c r="H92" s="134" t="s">
        <v>411</v>
      </c>
      <c r="I92" s="7" t="s">
        <v>158</v>
      </c>
      <c r="J92" s="7" t="s">
        <v>16</v>
      </c>
      <c r="K92" s="7"/>
      <c r="L92" s="7" t="s">
        <v>167</v>
      </c>
      <c r="M92" s="7" t="s">
        <v>4842</v>
      </c>
      <c r="N92" s="7" t="s">
        <v>170</v>
      </c>
      <c r="O92" s="7" t="s">
        <v>162</v>
      </c>
      <c r="P92" s="7" t="s">
        <v>6659</v>
      </c>
      <c r="Q92" s="129">
        <v>46199</v>
      </c>
      <c r="R92" s="130">
        <v>46199</v>
      </c>
      <c r="S92" s="131">
        <v>0</v>
      </c>
      <c r="T92" s="127"/>
      <c r="U92" s="127">
        <v>1</v>
      </c>
      <c r="V92" s="127"/>
      <c r="W92" s="127"/>
      <c r="X92" s="135">
        <f t="shared" si="10"/>
        <v>0</v>
      </c>
      <c r="Y92" s="135" t="b">
        <f t="shared" si="11"/>
        <v>0</v>
      </c>
      <c r="Z92" s="135" t="b">
        <f t="shared" si="12"/>
        <v>0</v>
      </c>
      <c r="AA92" s="135" t="b">
        <f t="shared" si="13"/>
        <v>0</v>
      </c>
      <c r="AB92" s="7" t="s">
        <v>390</v>
      </c>
      <c r="AC92" s="7" t="s">
        <v>176</v>
      </c>
    </row>
    <row r="93" spans="1:29" x14ac:dyDescent="0.25">
      <c r="A93" s="135">
        <v>82</v>
      </c>
      <c r="B93" s="136" t="str">
        <f t="shared" si="9"/>
        <v>MINT</v>
      </c>
      <c r="C93" s="136" t="str">
        <f>+VLOOKUP(AC93,Ходим!A:B,2,0)</f>
        <v>53110035990017</v>
      </c>
      <c r="D93" s="136" t="str">
        <f>IFERROR(VLOOKUP($B:$B,[20]свод!$A:$AB,3,0)," ")</f>
        <v>Мингбулоқ тумани</v>
      </c>
      <c r="E93" s="7" t="s">
        <v>2124</v>
      </c>
      <c r="F93" s="7" t="s">
        <v>8517</v>
      </c>
      <c r="G93" s="134">
        <v>1</v>
      </c>
      <c r="H93" s="134" t="s">
        <v>411</v>
      </c>
      <c r="I93" s="7" t="s">
        <v>158</v>
      </c>
      <c r="J93" s="7" t="s">
        <v>134</v>
      </c>
      <c r="K93" s="7"/>
      <c r="L93" s="7"/>
      <c r="M93" s="7"/>
      <c r="N93" s="7" t="s">
        <v>410</v>
      </c>
      <c r="O93" s="7" t="s">
        <v>162</v>
      </c>
      <c r="P93" s="7" t="s">
        <v>6757</v>
      </c>
      <c r="Q93" s="129">
        <v>46199</v>
      </c>
      <c r="R93" s="130">
        <v>46199</v>
      </c>
      <c r="S93" s="131">
        <v>0</v>
      </c>
      <c r="T93" s="127"/>
      <c r="U93" s="127">
        <v>1</v>
      </c>
      <c r="V93" s="127"/>
      <c r="W93" s="127"/>
      <c r="X93" s="135">
        <f t="shared" si="10"/>
        <v>0</v>
      </c>
      <c r="Y93" s="135" t="b">
        <f t="shared" si="11"/>
        <v>0</v>
      </c>
      <c r="Z93" s="135" t="b">
        <f t="shared" si="12"/>
        <v>0</v>
      </c>
      <c r="AA93" s="135" t="b">
        <f t="shared" si="13"/>
        <v>0</v>
      </c>
      <c r="AB93" s="7" t="s">
        <v>220</v>
      </c>
      <c r="AC93" s="7" t="s">
        <v>372</v>
      </c>
    </row>
    <row r="94" spans="1:29" hidden="1" x14ac:dyDescent="0.25">
      <c r="A94" s="135">
        <v>83</v>
      </c>
      <c r="B94" s="136" t="str">
        <f t="shared" si="9"/>
        <v>YGQT</v>
      </c>
      <c r="C94" s="136" t="str">
        <f>+VLOOKUP(AC94,Ходим!A:B,2,0)</f>
        <v>30107965950010</v>
      </c>
      <c r="D94" s="136" t="str">
        <f>IFERROR(VLOOKUP($B:$B,[20]свод!$A:$AB,3,0)," ")</f>
        <v>Янгиқўрғон тумани</v>
      </c>
      <c r="E94" s="7" t="s">
        <v>2133</v>
      </c>
      <c r="F94" s="7" t="s">
        <v>8525</v>
      </c>
      <c r="G94" s="134">
        <v>1</v>
      </c>
      <c r="H94" s="134" t="s">
        <v>411</v>
      </c>
      <c r="I94" s="7" t="s">
        <v>158</v>
      </c>
      <c r="J94" s="7" t="s">
        <v>10639</v>
      </c>
      <c r="K94" s="7"/>
      <c r="L94" s="7" t="s">
        <v>167</v>
      </c>
      <c r="M94" s="7" t="s">
        <v>4849</v>
      </c>
      <c r="N94" s="7" t="s">
        <v>170</v>
      </c>
      <c r="O94" s="7" t="s">
        <v>162</v>
      </c>
      <c r="P94" s="7" t="s">
        <v>6762</v>
      </c>
      <c r="Q94" s="129">
        <v>46199</v>
      </c>
      <c r="R94" s="130">
        <v>46192</v>
      </c>
      <c r="S94" s="131">
        <v>-7</v>
      </c>
      <c r="T94" s="127">
        <v>1</v>
      </c>
      <c r="U94" s="127"/>
      <c r="V94" s="127">
        <v>1</v>
      </c>
      <c r="W94" s="127"/>
      <c r="X94" s="135">
        <f t="shared" si="10"/>
        <v>0</v>
      </c>
      <c r="Y94" s="135" t="b">
        <f t="shared" si="11"/>
        <v>0</v>
      </c>
      <c r="Z94" s="135" t="b">
        <f t="shared" si="12"/>
        <v>0</v>
      </c>
      <c r="AA94" s="135" t="b">
        <f t="shared" si="13"/>
        <v>0</v>
      </c>
      <c r="AB94" s="7" t="s">
        <v>182</v>
      </c>
      <c r="AC94" s="7" t="s">
        <v>244</v>
      </c>
    </row>
    <row r="95" spans="1:29" x14ac:dyDescent="0.25">
      <c r="A95" s="135">
        <v>85</v>
      </c>
      <c r="B95" s="136" t="str">
        <f t="shared" si="9"/>
        <v>TORT</v>
      </c>
      <c r="C95" s="136">
        <f>+VLOOKUP(AC95,Ходим!A:B,2,0)</f>
        <v>30603862130011</v>
      </c>
      <c r="D95" s="136" t="str">
        <f>IFERROR(VLOOKUP($B:$B,[20]свод!$A:$AB,3,0)," ")</f>
        <v>Тўрақўрғон тумани</v>
      </c>
      <c r="E95" s="7" t="s">
        <v>2134</v>
      </c>
      <c r="F95" s="7" t="s">
        <v>8526</v>
      </c>
      <c r="G95" s="134">
        <v>1</v>
      </c>
      <c r="H95" s="134" t="s">
        <v>411</v>
      </c>
      <c r="I95" s="7" t="s">
        <v>158</v>
      </c>
      <c r="J95" s="7" t="s">
        <v>1</v>
      </c>
      <c r="K95" s="7"/>
      <c r="L95" s="7" t="s">
        <v>167</v>
      </c>
      <c r="M95" s="7" t="s">
        <v>4850</v>
      </c>
      <c r="N95" s="7" t="s">
        <v>170</v>
      </c>
      <c r="O95" s="7" t="s">
        <v>162</v>
      </c>
      <c r="P95" s="7" t="s">
        <v>6676</v>
      </c>
      <c r="Q95" s="129">
        <v>46199</v>
      </c>
      <c r="R95" s="130">
        <v>46199</v>
      </c>
      <c r="S95" s="131">
        <v>0</v>
      </c>
      <c r="T95" s="127"/>
      <c r="U95" s="127">
        <v>1</v>
      </c>
      <c r="V95" s="127"/>
      <c r="W95" s="127"/>
      <c r="X95" s="135">
        <f t="shared" si="10"/>
        <v>0</v>
      </c>
      <c r="Y95" s="135" t="b">
        <f t="shared" si="11"/>
        <v>0</v>
      </c>
      <c r="Z95" s="135" t="b">
        <f t="shared" si="12"/>
        <v>0</v>
      </c>
      <c r="AA95" s="135" t="b">
        <f t="shared" si="13"/>
        <v>0</v>
      </c>
      <c r="AB95" s="7" t="s">
        <v>309</v>
      </c>
      <c r="AC95" s="7" t="s">
        <v>950</v>
      </c>
    </row>
    <row r="96" spans="1:29" hidden="1" x14ac:dyDescent="0.25">
      <c r="A96" s="135">
        <v>86</v>
      </c>
      <c r="B96" s="136" t="str">
        <f t="shared" si="9"/>
        <v>MINT</v>
      </c>
      <c r="C96" s="136" t="str">
        <f>+VLOOKUP(AC96,Ходим!A:B,2,0)</f>
        <v>31205995920018</v>
      </c>
      <c r="D96" s="136" t="str">
        <f>IFERROR(VLOOKUP($B:$B,[20]свод!$A:$AB,3,0)," ")</f>
        <v>Мингбулоқ тумани</v>
      </c>
      <c r="E96" s="7" t="s">
        <v>2141</v>
      </c>
      <c r="F96" s="7" t="s">
        <v>8533</v>
      </c>
      <c r="G96" s="134">
        <v>1</v>
      </c>
      <c r="H96" s="134" t="s">
        <v>411</v>
      </c>
      <c r="I96" s="7" t="s">
        <v>158</v>
      </c>
      <c r="J96" s="7" t="s">
        <v>10638</v>
      </c>
      <c r="K96" s="7"/>
      <c r="L96" s="7" t="s">
        <v>167</v>
      </c>
      <c r="M96" s="7" t="s">
        <v>4852</v>
      </c>
      <c r="N96" s="7" t="s">
        <v>170</v>
      </c>
      <c r="O96" s="7" t="s">
        <v>162</v>
      </c>
      <c r="P96" s="7" t="s">
        <v>6296</v>
      </c>
      <c r="Q96" s="129">
        <v>46199</v>
      </c>
      <c r="R96" s="130">
        <v>46199</v>
      </c>
      <c r="S96" s="131">
        <v>0</v>
      </c>
      <c r="T96" s="127"/>
      <c r="U96" s="127">
        <v>1</v>
      </c>
      <c r="V96" s="127"/>
      <c r="W96" s="127"/>
      <c r="X96" s="135">
        <f t="shared" si="10"/>
        <v>0</v>
      </c>
      <c r="Y96" s="135" t="b">
        <f t="shared" si="11"/>
        <v>0</v>
      </c>
      <c r="Z96" s="135" t="b">
        <f t="shared" si="12"/>
        <v>0</v>
      </c>
      <c r="AA96" s="135" t="b">
        <f t="shared" si="13"/>
        <v>0</v>
      </c>
      <c r="AB96" s="7" t="s">
        <v>220</v>
      </c>
      <c r="AC96" s="7" t="s">
        <v>271</v>
      </c>
    </row>
    <row r="97" spans="1:29" hidden="1" x14ac:dyDescent="0.25">
      <c r="A97" s="135">
        <v>87</v>
      </c>
      <c r="B97" s="136" t="str">
        <f t="shared" si="9"/>
        <v>CHUT</v>
      </c>
      <c r="C97" s="136" t="str">
        <f>+VLOOKUP(AC97,Ходим!A:B,2,0)</f>
        <v>30409785970022</v>
      </c>
      <c r="D97" s="136" t="str">
        <f>IFERROR(VLOOKUP($B:$B,[20]свод!$A:$AB,3,0)," ")</f>
        <v>Чуст тумани</v>
      </c>
      <c r="E97" s="7" t="s">
        <v>2146</v>
      </c>
      <c r="F97" s="7" t="s">
        <v>8538</v>
      </c>
      <c r="G97" s="134" t="s">
        <v>411</v>
      </c>
      <c r="H97" s="134">
        <v>1</v>
      </c>
      <c r="I97" s="7" t="s">
        <v>157</v>
      </c>
      <c r="J97" s="7" t="s">
        <v>10639</v>
      </c>
      <c r="K97" s="7"/>
      <c r="L97" s="7" t="s">
        <v>166</v>
      </c>
      <c r="M97" s="7" t="s">
        <v>4856</v>
      </c>
      <c r="N97" s="7" t="s">
        <v>170</v>
      </c>
      <c r="O97" s="7" t="s">
        <v>161</v>
      </c>
      <c r="P97" s="7" t="s">
        <v>6767</v>
      </c>
      <c r="Q97" s="129">
        <v>46199</v>
      </c>
      <c r="R97" s="130">
        <v>46197</v>
      </c>
      <c r="S97" s="131">
        <v>-2</v>
      </c>
      <c r="T97" s="127">
        <v>1</v>
      </c>
      <c r="U97" s="127"/>
      <c r="V97" s="127">
        <v>1</v>
      </c>
      <c r="W97" s="127"/>
      <c r="X97" s="135">
        <f t="shared" si="10"/>
        <v>0</v>
      </c>
      <c r="Y97" s="135" t="b">
        <f t="shared" si="11"/>
        <v>0</v>
      </c>
      <c r="Z97" s="135" t="b">
        <f t="shared" si="12"/>
        <v>0</v>
      </c>
      <c r="AA97" s="135" t="b">
        <f t="shared" si="13"/>
        <v>0</v>
      </c>
      <c r="AB97" s="7" t="s">
        <v>178</v>
      </c>
      <c r="AC97" s="7" t="s">
        <v>191</v>
      </c>
    </row>
    <row r="98" spans="1:29" hidden="1" x14ac:dyDescent="0.25">
      <c r="A98" s="135">
        <v>88</v>
      </c>
      <c r="B98" s="136" t="str">
        <f t="shared" ref="B98:B121" si="14">LEFT(E98,4)</f>
        <v>UYCT</v>
      </c>
      <c r="C98" s="136" t="str">
        <f>+VLOOKUP(AC98,Ходим!A:B,2,0)</f>
        <v>31101985930022</v>
      </c>
      <c r="D98" s="136" t="str">
        <f>IFERROR(VLOOKUP($B:$B,[20]свод!$A:$AB,3,0)," ")</f>
        <v>Уйчи тумани</v>
      </c>
      <c r="E98" s="7" t="s">
        <v>2159</v>
      </c>
      <c r="F98" s="7" t="s">
        <v>8550</v>
      </c>
      <c r="G98" s="134">
        <v>1</v>
      </c>
      <c r="H98" s="134" t="s">
        <v>411</v>
      </c>
      <c r="I98" s="7" t="s">
        <v>158</v>
      </c>
      <c r="J98" s="7" t="s">
        <v>10638</v>
      </c>
      <c r="K98" s="7"/>
      <c r="L98" s="7" t="s">
        <v>167</v>
      </c>
      <c r="M98" s="7" t="s">
        <v>4866</v>
      </c>
      <c r="N98" s="7" t="s">
        <v>170</v>
      </c>
      <c r="O98" s="7" t="s">
        <v>162</v>
      </c>
      <c r="P98" s="7" t="s">
        <v>6534</v>
      </c>
      <c r="Q98" s="129">
        <v>46199</v>
      </c>
      <c r="R98" s="130">
        <v>46199</v>
      </c>
      <c r="S98" s="131">
        <v>0</v>
      </c>
      <c r="T98" s="127"/>
      <c r="U98" s="127">
        <v>1</v>
      </c>
      <c r="V98" s="127"/>
      <c r="W98" s="127"/>
      <c r="X98" s="135">
        <f t="shared" si="10"/>
        <v>0</v>
      </c>
      <c r="Y98" s="135" t="b">
        <f t="shared" ref="Y98:Y121" si="15">IF(J98="Arizani qabul qilish",IF(X98=1,"Arizani qabul qilish2","Arizani qabul qilish"))</f>
        <v>0</v>
      </c>
      <c r="Z98" s="135" t="b">
        <f t="shared" ref="Z98:Z121" si="16">IF(J98="Rad qilish",IF(X98=1,"Rad qilish2","Rad qilish"))</f>
        <v>0</v>
      </c>
      <c r="AA98" s="135" t="b">
        <f t="shared" ref="AA98:AA121" si="17">+IF(J98="Arizani qabul qilish",Y98,IF(J98="Rad qilish",Z98))</f>
        <v>0</v>
      </c>
      <c r="AB98" s="7" t="s">
        <v>379</v>
      </c>
      <c r="AC98" s="7" t="s">
        <v>299</v>
      </c>
    </row>
    <row r="99" spans="1:29" x14ac:dyDescent="0.25">
      <c r="A99" s="135">
        <v>89</v>
      </c>
      <c r="B99" s="136" t="str">
        <f t="shared" si="14"/>
        <v>UCQT</v>
      </c>
      <c r="C99" s="136" t="str">
        <f>+VLOOKUP(AC99,Ходим!A:B,2,0)</f>
        <v>42005872150022</v>
      </c>
      <c r="D99" s="136" t="str">
        <f>IFERROR(VLOOKUP($B:$B,[20]свод!$A:$AB,3,0)," ")</f>
        <v>Учқўрғон тумани</v>
      </c>
      <c r="E99" s="7" t="s">
        <v>2160</v>
      </c>
      <c r="F99" s="7" t="s">
        <v>8551</v>
      </c>
      <c r="G99" s="134">
        <v>1</v>
      </c>
      <c r="H99" s="134" t="s">
        <v>411</v>
      </c>
      <c r="I99" s="7" t="s">
        <v>158</v>
      </c>
      <c r="J99" s="7" t="s">
        <v>1</v>
      </c>
      <c r="K99" s="7"/>
      <c r="L99" s="7" t="s">
        <v>167</v>
      </c>
      <c r="M99" s="7" t="s">
        <v>4867</v>
      </c>
      <c r="N99" s="7" t="s">
        <v>170</v>
      </c>
      <c r="O99" s="7" t="s">
        <v>162</v>
      </c>
      <c r="P99" s="7" t="s">
        <v>6664</v>
      </c>
      <c r="Q99" s="129">
        <v>46199</v>
      </c>
      <c r="R99" s="130">
        <v>46199</v>
      </c>
      <c r="S99" s="131">
        <v>0</v>
      </c>
      <c r="T99" s="127"/>
      <c r="U99" s="127">
        <v>1</v>
      </c>
      <c r="V99" s="127"/>
      <c r="W99" s="127"/>
      <c r="X99" s="135">
        <f t="shared" si="10"/>
        <v>0</v>
      </c>
      <c r="Y99" s="135" t="b">
        <f t="shared" si="15"/>
        <v>0</v>
      </c>
      <c r="Z99" s="135" t="b">
        <f t="shared" si="16"/>
        <v>0</v>
      </c>
      <c r="AA99" s="135" t="b">
        <f t="shared" si="17"/>
        <v>0</v>
      </c>
      <c r="AB99" s="7" t="s">
        <v>175</v>
      </c>
      <c r="AC99" s="7" t="s">
        <v>176</v>
      </c>
    </row>
    <row r="100" spans="1:29" x14ac:dyDescent="0.25">
      <c r="A100" s="135">
        <v>91</v>
      </c>
      <c r="B100" s="136" t="str">
        <f t="shared" si="14"/>
        <v>UCQT</v>
      </c>
      <c r="C100" s="136" t="str">
        <f>+VLOOKUP(AC100,Ходим!A:B,2,0)</f>
        <v>32805962150027</v>
      </c>
      <c r="D100" s="136" t="str">
        <f>IFERROR(VLOOKUP($B:$B,[20]свод!$A:$AB,3,0)," ")</f>
        <v>Учқўрғон тумани</v>
      </c>
      <c r="E100" s="7" t="s">
        <v>2165</v>
      </c>
      <c r="F100" s="7" t="s">
        <v>8556</v>
      </c>
      <c r="G100" s="134">
        <v>1</v>
      </c>
      <c r="H100" s="134" t="s">
        <v>411</v>
      </c>
      <c r="I100" s="7" t="s">
        <v>154</v>
      </c>
      <c r="J100" s="7" t="s">
        <v>100</v>
      </c>
      <c r="K100" s="7"/>
      <c r="L100" s="7" t="s">
        <v>167</v>
      </c>
      <c r="M100" s="7" t="s">
        <v>4872</v>
      </c>
      <c r="N100" s="7" t="s">
        <v>170</v>
      </c>
      <c r="O100" s="7" t="s">
        <v>162</v>
      </c>
      <c r="P100" s="7" t="s">
        <v>6774</v>
      </c>
      <c r="Q100" s="129">
        <v>46199</v>
      </c>
      <c r="R100" s="130">
        <v>46199</v>
      </c>
      <c r="S100" s="131">
        <v>0</v>
      </c>
      <c r="T100" s="127"/>
      <c r="U100" s="127">
        <v>1</v>
      </c>
      <c r="V100" s="127"/>
      <c r="W100" s="127"/>
      <c r="X100" s="135">
        <f t="shared" si="10"/>
        <v>0</v>
      </c>
      <c r="Y100" s="135" t="b">
        <f t="shared" si="15"/>
        <v>0</v>
      </c>
      <c r="Z100" s="135" t="b">
        <f t="shared" si="16"/>
        <v>0</v>
      </c>
      <c r="AA100" s="135" t="b">
        <f t="shared" si="17"/>
        <v>0</v>
      </c>
      <c r="AB100" s="7" t="s">
        <v>175</v>
      </c>
      <c r="AC100" s="7" t="s">
        <v>369</v>
      </c>
    </row>
    <row r="101" spans="1:29" x14ac:dyDescent="0.25">
      <c r="A101" s="135">
        <v>92</v>
      </c>
      <c r="B101" s="136" t="str">
        <f t="shared" si="14"/>
        <v>UCQT</v>
      </c>
      <c r="C101" s="136" t="str">
        <f>+VLOOKUP(AC101,Ходим!A:B,2,0)</f>
        <v>31206892150069</v>
      </c>
      <c r="D101" s="136" t="str">
        <f>IFERROR(VLOOKUP($B:$B,[20]свод!$A:$AB,3,0)," ")</f>
        <v>Учқўрғон тумани</v>
      </c>
      <c r="E101" s="7" t="s">
        <v>2182</v>
      </c>
      <c r="F101" s="7" t="s">
        <v>8572</v>
      </c>
      <c r="G101" s="134">
        <v>1</v>
      </c>
      <c r="H101" s="134" t="s">
        <v>411</v>
      </c>
      <c r="I101" s="7" t="s">
        <v>158</v>
      </c>
      <c r="J101" s="7" t="s">
        <v>9</v>
      </c>
      <c r="K101" s="7"/>
      <c r="L101" s="7" t="s">
        <v>167</v>
      </c>
      <c r="M101" s="7" t="s">
        <v>4885</v>
      </c>
      <c r="N101" s="7" t="s">
        <v>170</v>
      </c>
      <c r="O101" s="7" t="s">
        <v>162</v>
      </c>
      <c r="P101" s="7" t="s">
        <v>6782</v>
      </c>
      <c r="Q101" s="129">
        <v>46199</v>
      </c>
      <c r="R101" s="130">
        <v>46199</v>
      </c>
      <c r="S101" s="131">
        <v>0</v>
      </c>
      <c r="T101" s="127"/>
      <c r="U101" s="127">
        <v>1</v>
      </c>
      <c r="V101" s="127"/>
      <c r="W101" s="127"/>
      <c r="X101" s="135">
        <f t="shared" si="10"/>
        <v>0</v>
      </c>
      <c r="Y101" s="135" t="b">
        <f t="shared" si="15"/>
        <v>0</v>
      </c>
      <c r="Z101" s="135" t="b">
        <f t="shared" si="16"/>
        <v>0</v>
      </c>
      <c r="AA101" s="135" t="b">
        <f t="shared" si="17"/>
        <v>0</v>
      </c>
      <c r="AB101" s="7" t="s">
        <v>175</v>
      </c>
      <c r="AC101" s="7" t="s">
        <v>318</v>
      </c>
    </row>
    <row r="102" spans="1:29" x14ac:dyDescent="0.25">
      <c r="A102" s="135">
        <v>93</v>
      </c>
      <c r="B102" s="136" t="str">
        <f t="shared" si="14"/>
        <v>TORT</v>
      </c>
      <c r="C102" s="136" t="str">
        <f>+VLOOKUP(AC102,Ходим!A:B,2,0)</f>
        <v>30708792130017</v>
      </c>
      <c r="D102" s="136" t="str">
        <f>IFERROR(VLOOKUP($B:$B,[20]свод!$A:$AB,3,0)," ")</f>
        <v>Тўрақўрғон тумани</v>
      </c>
      <c r="E102" s="7" t="s">
        <v>2187</v>
      </c>
      <c r="F102" s="7" t="s">
        <v>8577</v>
      </c>
      <c r="G102" s="134">
        <v>1</v>
      </c>
      <c r="H102" s="134" t="s">
        <v>411</v>
      </c>
      <c r="I102" s="7" t="s">
        <v>158</v>
      </c>
      <c r="J102" s="7" t="s">
        <v>1</v>
      </c>
      <c r="K102" s="7"/>
      <c r="L102" s="7" t="s">
        <v>167</v>
      </c>
      <c r="M102" s="7" t="s">
        <v>4887</v>
      </c>
      <c r="N102" s="7" t="s">
        <v>170</v>
      </c>
      <c r="O102" s="7" t="s">
        <v>162</v>
      </c>
      <c r="P102" s="7" t="s">
        <v>6784</v>
      </c>
      <c r="Q102" s="129">
        <v>46199</v>
      </c>
      <c r="R102" s="130">
        <v>46199</v>
      </c>
      <c r="S102" s="131">
        <v>0</v>
      </c>
      <c r="T102" s="127"/>
      <c r="U102" s="127">
        <v>1</v>
      </c>
      <c r="V102" s="127"/>
      <c r="W102" s="127"/>
      <c r="X102" s="135">
        <f t="shared" si="10"/>
        <v>0</v>
      </c>
      <c r="Y102" s="135" t="b">
        <f t="shared" si="15"/>
        <v>0</v>
      </c>
      <c r="Z102" s="135" t="b">
        <f t="shared" si="16"/>
        <v>0</v>
      </c>
      <c r="AA102" s="135" t="b">
        <f t="shared" si="17"/>
        <v>0</v>
      </c>
      <c r="AB102" s="7" t="s">
        <v>203</v>
      </c>
      <c r="AC102" s="7" t="s">
        <v>204</v>
      </c>
    </row>
    <row r="103" spans="1:29" x14ac:dyDescent="0.25">
      <c r="A103" s="135">
        <v>94</v>
      </c>
      <c r="B103" s="136" t="str">
        <f t="shared" si="14"/>
        <v>KSST</v>
      </c>
      <c r="C103" s="136" t="str">
        <f>+VLOOKUP(AC103,Ходим!A:B,2,0)</f>
        <v>31407932190092</v>
      </c>
      <c r="D103" s="136" t="str">
        <f>IFERROR(VLOOKUP($B:$B,[20]свод!$A:$AB,3,0)," ")</f>
        <v>Косонсой тумани</v>
      </c>
      <c r="E103" s="7" t="s">
        <v>2188</v>
      </c>
      <c r="F103" s="7" t="s">
        <v>8578</v>
      </c>
      <c r="G103" s="134" t="s">
        <v>411</v>
      </c>
      <c r="H103" s="134">
        <v>1</v>
      </c>
      <c r="I103" s="7" t="s">
        <v>157</v>
      </c>
      <c r="J103" s="7" t="s">
        <v>1</v>
      </c>
      <c r="K103" s="7"/>
      <c r="L103" s="7" t="s">
        <v>166</v>
      </c>
      <c r="M103" s="7" t="s">
        <v>4888</v>
      </c>
      <c r="N103" s="7" t="s">
        <v>170</v>
      </c>
      <c r="O103" s="7" t="s">
        <v>161</v>
      </c>
      <c r="P103" s="7" t="s">
        <v>6785</v>
      </c>
      <c r="Q103" s="129">
        <v>46199</v>
      </c>
      <c r="R103" s="130">
        <v>46199</v>
      </c>
      <c r="S103" s="131">
        <v>0</v>
      </c>
      <c r="T103" s="127"/>
      <c r="U103" s="127">
        <v>1</v>
      </c>
      <c r="V103" s="127"/>
      <c r="W103" s="127"/>
      <c r="X103" s="135">
        <f t="shared" si="10"/>
        <v>0</v>
      </c>
      <c r="Y103" s="135" t="b">
        <f t="shared" si="15"/>
        <v>0</v>
      </c>
      <c r="Z103" s="135" t="b">
        <f t="shared" si="16"/>
        <v>0</v>
      </c>
      <c r="AA103" s="135" t="b">
        <f t="shared" si="17"/>
        <v>0</v>
      </c>
      <c r="AB103" s="7" t="s">
        <v>180</v>
      </c>
      <c r="AC103" s="7" t="s">
        <v>188</v>
      </c>
    </row>
    <row r="104" spans="1:29" x14ac:dyDescent="0.25">
      <c r="A104" s="135">
        <v>95</v>
      </c>
      <c r="B104" s="136" t="str">
        <f t="shared" si="14"/>
        <v>KSST</v>
      </c>
      <c r="C104" s="136" t="str">
        <f>+VLOOKUP(AC104,Ходим!A:B,2,0)</f>
        <v>31407932190092</v>
      </c>
      <c r="D104" s="136" t="str">
        <f>IFERROR(VLOOKUP($B:$B,[20]свод!$A:$AB,3,0)," ")</f>
        <v>Косонсой тумани</v>
      </c>
      <c r="E104" s="7" t="s">
        <v>2189</v>
      </c>
      <c r="F104" s="7" t="s">
        <v>8579</v>
      </c>
      <c r="G104" s="134" t="s">
        <v>411</v>
      </c>
      <c r="H104" s="134">
        <v>1</v>
      </c>
      <c r="I104" s="7" t="s">
        <v>157</v>
      </c>
      <c r="J104" s="7" t="s">
        <v>1</v>
      </c>
      <c r="K104" s="7"/>
      <c r="L104" s="7" t="s">
        <v>166</v>
      </c>
      <c r="M104" s="7" t="s">
        <v>4889</v>
      </c>
      <c r="N104" s="7" t="s">
        <v>170</v>
      </c>
      <c r="O104" s="7" t="s">
        <v>161</v>
      </c>
      <c r="P104" s="7" t="s">
        <v>6785</v>
      </c>
      <c r="Q104" s="129">
        <v>46199</v>
      </c>
      <c r="R104" s="130">
        <v>46199</v>
      </c>
      <c r="S104" s="131">
        <v>0</v>
      </c>
      <c r="T104" s="127"/>
      <c r="U104" s="127">
        <v>1</v>
      </c>
      <c r="V104" s="127"/>
      <c r="W104" s="127"/>
      <c r="X104" s="135">
        <f t="shared" si="10"/>
        <v>0</v>
      </c>
      <c r="Y104" s="135" t="b">
        <f t="shared" si="15"/>
        <v>0</v>
      </c>
      <c r="Z104" s="135" t="b">
        <f t="shared" si="16"/>
        <v>0</v>
      </c>
      <c r="AA104" s="135" t="b">
        <f t="shared" si="17"/>
        <v>0</v>
      </c>
      <c r="AB104" s="7" t="s">
        <v>180</v>
      </c>
      <c r="AC104" s="7" t="s">
        <v>188</v>
      </c>
    </row>
    <row r="105" spans="1:29" x14ac:dyDescent="0.25">
      <c r="A105" s="135">
        <v>96</v>
      </c>
      <c r="B105" s="136" t="str">
        <f t="shared" si="14"/>
        <v>YGQT</v>
      </c>
      <c r="C105" s="136" t="e">
        <f>+VLOOKUP(AC105,Ходим!A:B,2,0)</f>
        <v>#N/A</v>
      </c>
      <c r="D105" s="136" t="str">
        <f>IFERROR(VLOOKUP($B:$B,[20]свод!$A:$AB,3,0)," ")</f>
        <v>Янгиқўрғон тумани</v>
      </c>
      <c r="E105" s="7" t="s">
        <v>2198</v>
      </c>
      <c r="F105" s="7" t="s">
        <v>8588</v>
      </c>
      <c r="G105" s="134">
        <v>1</v>
      </c>
      <c r="H105" s="134" t="s">
        <v>411</v>
      </c>
      <c r="I105" s="7" t="s">
        <v>160</v>
      </c>
      <c r="J105" s="7" t="s">
        <v>56</v>
      </c>
      <c r="K105" s="7" t="s">
        <v>10623</v>
      </c>
      <c r="L105" s="7" t="s">
        <v>167</v>
      </c>
      <c r="M105" s="7" t="s">
        <v>4895</v>
      </c>
      <c r="N105" s="7" t="s">
        <v>171</v>
      </c>
      <c r="O105" s="7" t="s">
        <v>164</v>
      </c>
      <c r="P105" s="7" t="s">
        <v>6787</v>
      </c>
      <c r="Q105" s="129">
        <v>46199</v>
      </c>
      <c r="R105" s="130">
        <v>46199</v>
      </c>
      <c r="S105" s="131">
        <v>0</v>
      </c>
      <c r="T105" s="127"/>
      <c r="U105" s="127">
        <v>1</v>
      </c>
      <c r="V105" s="127"/>
      <c r="W105" s="127"/>
      <c r="X105" s="135">
        <f t="shared" si="10"/>
        <v>0</v>
      </c>
      <c r="Y105" s="135" t="b">
        <f t="shared" si="15"/>
        <v>0</v>
      </c>
      <c r="Z105" s="135" t="b">
        <f t="shared" si="16"/>
        <v>0</v>
      </c>
      <c r="AA105" s="135" t="b">
        <f t="shared" si="17"/>
        <v>0</v>
      </c>
      <c r="AB105" s="7"/>
      <c r="AC105" s="7"/>
    </row>
    <row r="106" spans="1:29" x14ac:dyDescent="0.25">
      <c r="A106" s="135">
        <v>97</v>
      </c>
      <c r="B106" s="136" t="str">
        <f t="shared" si="14"/>
        <v>NAMT</v>
      </c>
      <c r="C106" s="136" t="str">
        <f>+VLOOKUP(AC106,Ходим!A:B,2,0)</f>
        <v>32607902090019</v>
      </c>
      <c r="D106" s="136" t="str">
        <f>IFERROR(VLOOKUP($B:$B,[20]свод!$A:$AB,3,0)," ")</f>
        <v>Наманган тумани</v>
      </c>
      <c r="E106" s="7" t="s">
        <v>2202</v>
      </c>
      <c r="F106" s="7" t="s">
        <v>8592</v>
      </c>
      <c r="G106" s="134">
        <v>1</v>
      </c>
      <c r="H106" s="134" t="s">
        <v>411</v>
      </c>
      <c r="I106" s="7" t="s">
        <v>158</v>
      </c>
      <c r="J106" s="7" t="s">
        <v>10</v>
      </c>
      <c r="K106" s="7"/>
      <c r="L106" s="7" t="s">
        <v>167</v>
      </c>
      <c r="M106" s="7" t="s">
        <v>4899</v>
      </c>
      <c r="N106" s="7" t="s">
        <v>170</v>
      </c>
      <c r="O106" s="7" t="s">
        <v>162</v>
      </c>
      <c r="P106" s="7" t="s">
        <v>6789</v>
      </c>
      <c r="Q106" s="129">
        <v>46199</v>
      </c>
      <c r="R106" s="130">
        <v>46199</v>
      </c>
      <c r="S106" s="131">
        <v>0</v>
      </c>
      <c r="T106" s="127"/>
      <c r="U106" s="127">
        <v>1</v>
      </c>
      <c r="V106" s="127"/>
      <c r="W106" s="127"/>
      <c r="X106" s="135">
        <f t="shared" si="10"/>
        <v>0</v>
      </c>
      <c r="Y106" s="135" t="b">
        <f t="shared" si="15"/>
        <v>0</v>
      </c>
      <c r="Z106" s="135" t="b">
        <f t="shared" si="16"/>
        <v>0</v>
      </c>
      <c r="AA106" s="135" t="b">
        <f t="shared" si="17"/>
        <v>0</v>
      </c>
      <c r="AB106" s="7" t="s">
        <v>193</v>
      </c>
      <c r="AC106" s="7" t="s">
        <v>243</v>
      </c>
    </row>
    <row r="107" spans="1:29" x14ac:dyDescent="0.25">
      <c r="A107" s="135">
        <v>98</v>
      </c>
      <c r="B107" s="136" t="str">
        <f t="shared" si="14"/>
        <v>TORT</v>
      </c>
      <c r="C107" s="136" t="str">
        <f>+VLOOKUP(AC107,Ходим!A:B,2,0)</f>
        <v>52603025920015</v>
      </c>
      <c r="D107" s="136" t="str">
        <f>IFERROR(VLOOKUP($B:$B,[20]свод!$A:$AB,3,0)," ")</f>
        <v>Тўрақўрғон тумани</v>
      </c>
      <c r="E107" s="7" t="s">
        <v>2203</v>
      </c>
      <c r="F107" s="7" t="s">
        <v>8593</v>
      </c>
      <c r="G107" s="134">
        <v>1</v>
      </c>
      <c r="H107" s="134" t="s">
        <v>411</v>
      </c>
      <c r="I107" s="7" t="s">
        <v>158</v>
      </c>
      <c r="J107" s="7" t="s">
        <v>1</v>
      </c>
      <c r="K107" s="7"/>
      <c r="L107" s="7" t="s">
        <v>167</v>
      </c>
      <c r="M107" s="7" t="s">
        <v>4900</v>
      </c>
      <c r="N107" s="7" t="s">
        <v>170</v>
      </c>
      <c r="O107" s="7" t="s">
        <v>162</v>
      </c>
      <c r="P107" s="7" t="s">
        <v>6789</v>
      </c>
      <c r="Q107" s="129">
        <v>46199</v>
      </c>
      <c r="R107" s="130">
        <v>46199</v>
      </c>
      <c r="S107" s="131">
        <v>0</v>
      </c>
      <c r="T107" s="127"/>
      <c r="U107" s="127">
        <v>1</v>
      </c>
      <c r="V107" s="127"/>
      <c r="W107" s="127"/>
      <c r="X107" s="135">
        <f t="shared" si="10"/>
        <v>0</v>
      </c>
      <c r="Y107" s="135" t="b">
        <f t="shared" si="15"/>
        <v>0</v>
      </c>
      <c r="Z107" s="135" t="b">
        <f t="shared" si="16"/>
        <v>0</v>
      </c>
      <c r="AA107" s="135" t="b">
        <f t="shared" si="17"/>
        <v>0</v>
      </c>
      <c r="AB107" s="7" t="s">
        <v>203</v>
      </c>
      <c r="AC107" s="7" t="s">
        <v>374</v>
      </c>
    </row>
    <row r="108" spans="1:29" x14ac:dyDescent="0.25">
      <c r="A108" s="135">
        <v>99</v>
      </c>
      <c r="B108" s="136" t="str">
        <f t="shared" si="14"/>
        <v>UYCT</v>
      </c>
      <c r="C108" s="136" t="str">
        <f>+VLOOKUP(AC108,Ходим!A:B,2,0)</f>
        <v>30309975930028</v>
      </c>
      <c r="D108" s="136" t="str">
        <f>IFERROR(VLOOKUP($B:$B,[20]свод!$A:$AB,3,0)," ")</f>
        <v>Уйчи тумани</v>
      </c>
      <c r="E108" s="7" t="s">
        <v>2205</v>
      </c>
      <c r="F108" s="7" t="s">
        <v>8595</v>
      </c>
      <c r="G108" s="134">
        <v>1</v>
      </c>
      <c r="H108" s="134" t="s">
        <v>411</v>
      </c>
      <c r="I108" s="7" t="s">
        <v>158</v>
      </c>
      <c r="J108" s="7" t="s">
        <v>2</v>
      </c>
      <c r="K108" s="7"/>
      <c r="L108" s="7" t="s">
        <v>167</v>
      </c>
      <c r="M108" s="7" t="s">
        <v>4902</v>
      </c>
      <c r="N108" s="7" t="s">
        <v>170</v>
      </c>
      <c r="O108" s="7" t="s">
        <v>163</v>
      </c>
      <c r="P108" s="7" t="s">
        <v>6789</v>
      </c>
      <c r="Q108" s="129">
        <v>46199</v>
      </c>
      <c r="R108" s="130">
        <v>46199</v>
      </c>
      <c r="S108" s="131">
        <v>0</v>
      </c>
      <c r="T108" s="127"/>
      <c r="U108" s="127">
        <v>1</v>
      </c>
      <c r="V108" s="127"/>
      <c r="W108" s="127"/>
      <c r="X108" s="135">
        <f t="shared" si="10"/>
        <v>0</v>
      </c>
      <c r="Y108" s="135" t="b">
        <f t="shared" si="15"/>
        <v>0</v>
      </c>
      <c r="Z108" s="135" t="b">
        <f t="shared" si="16"/>
        <v>0</v>
      </c>
      <c r="AA108" s="135" t="b">
        <f t="shared" si="17"/>
        <v>0</v>
      </c>
      <c r="AB108" s="7" t="s">
        <v>947</v>
      </c>
      <c r="AC108" s="7" t="s">
        <v>261</v>
      </c>
    </row>
    <row r="109" spans="1:29" x14ac:dyDescent="0.25">
      <c r="A109" s="135">
        <v>100</v>
      </c>
      <c r="B109" s="136" t="str">
        <f t="shared" si="14"/>
        <v>YGQT</v>
      </c>
      <c r="C109" s="136" t="str">
        <f>+VLOOKUP(AC109,Ходим!A:B,2,0)</f>
        <v>31108942160081</v>
      </c>
      <c r="D109" s="136" t="str">
        <f>IFERROR(VLOOKUP($B:$B,[20]свод!$A:$AB,3,0)," ")</f>
        <v>Янгиқўрғон тумани</v>
      </c>
      <c r="E109" s="7" t="s">
        <v>2213</v>
      </c>
      <c r="F109" s="7" t="s">
        <v>8603</v>
      </c>
      <c r="G109" s="134">
        <v>1</v>
      </c>
      <c r="H109" s="134" t="s">
        <v>411</v>
      </c>
      <c r="I109" s="7" t="s">
        <v>158</v>
      </c>
      <c r="J109" s="7" t="s">
        <v>35</v>
      </c>
      <c r="K109" s="7"/>
      <c r="L109" s="7" t="s">
        <v>167</v>
      </c>
      <c r="M109" s="7" t="s">
        <v>4907</v>
      </c>
      <c r="N109" s="7" t="s">
        <v>170</v>
      </c>
      <c r="O109" s="7" t="s">
        <v>162</v>
      </c>
      <c r="P109" s="7" t="s">
        <v>6793</v>
      </c>
      <c r="Q109" s="129">
        <v>46199</v>
      </c>
      <c r="R109" s="130">
        <v>46199</v>
      </c>
      <c r="S109" s="131">
        <v>0</v>
      </c>
      <c r="T109" s="127"/>
      <c r="U109" s="127">
        <v>1</v>
      </c>
      <c r="V109" s="127"/>
      <c r="W109" s="127"/>
      <c r="X109" s="135">
        <f t="shared" si="10"/>
        <v>0</v>
      </c>
      <c r="Y109" s="135" t="b">
        <f t="shared" si="15"/>
        <v>0</v>
      </c>
      <c r="Z109" s="135" t="b">
        <f t="shared" si="16"/>
        <v>0</v>
      </c>
      <c r="AA109" s="135" t="b">
        <f t="shared" si="17"/>
        <v>0</v>
      </c>
      <c r="AB109" s="7" t="s">
        <v>182</v>
      </c>
      <c r="AC109" s="7" t="s">
        <v>228</v>
      </c>
    </row>
    <row r="110" spans="1:29" x14ac:dyDescent="0.25">
      <c r="A110" s="135">
        <v>104</v>
      </c>
      <c r="B110" s="136" t="str">
        <f t="shared" si="14"/>
        <v>UCQT</v>
      </c>
      <c r="C110" s="136" t="str">
        <f>+VLOOKUP(AC110,Ходим!A:B,2,0)</f>
        <v>30307955940049</v>
      </c>
      <c r="D110" s="136" t="str">
        <f>IFERROR(VLOOKUP($B:$B,[20]свод!$A:$AB,3,0)," ")</f>
        <v>Учқўрғон тумани</v>
      </c>
      <c r="E110" s="7" t="s">
        <v>2214</v>
      </c>
      <c r="F110" s="7" t="s">
        <v>8604</v>
      </c>
      <c r="G110" s="134">
        <v>1</v>
      </c>
      <c r="H110" s="134" t="s">
        <v>411</v>
      </c>
      <c r="I110" s="7" t="s">
        <v>158</v>
      </c>
      <c r="J110" s="7" t="s">
        <v>36</v>
      </c>
      <c r="K110" s="7"/>
      <c r="L110" s="7" t="s">
        <v>167</v>
      </c>
      <c r="M110" s="7" t="s">
        <v>4908</v>
      </c>
      <c r="N110" s="7" t="s">
        <v>170</v>
      </c>
      <c r="O110" s="7" t="s">
        <v>163</v>
      </c>
      <c r="P110" s="7" t="s">
        <v>6793</v>
      </c>
      <c r="Q110" s="129">
        <v>46199</v>
      </c>
      <c r="R110" s="130">
        <v>46199</v>
      </c>
      <c r="S110" s="131">
        <v>0</v>
      </c>
      <c r="T110" s="127"/>
      <c r="U110" s="127">
        <v>1</v>
      </c>
      <c r="V110" s="127"/>
      <c r="W110" s="127"/>
      <c r="X110" s="135">
        <f t="shared" si="10"/>
        <v>0</v>
      </c>
      <c r="Y110" s="135" t="b">
        <f t="shared" si="15"/>
        <v>0</v>
      </c>
      <c r="Z110" s="135" t="b">
        <f t="shared" si="16"/>
        <v>0</v>
      </c>
      <c r="AA110" s="135" t="b">
        <f t="shared" si="17"/>
        <v>0</v>
      </c>
      <c r="AB110" s="7" t="s">
        <v>175</v>
      </c>
      <c r="AC110" s="7" t="s">
        <v>306</v>
      </c>
    </row>
    <row r="111" spans="1:29" hidden="1" x14ac:dyDescent="0.25">
      <c r="A111" s="135">
        <v>107</v>
      </c>
      <c r="B111" s="136" t="str">
        <f t="shared" si="14"/>
        <v>UCQT</v>
      </c>
      <c r="C111" s="136">
        <f>+VLOOKUP(AC111,Ходим!A:B,2,0)</f>
        <v>52107015940019</v>
      </c>
      <c r="D111" s="136" t="str">
        <f>IFERROR(VLOOKUP($B:$B,[20]свод!$A:$AB,3,0)," ")</f>
        <v>Учқўрғон тумани</v>
      </c>
      <c r="E111" s="7" t="s">
        <v>2215</v>
      </c>
      <c r="F111" s="7" t="s">
        <v>8605</v>
      </c>
      <c r="G111" s="134">
        <v>1</v>
      </c>
      <c r="H111" s="134" t="s">
        <v>411</v>
      </c>
      <c r="I111" s="7" t="s">
        <v>158</v>
      </c>
      <c r="J111" s="7" t="s">
        <v>10639</v>
      </c>
      <c r="K111" s="7"/>
      <c r="L111" s="7" t="s">
        <v>167</v>
      </c>
      <c r="M111" s="7" t="s">
        <v>4909</v>
      </c>
      <c r="N111" s="7" t="s">
        <v>170</v>
      </c>
      <c r="O111" s="7" t="s">
        <v>162</v>
      </c>
      <c r="P111" s="7" t="s">
        <v>6793</v>
      </c>
      <c r="Q111" s="129">
        <v>46199</v>
      </c>
      <c r="R111" s="130">
        <v>46199</v>
      </c>
      <c r="S111" s="131">
        <v>0</v>
      </c>
      <c r="T111" s="127"/>
      <c r="U111" s="127">
        <v>1</v>
      </c>
      <c r="V111" s="127"/>
      <c r="W111" s="127"/>
      <c r="X111" s="135">
        <f t="shared" si="10"/>
        <v>0</v>
      </c>
      <c r="Y111" s="135" t="b">
        <f t="shared" si="15"/>
        <v>0</v>
      </c>
      <c r="Z111" s="135" t="b">
        <f t="shared" si="16"/>
        <v>0</v>
      </c>
      <c r="AA111" s="135" t="b">
        <f t="shared" si="17"/>
        <v>0</v>
      </c>
      <c r="AB111" s="7" t="s">
        <v>175</v>
      </c>
      <c r="AC111" s="7" t="s">
        <v>361</v>
      </c>
    </row>
    <row r="112" spans="1:29" x14ac:dyDescent="0.25">
      <c r="A112" s="135">
        <v>108</v>
      </c>
      <c r="B112" s="136" t="str">
        <f t="shared" si="14"/>
        <v>NAMS</v>
      </c>
      <c r="C112" s="136">
        <f>+VLOOKUP(AC112,Ходим!A:B,2,0)</f>
        <v>50510025960139</v>
      </c>
      <c r="D112" s="136" t="str">
        <f>IFERROR(VLOOKUP($B:$B,[20]свод!$A:$AB,3,0)," ")</f>
        <v>Наманган шаҳар</v>
      </c>
      <c r="E112" s="7" t="s">
        <v>2221</v>
      </c>
      <c r="F112" s="7" t="s">
        <v>8611</v>
      </c>
      <c r="G112" s="134">
        <v>1</v>
      </c>
      <c r="H112" s="134" t="s">
        <v>411</v>
      </c>
      <c r="I112" s="7" t="s">
        <v>158</v>
      </c>
      <c r="J112" s="7" t="s">
        <v>9</v>
      </c>
      <c r="K112" s="7"/>
      <c r="L112" s="7" t="s">
        <v>167</v>
      </c>
      <c r="M112" s="7" t="s">
        <v>4913</v>
      </c>
      <c r="N112" s="7" t="s">
        <v>170</v>
      </c>
      <c r="O112" s="7" t="s">
        <v>162</v>
      </c>
      <c r="P112" s="7" t="s">
        <v>6795</v>
      </c>
      <c r="Q112" s="129">
        <v>46199</v>
      </c>
      <c r="R112" s="130">
        <v>46199</v>
      </c>
      <c r="S112" s="131">
        <v>0</v>
      </c>
      <c r="T112" s="127"/>
      <c r="U112" s="127">
        <v>1</v>
      </c>
      <c r="V112" s="127"/>
      <c r="W112" s="127"/>
      <c r="X112" s="135">
        <f t="shared" si="10"/>
        <v>0</v>
      </c>
      <c r="Y112" s="135" t="b">
        <f t="shared" si="15"/>
        <v>0</v>
      </c>
      <c r="Z112" s="135" t="b">
        <f t="shared" si="16"/>
        <v>0</v>
      </c>
      <c r="AA112" s="135" t="b">
        <f t="shared" si="17"/>
        <v>0</v>
      </c>
      <c r="AB112" s="7" t="s">
        <v>185</v>
      </c>
      <c r="AC112" s="7" t="s">
        <v>955</v>
      </c>
    </row>
    <row r="113" spans="1:29" x14ac:dyDescent="0.25">
      <c r="A113" s="135">
        <v>110</v>
      </c>
      <c r="B113" s="136" t="str">
        <f t="shared" si="14"/>
        <v>YGQT</v>
      </c>
      <c r="C113" s="136" t="str">
        <f>+VLOOKUP(AC113,Ходим!A:B,2,0)</f>
        <v>30903902160122</v>
      </c>
      <c r="D113" s="136" t="str">
        <f>IFERROR(VLOOKUP($B:$B,[20]свод!$A:$AB,3,0)," ")</f>
        <v>Янгиқўрғон тумани</v>
      </c>
      <c r="E113" s="7" t="s">
        <v>2225</v>
      </c>
      <c r="F113" s="7" t="s">
        <v>8615</v>
      </c>
      <c r="G113" s="134">
        <v>1</v>
      </c>
      <c r="H113" s="134" t="s">
        <v>411</v>
      </c>
      <c r="I113" s="7" t="s">
        <v>158</v>
      </c>
      <c r="J113" s="7" t="s">
        <v>2</v>
      </c>
      <c r="K113" s="7"/>
      <c r="L113" s="7" t="s">
        <v>167</v>
      </c>
      <c r="M113" s="7" t="s">
        <v>4915</v>
      </c>
      <c r="N113" s="7" t="s">
        <v>170</v>
      </c>
      <c r="O113" s="7" t="s">
        <v>162</v>
      </c>
      <c r="P113" s="7" t="s">
        <v>6793</v>
      </c>
      <c r="Q113" s="129">
        <v>46199</v>
      </c>
      <c r="R113" s="130">
        <v>46199</v>
      </c>
      <c r="S113" s="131">
        <v>0</v>
      </c>
      <c r="T113" s="127"/>
      <c r="U113" s="127">
        <v>1</v>
      </c>
      <c r="V113" s="127"/>
      <c r="W113" s="127"/>
      <c r="X113" s="135">
        <f t="shared" si="10"/>
        <v>0</v>
      </c>
      <c r="Y113" s="135" t="b">
        <f t="shared" si="15"/>
        <v>0</v>
      </c>
      <c r="Z113" s="135" t="b">
        <f t="shared" si="16"/>
        <v>0</v>
      </c>
      <c r="AA113" s="135" t="b">
        <f t="shared" si="17"/>
        <v>0</v>
      </c>
      <c r="AB113" s="7" t="s">
        <v>255</v>
      </c>
      <c r="AC113" s="7" t="s">
        <v>230</v>
      </c>
    </row>
    <row r="114" spans="1:29" hidden="1" x14ac:dyDescent="0.25">
      <c r="A114" s="135">
        <v>111</v>
      </c>
      <c r="B114" s="136" t="str">
        <f t="shared" si="14"/>
        <v>MINT</v>
      </c>
      <c r="C114" s="136" t="str">
        <f>+VLOOKUP(AC114,Ходим!A:B,2,0)</f>
        <v>53110035990017</v>
      </c>
      <c r="D114" s="136" t="str">
        <f>IFERROR(VLOOKUP($B:$B,[20]свод!$A:$AB,3,0)," ")</f>
        <v>Мингбулоқ тумани</v>
      </c>
      <c r="E114" s="7" t="s">
        <v>2228</v>
      </c>
      <c r="F114" s="7" t="s">
        <v>8618</v>
      </c>
      <c r="G114" s="134">
        <v>1</v>
      </c>
      <c r="H114" s="134" t="s">
        <v>411</v>
      </c>
      <c r="I114" s="7" t="s">
        <v>158</v>
      </c>
      <c r="J114" s="7" t="s">
        <v>10638</v>
      </c>
      <c r="K114" s="7"/>
      <c r="L114" s="7" t="s">
        <v>167</v>
      </c>
      <c r="M114" s="7" t="s">
        <v>4918</v>
      </c>
      <c r="N114" s="7" t="s">
        <v>170</v>
      </c>
      <c r="O114" s="7" t="s">
        <v>162</v>
      </c>
      <c r="P114" s="7" t="s">
        <v>6664</v>
      </c>
      <c r="Q114" s="129">
        <v>46199</v>
      </c>
      <c r="R114" s="130">
        <v>46199</v>
      </c>
      <c r="S114" s="131">
        <v>0</v>
      </c>
      <c r="T114" s="127"/>
      <c r="U114" s="127">
        <v>1</v>
      </c>
      <c r="V114" s="127"/>
      <c r="W114" s="127"/>
      <c r="X114" s="135">
        <f t="shared" si="10"/>
        <v>0</v>
      </c>
      <c r="Y114" s="135" t="b">
        <f t="shared" si="15"/>
        <v>0</v>
      </c>
      <c r="Z114" s="135" t="b">
        <f t="shared" si="16"/>
        <v>0</v>
      </c>
      <c r="AA114" s="135" t="b">
        <f t="shared" si="17"/>
        <v>0</v>
      </c>
      <c r="AB114" s="7" t="s">
        <v>220</v>
      </c>
      <c r="AC114" s="7" t="s">
        <v>372</v>
      </c>
    </row>
    <row r="115" spans="1:29" x14ac:dyDescent="0.25">
      <c r="A115" s="135">
        <v>113</v>
      </c>
      <c r="B115" s="136" t="str">
        <f t="shared" si="14"/>
        <v>NAMS</v>
      </c>
      <c r="C115" s="136" t="str">
        <f>+VLOOKUP(AC115,Ходим!A:B,2,0)</f>
        <v>31007955980023</v>
      </c>
      <c r="D115" s="136" t="str">
        <f>IFERROR(VLOOKUP($B:$B,[20]свод!$A:$AB,3,0)," ")</f>
        <v>Наманган шаҳар</v>
      </c>
      <c r="E115" s="7" t="s">
        <v>2234</v>
      </c>
      <c r="F115" s="7" t="s">
        <v>8624</v>
      </c>
      <c r="G115" s="134">
        <v>1</v>
      </c>
      <c r="H115" s="134" t="s">
        <v>411</v>
      </c>
      <c r="I115" s="7" t="s">
        <v>158</v>
      </c>
      <c r="J115" s="7" t="s">
        <v>1</v>
      </c>
      <c r="K115" s="7"/>
      <c r="L115" s="7" t="s">
        <v>167</v>
      </c>
      <c r="M115" s="7" t="s">
        <v>4923</v>
      </c>
      <c r="N115" s="7" t="s">
        <v>170</v>
      </c>
      <c r="O115" s="7" t="s">
        <v>162</v>
      </c>
      <c r="P115" s="7" t="s">
        <v>6800</v>
      </c>
      <c r="Q115" s="129">
        <v>46199</v>
      </c>
      <c r="R115" s="130">
        <v>46199</v>
      </c>
      <c r="S115" s="131">
        <v>0</v>
      </c>
      <c r="T115" s="127"/>
      <c r="U115" s="127">
        <v>1</v>
      </c>
      <c r="V115" s="127"/>
      <c r="W115" s="127"/>
      <c r="X115" s="135">
        <f t="shared" si="10"/>
        <v>0</v>
      </c>
      <c r="Y115" s="135" t="b">
        <f t="shared" si="15"/>
        <v>0</v>
      </c>
      <c r="Z115" s="135" t="b">
        <f t="shared" si="16"/>
        <v>0</v>
      </c>
      <c r="AA115" s="135" t="b">
        <f t="shared" si="17"/>
        <v>0</v>
      </c>
      <c r="AB115" s="7" t="s">
        <v>185</v>
      </c>
      <c r="AC115" s="7" t="s">
        <v>207</v>
      </c>
    </row>
    <row r="116" spans="1:29" hidden="1" x14ac:dyDescent="0.25">
      <c r="A116" s="135">
        <v>114</v>
      </c>
      <c r="B116" s="136" t="str">
        <f t="shared" si="14"/>
        <v>TORT</v>
      </c>
      <c r="C116" s="136" t="str">
        <f>+VLOOKUP(AC116,Ходим!A:B,2,0)</f>
        <v>30708792130017</v>
      </c>
      <c r="D116" s="136" t="str">
        <f>IFERROR(VLOOKUP($B:$B,[20]свод!$A:$AB,3,0)," ")</f>
        <v>Тўрақўрғон тумани</v>
      </c>
      <c r="E116" s="7" t="s">
        <v>2239</v>
      </c>
      <c r="F116" s="7" t="s">
        <v>8629</v>
      </c>
      <c r="G116" s="134">
        <v>1</v>
      </c>
      <c r="H116" s="134" t="s">
        <v>411</v>
      </c>
      <c r="I116" s="7" t="s">
        <v>158</v>
      </c>
      <c r="J116" s="7" t="s">
        <v>10639</v>
      </c>
      <c r="K116" s="7"/>
      <c r="L116" s="7"/>
      <c r="M116" s="7"/>
      <c r="N116" s="7" t="s">
        <v>170</v>
      </c>
      <c r="O116" s="7" t="s">
        <v>162</v>
      </c>
      <c r="P116" s="7" t="s">
        <v>6802</v>
      </c>
      <c r="Q116" s="129">
        <v>46199</v>
      </c>
      <c r="R116" s="130">
        <v>46199</v>
      </c>
      <c r="S116" s="131">
        <v>0</v>
      </c>
      <c r="T116" s="127"/>
      <c r="U116" s="127">
        <v>1</v>
      </c>
      <c r="V116" s="127"/>
      <c r="W116" s="127"/>
      <c r="X116" s="135">
        <f t="shared" si="10"/>
        <v>0</v>
      </c>
      <c r="Y116" s="135" t="b">
        <f t="shared" si="15"/>
        <v>0</v>
      </c>
      <c r="Z116" s="135" t="b">
        <f t="shared" si="16"/>
        <v>0</v>
      </c>
      <c r="AA116" s="135" t="b">
        <f t="shared" si="17"/>
        <v>0</v>
      </c>
      <c r="AB116" s="7" t="s">
        <v>203</v>
      </c>
      <c r="AC116" s="7" t="s">
        <v>204</v>
      </c>
    </row>
    <row r="117" spans="1:29" x14ac:dyDescent="0.25">
      <c r="A117" s="135">
        <v>116</v>
      </c>
      <c r="B117" s="136" t="str">
        <f t="shared" si="14"/>
        <v>TORT</v>
      </c>
      <c r="C117" s="136" t="str">
        <f>+VLOOKUP(AC117,Ходим!A:B,2,0)</f>
        <v>32211772130034</v>
      </c>
      <c r="D117" s="136" t="str">
        <f>IFERROR(VLOOKUP($B:$B,[20]свод!$A:$AB,3,0)," ")</f>
        <v>Тўрақўрғон тумани</v>
      </c>
      <c r="E117" s="7" t="s">
        <v>2240</v>
      </c>
      <c r="F117" s="7" t="s">
        <v>8630</v>
      </c>
      <c r="G117" s="134">
        <v>1</v>
      </c>
      <c r="H117" s="134" t="s">
        <v>411</v>
      </c>
      <c r="I117" s="7" t="s">
        <v>158</v>
      </c>
      <c r="J117" s="7" t="s">
        <v>41</v>
      </c>
      <c r="K117" s="7"/>
      <c r="L117" s="7" t="s">
        <v>167</v>
      </c>
      <c r="M117" s="7" t="s">
        <v>4927</v>
      </c>
      <c r="N117" s="7" t="s">
        <v>170</v>
      </c>
      <c r="O117" s="7" t="s">
        <v>162</v>
      </c>
      <c r="P117" s="7" t="s">
        <v>6802</v>
      </c>
      <c r="Q117" s="129">
        <v>46199</v>
      </c>
      <c r="R117" s="130">
        <v>46199</v>
      </c>
      <c r="S117" s="131">
        <v>0</v>
      </c>
      <c r="T117" s="127"/>
      <c r="U117" s="127">
        <v>1</v>
      </c>
      <c r="V117" s="127"/>
      <c r="W117" s="127"/>
      <c r="X117" s="135">
        <f t="shared" si="10"/>
        <v>0</v>
      </c>
      <c r="Y117" s="135" t="b">
        <f t="shared" si="15"/>
        <v>0</v>
      </c>
      <c r="Z117" s="135" t="b">
        <f t="shared" si="16"/>
        <v>0</v>
      </c>
      <c r="AA117" s="135" t="b">
        <f t="shared" si="17"/>
        <v>0</v>
      </c>
      <c r="AB117" s="7" t="s">
        <v>203</v>
      </c>
      <c r="AC117" s="7" t="s">
        <v>270</v>
      </c>
    </row>
    <row r="118" spans="1:29" x14ac:dyDescent="0.25">
      <c r="A118" s="135">
        <v>117</v>
      </c>
      <c r="B118" s="136" t="str">
        <f t="shared" si="14"/>
        <v>TORT</v>
      </c>
      <c r="C118" s="136" t="str">
        <f>+VLOOKUP(AC118,Ходим!A:B,2,0)</f>
        <v>31704782130035</v>
      </c>
      <c r="D118" s="136" t="str">
        <f>IFERROR(VLOOKUP($B:$B,[20]свод!$A:$AB,3,0)," ")</f>
        <v>Тўрақўрғон тумани</v>
      </c>
      <c r="E118" s="7" t="s">
        <v>2242</v>
      </c>
      <c r="F118" s="7" t="s">
        <v>8632</v>
      </c>
      <c r="G118" s="134">
        <v>1</v>
      </c>
      <c r="H118" s="134" t="s">
        <v>411</v>
      </c>
      <c r="I118" s="7" t="s">
        <v>154</v>
      </c>
      <c r="J118" s="7" t="s">
        <v>100</v>
      </c>
      <c r="K118" s="7"/>
      <c r="L118" s="7" t="s">
        <v>167</v>
      </c>
      <c r="M118" s="7" t="s">
        <v>4928</v>
      </c>
      <c r="N118" s="7" t="s">
        <v>170</v>
      </c>
      <c r="O118" s="7" t="s">
        <v>162</v>
      </c>
      <c r="P118" s="7" t="s">
        <v>6803</v>
      </c>
      <c r="Q118" s="129">
        <v>46199</v>
      </c>
      <c r="R118" s="130">
        <v>46199</v>
      </c>
      <c r="S118" s="131">
        <v>0</v>
      </c>
      <c r="T118" s="127"/>
      <c r="U118" s="127">
        <v>1</v>
      </c>
      <c r="V118" s="127"/>
      <c r="W118" s="127"/>
      <c r="X118" s="135">
        <f t="shared" si="10"/>
        <v>0</v>
      </c>
      <c r="Y118" s="135" t="b">
        <f t="shared" si="15"/>
        <v>0</v>
      </c>
      <c r="Z118" s="135" t="b">
        <f t="shared" si="16"/>
        <v>0</v>
      </c>
      <c r="AA118" s="135" t="b">
        <f t="shared" si="17"/>
        <v>0</v>
      </c>
      <c r="AB118" s="7" t="s">
        <v>203</v>
      </c>
      <c r="AC118" s="7" t="s">
        <v>344</v>
      </c>
    </row>
    <row r="119" spans="1:29" x14ac:dyDescent="0.25">
      <c r="A119" s="135">
        <v>118</v>
      </c>
      <c r="B119" s="136" t="str">
        <f t="shared" si="14"/>
        <v>TORT</v>
      </c>
      <c r="C119" s="136" t="str">
        <f>+VLOOKUP(AC119,Ходим!A:B,2,0)</f>
        <v>50908015920034</v>
      </c>
      <c r="D119" s="136" t="str">
        <f>IFERROR(VLOOKUP($B:$B,[20]свод!$A:$AB,3,0)," ")</f>
        <v>Тўрақўрғон тумани</v>
      </c>
      <c r="E119" s="7" t="s">
        <v>2264</v>
      </c>
      <c r="F119" s="7" t="s">
        <v>8654</v>
      </c>
      <c r="G119" s="134">
        <v>1</v>
      </c>
      <c r="H119" s="134" t="s">
        <v>411</v>
      </c>
      <c r="I119" s="7" t="s">
        <v>158</v>
      </c>
      <c r="J119" s="7" t="s">
        <v>1</v>
      </c>
      <c r="K119" s="7"/>
      <c r="L119" s="7" t="s">
        <v>167</v>
      </c>
      <c r="M119" s="7" t="s">
        <v>4943</v>
      </c>
      <c r="N119" s="7" t="s">
        <v>170</v>
      </c>
      <c r="O119" s="7" t="s">
        <v>162</v>
      </c>
      <c r="P119" s="7" t="s">
        <v>6810</v>
      </c>
      <c r="Q119" s="129">
        <v>46199</v>
      </c>
      <c r="R119" s="130">
        <v>46199</v>
      </c>
      <c r="S119" s="131">
        <v>0</v>
      </c>
      <c r="T119" s="127"/>
      <c r="U119" s="127">
        <v>1</v>
      </c>
      <c r="V119" s="127"/>
      <c r="W119" s="127"/>
      <c r="X119" s="135">
        <f t="shared" si="10"/>
        <v>0</v>
      </c>
      <c r="Y119" s="135" t="b">
        <f t="shared" si="15"/>
        <v>0</v>
      </c>
      <c r="Z119" s="135" t="b">
        <f t="shared" si="16"/>
        <v>0</v>
      </c>
      <c r="AA119" s="135" t="b">
        <f t="shared" si="17"/>
        <v>0</v>
      </c>
      <c r="AB119" s="7" t="s">
        <v>203</v>
      </c>
      <c r="AC119" s="7" t="s">
        <v>205</v>
      </c>
    </row>
    <row r="120" spans="1:29" hidden="1" x14ac:dyDescent="0.25">
      <c r="A120" s="135">
        <v>119</v>
      </c>
      <c r="B120" s="136" t="str">
        <f t="shared" si="14"/>
        <v>MINT</v>
      </c>
      <c r="C120" s="136" t="str">
        <f>+VLOOKUP(AC120,Ходим!A:B,2,0)</f>
        <v>30906922130016</v>
      </c>
      <c r="D120" s="136" t="str">
        <f>IFERROR(VLOOKUP($B:$B,[20]свод!$A:$AB,3,0)," ")</f>
        <v>Мингбулоқ тумани</v>
      </c>
      <c r="E120" s="7" t="s">
        <v>2265</v>
      </c>
      <c r="F120" s="7" t="s">
        <v>8655</v>
      </c>
      <c r="G120" s="134">
        <v>1</v>
      </c>
      <c r="H120" s="134" t="s">
        <v>411</v>
      </c>
      <c r="I120" s="7" t="s">
        <v>158</v>
      </c>
      <c r="J120" s="7" t="s">
        <v>10639</v>
      </c>
      <c r="K120" s="7"/>
      <c r="L120" s="7" t="s">
        <v>167</v>
      </c>
      <c r="M120" s="7" t="s">
        <v>4944</v>
      </c>
      <c r="N120" s="7" t="s">
        <v>170</v>
      </c>
      <c r="O120" s="7" t="s">
        <v>162</v>
      </c>
      <c r="P120" s="7" t="s">
        <v>6648</v>
      </c>
      <c r="Q120" s="129">
        <v>46199</v>
      </c>
      <c r="R120" s="130">
        <v>46199</v>
      </c>
      <c r="S120" s="131">
        <v>0</v>
      </c>
      <c r="T120" s="127"/>
      <c r="U120" s="127">
        <v>1</v>
      </c>
      <c r="V120" s="127"/>
      <c r="W120" s="127"/>
      <c r="X120" s="135">
        <f t="shared" si="10"/>
        <v>0</v>
      </c>
      <c r="Y120" s="135" t="b">
        <f t="shared" si="15"/>
        <v>0</v>
      </c>
      <c r="Z120" s="135" t="b">
        <f t="shared" si="16"/>
        <v>0</v>
      </c>
      <c r="AA120" s="135" t="b">
        <f t="shared" si="17"/>
        <v>0</v>
      </c>
      <c r="AB120" s="7" t="s">
        <v>220</v>
      </c>
      <c r="AC120" s="7" t="s">
        <v>178</v>
      </c>
    </row>
    <row r="121" spans="1:29" hidden="1" x14ac:dyDescent="0.25">
      <c r="A121" s="135">
        <v>120</v>
      </c>
      <c r="B121" s="136" t="str">
        <f t="shared" si="14"/>
        <v>YGQT</v>
      </c>
      <c r="C121" s="136" t="str">
        <f>+VLOOKUP(AC121,Ходим!A:B,2,0)</f>
        <v>52010015950028</v>
      </c>
      <c r="D121" s="136" t="str">
        <f>IFERROR(VLOOKUP($B:$B,[20]свод!$A:$AB,3,0)," ")</f>
        <v>Янгиқўрғон тумани</v>
      </c>
      <c r="E121" s="7" t="s">
        <v>2267</v>
      </c>
      <c r="F121" s="7" t="s">
        <v>8657</v>
      </c>
      <c r="G121" s="134">
        <v>1</v>
      </c>
      <c r="H121" s="134" t="s">
        <v>411</v>
      </c>
      <c r="I121" s="7" t="s">
        <v>158</v>
      </c>
      <c r="J121" s="7" t="s">
        <v>10639</v>
      </c>
      <c r="K121" s="7"/>
      <c r="L121" s="7" t="s">
        <v>167</v>
      </c>
      <c r="M121" s="7" t="s">
        <v>4946</v>
      </c>
      <c r="N121" s="7" t="s">
        <v>170</v>
      </c>
      <c r="O121" s="7" t="s">
        <v>162</v>
      </c>
      <c r="P121" s="7" t="s">
        <v>6476</v>
      </c>
      <c r="Q121" s="129">
        <v>46199</v>
      </c>
      <c r="R121" s="130">
        <v>46198</v>
      </c>
      <c r="S121" s="131">
        <v>-1</v>
      </c>
      <c r="T121" s="127">
        <v>1</v>
      </c>
      <c r="U121" s="127"/>
      <c r="V121" s="127">
        <v>1</v>
      </c>
      <c r="W121" s="127"/>
      <c r="X121" s="135">
        <f t="shared" si="10"/>
        <v>0</v>
      </c>
      <c r="Y121" s="135" t="b">
        <f t="shared" si="15"/>
        <v>0</v>
      </c>
      <c r="Z121" s="135" t="b">
        <f t="shared" si="16"/>
        <v>0</v>
      </c>
      <c r="AA121" s="135" t="b">
        <f t="shared" si="17"/>
        <v>0</v>
      </c>
      <c r="AB121" s="7" t="s">
        <v>182</v>
      </c>
      <c r="AC121" s="7" t="s">
        <v>391</v>
      </c>
    </row>
    <row r="122" spans="1:29" x14ac:dyDescent="0.25">
      <c r="A122" s="127"/>
      <c r="B122" s="136" t="str">
        <f t="shared" ref="B122:B185" si="18">LEFT(E122,4)</f>
        <v>POPT</v>
      </c>
      <c r="C122" s="136" t="str">
        <f>+VLOOKUP(AC122,Ходим!A:B,2,0)</f>
        <v>30608945910016</v>
      </c>
      <c r="D122" s="136" t="str">
        <f>IFERROR(VLOOKUP($B:$B,[20]свод!$A:$AB,3,0)," ")</f>
        <v>Поп тумани</v>
      </c>
      <c r="E122" s="7" t="s">
        <v>2269</v>
      </c>
      <c r="F122" s="7" t="s">
        <v>8659</v>
      </c>
      <c r="G122" s="134" t="s">
        <v>411</v>
      </c>
      <c r="H122" s="134">
        <v>1</v>
      </c>
      <c r="I122" s="7" t="s">
        <v>157</v>
      </c>
      <c r="J122" s="7" t="s">
        <v>1</v>
      </c>
      <c r="K122" s="7"/>
      <c r="L122" s="7" t="s">
        <v>168</v>
      </c>
      <c r="M122" s="7" t="s">
        <v>4947</v>
      </c>
      <c r="N122" s="7" t="s">
        <v>410</v>
      </c>
      <c r="O122" s="7" t="s">
        <v>161</v>
      </c>
      <c r="P122" s="7" t="s">
        <v>6812</v>
      </c>
      <c r="Q122" s="129">
        <v>46199</v>
      </c>
      <c r="R122" s="130">
        <v>46196</v>
      </c>
      <c r="S122" s="131">
        <v>-3</v>
      </c>
      <c r="T122" s="127">
        <v>1</v>
      </c>
      <c r="U122" s="127"/>
      <c r="V122" s="127"/>
      <c r="W122" s="127">
        <v>1</v>
      </c>
      <c r="X122" s="135">
        <f t="shared" si="10"/>
        <v>0</v>
      </c>
      <c r="Y122" s="135" t="b">
        <f t="shared" ref="Y122:Y185" si="19">IF(J122="Arizani qabul qilish",IF(X122=1,"Arizani qabul qilish2","Arizani qabul qilish"))</f>
        <v>0</v>
      </c>
      <c r="Z122" s="135" t="b">
        <f t="shared" ref="Z122:Z185" si="20">IF(J122="Rad qilish",IF(X122=1,"Rad qilish2","Rad qilish"))</f>
        <v>0</v>
      </c>
      <c r="AA122" s="135" t="b">
        <f t="shared" ref="AA122:AA185" si="21">+IF(J122="Arizani qabul qilish",Y122,IF(J122="Rad qilish",Z122))</f>
        <v>0</v>
      </c>
      <c r="AB122" s="7" t="s">
        <v>214</v>
      </c>
      <c r="AC122" s="7" t="s">
        <v>295</v>
      </c>
    </row>
    <row r="123" spans="1:29" hidden="1" x14ac:dyDescent="0.25">
      <c r="A123" s="127"/>
      <c r="B123" s="136" t="str">
        <f t="shared" si="18"/>
        <v>MINT</v>
      </c>
      <c r="C123" s="136" t="str">
        <f>+VLOOKUP(AC123,Ходим!A:B,2,0)</f>
        <v>31710662200035</v>
      </c>
      <c r="D123" s="136" t="str">
        <f>IFERROR(VLOOKUP($B:$B,[20]свод!$A:$AB,3,0)," ")</f>
        <v>Мингбулоқ тумани</v>
      </c>
      <c r="E123" s="7" t="s">
        <v>2285</v>
      </c>
      <c r="F123" s="7" t="s">
        <v>8675</v>
      </c>
      <c r="G123" s="134">
        <v>1</v>
      </c>
      <c r="H123" s="134" t="s">
        <v>411</v>
      </c>
      <c r="I123" s="7" t="s">
        <v>158</v>
      </c>
      <c r="J123" s="7" t="s">
        <v>10638</v>
      </c>
      <c r="K123" s="7"/>
      <c r="L123" s="7" t="s">
        <v>167</v>
      </c>
      <c r="M123" s="7" t="s">
        <v>4955</v>
      </c>
      <c r="N123" s="7" t="s">
        <v>170</v>
      </c>
      <c r="O123" s="7" t="s">
        <v>162</v>
      </c>
      <c r="P123" s="7" t="s">
        <v>6816</v>
      </c>
      <c r="Q123" s="129">
        <v>46199</v>
      </c>
      <c r="R123" s="130">
        <v>46199</v>
      </c>
      <c r="S123" s="131">
        <v>0</v>
      </c>
      <c r="T123" s="127"/>
      <c r="U123" s="127">
        <v>1</v>
      </c>
      <c r="V123" s="127"/>
      <c r="W123" s="127"/>
      <c r="X123" s="135">
        <f t="shared" si="10"/>
        <v>0</v>
      </c>
      <c r="Y123" s="135" t="b">
        <f t="shared" si="19"/>
        <v>0</v>
      </c>
      <c r="Z123" s="135" t="b">
        <f t="shared" si="20"/>
        <v>0</v>
      </c>
      <c r="AA123" s="135" t="b">
        <f t="shared" si="21"/>
        <v>0</v>
      </c>
      <c r="AB123" s="7" t="s">
        <v>220</v>
      </c>
      <c r="AC123" s="7" t="s">
        <v>268</v>
      </c>
    </row>
    <row r="124" spans="1:29" x14ac:dyDescent="0.25">
      <c r="A124" s="127"/>
      <c r="B124" s="136" t="str">
        <f t="shared" si="18"/>
        <v>NAMT</v>
      </c>
      <c r="C124" s="136" t="str">
        <f>+VLOOKUP(AC124,Ходим!A:B,2,0)</f>
        <v>32607902090019</v>
      </c>
      <c r="D124" s="136" t="str">
        <f>IFERROR(VLOOKUP($B:$B,[20]свод!$A:$AB,3,0)," ")</f>
        <v>Наманган тумани</v>
      </c>
      <c r="E124" s="7" t="s">
        <v>2288</v>
      </c>
      <c r="F124" s="7" t="s">
        <v>8678</v>
      </c>
      <c r="G124" s="134">
        <v>1</v>
      </c>
      <c r="H124" s="134" t="s">
        <v>411</v>
      </c>
      <c r="I124" s="7" t="s">
        <v>158</v>
      </c>
      <c r="J124" s="7" t="s">
        <v>10</v>
      </c>
      <c r="K124" s="7"/>
      <c r="L124" s="7" t="s">
        <v>167</v>
      </c>
      <c r="M124" s="7" t="s">
        <v>4957</v>
      </c>
      <c r="N124" s="7" t="s">
        <v>170</v>
      </c>
      <c r="O124" s="7" t="s">
        <v>162</v>
      </c>
      <c r="P124" s="7" t="s">
        <v>6762</v>
      </c>
      <c r="Q124" s="129">
        <v>46199</v>
      </c>
      <c r="R124" s="130">
        <v>46199</v>
      </c>
      <c r="S124" s="131">
        <v>0</v>
      </c>
      <c r="T124" s="127"/>
      <c r="U124" s="127">
        <v>1</v>
      </c>
      <c r="V124" s="127"/>
      <c r="W124" s="127"/>
      <c r="X124" s="135">
        <f t="shared" si="10"/>
        <v>0</v>
      </c>
      <c r="Y124" s="135" t="b">
        <f t="shared" si="19"/>
        <v>0</v>
      </c>
      <c r="Z124" s="135" t="b">
        <f t="shared" si="20"/>
        <v>0</v>
      </c>
      <c r="AA124" s="135" t="b">
        <f t="shared" si="21"/>
        <v>0</v>
      </c>
      <c r="AB124" s="7" t="s">
        <v>193</v>
      </c>
      <c r="AC124" s="7" t="s">
        <v>243</v>
      </c>
    </row>
    <row r="125" spans="1:29" hidden="1" x14ac:dyDescent="0.25">
      <c r="A125" s="127"/>
      <c r="B125" s="136" t="str">
        <f t="shared" si="18"/>
        <v>CHUT</v>
      </c>
      <c r="C125" s="136" t="e">
        <f>+VLOOKUP(AC125,Ходим!A:B,2,0)</f>
        <v>#N/A</v>
      </c>
      <c r="D125" s="136" t="str">
        <f>IFERROR(VLOOKUP($B:$B,[20]свод!$A:$AB,3,0)," ")</f>
        <v>Чуст тумани</v>
      </c>
      <c r="E125" s="7" t="s">
        <v>2290</v>
      </c>
      <c r="F125" s="7" t="s">
        <v>8680</v>
      </c>
      <c r="G125" s="134">
        <v>1</v>
      </c>
      <c r="H125" s="134" t="s">
        <v>411</v>
      </c>
      <c r="I125" s="7" t="s">
        <v>156</v>
      </c>
      <c r="J125" s="7" t="s">
        <v>10639</v>
      </c>
      <c r="K125" s="7"/>
      <c r="L125" s="7"/>
      <c r="M125" s="7"/>
      <c r="N125" s="7" t="s">
        <v>410</v>
      </c>
      <c r="O125" s="7" t="s">
        <v>162</v>
      </c>
      <c r="P125" s="7" t="s">
        <v>6762</v>
      </c>
      <c r="Q125" s="129">
        <v>46199</v>
      </c>
      <c r="R125" s="130">
        <v>46199</v>
      </c>
      <c r="S125" s="131">
        <v>0</v>
      </c>
      <c r="T125" s="127"/>
      <c r="U125" s="127">
        <v>1</v>
      </c>
      <c r="V125" s="127"/>
      <c r="W125" s="127"/>
      <c r="X125" s="135">
        <f t="shared" si="10"/>
        <v>0</v>
      </c>
      <c r="Y125" s="135" t="b">
        <f t="shared" si="19"/>
        <v>0</v>
      </c>
      <c r="Z125" s="135" t="b">
        <f t="shared" si="20"/>
        <v>0</v>
      </c>
      <c r="AA125" s="135" t="b">
        <f t="shared" si="21"/>
        <v>0</v>
      </c>
      <c r="AB125" s="7"/>
      <c r="AC125" s="7"/>
    </row>
    <row r="126" spans="1:29" hidden="1" x14ac:dyDescent="0.25">
      <c r="A126" s="127"/>
      <c r="B126" s="136" t="str">
        <f t="shared" si="18"/>
        <v>NAMT</v>
      </c>
      <c r="C126" s="136" t="str">
        <f>+VLOOKUP(AC126,Ходим!A:B,2,0)</f>
        <v>31702942090041</v>
      </c>
      <c r="D126" s="136" t="str">
        <f>IFERROR(VLOOKUP($B:$B,[20]свод!$A:$AB,3,0)," ")</f>
        <v>Наманган тумани</v>
      </c>
      <c r="E126" s="7" t="s">
        <v>2297</v>
      </c>
      <c r="F126" s="7" t="s">
        <v>8687</v>
      </c>
      <c r="G126" s="134">
        <v>1</v>
      </c>
      <c r="H126" s="134" t="s">
        <v>411</v>
      </c>
      <c r="I126" s="7" t="s">
        <v>158</v>
      </c>
      <c r="J126" s="7" t="s">
        <v>10638</v>
      </c>
      <c r="K126" s="7"/>
      <c r="L126" s="7" t="s">
        <v>167</v>
      </c>
      <c r="M126" s="7" t="s">
        <v>4963</v>
      </c>
      <c r="N126" s="7" t="s">
        <v>170</v>
      </c>
      <c r="O126" s="7" t="s">
        <v>162</v>
      </c>
      <c r="P126" s="7" t="s">
        <v>6734</v>
      </c>
      <c r="Q126" s="129">
        <v>46199</v>
      </c>
      <c r="R126" s="130">
        <v>46199</v>
      </c>
      <c r="S126" s="131">
        <v>0</v>
      </c>
      <c r="T126" s="127"/>
      <c r="U126" s="127">
        <v>1</v>
      </c>
      <c r="V126" s="127"/>
      <c r="W126" s="127"/>
      <c r="X126" s="135">
        <f t="shared" si="10"/>
        <v>0</v>
      </c>
      <c r="Y126" s="135" t="b">
        <f t="shared" si="19"/>
        <v>0</v>
      </c>
      <c r="Z126" s="135" t="b">
        <f t="shared" si="20"/>
        <v>0</v>
      </c>
      <c r="AA126" s="135" t="b">
        <f t="shared" si="21"/>
        <v>0</v>
      </c>
      <c r="AB126" s="7" t="s">
        <v>193</v>
      </c>
      <c r="AC126" s="7" t="s">
        <v>194</v>
      </c>
    </row>
    <row r="127" spans="1:29" x14ac:dyDescent="0.25">
      <c r="A127" s="127"/>
      <c r="B127" s="136" t="str">
        <f t="shared" si="18"/>
        <v>MINT</v>
      </c>
      <c r="C127" s="136" t="str">
        <f>+VLOOKUP(AC127,Ходим!A:B,2,0)</f>
        <v>31005942200035</v>
      </c>
      <c r="D127" s="136" t="str">
        <f>IFERROR(VLOOKUP($B:$B,[20]свод!$A:$AB,3,0)," ")</f>
        <v>Мингбулоқ тумани</v>
      </c>
      <c r="E127" s="7" t="s">
        <v>2308</v>
      </c>
      <c r="F127" s="7" t="s">
        <v>8698</v>
      </c>
      <c r="G127" s="134">
        <v>1</v>
      </c>
      <c r="H127" s="134" t="s">
        <v>411</v>
      </c>
      <c r="I127" s="7" t="s">
        <v>158</v>
      </c>
      <c r="J127" s="7" t="s">
        <v>10</v>
      </c>
      <c r="K127" s="7"/>
      <c r="L127" s="7" t="s">
        <v>167</v>
      </c>
      <c r="M127" s="7" t="s">
        <v>4969</v>
      </c>
      <c r="N127" s="7" t="s">
        <v>170</v>
      </c>
      <c r="O127" s="7" t="s">
        <v>162</v>
      </c>
      <c r="P127" s="7" t="s">
        <v>6824</v>
      </c>
      <c r="Q127" s="129">
        <v>46199</v>
      </c>
      <c r="R127" s="130">
        <v>46199</v>
      </c>
      <c r="S127" s="131">
        <v>0</v>
      </c>
      <c r="T127" s="127"/>
      <c r="U127" s="127">
        <v>1</v>
      </c>
      <c r="V127" s="127"/>
      <c r="W127" s="127"/>
      <c r="X127" s="135">
        <f t="shared" si="10"/>
        <v>0</v>
      </c>
      <c r="Y127" s="135" t="b">
        <f t="shared" si="19"/>
        <v>0</v>
      </c>
      <c r="Z127" s="135" t="b">
        <f t="shared" si="20"/>
        <v>0</v>
      </c>
      <c r="AA127" s="135" t="b">
        <f t="shared" si="21"/>
        <v>0</v>
      </c>
      <c r="AB127" s="7" t="s">
        <v>220</v>
      </c>
      <c r="AC127" s="7" t="s">
        <v>222</v>
      </c>
    </row>
    <row r="128" spans="1:29" x14ac:dyDescent="0.25">
      <c r="A128" s="127"/>
      <c r="B128" s="136" t="str">
        <f t="shared" si="18"/>
        <v>UYCT</v>
      </c>
      <c r="C128" s="136" t="str">
        <f>+VLOOKUP(AC128,Ходим!A:B,2,0)</f>
        <v>32906985930035</v>
      </c>
      <c r="D128" s="136" t="str">
        <f>IFERROR(VLOOKUP($B:$B,[20]свод!$A:$AB,3,0)," ")</f>
        <v>Уйчи тумани</v>
      </c>
      <c r="E128" s="7" t="s">
        <v>2316</v>
      </c>
      <c r="F128" s="7" t="s">
        <v>8706</v>
      </c>
      <c r="G128" s="134">
        <v>1</v>
      </c>
      <c r="H128" s="134" t="s">
        <v>411</v>
      </c>
      <c r="I128" s="7" t="s">
        <v>158</v>
      </c>
      <c r="J128" s="7" t="s">
        <v>1</v>
      </c>
      <c r="K128" s="7"/>
      <c r="L128" s="7" t="s">
        <v>167</v>
      </c>
      <c r="M128" s="7" t="s">
        <v>4973</v>
      </c>
      <c r="N128" s="7" t="s">
        <v>170</v>
      </c>
      <c r="O128" s="7" t="s">
        <v>162</v>
      </c>
      <c r="P128" s="7" t="s">
        <v>6826</v>
      </c>
      <c r="Q128" s="129">
        <v>46199</v>
      </c>
      <c r="R128" s="130">
        <v>46199</v>
      </c>
      <c r="S128" s="131">
        <v>0</v>
      </c>
      <c r="T128" s="127"/>
      <c r="U128" s="127">
        <v>1</v>
      </c>
      <c r="V128" s="127"/>
      <c r="W128" s="127"/>
      <c r="X128" s="135">
        <f t="shared" si="10"/>
        <v>0</v>
      </c>
      <c r="Y128" s="135" t="b">
        <f t="shared" si="19"/>
        <v>0</v>
      </c>
      <c r="Z128" s="135" t="b">
        <f t="shared" si="20"/>
        <v>0</v>
      </c>
      <c r="AA128" s="135" t="b">
        <f t="shared" si="21"/>
        <v>0</v>
      </c>
      <c r="AB128" s="7" t="s">
        <v>947</v>
      </c>
      <c r="AC128" s="7" t="s">
        <v>257</v>
      </c>
    </row>
    <row r="129" spans="1:29" x14ac:dyDescent="0.25">
      <c r="A129" s="127"/>
      <c r="B129" s="136" t="str">
        <f t="shared" si="18"/>
        <v>NAMS</v>
      </c>
      <c r="C129" s="136" t="str">
        <f>+VLOOKUP(AC129,Ходим!A:B,2,0)</f>
        <v>52710005960025</v>
      </c>
      <c r="D129" s="136" t="str">
        <f>IFERROR(VLOOKUP($B:$B,[20]свод!$A:$AB,3,0)," ")</f>
        <v>Наманган шаҳар</v>
      </c>
      <c r="E129" s="7" t="s">
        <v>2317</v>
      </c>
      <c r="F129" s="7" t="s">
        <v>8707</v>
      </c>
      <c r="G129" s="134">
        <v>1</v>
      </c>
      <c r="H129" s="134" t="s">
        <v>411</v>
      </c>
      <c r="I129" s="7" t="s">
        <v>158</v>
      </c>
      <c r="J129" s="7" t="s">
        <v>129</v>
      </c>
      <c r="K129" s="7"/>
      <c r="L129" s="7" t="s">
        <v>169</v>
      </c>
      <c r="M129" s="7" t="s">
        <v>381</v>
      </c>
      <c r="N129" s="7" t="s">
        <v>170</v>
      </c>
      <c r="O129" s="7" t="s">
        <v>162</v>
      </c>
      <c r="P129" s="7" t="s">
        <v>6305</v>
      </c>
      <c r="Q129" s="129">
        <v>46199</v>
      </c>
      <c r="R129" s="130">
        <v>46199</v>
      </c>
      <c r="S129" s="131">
        <v>0</v>
      </c>
      <c r="T129" s="127"/>
      <c r="U129" s="127">
        <v>1</v>
      </c>
      <c r="V129" s="127"/>
      <c r="W129" s="127"/>
      <c r="X129" s="135">
        <f t="shared" si="10"/>
        <v>0</v>
      </c>
      <c r="Y129" s="135" t="b">
        <f t="shared" si="19"/>
        <v>0</v>
      </c>
      <c r="Z129" s="135" t="b">
        <f t="shared" si="20"/>
        <v>0</v>
      </c>
      <c r="AA129" s="135" t="b">
        <f t="shared" si="21"/>
        <v>0</v>
      </c>
      <c r="AB129" s="7" t="s">
        <v>173</v>
      </c>
      <c r="AC129" s="7" t="s">
        <v>274</v>
      </c>
    </row>
    <row r="130" spans="1:29" hidden="1" x14ac:dyDescent="0.25">
      <c r="A130" s="127"/>
      <c r="B130" s="136" t="str">
        <f t="shared" si="18"/>
        <v>KSST</v>
      </c>
      <c r="C130" s="136" t="str">
        <f>+VLOOKUP(AC130,Ходим!A:B,2,0)</f>
        <v>32503912190045</v>
      </c>
      <c r="D130" s="136" t="str">
        <f>IFERROR(VLOOKUP($B:$B,[20]свод!$A:$AB,3,0)," ")</f>
        <v>Косонсой тумани</v>
      </c>
      <c r="E130" s="7" t="s">
        <v>2318</v>
      </c>
      <c r="F130" s="7" t="s">
        <v>8708</v>
      </c>
      <c r="G130" s="134">
        <v>1</v>
      </c>
      <c r="H130" s="134" t="s">
        <v>411</v>
      </c>
      <c r="I130" s="7" t="s">
        <v>158</v>
      </c>
      <c r="J130" s="7" t="s">
        <v>10639</v>
      </c>
      <c r="K130" s="7"/>
      <c r="L130" s="7" t="s">
        <v>167</v>
      </c>
      <c r="M130" s="7" t="s">
        <v>4974</v>
      </c>
      <c r="N130" s="7" t="s">
        <v>170</v>
      </c>
      <c r="O130" s="7" t="s">
        <v>162</v>
      </c>
      <c r="P130" s="7" t="s">
        <v>6653</v>
      </c>
      <c r="Q130" s="129">
        <v>46199</v>
      </c>
      <c r="R130" s="130">
        <v>46199</v>
      </c>
      <c r="S130" s="131">
        <v>0</v>
      </c>
      <c r="T130" s="127"/>
      <c r="U130" s="127">
        <v>1</v>
      </c>
      <c r="V130" s="127"/>
      <c r="W130" s="127"/>
      <c r="X130" s="135">
        <f t="shared" ref="X130:X193" si="22">+IF(I130="Cheklov yaratish",1,IF(I130="Registratsiya (tashqi - UZKAD da bor)",1,IF(I130="G'olib nomiga ko'chirma shakllantirish",1,IF(I130="Auksion yerlari uchun ko'chirma shakllantirish",1,0))))</f>
        <v>0</v>
      </c>
      <c r="Y130" s="135" t="b">
        <f t="shared" si="19"/>
        <v>0</v>
      </c>
      <c r="Z130" s="135" t="b">
        <f t="shared" si="20"/>
        <v>0</v>
      </c>
      <c r="AA130" s="135" t="b">
        <f t="shared" si="21"/>
        <v>0</v>
      </c>
      <c r="AB130" s="7" t="s">
        <v>180</v>
      </c>
      <c r="AC130" s="7" t="s">
        <v>254</v>
      </c>
    </row>
    <row r="131" spans="1:29" x14ac:dyDescent="0.25">
      <c r="A131" s="127"/>
      <c r="B131" s="136" t="str">
        <f t="shared" si="18"/>
        <v>POPT</v>
      </c>
      <c r="C131" s="136" t="str">
        <f>+VLOOKUP(AC131,Ходим!A:B,2,0)</f>
        <v>31503892210028</v>
      </c>
      <c r="D131" s="136" t="str">
        <f>IFERROR(VLOOKUP($B:$B,[20]свод!$A:$AB,3,0)," ")</f>
        <v>Поп тумани</v>
      </c>
      <c r="E131" s="7" t="s">
        <v>2331</v>
      </c>
      <c r="F131" s="7" t="s">
        <v>8721</v>
      </c>
      <c r="G131" s="134">
        <v>1</v>
      </c>
      <c r="H131" s="134" t="s">
        <v>411</v>
      </c>
      <c r="I131" s="7" t="s">
        <v>158</v>
      </c>
      <c r="J131" s="7" t="s">
        <v>12</v>
      </c>
      <c r="K131" s="7"/>
      <c r="L131" s="7" t="s">
        <v>167</v>
      </c>
      <c r="M131" s="7" t="s">
        <v>4981</v>
      </c>
      <c r="N131" s="7" t="s">
        <v>170</v>
      </c>
      <c r="O131" s="7" t="s">
        <v>162</v>
      </c>
      <c r="P131" s="7" t="s">
        <v>6833</v>
      </c>
      <c r="Q131" s="129">
        <v>46199</v>
      </c>
      <c r="R131" s="130">
        <v>46196</v>
      </c>
      <c r="S131" s="131">
        <v>-3</v>
      </c>
      <c r="T131" s="127">
        <v>1</v>
      </c>
      <c r="U131" s="127"/>
      <c r="V131" s="127"/>
      <c r="W131" s="127">
        <v>1</v>
      </c>
      <c r="X131" s="135">
        <f t="shared" si="22"/>
        <v>0</v>
      </c>
      <c r="Y131" s="135" t="b">
        <f t="shared" si="19"/>
        <v>0</v>
      </c>
      <c r="Z131" s="135" t="b">
        <f t="shared" si="20"/>
        <v>0</v>
      </c>
      <c r="AA131" s="135" t="b">
        <f t="shared" si="21"/>
        <v>0</v>
      </c>
      <c r="AB131" s="7" t="s">
        <v>240</v>
      </c>
      <c r="AC131" s="7" t="s">
        <v>285</v>
      </c>
    </row>
    <row r="132" spans="1:29" hidden="1" x14ac:dyDescent="0.25">
      <c r="A132" s="127"/>
      <c r="B132" s="136" t="str">
        <f t="shared" si="18"/>
        <v>UYCT</v>
      </c>
      <c r="C132" s="136" t="str">
        <f>+VLOOKUP(AC132,Ходим!A:B,2,0)</f>
        <v>32002975930037</v>
      </c>
      <c r="D132" s="136" t="str">
        <f>IFERROR(VLOOKUP($B:$B,[20]свод!$A:$AB,3,0)," ")</f>
        <v>Уйчи тумани</v>
      </c>
      <c r="E132" s="7" t="s">
        <v>2341</v>
      </c>
      <c r="F132" s="7" t="s">
        <v>8731</v>
      </c>
      <c r="G132" s="134">
        <v>1</v>
      </c>
      <c r="H132" s="134" t="s">
        <v>411</v>
      </c>
      <c r="I132" s="7" t="s">
        <v>158</v>
      </c>
      <c r="J132" s="7" t="s">
        <v>10639</v>
      </c>
      <c r="K132" s="7"/>
      <c r="L132" s="7" t="s">
        <v>167</v>
      </c>
      <c r="M132" s="7" t="s">
        <v>4988</v>
      </c>
      <c r="N132" s="7" t="s">
        <v>410</v>
      </c>
      <c r="O132" s="7" t="s">
        <v>162</v>
      </c>
      <c r="P132" s="7" t="s">
        <v>6839</v>
      </c>
      <c r="Q132" s="129">
        <v>46199</v>
      </c>
      <c r="R132" s="130">
        <v>46199</v>
      </c>
      <c r="S132" s="131">
        <v>0</v>
      </c>
      <c r="T132" s="127"/>
      <c r="U132" s="127">
        <v>1</v>
      </c>
      <c r="V132" s="127"/>
      <c r="W132" s="127"/>
      <c r="X132" s="135">
        <f t="shared" si="22"/>
        <v>0</v>
      </c>
      <c r="Y132" s="135" t="b">
        <f t="shared" si="19"/>
        <v>0</v>
      </c>
      <c r="Z132" s="135" t="b">
        <f t="shared" si="20"/>
        <v>0</v>
      </c>
      <c r="AA132" s="135" t="b">
        <f t="shared" si="21"/>
        <v>0</v>
      </c>
      <c r="AB132" s="7" t="s">
        <v>947</v>
      </c>
      <c r="AC132" s="7" t="s">
        <v>260</v>
      </c>
    </row>
    <row r="133" spans="1:29" hidden="1" x14ac:dyDescent="0.25">
      <c r="A133" s="127"/>
      <c r="B133" s="136" t="str">
        <f t="shared" si="18"/>
        <v>UYCT</v>
      </c>
      <c r="C133" s="136" t="str">
        <f>+VLOOKUP(AC133,Ходим!A:B,2,0)</f>
        <v>50304035930044</v>
      </c>
      <c r="D133" s="136" t="str">
        <f>IFERROR(VLOOKUP($B:$B,[20]свод!$A:$AB,3,0)," ")</f>
        <v>Уйчи тумани</v>
      </c>
      <c r="E133" s="7" t="s">
        <v>2350</v>
      </c>
      <c r="F133" s="7" t="s">
        <v>8740</v>
      </c>
      <c r="G133" s="134">
        <v>1</v>
      </c>
      <c r="H133" s="134" t="s">
        <v>411</v>
      </c>
      <c r="I133" s="7" t="s">
        <v>158</v>
      </c>
      <c r="J133" s="7" t="s">
        <v>10639</v>
      </c>
      <c r="K133" s="7"/>
      <c r="L133" s="7" t="s">
        <v>167</v>
      </c>
      <c r="M133" s="7" t="s">
        <v>1089</v>
      </c>
      <c r="N133" s="7" t="s">
        <v>410</v>
      </c>
      <c r="O133" s="7" t="s">
        <v>162</v>
      </c>
      <c r="P133" s="7" t="s">
        <v>6785</v>
      </c>
      <c r="Q133" s="129">
        <v>46199</v>
      </c>
      <c r="R133" s="130">
        <v>46199</v>
      </c>
      <c r="S133" s="131">
        <v>0</v>
      </c>
      <c r="T133" s="127"/>
      <c r="U133" s="127">
        <v>1</v>
      </c>
      <c r="V133" s="127"/>
      <c r="W133" s="127"/>
      <c r="X133" s="135">
        <f t="shared" si="22"/>
        <v>0</v>
      </c>
      <c r="Y133" s="135" t="b">
        <f t="shared" si="19"/>
        <v>0</v>
      </c>
      <c r="Z133" s="135" t="b">
        <f t="shared" si="20"/>
        <v>0</v>
      </c>
      <c r="AA133" s="135" t="b">
        <f t="shared" si="21"/>
        <v>0</v>
      </c>
      <c r="AB133" s="7" t="s">
        <v>947</v>
      </c>
      <c r="AC133" s="7" t="s">
        <v>956</v>
      </c>
    </row>
    <row r="134" spans="1:29" x14ac:dyDescent="0.25">
      <c r="A134" s="127"/>
      <c r="B134" s="136" t="str">
        <f t="shared" si="18"/>
        <v>MINT</v>
      </c>
      <c r="C134" s="136" t="e">
        <f>+VLOOKUP(AC134,Ходим!A:B,2,0)</f>
        <v>#N/A</v>
      </c>
      <c r="D134" s="136" t="str">
        <f>IFERROR(VLOOKUP($B:$B,[20]свод!$A:$AB,3,0)," ")</f>
        <v>Мингбулоқ тумани</v>
      </c>
      <c r="E134" s="7" t="s">
        <v>2352</v>
      </c>
      <c r="F134" s="7" t="s">
        <v>8742</v>
      </c>
      <c r="G134" s="134">
        <v>1</v>
      </c>
      <c r="H134" s="134" t="s">
        <v>411</v>
      </c>
      <c r="I134" s="7" t="s">
        <v>160</v>
      </c>
      <c r="J134" s="7" t="s">
        <v>131</v>
      </c>
      <c r="K134" s="7" t="s">
        <v>10625</v>
      </c>
      <c r="L134" s="7" t="s">
        <v>167</v>
      </c>
      <c r="M134" s="7" t="s">
        <v>4994</v>
      </c>
      <c r="N134" s="7" t="s">
        <v>171</v>
      </c>
      <c r="O134" s="7" t="s">
        <v>164</v>
      </c>
      <c r="P134" s="7" t="s">
        <v>6845</v>
      </c>
      <c r="Q134" s="129">
        <v>46199</v>
      </c>
      <c r="R134" s="130">
        <v>46199</v>
      </c>
      <c r="S134" s="131">
        <v>0</v>
      </c>
      <c r="T134" s="127"/>
      <c r="U134" s="127">
        <v>1</v>
      </c>
      <c r="V134" s="127"/>
      <c r="W134" s="127"/>
      <c r="X134" s="135">
        <f t="shared" si="22"/>
        <v>0</v>
      </c>
      <c r="Y134" s="135" t="b">
        <f t="shared" si="19"/>
        <v>0</v>
      </c>
      <c r="Z134" s="135" t="b">
        <f t="shared" si="20"/>
        <v>0</v>
      </c>
      <c r="AA134" s="135" t="b">
        <f t="shared" si="21"/>
        <v>0</v>
      </c>
      <c r="AB134" s="7"/>
      <c r="AC134" s="7"/>
    </row>
    <row r="135" spans="1:29" x14ac:dyDescent="0.25">
      <c r="A135" s="127"/>
      <c r="B135" s="136" t="str">
        <f t="shared" si="18"/>
        <v>POPT</v>
      </c>
      <c r="C135" s="136" t="str">
        <f>+VLOOKUP(AC135,Ходим!A:B,2,0)</f>
        <v>31503892210028</v>
      </c>
      <c r="D135" s="136" t="str">
        <f>IFERROR(VLOOKUP($B:$B,[20]свод!$A:$AB,3,0)," ")</f>
        <v>Поп тумани</v>
      </c>
      <c r="E135" s="7" t="s">
        <v>2359</v>
      </c>
      <c r="F135" s="7" t="s">
        <v>8749</v>
      </c>
      <c r="G135" s="134">
        <v>1</v>
      </c>
      <c r="H135" s="134" t="s">
        <v>411</v>
      </c>
      <c r="I135" s="7" t="s">
        <v>158</v>
      </c>
      <c r="J135" s="7" t="s">
        <v>12</v>
      </c>
      <c r="K135" s="7"/>
      <c r="L135" s="7" t="s">
        <v>167</v>
      </c>
      <c r="M135" s="7" t="s">
        <v>4998</v>
      </c>
      <c r="N135" s="7" t="s">
        <v>170</v>
      </c>
      <c r="O135" s="7" t="s">
        <v>162</v>
      </c>
      <c r="P135" s="7" t="s">
        <v>6850</v>
      </c>
      <c r="Q135" s="129">
        <v>46199</v>
      </c>
      <c r="R135" s="130">
        <v>46199</v>
      </c>
      <c r="S135" s="131">
        <v>0</v>
      </c>
      <c r="T135" s="127"/>
      <c r="U135" s="127">
        <v>1</v>
      </c>
      <c r="V135" s="127"/>
      <c r="W135" s="127"/>
      <c r="X135" s="135">
        <f t="shared" si="22"/>
        <v>0</v>
      </c>
      <c r="Y135" s="135" t="b">
        <f t="shared" si="19"/>
        <v>0</v>
      </c>
      <c r="Z135" s="135" t="b">
        <f t="shared" si="20"/>
        <v>0</v>
      </c>
      <c r="AA135" s="135" t="b">
        <f t="shared" si="21"/>
        <v>0</v>
      </c>
      <c r="AB135" s="7" t="s">
        <v>214</v>
      </c>
      <c r="AC135" s="7" t="s">
        <v>285</v>
      </c>
    </row>
    <row r="136" spans="1:29" hidden="1" x14ac:dyDescent="0.25">
      <c r="A136" s="127"/>
      <c r="B136" s="136" t="str">
        <f t="shared" si="18"/>
        <v>KSST</v>
      </c>
      <c r="C136" s="136" t="str">
        <f>+VLOOKUP(AC136,Ходим!A:B,2,0)</f>
        <v>31611995980026</v>
      </c>
      <c r="D136" s="136" t="str">
        <f>IFERROR(VLOOKUP($B:$B,[20]свод!$A:$AB,3,0)," ")</f>
        <v>Косонсой тумани</v>
      </c>
      <c r="E136" s="7" t="s">
        <v>2365</v>
      </c>
      <c r="F136" s="7" t="s">
        <v>8755</v>
      </c>
      <c r="G136" s="134" t="s">
        <v>411</v>
      </c>
      <c r="H136" s="134">
        <v>1</v>
      </c>
      <c r="I136" s="7" t="s">
        <v>157</v>
      </c>
      <c r="J136" s="7" t="s">
        <v>10638</v>
      </c>
      <c r="K136" s="7"/>
      <c r="L136" s="7" t="s">
        <v>166</v>
      </c>
      <c r="M136" s="7" t="s">
        <v>5002</v>
      </c>
      <c r="N136" s="7" t="s">
        <v>170</v>
      </c>
      <c r="O136" s="7" t="s">
        <v>161</v>
      </c>
      <c r="P136" s="7" t="s">
        <v>6854</v>
      </c>
      <c r="Q136" s="129">
        <v>46199</v>
      </c>
      <c r="R136" s="130">
        <v>46199</v>
      </c>
      <c r="S136" s="131">
        <v>0</v>
      </c>
      <c r="T136" s="127"/>
      <c r="U136" s="127">
        <v>1</v>
      </c>
      <c r="V136" s="127"/>
      <c r="W136" s="127"/>
      <c r="X136" s="135">
        <f t="shared" si="22"/>
        <v>0</v>
      </c>
      <c r="Y136" s="135" t="b">
        <f t="shared" si="19"/>
        <v>0</v>
      </c>
      <c r="Z136" s="135" t="b">
        <f t="shared" si="20"/>
        <v>0</v>
      </c>
      <c r="AA136" s="135" t="b">
        <f t="shared" si="21"/>
        <v>0</v>
      </c>
      <c r="AB136" s="7" t="s">
        <v>180</v>
      </c>
      <c r="AC136" s="7" t="s">
        <v>181</v>
      </c>
    </row>
    <row r="137" spans="1:29" hidden="1" x14ac:dyDescent="0.25">
      <c r="A137" s="127"/>
      <c r="B137" s="136" t="str">
        <f t="shared" si="18"/>
        <v>YGQT</v>
      </c>
      <c r="C137" s="136" t="str">
        <f>+VLOOKUP(AC137,Ходим!A:B,2,0)</f>
        <v>52410005950025</v>
      </c>
      <c r="D137" s="136" t="str">
        <f>IFERROR(VLOOKUP($B:$B,[20]свод!$A:$AB,3,0)," ")</f>
        <v>Янгиқўрғон тумани</v>
      </c>
      <c r="E137" s="7" t="s">
        <v>2373</v>
      </c>
      <c r="F137" s="7" t="s">
        <v>8763</v>
      </c>
      <c r="G137" s="134">
        <v>1</v>
      </c>
      <c r="H137" s="134" t="s">
        <v>411</v>
      </c>
      <c r="I137" s="7" t="s">
        <v>158</v>
      </c>
      <c r="J137" s="7" t="s">
        <v>10638</v>
      </c>
      <c r="K137" s="7"/>
      <c r="L137" s="7" t="s">
        <v>167</v>
      </c>
      <c r="M137" s="7" t="s">
        <v>5008</v>
      </c>
      <c r="N137" s="7" t="s">
        <v>170</v>
      </c>
      <c r="O137" s="7" t="s">
        <v>162</v>
      </c>
      <c r="P137" s="7" t="s">
        <v>6708</v>
      </c>
      <c r="Q137" s="129">
        <v>46199</v>
      </c>
      <c r="R137" s="130">
        <v>46199</v>
      </c>
      <c r="S137" s="131">
        <v>0</v>
      </c>
      <c r="T137" s="127"/>
      <c r="U137" s="127">
        <v>1</v>
      </c>
      <c r="V137" s="127"/>
      <c r="W137" s="127"/>
      <c r="X137" s="135">
        <f t="shared" si="22"/>
        <v>0</v>
      </c>
      <c r="Y137" s="135" t="b">
        <f t="shared" si="19"/>
        <v>0</v>
      </c>
      <c r="Z137" s="135" t="b">
        <f t="shared" si="20"/>
        <v>0</v>
      </c>
      <c r="AA137" s="135" t="b">
        <f t="shared" si="21"/>
        <v>0</v>
      </c>
      <c r="AB137" s="7" t="s">
        <v>255</v>
      </c>
      <c r="AC137" s="7" t="s">
        <v>256</v>
      </c>
    </row>
    <row r="138" spans="1:29" x14ac:dyDescent="0.25">
      <c r="A138" s="127"/>
      <c r="B138" s="136" t="str">
        <f t="shared" si="18"/>
        <v>NAMS</v>
      </c>
      <c r="C138" s="136" t="str">
        <f>+VLOOKUP(AC138,Ходим!A:B,2,0)</f>
        <v>31608732170178</v>
      </c>
      <c r="D138" s="136" t="str">
        <f>IFERROR(VLOOKUP($B:$B,[20]свод!$A:$AB,3,0)," ")</f>
        <v>Наманган шаҳар</v>
      </c>
      <c r="E138" s="7" t="s">
        <v>976</v>
      </c>
      <c r="F138" s="7" t="s">
        <v>980</v>
      </c>
      <c r="G138" s="134">
        <v>1</v>
      </c>
      <c r="H138" s="134" t="s">
        <v>411</v>
      </c>
      <c r="I138" s="7" t="s">
        <v>158</v>
      </c>
      <c r="J138" s="7" t="s">
        <v>51</v>
      </c>
      <c r="K138" s="7"/>
      <c r="L138" s="7" t="s">
        <v>167</v>
      </c>
      <c r="M138" s="7" t="s">
        <v>995</v>
      </c>
      <c r="N138" s="7" t="s">
        <v>170</v>
      </c>
      <c r="O138" s="7" t="s">
        <v>162</v>
      </c>
      <c r="P138" s="7" t="s">
        <v>981</v>
      </c>
      <c r="Q138" s="129">
        <v>46199</v>
      </c>
      <c r="R138" s="130">
        <v>46157</v>
      </c>
      <c r="S138" s="131">
        <v>-42</v>
      </c>
      <c r="T138" s="127">
        <v>1</v>
      </c>
      <c r="U138" s="127"/>
      <c r="V138" s="127"/>
      <c r="W138" s="127">
        <v>1</v>
      </c>
      <c r="X138" s="135">
        <f t="shared" si="22"/>
        <v>0</v>
      </c>
      <c r="Y138" s="135" t="b">
        <f t="shared" si="19"/>
        <v>0</v>
      </c>
      <c r="Z138" s="135" t="b">
        <f t="shared" si="20"/>
        <v>0</v>
      </c>
      <c r="AA138" s="135" t="b">
        <f t="shared" si="21"/>
        <v>0</v>
      </c>
      <c r="AB138" s="7" t="s">
        <v>185</v>
      </c>
      <c r="AC138" s="7" t="s">
        <v>267</v>
      </c>
    </row>
    <row r="139" spans="1:29" x14ac:dyDescent="0.25">
      <c r="A139" s="127"/>
      <c r="B139" s="136" t="str">
        <f t="shared" si="18"/>
        <v>NAMS</v>
      </c>
      <c r="C139" s="136" t="str">
        <f>+VLOOKUP(AC139,Ходим!A:B,2,0)</f>
        <v>30507995950053</v>
      </c>
      <c r="D139" s="136" t="str">
        <f>IFERROR(VLOOKUP($B:$B,[20]свод!$A:$AB,3,0)," ")</f>
        <v>Наманган шаҳар</v>
      </c>
      <c r="E139" s="7" t="s">
        <v>392</v>
      </c>
      <c r="F139" s="7" t="s">
        <v>394</v>
      </c>
      <c r="G139" s="134">
        <v>1</v>
      </c>
      <c r="H139" s="134" t="s">
        <v>411</v>
      </c>
      <c r="I139" s="7" t="s">
        <v>158</v>
      </c>
      <c r="J139" s="7" t="s">
        <v>51</v>
      </c>
      <c r="K139" s="7" t="s">
        <v>396</v>
      </c>
      <c r="L139" s="7" t="s">
        <v>167</v>
      </c>
      <c r="M139" s="7" t="s">
        <v>393</v>
      </c>
      <c r="N139" s="7" t="s">
        <v>170</v>
      </c>
      <c r="O139" s="7" t="s">
        <v>162</v>
      </c>
      <c r="P139" s="7" t="s">
        <v>395</v>
      </c>
      <c r="Q139" s="129">
        <v>46199</v>
      </c>
      <c r="R139" s="130">
        <v>46111</v>
      </c>
      <c r="S139" s="131">
        <v>-88</v>
      </c>
      <c r="T139" s="127">
        <v>1</v>
      </c>
      <c r="U139" s="127"/>
      <c r="V139" s="127"/>
      <c r="W139" s="127">
        <v>1</v>
      </c>
      <c r="X139" s="135">
        <f t="shared" si="22"/>
        <v>0</v>
      </c>
      <c r="Y139" s="135" t="b">
        <f t="shared" si="19"/>
        <v>0</v>
      </c>
      <c r="Z139" s="135" t="b">
        <f t="shared" si="20"/>
        <v>0</v>
      </c>
      <c r="AA139" s="135" t="b">
        <f t="shared" si="21"/>
        <v>0</v>
      </c>
      <c r="AB139" s="7" t="s">
        <v>234</v>
      </c>
      <c r="AC139" s="7" t="s">
        <v>195</v>
      </c>
    </row>
    <row r="140" spans="1:29" x14ac:dyDescent="0.25">
      <c r="A140" s="127"/>
      <c r="B140" s="136" t="str">
        <f t="shared" si="18"/>
        <v>MINT</v>
      </c>
      <c r="C140" s="136" t="str">
        <f>+VLOOKUP(AC140,Ходим!A:B,2,0)</f>
        <v>53110035990017</v>
      </c>
      <c r="D140" s="136" t="str">
        <f>IFERROR(VLOOKUP($B:$B,[20]свод!$A:$AB,3,0)," ")</f>
        <v>Мингбулоқ тумани</v>
      </c>
      <c r="E140" s="7" t="s">
        <v>2434</v>
      </c>
      <c r="F140" s="7" t="s">
        <v>8824</v>
      </c>
      <c r="G140" s="134" t="s">
        <v>411</v>
      </c>
      <c r="H140" s="134">
        <v>1</v>
      </c>
      <c r="I140" s="7" t="s">
        <v>157</v>
      </c>
      <c r="J140" s="7" t="s">
        <v>13</v>
      </c>
      <c r="K140" s="7"/>
      <c r="L140" s="7" t="s">
        <v>168</v>
      </c>
      <c r="M140" s="7" t="s">
        <v>5045</v>
      </c>
      <c r="N140" s="7" t="s">
        <v>170</v>
      </c>
      <c r="O140" s="7" t="s">
        <v>161</v>
      </c>
      <c r="P140" s="7" t="s">
        <v>6882</v>
      </c>
      <c r="Q140" s="129">
        <v>46199</v>
      </c>
      <c r="R140" s="130">
        <v>46199</v>
      </c>
      <c r="S140" s="131">
        <v>0</v>
      </c>
      <c r="T140" s="127"/>
      <c r="U140" s="127">
        <v>1</v>
      </c>
      <c r="V140" s="127"/>
      <c r="W140" s="127"/>
      <c r="X140" s="135">
        <f t="shared" si="22"/>
        <v>0</v>
      </c>
      <c r="Y140" s="135" t="b">
        <f t="shared" si="19"/>
        <v>0</v>
      </c>
      <c r="Z140" s="135" t="b">
        <f t="shared" si="20"/>
        <v>0</v>
      </c>
      <c r="AA140" s="135" t="b">
        <f t="shared" si="21"/>
        <v>0</v>
      </c>
      <c r="AB140" s="7" t="s">
        <v>220</v>
      </c>
      <c r="AC140" s="7" t="s">
        <v>372</v>
      </c>
    </row>
    <row r="141" spans="1:29" x14ac:dyDescent="0.25">
      <c r="A141" s="127"/>
      <c r="B141" s="136" t="str">
        <f t="shared" si="18"/>
        <v>NAMS</v>
      </c>
      <c r="C141" s="136" t="str">
        <f>+VLOOKUP(AC141,Ходим!A:B,2,0)</f>
        <v>30809892160183</v>
      </c>
      <c r="D141" s="136" t="str">
        <f>IFERROR(VLOOKUP($B:$B,[20]свод!$A:$AB,3,0)," ")</f>
        <v>Наманган шаҳар</v>
      </c>
      <c r="E141" s="7" t="s">
        <v>2438</v>
      </c>
      <c r="F141" s="7" t="s">
        <v>8828</v>
      </c>
      <c r="G141" s="134" t="s">
        <v>411</v>
      </c>
      <c r="H141" s="134">
        <v>1</v>
      </c>
      <c r="I141" s="7" t="s">
        <v>154</v>
      </c>
      <c r="J141" s="7" t="s">
        <v>12</v>
      </c>
      <c r="K141" s="7"/>
      <c r="L141" s="7" t="s">
        <v>166</v>
      </c>
      <c r="M141" s="7" t="s">
        <v>5049</v>
      </c>
      <c r="N141" s="7" t="s">
        <v>170</v>
      </c>
      <c r="O141" s="7" t="s">
        <v>161</v>
      </c>
      <c r="P141" s="7" t="s">
        <v>6884</v>
      </c>
      <c r="Q141" s="129">
        <v>46199</v>
      </c>
      <c r="R141" s="130">
        <v>46198</v>
      </c>
      <c r="S141" s="131">
        <v>-1</v>
      </c>
      <c r="T141" s="127">
        <v>1</v>
      </c>
      <c r="U141" s="127"/>
      <c r="V141" s="127"/>
      <c r="W141" s="127">
        <v>1</v>
      </c>
      <c r="X141" s="135">
        <f t="shared" si="22"/>
        <v>0</v>
      </c>
      <c r="Y141" s="135" t="b">
        <f t="shared" si="19"/>
        <v>0</v>
      </c>
      <c r="Z141" s="135" t="b">
        <f t="shared" si="20"/>
        <v>0</v>
      </c>
      <c r="AA141" s="135" t="b">
        <f t="shared" si="21"/>
        <v>0</v>
      </c>
      <c r="AB141" s="7" t="s">
        <v>227</v>
      </c>
      <c r="AC141" s="7" t="s">
        <v>192</v>
      </c>
    </row>
    <row r="142" spans="1:29" x14ac:dyDescent="0.25">
      <c r="A142" s="127"/>
      <c r="B142" s="136" t="str">
        <f t="shared" si="18"/>
        <v>POPT</v>
      </c>
      <c r="C142" s="136" t="str">
        <f>+VLOOKUP(AC142,Ходим!A:B,2,0)</f>
        <v>30304872210053</v>
      </c>
      <c r="D142" s="136" t="str">
        <f>IFERROR(VLOOKUP($B:$B,[20]свод!$A:$AB,3,0)," ")</f>
        <v>Поп тумани</v>
      </c>
      <c r="E142" s="7" t="s">
        <v>2439</v>
      </c>
      <c r="F142" s="7"/>
      <c r="G142" s="134">
        <v>1</v>
      </c>
      <c r="H142" s="134" t="s">
        <v>411</v>
      </c>
      <c r="I142" s="7" t="s">
        <v>154</v>
      </c>
      <c r="J142" s="7" t="s">
        <v>145</v>
      </c>
      <c r="K142" s="7"/>
      <c r="L142" s="7" t="s">
        <v>167</v>
      </c>
      <c r="M142" s="7" t="s">
        <v>5050</v>
      </c>
      <c r="N142" s="7" t="s">
        <v>368</v>
      </c>
      <c r="O142" s="7"/>
      <c r="P142" s="7" t="s">
        <v>6885</v>
      </c>
      <c r="Q142" s="129">
        <v>46199</v>
      </c>
      <c r="R142" s="130">
        <v>46199</v>
      </c>
      <c r="S142" s="131">
        <v>0</v>
      </c>
      <c r="T142" s="127"/>
      <c r="U142" s="127">
        <v>1</v>
      </c>
      <c r="V142" s="127"/>
      <c r="W142" s="127"/>
      <c r="X142" s="135">
        <f t="shared" si="22"/>
        <v>0</v>
      </c>
      <c r="Y142" s="135" t="b">
        <f t="shared" si="19"/>
        <v>0</v>
      </c>
      <c r="Z142" s="135" t="b">
        <f t="shared" si="20"/>
        <v>0</v>
      </c>
      <c r="AA142" s="135" t="b">
        <f t="shared" si="21"/>
        <v>0</v>
      </c>
      <c r="AB142" s="7" t="s">
        <v>214</v>
      </c>
      <c r="AC142" s="7" t="s">
        <v>235</v>
      </c>
    </row>
    <row r="143" spans="1:29" x14ac:dyDescent="0.25">
      <c r="A143" s="127"/>
      <c r="B143" s="136" t="str">
        <f t="shared" si="18"/>
        <v>POPT</v>
      </c>
      <c r="C143" s="136" t="str">
        <f>+VLOOKUP(AC143,Ходим!A:B,2,0)</f>
        <v>30608945910016</v>
      </c>
      <c r="D143" s="136" t="str">
        <f>IFERROR(VLOOKUP($B:$B,[20]свод!$A:$AB,3,0)," ")</f>
        <v>Поп тумани</v>
      </c>
      <c r="E143" s="7" t="s">
        <v>2440</v>
      </c>
      <c r="F143" s="7" t="s">
        <v>8829</v>
      </c>
      <c r="G143" s="134">
        <v>1</v>
      </c>
      <c r="H143" s="134" t="s">
        <v>411</v>
      </c>
      <c r="I143" s="7" t="s">
        <v>158</v>
      </c>
      <c r="J143" s="7" t="s">
        <v>17</v>
      </c>
      <c r="K143" s="7"/>
      <c r="L143" s="7" t="s">
        <v>167</v>
      </c>
      <c r="M143" s="7" t="s">
        <v>5051</v>
      </c>
      <c r="N143" s="7" t="s">
        <v>170</v>
      </c>
      <c r="O143" s="7" t="s">
        <v>162</v>
      </c>
      <c r="P143" s="7" t="s">
        <v>6886</v>
      </c>
      <c r="Q143" s="129">
        <v>46199</v>
      </c>
      <c r="R143" s="130">
        <v>46197</v>
      </c>
      <c r="S143" s="131">
        <v>-2</v>
      </c>
      <c r="T143" s="127">
        <v>1</v>
      </c>
      <c r="U143" s="127"/>
      <c r="V143" s="127"/>
      <c r="W143" s="127">
        <v>1</v>
      </c>
      <c r="X143" s="135">
        <f t="shared" si="22"/>
        <v>0</v>
      </c>
      <c r="Y143" s="135" t="b">
        <f t="shared" si="19"/>
        <v>0</v>
      </c>
      <c r="Z143" s="135" t="b">
        <f t="shared" si="20"/>
        <v>0</v>
      </c>
      <c r="AA143" s="135" t="b">
        <f t="shared" si="21"/>
        <v>0</v>
      </c>
      <c r="AB143" s="7" t="s">
        <v>240</v>
      </c>
      <c r="AC143" s="7" t="s">
        <v>295</v>
      </c>
    </row>
    <row r="144" spans="1:29" x14ac:dyDescent="0.25">
      <c r="A144" s="127"/>
      <c r="B144" s="136" t="str">
        <f t="shared" si="18"/>
        <v>NAMS</v>
      </c>
      <c r="C144" s="136" t="str">
        <f>+VLOOKUP(AC144,Ходим!A:B,2,0)</f>
        <v>51110025960044</v>
      </c>
      <c r="D144" s="136" t="str">
        <f>IFERROR(VLOOKUP($B:$B,[20]свод!$A:$AB,3,0)," ")</f>
        <v>Наманган шаҳар</v>
      </c>
      <c r="E144" s="7" t="s">
        <v>1021</v>
      </c>
      <c r="F144" s="7" t="s">
        <v>1062</v>
      </c>
      <c r="G144" s="134">
        <v>1</v>
      </c>
      <c r="H144" s="134" t="s">
        <v>411</v>
      </c>
      <c r="I144" s="7" t="s">
        <v>158</v>
      </c>
      <c r="J144" s="7" t="s">
        <v>53</v>
      </c>
      <c r="K144" s="7"/>
      <c r="L144" s="7" t="s">
        <v>167</v>
      </c>
      <c r="M144" s="7" t="s">
        <v>5058</v>
      </c>
      <c r="N144" s="7" t="s">
        <v>170</v>
      </c>
      <c r="O144" s="7" t="s">
        <v>162</v>
      </c>
      <c r="P144" s="7" t="s">
        <v>1065</v>
      </c>
      <c r="Q144" s="129">
        <v>46199</v>
      </c>
      <c r="R144" s="130">
        <v>46189</v>
      </c>
      <c r="S144" s="131">
        <v>-10</v>
      </c>
      <c r="T144" s="127">
        <v>1</v>
      </c>
      <c r="U144" s="127"/>
      <c r="V144" s="127">
        <v>1</v>
      </c>
      <c r="W144" s="127"/>
      <c r="X144" s="135">
        <f t="shared" si="22"/>
        <v>0</v>
      </c>
      <c r="Y144" s="135" t="b">
        <f t="shared" si="19"/>
        <v>0</v>
      </c>
      <c r="Z144" s="135" t="b">
        <f t="shared" si="20"/>
        <v>0</v>
      </c>
      <c r="AA144" s="135" t="b">
        <f t="shared" si="21"/>
        <v>0</v>
      </c>
      <c r="AB144" s="7" t="s">
        <v>234</v>
      </c>
      <c r="AC144" s="7" t="s">
        <v>294</v>
      </c>
    </row>
    <row r="145" spans="1:29" hidden="1" x14ac:dyDescent="0.25">
      <c r="A145" s="127"/>
      <c r="B145" s="136" t="str">
        <f t="shared" si="18"/>
        <v>MINT</v>
      </c>
      <c r="C145" s="136" t="str">
        <f>+VLOOKUP(AC145,Ходим!A:B,2,0)</f>
        <v>31205995920018</v>
      </c>
      <c r="D145" s="136" t="str">
        <f>IFERROR(VLOOKUP($B:$B,[20]свод!$A:$AB,3,0)," ")</f>
        <v>Мингбулоқ тумани</v>
      </c>
      <c r="E145" s="7" t="s">
        <v>2448</v>
      </c>
      <c r="F145" s="7" t="s">
        <v>8837</v>
      </c>
      <c r="G145" s="134" t="s">
        <v>411</v>
      </c>
      <c r="H145" s="134">
        <v>1</v>
      </c>
      <c r="I145" s="7" t="s">
        <v>157</v>
      </c>
      <c r="J145" s="7" t="s">
        <v>10639</v>
      </c>
      <c r="K145" s="7"/>
      <c r="L145" s="7" t="s">
        <v>166</v>
      </c>
      <c r="M145" s="7" t="s">
        <v>5059</v>
      </c>
      <c r="N145" s="7" t="s">
        <v>170</v>
      </c>
      <c r="O145" s="7" t="s">
        <v>161</v>
      </c>
      <c r="P145" s="7" t="s">
        <v>6890</v>
      </c>
      <c r="Q145" s="129">
        <v>46199</v>
      </c>
      <c r="R145" s="130">
        <v>46199</v>
      </c>
      <c r="S145" s="131">
        <v>0</v>
      </c>
      <c r="T145" s="127"/>
      <c r="U145" s="127">
        <v>1</v>
      </c>
      <c r="V145" s="127"/>
      <c r="W145" s="127"/>
      <c r="X145" s="135">
        <f t="shared" si="22"/>
        <v>0</v>
      </c>
      <c r="Y145" s="135" t="b">
        <f t="shared" si="19"/>
        <v>0</v>
      </c>
      <c r="Z145" s="135" t="b">
        <f t="shared" si="20"/>
        <v>0</v>
      </c>
      <c r="AA145" s="135" t="b">
        <f t="shared" si="21"/>
        <v>0</v>
      </c>
      <c r="AB145" s="7" t="s">
        <v>220</v>
      </c>
      <c r="AC145" s="7" t="s">
        <v>271</v>
      </c>
    </row>
    <row r="146" spans="1:29" hidden="1" x14ac:dyDescent="0.25">
      <c r="A146" s="127"/>
      <c r="B146" s="136" t="str">
        <f t="shared" si="18"/>
        <v>TORT</v>
      </c>
      <c r="C146" s="136" t="str">
        <f>+VLOOKUP(AC146,Ходим!A:B,2,0)</f>
        <v>30708792130017</v>
      </c>
      <c r="D146" s="136" t="str">
        <f>IFERROR(VLOOKUP($B:$B,[20]свод!$A:$AB,3,0)," ")</f>
        <v>Тўрақўрғон тумани</v>
      </c>
      <c r="E146" s="7" t="s">
        <v>2465</v>
      </c>
      <c r="F146" s="7" t="s">
        <v>8854</v>
      </c>
      <c r="G146" s="134">
        <v>1</v>
      </c>
      <c r="H146" s="134" t="s">
        <v>411</v>
      </c>
      <c r="I146" s="7" t="s">
        <v>158</v>
      </c>
      <c r="J146" s="7" t="s">
        <v>10638</v>
      </c>
      <c r="K146" s="7"/>
      <c r="L146" s="7" t="s">
        <v>167</v>
      </c>
      <c r="M146" s="7" t="s">
        <v>5068</v>
      </c>
      <c r="N146" s="7" t="s">
        <v>170</v>
      </c>
      <c r="O146" s="7" t="s">
        <v>162</v>
      </c>
      <c r="P146" s="7" t="s">
        <v>6664</v>
      </c>
      <c r="Q146" s="129">
        <v>46199</v>
      </c>
      <c r="R146" s="130">
        <v>46199</v>
      </c>
      <c r="S146" s="131">
        <v>0</v>
      </c>
      <c r="T146" s="127"/>
      <c r="U146" s="127">
        <v>1</v>
      </c>
      <c r="V146" s="127"/>
      <c r="W146" s="127"/>
      <c r="X146" s="135">
        <f t="shared" si="22"/>
        <v>0</v>
      </c>
      <c r="Y146" s="135" t="b">
        <f t="shared" si="19"/>
        <v>0</v>
      </c>
      <c r="Z146" s="135" t="b">
        <f t="shared" si="20"/>
        <v>0</v>
      </c>
      <c r="AA146" s="135" t="b">
        <f t="shared" si="21"/>
        <v>0</v>
      </c>
      <c r="AB146" s="7" t="s">
        <v>203</v>
      </c>
      <c r="AC146" s="7" t="s">
        <v>204</v>
      </c>
    </row>
    <row r="147" spans="1:29" x14ac:dyDescent="0.25">
      <c r="A147" s="127"/>
      <c r="B147" s="136" t="str">
        <f t="shared" si="18"/>
        <v>TORT</v>
      </c>
      <c r="C147" s="136" t="str">
        <f>+VLOOKUP(AC147,Ходим!A:B,2,0)</f>
        <v>30708792130017</v>
      </c>
      <c r="D147" s="136" t="str">
        <f>IFERROR(VLOOKUP($B:$B,[20]свод!$A:$AB,3,0)," ")</f>
        <v>Тўрақўрғон тумани</v>
      </c>
      <c r="E147" s="7" t="s">
        <v>2480</v>
      </c>
      <c r="F147" s="7" t="s">
        <v>8869</v>
      </c>
      <c r="G147" s="134">
        <v>1</v>
      </c>
      <c r="H147" s="134" t="s">
        <v>411</v>
      </c>
      <c r="I147" s="7" t="s">
        <v>158</v>
      </c>
      <c r="J147" s="7" t="s">
        <v>1</v>
      </c>
      <c r="K147" s="7"/>
      <c r="L147" s="7" t="s">
        <v>167</v>
      </c>
      <c r="M147" s="7" t="s">
        <v>5079</v>
      </c>
      <c r="N147" s="7" t="s">
        <v>170</v>
      </c>
      <c r="O147" s="7" t="s">
        <v>162</v>
      </c>
      <c r="P147" s="7" t="s">
        <v>6664</v>
      </c>
      <c r="Q147" s="129">
        <v>46199</v>
      </c>
      <c r="R147" s="130">
        <v>46199</v>
      </c>
      <c r="S147" s="131">
        <v>0</v>
      </c>
      <c r="T147" s="127"/>
      <c r="U147" s="127">
        <v>1</v>
      </c>
      <c r="V147" s="127"/>
      <c r="W147" s="127"/>
      <c r="X147" s="135">
        <f t="shared" si="22"/>
        <v>0</v>
      </c>
      <c r="Y147" s="135" t="b">
        <f t="shared" si="19"/>
        <v>0</v>
      </c>
      <c r="Z147" s="135" t="b">
        <f t="shared" si="20"/>
        <v>0</v>
      </c>
      <c r="AA147" s="135" t="b">
        <f t="shared" si="21"/>
        <v>0</v>
      </c>
      <c r="AB147" s="7" t="s">
        <v>203</v>
      </c>
      <c r="AC147" s="7" t="s">
        <v>204</v>
      </c>
    </row>
    <row r="148" spans="1:29" x14ac:dyDescent="0.25">
      <c r="A148" s="127"/>
      <c r="B148" s="136" t="str">
        <f t="shared" si="18"/>
        <v>TORT</v>
      </c>
      <c r="C148" s="136" t="str">
        <f>+VLOOKUP(AC148,Ходим!A:B,2,0)</f>
        <v>30708792130017</v>
      </c>
      <c r="D148" s="136" t="str">
        <f>IFERROR(VLOOKUP($B:$B,[20]свод!$A:$AB,3,0)," ")</f>
        <v>Тўрақўрғон тумани</v>
      </c>
      <c r="E148" s="7" t="s">
        <v>2491</v>
      </c>
      <c r="F148" s="7" t="s">
        <v>8880</v>
      </c>
      <c r="G148" s="134">
        <v>1</v>
      </c>
      <c r="H148" s="134" t="s">
        <v>411</v>
      </c>
      <c r="I148" s="7" t="s">
        <v>158</v>
      </c>
      <c r="J148" s="7" t="s">
        <v>1</v>
      </c>
      <c r="K148" s="7"/>
      <c r="L148" s="7" t="s">
        <v>167</v>
      </c>
      <c r="M148" s="7" t="s">
        <v>5088</v>
      </c>
      <c r="N148" s="7" t="s">
        <v>170</v>
      </c>
      <c r="O148" s="7" t="s">
        <v>162</v>
      </c>
      <c r="P148" s="7" t="s">
        <v>6672</v>
      </c>
      <c r="Q148" s="129">
        <v>46199</v>
      </c>
      <c r="R148" s="130">
        <v>46199</v>
      </c>
      <c r="S148" s="131">
        <v>0</v>
      </c>
      <c r="T148" s="127"/>
      <c r="U148" s="127">
        <v>1</v>
      </c>
      <c r="V148" s="127"/>
      <c r="W148" s="127"/>
      <c r="X148" s="135">
        <f t="shared" si="22"/>
        <v>0</v>
      </c>
      <c r="Y148" s="135" t="b">
        <f t="shared" si="19"/>
        <v>0</v>
      </c>
      <c r="Z148" s="135" t="b">
        <f t="shared" si="20"/>
        <v>0</v>
      </c>
      <c r="AA148" s="135" t="b">
        <f t="shared" si="21"/>
        <v>0</v>
      </c>
      <c r="AB148" s="7" t="s">
        <v>203</v>
      </c>
      <c r="AC148" s="7" t="s">
        <v>204</v>
      </c>
    </row>
    <row r="149" spans="1:29" x14ac:dyDescent="0.25">
      <c r="A149" s="127"/>
      <c r="B149" s="136" t="str">
        <f t="shared" si="18"/>
        <v>POPT</v>
      </c>
      <c r="C149" s="136" t="str">
        <f>+VLOOKUP(AC149,Ходим!A:B,2,0)</f>
        <v>30608945910016</v>
      </c>
      <c r="D149" s="136" t="str">
        <f>IFERROR(VLOOKUP($B:$B,[20]свод!$A:$AB,3,0)," ")</f>
        <v>Поп тумани</v>
      </c>
      <c r="E149" s="7" t="s">
        <v>2521</v>
      </c>
      <c r="F149" s="7" t="s">
        <v>8910</v>
      </c>
      <c r="G149" s="134" t="s">
        <v>411</v>
      </c>
      <c r="H149" s="134">
        <v>1</v>
      </c>
      <c r="I149" s="7" t="s">
        <v>157</v>
      </c>
      <c r="J149" s="7" t="s">
        <v>1</v>
      </c>
      <c r="K149" s="7"/>
      <c r="L149" s="7" t="s">
        <v>168</v>
      </c>
      <c r="M149" s="7" t="s">
        <v>5109</v>
      </c>
      <c r="N149" s="7" t="s">
        <v>410</v>
      </c>
      <c r="O149" s="7" t="s">
        <v>161</v>
      </c>
      <c r="P149" s="7" t="s">
        <v>6912</v>
      </c>
      <c r="Q149" s="129">
        <v>46199</v>
      </c>
      <c r="R149" s="130">
        <v>46196</v>
      </c>
      <c r="S149" s="131">
        <v>-3</v>
      </c>
      <c r="T149" s="127">
        <v>1</v>
      </c>
      <c r="U149" s="127"/>
      <c r="V149" s="127"/>
      <c r="W149" s="127">
        <v>1</v>
      </c>
      <c r="X149" s="135">
        <f t="shared" si="22"/>
        <v>0</v>
      </c>
      <c r="Y149" s="135" t="b">
        <f t="shared" si="19"/>
        <v>0</v>
      </c>
      <c r="Z149" s="135" t="b">
        <f t="shared" si="20"/>
        <v>0</v>
      </c>
      <c r="AA149" s="135" t="b">
        <f t="shared" si="21"/>
        <v>0</v>
      </c>
      <c r="AB149" s="7" t="s">
        <v>240</v>
      </c>
      <c r="AC149" s="7" t="s">
        <v>295</v>
      </c>
    </row>
    <row r="150" spans="1:29" hidden="1" x14ac:dyDescent="0.25">
      <c r="A150" s="127"/>
      <c r="B150" s="136" t="str">
        <f t="shared" si="18"/>
        <v>TORT</v>
      </c>
      <c r="C150" s="136" t="str">
        <f>+VLOOKUP(AC150,Ходим!A:B,2,0)</f>
        <v>40302922130046</v>
      </c>
      <c r="D150" s="136" t="str">
        <f>IFERROR(VLOOKUP($B:$B,[20]свод!$A:$AB,3,0)," ")</f>
        <v>Тўрақўрғон тумани</v>
      </c>
      <c r="E150" s="7" t="s">
        <v>2523</v>
      </c>
      <c r="F150" s="7" t="s">
        <v>8912</v>
      </c>
      <c r="G150" s="134">
        <v>1</v>
      </c>
      <c r="H150" s="134" t="s">
        <v>411</v>
      </c>
      <c r="I150" s="7" t="s">
        <v>158</v>
      </c>
      <c r="J150" s="7" t="s">
        <v>10639</v>
      </c>
      <c r="K150" s="7"/>
      <c r="L150" s="7" t="s">
        <v>167</v>
      </c>
      <c r="M150" s="7" t="s">
        <v>5111</v>
      </c>
      <c r="N150" s="7" t="s">
        <v>170</v>
      </c>
      <c r="O150" s="7" t="s">
        <v>162</v>
      </c>
      <c r="P150" s="7" t="s">
        <v>6913</v>
      </c>
      <c r="Q150" s="129">
        <v>46199</v>
      </c>
      <c r="R150" s="130">
        <v>46190</v>
      </c>
      <c r="S150" s="131">
        <v>-9</v>
      </c>
      <c r="T150" s="127">
        <v>1</v>
      </c>
      <c r="U150" s="127"/>
      <c r="V150" s="127">
        <v>1</v>
      </c>
      <c r="W150" s="127"/>
      <c r="X150" s="135">
        <f t="shared" si="22"/>
        <v>0</v>
      </c>
      <c r="Y150" s="135" t="b">
        <f t="shared" si="19"/>
        <v>0</v>
      </c>
      <c r="Z150" s="135" t="b">
        <f t="shared" si="20"/>
        <v>0</v>
      </c>
      <c r="AA150" s="135" t="b">
        <f t="shared" si="21"/>
        <v>0</v>
      </c>
      <c r="AB150" s="7" t="s">
        <v>203</v>
      </c>
      <c r="AC150" s="7" t="s">
        <v>258</v>
      </c>
    </row>
    <row r="151" spans="1:29" x14ac:dyDescent="0.25">
      <c r="A151" s="127"/>
      <c r="B151" s="136" t="str">
        <f t="shared" si="18"/>
        <v>CHUT</v>
      </c>
      <c r="C151" s="136" t="str">
        <f>+VLOOKUP(AC151,Ходим!A:B,2,0)</f>
        <v>31509882180058</v>
      </c>
      <c r="D151" s="136" t="str">
        <f>IFERROR(VLOOKUP($B:$B,[20]свод!$A:$AB,3,0)," ")</f>
        <v>Чуст тумани</v>
      </c>
      <c r="E151" s="7" t="s">
        <v>2526</v>
      </c>
      <c r="F151" s="7" t="s">
        <v>8915</v>
      </c>
      <c r="G151" s="134">
        <v>1</v>
      </c>
      <c r="H151" s="134" t="s">
        <v>411</v>
      </c>
      <c r="I151" s="7" t="s">
        <v>158</v>
      </c>
      <c r="J151" s="7" t="s">
        <v>13</v>
      </c>
      <c r="K151" s="7"/>
      <c r="L151" s="7" t="s">
        <v>167</v>
      </c>
      <c r="M151" s="7" t="s">
        <v>5114</v>
      </c>
      <c r="N151" s="7" t="s">
        <v>410</v>
      </c>
      <c r="O151" s="7" t="s">
        <v>162</v>
      </c>
      <c r="P151" s="7" t="s">
        <v>6914</v>
      </c>
      <c r="Q151" s="129">
        <v>46199</v>
      </c>
      <c r="R151" s="130">
        <v>46199</v>
      </c>
      <c r="S151" s="131">
        <v>0</v>
      </c>
      <c r="T151" s="127"/>
      <c r="U151" s="127">
        <v>1</v>
      </c>
      <c r="V151" s="127"/>
      <c r="W151" s="127"/>
      <c r="X151" s="135">
        <f t="shared" si="22"/>
        <v>0</v>
      </c>
      <c r="Y151" s="135" t="b">
        <f t="shared" si="19"/>
        <v>0</v>
      </c>
      <c r="Z151" s="135" t="b">
        <f t="shared" si="20"/>
        <v>0</v>
      </c>
      <c r="AA151" s="135" t="b">
        <f t="shared" si="21"/>
        <v>0</v>
      </c>
      <c r="AB151" s="7" t="s">
        <v>178</v>
      </c>
      <c r="AC151" s="7" t="s">
        <v>324</v>
      </c>
    </row>
    <row r="152" spans="1:29" x14ac:dyDescent="0.25">
      <c r="A152" s="127"/>
      <c r="B152" s="136" t="str">
        <f t="shared" si="18"/>
        <v>CHUT</v>
      </c>
      <c r="C152" s="136" t="str">
        <f>+VLOOKUP(AC152,Ходим!A:B,2,0)</f>
        <v>30901882180031</v>
      </c>
      <c r="D152" s="136" t="str">
        <f>IFERROR(VLOOKUP($B:$B,[20]свод!$A:$AB,3,0)," ")</f>
        <v>Чуст тумани</v>
      </c>
      <c r="E152" s="7" t="s">
        <v>2549</v>
      </c>
      <c r="F152" s="7" t="s">
        <v>8938</v>
      </c>
      <c r="G152" s="134">
        <v>1</v>
      </c>
      <c r="H152" s="134" t="s">
        <v>411</v>
      </c>
      <c r="I152" s="7" t="s">
        <v>158</v>
      </c>
      <c r="J152" s="7" t="s">
        <v>1</v>
      </c>
      <c r="K152" s="7"/>
      <c r="L152" s="7" t="s">
        <v>167</v>
      </c>
      <c r="M152" s="7" t="s">
        <v>5128</v>
      </c>
      <c r="N152" s="7" t="s">
        <v>170</v>
      </c>
      <c r="O152" s="7" t="s">
        <v>162</v>
      </c>
      <c r="P152" s="7" t="s">
        <v>6924</v>
      </c>
      <c r="Q152" s="129">
        <v>46199</v>
      </c>
      <c r="R152" s="130">
        <v>46199</v>
      </c>
      <c r="S152" s="131">
        <v>0</v>
      </c>
      <c r="T152" s="127"/>
      <c r="U152" s="127">
        <v>1</v>
      </c>
      <c r="V152" s="127"/>
      <c r="W152" s="127"/>
      <c r="X152" s="135">
        <f t="shared" si="22"/>
        <v>0</v>
      </c>
      <c r="Y152" s="135" t="b">
        <f t="shared" si="19"/>
        <v>0</v>
      </c>
      <c r="Z152" s="135" t="b">
        <f t="shared" si="20"/>
        <v>0</v>
      </c>
      <c r="AA152" s="135" t="b">
        <f t="shared" si="21"/>
        <v>0</v>
      </c>
      <c r="AB152" s="7" t="s">
        <v>178</v>
      </c>
      <c r="AC152" s="7" t="s">
        <v>238</v>
      </c>
    </row>
    <row r="153" spans="1:29" x14ac:dyDescent="0.25">
      <c r="A153" s="127"/>
      <c r="B153" s="136" t="str">
        <f t="shared" si="18"/>
        <v>TORT</v>
      </c>
      <c r="C153" s="136" t="str">
        <f>+VLOOKUP(AC153,Ходим!A:B,2,0)</f>
        <v>30612832130021</v>
      </c>
      <c r="D153" s="136" t="str">
        <f>IFERROR(VLOOKUP($B:$B,[20]свод!$A:$AB,3,0)," ")</f>
        <v>Тўрақўрғон тумани</v>
      </c>
      <c r="E153" s="7" t="s">
        <v>2550</v>
      </c>
      <c r="F153" s="7" t="s">
        <v>8939</v>
      </c>
      <c r="G153" s="134">
        <v>1</v>
      </c>
      <c r="H153" s="134" t="s">
        <v>411</v>
      </c>
      <c r="I153" s="7" t="s">
        <v>158</v>
      </c>
      <c r="J153" s="7" t="s">
        <v>1</v>
      </c>
      <c r="K153" s="7"/>
      <c r="L153" s="7" t="s">
        <v>167</v>
      </c>
      <c r="M153" s="7" t="s">
        <v>5129</v>
      </c>
      <c r="N153" s="7" t="s">
        <v>410</v>
      </c>
      <c r="O153" s="7" t="s">
        <v>162</v>
      </c>
      <c r="P153" s="7" t="s">
        <v>6925</v>
      </c>
      <c r="Q153" s="129">
        <v>46199</v>
      </c>
      <c r="R153" s="130">
        <v>46199</v>
      </c>
      <c r="S153" s="131">
        <v>0</v>
      </c>
      <c r="T153" s="127"/>
      <c r="U153" s="127">
        <v>1</v>
      </c>
      <c r="V153" s="127"/>
      <c r="W153" s="127"/>
      <c r="X153" s="135">
        <f t="shared" si="22"/>
        <v>0</v>
      </c>
      <c r="Y153" s="135" t="b">
        <f t="shared" si="19"/>
        <v>0</v>
      </c>
      <c r="Z153" s="135" t="b">
        <f t="shared" si="20"/>
        <v>0</v>
      </c>
      <c r="AA153" s="135" t="b">
        <f t="shared" si="21"/>
        <v>0</v>
      </c>
      <c r="AB153" s="7" t="s">
        <v>203</v>
      </c>
      <c r="AC153" s="7" t="s">
        <v>342</v>
      </c>
    </row>
    <row r="154" spans="1:29" x14ac:dyDescent="0.25">
      <c r="A154" s="127"/>
      <c r="B154" s="136" t="str">
        <f t="shared" si="18"/>
        <v>TORT</v>
      </c>
      <c r="C154" s="136" t="str">
        <f>+VLOOKUP(AC154,Ходим!A:B,2,0)</f>
        <v>50908015920034</v>
      </c>
      <c r="D154" s="136" t="str">
        <f>IFERROR(VLOOKUP($B:$B,[20]свод!$A:$AB,3,0)," ")</f>
        <v>Тўрақўрғон тумани</v>
      </c>
      <c r="E154" s="7" t="s">
        <v>2554</v>
      </c>
      <c r="F154" s="7" t="s">
        <v>8943</v>
      </c>
      <c r="G154" s="134">
        <v>1</v>
      </c>
      <c r="H154" s="134" t="s">
        <v>411</v>
      </c>
      <c r="I154" s="7" t="s">
        <v>158</v>
      </c>
      <c r="J154" s="7" t="s">
        <v>1</v>
      </c>
      <c r="K154" s="7"/>
      <c r="L154" s="7" t="s">
        <v>167</v>
      </c>
      <c r="M154" s="7" t="s">
        <v>5132</v>
      </c>
      <c r="N154" s="7" t="s">
        <v>170</v>
      </c>
      <c r="O154" s="7" t="s">
        <v>163</v>
      </c>
      <c r="P154" s="7" t="s">
        <v>6927</v>
      </c>
      <c r="Q154" s="129">
        <v>46199</v>
      </c>
      <c r="R154" s="130">
        <v>46199</v>
      </c>
      <c r="S154" s="131">
        <v>0</v>
      </c>
      <c r="T154" s="127"/>
      <c r="U154" s="127">
        <v>1</v>
      </c>
      <c r="V154" s="127"/>
      <c r="W154" s="127"/>
      <c r="X154" s="135">
        <f t="shared" si="22"/>
        <v>0</v>
      </c>
      <c r="Y154" s="135" t="b">
        <f t="shared" si="19"/>
        <v>0</v>
      </c>
      <c r="Z154" s="135" t="b">
        <f t="shared" si="20"/>
        <v>0</v>
      </c>
      <c r="AA154" s="135" t="b">
        <f t="shared" si="21"/>
        <v>0</v>
      </c>
      <c r="AB154" s="7" t="s">
        <v>309</v>
      </c>
      <c r="AC154" s="7" t="s">
        <v>205</v>
      </c>
    </row>
    <row r="155" spans="1:29" hidden="1" x14ac:dyDescent="0.25">
      <c r="A155" s="127"/>
      <c r="B155" s="136" t="str">
        <f t="shared" si="18"/>
        <v>UYCT</v>
      </c>
      <c r="C155" s="136" t="str">
        <f>+VLOOKUP(AC155,Ходим!A:B,2,0)</f>
        <v>30510922140032</v>
      </c>
      <c r="D155" s="136" t="str">
        <f>IFERROR(VLOOKUP($B:$B,[20]свод!$A:$AB,3,0)," ")</f>
        <v>Уйчи тумани</v>
      </c>
      <c r="E155" s="7" t="s">
        <v>2555</v>
      </c>
      <c r="F155" s="7" t="s">
        <v>8944</v>
      </c>
      <c r="G155" s="134">
        <v>1</v>
      </c>
      <c r="H155" s="134" t="s">
        <v>411</v>
      </c>
      <c r="I155" s="7" t="s">
        <v>158</v>
      </c>
      <c r="J155" s="7" t="s">
        <v>10639</v>
      </c>
      <c r="K155" s="7"/>
      <c r="L155" s="7" t="s">
        <v>167</v>
      </c>
      <c r="M155" s="7" t="s">
        <v>5133</v>
      </c>
      <c r="N155" s="7" t="s">
        <v>170</v>
      </c>
      <c r="O155" s="7" t="s">
        <v>162</v>
      </c>
      <c r="P155" s="7" t="s">
        <v>6778</v>
      </c>
      <c r="Q155" s="129">
        <v>46199</v>
      </c>
      <c r="R155" s="130">
        <v>46199</v>
      </c>
      <c r="S155" s="131">
        <v>0</v>
      </c>
      <c r="T155" s="127"/>
      <c r="U155" s="127">
        <v>1</v>
      </c>
      <c r="V155" s="127"/>
      <c r="W155" s="127"/>
      <c r="X155" s="135">
        <f t="shared" si="22"/>
        <v>0</v>
      </c>
      <c r="Y155" s="135" t="b">
        <f t="shared" si="19"/>
        <v>0</v>
      </c>
      <c r="Z155" s="135" t="b">
        <f t="shared" si="20"/>
        <v>0</v>
      </c>
      <c r="AA155" s="135" t="b">
        <f t="shared" si="21"/>
        <v>0</v>
      </c>
      <c r="AB155" s="7" t="s">
        <v>947</v>
      </c>
      <c r="AC155" s="7" t="s">
        <v>199</v>
      </c>
    </row>
    <row r="156" spans="1:29" x14ac:dyDescent="0.25">
      <c r="A156" s="127"/>
      <c r="B156" s="136" t="str">
        <f t="shared" si="18"/>
        <v>NAMS</v>
      </c>
      <c r="C156" s="136" t="str">
        <f>+VLOOKUP(AC156,Ходим!A:B,2,0)</f>
        <v>52107015960107</v>
      </c>
      <c r="D156" s="136" t="str">
        <f>IFERROR(VLOOKUP($B:$B,[20]свод!$A:$AB,3,0)," ")</f>
        <v>Наманган шаҳар</v>
      </c>
      <c r="E156" s="7" t="s">
        <v>2558</v>
      </c>
      <c r="F156" s="7" t="s">
        <v>8947</v>
      </c>
      <c r="G156" s="134" t="s">
        <v>411</v>
      </c>
      <c r="H156" s="134">
        <v>1</v>
      </c>
      <c r="I156" s="7" t="s">
        <v>157</v>
      </c>
      <c r="J156" s="7" t="s">
        <v>1</v>
      </c>
      <c r="K156" s="7"/>
      <c r="L156" s="7" t="s">
        <v>168</v>
      </c>
      <c r="M156" s="7" t="s">
        <v>5136</v>
      </c>
      <c r="N156" s="7" t="s">
        <v>410</v>
      </c>
      <c r="O156" s="7" t="s">
        <v>161</v>
      </c>
      <c r="P156" s="7" t="s">
        <v>6930</v>
      </c>
      <c r="Q156" s="129">
        <v>46199</v>
      </c>
      <c r="R156" s="130">
        <v>46196</v>
      </c>
      <c r="S156" s="131">
        <v>-3</v>
      </c>
      <c r="T156" s="127">
        <v>1</v>
      </c>
      <c r="U156" s="127"/>
      <c r="V156" s="127"/>
      <c r="W156" s="127">
        <v>1</v>
      </c>
      <c r="X156" s="135">
        <f t="shared" si="22"/>
        <v>0</v>
      </c>
      <c r="Y156" s="135" t="b">
        <f t="shared" si="19"/>
        <v>0</v>
      </c>
      <c r="Z156" s="135" t="b">
        <f t="shared" si="20"/>
        <v>0</v>
      </c>
      <c r="AA156" s="135" t="b">
        <f t="shared" si="21"/>
        <v>0</v>
      </c>
      <c r="AB156" s="7" t="s">
        <v>227</v>
      </c>
      <c r="AC156" s="7" t="s">
        <v>348</v>
      </c>
    </row>
    <row r="157" spans="1:29" hidden="1" x14ac:dyDescent="0.25">
      <c r="A157" s="127"/>
      <c r="B157" s="136" t="str">
        <f t="shared" si="18"/>
        <v>UYCT</v>
      </c>
      <c r="C157" s="136" t="str">
        <f>+VLOOKUP(AC157,Ходим!A:B,2,0)</f>
        <v>51501005930032</v>
      </c>
      <c r="D157" s="136" t="str">
        <f>IFERROR(VLOOKUP($B:$B,[20]свод!$A:$AB,3,0)," ")</f>
        <v>Уйчи тумани</v>
      </c>
      <c r="E157" s="7" t="s">
        <v>2562</v>
      </c>
      <c r="F157" s="7" t="s">
        <v>8951</v>
      </c>
      <c r="G157" s="134">
        <v>1</v>
      </c>
      <c r="H157" s="134" t="s">
        <v>411</v>
      </c>
      <c r="I157" s="7" t="s">
        <v>158</v>
      </c>
      <c r="J157" s="7" t="s">
        <v>10639</v>
      </c>
      <c r="K157" s="7"/>
      <c r="L157" s="7" t="s">
        <v>167</v>
      </c>
      <c r="M157" s="7" t="s">
        <v>5139</v>
      </c>
      <c r="N157" s="7" t="s">
        <v>170</v>
      </c>
      <c r="O157" s="7" t="s">
        <v>162</v>
      </c>
      <c r="P157" s="7" t="s">
        <v>6933</v>
      </c>
      <c r="Q157" s="129">
        <v>46199</v>
      </c>
      <c r="R157" s="130">
        <v>46199</v>
      </c>
      <c r="S157" s="131">
        <v>0</v>
      </c>
      <c r="T157" s="127"/>
      <c r="U157" s="127">
        <v>1</v>
      </c>
      <c r="V157" s="127"/>
      <c r="W157" s="127"/>
      <c r="X157" s="135">
        <f t="shared" si="22"/>
        <v>0</v>
      </c>
      <c r="Y157" s="135" t="b">
        <f t="shared" si="19"/>
        <v>0</v>
      </c>
      <c r="Z157" s="135" t="b">
        <f t="shared" si="20"/>
        <v>0</v>
      </c>
      <c r="AA157" s="135" t="b">
        <f t="shared" si="21"/>
        <v>0</v>
      </c>
      <c r="AB157" s="7" t="s">
        <v>379</v>
      </c>
      <c r="AC157" s="7" t="s">
        <v>326</v>
      </c>
    </row>
    <row r="158" spans="1:29" x14ac:dyDescent="0.25">
      <c r="A158" s="127"/>
      <c r="B158" s="136" t="str">
        <f t="shared" si="18"/>
        <v>POPT</v>
      </c>
      <c r="C158" s="136" t="str">
        <f>+VLOOKUP(AC158,Ходим!A:B,2,0)</f>
        <v>32209966000029</v>
      </c>
      <c r="D158" s="136" t="str">
        <f>IFERROR(VLOOKUP($B:$B,[20]свод!$A:$AB,3,0)," ")</f>
        <v>Поп тумани</v>
      </c>
      <c r="E158" s="7" t="s">
        <v>2565</v>
      </c>
      <c r="F158" s="7" t="s">
        <v>8954</v>
      </c>
      <c r="G158" s="134" t="s">
        <v>411</v>
      </c>
      <c r="H158" s="134">
        <v>1</v>
      </c>
      <c r="I158" s="7" t="s">
        <v>157</v>
      </c>
      <c r="J158" s="7" t="s">
        <v>29</v>
      </c>
      <c r="K158" s="7"/>
      <c r="L158" s="7" t="s">
        <v>168</v>
      </c>
      <c r="M158" s="7" t="s">
        <v>385</v>
      </c>
      <c r="N158" s="7" t="s">
        <v>410</v>
      </c>
      <c r="O158" s="7" t="s">
        <v>161</v>
      </c>
      <c r="P158" s="7" t="s">
        <v>6934</v>
      </c>
      <c r="Q158" s="129">
        <v>46199</v>
      </c>
      <c r="R158" s="130">
        <v>46196</v>
      </c>
      <c r="S158" s="131">
        <v>-3</v>
      </c>
      <c r="T158" s="127">
        <v>1</v>
      </c>
      <c r="U158" s="127"/>
      <c r="V158" s="127">
        <v>1</v>
      </c>
      <c r="W158" s="127"/>
      <c r="X158" s="135">
        <f t="shared" si="22"/>
        <v>0</v>
      </c>
      <c r="Y158" s="135" t="b">
        <f t="shared" si="19"/>
        <v>0</v>
      </c>
      <c r="Z158" s="135" t="b">
        <f t="shared" si="20"/>
        <v>0</v>
      </c>
      <c r="AA158" s="135" t="b">
        <f t="shared" si="21"/>
        <v>0</v>
      </c>
      <c r="AB158" s="7" t="s">
        <v>214</v>
      </c>
      <c r="AC158" s="7" t="s">
        <v>282</v>
      </c>
    </row>
    <row r="159" spans="1:29" hidden="1" x14ac:dyDescent="0.25">
      <c r="A159" s="127"/>
      <c r="B159" s="136" t="str">
        <f t="shared" si="18"/>
        <v>NAMS</v>
      </c>
      <c r="C159" s="136" t="str">
        <f>+VLOOKUP(AC159,Ходим!A:B,2,0)</f>
        <v>31408622170123</v>
      </c>
      <c r="D159" s="136" t="str">
        <f>IFERROR(VLOOKUP($B:$B,[20]свод!$A:$AB,3,0)," ")</f>
        <v>Наманган шаҳар</v>
      </c>
      <c r="E159" s="7" t="s">
        <v>2566</v>
      </c>
      <c r="F159" s="7" t="s">
        <v>8955</v>
      </c>
      <c r="G159" s="134" t="s">
        <v>411</v>
      </c>
      <c r="H159" s="134">
        <v>1</v>
      </c>
      <c r="I159" s="7" t="s">
        <v>157</v>
      </c>
      <c r="J159" s="7" t="s">
        <v>10639</v>
      </c>
      <c r="K159" s="7"/>
      <c r="L159" s="7" t="s">
        <v>168</v>
      </c>
      <c r="M159" s="7" t="s">
        <v>5141</v>
      </c>
      <c r="N159" s="7" t="s">
        <v>410</v>
      </c>
      <c r="O159" s="7" t="s">
        <v>161</v>
      </c>
      <c r="P159" s="7" t="s">
        <v>6935</v>
      </c>
      <c r="Q159" s="129">
        <v>46199</v>
      </c>
      <c r="R159" s="130">
        <v>46198</v>
      </c>
      <c r="S159" s="131">
        <v>-1</v>
      </c>
      <c r="T159" s="127">
        <v>1</v>
      </c>
      <c r="U159" s="127"/>
      <c r="V159" s="127">
        <v>1</v>
      </c>
      <c r="W159" s="127"/>
      <c r="X159" s="135">
        <f t="shared" si="22"/>
        <v>0</v>
      </c>
      <c r="Y159" s="135" t="b">
        <f t="shared" si="19"/>
        <v>0</v>
      </c>
      <c r="Z159" s="135" t="b">
        <f t="shared" si="20"/>
        <v>0</v>
      </c>
      <c r="AA159" s="135" t="b">
        <f t="shared" si="21"/>
        <v>0</v>
      </c>
      <c r="AB159" s="7" t="s">
        <v>983</v>
      </c>
      <c r="AC159" s="7" t="s">
        <v>402</v>
      </c>
    </row>
    <row r="160" spans="1:29" x14ac:dyDescent="0.25">
      <c r="A160" s="127"/>
      <c r="B160" s="136" t="str">
        <f t="shared" si="18"/>
        <v>UYCT</v>
      </c>
      <c r="C160" s="136" t="str">
        <f>+VLOOKUP(AC160,Ходим!A:B,2,0)</f>
        <v>31004952140036</v>
      </c>
      <c r="D160" s="136" t="str">
        <f>IFERROR(VLOOKUP($B:$B,[20]свод!$A:$AB,3,0)," ")</f>
        <v>Уйчи тумани</v>
      </c>
      <c r="E160" s="7" t="s">
        <v>2570</v>
      </c>
      <c r="F160" s="7" t="s">
        <v>8959</v>
      </c>
      <c r="G160" s="134" t="s">
        <v>411</v>
      </c>
      <c r="H160" s="134">
        <v>1</v>
      </c>
      <c r="I160" s="7" t="s">
        <v>157</v>
      </c>
      <c r="J160" s="7" t="s">
        <v>1</v>
      </c>
      <c r="K160" s="7"/>
      <c r="L160" s="7" t="s">
        <v>166</v>
      </c>
      <c r="M160" s="7" t="s">
        <v>5144</v>
      </c>
      <c r="N160" s="7" t="s">
        <v>170</v>
      </c>
      <c r="O160" s="7" t="s">
        <v>161</v>
      </c>
      <c r="P160" s="7" t="s">
        <v>6938</v>
      </c>
      <c r="Q160" s="129">
        <v>46199</v>
      </c>
      <c r="R160" s="130">
        <v>46199</v>
      </c>
      <c r="S160" s="131">
        <v>0</v>
      </c>
      <c r="T160" s="127"/>
      <c r="U160" s="127">
        <v>1</v>
      </c>
      <c r="V160" s="127"/>
      <c r="W160" s="127"/>
      <c r="X160" s="135">
        <f t="shared" si="22"/>
        <v>0</v>
      </c>
      <c r="Y160" s="135" t="b">
        <f t="shared" si="19"/>
        <v>0</v>
      </c>
      <c r="Z160" s="135" t="b">
        <f t="shared" si="20"/>
        <v>0</v>
      </c>
      <c r="AA160" s="135" t="b">
        <f t="shared" si="21"/>
        <v>0</v>
      </c>
      <c r="AB160" s="7" t="s">
        <v>947</v>
      </c>
      <c r="AC160" s="7" t="s">
        <v>331</v>
      </c>
    </row>
    <row r="161" spans="1:29" x14ac:dyDescent="0.25">
      <c r="A161" s="127"/>
      <c r="B161" s="136" t="str">
        <f t="shared" si="18"/>
        <v>UCQT</v>
      </c>
      <c r="C161" s="136" t="str">
        <f>+VLOOKUP(AC161,Ходим!A:B,2,0)</f>
        <v>32911835940021</v>
      </c>
      <c r="D161" s="136" t="str">
        <f>IFERROR(VLOOKUP($B:$B,[20]свод!$A:$AB,3,0)," ")</f>
        <v>Учқўрғон тумани</v>
      </c>
      <c r="E161" s="7" t="s">
        <v>2575</v>
      </c>
      <c r="F161" s="7" t="s">
        <v>8964</v>
      </c>
      <c r="G161" s="134">
        <v>1</v>
      </c>
      <c r="H161" s="134" t="s">
        <v>411</v>
      </c>
      <c r="I161" s="7" t="s">
        <v>158</v>
      </c>
      <c r="J161" s="7" t="s">
        <v>2</v>
      </c>
      <c r="K161" s="7"/>
      <c r="L161" s="7" t="s">
        <v>167</v>
      </c>
      <c r="M161" s="7" t="s">
        <v>5147</v>
      </c>
      <c r="N161" s="7" t="s">
        <v>170</v>
      </c>
      <c r="O161" s="7" t="s">
        <v>162</v>
      </c>
      <c r="P161" s="7" t="s">
        <v>6941</v>
      </c>
      <c r="Q161" s="129">
        <v>46199</v>
      </c>
      <c r="R161" s="130">
        <v>46199</v>
      </c>
      <c r="S161" s="131">
        <v>0</v>
      </c>
      <c r="T161" s="127"/>
      <c r="U161" s="127">
        <v>1</v>
      </c>
      <c r="V161" s="127"/>
      <c r="W161" s="127"/>
      <c r="X161" s="135">
        <f t="shared" si="22"/>
        <v>0</v>
      </c>
      <c r="Y161" s="135" t="b">
        <f t="shared" si="19"/>
        <v>0</v>
      </c>
      <c r="Z161" s="135" t="b">
        <f t="shared" si="20"/>
        <v>0</v>
      </c>
      <c r="AA161" s="135" t="b">
        <f t="shared" si="21"/>
        <v>0</v>
      </c>
      <c r="AB161" s="7" t="s">
        <v>175</v>
      </c>
      <c r="AC161" s="7" t="s">
        <v>321</v>
      </c>
    </row>
    <row r="162" spans="1:29" x14ac:dyDescent="0.25">
      <c r="A162" s="127"/>
      <c r="B162" s="136" t="str">
        <f t="shared" si="18"/>
        <v>TORT</v>
      </c>
      <c r="C162" s="136" t="str">
        <f>+VLOOKUP(AC162,Ходим!A:B,2,0)</f>
        <v>31701915920077</v>
      </c>
      <c r="D162" s="136" t="str">
        <f>IFERROR(VLOOKUP($B:$B,[20]свод!$A:$AB,3,0)," ")</f>
        <v>Тўрақўрғон тумани</v>
      </c>
      <c r="E162" s="7" t="s">
        <v>2576</v>
      </c>
      <c r="F162" s="7" t="s">
        <v>8965</v>
      </c>
      <c r="G162" s="134">
        <v>1</v>
      </c>
      <c r="H162" s="134" t="s">
        <v>411</v>
      </c>
      <c r="I162" s="7" t="s">
        <v>158</v>
      </c>
      <c r="J162" s="7" t="s">
        <v>1</v>
      </c>
      <c r="K162" s="7"/>
      <c r="L162" s="7" t="s">
        <v>167</v>
      </c>
      <c r="M162" s="7" t="s">
        <v>5148</v>
      </c>
      <c r="N162" s="7" t="s">
        <v>170</v>
      </c>
      <c r="O162" s="7" t="s">
        <v>162</v>
      </c>
      <c r="P162" s="7" t="s">
        <v>6941</v>
      </c>
      <c r="Q162" s="129">
        <v>46199</v>
      </c>
      <c r="R162" s="130">
        <v>46199</v>
      </c>
      <c r="S162" s="131">
        <v>0</v>
      </c>
      <c r="T162" s="127"/>
      <c r="U162" s="127">
        <v>1</v>
      </c>
      <c r="V162" s="127"/>
      <c r="W162" s="127"/>
      <c r="X162" s="135">
        <f t="shared" si="22"/>
        <v>0</v>
      </c>
      <c r="Y162" s="135" t="b">
        <f t="shared" si="19"/>
        <v>0</v>
      </c>
      <c r="Z162" s="135" t="b">
        <f t="shared" si="20"/>
        <v>0</v>
      </c>
      <c r="AA162" s="135" t="b">
        <f t="shared" si="21"/>
        <v>0</v>
      </c>
      <c r="AB162" s="7" t="s">
        <v>203</v>
      </c>
      <c r="AC162" s="7" t="s">
        <v>332</v>
      </c>
    </row>
    <row r="163" spans="1:29" x14ac:dyDescent="0.25">
      <c r="A163" s="127"/>
      <c r="B163" s="136" t="str">
        <f t="shared" si="18"/>
        <v>NAMS</v>
      </c>
      <c r="C163" s="136" t="str">
        <f>+VLOOKUP(AC163,Ходим!A:B,2,0)</f>
        <v>32211885960016</v>
      </c>
      <c r="D163" s="136" t="str">
        <f>IFERROR(VLOOKUP($B:$B,[20]свод!$A:$AB,3,0)," ")</f>
        <v>Наманган шаҳар</v>
      </c>
      <c r="E163" s="7" t="s">
        <v>2577</v>
      </c>
      <c r="F163" s="7" t="s">
        <v>8966</v>
      </c>
      <c r="G163" s="134" t="s">
        <v>411</v>
      </c>
      <c r="H163" s="134">
        <v>1</v>
      </c>
      <c r="I163" s="7" t="s">
        <v>154</v>
      </c>
      <c r="J163" s="7" t="s">
        <v>1</v>
      </c>
      <c r="K163" s="7"/>
      <c r="L163" s="7" t="s">
        <v>166</v>
      </c>
      <c r="M163" s="7" t="s">
        <v>5149</v>
      </c>
      <c r="N163" s="7" t="s">
        <v>170</v>
      </c>
      <c r="O163" s="7" t="s">
        <v>161</v>
      </c>
      <c r="P163" s="7" t="s">
        <v>6942</v>
      </c>
      <c r="Q163" s="129">
        <v>46199</v>
      </c>
      <c r="R163" s="130">
        <v>46199</v>
      </c>
      <c r="S163" s="131">
        <v>0</v>
      </c>
      <c r="T163" s="127"/>
      <c r="U163" s="127">
        <v>1</v>
      </c>
      <c r="V163" s="127"/>
      <c r="W163" s="127"/>
      <c r="X163" s="135">
        <f t="shared" si="22"/>
        <v>0</v>
      </c>
      <c r="Y163" s="135" t="b">
        <f t="shared" si="19"/>
        <v>0</v>
      </c>
      <c r="Z163" s="135" t="b">
        <f t="shared" si="20"/>
        <v>0</v>
      </c>
      <c r="AA163" s="135" t="b">
        <f t="shared" si="21"/>
        <v>0</v>
      </c>
      <c r="AB163" s="7" t="s">
        <v>227</v>
      </c>
      <c r="AC163" s="7" t="s">
        <v>279</v>
      </c>
    </row>
    <row r="164" spans="1:29" hidden="1" x14ac:dyDescent="0.25">
      <c r="A164" s="127"/>
      <c r="B164" s="136" t="str">
        <f t="shared" si="18"/>
        <v>KSST</v>
      </c>
      <c r="C164" s="136" t="str">
        <f>+VLOOKUP(AC164,Ходим!A:B,2,0)</f>
        <v>31611995980026</v>
      </c>
      <c r="D164" s="136" t="str">
        <f>IFERROR(VLOOKUP($B:$B,[20]свод!$A:$AB,3,0)," ")</f>
        <v>Косонсой тумани</v>
      </c>
      <c r="E164" s="7" t="s">
        <v>2582</v>
      </c>
      <c r="F164" s="7" t="s">
        <v>8971</v>
      </c>
      <c r="G164" s="134">
        <v>1</v>
      </c>
      <c r="H164" s="134" t="s">
        <v>411</v>
      </c>
      <c r="I164" s="7" t="s">
        <v>158</v>
      </c>
      <c r="J164" s="7" t="s">
        <v>10638</v>
      </c>
      <c r="K164" s="7"/>
      <c r="L164" s="7" t="s">
        <v>167</v>
      </c>
      <c r="M164" s="7" t="s">
        <v>1032</v>
      </c>
      <c r="N164" s="7" t="s">
        <v>170</v>
      </c>
      <c r="O164" s="7" t="s">
        <v>162</v>
      </c>
      <c r="P164" s="7" t="s">
        <v>6946</v>
      </c>
      <c r="Q164" s="129">
        <v>46199</v>
      </c>
      <c r="R164" s="130">
        <v>46199</v>
      </c>
      <c r="S164" s="131">
        <v>0</v>
      </c>
      <c r="T164" s="127"/>
      <c r="U164" s="127">
        <v>1</v>
      </c>
      <c r="V164" s="127"/>
      <c r="W164" s="127"/>
      <c r="X164" s="135">
        <f t="shared" si="22"/>
        <v>0</v>
      </c>
      <c r="Y164" s="135" t="b">
        <f t="shared" si="19"/>
        <v>0</v>
      </c>
      <c r="Z164" s="135" t="b">
        <f t="shared" si="20"/>
        <v>0</v>
      </c>
      <c r="AA164" s="135" t="b">
        <f t="shared" si="21"/>
        <v>0</v>
      </c>
      <c r="AB164" s="7" t="s">
        <v>180</v>
      </c>
      <c r="AC164" s="7" t="s">
        <v>181</v>
      </c>
    </row>
    <row r="165" spans="1:29" hidden="1" x14ac:dyDescent="0.25">
      <c r="A165" s="127"/>
      <c r="B165" s="136" t="str">
        <f t="shared" si="18"/>
        <v>UYCT</v>
      </c>
      <c r="C165" s="136" t="str">
        <f>+VLOOKUP(AC165,Ходим!A:B,2,0)</f>
        <v>52811025930077</v>
      </c>
      <c r="D165" s="136" t="str">
        <f>IFERROR(VLOOKUP($B:$B,[20]свод!$A:$AB,3,0)," ")</f>
        <v>Уйчи тумани</v>
      </c>
      <c r="E165" s="7" t="s">
        <v>2587</v>
      </c>
      <c r="F165" s="7" t="s">
        <v>8976</v>
      </c>
      <c r="G165" s="134">
        <v>1</v>
      </c>
      <c r="H165" s="134" t="s">
        <v>411</v>
      </c>
      <c r="I165" s="7" t="s">
        <v>158</v>
      </c>
      <c r="J165" s="7" t="s">
        <v>10639</v>
      </c>
      <c r="K165" s="7"/>
      <c r="L165" s="7" t="s">
        <v>167</v>
      </c>
      <c r="M165" s="7" t="s">
        <v>5157</v>
      </c>
      <c r="N165" s="7" t="s">
        <v>170</v>
      </c>
      <c r="O165" s="7" t="s">
        <v>162</v>
      </c>
      <c r="P165" s="7" t="s">
        <v>6947</v>
      </c>
      <c r="Q165" s="129">
        <v>46199</v>
      </c>
      <c r="R165" s="130">
        <v>46198</v>
      </c>
      <c r="S165" s="131">
        <v>-1</v>
      </c>
      <c r="T165" s="127">
        <v>1</v>
      </c>
      <c r="U165" s="127"/>
      <c r="V165" s="127"/>
      <c r="W165" s="127">
        <v>1</v>
      </c>
      <c r="X165" s="135">
        <f t="shared" si="22"/>
        <v>0</v>
      </c>
      <c r="Y165" s="135" t="b">
        <f t="shared" si="19"/>
        <v>0</v>
      </c>
      <c r="Z165" s="135" t="b">
        <f t="shared" si="20"/>
        <v>0</v>
      </c>
      <c r="AA165" s="135" t="b">
        <f t="shared" si="21"/>
        <v>0</v>
      </c>
      <c r="AB165" s="7" t="s">
        <v>947</v>
      </c>
      <c r="AC165" s="7" t="s">
        <v>356</v>
      </c>
    </row>
    <row r="166" spans="1:29" hidden="1" x14ac:dyDescent="0.25">
      <c r="A166" s="127"/>
      <c r="B166" s="136" t="str">
        <f t="shared" si="18"/>
        <v>KSST</v>
      </c>
      <c r="C166" s="136" t="str">
        <f>+VLOOKUP(AC166,Ходим!A:B,2,0)</f>
        <v>30703792190108</v>
      </c>
      <c r="D166" s="136" t="str">
        <f>IFERROR(VLOOKUP($B:$B,[20]свод!$A:$AB,3,0)," ")</f>
        <v>Косонсой тумани</v>
      </c>
      <c r="E166" s="7" t="s">
        <v>2593</v>
      </c>
      <c r="F166" s="7" t="s">
        <v>8982</v>
      </c>
      <c r="G166" s="134">
        <v>1</v>
      </c>
      <c r="H166" s="134" t="s">
        <v>411</v>
      </c>
      <c r="I166" s="7" t="s">
        <v>158</v>
      </c>
      <c r="J166" s="7" t="s">
        <v>10638</v>
      </c>
      <c r="K166" s="7"/>
      <c r="L166" s="7" t="s">
        <v>167</v>
      </c>
      <c r="M166" s="7" t="s">
        <v>5163</v>
      </c>
      <c r="N166" s="7" t="s">
        <v>170</v>
      </c>
      <c r="O166" s="7" t="s">
        <v>162</v>
      </c>
      <c r="P166" s="7" t="s">
        <v>6441</v>
      </c>
      <c r="Q166" s="129">
        <v>46199</v>
      </c>
      <c r="R166" s="130">
        <v>46199</v>
      </c>
      <c r="S166" s="131">
        <v>0</v>
      </c>
      <c r="T166" s="127"/>
      <c r="U166" s="127">
        <v>1</v>
      </c>
      <c r="V166" s="127"/>
      <c r="W166" s="127"/>
      <c r="X166" s="135">
        <f t="shared" si="22"/>
        <v>0</v>
      </c>
      <c r="Y166" s="135" t="b">
        <f t="shared" si="19"/>
        <v>0</v>
      </c>
      <c r="Z166" s="135" t="b">
        <f t="shared" si="20"/>
        <v>0</v>
      </c>
      <c r="AA166" s="135" t="b">
        <f t="shared" si="21"/>
        <v>0</v>
      </c>
      <c r="AB166" s="7" t="s">
        <v>180</v>
      </c>
      <c r="AC166" s="7" t="s">
        <v>231</v>
      </c>
    </row>
    <row r="167" spans="1:29" hidden="1" x14ac:dyDescent="0.25">
      <c r="A167" s="127"/>
      <c r="B167" s="136" t="str">
        <f t="shared" si="18"/>
        <v>KSST</v>
      </c>
      <c r="C167" s="136" t="str">
        <f>+VLOOKUP(AC167,Ходим!A:B,2,0)</f>
        <v>50709025980034</v>
      </c>
      <c r="D167" s="136" t="str">
        <f>IFERROR(VLOOKUP($B:$B,[20]свод!$A:$AB,3,0)," ")</f>
        <v>Косонсой тумани</v>
      </c>
      <c r="E167" s="7" t="s">
        <v>2594</v>
      </c>
      <c r="F167" s="7" t="s">
        <v>8983</v>
      </c>
      <c r="G167" s="134">
        <v>1</v>
      </c>
      <c r="H167" s="134" t="s">
        <v>411</v>
      </c>
      <c r="I167" s="7" t="s">
        <v>158</v>
      </c>
      <c r="J167" s="7" t="s">
        <v>10638</v>
      </c>
      <c r="K167" s="7"/>
      <c r="L167" s="7" t="s">
        <v>167</v>
      </c>
      <c r="M167" s="7" t="s">
        <v>5164</v>
      </c>
      <c r="N167" s="7" t="s">
        <v>170</v>
      </c>
      <c r="O167" s="7" t="s">
        <v>162</v>
      </c>
      <c r="P167" s="7" t="s">
        <v>6441</v>
      </c>
      <c r="Q167" s="129">
        <v>46199</v>
      </c>
      <c r="R167" s="130">
        <v>46199</v>
      </c>
      <c r="S167" s="131">
        <v>0</v>
      </c>
      <c r="T167" s="127"/>
      <c r="U167" s="127">
        <v>1</v>
      </c>
      <c r="V167" s="127"/>
      <c r="W167" s="127"/>
      <c r="X167" s="135">
        <f t="shared" si="22"/>
        <v>0</v>
      </c>
      <c r="Y167" s="135" t="b">
        <f t="shared" si="19"/>
        <v>0</v>
      </c>
      <c r="Z167" s="135" t="b">
        <f t="shared" si="20"/>
        <v>0</v>
      </c>
      <c r="AA167" s="135" t="b">
        <f t="shared" si="21"/>
        <v>0</v>
      </c>
      <c r="AB167" s="7" t="s">
        <v>180</v>
      </c>
      <c r="AC167" s="7" t="s">
        <v>286</v>
      </c>
    </row>
    <row r="168" spans="1:29" x14ac:dyDescent="0.25">
      <c r="A168" s="127"/>
      <c r="B168" s="136" t="str">
        <f t="shared" si="18"/>
        <v>YGQT</v>
      </c>
      <c r="C168" s="136" t="str">
        <f>+VLOOKUP(AC168,Ходим!A:B,2,0)</f>
        <v>33103892160125</v>
      </c>
      <c r="D168" s="136" t="str">
        <f>IFERROR(VLOOKUP($B:$B,[20]свод!$A:$AB,3,0)," ")</f>
        <v>Янгиқўрғон тумани</v>
      </c>
      <c r="E168" s="7" t="s">
        <v>2602</v>
      </c>
      <c r="F168" s="7" t="s">
        <v>8991</v>
      </c>
      <c r="G168" s="134" t="s">
        <v>411</v>
      </c>
      <c r="H168" s="134">
        <v>1</v>
      </c>
      <c r="I168" s="7" t="s">
        <v>157</v>
      </c>
      <c r="J168" s="7" t="s">
        <v>2</v>
      </c>
      <c r="K168" s="7"/>
      <c r="L168" s="7"/>
      <c r="M168" s="7"/>
      <c r="N168" s="7" t="s">
        <v>410</v>
      </c>
      <c r="O168" s="7" t="s">
        <v>161</v>
      </c>
      <c r="P168" s="7" t="s">
        <v>6954</v>
      </c>
      <c r="Q168" s="129">
        <v>46199</v>
      </c>
      <c r="R168" s="130">
        <v>46199</v>
      </c>
      <c r="S168" s="131">
        <v>0</v>
      </c>
      <c r="T168" s="127"/>
      <c r="U168" s="127">
        <v>1</v>
      </c>
      <c r="V168" s="127"/>
      <c r="W168" s="127"/>
      <c r="X168" s="135">
        <f t="shared" si="22"/>
        <v>0</v>
      </c>
      <c r="Y168" s="135" t="b">
        <f t="shared" si="19"/>
        <v>0</v>
      </c>
      <c r="Z168" s="135" t="b">
        <f t="shared" si="20"/>
        <v>0</v>
      </c>
      <c r="AA168" s="135" t="b">
        <f t="shared" si="21"/>
        <v>0</v>
      </c>
      <c r="AB168" s="7" t="s">
        <v>255</v>
      </c>
      <c r="AC168" s="7" t="s">
        <v>183</v>
      </c>
    </row>
    <row r="169" spans="1:29" hidden="1" x14ac:dyDescent="0.25">
      <c r="A169" s="127"/>
      <c r="B169" s="136" t="str">
        <f t="shared" si="18"/>
        <v>KSST</v>
      </c>
      <c r="C169" s="136" t="str">
        <f>+VLOOKUP(AC169,Ходим!A:B,2,0)</f>
        <v>52812015980061</v>
      </c>
      <c r="D169" s="136" t="str">
        <f>IFERROR(VLOOKUP($B:$B,[20]свод!$A:$AB,3,0)," ")</f>
        <v>Косонсой тумани</v>
      </c>
      <c r="E169" s="7" t="s">
        <v>2604</v>
      </c>
      <c r="F169" s="7" t="s">
        <v>8993</v>
      </c>
      <c r="G169" s="134">
        <v>1</v>
      </c>
      <c r="H169" s="134" t="s">
        <v>411</v>
      </c>
      <c r="I169" s="7" t="s">
        <v>158</v>
      </c>
      <c r="J169" s="7" t="s">
        <v>10639</v>
      </c>
      <c r="K169" s="7"/>
      <c r="L169" s="7" t="s">
        <v>167</v>
      </c>
      <c r="M169" s="7" t="s">
        <v>5171</v>
      </c>
      <c r="N169" s="7" t="s">
        <v>170</v>
      </c>
      <c r="O169" s="7" t="s">
        <v>162</v>
      </c>
      <c r="P169" s="7" t="s">
        <v>6956</v>
      </c>
      <c r="Q169" s="129">
        <v>46199</v>
      </c>
      <c r="R169" s="130">
        <v>46199</v>
      </c>
      <c r="S169" s="131">
        <v>0</v>
      </c>
      <c r="T169" s="127"/>
      <c r="U169" s="127">
        <v>1</v>
      </c>
      <c r="V169" s="127"/>
      <c r="W169" s="127"/>
      <c r="X169" s="135">
        <f t="shared" si="22"/>
        <v>0</v>
      </c>
      <c r="Y169" s="135" t="b">
        <f t="shared" si="19"/>
        <v>0</v>
      </c>
      <c r="Z169" s="135" t="b">
        <f t="shared" si="20"/>
        <v>0</v>
      </c>
      <c r="AA169" s="135" t="b">
        <f t="shared" si="21"/>
        <v>0</v>
      </c>
      <c r="AB169" s="7" t="s">
        <v>180</v>
      </c>
      <c r="AC169" s="7" t="s">
        <v>307</v>
      </c>
    </row>
    <row r="170" spans="1:29" x14ac:dyDescent="0.25">
      <c r="A170" s="127"/>
      <c r="B170" s="136" t="str">
        <f t="shared" si="18"/>
        <v>NAMS</v>
      </c>
      <c r="C170" s="136" t="str">
        <f>+VLOOKUP(AC170,Ходим!A:B,2,0)</f>
        <v>32407752170062</v>
      </c>
      <c r="D170" s="136" t="str">
        <f>IFERROR(VLOOKUP($B:$B,[20]свод!$A:$AB,3,0)," ")</f>
        <v>Наманган шаҳар</v>
      </c>
      <c r="E170" s="7" t="s">
        <v>2607</v>
      </c>
      <c r="F170" s="7" t="s">
        <v>8996</v>
      </c>
      <c r="G170" s="134">
        <v>1</v>
      </c>
      <c r="H170" s="134" t="s">
        <v>411</v>
      </c>
      <c r="I170" s="7" t="s">
        <v>158</v>
      </c>
      <c r="J170" s="7" t="s">
        <v>2</v>
      </c>
      <c r="K170" s="7"/>
      <c r="L170" s="7" t="s">
        <v>167</v>
      </c>
      <c r="M170" s="7" t="s">
        <v>5173</v>
      </c>
      <c r="N170" s="7" t="s">
        <v>170</v>
      </c>
      <c r="O170" s="7" t="s">
        <v>162</v>
      </c>
      <c r="P170" s="7" t="s">
        <v>6958</v>
      </c>
      <c r="Q170" s="129">
        <v>46199</v>
      </c>
      <c r="R170" s="130">
        <v>46199</v>
      </c>
      <c r="S170" s="131">
        <v>0</v>
      </c>
      <c r="T170" s="127"/>
      <c r="U170" s="127">
        <v>1</v>
      </c>
      <c r="V170" s="127"/>
      <c r="W170" s="127"/>
      <c r="X170" s="135">
        <f t="shared" si="22"/>
        <v>0</v>
      </c>
      <c r="Y170" s="135" t="b">
        <f t="shared" si="19"/>
        <v>0</v>
      </c>
      <c r="Z170" s="135" t="b">
        <f t="shared" si="20"/>
        <v>0</v>
      </c>
      <c r="AA170" s="135" t="b">
        <f t="shared" si="21"/>
        <v>0</v>
      </c>
      <c r="AB170" s="7" t="s">
        <v>173</v>
      </c>
      <c r="AC170" s="7" t="s">
        <v>264</v>
      </c>
    </row>
    <row r="171" spans="1:29" hidden="1" x14ac:dyDescent="0.25">
      <c r="A171" s="127"/>
      <c r="B171" s="136" t="str">
        <f t="shared" si="18"/>
        <v>UCQT</v>
      </c>
      <c r="C171" s="136" t="str">
        <f>+VLOOKUP(AC171,Ходим!A:B,2,0)</f>
        <v>31206892150069</v>
      </c>
      <c r="D171" s="136" t="str">
        <f>IFERROR(VLOOKUP($B:$B,[20]свод!$A:$AB,3,0)," ")</f>
        <v>Учқўрғон тумани</v>
      </c>
      <c r="E171" s="7" t="s">
        <v>2613</v>
      </c>
      <c r="F171" s="7" t="s">
        <v>9002</v>
      </c>
      <c r="G171" s="134">
        <v>1</v>
      </c>
      <c r="H171" s="134" t="s">
        <v>411</v>
      </c>
      <c r="I171" s="7" t="s">
        <v>158</v>
      </c>
      <c r="J171" s="7" t="s">
        <v>10639</v>
      </c>
      <c r="K171" s="7"/>
      <c r="L171" s="7" t="s">
        <v>167</v>
      </c>
      <c r="M171" s="7" t="s">
        <v>5178</v>
      </c>
      <c r="N171" s="7" t="s">
        <v>170</v>
      </c>
      <c r="O171" s="7" t="s">
        <v>162</v>
      </c>
      <c r="P171" s="7" t="s">
        <v>6959</v>
      </c>
      <c r="Q171" s="129">
        <v>46199</v>
      </c>
      <c r="R171" s="130">
        <v>46199</v>
      </c>
      <c r="S171" s="131">
        <v>0</v>
      </c>
      <c r="T171" s="127"/>
      <c r="U171" s="127">
        <v>1</v>
      </c>
      <c r="V171" s="127"/>
      <c r="W171" s="127"/>
      <c r="X171" s="135">
        <f t="shared" si="22"/>
        <v>0</v>
      </c>
      <c r="Y171" s="135" t="b">
        <f t="shared" si="19"/>
        <v>0</v>
      </c>
      <c r="Z171" s="135" t="b">
        <f t="shared" si="20"/>
        <v>0</v>
      </c>
      <c r="AA171" s="135" t="b">
        <f t="shared" si="21"/>
        <v>0</v>
      </c>
      <c r="AB171" s="7" t="s">
        <v>175</v>
      </c>
      <c r="AC171" s="7" t="s">
        <v>318</v>
      </c>
    </row>
    <row r="172" spans="1:29" x14ac:dyDescent="0.25">
      <c r="A172" s="127"/>
      <c r="B172" s="136" t="str">
        <f t="shared" si="18"/>
        <v>TORT</v>
      </c>
      <c r="C172" s="136" t="str">
        <f>+VLOOKUP(AC172,Ходим!A:B,2,0)</f>
        <v>50908015920034</v>
      </c>
      <c r="D172" s="136" t="str">
        <f>IFERROR(VLOOKUP($B:$B,[20]свод!$A:$AB,3,0)," ")</f>
        <v>Тўрақўрғон тумани</v>
      </c>
      <c r="E172" s="7" t="s">
        <v>2624</v>
      </c>
      <c r="F172" s="7" t="s">
        <v>9013</v>
      </c>
      <c r="G172" s="134">
        <v>1</v>
      </c>
      <c r="H172" s="134" t="s">
        <v>411</v>
      </c>
      <c r="I172" s="7" t="s">
        <v>158</v>
      </c>
      <c r="J172" s="7" t="s">
        <v>1</v>
      </c>
      <c r="K172" s="7"/>
      <c r="L172" s="7" t="s">
        <v>167</v>
      </c>
      <c r="M172" s="7" t="s">
        <v>5186</v>
      </c>
      <c r="N172" s="7" t="s">
        <v>170</v>
      </c>
      <c r="O172" s="7" t="s">
        <v>162</v>
      </c>
      <c r="P172" s="7" t="s">
        <v>6926</v>
      </c>
      <c r="Q172" s="129">
        <v>46199</v>
      </c>
      <c r="R172" s="130">
        <v>46199</v>
      </c>
      <c r="S172" s="131">
        <v>0</v>
      </c>
      <c r="T172" s="127"/>
      <c r="U172" s="127">
        <v>1</v>
      </c>
      <c r="V172" s="127"/>
      <c r="W172" s="127"/>
      <c r="X172" s="135">
        <f t="shared" si="22"/>
        <v>0</v>
      </c>
      <c r="Y172" s="135" t="b">
        <f t="shared" si="19"/>
        <v>0</v>
      </c>
      <c r="Z172" s="135" t="b">
        <f t="shared" si="20"/>
        <v>0</v>
      </c>
      <c r="AA172" s="135" t="b">
        <f t="shared" si="21"/>
        <v>0</v>
      </c>
      <c r="AB172" s="7" t="s">
        <v>203</v>
      </c>
      <c r="AC172" s="7" t="s">
        <v>205</v>
      </c>
    </row>
    <row r="173" spans="1:29" x14ac:dyDescent="0.25">
      <c r="A173" s="127"/>
      <c r="B173" s="136" t="str">
        <f t="shared" si="18"/>
        <v>TORT</v>
      </c>
      <c r="C173" s="136" t="str">
        <f>+VLOOKUP(AC173,Ходим!A:B,2,0)</f>
        <v>50908015920034</v>
      </c>
      <c r="D173" s="136" t="str">
        <f>IFERROR(VLOOKUP($B:$B,[20]свод!$A:$AB,3,0)," ")</f>
        <v>Тўрақўрғон тумани</v>
      </c>
      <c r="E173" s="7" t="s">
        <v>2627</v>
      </c>
      <c r="F173" s="7" t="s">
        <v>9016</v>
      </c>
      <c r="G173" s="134">
        <v>1</v>
      </c>
      <c r="H173" s="134" t="s">
        <v>411</v>
      </c>
      <c r="I173" s="7" t="s">
        <v>158</v>
      </c>
      <c r="J173" s="7" t="s">
        <v>1</v>
      </c>
      <c r="K173" s="7"/>
      <c r="L173" s="7" t="s">
        <v>167</v>
      </c>
      <c r="M173" s="7" t="s">
        <v>5189</v>
      </c>
      <c r="N173" s="7" t="s">
        <v>170</v>
      </c>
      <c r="O173" s="7" t="s">
        <v>162</v>
      </c>
      <c r="P173" s="7" t="s">
        <v>6927</v>
      </c>
      <c r="Q173" s="129">
        <v>46199</v>
      </c>
      <c r="R173" s="130">
        <v>46199</v>
      </c>
      <c r="S173" s="131">
        <v>0</v>
      </c>
      <c r="T173" s="127"/>
      <c r="U173" s="127">
        <v>1</v>
      </c>
      <c r="V173" s="127"/>
      <c r="W173" s="127"/>
      <c r="X173" s="135">
        <f t="shared" si="22"/>
        <v>0</v>
      </c>
      <c r="Y173" s="135" t="b">
        <f t="shared" si="19"/>
        <v>0</v>
      </c>
      <c r="Z173" s="135" t="b">
        <f t="shared" si="20"/>
        <v>0</v>
      </c>
      <c r="AA173" s="135" t="b">
        <f t="shared" si="21"/>
        <v>0</v>
      </c>
      <c r="AB173" s="7" t="s">
        <v>203</v>
      </c>
      <c r="AC173" s="7" t="s">
        <v>205</v>
      </c>
    </row>
    <row r="174" spans="1:29" hidden="1" x14ac:dyDescent="0.25">
      <c r="A174" s="127"/>
      <c r="B174" s="136" t="str">
        <f t="shared" si="18"/>
        <v>NAMS</v>
      </c>
      <c r="C174" s="136" t="str">
        <f>+VLOOKUP(AC174,Ходим!A:B,2,0)</f>
        <v>31309932190035</v>
      </c>
      <c r="D174" s="136" t="str">
        <f>IFERROR(VLOOKUP($B:$B,[20]свод!$A:$AB,3,0)," ")</f>
        <v>Наманган шаҳар</v>
      </c>
      <c r="E174" s="7" t="s">
        <v>2632</v>
      </c>
      <c r="F174" s="7" t="s">
        <v>9021</v>
      </c>
      <c r="G174" s="134">
        <v>1</v>
      </c>
      <c r="H174" s="134" t="s">
        <v>411</v>
      </c>
      <c r="I174" s="7" t="s">
        <v>158</v>
      </c>
      <c r="J174" s="7" t="s">
        <v>10639</v>
      </c>
      <c r="K174" s="7"/>
      <c r="L174" s="7" t="s">
        <v>167</v>
      </c>
      <c r="M174" s="7" t="s">
        <v>1075</v>
      </c>
      <c r="N174" s="7" t="s">
        <v>170</v>
      </c>
      <c r="O174" s="7" t="s">
        <v>162</v>
      </c>
      <c r="P174" s="7" t="s">
        <v>6967</v>
      </c>
      <c r="Q174" s="129">
        <v>46199</v>
      </c>
      <c r="R174" s="130">
        <v>46199</v>
      </c>
      <c r="S174" s="131">
        <v>0</v>
      </c>
      <c r="T174" s="127"/>
      <c r="U174" s="127">
        <v>1</v>
      </c>
      <c r="V174" s="127"/>
      <c r="W174" s="127"/>
      <c r="X174" s="135">
        <f t="shared" si="22"/>
        <v>0</v>
      </c>
      <c r="Y174" s="135" t="b">
        <f t="shared" si="19"/>
        <v>0</v>
      </c>
      <c r="Z174" s="135" t="b">
        <f t="shared" si="20"/>
        <v>0</v>
      </c>
      <c r="AA174" s="135" t="b">
        <f t="shared" si="21"/>
        <v>0</v>
      </c>
      <c r="AB174" s="7" t="s">
        <v>983</v>
      </c>
      <c r="AC174" s="7" t="s">
        <v>237</v>
      </c>
    </row>
    <row r="175" spans="1:29" x14ac:dyDescent="0.25">
      <c r="A175" s="127"/>
      <c r="B175" s="136" t="str">
        <f t="shared" si="18"/>
        <v>POPT</v>
      </c>
      <c r="C175" s="136" t="str">
        <f>+VLOOKUP(AC175,Ходим!A:B,2,0)</f>
        <v>30201995910023</v>
      </c>
      <c r="D175" s="136" t="str">
        <f>IFERROR(VLOOKUP($B:$B,[20]свод!$A:$AB,3,0)," ")</f>
        <v>Поп тумани</v>
      </c>
      <c r="E175" s="7" t="s">
        <v>2637</v>
      </c>
      <c r="F175" s="7" t="s">
        <v>9026</v>
      </c>
      <c r="G175" s="134">
        <v>1</v>
      </c>
      <c r="H175" s="134" t="s">
        <v>411</v>
      </c>
      <c r="I175" s="7" t="s">
        <v>156</v>
      </c>
      <c r="J175" s="7" t="s">
        <v>25</v>
      </c>
      <c r="K175" s="7"/>
      <c r="L175" s="7"/>
      <c r="M175" s="7"/>
      <c r="N175" s="7" t="s">
        <v>410</v>
      </c>
      <c r="O175" s="7" t="s">
        <v>162</v>
      </c>
      <c r="P175" s="7" t="s">
        <v>6969</v>
      </c>
      <c r="Q175" s="129">
        <v>46199</v>
      </c>
      <c r="R175" s="130">
        <v>46199</v>
      </c>
      <c r="S175" s="131">
        <v>0</v>
      </c>
      <c r="T175" s="127"/>
      <c r="U175" s="127">
        <v>1</v>
      </c>
      <c r="V175" s="127"/>
      <c r="W175" s="127"/>
      <c r="X175" s="135">
        <f t="shared" si="22"/>
        <v>0</v>
      </c>
      <c r="Y175" s="135" t="b">
        <f t="shared" si="19"/>
        <v>0</v>
      </c>
      <c r="Z175" s="135" t="b">
        <f t="shared" si="20"/>
        <v>0</v>
      </c>
      <c r="AA175" s="135" t="b">
        <f t="shared" si="21"/>
        <v>0</v>
      </c>
      <c r="AB175" s="7" t="s">
        <v>214</v>
      </c>
      <c r="AC175" s="7" t="s">
        <v>353</v>
      </c>
    </row>
    <row r="176" spans="1:29" x14ac:dyDescent="0.25">
      <c r="A176" s="127"/>
      <c r="B176" s="136" t="str">
        <f t="shared" si="18"/>
        <v>POPT</v>
      </c>
      <c r="C176" s="136" t="str">
        <f>+VLOOKUP(AC176,Ходим!A:B,2,0)</f>
        <v>30808922120014</v>
      </c>
      <c r="D176" s="136" t="str">
        <f>IFERROR(VLOOKUP($B:$B,[20]свод!$A:$AB,3,0)," ")</f>
        <v>Поп тумани</v>
      </c>
      <c r="E176" s="7" t="s">
        <v>2638</v>
      </c>
      <c r="F176" s="7" t="s">
        <v>9027</v>
      </c>
      <c r="G176" s="134">
        <v>1</v>
      </c>
      <c r="H176" s="134" t="s">
        <v>411</v>
      </c>
      <c r="I176" s="7" t="s">
        <v>158</v>
      </c>
      <c r="J176" s="7" t="s">
        <v>36</v>
      </c>
      <c r="K176" s="7"/>
      <c r="L176" s="7" t="s">
        <v>167</v>
      </c>
      <c r="M176" s="7" t="s">
        <v>5194</v>
      </c>
      <c r="N176" s="7" t="s">
        <v>170</v>
      </c>
      <c r="O176" s="7" t="s">
        <v>162</v>
      </c>
      <c r="P176" s="7" t="s">
        <v>6970</v>
      </c>
      <c r="Q176" s="129">
        <v>46199</v>
      </c>
      <c r="R176" s="130">
        <v>46199</v>
      </c>
      <c r="S176" s="131">
        <v>0</v>
      </c>
      <c r="T176" s="127"/>
      <c r="U176" s="127">
        <v>1</v>
      </c>
      <c r="V176" s="127"/>
      <c r="W176" s="127"/>
      <c r="X176" s="135">
        <f t="shared" si="22"/>
        <v>0</v>
      </c>
      <c r="Y176" s="135" t="b">
        <f t="shared" si="19"/>
        <v>0</v>
      </c>
      <c r="Z176" s="135" t="b">
        <f t="shared" si="20"/>
        <v>0</v>
      </c>
      <c r="AA176" s="135" t="b">
        <f t="shared" si="21"/>
        <v>0</v>
      </c>
      <c r="AB176" s="7" t="s">
        <v>214</v>
      </c>
      <c r="AC176" s="7" t="s">
        <v>242</v>
      </c>
    </row>
    <row r="177" spans="1:29" hidden="1" x14ac:dyDescent="0.25">
      <c r="A177" s="127"/>
      <c r="B177" s="136" t="str">
        <f t="shared" si="18"/>
        <v>YGQT</v>
      </c>
      <c r="C177" s="136" t="str">
        <f>+VLOOKUP(AC177,Ходим!A:B,2,0)</f>
        <v>50110025950020</v>
      </c>
      <c r="D177" s="136" t="str">
        <f>IFERROR(VLOOKUP($B:$B,[20]свод!$A:$AB,3,0)," ")</f>
        <v>Янгиқўрғон тумани</v>
      </c>
      <c r="E177" s="7" t="s">
        <v>2642</v>
      </c>
      <c r="F177" s="7" t="s">
        <v>9031</v>
      </c>
      <c r="G177" s="134">
        <v>1</v>
      </c>
      <c r="H177" s="134" t="s">
        <v>411</v>
      </c>
      <c r="I177" s="7" t="s">
        <v>158</v>
      </c>
      <c r="J177" s="7" t="s">
        <v>10639</v>
      </c>
      <c r="K177" s="7"/>
      <c r="L177" s="7" t="s">
        <v>167</v>
      </c>
      <c r="M177" s="7" t="s">
        <v>5198</v>
      </c>
      <c r="N177" s="7" t="s">
        <v>170</v>
      </c>
      <c r="O177" s="7" t="s">
        <v>162</v>
      </c>
      <c r="P177" s="7" t="s">
        <v>6973</v>
      </c>
      <c r="Q177" s="129">
        <v>46199</v>
      </c>
      <c r="R177" s="130">
        <v>46198</v>
      </c>
      <c r="S177" s="131">
        <v>-1</v>
      </c>
      <c r="T177" s="127">
        <v>1</v>
      </c>
      <c r="U177" s="127"/>
      <c r="V177" s="127">
        <v>1</v>
      </c>
      <c r="W177" s="127"/>
      <c r="X177" s="135">
        <f t="shared" si="22"/>
        <v>0</v>
      </c>
      <c r="Y177" s="135" t="b">
        <f t="shared" si="19"/>
        <v>0</v>
      </c>
      <c r="Z177" s="135" t="b">
        <f t="shared" si="20"/>
        <v>0</v>
      </c>
      <c r="AA177" s="135" t="b">
        <f t="shared" si="21"/>
        <v>0</v>
      </c>
      <c r="AB177" s="7" t="s">
        <v>182</v>
      </c>
      <c r="AC177" s="7" t="s">
        <v>208</v>
      </c>
    </row>
    <row r="178" spans="1:29" hidden="1" x14ac:dyDescent="0.25">
      <c r="A178" s="127"/>
      <c r="B178" s="136" t="str">
        <f t="shared" si="18"/>
        <v>UYCT</v>
      </c>
      <c r="C178" s="136" t="str">
        <f>+VLOOKUP(AC178,Ходим!A:B,2,0)</f>
        <v>31101985930022</v>
      </c>
      <c r="D178" s="136" t="str">
        <f>IFERROR(VLOOKUP($B:$B,[20]свод!$A:$AB,3,0)," ")</f>
        <v>Уйчи тумани</v>
      </c>
      <c r="E178" s="7" t="s">
        <v>2643</v>
      </c>
      <c r="F178" s="7" t="s">
        <v>9032</v>
      </c>
      <c r="G178" s="134">
        <v>1</v>
      </c>
      <c r="H178" s="134" t="s">
        <v>411</v>
      </c>
      <c r="I178" s="7" t="s">
        <v>154</v>
      </c>
      <c r="J178" s="7" t="s">
        <v>10639</v>
      </c>
      <c r="K178" s="7"/>
      <c r="L178" s="7"/>
      <c r="M178" s="7"/>
      <c r="N178" s="7" t="s">
        <v>170</v>
      </c>
      <c r="O178" s="7" t="s">
        <v>162</v>
      </c>
      <c r="P178" s="7" t="s">
        <v>6974</v>
      </c>
      <c r="Q178" s="129">
        <v>46199</v>
      </c>
      <c r="R178" s="130">
        <v>46199</v>
      </c>
      <c r="S178" s="131">
        <v>0</v>
      </c>
      <c r="T178" s="127"/>
      <c r="U178" s="127">
        <v>1</v>
      </c>
      <c r="V178" s="127"/>
      <c r="W178" s="127"/>
      <c r="X178" s="135">
        <f t="shared" si="22"/>
        <v>0</v>
      </c>
      <c r="Y178" s="135" t="b">
        <f t="shared" si="19"/>
        <v>0</v>
      </c>
      <c r="Z178" s="135" t="b">
        <f t="shared" si="20"/>
        <v>0</v>
      </c>
      <c r="AA178" s="135" t="b">
        <f t="shared" si="21"/>
        <v>0</v>
      </c>
      <c r="AB178" s="7" t="s">
        <v>947</v>
      </c>
      <c r="AC178" s="7" t="s">
        <v>299</v>
      </c>
    </row>
    <row r="179" spans="1:29" x14ac:dyDescent="0.25">
      <c r="A179" s="127"/>
      <c r="B179" s="136" t="str">
        <f t="shared" si="18"/>
        <v>CHOT</v>
      </c>
      <c r="C179" s="136" t="e">
        <f>+VLOOKUP(AC179,Ходим!A:B,2,0)</f>
        <v>#N/A</v>
      </c>
      <c r="D179" s="136" t="str">
        <f>IFERROR(VLOOKUP($B:$B,[20]свод!$A:$AB,3,0)," ")</f>
        <v>Чортоқ тумани</v>
      </c>
      <c r="E179" s="7" t="s">
        <v>2680</v>
      </c>
      <c r="F179" s="7" t="s">
        <v>9067</v>
      </c>
      <c r="G179" s="134">
        <v>1</v>
      </c>
      <c r="H179" s="134" t="s">
        <v>411</v>
      </c>
      <c r="I179" s="7" t="s">
        <v>160</v>
      </c>
      <c r="J179" s="7" t="s">
        <v>132</v>
      </c>
      <c r="K179" s="7" t="s">
        <v>10627</v>
      </c>
      <c r="L179" s="7" t="s">
        <v>167</v>
      </c>
      <c r="M179" s="7" t="s">
        <v>5223</v>
      </c>
      <c r="N179" s="7" t="s">
        <v>171</v>
      </c>
      <c r="O179" s="7" t="s">
        <v>164</v>
      </c>
      <c r="P179" s="7" t="s">
        <v>6992</v>
      </c>
      <c r="Q179" s="129">
        <v>46199</v>
      </c>
      <c r="R179" s="130">
        <v>46199</v>
      </c>
      <c r="S179" s="131">
        <v>0</v>
      </c>
      <c r="T179" s="127"/>
      <c r="U179" s="127">
        <v>1</v>
      </c>
      <c r="V179" s="127"/>
      <c r="W179" s="127"/>
      <c r="X179" s="135">
        <f t="shared" si="22"/>
        <v>0</v>
      </c>
      <c r="Y179" s="135" t="b">
        <f t="shared" si="19"/>
        <v>0</v>
      </c>
      <c r="Z179" s="135" t="b">
        <f t="shared" si="20"/>
        <v>0</v>
      </c>
      <c r="AA179" s="135" t="b">
        <f t="shared" si="21"/>
        <v>0</v>
      </c>
      <c r="AB179" s="7"/>
      <c r="AC179" s="7"/>
    </row>
    <row r="180" spans="1:29" x14ac:dyDescent="0.25">
      <c r="A180" s="127"/>
      <c r="B180" s="136" t="str">
        <f t="shared" si="18"/>
        <v>TORT</v>
      </c>
      <c r="C180" s="136">
        <f>+VLOOKUP(AC180,Ходим!A:B,2,0)</f>
        <v>30603862130011</v>
      </c>
      <c r="D180" s="136" t="str">
        <f>IFERROR(VLOOKUP($B:$B,[20]свод!$A:$AB,3,0)," ")</f>
        <v>Тўрақўрғон тумани</v>
      </c>
      <c r="E180" s="7" t="s">
        <v>2704</v>
      </c>
      <c r="F180" s="7" t="s">
        <v>9091</v>
      </c>
      <c r="G180" s="134">
        <v>1</v>
      </c>
      <c r="H180" s="134" t="s">
        <v>411</v>
      </c>
      <c r="I180" s="7" t="s">
        <v>158</v>
      </c>
      <c r="J180" s="7" t="s">
        <v>1</v>
      </c>
      <c r="K180" s="7"/>
      <c r="L180" s="7" t="s">
        <v>167</v>
      </c>
      <c r="M180" s="7" t="s">
        <v>5242</v>
      </c>
      <c r="N180" s="7" t="s">
        <v>170</v>
      </c>
      <c r="O180" s="7" t="s">
        <v>162</v>
      </c>
      <c r="P180" s="7" t="s">
        <v>7000</v>
      </c>
      <c r="Q180" s="129">
        <v>46199</v>
      </c>
      <c r="R180" s="130">
        <v>46199</v>
      </c>
      <c r="S180" s="131">
        <v>0</v>
      </c>
      <c r="T180" s="127"/>
      <c r="U180" s="127">
        <v>1</v>
      </c>
      <c r="V180" s="127"/>
      <c r="W180" s="127"/>
      <c r="X180" s="135">
        <f t="shared" si="22"/>
        <v>0</v>
      </c>
      <c r="Y180" s="135" t="b">
        <f t="shared" si="19"/>
        <v>0</v>
      </c>
      <c r="Z180" s="135" t="b">
        <f t="shared" si="20"/>
        <v>0</v>
      </c>
      <c r="AA180" s="135" t="b">
        <f t="shared" si="21"/>
        <v>0</v>
      </c>
      <c r="AB180" s="7" t="s">
        <v>203</v>
      </c>
      <c r="AC180" s="7" t="s">
        <v>950</v>
      </c>
    </row>
    <row r="181" spans="1:29" hidden="1" x14ac:dyDescent="0.25">
      <c r="A181" s="127"/>
      <c r="B181" s="136" t="str">
        <f t="shared" si="18"/>
        <v>KSST</v>
      </c>
      <c r="C181" s="136" t="str">
        <f>+VLOOKUP(AC181,Ходим!A:B,2,0)</f>
        <v>32910975980025</v>
      </c>
      <c r="D181" s="136" t="str">
        <f>IFERROR(VLOOKUP($B:$B,[20]свод!$A:$AB,3,0)," ")</f>
        <v>Косонсой тумани</v>
      </c>
      <c r="E181" s="7" t="s">
        <v>2726</v>
      </c>
      <c r="F181" s="7" t="s">
        <v>9113</v>
      </c>
      <c r="G181" s="134">
        <v>1</v>
      </c>
      <c r="H181" s="134" t="s">
        <v>411</v>
      </c>
      <c r="I181" s="7" t="s">
        <v>158</v>
      </c>
      <c r="J181" s="7" t="s">
        <v>10638</v>
      </c>
      <c r="K181" s="7"/>
      <c r="L181" s="7" t="s">
        <v>167</v>
      </c>
      <c r="M181" s="7" t="s">
        <v>5254</v>
      </c>
      <c r="N181" s="7" t="s">
        <v>410</v>
      </c>
      <c r="O181" s="7" t="s">
        <v>162</v>
      </c>
      <c r="P181" s="7" t="s">
        <v>7006</v>
      </c>
      <c r="Q181" s="129">
        <v>46199</v>
      </c>
      <c r="R181" s="130">
        <v>46199</v>
      </c>
      <c r="S181" s="131">
        <v>0</v>
      </c>
      <c r="T181" s="127"/>
      <c r="U181" s="127">
        <v>1</v>
      </c>
      <c r="V181" s="127"/>
      <c r="W181" s="127"/>
      <c r="X181" s="135">
        <f t="shared" si="22"/>
        <v>0</v>
      </c>
      <c r="Y181" s="135" t="b">
        <f t="shared" si="19"/>
        <v>0</v>
      </c>
      <c r="Z181" s="135" t="b">
        <f t="shared" si="20"/>
        <v>0</v>
      </c>
      <c r="AA181" s="135" t="b">
        <f t="shared" si="21"/>
        <v>0</v>
      </c>
      <c r="AB181" s="7" t="s">
        <v>180</v>
      </c>
      <c r="AC181" s="7" t="s">
        <v>187</v>
      </c>
    </row>
    <row r="182" spans="1:29" hidden="1" x14ac:dyDescent="0.25">
      <c r="A182" s="127"/>
      <c r="B182" s="136" t="str">
        <f t="shared" si="18"/>
        <v>MINT</v>
      </c>
      <c r="C182" s="136" t="str">
        <f>+VLOOKUP(AC182,Ходим!A:B,2,0)</f>
        <v>30906922130016</v>
      </c>
      <c r="D182" s="136" t="str">
        <f>IFERROR(VLOOKUP($B:$B,[20]свод!$A:$AB,3,0)," ")</f>
        <v>Мингбулоқ тумани</v>
      </c>
      <c r="E182" s="7" t="s">
        <v>2746</v>
      </c>
      <c r="F182" s="7" t="s">
        <v>9133</v>
      </c>
      <c r="G182" s="134">
        <v>1</v>
      </c>
      <c r="H182" s="134" t="s">
        <v>411</v>
      </c>
      <c r="I182" s="7" t="s">
        <v>158</v>
      </c>
      <c r="J182" s="7" t="s">
        <v>10638</v>
      </c>
      <c r="K182" s="7"/>
      <c r="L182" s="7" t="s">
        <v>167</v>
      </c>
      <c r="M182" s="7" t="s">
        <v>5268</v>
      </c>
      <c r="N182" s="7" t="s">
        <v>410</v>
      </c>
      <c r="O182" s="7" t="s">
        <v>162</v>
      </c>
      <c r="P182" s="7" t="s">
        <v>7016</v>
      </c>
      <c r="Q182" s="129">
        <v>46199</v>
      </c>
      <c r="R182" s="130">
        <v>46199</v>
      </c>
      <c r="S182" s="131">
        <v>0</v>
      </c>
      <c r="T182" s="127"/>
      <c r="U182" s="127">
        <v>1</v>
      </c>
      <c r="V182" s="127"/>
      <c r="W182" s="127"/>
      <c r="X182" s="135">
        <f t="shared" si="22"/>
        <v>0</v>
      </c>
      <c r="Y182" s="135" t="b">
        <f t="shared" si="19"/>
        <v>0</v>
      </c>
      <c r="Z182" s="135" t="b">
        <f t="shared" si="20"/>
        <v>0</v>
      </c>
      <c r="AA182" s="135" t="b">
        <f t="shared" si="21"/>
        <v>0</v>
      </c>
      <c r="AB182" s="7" t="s">
        <v>220</v>
      </c>
      <c r="AC182" s="7" t="s">
        <v>178</v>
      </c>
    </row>
    <row r="183" spans="1:29" x14ac:dyDescent="0.25">
      <c r="A183" s="127"/>
      <c r="B183" s="136" t="str">
        <f t="shared" si="18"/>
        <v>POPT</v>
      </c>
      <c r="C183" s="136" t="str">
        <f>+VLOOKUP(AC183,Ходим!A:B,2,0)</f>
        <v>30609882120085</v>
      </c>
      <c r="D183" s="136" t="str">
        <f>IFERROR(VLOOKUP($B:$B,[20]свод!$A:$AB,3,0)," ")</f>
        <v>Поп тумани</v>
      </c>
      <c r="E183" s="7" t="s">
        <v>2828</v>
      </c>
      <c r="F183" s="7" t="s">
        <v>9214</v>
      </c>
      <c r="G183" s="134" t="s">
        <v>411</v>
      </c>
      <c r="H183" s="134">
        <v>1</v>
      </c>
      <c r="I183" s="7" t="s">
        <v>157</v>
      </c>
      <c r="J183" s="7" t="s">
        <v>12</v>
      </c>
      <c r="K183" s="7"/>
      <c r="L183" s="7" t="s">
        <v>166</v>
      </c>
      <c r="M183" s="7" t="s">
        <v>5315</v>
      </c>
      <c r="N183" s="7" t="s">
        <v>410</v>
      </c>
      <c r="O183" s="7" t="s">
        <v>161</v>
      </c>
      <c r="P183" s="7" t="s">
        <v>6854</v>
      </c>
      <c r="Q183" s="129">
        <v>46199</v>
      </c>
      <c r="R183" s="130">
        <v>46197</v>
      </c>
      <c r="S183" s="131">
        <v>-2</v>
      </c>
      <c r="T183" s="127">
        <v>1</v>
      </c>
      <c r="U183" s="127"/>
      <c r="V183" s="127"/>
      <c r="W183" s="127">
        <v>1</v>
      </c>
      <c r="X183" s="135">
        <f t="shared" si="22"/>
        <v>0</v>
      </c>
      <c r="Y183" s="135" t="b">
        <f t="shared" si="19"/>
        <v>0</v>
      </c>
      <c r="Z183" s="135" t="b">
        <f t="shared" si="20"/>
        <v>0</v>
      </c>
      <c r="AA183" s="135" t="b">
        <f t="shared" si="21"/>
        <v>0</v>
      </c>
      <c r="AB183" s="7" t="s">
        <v>240</v>
      </c>
      <c r="AC183" s="7" t="s">
        <v>248</v>
      </c>
    </row>
    <row r="184" spans="1:29" x14ac:dyDescent="0.25">
      <c r="A184" s="127"/>
      <c r="B184" s="136" t="str">
        <f t="shared" si="18"/>
        <v>YGQT</v>
      </c>
      <c r="C184" s="136" t="str">
        <f>+VLOOKUP(AC184,Ходим!A:B,2,0)</f>
        <v>52410005950025</v>
      </c>
      <c r="D184" s="136" t="str">
        <f>IFERROR(VLOOKUP($B:$B,[20]свод!$A:$AB,3,0)," ")</f>
        <v>Янгиқўрғон тумани</v>
      </c>
      <c r="E184" s="7" t="s">
        <v>2837</v>
      </c>
      <c r="F184" s="7" t="s">
        <v>9223</v>
      </c>
      <c r="G184" s="134" t="s">
        <v>411</v>
      </c>
      <c r="H184" s="134">
        <v>1</v>
      </c>
      <c r="I184" s="7" t="s">
        <v>157</v>
      </c>
      <c r="J184" s="7" t="s">
        <v>134</v>
      </c>
      <c r="K184" s="7"/>
      <c r="L184" s="7" t="s">
        <v>168</v>
      </c>
      <c r="M184" s="7" t="s">
        <v>382</v>
      </c>
      <c r="N184" s="7" t="s">
        <v>170</v>
      </c>
      <c r="O184" s="7" t="s">
        <v>161</v>
      </c>
      <c r="P184" s="7" t="s">
        <v>6371</v>
      </c>
      <c r="Q184" s="129">
        <v>46199</v>
      </c>
      <c r="R184" s="130">
        <v>46199</v>
      </c>
      <c r="S184" s="131">
        <v>0</v>
      </c>
      <c r="T184" s="127"/>
      <c r="U184" s="127">
        <v>1</v>
      </c>
      <c r="V184" s="127"/>
      <c r="W184" s="127"/>
      <c r="X184" s="135">
        <f t="shared" si="22"/>
        <v>0</v>
      </c>
      <c r="Y184" s="135" t="b">
        <f t="shared" si="19"/>
        <v>0</v>
      </c>
      <c r="Z184" s="135" t="b">
        <f t="shared" si="20"/>
        <v>0</v>
      </c>
      <c r="AA184" s="135" t="b">
        <f t="shared" si="21"/>
        <v>0</v>
      </c>
      <c r="AB184" s="7" t="s">
        <v>255</v>
      </c>
      <c r="AC184" s="7" t="s">
        <v>256</v>
      </c>
    </row>
    <row r="185" spans="1:29" x14ac:dyDescent="0.25">
      <c r="A185" s="127"/>
      <c r="B185" s="136" t="str">
        <f t="shared" si="18"/>
        <v>POPT</v>
      </c>
      <c r="C185" s="136" t="str">
        <f>+VLOOKUP(AC185,Ходим!A:B,2,0)</f>
        <v>31503892210028</v>
      </c>
      <c r="D185" s="136" t="str">
        <f>IFERROR(VLOOKUP($B:$B,[20]свод!$A:$AB,3,0)," ")</f>
        <v>Поп тумани</v>
      </c>
      <c r="E185" s="7" t="s">
        <v>2846</v>
      </c>
      <c r="F185" s="7" t="s">
        <v>9232</v>
      </c>
      <c r="G185" s="134">
        <v>1</v>
      </c>
      <c r="H185" s="134" t="s">
        <v>411</v>
      </c>
      <c r="I185" s="7" t="s">
        <v>158</v>
      </c>
      <c r="J185" s="7" t="s">
        <v>12</v>
      </c>
      <c r="K185" s="7"/>
      <c r="L185" s="7" t="s">
        <v>167</v>
      </c>
      <c r="M185" s="7" t="s">
        <v>5330</v>
      </c>
      <c r="N185" s="7" t="s">
        <v>170</v>
      </c>
      <c r="O185" s="7" t="s">
        <v>162</v>
      </c>
      <c r="P185" s="7" t="s">
        <v>6296</v>
      </c>
      <c r="Q185" s="129">
        <v>46199</v>
      </c>
      <c r="R185" s="130">
        <v>46199</v>
      </c>
      <c r="S185" s="131">
        <v>0</v>
      </c>
      <c r="T185" s="127"/>
      <c r="U185" s="127">
        <v>1</v>
      </c>
      <c r="V185" s="127"/>
      <c r="W185" s="127"/>
      <c r="X185" s="135">
        <f t="shared" si="22"/>
        <v>0</v>
      </c>
      <c r="Y185" s="135" t="b">
        <f t="shared" si="19"/>
        <v>0</v>
      </c>
      <c r="Z185" s="135" t="b">
        <f t="shared" si="20"/>
        <v>0</v>
      </c>
      <c r="AA185" s="135" t="b">
        <f t="shared" si="21"/>
        <v>0</v>
      </c>
      <c r="AB185" s="7" t="s">
        <v>214</v>
      </c>
      <c r="AC185" s="7" t="s">
        <v>285</v>
      </c>
    </row>
    <row r="186" spans="1:29" x14ac:dyDescent="0.25">
      <c r="A186" s="127"/>
      <c r="B186" s="136" t="str">
        <f t="shared" ref="B186:B225" si="23">LEFT(E186,4)</f>
        <v>POPT</v>
      </c>
      <c r="C186" s="136" t="str">
        <f>+VLOOKUP(AC186,Ходим!A:B,2,0)</f>
        <v>31503892210028</v>
      </c>
      <c r="D186" s="136" t="str">
        <f>IFERROR(VLOOKUP($B:$B,[20]свод!$A:$AB,3,0)," ")</f>
        <v>Поп тумани</v>
      </c>
      <c r="E186" s="7" t="s">
        <v>2850</v>
      </c>
      <c r="F186" s="7" t="s">
        <v>9236</v>
      </c>
      <c r="G186" s="134">
        <v>1</v>
      </c>
      <c r="H186" s="134" t="s">
        <v>411</v>
      </c>
      <c r="I186" s="7" t="s">
        <v>158</v>
      </c>
      <c r="J186" s="7" t="s">
        <v>12</v>
      </c>
      <c r="K186" s="7"/>
      <c r="L186" s="7" t="s">
        <v>167</v>
      </c>
      <c r="M186" s="7" t="s">
        <v>5334</v>
      </c>
      <c r="N186" s="7" t="s">
        <v>170</v>
      </c>
      <c r="O186" s="7" t="s">
        <v>162</v>
      </c>
      <c r="P186" s="7" t="s">
        <v>6757</v>
      </c>
      <c r="Q186" s="129">
        <v>46199</v>
      </c>
      <c r="R186" s="130">
        <v>46199</v>
      </c>
      <c r="S186" s="131">
        <v>0</v>
      </c>
      <c r="T186" s="127"/>
      <c r="U186" s="127">
        <v>1</v>
      </c>
      <c r="V186" s="127"/>
      <c r="W186" s="127"/>
      <c r="X186" s="135">
        <f t="shared" si="22"/>
        <v>0</v>
      </c>
      <c r="Y186" s="135" t="b">
        <f t="shared" ref="Y186:Y225" si="24">IF(J186="Arizani qabul qilish",IF(X186=1,"Arizani qabul qilish2","Arizani qabul qilish"))</f>
        <v>0</v>
      </c>
      <c r="Z186" s="135" t="b">
        <f t="shared" ref="Z186:Z225" si="25">IF(J186="Rad qilish",IF(X186=1,"Rad qilish2","Rad qilish"))</f>
        <v>0</v>
      </c>
      <c r="AA186" s="135" t="b">
        <f t="shared" ref="AA186:AA225" si="26">+IF(J186="Arizani qabul qilish",Y186,IF(J186="Rad qilish",Z186))</f>
        <v>0</v>
      </c>
      <c r="AB186" s="7" t="s">
        <v>214</v>
      </c>
      <c r="AC186" s="7" t="s">
        <v>285</v>
      </c>
    </row>
    <row r="187" spans="1:29" hidden="1" x14ac:dyDescent="0.25">
      <c r="A187" s="127"/>
      <c r="B187" s="136" t="str">
        <f t="shared" si="23"/>
        <v>YGQT</v>
      </c>
      <c r="C187" s="136" t="str">
        <f>+VLOOKUP(AC187,Ходим!A:B,2,0)</f>
        <v>30107965950010</v>
      </c>
      <c r="D187" s="136" t="str">
        <f>IFERROR(VLOOKUP($B:$B,[20]свод!$A:$AB,3,0)," ")</f>
        <v>Янгиқўрғон тумани</v>
      </c>
      <c r="E187" s="7" t="s">
        <v>2866</v>
      </c>
      <c r="F187" s="7"/>
      <c r="G187" s="134">
        <v>1</v>
      </c>
      <c r="H187" s="134" t="s">
        <v>411</v>
      </c>
      <c r="I187" s="7" t="s">
        <v>154</v>
      </c>
      <c r="J187" s="7" t="s">
        <v>10639</v>
      </c>
      <c r="K187" s="7"/>
      <c r="L187" s="7" t="s">
        <v>167</v>
      </c>
      <c r="M187" s="7" t="s">
        <v>5344</v>
      </c>
      <c r="N187" s="7" t="s">
        <v>368</v>
      </c>
      <c r="O187" s="7"/>
      <c r="P187" s="7" t="s">
        <v>7066</v>
      </c>
      <c r="Q187" s="129">
        <v>46199</v>
      </c>
      <c r="R187" s="130">
        <v>46199</v>
      </c>
      <c r="S187" s="131">
        <v>0</v>
      </c>
      <c r="T187" s="127"/>
      <c r="U187" s="127">
        <v>1</v>
      </c>
      <c r="V187" s="127"/>
      <c r="W187" s="127"/>
      <c r="X187" s="135">
        <f t="shared" si="22"/>
        <v>0</v>
      </c>
      <c r="Y187" s="135" t="b">
        <f t="shared" si="24"/>
        <v>0</v>
      </c>
      <c r="Z187" s="135" t="b">
        <f t="shared" si="25"/>
        <v>0</v>
      </c>
      <c r="AA187" s="135" t="b">
        <f t="shared" si="26"/>
        <v>0</v>
      </c>
      <c r="AB187" s="7" t="s">
        <v>182</v>
      </c>
      <c r="AC187" s="7" t="s">
        <v>244</v>
      </c>
    </row>
    <row r="188" spans="1:29" x14ac:dyDescent="0.25">
      <c r="A188" s="127"/>
      <c r="B188" s="136" t="str">
        <f t="shared" si="23"/>
        <v>NAMS</v>
      </c>
      <c r="C188" s="136" t="str">
        <f>+VLOOKUP(AC188,Ходим!A:B,2,0)</f>
        <v>31608732170178</v>
      </c>
      <c r="D188" s="136" t="str">
        <f>IFERROR(VLOOKUP($B:$B,[20]свод!$A:$AB,3,0)," ")</f>
        <v>Наманган шаҳар</v>
      </c>
      <c r="E188" s="7" t="s">
        <v>2949</v>
      </c>
      <c r="F188" s="7" t="s">
        <v>9334</v>
      </c>
      <c r="G188" s="134">
        <v>1</v>
      </c>
      <c r="H188" s="134" t="s">
        <v>411</v>
      </c>
      <c r="I188" s="7" t="s">
        <v>158</v>
      </c>
      <c r="J188" s="7" t="s">
        <v>13</v>
      </c>
      <c r="K188" s="7"/>
      <c r="L188" s="7" t="s">
        <v>167</v>
      </c>
      <c r="M188" s="7" t="s">
        <v>5403</v>
      </c>
      <c r="N188" s="7" t="s">
        <v>170</v>
      </c>
      <c r="O188" s="7" t="s">
        <v>162</v>
      </c>
      <c r="P188" s="7" t="s">
        <v>7100</v>
      </c>
      <c r="Q188" s="129">
        <v>46199</v>
      </c>
      <c r="R188" s="130">
        <v>46197</v>
      </c>
      <c r="S188" s="131">
        <v>-2</v>
      </c>
      <c r="T188" s="127">
        <v>1</v>
      </c>
      <c r="U188" s="127"/>
      <c r="V188" s="127">
        <v>1</v>
      </c>
      <c r="W188" s="127"/>
      <c r="X188" s="135">
        <f t="shared" si="22"/>
        <v>0</v>
      </c>
      <c r="Y188" s="135" t="b">
        <f t="shared" si="24"/>
        <v>0</v>
      </c>
      <c r="Z188" s="135" t="b">
        <f t="shared" si="25"/>
        <v>0</v>
      </c>
      <c r="AA188" s="135" t="b">
        <f t="shared" si="26"/>
        <v>0</v>
      </c>
      <c r="AB188" s="7" t="s">
        <v>173</v>
      </c>
      <c r="AC188" s="7" t="s">
        <v>267</v>
      </c>
    </row>
    <row r="189" spans="1:29" x14ac:dyDescent="0.25">
      <c r="A189" s="127"/>
      <c r="B189" s="136" t="str">
        <f t="shared" si="23"/>
        <v>POPT</v>
      </c>
      <c r="C189" s="136" t="str">
        <f>+VLOOKUP(AC189,Ходим!A:B,2,0)</f>
        <v>32901912210017</v>
      </c>
      <c r="D189" s="136" t="str">
        <f>IFERROR(VLOOKUP($B:$B,[20]свод!$A:$AB,3,0)," ")</f>
        <v>Поп тумани</v>
      </c>
      <c r="E189" s="7" t="s">
        <v>2956</v>
      </c>
      <c r="F189" s="7" t="s">
        <v>9341</v>
      </c>
      <c r="G189" s="134">
        <v>1</v>
      </c>
      <c r="H189" s="134" t="s">
        <v>411</v>
      </c>
      <c r="I189" s="7" t="s">
        <v>158</v>
      </c>
      <c r="J189" s="7" t="s">
        <v>36</v>
      </c>
      <c r="K189" s="7"/>
      <c r="L189" s="7" t="s">
        <v>167</v>
      </c>
      <c r="M189" s="7" t="s">
        <v>5410</v>
      </c>
      <c r="N189" s="7" t="s">
        <v>170</v>
      </c>
      <c r="O189" s="7" t="s">
        <v>162</v>
      </c>
      <c r="P189" s="7" t="s">
        <v>6789</v>
      </c>
      <c r="Q189" s="129">
        <v>46199</v>
      </c>
      <c r="R189" s="130">
        <v>46199</v>
      </c>
      <c r="S189" s="131">
        <v>0</v>
      </c>
      <c r="T189" s="127"/>
      <c r="U189" s="127">
        <v>1</v>
      </c>
      <c r="V189" s="127"/>
      <c r="W189" s="127"/>
      <c r="X189" s="135">
        <f t="shared" si="22"/>
        <v>0</v>
      </c>
      <c r="Y189" s="135" t="b">
        <f t="shared" si="24"/>
        <v>0</v>
      </c>
      <c r="Z189" s="135" t="b">
        <f t="shared" si="25"/>
        <v>0</v>
      </c>
      <c r="AA189" s="135" t="b">
        <f t="shared" si="26"/>
        <v>0</v>
      </c>
      <c r="AB189" s="7" t="s">
        <v>240</v>
      </c>
      <c r="AC189" s="7" t="s">
        <v>215</v>
      </c>
    </row>
    <row r="190" spans="1:29" x14ac:dyDescent="0.25">
      <c r="A190" s="127"/>
      <c r="B190" s="136" t="str">
        <f t="shared" si="23"/>
        <v>CHUT</v>
      </c>
      <c r="C190" s="136" t="str">
        <f>+VLOOKUP(AC190,Ходим!A:B,2,0)</f>
        <v>30202885970013</v>
      </c>
      <c r="D190" s="136" t="str">
        <f>IFERROR(VLOOKUP($B:$B,[20]свод!$A:$AB,3,0)," ")</f>
        <v>Чуст тумани</v>
      </c>
      <c r="E190" s="7" t="s">
        <v>2957</v>
      </c>
      <c r="F190" s="7" t="s">
        <v>9342</v>
      </c>
      <c r="G190" s="134">
        <v>1</v>
      </c>
      <c r="H190" s="134" t="s">
        <v>411</v>
      </c>
      <c r="I190" s="7" t="s">
        <v>158</v>
      </c>
      <c r="J190" s="7" t="s">
        <v>134</v>
      </c>
      <c r="K190" s="7"/>
      <c r="L190" s="7" t="s">
        <v>169</v>
      </c>
      <c r="M190" s="7" t="s">
        <v>1109</v>
      </c>
      <c r="N190" s="7" t="s">
        <v>410</v>
      </c>
      <c r="O190" s="7" t="s">
        <v>162</v>
      </c>
      <c r="P190" s="7" t="s">
        <v>7106</v>
      </c>
      <c r="Q190" s="129">
        <v>46199</v>
      </c>
      <c r="R190" s="130">
        <v>46197</v>
      </c>
      <c r="S190" s="131">
        <v>-2</v>
      </c>
      <c r="T190" s="127">
        <v>1</v>
      </c>
      <c r="U190" s="127"/>
      <c r="V190" s="127">
        <v>1</v>
      </c>
      <c r="W190" s="127"/>
      <c r="X190" s="135">
        <f t="shared" si="22"/>
        <v>0</v>
      </c>
      <c r="Y190" s="135" t="b">
        <f t="shared" si="24"/>
        <v>0</v>
      </c>
      <c r="Z190" s="135" t="b">
        <f t="shared" si="25"/>
        <v>0</v>
      </c>
      <c r="AA190" s="135" t="b">
        <f t="shared" si="26"/>
        <v>0</v>
      </c>
      <c r="AB190" s="7" t="s">
        <v>178</v>
      </c>
      <c r="AC190" s="7" t="s">
        <v>289</v>
      </c>
    </row>
    <row r="191" spans="1:29" x14ac:dyDescent="0.25">
      <c r="A191" s="127"/>
      <c r="B191" s="136" t="str">
        <f t="shared" si="23"/>
        <v>YGQT</v>
      </c>
      <c r="C191" s="136" t="str">
        <f>+VLOOKUP(AC191,Ходим!A:B,2,0)</f>
        <v>52010015950028</v>
      </c>
      <c r="D191" s="136" t="str">
        <f>IFERROR(VLOOKUP($B:$B,[20]свод!$A:$AB,3,0)," ")</f>
        <v>Янгиқўрғон тумани</v>
      </c>
      <c r="E191" s="7" t="s">
        <v>2969</v>
      </c>
      <c r="F191" s="7" t="s">
        <v>9353</v>
      </c>
      <c r="G191" s="134" t="s">
        <v>411</v>
      </c>
      <c r="H191" s="134">
        <v>1</v>
      </c>
      <c r="I191" s="7" t="s">
        <v>157</v>
      </c>
      <c r="J191" s="7" t="s">
        <v>55</v>
      </c>
      <c r="K191" s="7"/>
      <c r="L191" s="7" t="s">
        <v>168</v>
      </c>
      <c r="M191" s="7" t="s">
        <v>5417</v>
      </c>
      <c r="N191" s="7" t="s">
        <v>410</v>
      </c>
      <c r="O191" s="7" t="s">
        <v>161</v>
      </c>
      <c r="P191" s="7" t="s">
        <v>7110</v>
      </c>
      <c r="Q191" s="129">
        <v>46199</v>
      </c>
      <c r="R191" s="130">
        <v>46198</v>
      </c>
      <c r="S191" s="131">
        <v>-1</v>
      </c>
      <c r="T191" s="127">
        <v>1</v>
      </c>
      <c r="U191" s="127"/>
      <c r="V191" s="127">
        <v>1</v>
      </c>
      <c r="W191" s="127"/>
      <c r="X191" s="135">
        <f t="shared" si="22"/>
        <v>0</v>
      </c>
      <c r="Y191" s="135" t="b">
        <f t="shared" si="24"/>
        <v>0</v>
      </c>
      <c r="Z191" s="135" t="b">
        <f t="shared" si="25"/>
        <v>0</v>
      </c>
      <c r="AA191" s="135" t="b">
        <f t="shared" si="26"/>
        <v>0</v>
      </c>
      <c r="AB191" s="7" t="s">
        <v>182</v>
      </c>
      <c r="AC191" s="7" t="s">
        <v>391</v>
      </c>
    </row>
    <row r="192" spans="1:29" x14ac:dyDescent="0.25">
      <c r="A192" s="127"/>
      <c r="B192" s="136" t="str">
        <f t="shared" si="23"/>
        <v>NAMS</v>
      </c>
      <c r="C192" s="136" t="str">
        <f>+VLOOKUP(AC192,Ходим!A:B,2,0)</f>
        <v>51110025960044</v>
      </c>
      <c r="D192" s="136" t="str">
        <f>IFERROR(VLOOKUP($B:$B,[20]свод!$A:$AB,3,0)," ")</f>
        <v>Наманган шаҳар</v>
      </c>
      <c r="E192" s="7" t="s">
        <v>2975</v>
      </c>
      <c r="F192" s="7"/>
      <c r="G192" s="134">
        <v>1</v>
      </c>
      <c r="H192" s="134" t="s">
        <v>411</v>
      </c>
      <c r="I192" s="7" t="s">
        <v>154</v>
      </c>
      <c r="J192" s="7" t="s">
        <v>145</v>
      </c>
      <c r="K192" s="7"/>
      <c r="L192" s="7" t="s">
        <v>167</v>
      </c>
      <c r="M192" s="7" t="s">
        <v>5420</v>
      </c>
      <c r="N192" s="7" t="s">
        <v>368</v>
      </c>
      <c r="O192" s="7"/>
      <c r="P192" s="7" t="s">
        <v>7114</v>
      </c>
      <c r="Q192" s="129">
        <v>46199</v>
      </c>
      <c r="R192" s="130">
        <v>46199</v>
      </c>
      <c r="S192" s="131">
        <v>0</v>
      </c>
      <c r="T192" s="127"/>
      <c r="U192" s="127">
        <v>1</v>
      </c>
      <c r="V192" s="127"/>
      <c r="W192" s="127"/>
      <c r="X192" s="135">
        <f t="shared" si="22"/>
        <v>0</v>
      </c>
      <c r="Y192" s="135" t="b">
        <f t="shared" si="24"/>
        <v>0</v>
      </c>
      <c r="Z192" s="135" t="b">
        <f t="shared" si="25"/>
        <v>0</v>
      </c>
      <c r="AA192" s="135" t="b">
        <f t="shared" si="26"/>
        <v>0</v>
      </c>
      <c r="AB192" s="7" t="s">
        <v>234</v>
      </c>
      <c r="AC192" s="7" t="s">
        <v>294</v>
      </c>
    </row>
    <row r="193" spans="1:29" hidden="1" x14ac:dyDescent="0.25">
      <c r="A193" s="127"/>
      <c r="B193" s="136" t="str">
        <f t="shared" si="23"/>
        <v>NAMS</v>
      </c>
      <c r="C193" s="136" t="str">
        <f>+VLOOKUP(AC193,Ходим!A:B,2,0)</f>
        <v>52107015960107</v>
      </c>
      <c r="D193" s="136" t="str">
        <f>IFERROR(VLOOKUP($B:$B,[20]свод!$A:$AB,3,0)," ")</f>
        <v>Наманган шаҳар</v>
      </c>
      <c r="E193" s="7" t="s">
        <v>2982</v>
      </c>
      <c r="F193" s="7" t="s">
        <v>9365</v>
      </c>
      <c r="G193" s="134">
        <v>1</v>
      </c>
      <c r="H193" s="134" t="s">
        <v>411</v>
      </c>
      <c r="I193" s="7" t="s">
        <v>158</v>
      </c>
      <c r="J193" s="7" t="s">
        <v>10638</v>
      </c>
      <c r="K193" s="7"/>
      <c r="L193" s="7" t="s">
        <v>167</v>
      </c>
      <c r="M193" s="7" t="s">
        <v>5427</v>
      </c>
      <c r="N193" s="7" t="s">
        <v>170</v>
      </c>
      <c r="O193" s="7" t="s">
        <v>162</v>
      </c>
      <c r="P193" s="7" t="s">
        <v>6655</v>
      </c>
      <c r="Q193" s="129">
        <v>46199</v>
      </c>
      <c r="R193" s="130">
        <v>46199</v>
      </c>
      <c r="S193" s="131">
        <v>0</v>
      </c>
      <c r="T193" s="127"/>
      <c r="U193" s="127">
        <v>1</v>
      </c>
      <c r="V193" s="127"/>
      <c r="W193" s="127"/>
      <c r="X193" s="135">
        <f t="shared" si="22"/>
        <v>0</v>
      </c>
      <c r="Y193" s="135" t="b">
        <f t="shared" si="24"/>
        <v>0</v>
      </c>
      <c r="Z193" s="135" t="b">
        <f t="shared" si="25"/>
        <v>0</v>
      </c>
      <c r="AA193" s="135" t="b">
        <f t="shared" si="26"/>
        <v>0</v>
      </c>
      <c r="AB193" s="7" t="s">
        <v>173</v>
      </c>
      <c r="AC193" s="7" t="s">
        <v>348</v>
      </c>
    </row>
    <row r="194" spans="1:29" x14ac:dyDescent="0.25">
      <c r="A194" s="127"/>
      <c r="B194" s="136" t="str">
        <f t="shared" si="23"/>
        <v>CHOT</v>
      </c>
      <c r="C194" s="136" t="str">
        <f>+VLOOKUP(AC194,Ходим!A:B,2,0)</f>
        <v>30510945890013</v>
      </c>
      <c r="D194" s="136" t="str">
        <f>IFERROR(VLOOKUP($B:$B,[20]свод!$A:$AB,3,0)," ")</f>
        <v>Чортоқ тумани</v>
      </c>
      <c r="E194" s="7" t="s">
        <v>2993</v>
      </c>
      <c r="F194" s="7" t="s">
        <v>9375</v>
      </c>
      <c r="G194" s="134" t="s">
        <v>411</v>
      </c>
      <c r="H194" s="134">
        <v>1</v>
      </c>
      <c r="I194" s="7" t="s">
        <v>157</v>
      </c>
      <c r="J194" s="7" t="s">
        <v>17</v>
      </c>
      <c r="K194" s="7"/>
      <c r="L194" s="7" t="s">
        <v>168</v>
      </c>
      <c r="M194" s="7" t="s">
        <v>5437</v>
      </c>
      <c r="N194" s="7" t="s">
        <v>170</v>
      </c>
      <c r="O194" s="7" t="s">
        <v>161</v>
      </c>
      <c r="P194" s="7" t="s">
        <v>7120</v>
      </c>
      <c r="Q194" s="129">
        <v>46199</v>
      </c>
      <c r="R194" s="130">
        <v>46199</v>
      </c>
      <c r="S194" s="131">
        <v>0</v>
      </c>
      <c r="T194" s="127"/>
      <c r="U194" s="127">
        <v>1</v>
      </c>
      <c r="V194" s="127"/>
      <c r="W194" s="127"/>
      <c r="X194" s="135">
        <f t="shared" ref="X194:X257" si="27">+IF(I194="Cheklov yaratish",1,IF(I194="Registratsiya (tashqi - UZKAD da bor)",1,IF(I194="G'olib nomiga ko'chirma shakllantirish",1,IF(I194="Auksion yerlari uchun ko'chirma shakllantirish",1,0))))</f>
        <v>0</v>
      </c>
      <c r="Y194" s="135" t="b">
        <f t="shared" si="24"/>
        <v>0</v>
      </c>
      <c r="Z194" s="135" t="b">
        <f t="shared" si="25"/>
        <v>0</v>
      </c>
      <c r="AA194" s="135" t="b">
        <f t="shared" si="26"/>
        <v>0</v>
      </c>
      <c r="AB194" s="7" t="s">
        <v>10635</v>
      </c>
      <c r="AC194" s="7" t="s">
        <v>185</v>
      </c>
    </row>
    <row r="195" spans="1:29" hidden="1" x14ac:dyDescent="0.25">
      <c r="A195" s="127"/>
      <c r="B195" s="136" t="str">
        <f t="shared" si="23"/>
        <v>YGQT</v>
      </c>
      <c r="C195" s="136" t="str">
        <f>+VLOOKUP(AC195,Ходим!A:B,2,0)</f>
        <v>30903902160122</v>
      </c>
      <c r="D195" s="136" t="str">
        <f>IFERROR(VLOOKUP($B:$B,[20]свод!$A:$AB,3,0)," ")</f>
        <v>Янгиқўрғон тумани</v>
      </c>
      <c r="E195" s="7" t="s">
        <v>3006</v>
      </c>
      <c r="F195" s="7" t="s">
        <v>9388</v>
      </c>
      <c r="G195" s="134" t="s">
        <v>411</v>
      </c>
      <c r="H195" s="134">
        <v>1</v>
      </c>
      <c r="I195" s="7" t="s">
        <v>157</v>
      </c>
      <c r="J195" s="7" t="s">
        <v>10639</v>
      </c>
      <c r="K195" s="7"/>
      <c r="L195" s="7" t="s">
        <v>166</v>
      </c>
      <c r="M195" s="7" t="s">
        <v>1048</v>
      </c>
      <c r="N195" s="7" t="s">
        <v>170</v>
      </c>
      <c r="O195" s="7" t="s">
        <v>161</v>
      </c>
      <c r="P195" s="7" t="s">
        <v>7127</v>
      </c>
      <c r="Q195" s="129">
        <v>46199</v>
      </c>
      <c r="R195" s="130">
        <v>46199</v>
      </c>
      <c r="S195" s="131">
        <v>0</v>
      </c>
      <c r="T195" s="127"/>
      <c r="U195" s="127">
        <v>1</v>
      </c>
      <c r="V195" s="127"/>
      <c r="W195" s="127"/>
      <c r="X195" s="135">
        <f t="shared" si="27"/>
        <v>0</v>
      </c>
      <c r="Y195" s="135" t="b">
        <f t="shared" si="24"/>
        <v>0</v>
      </c>
      <c r="Z195" s="135" t="b">
        <f t="shared" si="25"/>
        <v>0</v>
      </c>
      <c r="AA195" s="135" t="b">
        <f t="shared" si="26"/>
        <v>0</v>
      </c>
      <c r="AB195" s="7" t="s">
        <v>182</v>
      </c>
      <c r="AC195" s="7" t="s">
        <v>230</v>
      </c>
    </row>
    <row r="196" spans="1:29" x14ac:dyDescent="0.25">
      <c r="A196" s="127"/>
      <c r="B196" s="136" t="str">
        <f t="shared" si="23"/>
        <v>TORT</v>
      </c>
      <c r="C196" s="136" t="str">
        <f>+VLOOKUP(AC196,Ходим!A:B,2,0)</f>
        <v>31701915920077</v>
      </c>
      <c r="D196" s="136" t="str">
        <f>IFERROR(VLOOKUP($B:$B,[20]свод!$A:$AB,3,0)," ")</f>
        <v>Тўрақўрғон тумани</v>
      </c>
      <c r="E196" s="7" t="s">
        <v>3034</v>
      </c>
      <c r="F196" s="7" t="s">
        <v>9416</v>
      </c>
      <c r="G196" s="134" t="s">
        <v>411</v>
      </c>
      <c r="H196" s="134">
        <v>1</v>
      </c>
      <c r="I196" s="7" t="s">
        <v>157</v>
      </c>
      <c r="J196" s="7" t="s">
        <v>33</v>
      </c>
      <c r="K196" s="7"/>
      <c r="L196" s="7" t="s">
        <v>168</v>
      </c>
      <c r="M196" s="7" t="s">
        <v>1125</v>
      </c>
      <c r="N196" s="7" t="s">
        <v>410</v>
      </c>
      <c r="O196" s="7" t="s">
        <v>161</v>
      </c>
      <c r="P196" s="7" t="s">
        <v>7056</v>
      </c>
      <c r="Q196" s="129">
        <v>46199</v>
      </c>
      <c r="R196" s="130">
        <v>46197</v>
      </c>
      <c r="S196" s="131">
        <v>-2</v>
      </c>
      <c r="T196" s="127">
        <v>1</v>
      </c>
      <c r="U196" s="127"/>
      <c r="V196" s="127">
        <v>1</v>
      </c>
      <c r="W196" s="127"/>
      <c r="X196" s="135">
        <f t="shared" si="27"/>
        <v>0</v>
      </c>
      <c r="Y196" s="135" t="b">
        <f t="shared" si="24"/>
        <v>0</v>
      </c>
      <c r="Z196" s="135" t="b">
        <f t="shared" si="25"/>
        <v>0</v>
      </c>
      <c r="AA196" s="135" t="b">
        <f t="shared" si="26"/>
        <v>0</v>
      </c>
      <c r="AB196" s="7" t="s">
        <v>203</v>
      </c>
      <c r="AC196" s="7" t="s">
        <v>332</v>
      </c>
    </row>
    <row r="197" spans="1:29" x14ac:dyDescent="0.25">
      <c r="A197" s="127"/>
      <c r="B197" s="136" t="str">
        <f t="shared" si="23"/>
        <v>TORT</v>
      </c>
      <c r="C197" s="136" t="str">
        <f>+VLOOKUP(AC197,Ходим!A:B,2,0)</f>
        <v>31110892130070</v>
      </c>
      <c r="D197" s="136" t="str">
        <f>IFERROR(VLOOKUP($B:$B,[20]свод!$A:$AB,3,0)," ")</f>
        <v>Тўрақўрғон тумани</v>
      </c>
      <c r="E197" s="7" t="s">
        <v>3037</v>
      </c>
      <c r="F197" s="7" t="s">
        <v>9419</v>
      </c>
      <c r="G197" s="134">
        <v>1</v>
      </c>
      <c r="H197" s="134" t="s">
        <v>411</v>
      </c>
      <c r="I197" s="7" t="s">
        <v>158</v>
      </c>
      <c r="J197" s="7" t="s">
        <v>1</v>
      </c>
      <c r="K197" s="7"/>
      <c r="L197" s="7" t="s">
        <v>167</v>
      </c>
      <c r="M197" s="7" t="s">
        <v>5465</v>
      </c>
      <c r="N197" s="7" t="s">
        <v>410</v>
      </c>
      <c r="O197" s="7" t="s">
        <v>162</v>
      </c>
      <c r="P197" s="7" t="s">
        <v>7006</v>
      </c>
      <c r="Q197" s="129">
        <v>46199</v>
      </c>
      <c r="R197" s="130">
        <v>46199</v>
      </c>
      <c r="S197" s="131">
        <v>0</v>
      </c>
      <c r="T197" s="127"/>
      <c r="U197" s="127">
        <v>1</v>
      </c>
      <c r="V197" s="127"/>
      <c r="W197" s="127"/>
      <c r="X197" s="135">
        <f t="shared" si="27"/>
        <v>0</v>
      </c>
      <c r="Y197" s="135" t="b">
        <f t="shared" si="24"/>
        <v>0</v>
      </c>
      <c r="Z197" s="135" t="b">
        <f t="shared" si="25"/>
        <v>0</v>
      </c>
      <c r="AA197" s="135" t="b">
        <f t="shared" si="26"/>
        <v>0</v>
      </c>
      <c r="AB197" s="7" t="s">
        <v>203</v>
      </c>
      <c r="AC197" s="7" t="s">
        <v>297</v>
      </c>
    </row>
    <row r="198" spans="1:29" x14ac:dyDescent="0.25">
      <c r="A198" s="127"/>
      <c r="B198" s="136" t="str">
        <f t="shared" si="23"/>
        <v>YGQT</v>
      </c>
      <c r="C198" s="136" t="str">
        <f>+VLOOKUP(AC198,Ходим!A:B,2,0)</f>
        <v>52009035950022</v>
      </c>
      <c r="D198" s="136" t="str">
        <f>IFERROR(VLOOKUP($B:$B,[20]свод!$A:$AB,3,0)," ")</f>
        <v>Янгиқўрғон тумани</v>
      </c>
      <c r="E198" s="7" t="s">
        <v>3042</v>
      </c>
      <c r="F198" s="7" t="s">
        <v>9424</v>
      </c>
      <c r="G198" s="134">
        <v>1</v>
      </c>
      <c r="H198" s="134" t="s">
        <v>411</v>
      </c>
      <c r="I198" s="7" t="s">
        <v>158</v>
      </c>
      <c r="J198" s="7" t="s">
        <v>13</v>
      </c>
      <c r="K198" s="7"/>
      <c r="L198" s="7" t="s">
        <v>169</v>
      </c>
      <c r="M198" s="7" t="s">
        <v>382</v>
      </c>
      <c r="N198" s="7" t="s">
        <v>170</v>
      </c>
      <c r="O198" s="7" t="s">
        <v>162</v>
      </c>
      <c r="P198" s="7" t="s">
        <v>7143</v>
      </c>
      <c r="Q198" s="129">
        <v>46199</v>
      </c>
      <c r="R198" s="130">
        <v>46198</v>
      </c>
      <c r="S198" s="131">
        <v>-1</v>
      </c>
      <c r="T198" s="127">
        <v>1</v>
      </c>
      <c r="U198" s="127"/>
      <c r="V198" s="127">
        <v>1</v>
      </c>
      <c r="W198" s="127"/>
      <c r="X198" s="135">
        <f t="shared" si="27"/>
        <v>0</v>
      </c>
      <c r="Y198" s="135" t="b">
        <f t="shared" si="24"/>
        <v>0</v>
      </c>
      <c r="Z198" s="135" t="b">
        <f t="shared" si="25"/>
        <v>0</v>
      </c>
      <c r="AA198" s="135" t="b">
        <f t="shared" si="26"/>
        <v>0</v>
      </c>
      <c r="AB198" s="7" t="s">
        <v>255</v>
      </c>
      <c r="AC198" s="7" t="s">
        <v>272</v>
      </c>
    </row>
    <row r="199" spans="1:29" hidden="1" x14ac:dyDescent="0.25">
      <c r="A199" s="127"/>
      <c r="B199" s="136" t="str">
        <f t="shared" si="23"/>
        <v>NAMS</v>
      </c>
      <c r="C199" s="136">
        <f>+VLOOKUP(AC199,Ходим!A:B,2,0)</f>
        <v>52004005950071</v>
      </c>
      <c r="D199" s="136" t="str">
        <f>IFERROR(VLOOKUP($B:$B,[20]свод!$A:$AB,3,0)," ")</f>
        <v>Наманган шаҳар</v>
      </c>
      <c r="E199" s="7" t="s">
        <v>3044</v>
      </c>
      <c r="F199" s="7" t="s">
        <v>9426</v>
      </c>
      <c r="G199" s="134">
        <v>1</v>
      </c>
      <c r="H199" s="134" t="s">
        <v>411</v>
      </c>
      <c r="I199" s="7" t="s">
        <v>158</v>
      </c>
      <c r="J199" s="7" t="s">
        <v>10639</v>
      </c>
      <c r="K199" s="7"/>
      <c r="L199" s="7" t="s">
        <v>167</v>
      </c>
      <c r="M199" s="7" t="s">
        <v>5471</v>
      </c>
      <c r="N199" s="7" t="s">
        <v>170</v>
      </c>
      <c r="O199" s="7" t="s">
        <v>162</v>
      </c>
      <c r="P199" s="7" t="s">
        <v>7144</v>
      </c>
      <c r="Q199" s="129">
        <v>46199</v>
      </c>
      <c r="R199" s="130">
        <v>46189</v>
      </c>
      <c r="S199" s="131">
        <v>-10</v>
      </c>
      <c r="T199" s="127">
        <v>1</v>
      </c>
      <c r="U199" s="127"/>
      <c r="V199" s="127">
        <v>1</v>
      </c>
      <c r="W199" s="127"/>
      <c r="X199" s="135">
        <f t="shared" si="27"/>
        <v>0</v>
      </c>
      <c r="Y199" s="135" t="b">
        <f t="shared" si="24"/>
        <v>0</v>
      </c>
      <c r="Z199" s="135" t="b">
        <f t="shared" si="25"/>
        <v>0</v>
      </c>
      <c r="AA199" s="135" t="b">
        <f t="shared" si="26"/>
        <v>0</v>
      </c>
      <c r="AB199" s="7" t="s">
        <v>983</v>
      </c>
      <c r="AC199" s="7" t="s">
        <v>1015</v>
      </c>
    </row>
    <row r="200" spans="1:29" x14ac:dyDescent="0.25">
      <c r="A200" s="127"/>
      <c r="B200" s="136" t="str">
        <f t="shared" si="23"/>
        <v>CHUT</v>
      </c>
      <c r="C200" s="136" t="str">
        <f>+VLOOKUP(AC200,Ходим!A:B,2,0)</f>
        <v>32003822180063</v>
      </c>
      <c r="D200" s="136" t="str">
        <f>IFERROR(VLOOKUP($B:$B,[20]свод!$A:$AB,3,0)," ")</f>
        <v>Чуст тумани</v>
      </c>
      <c r="E200" s="7" t="s">
        <v>3048</v>
      </c>
      <c r="F200" s="7" t="s">
        <v>9430</v>
      </c>
      <c r="G200" s="134" t="s">
        <v>411</v>
      </c>
      <c r="H200" s="134">
        <v>1</v>
      </c>
      <c r="I200" s="7" t="s">
        <v>157</v>
      </c>
      <c r="J200" s="7" t="s">
        <v>1</v>
      </c>
      <c r="K200" s="7"/>
      <c r="L200" s="7" t="s">
        <v>168</v>
      </c>
      <c r="M200" s="7" t="s">
        <v>5474</v>
      </c>
      <c r="N200" s="7" t="s">
        <v>410</v>
      </c>
      <c r="O200" s="7" t="s">
        <v>161</v>
      </c>
      <c r="P200" s="7" t="s">
        <v>7148</v>
      </c>
      <c r="Q200" s="129">
        <v>46199</v>
      </c>
      <c r="R200" s="130">
        <v>46198</v>
      </c>
      <c r="S200" s="131">
        <v>-1</v>
      </c>
      <c r="T200" s="127">
        <v>1</v>
      </c>
      <c r="U200" s="127"/>
      <c r="V200" s="127">
        <v>1</v>
      </c>
      <c r="W200" s="127"/>
      <c r="X200" s="135">
        <f t="shared" si="27"/>
        <v>0</v>
      </c>
      <c r="Y200" s="135" t="b">
        <f t="shared" si="24"/>
        <v>0</v>
      </c>
      <c r="Z200" s="135" t="b">
        <f t="shared" si="25"/>
        <v>0</v>
      </c>
      <c r="AA200" s="135" t="b">
        <f t="shared" si="26"/>
        <v>0</v>
      </c>
      <c r="AB200" s="7" t="s">
        <v>178</v>
      </c>
      <c r="AC200" s="7" t="s">
        <v>200</v>
      </c>
    </row>
    <row r="201" spans="1:29" x14ac:dyDescent="0.25">
      <c r="A201" s="127"/>
      <c r="B201" s="136" t="str">
        <f t="shared" si="23"/>
        <v>UCQT</v>
      </c>
      <c r="C201" s="136" t="str">
        <f>+VLOOKUP(AC201,Ходим!A:B,2,0)</f>
        <v>31402915940019</v>
      </c>
      <c r="D201" s="136" t="str">
        <f>IFERROR(VLOOKUP($B:$B,[20]свод!$A:$AB,3,0)," ")</f>
        <v>Учқўрғон тумани</v>
      </c>
      <c r="E201" s="7" t="s">
        <v>3049</v>
      </c>
      <c r="F201" s="7" t="s">
        <v>9431</v>
      </c>
      <c r="G201" s="134">
        <v>1</v>
      </c>
      <c r="H201" s="134" t="s">
        <v>411</v>
      </c>
      <c r="I201" s="7" t="s">
        <v>154</v>
      </c>
      <c r="J201" s="7" t="s">
        <v>109</v>
      </c>
      <c r="K201" s="7"/>
      <c r="L201" s="7"/>
      <c r="M201" s="7"/>
      <c r="N201" s="7" t="s">
        <v>170</v>
      </c>
      <c r="O201" s="7" t="s">
        <v>162</v>
      </c>
      <c r="P201" s="7" t="s">
        <v>7149</v>
      </c>
      <c r="Q201" s="129">
        <v>46199</v>
      </c>
      <c r="R201" s="130">
        <v>46199</v>
      </c>
      <c r="S201" s="131">
        <v>0</v>
      </c>
      <c r="T201" s="127"/>
      <c r="U201" s="127">
        <v>1</v>
      </c>
      <c r="V201" s="127"/>
      <c r="W201" s="127"/>
      <c r="X201" s="135">
        <f t="shared" si="27"/>
        <v>0</v>
      </c>
      <c r="Y201" s="135" t="b">
        <f t="shared" si="24"/>
        <v>0</v>
      </c>
      <c r="Z201" s="135" t="b">
        <f t="shared" si="25"/>
        <v>0</v>
      </c>
      <c r="AA201" s="135" t="b">
        <f t="shared" si="26"/>
        <v>0</v>
      </c>
      <c r="AB201" s="7" t="s">
        <v>175</v>
      </c>
      <c r="AC201" s="7" t="s">
        <v>292</v>
      </c>
    </row>
    <row r="202" spans="1:29" x14ac:dyDescent="0.25">
      <c r="A202" s="127"/>
      <c r="B202" s="136" t="str">
        <f t="shared" si="23"/>
        <v>UCQT</v>
      </c>
      <c r="C202" s="136" t="str">
        <f>+VLOOKUP(AC202,Ходим!A:B,2,0)</f>
        <v>32911835940021</v>
      </c>
      <c r="D202" s="136" t="str">
        <f>IFERROR(VLOOKUP($B:$B,[20]свод!$A:$AB,3,0)," ")</f>
        <v>Учқўрғон тумани</v>
      </c>
      <c r="E202" s="7" t="s">
        <v>3053</v>
      </c>
      <c r="F202" s="7" t="s">
        <v>9435</v>
      </c>
      <c r="G202" s="134" t="s">
        <v>411</v>
      </c>
      <c r="H202" s="134">
        <v>1</v>
      </c>
      <c r="I202" s="7" t="s">
        <v>157</v>
      </c>
      <c r="J202" s="7" t="s">
        <v>12</v>
      </c>
      <c r="K202" s="7"/>
      <c r="L202" s="7" t="s">
        <v>166</v>
      </c>
      <c r="M202" s="7" t="s">
        <v>5477</v>
      </c>
      <c r="N202" s="7" t="s">
        <v>170</v>
      </c>
      <c r="O202" s="7" t="s">
        <v>161</v>
      </c>
      <c r="P202" s="7" t="s">
        <v>7152</v>
      </c>
      <c r="Q202" s="129">
        <v>46199</v>
      </c>
      <c r="R202" s="130">
        <v>46199</v>
      </c>
      <c r="S202" s="131">
        <v>0</v>
      </c>
      <c r="T202" s="127"/>
      <c r="U202" s="127">
        <v>1</v>
      </c>
      <c r="V202" s="127"/>
      <c r="W202" s="127"/>
      <c r="X202" s="135">
        <f t="shared" si="27"/>
        <v>0</v>
      </c>
      <c r="Y202" s="135" t="b">
        <f t="shared" si="24"/>
        <v>0</v>
      </c>
      <c r="Z202" s="135" t="b">
        <f t="shared" si="25"/>
        <v>0</v>
      </c>
      <c r="AA202" s="135" t="b">
        <f t="shared" si="26"/>
        <v>0</v>
      </c>
      <c r="AB202" s="7" t="s">
        <v>175</v>
      </c>
      <c r="AC202" s="7" t="s">
        <v>321</v>
      </c>
    </row>
    <row r="203" spans="1:29" x14ac:dyDescent="0.25">
      <c r="A203" s="127"/>
      <c r="B203" s="136" t="str">
        <f t="shared" si="23"/>
        <v>UCQT</v>
      </c>
      <c r="C203" s="136" t="str">
        <f>+VLOOKUP(AC203,Ходим!A:B,2,0)</f>
        <v>32911835940021</v>
      </c>
      <c r="D203" s="136" t="str">
        <f>IFERROR(VLOOKUP($B:$B,[20]свод!$A:$AB,3,0)," ")</f>
        <v>Учқўрғон тумани</v>
      </c>
      <c r="E203" s="7" t="s">
        <v>3055</v>
      </c>
      <c r="F203" s="7" t="s">
        <v>9437</v>
      </c>
      <c r="G203" s="134">
        <v>1</v>
      </c>
      <c r="H203" s="134" t="s">
        <v>411</v>
      </c>
      <c r="I203" s="7" t="s">
        <v>158</v>
      </c>
      <c r="J203" s="7" t="s">
        <v>36</v>
      </c>
      <c r="K203" s="7"/>
      <c r="L203" s="7" t="s">
        <v>167</v>
      </c>
      <c r="M203" s="7" t="s">
        <v>5479</v>
      </c>
      <c r="N203" s="7" t="s">
        <v>170</v>
      </c>
      <c r="O203" s="7" t="s">
        <v>162</v>
      </c>
      <c r="P203" s="7" t="s">
        <v>6664</v>
      </c>
      <c r="Q203" s="129">
        <v>46199</v>
      </c>
      <c r="R203" s="130">
        <v>46199</v>
      </c>
      <c r="S203" s="131">
        <v>0</v>
      </c>
      <c r="T203" s="127"/>
      <c r="U203" s="127">
        <v>1</v>
      </c>
      <c r="V203" s="127"/>
      <c r="W203" s="127"/>
      <c r="X203" s="135">
        <f t="shared" si="27"/>
        <v>0</v>
      </c>
      <c r="Y203" s="135" t="b">
        <f t="shared" si="24"/>
        <v>0</v>
      </c>
      <c r="Z203" s="135" t="b">
        <f t="shared" si="25"/>
        <v>0</v>
      </c>
      <c r="AA203" s="135" t="b">
        <f t="shared" si="26"/>
        <v>0</v>
      </c>
      <c r="AB203" s="7" t="s">
        <v>175</v>
      </c>
      <c r="AC203" s="7" t="s">
        <v>321</v>
      </c>
    </row>
    <row r="204" spans="1:29" x14ac:dyDescent="0.25">
      <c r="A204" s="127"/>
      <c r="B204" s="136" t="str">
        <f t="shared" si="23"/>
        <v>NAMS</v>
      </c>
      <c r="C204" s="136" t="str">
        <f>+VLOOKUP(AC204,Ходим!A:B,2,0)</f>
        <v>52710005960025</v>
      </c>
      <c r="D204" s="136" t="str">
        <f>IFERROR(VLOOKUP($B:$B,[20]свод!$A:$AB,3,0)," ")</f>
        <v>Наманган шаҳар</v>
      </c>
      <c r="E204" s="7" t="s">
        <v>3093</v>
      </c>
      <c r="F204" s="7" t="s">
        <v>9474</v>
      </c>
      <c r="G204" s="134">
        <v>1</v>
      </c>
      <c r="H204" s="134" t="s">
        <v>411</v>
      </c>
      <c r="I204" s="7" t="s">
        <v>158</v>
      </c>
      <c r="J204" s="7" t="s">
        <v>13</v>
      </c>
      <c r="K204" s="7"/>
      <c r="L204" s="7" t="s">
        <v>169</v>
      </c>
      <c r="M204" s="7" t="s">
        <v>381</v>
      </c>
      <c r="N204" s="7" t="s">
        <v>410</v>
      </c>
      <c r="O204" s="7" t="s">
        <v>162</v>
      </c>
      <c r="P204" s="7" t="s">
        <v>6635</v>
      </c>
      <c r="Q204" s="129">
        <v>46199</v>
      </c>
      <c r="R204" s="130">
        <v>46198</v>
      </c>
      <c r="S204" s="131">
        <v>-1</v>
      </c>
      <c r="T204" s="127">
        <v>1</v>
      </c>
      <c r="U204" s="127"/>
      <c r="V204" s="127">
        <v>1</v>
      </c>
      <c r="W204" s="127"/>
      <c r="X204" s="135">
        <f t="shared" si="27"/>
        <v>0</v>
      </c>
      <c r="Y204" s="135" t="b">
        <f t="shared" si="24"/>
        <v>0</v>
      </c>
      <c r="Z204" s="135" t="b">
        <f t="shared" si="25"/>
        <v>0</v>
      </c>
      <c r="AA204" s="135" t="b">
        <f t="shared" si="26"/>
        <v>0</v>
      </c>
      <c r="AB204" s="7" t="s">
        <v>173</v>
      </c>
      <c r="AC204" s="7" t="s">
        <v>274</v>
      </c>
    </row>
    <row r="205" spans="1:29" x14ac:dyDescent="0.25">
      <c r="A205" s="127"/>
      <c r="B205" s="136" t="str">
        <f t="shared" si="23"/>
        <v>TORT</v>
      </c>
      <c r="C205" s="136" t="str">
        <f>+VLOOKUP(AC205,Ходим!A:B,2,0)</f>
        <v>30702995920011</v>
      </c>
      <c r="D205" s="136" t="str">
        <f>IFERROR(VLOOKUP($B:$B,[20]свод!$A:$AB,3,0)," ")</f>
        <v>Тўрақўрғон тумани</v>
      </c>
      <c r="E205" s="7" t="s">
        <v>3097</v>
      </c>
      <c r="F205" s="7" t="s">
        <v>9478</v>
      </c>
      <c r="G205" s="134">
        <v>1</v>
      </c>
      <c r="H205" s="134" t="s">
        <v>411</v>
      </c>
      <c r="I205" s="7" t="s">
        <v>158</v>
      </c>
      <c r="J205" s="7" t="s">
        <v>17</v>
      </c>
      <c r="K205" s="7"/>
      <c r="L205" s="7" t="s">
        <v>167</v>
      </c>
      <c r="M205" s="7" t="s">
        <v>5508</v>
      </c>
      <c r="N205" s="7" t="s">
        <v>170</v>
      </c>
      <c r="O205" s="7" t="s">
        <v>162</v>
      </c>
      <c r="P205" s="7" t="s">
        <v>6742</v>
      </c>
      <c r="Q205" s="129">
        <v>46199</v>
      </c>
      <c r="R205" s="130">
        <v>46199</v>
      </c>
      <c r="S205" s="131">
        <v>0</v>
      </c>
      <c r="T205" s="127"/>
      <c r="U205" s="127">
        <v>1</v>
      </c>
      <c r="V205" s="127"/>
      <c r="W205" s="127"/>
      <c r="X205" s="135">
        <f t="shared" si="27"/>
        <v>0</v>
      </c>
      <c r="Y205" s="135" t="b">
        <f t="shared" si="24"/>
        <v>0</v>
      </c>
      <c r="Z205" s="135" t="b">
        <f t="shared" si="25"/>
        <v>0</v>
      </c>
      <c r="AA205" s="135" t="b">
        <f t="shared" si="26"/>
        <v>0</v>
      </c>
      <c r="AB205" s="7" t="s">
        <v>203</v>
      </c>
      <c r="AC205" s="7" t="s">
        <v>341</v>
      </c>
    </row>
    <row r="206" spans="1:29" x14ac:dyDescent="0.25">
      <c r="A206" s="127"/>
      <c r="B206" s="136" t="str">
        <f t="shared" si="23"/>
        <v>NAMS</v>
      </c>
      <c r="C206" s="136" t="str">
        <f>+VLOOKUP(AC206,Ходим!A:B,2,0)</f>
        <v>52710005960025</v>
      </c>
      <c r="D206" s="136" t="str">
        <f>IFERROR(VLOOKUP($B:$B,[20]свод!$A:$AB,3,0)," ")</f>
        <v>Наманган шаҳар</v>
      </c>
      <c r="E206" s="7" t="s">
        <v>3100</v>
      </c>
      <c r="F206" s="7" t="s">
        <v>9481</v>
      </c>
      <c r="G206" s="134">
        <v>1</v>
      </c>
      <c r="H206" s="134" t="s">
        <v>411</v>
      </c>
      <c r="I206" s="7" t="s">
        <v>158</v>
      </c>
      <c r="J206" s="7" t="s">
        <v>13</v>
      </c>
      <c r="K206" s="7"/>
      <c r="L206" s="7" t="s">
        <v>169</v>
      </c>
      <c r="M206" s="7" t="s">
        <v>381</v>
      </c>
      <c r="N206" s="7" t="s">
        <v>410</v>
      </c>
      <c r="O206" s="7" t="s">
        <v>162</v>
      </c>
      <c r="P206" s="7" t="s">
        <v>6576</v>
      </c>
      <c r="Q206" s="129">
        <v>46199</v>
      </c>
      <c r="R206" s="130">
        <v>46198</v>
      </c>
      <c r="S206" s="131">
        <v>-1</v>
      </c>
      <c r="T206" s="127">
        <v>1</v>
      </c>
      <c r="U206" s="127"/>
      <c r="V206" s="127">
        <v>1</v>
      </c>
      <c r="W206" s="127"/>
      <c r="X206" s="135">
        <f t="shared" si="27"/>
        <v>0</v>
      </c>
      <c r="Y206" s="135" t="b">
        <f t="shared" si="24"/>
        <v>0</v>
      </c>
      <c r="Z206" s="135" t="b">
        <f t="shared" si="25"/>
        <v>0</v>
      </c>
      <c r="AA206" s="135" t="b">
        <f t="shared" si="26"/>
        <v>0</v>
      </c>
      <c r="AB206" s="7" t="s">
        <v>173</v>
      </c>
      <c r="AC206" s="7" t="s">
        <v>274</v>
      </c>
    </row>
    <row r="207" spans="1:29" x14ac:dyDescent="0.25">
      <c r="A207" s="127"/>
      <c r="B207" s="136" t="str">
        <f t="shared" si="23"/>
        <v>YGQT</v>
      </c>
      <c r="C207" s="136" t="str">
        <f>+VLOOKUP(AC207,Ходим!A:B,2,0)</f>
        <v>30809995950021</v>
      </c>
      <c r="D207" s="136" t="str">
        <f>IFERROR(VLOOKUP($B:$B,[20]свод!$A:$AB,3,0)," ")</f>
        <v>Янгиқўрғон тумани</v>
      </c>
      <c r="E207" s="7" t="s">
        <v>3135</v>
      </c>
      <c r="F207" s="7"/>
      <c r="G207" s="134">
        <v>1</v>
      </c>
      <c r="H207" s="134" t="s">
        <v>411</v>
      </c>
      <c r="I207" s="7" t="s">
        <v>154</v>
      </c>
      <c r="J207" s="7" t="s">
        <v>17</v>
      </c>
      <c r="K207" s="7"/>
      <c r="L207" s="7" t="s">
        <v>167</v>
      </c>
      <c r="M207" s="7" t="s">
        <v>5537</v>
      </c>
      <c r="N207" s="7" t="s">
        <v>368</v>
      </c>
      <c r="O207" s="7"/>
      <c r="P207" s="7" t="s">
        <v>7185</v>
      </c>
      <c r="Q207" s="129">
        <v>46199</v>
      </c>
      <c r="R207" s="130">
        <v>46199</v>
      </c>
      <c r="S207" s="131">
        <v>0</v>
      </c>
      <c r="T207" s="127"/>
      <c r="U207" s="127">
        <v>1</v>
      </c>
      <c r="V207" s="127"/>
      <c r="W207" s="127"/>
      <c r="X207" s="135">
        <f t="shared" si="27"/>
        <v>0</v>
      </c>
      <c r="Y207" s="135" t="b">
        <f t="shared" si="24"/>
        <v>0</v>
      </c>
      <c r="Z207" s="135" t="b">
        <f t="shared" si="25"/>
        <v>0</v>
      </c>
      <c r="AA207" s="135" t="b">
        <f t="shared" si="26"/>
        <v>0</v>
      </c>
      <c r="AB207" s="7" t="s">
        <v>255</v>
      </c>
      <c r="AC207" s="7" t="s">
        <v>223</v>
      </c>
    </row>
    <row r="208" spans="1:29" x14ac:dyDescent="0.25">
      <c r="A208" s="127"/>
      <c r="B208" s="136" t="str">
        <f t="shared" si="23"/>
        <v>UYCT</v>
      </c>
      <c r="C208" s="136" t="str">
        <f>+VLOOKUP(AC208,Ходим!A:B,2,0)</f>
        <v>52009025890053</v>
      </c>
      <c r="D208" s="136" t="str">
        <f>IFERROR(VLOOKUP($B:$B,[20]свод!$A:$AB,3,0)," ")</f>
        <v>Уйчи тумани</v>
      </c>
      <c r="E208" s="7" t="s">
        <v>3177</v>
      </c>
      <c r="F208" s="7" t="s">
        <v>9556</v>
      </c>
      <c r="G208" s="134">
        <v>1</v>
      </c>
      <c r="H208" s="134" t="s">
        <v>411</v>
      </c>
      <c r="I208" s="7" t="s">
        <v>158</v>
      </c>
      <c r="J208" s="7" t="s">
        <v>1</v>
      </c>
      <c r="K208" s="7"/>
      <c r="L208" s="7" t="s">
        <v>167</v>
      </c>
      <c r="M208" s="7" t="s">
        <v>5567</v>
      </c>
      <c r="N208" s="7" t="s">
        <v>170</v>
      </c>
      <c r="O208" s="7" t="s">
        <v>162</v>
      </c>
      <c r="P208" s="7" t="s">
        <v>7204</v>
      </c>
      <c r="Q208" s="129">
        <v>46199</v>
      </c>
      <c r="R208" s="130">
        <v>46199</v>
      </c>
      <c r="S208" s="131">
        <v>0</v>
      </c>
      <c r="T208" s="127"/>
      <c r="U208" s="127">
        <v>1</v>
      </c>
      <c r="V208" s="127"/>
      <c r="W208" s="127"/>
      <c r="X208" s="135">
        <f t="shared" si="27"/>
        <v>0</v>
      </c>
      <c r="Y208" s="135" t="b">
        <f t="shared" si="24"/>
        <v>0</v>
      </c>
      <c r="Z208" s="135" t="b">
        <f t="shared" si="25"/>
        <v>0</v>
      </c>
      <c r="AA208" s="135" t="b">
        <f t="shared" si="26"/>
        <v>0</v>
      </c>
      <c r="AB208" s="7" t="s">
        <v>947</v>
      </c>
      <c r="AC208" s="7" t="s">
        <v>407</v>
      </c>
    </row>
    <row r="209" spans="1:29" hidden="1" x14ac:dyDescent="0.25">
      <c r="A209" s="127"/>
      <c r="B209" s="136" t="str">
        <f t="shared" si="23"/>
        <v>MINT</v>
      </c>
      <c r="C209" s="136" t="str">
        <f>+VLOOKUP(AC209,Ходим!A:B,2,0)</f>
        <v>30906922130016</v>
      </c>
      <c r="D209" s="136" t="str">
        <f>IFERROR(VLOOKUP($B:$B,[20]свод!$A:$AB,3,0)," ")</f>
        <v>Мингбулоқ тумани</v>
      </c>
      <c r="E209" s="7" t="s">
        <v>3194</v>
      </c>
      <c r="F209" s="7" t="s">
        <v>9572</v>
      </c>
      <c r="G209" s="134">
        <v>1</v>
      </c>
      <c r="H209" s="134" t="s">
        <v>411</v>
      </c>
      <c r="I209" s="7" t="s">
        <v>158</v>
      </c>
      <c r="J209" s="7" t="s">
        <v>10638</v>
      </c>
      <c r="K209" s="7"/>
      <c r="L209" s="7" t="s">
        <v>167</v>
      </c>
      <c r="M209" s="7" t="s">
        <v>5580</v>
      </c>
      <c r="N209" s="7" t="s">
        <v>410</v>
      </c>
      <c r="O209" s="7" t="s">
        <v>162</v>
      </c>
      <c r="P209" s="7" t="s">
        <v>7211</v>
      </c>
      <c r="Q209" s="129">
        <v>46199</v>
      </c>
      <c r="R209" s="130">
        <v>46199</v>
      </c>
      <c r="S209" s="131">
        <v>0</v>
      </c>
      <c r="T209" s="127"/>
      <c r="U209" s="127">
        <v>1</v>
      </c>
      <c r="V209" s="127"/>
      <c r="W209" s="127"/>
      <c r="X209" s="135">
        <f t="shared" si="27"/>
        <v>0</v>
      </c>
      <c r="Y209" s="135" t="b">
        <f t="shared" si="24"/>
        <v>0</v>
      </c>
      <c r="Z209" s="135" t="b">
        <f t="shared" si="25"/>
        <v>0</v>
      </c>
      <c r="AA209" s="135" t="b">
        <f t="shared" si="26"/>
        <v>0</v>
      </c>
      <c r="AB209" s="7" t="s">
        <v>220</v>
      </c>
      <c r="AC209" s="7" t="s">
        <v>178</v>
      </c>
    </row>
    <row r="210" spans="1:29" x14ac:dyDescent="0.25">
      <c r="A210" s="127"/>
      <c r="B210" s="136" t="str">
        <f t="shared" si="23"/>
        <v>NAMS</v>
      </c>
      <c r="C210" s="136">
        <f>+VLOOKUP(AC210,Ходим!A:B,2,0)</f>
        <v>50510025960139</v>
      </c>
      <c r="D210" s="136" t="str">
        <f>IFERROR(VLOOKUP($B:$B,[20]свод!$A:$AB,3,0)," ")</f>
        <v>Наманган шаҳар</v>
      </c>
      <c r="E210" s="7" t="s">
        <v>3244</v>
      </c>
      <c r="F210" s="7" t="s">
        <v>9621</v>
      </c>
      <c r="G210" s="134">
        <v>1</v>
      </c>
      <c r="H210" s="134" t="s">
        <v>411</v>
      </c>
      <c r="I210" s="7" t="s">
        <v>154</v>
      </c>
      <c r="J210" s="7" t="s">
        <v>100</v>
      </c>
      <c r="K210" s="7"/>
      <c r="L210" s="7" t="s">
        <v>167</v>
      </c>
      <c r="M210" s="7" t="s">
        <v>5616</v>
      </c>
      <c r="N210" s="7" t="s">
        <v>170</v>
      </c>
      <c r="O210" s="7" t="s">
        <v>162</v>
      </c>
      <c r="P210" s="7" t="s">
        <v>7233</v>
      </c>
      <c r="Q210" s="129">
        <v>46199</v>
      </c>
      <c r="R210" s="130">
        <v>46196</v>
      </c>
      <c r="S210" s="131">
        <v>-3</v>
      </c>
      <c r="T210" s="127">
        <v>1</v>
      </c>
      <c r="U210" s="127"/>
      <c r="V210" s="127">
        <v>1</v>
      </c>
      <c r="W210" s="127"/>
      <c r="X210" s="135">
        <f t="shared" si="27"/>
        <v>0</v>
      </c>
      <c r="Y210" s="135" t="b">
        <f t="shared" si="24"/>
        <v>0</v>
      </c>
      <c r="Z210" s="135" t="b">
        <f t="shared" si="25"/>
        <v>0</v>
      </c>
      <c r="AA210" s="135" t="b">
        <f t="shared" si="26"/>
        <v>0</v>
      </c>
      <c r="AB210" s="7" t="s">
        <v>185</v>
      </c>
      <c r="AC210" s="7" t="s">
        <v>955</v>
      </c>
    </row>
    <row r="211" spans="1:29" x14ac:dyDescent="0.25">
      <c r="A211" s="127"/>
      <c r="B211" s="136" t="str">
        <f t="shared" si="23"/>
        <v>NAMS</v>
      </c>
      <c r="C211" s="136">
        <f>+VLOOKUP(AC211,Ходим!A:B,2,0)</f>
        <v>50510025960139</v>
      </c>
      <c r="D211" s="136" t="str">
        <f>IFERROR(VLOOKUP($B:$B,[20]свод!$A:$AB,3,0)," ")</f>
        <v>Наманган шаҳар</v>
      </c>
      <c r="E211" s="7" t="s">
        <v>3250</v>
      </c>
      <c r="F211" s="7"/>
      <c r="G211" s="134">
        <v>1</v>
      </c>
      <c r="H211" s="134" t="s">
        <v>411</v>
      </c>
      <c r="I211" s="7" t="s">
        <v>154</v>
      </c>
      <c r="J211" s="7" t="s">
        <v>1</v>
      </c>
      <c r="K211" s="7"/>
      <c r="L211" s="7" t="s">
        <v>167</v>
      </c>
      <c r="M211" s="7" t="s">
        <v>5619</v>
      </c>
      <c r="N211" s="7" t="s">
        <v>368</v>
      </c>
      <c r="O211" s="7"/>
      <c r="P211" s="7" t="s">
        <v>7237</v>
      </c>
      <c r="Q211" s="129">
        <v>46199</v>
      </c>
      <c r="R211" s="130">
        <v>46199</v>
      </c>
      <c r="S211" s="131">
        <v>0</v>
      </c>
      <c r="T211" s="127"/>
      <c r="U211" s="127">
        <v>1</v>
      </c>
      <c r="V211" s="127"/>
      <c r="W211" s="127"/>
      <c r="X211" s="135">
        <f t="shared" si="27"/>
        <v>0</v>
      </c>
      <c r="Y211" s="135" t="b">
        <f t="shared" si="24"/>
        <v>0</v>
      </c>
      <c r="Z211" s="135" t="b">
        <f t="shared" si="25"/>
        <v>0</v>
      </c>
      <c r="AA211" s="135" t="b">
        <f t="shared" si="26"/>
        <v>0</v>
      </c>
      <c r="AB211" s="7" t="s">
        <v>185</v>
      </c>
      <c r="AC211" s="7" t="s">
        <v>955</v>
      </c>
    </row>
    <row r="212" spans="1:29" hidden="1" x14ac:dyDescent="0.25">
      <c r="A212" s="127"/>
      <c r="B212" s="136" t="str">
        <f t="shared" si="23"/>
        <v>KSST</v>
      </c>
      <c r="C212" s="136" t="str">
        <f>+VLOOKUP(AC212,Ходим!A:B,2,0)</f>
        <v>32503912190045</v>
      </c>
      <c r="D212" s="136" t="str">
        <f>IFERROR(VLOOKUP($B:$B,[20]свод!$A:$AB,3,0)," ")</f>
        <v>Косонсой тумани</v>
      </c>
      <c r="E212" s="7" t="s">
        <v>3256</v>
      </c>
      <c r="F212" s="7" t="s">
        <v>9632</v>
      </c>
      <c r="G212" s="134">
        <v>1</v>
      </c>
      <c r="H212" s="134" t="s">
        <v>411</v>
      </c>
      <c r="I212" s="7" t="s">
        <v>154</v>
      </c>
      <c r="J212" s="7" t="s">
        <v>10639</v>
      </c>
      <c r="K212" s="7"/>
      <c r="L212" s="7" t="s">
        <v>167</v>
      </c>
      <c r="M212" s="7" t="s">
        <v>5623</v>
      </c>
      <c r="N212" s="7" t="s">
        <v>170</v>
      </c>
      <c r="O212" s="7" t="s">
        <v>162</v>
      </c>
      <c r="P212" s="7" t="s">
        <v>7241</v>
      </c>
      <c r="Q212" s="129">
        <v>46199</v>
      </c>
      <c r="R212" s="130">
        <v>46142</v>
      </c>
      <c r="S212" s="131">
        <v>-57</v>
      </c>
      <c r="T212" s="127">
        <v>1</v>
      </c>
      <c r="U212" s="127"/>
      <c r="V212" s="127">
        <v>1</v>
      </c>
      <c r="W212" s="127"/>
      <c r="X212" s="135">
        <f t="shared" si="27"/>
        <v>0</v>
      </c>
      <c r="Y212" s="135" t="b">
        <f t="shared" si="24"/>
        <v>0</v>
      </c>
      <c r="Z212" s="135" t="b">
        <f t="shared" si="25"/>
        <v>0</v>
      </c>
      <c r="AA212" s="135" t="b">
        <f t="shared" si="26"/>
        <v>0</v>
      </c>
      <c r="AB212" s="7" t="s">
        <v>180</v>
      </c>
      <c r="AC212" s="7" t="s">
        <v>254</v>
      </c>
    </row>
    <row r="213" spans="1:29" hidden="1" x14ac:dyDescent="0.25">
      <c r="A213" s="127"/>
      <c r="B213" s="136" t="str">
        <f t="shared" si="23"/>
        <v>CHUT</v>
      </c>
      <c r="C213" s="136" t="str">
        <f>+VLOOKUP(AC213,Ходим!A:B,2,0)</f>
        <v>31509882180058</v>
      </c>
      <c r="D213" s="136" t="str">
        <f>IFERROR(VLOOKUP($B:$B,[20]свод!$A:$AB,3,0)," ")</f>
        <v>Чуст тумани</v>
      </c>
      <c r="E213" s="7" t="s">
        <v>3260</v>
      </c>
      <c r="F213" s="7"/>
      <c r="G213" s="134" t="s">
        <v>411</v>
      </c>
      <c r="H213" s="134">
        <v>1</v>
      </c>
      <c r="I213" s="7" t="s">
        <v>154</v>
      </c>
      <c r="J213" s="7" t="s">
        <v>10639</v>
      </c>
      <c r="K213" s="7"/>
      <c r="L213" s="7" t="s">
        <v>166</v>
      </c>
      <c r="M213" s="7" t="s">
        <v>5626</v>
      </c>
      <c r="N213" s="7" t="s">
        <v>368</v>
      </c>
      <c r="O213" s="7"/>
      <c r="P213" s="7" t="s">
        <v>7243</v>
      </c>
      <c r="Q213" s="129">
        <v>46199</v>
      </c>
      <c r="R213" s="130">
        <v>46197</v>
      </c>
      <c r="S213" s="131">
        <v>-2</v>
      </c>
      <c r="T213" s="127">
        <v>1</v>
      </c>
      <c r="U213" s="127"/>
      <c r="V213" s="127">
        <v>1</v>
      </c>
      <c r="W213" s="127"/>
      <c r="X213" s="135">
        <f t="shared" si="27"/>
        <v>0</v>
      </c>
      <c r="Y213" s="135" t="b">
        <f t="shared" si="24"/>
        <v>0</v>
      </c>
      <c r="Z213" s="135" t="b">
        <f t="shared" si="25"/>
        <v>0</v>
      </c>
      <c r="AA213" s="135" t="b">
        <f t="shared" si="26"/>
        <v>0</v>
      </c>
      <c r="AB213" s="7" t="s">
        <v>178</v>
      </c>
      <c r="AC213" s="7" t="s">
        <v>324</v>
      </c>
    </row>
    <row r="214" spans="1:29" x14ac:dyDescent="0.25">
      <c r="A214" s="127"/>
      <c r="B214" s="136" t="str">
        <f t="shared" si="23"/>
        <v>CHUT</v>
      </c>
      <c r="C214" s="136" t="str">
        <f>+VLOOKUP(AC214,Ходим!A:B,2,0)</f>
        <v>52508015970048</v>
      </c>
      <c r="D214" s="136" t="str">
        <f>IFERROR(VLOOKUP($B:$B,[20]свод!$A:$AB,3,0)," ")</f>
        <v>Чуст тумани</v>
      </c>
      <c r="E214" s="7" t="s">
        <v>3262</v>
      </c>
      <c r="F214" s="7" t="s">
        <v>9637</v>
      </c>
      <c r="G214" s="134">
        <v>1</v>
      </c>
      <c r="H214" s="134" t="s">
        <v>411</v>
      </c>
      <c r="I214" s="7" t="s">
        <v>158</v>
      </c>
      <c r="J214" s="7" t="s">
        <v>16</v>
      </c>
      <c r="K214" s="7"/>
      <c r="L214" s="7" t="s">
        <v>167</v>
      </c>
      <c r="M214" s="7" t="s">
        <v>5627</v>
      </c>
      <c r="N214" s="7" t="s">
        <v>170</v>
      </c>
      <c r="O214" s="7" t="s">
        <v>162</v>
      </c>
      <c r="P214" s="7" t="s">
        <v>7244</v>
      </c>
      <c r="Q214" s="129">
        <v>46199</v>
      </c>
      <c r="R214" s="130">
        <v>46196</v>
      </c>
      <c r="S214" s="131">
        <v>-3</v>
      </c>
      <c r="T214" s="127">
        <v>1</v>
      </c>
      <c r="U214" s="127"/>
      <c r="V214" s="127">
        <v>1</v>
      </c>
      <c r="W214" s="127"/>
      <c r="X214" s="135">
        <f t="shared" si="27"/>
        <v>0</v>
      </c>
      <c r="Y214" s="135" t="b">
        <f t="shared" si="24"/>
        <v>0</v>
      </c>
      <c r="Z214" s="135" t="b">
        <f t="shared" si="25"/>
        <v>0</v>
      </c>
      <c r="AA214" s="135" t="b">
        <f t="shared" si="26"/>
        <v>0</v>
      </c>
      <c r="AB214" s="7" t="s">
        <v>178</v>
      </c>
      <c r="AC214" s="7" t="s">
        <v>350</v>
      </c>
    </row>
    <row r="215" spans="1:29" x14ac:dyDescent="0.25">
      <c r="A215" s="127"/>
      <c r="B215" s="136" t="str">
        <f t="shared" si="23"/>
        <v>POPT</v>
      </c>
      <c r="C215" s="136" t="str">
        <f>+VLOOKUP(AC215,Ходим!A:B,2,0)</f>
        <v>31103842180041</v>
      </c>
      <c r="D215" s="136" t="str">
        <f>IFERROR(VLOOKUP($B:$B,[20]свод!$A:$AB,3,0)," ")</f>
        <v>Поп тумани</v>
      </c>
      <c r="E215" s="7" t="s">
        <v>3275</v>
      </c>
      <c r="F215" s="7" t="s">
        <v>9650</v>
      </c>
      <c r="G215" s="134">
        <v>1</v>
      </c>
      <c r="H215" s="134" t="s">
        <v>411</v>
      </c>
      <c r="I215" s="7" t="s">
        <v>158</v>
      </c>
      <c r="J215" s="7" t="s">
        <v>17</v>
      </c>
      <c r="K215" s="7"/>
      <c r="L215" s="7" t="s">
        <v>167</v>
      </c>
      <c r="M215" s="7" t="s">
        <v>5634</v>
      </c>
      <c r="N215" s="7" t="s">
        <v>170</v>
      </c>
      <c r="O215" s="7" t="s">
        <v>162</v>
      </c>
      <c r="P215" s="7" t="s">
        <v>6676</v>
      </c>
      <c r="Q215" s="129">
        <v>46199</v>
      </c>
      <c r="R215" s="130">
        <v>46199</v>
      </c>
      <c r="S215" s="131">
        <v>0</v>
      </c>
      <c r="T215" s="127"/>
      <c r="U215" s="127">
        <v>1</v>
      </c>
      <c r="V215" s="127"/>
      <c r="W215" s="127"/>
      <c r="X215" s="135">
        <f t="shared" si="27"/>
        <v>0</v>
      </c>
      <c r="Y215" s="135" t="b">
        <f t="shared" si="24"/>
        <v>0</v>
      </c>
      <c r="Z215" s="135" t="b">
        <f t="shared" si="25"/>
        <v>0</v>
      </c>
      <c r="AA215" s="135" t="b">
        <f t="shared" si="26"/>
        <v>0</v>
      </c>
      <c r="AB215" s="7" t="s">
        <v>240</v>
      </c>
      <c r="AC215" s="7" t="s">
        <v>337</v>
      </c>
    </row>
    <row r="216" spans="1:29" hidden="1" x14ac:dyDescent="0.25">
      <c r="A216" s="127"/>
      <c r="B216" s="136" t="str">
        <f t="shared" si="23"/>
        <v>NAMS</v>
      </c>
      <c r="C216" s="136" t="str">
        <f>+VLOOKUP(AC216,Ходим!A:B,2,0)</f>
        <v>51911035960011</v>
      </c>
      <c r="D216" s="136" t="str">
        <f>IFERROR(VLOOKUP($B:$B,[20]свод!$A:$AB,3,0)," ")</f>
        <v>Наманган шаҳар</v>
      </c>
      <c r="E216" s="7" t="s">
        <v>3307</v>
      </c>
      <c r="F216" s="7" t="s">
        <v>9681</v>
      </c>
      <c r="G216" s="134">
        <v>1</v>
      </c>
      <c r="H216" s="134" t="s">
        <v>411</v>
      </c>
      <c r="I216" s="7" t="s">
        <v>158</v>
      </c>
      <c r="J216" s="7" t="s">
        <v>10639</v>
      </c>
      <c r="K216" s="7" t="s">
        <v>10629</v>
      </c>
      <c r="L216" s="7" t="s">
        <v>167</v>
      </c>
      <c r="M216" s="7" t="s">
        <v>5653</v>
      </c>
      <c r="N216" s="7" t="s">
        <v>170</v>
      </c>
      <c r="O216" s="7" t="s">
        <v>162</v>
      </c>
      <c r="P216" s="7" t="s">
        <v>7267</v>
      </c>
      <c r="Q216" s="129">
        <v>46199</v>
      </c>
      <c r="R216" s="130">
        <v>46115</v>
      </c>
      <c r="S216" s="131">
        <v>-84</v>
      </c>
      <c r="T216" s="127">
        <v>1</v>
      </c>
      <c r="U216" s="127"/>
      <c r="V216" s="127">
        <v>1</v>
      </c>
      <c r="W216" s="127"/>
      <c r="X216" s="135">
        <f t="shared" si="27"/>
        <v>0</v>
      </c>
      <c r="Y216" s="135" t="b">
        <f t="shared" si="24"/>
        <v>0</v>
      </c>
      <c r="Z216" s="135" t="b">
        <f t="shared" si="25"/>
        <v>0</v>
      </c>
      <c r="AA216" s="135" t="b">
        <f t="shared" si="26"/>
        <v>0</v>
      </c>
      <c r="AB216" s="7" t="s">
        <v>185</v>
      </c>
      <c r="AC216" s="7" t="s">
        <v>371</v>
      </c>
    </row>
    <row r="217" spans="1:29" hidden="1" x14ac:dyDescent="0.25">
      <c r="A217" s="127"/>
      <c r="B217" s="136" t="str">
        <f t="shared" si="23"/>
        <v>NAMS</v>
      </c>
      <c r="C217" s="136" t="str">
        <f>+VLOOKUP(AC217,Ходим!A:B,2,0)</f>
        <v>33012942170121</v>
      </c>
      <c r="D217" s="136" t="str">
        <f>IFERROR(VLOOKUP($B:$B,[20]свод!$A:$AB,3,0)," ")</f>
        <v>Наманган шаҳар</v>
      </c>
      <c r="E217" s="7" t="s">
        <v>989</v>
      </c>
      <c r="F217" s="7" t="s">
        <v>1010</v>
      </c>
      <c r="G217" s="134">
        <v>1</v>
      </c>
      <c r="H217" s="134" t="s">
        <v>411</v>
      </c>
      <c r="I217" s="7" t="s">
        <v>158</v>
      </c>
      <c r="J217" s="7" t="s">
        <v>10639</v>
      </c>
      <c r="K217" s="7"/>
      <c r="L217" s="7" t="s">
        <v>167</v>
      </c>
      <c r="M217" s="7" t="s">
        <v>5654</v>
      </c>
      <c r="N217" s="7" t="s">
        <v>170</v>
      </c>
      <c r="O217" s="7" t="s">
        <v>162</v>
      </c>
      <c r="P217" s="7" t="s">
        <v>1013</v>
      </c>
      <c r="Q217" s="129">
        <v>46199</v>
      </c>
      <c r="R217" s="130">
        <v>46181</v>
      </c>
      <c r="S217" s="131">
        <v>-18</v>
      </c>
      <c r="T217" s="127">
        <v>1</v>
      </c>
      <c r="U217" s="127"/>
      <c r="V217" s="127">
        <v>1</v>
      </c>
      <c r="W217" s="127"/>
      <c r="X217" s="135">
        <f t="shared" si="27"/>
        <v>0</v>
      </c>
      <c r="Y217" s="135" t="b">
        <f t="shared" si="24"/>
        <v>0</v>
      </c>
      <c r="Z217" s="135" t="b">
        <f t="shared" si="25"/>
        <v>0</v>
      </c>
      <c r="AA217" s="135" t="b">
        <f t="shared" si="26"/>
        <v>0</v>
      </c>
      <c r="AB217" s="7" t="s">
        <v>185</v>
      </c>
      <c r="AC217" s="7" t="s">
        <v>259</v>
      </c>
    </row>
    <row r="218" spans="1:29" hidden="1" x14ac:dyDescent="0.25">
      <c r="A218" s="127"/>
      <c r="B218" s="136" t="str">
        <f t="shared" si="23"/>
        <v>NAMS</v>
      </c>
      <c r="C218" s="136" t="str">
        <f>+VLOOKUP(AC218,Ходим!A:B,2,0)</f>
        <v>31007955980023</v>
      </c>
      <c r="D218" s="136" t="str">
        <f>IFERROR(VLOOKUP($B:$B,[20]свод!$A:$AB,3,0)," ")</f>
        <v>Наманган шаҳар</v>
      </c>
      <c r="E218" s="7" t="s">
        <v>3313</v>
      </c>
      <c r="F218" s="7" t="s">
        <v>9687</v>
      </c>
      <c r="G218" s="134">
        <v>1</v>
      </c>
      <c r="H218" s="134" t="s">
        <v>411</v>
      </c>
      <c r="I218" s="7" t="s">
        <v>158</v>
      </c>
      <c r="J218" s="7" t="s">
        <v>10639</v>
      </c>
      <c r="K218" s="7"/>
      <c r="L218" s="7" t="s">
        <v>167</v>
      </c>
      <c r="M218" s="7" t="s">
        <v>5658</v>
      </c>
      <c r="N218" s="7" t="s">
        <v>170</v>
      </c>
      <c r="O218" s="7" t="s">
        <v>162</v>
      </c>
      <c r="P218" s="7" t="s">
        <v>7271</v>
      </c>
      <c r="Q218" s="129">
        <v>46199</v>
      </c>
      <c r="R218" s="130">
        <v>46197</v>
      </c>
      <c r="S218" s="131">
        <v>-2</v>
      </c>
      <c r="T218" s="127">
        <v>1</v>
      </c>
      <c r="U218" s="127"/>
      <c r="V218" s="127">
        <v>1</v>
      </c>
      <c r="W218" s="127"/>
      <c r="X218" s="135">
        <f t="shared" si="27"/>
        <v>0</v>
      </c>
      <c r="Y218" s="135" t="b">
        <f t="shared" si="24"/>
        <v>0</v>
      </c>
      <c r="Z218" s="135" t="b">
        <f t="shared" si="25"/>
        <v>0</v>
      </c>
      <c r="AA218" s="135" t="b">
        <f t="shared" si="26"/>
        <v>0</v>
      </c>
      <c r="AB218" s="7" t="s">
        <v>185</v>
      </c>
      <c r="AC218" s="7" t="s">
        <v>207</v>
      </c>
    </row>
    <row r="219" spans="1:29" hidden="1" x14ac:dyDescent="0.25">
      <c r="A219" s="127"/>
      <c r="B219" s="136" t="str">
        <f t="shared" si="23"/>
        <v>NAMS</v>
      </c>
      <c r="C219" s="136" t="str">
        <f>+VLOOKUP(AC219,Ходим!A:B,2,0)</f>
        <v>31007955980023</v>
      </c>
      <c r="D219" s="136" t="str">
        <f>IFERROR(VLOOKUP($B:$B,[20]свод!$A:$AB,3,0)," ")</f>
        <v>Наманган шаҳар</v>
      </c>
      <c r="E219" s="7" t="s">
        <v>3314</v>
      </c>
      <c r="F219" s="7" t="s">
        <v>9688</v>
      </c>
      <c r="G219" s="134">
        <v>1</v>
      </c>
      <c r="H219" s="134" t="s">
        <v>411</v>
      </c>
      <c r="I219" s="7" t="s">
        <v>158</v>
      </c>
      <c r="J219" s="7" t="s">
        <v>10639</v>
      </c>
      <c r="K219" s="7"/>
      <c r="L219" s="7" t="s">
        <v>167</v>
      </c>
      <c r="M219" s="7" t="s">
        <v>5659</v>
      </c>
      <c r="N219" s="7" t="s">
        <v>170</v>
      </c>
      <c r="O219" s="7" t="s">
        <v>162</v>
      </c>
      <c r="P219" s="7" t="s">
        <v>7272</v>
      </c>
      <c r="Q219" s="129">
        <v>46199</v>
      </c>
      <c r="R219" s="130">
        <v>46197</v>
      </c>
      <c r="S219" s="131">
        <v>-2</v>
      </c>
      <c r="T219" s="127">
        <v>1</v>
      </c>
      <c r="U219" s="127"/>
      <c r="V219" s="127">
        <v>1</v>
      </c>
      <c r="W219" s="127"/>
      <c r="X219" s="135">
        <f t="shared" si="27"/>
        <v>0</v>
      </c>
      <c r="Y219" s="135" t="b">
        <f t="shared" si="24"/>
        <v>0</v>
      </c>
      <c r="Z219" s="135" t="b">
        <f t="shared" si="25"/>
        <v>0</v>
      </c>
      <c r="AA219" s="135" t="b">
        <f t="shared" si="26"/>
        <v>0</v>
      </c>
      <c r="AB219" s="7" t="s">
        <v>185</v>
      </c>
      <c r="AC219" s="7" t="s">
        <v>207</v>
      </c>
    </row>
    <row r="220" spans="1:29" hidden="1" x14ac:dyDescent="0.25">
      <c r="A220" s="127"/>
      <c r="B220" s="136" t="str">
        <f t="shared" si="23"/>
        <v>MINT</v>
      </c>
      <c r="C220" s="136" t="str">
        <f>+VLOOKUP(AC220,Ходим!A:B,2,0)</f>
        <v>51604025990014</v>
      </c>
      <c r="D220" s="136" t="str">
        <f>IFERROR(VLOOKUP($B:$B,[20]свод!$A:$AB,3,0)," ")</f>
        <v>Мингбулоқ тумани</v>
      </c>
      <c r="E220" s="7" t="s">
        <v>3315</v>
      </c>
      <c r="F220" s="7" t="s">
        <v>9689</v>
      </c>
      <c r="G220" s="134">
        <v>1</v>
      </c>
      <c r="H220" s="134" t="s">
        <v>411</v>
      </c>
      <c r="I220" s="7" t="s">
        <v>158</v>
      </c>
      <c r="J220" s="7" t="s">
        <v>10638</v>
      </c>
      <c r="K220" s="7"/>
      <c r="L220" s="7" t="s">
        <v>167</v>
      </c>
      <c r="M220" s="7" t="s">
        <v>5660</v>
      </c>
      <c r="N220" s="7" t="s">
        <v>170</v>
      </c>
      <c r="O220" s="7" t="s">
        <v>162</v>
      </c>
      <c r="P220" s="7" t="s">
        <v>7273</v>
      </c>
      <c r="Q220" s="129">
        <v>46199</v>
      </c>
      <c r="R220" s="130">
        <v>46199</v>
      </c>
      <c r="S220" s="131">
        <v>0</v>
      </c>
      <c r="T220" s="127"/>
      <c r="U220" s="127">
        <v>1</v>
      </c>
      <c r="V220" s="127"/>
      <c r="W220" s="127"/>
      <c r="X220" s="135">
        <f t="shared" si="27"/>
        <v>0</v>
      </c>
      <c r="Y220" s="135" t="b">
        <f t="shared" si="24"/>
        <v>0</v>
      </c>
      <c r="Z220" s="135" t="b">
        <f t="shared" si="25"/>
        <v>0</v>
      </c>
      <c r="AA220" s="135" t="b">
        <f t="shared" si="26"/>
        <v>0</v>
      </c>
      <c r="AB220" s="7" t="s">
        <v>220</v>
      </c>
      <c r="AC220" s="7" t="s">
        <v>252</v>
      </c>
    </row>
    <row r="221" spans="1:29" hidden="1" x14ac:dyDescent="0.25">
      <c r="A221" s="127"/>
      <c r="B221" s="136" t="str">
        <f t="shared" si="23"/>
        <v>CHUT</v>
      </c>
      <c r="C221" s="136" t="str">
        <f>+VLOOKUP(AC221,Ходим!A:B,2,0)</f>
        <v>31312912180061</v>
      </c>
      <c r="D221" s="136" t="str">
        <f>IFERROR(VLOOKUP($B:$B,[20]свод!$A:$AB,3,0)," ")</f>
        <v>Чуст тумани</v>
      </c>
      <c r="E221" s="7" t="s">
        <v>3338</v>
      </c>
      <c r="F221" s="7" t="s">
        <v>9712</v>
      </c>
      <c r="G221" s="134" t="s">
        <v>411</v>
      </c>
      <c r="H221" s="134">
        <v>1</v>
      </c>
      <c r="I221" s="7" t="s">
        <v>157</v>
      </c>
      <c r="J221" s="7" t="s">
        <v>10638</v>
      </c>
      <c r="K221" s="7"/>
      <c r="L221" s="7" t="s">
        <v>168</v>
      </c>
      <c r="M221" s="7" t="s">
        <v>5678</v>
      </c>
      <c r="N221" s="7" t="s">
        <v>170</v>
      </c>
      <c r="O221" s="7" t="s">
        <v>161</v>
      </c>
      <c r="P221" s="7" t="s">
        <v>7205</v>
      </c>
      <c r="Q221" s="129">
        <v>46199</v>
      </c>
      <c r="R221" s="130">
        <v>46198</v>
      </c>
      <c r="S221" s="131">
        <v>-1</v>
      </c>
      <c r="T221" s="127">
        <v>1</v>
      </c>
      <c r="U221" s="127"/>
      <c r="V221" s="127">
        <v>1</v>
      </c>
      <c r="W221" s="127"/>
      <c r="X221" s="135">
        <f t="shared" si="27"/>
        <v>0</v>
      </c>
      <c r="Y221" s="135" t="b">
        <f t="shared" si="24"/>
        <v>0</v>
      </c>
      <c r="Z221" s="135" t="b">
        <f t="shared" si="25"/>
        <v>0</v>
      </c>
      <c r="AA221" s="135" t="b">
        <f t="shared" si="26"/>
        <v>0</v>
      </c>
      <c r="AB221" s="7" t="s">
        <v>178</v>
      </c>
      <c r="AC221" s="7" t="s">
        <v>202</v>
      </c>
    </row>
    <row r="222" spans="1:29" x14ac:dyDescent="0.25">
      <c r="A222" s="127"/>
      <c r="B222" s="136" t="str">
        <f t="shared" si="23"/>
        <v>NAMS</v>
      </c>
      <c r="C222" s="136" t="str">
        <f>+VLOOKUP(AC222,Ходим!A:B,2,0)</f>
        <v>32211885960016</v>
      </c>
      <c r="D222" s="136" t="str">
        <f>IFERROR(VLOOKUP($B:$B,[20]свод!$A:$AB,3,0)," ")</f>
        <v>Наманган шаҳар</v>
      </c>
      <c r="E222" s="7" t="s">
        <v>3345</v>
      </c>
      <c r="F222" s="7"/>
      <c r="G222" s="134" t="s">
        <v>411</v>
      </c>
      <c r="H222" s="134">
        <v>1</v>
      </c>
      <c r="I222" s="7" t="s">
        <v>154</v>
      </c>
      <c r="J222" s="7" t="s">
        <v>145</v>
      </c>
      <c r="K222" s="7"/>
      <c r="L222" s="7" t="s">
        <v>166</v>
      </c>
      <c r="M222" s="7" t="s">
        <v>5684</v>
      </c>
      <c r="N222" s="7" t="s">
        <v>368</v>
      </c>
      <c r="O222" s="7"/>
      <c r="P222" s="7" t="s">
        <v>7283</v>
      </c>
      <c r="Q222" s="129">
        <v>46199</v>
      </c>
      <c r="R222" s="130">
        <v>46196</v>
      </c>
      <c r="S222" s="131">
        <v>-3</v>
      </c>
      <c r="T222" s="127">
        <v>1</v>
      </c>
      <c r="U222" s="127"/>
      <c r="V222" s="127">
        <v>1</v>
      </c>
      <c r="W222" s="127"/>
      <c r="X222" s="135">
        <f t="shared" si="27"/>
        <v>0</v>
      </c>
      <c r="Y222" s="135" t="b">
        <f t="shared" si="24"/>
        <v>0</v>
      </c>
      <c r="Z222" s="135" t="b">
        <f t="shared" si="25"/>
        <v>0</v>
      </c>
      <c r="AA222" s="135" t="b">
        <f t="shared" si="26"/>
        <v>0</v>
      </c>
      <c r="AB222" s="7" t="s">
        <v>227</v>
      </c>
      <c r="AC222" s="7" t="s">
        <v>279</v>
      </c>
    </row>
    <row r="223" spans="1:29" x14ac:dyDescent="0.25">
      <c r="A223" s="127"/>
      <c r="B223" s="136" t="str">
        <f t="shared" si="23"/>
        <v>NAMS</v>
      </c>
      <c r="C223" s="136" t="str">
        <f>+VLOOKUP(AC223,Ходим!A:B,2,0)</f>
        <v>30202915960070</v>
      </c>
      <c r="D223" s="136" t="str">
        <f>IFERROR(VLOOKUP($B:$B,[20]свод!$A:$AB,3,0)," ")</f>
        <v>Наманган шаҳар</v>
      </c>
      <c r="E223" s="7" t="s">
        <v>3352</v>
      </c>
      <c r="F223" s="7" t="s">
        <v>9725</v>
      </c>
      <c r="G223" s="134">
        <v>1</v>
      </c>
      <c r="H223" s="134" t="s">
        <v>411</v>
      </c>
      <c r="I223" s="7" t="s">
        <v>158</v>
      </c>
      <c r="J223" s="7" t="s">
        <v>10</v>
      </c>
      <c r="K223" s="7"/>
      <c r="L223" s="7" t="s">
        <v>167</v>
      </c>
      <c r="M223" s="7" t="s">
        <v>5691</v>
      </c>
      <c r="N223" s="7" t="s">
        <v>170</v>
      </c>
      <c r="O223" s="7" t="s">
        <v>162</v>
      </c>
      <c r="P223" s="7" t="s">
        <v>6784</v>
      </c>
      <c r="Q223" s="129">
        <v>46199</v>
      </c>
      <c r="R223" s="130">
        <v>46199</v>
      </c>
      <c r="S223" s="131">
        <v>0</v>
      </c>
      <c r="T223" s="127"/>
      <c r="U223" s="127">
        <v>1</v>
      </c>
      <c r="V223" s="127"/>
      <c r="W223" s="127"/>
      <c r="X223" s="135">
        <f t="shared" si="27"/>
        <v>0</v>
      </c>
      <c r="Y223" s="135" t="b">
        <f t="shared" si="24"/>
        <v>0</v>
      </c>
      <c r="Z223" s="135" t="b">
        <f t="shared" si="25"/>
        <v>0</v>
      </c>
      <c r="AA223" s="135" t="b">
        <f t="shared" si="26"/>
        <v>0</v>
      </c>
      <c r="AB223" s="7" t="s">
        <v>185</v>
      </c>
      <c r="AC223" s="7" t="s">
        <v>177</v>
      </c>
    </row>
    <row r="224" spans="1:29" x14ac:dyDescent="0.25">
      <c r="A224" s="127"/>
      <c r="B224" s="136" t="str">
        <f t="shared" si="23"/>
        <v>UYCT</v>
      </c>
      <c r="C224" s="136" t="str">
        <f>+VLOOKUP(AC224,Ходим!A:B,2,0)</f>
        <v>31703985930055</v>
      </c>
      <c r="D224" s="136" t="str">
        <f>IFERROR(VLOOKUP($B:$B,[20]свод!$A:$AB,3,0)," ")</f>
        <v>Уйчи тумани</v>
      </c>
      <c r="E224" s="7" t="s">
        <v>3354</v>
      </c>
      <c r="F224" s="7" t="s">
        <v>9727</v>
      </c>
      <c r="G224" s="134">
        <v>1</v>
      </c>
      <c r="H224" s="134" t="s">
        <v>411</v>
      </c>
      <c r="I224" s="7" t="s">
        <v>158</v>
      </c>
      <c r="J224" s="7" t="s">
        <v>12</v>
      </c>
      <c r="K224" s="7"/>
      <c r="L224" s="7" t="s">
        <v>167</v>
      </c>
      <c r="M224" s="7" t="s">
        <v>5692</v>
      </c>
      <c r="N224" s="7" t="s">
        <v>410</v>
      </c>
      <c r="O224" s="7" t="s">
        <v>162</v>
      </c>
      <c r="P224" s="7" t="s">
        <v>7287</v>
      </c>
      <c r="Q224" s="129">
        <v>46199</v>
      </c>
      <c r="R224" s="130">
        <v>46198</v>
      </c>
      <c r="S224" s="131">
        <v>-1</v>
      </c>
      <c r="T224" s="127">
        <v>1</v>
      </c>
      <c r="U224" s="127"/>
      <c r="V224" s="127"/>
      <c r="W224" s="127">
        <v>1</v>
      </c>
      <c r="X224" s="135">
        <f t="shared" si="27"/>
        <v>0</v>
      </c>
      <c r="Y224" s="135" t="b">
        <f t="shared" si="24"/>
        <v>0</v>
      </c>
      <c r="Z224" s="135" t="b">
        <f t="shared" si="25"/>
        <v>0</v>
      </c>
      <c r="AA224" s="135" t="b">
        <f t="shared" si="26"/>
        <v>0</v>
      </c>
      <c r="AB224" s="7" t="s">
        <v>947</v>
      </c>
      <c r="AC224" s="7" t="s">
        <v>276</v>
      </c>
    </row>
    <row r="225" spans="1:29" x14ac:dyDescent="0.25">
      <c r="A225" s="127"/>
      <c r="B225" s="136" t="str">
        <f t="shared" si="23"/>
        <v>CHUT</v>
      </c>
      <c r="C225" s="136" t="str">
        <f>+VLOOKUP(AC225,Ходим!A:B,2,0)</f>
        <v>30202885970013</v>
      </c>
      <c r="D225" s="136" t="str">
        <f>IFERROR(VLOOKUP($B:$B,[20]свод!$A:$AB,3,0)," ")</f>
        <v>Чуст тумани</v>
      </c>
      <c r="E225" s="7" t="s">
        <v>3361</v>
      </c>
      <c r="F225" s="7" t="s">
        <v>9734</v>
      </c>
      <c r="G225" s="134">
        <v>1</v>
      </c>
      <c r="H225" s="134" t="s">
        <v>411</v>
      </c>
      <c r="I225" s="7" t="s">
        <v>158</v>
      </c>
      <c r="J225" s="7" t="s">
        <v>17</v>
      </c>
      <c r="K225" s="7"/>
      <c r="L225" s="7" t="s">
        <v>169</v>
      </c>
      <c r="M225" s="7" t="s">
        <v>5697</v>
      </c>
      <c r="N225" s="7" t="s">
        <v>170</v>
      </c>
      <c r="O225" s="7" t="s">
        <v>162</v>
      </c>
      <c r="P225" s="7" t="s">
        <v>7083</v>
      </c>
      <c r="Q225" s="129">
        <v>46199</v>
      </c>
      <c r="R225" s="130">
        <v>46197</v>
      </c>
      <c r="S225" s="131">
        <v>-2</v>
      </c>
      <c r="T225" s="127">
        <v>1</v>
      </c>
      <c r="U225" s="127"/>
      <c r="V225" s="127">
        <v>1</v>
      </c>
      <c r="W225" s="127"/>
      <c r="X225" s="135">
        <f t="shared" si="27"/>
        <v>0</v>
      </c>
      <c r="Y225" s="135" t="b">
        <f t="shared" si="24"/>
        <v>0</v>
      </c>
      <c r="Z225" s="135" t="b">
        <f t="shared" si="25"/>
        <v>0</v>
      </c>
      <c r="AA225" s="135" t="b">
        <f t="shared" si="26"/>
        <v>0</v>
      </c>
      <c r="AB225" s="7" t="s">
        <v>178</v>
      </c>
      <c r="AC225" s="7" t="s">
        <v>289</v>
      </c>
    </row>
    <row r="226" spans="1:29" x14ac:dyDescent="0.25">
      <c r="A226" s="127"/>
      <c r="B226" s="136" t="str">
        <f t="shared" ref="B226:B277" si="28">LEFT(E226,4)</f>
        <v>YGQT</v>
      </c>
      <c r="C226" s="136" t="str">
        <f>+VLOOKUP(AC226,Ходим!A:B,2,0)</f>
        <v>52410005950025</v>
      </c>
      <c r="D226" s="136" t="str">
        <f>IFERROR(VLOOKUP($B:$B,[20]свод!$A:$AB,3,0)," ")</f>
        <v>Янгиқўрғон тумани</v>
      </c>
      <c r="E226" s="7" t="s">
        <v>3363</v>
      </c>
      <c r="F226" s="7"/>
      <c r="G226" s="134" t="s">
        <v>411</v>
      </c>
      <c r="H226" s="134">
        <v>1</v>
      </c>
      <c r="I226" s="7" t="s">
        <v>154</v>
      </c>
      <c r="J226" s="7" t="s">
        <v>8</v>
      </c>
      <c r="K226" s="7"/>
      <c r="L226" s="7" t="s">
        <v>166</v>
      </c>
      <c r="M226" s="7" t="s">
        <v>5698</v>
      </c>
      <c r="N226" s="7" t="s">
        <v>368</v>
      </c>
      <c r="O226" s="7"/>
      <c r="P226" s="7" t="s">
        <v>7289</v>
      </c>
      <c r="Q226" s="129">
        <v>46199</v>
      </c>
      <c r="R226" s="130">
        <v>46199</v>
      </c>
      <c r="S226" s="131">
        <v>0</v>
      </c>
      <c r="T226" s="127"/>
      <c r="U226" s="127">
        <v>1</v>
      </c>
      <c r="V226" s="127"/>
      <c r="W226" s="127"/>
      <c r="X226" s="135">
        <f t="shared" si="27"/>
        <v>0</v>
      </c>
      <c r="Y226" s="135" t="b">
        <f t="shared" ref="Y226:Y277" si="29">IF(J226="Arizani qabul qilish",IF(X226=1,"Arizani qabul qilish2","Arizani qabul qilish"))</f>
        <v>0</v>
      </c>
      <c r="Z226" s="135" t="b">
        <f t="shared" ref="Z226:Z277" si="30">IF(J226="Rad qilish",IF(X226=1,"Rad qilish2","Rad qilish"))</f>
        <v>0</v>
      </c>
      <c r="AA226" s="135" t="b">
        <f t="shared" ref="AA226:AA277" si="31">+IF(J226="Arizani qabul qilish",Y226,IF(J226="Rad qilish",Z226))</f>
        <v>0</v>
      </c>
      <c r="AB226" s="7" t="s">
        <v>182</v>
      </c>
      <c r="AC226" s="7" t="s">
        <v>256</v>
      </c>
    </row>
    <row r="227" spans="1:29" x14ac:dyDescent="0.25">
      <c r="A227" s="127"/>
      <c r="B227" s="136" t="str">
        <f t="shared" si="28"/>
        <v>NAMT</v>
      </c>
      <c r="C227" s="136">
        <f>+VLOOKUP(AC227,Ходим!A:B,2,0)</f>
        <v>32712932090068</v>
      </c>
      <c r="D227" s="136" t="str">
        <f>IFERROR(VLOOKUP($B:$B,[20]свод!$A:$AB,3,0)," ")</f>
        <v>Наманган тумани</v>
      </c>
      <c r="E227" s="7" t="s">
        <v>3364</v>
      </c>
      <c r="F227" s="7" t="s">
        <v>9736</v>
      </c>
      <c r="G227" s="134">
        <v>1</v>
      </c>
      <c r="H227" s="134" t="s">
        <v>411</v>
      </c>
      <c r="I227" s="7" t="s">
        <v>158</v>
      </c>
      <c r="J227" s="7" t="s">
        <v>10</v>
      </c>
      <c r="K227" s="7"/>
      <c r="L227" s="7" t="s">
        <v>167</v>
      </c>
      <c r="M227" s="7" t="s">
        <v>5699</v>
      </c>
      <c r="N227" s="7" t="s">
        <v>170</v>
      </c>
      <c r="O227" s="7" t="s">
        <v>162</v>
      </c>
      <c r="P227" s="7" t="s">
        <v>6683</v>
      </c>
      <c r="Q227" s="129">
        <v>46199</v>
      </c>
      <c r="R227" s="130">
        <v>46199</v>
      </c>
      <c r="S227" s="131">
        <v>0</v>
      </c>
      <c r="T227" s="127"/>
      <c r="U227" s="127">
        <v>1</v>
      </c>
      <c r="V227" s="127"/>
      <c r="W227" s="127"/>
      <c r="X227" s="135">
        <f t="shared" si="27"/>
        <v>0</v>
      </c>
      <c r="Y227" s="135" t="b">
        <f t="shared" si="29"/>
        <v>0</v>
      </c>
      <c r="Z227" s="135" t="b">
        <f t="shared" si="30"/>
        <v>0</v>
      </c>
      <c r="AA227" s="135" t="b">
        <f t="shared" si="31"/>
        <v>0</v>
      </c>
      <c r="AB227" s="7" t="s">
        <v>193</v>
      </c>
      <c r="AC227" s="7" t="s">
        <v>1016</v>
      </c>
    </row>
    <row r="228" spans="1:29" x14ac:dyDescent="0.25">
      <c r="A228" s="127"/>
      <c r="B228" s="136" t="str">
        <f t="shared" si="28"/>
        <v>TORT</v>
      </c>
      <c r="C228" s="136" t="str">
        <f>+VLOOKUP(AC228,Ходим!A:B,2,0)</f>
        <v>31704782130035</v>
      </c>
      <c r="D228" s="136" t="str">
        <f>IFERROR(VLOOKUP($B:$B,[20]свод!$A:$AB,3,0)," ")</f>
        <v>Тўрақўрғон тумани</v>
      </c>
      <c r="E228" s="7" t="s">
        <v>3371</v>
      </c>
      <c r="F228" s="7" t="s">
        <v>9743</v>
      </c>
      <c r="G228" s="134">
        <v>1</v>
      </c>
      <c r="H228" s="134" t="s">
        <v>411</v>
      </c>
      <c r="I228" s="7" t="s">
        <v>158</v>
      </c>
      <c r="J228" s="7" t="s">
        <v>17</v>
      </c>
      <c r="K228" s="7"/>
      <c r="L228" s="7" t="s">
        <v>167</v>
      </c>
      <c r="M228" s="7" t="s">
        <v>5703</v>
      </c>
      <c r="N228" s="7" t="s">
        <v>170</v>
      </c>
      <c r="O228" s="7" t="s">
        <v>162</v>
      </c>
      <c r="P228" s="7" t="s">
        <v>7291</v>
      </c>
      <c r="Q228" s="129">
        <v>46199</v>
      </c>
      <c r="R228" s="130">
        <v>46199</v>
      </c>
      <c r="S228" s="131">
        <v>0</v>
      </c>
      <c r="T228" s="127"/>
      <c r="U228" s="127">
        <v>1</v>
      </c>
      <c r="V228" s="127"/>
      <c r="W228" s="127"/>
      <c r="X228" s="135">
        <f t="shared" si="27"/>
        <v>0</v>
      </c>
      <c r="Y228" s="135" t="b">
        <f t="shared" si="29"/>
        <v>0</v>
      </c>
      <c r="Z228" s="135" t="b">
        <f t="shared" si="30"/>
        <v>0</v>
      </c>
      <c r="AA228" s="135" t="b">
        <f t="shared" si="31"/>
        <v>0</v>
      </c>
      <c r="AB228" s="7" t="s">
        <v>203</v>
      </c>
      <c r="AC228" s="7" t="s">
        <v>344</v>
      </c>
    </row>
    <row r="229" spans="1:29" x14ac:dyDescent="0.25">
      <c r="A229" s="127"/>
      <c r="B229" s="136" t="str">
        <f t="shared" si="28"/>
        <v>NAMT</v>
      </c>
      <c r="C229" s="136" t="str">
        <f>+VLOOKUP(AC229,Ходим!A:B,2,0)</f>
        <v>32607902090019</v>
      </c>
      <c r="D229" s="136" t="str">
        <f>IFERROR(VLOOKUP($B:$B,[20]свод!$A:$AB,3,0)," ")</f>
        <v>Наманган тумани</v>
      </c>
      <c r="E229" s="7" t="s">
        <v>3375</v>
      </c>
      <c r="F229" s="7" t="s">
        <v>9747</v>
      </c>
      <c r="G229" s="134">
        <v>1</v>
      </c>
      <c r="H229" s="134" t="s">
        <v>411</v>
      </c>
      <c r="I229" s="7" t="s">
        <v>158</v>
      </c>
      <c r="J229" s="7" t="s">
        <v>10</v>
      </c>
      <c r="K229" s="7"/>
      <c r="L229" s="7" t="s">
        <v>167</v>
      </c>
      <c r="M229" s="7" t="s">
        <v>5707</v>
      </c>
      <c r="N229" s="7" t="s">
        <v>170</v>
      </c>
      <c r="O229" s="7" t="s">
        <v>162</v>
      </c>
      <c r="P229" s="7" t="s">
        <v>7294</v>
      </c>
      <c r="Q229" s="129">
        <v>46199</v>
      </c>
      <c r="R229" s="130">
        <v>46199</v>
      </c>
      <c r="S229" s="131">
        <v>0</v>
      </c>
      <c r="T229" s="127"/>
      <c r="U229" s="127">
        <v>1</v>
      </c>
      <c r="V229" s="127"/>
      <c r="W229" s="127"/>
      <c r="X229" s="135">
        <f t="shared" si="27"/>
        <v>0</v>
      </c>
      <c r="Y229" s="135" t="b">
        <f t="shared" si="29"/>
        <v>0</v>
      </c>
      <c r="Z229" s="135" t="b">
        <f t="shared" si="30"/>
        <v>0</v>
      </c>
      <c r="AA229" s="135" t="b">
        <f t="shared" si="31"/>
        <v>0</v>
      </c>
      <c r="AB229" s="7" t="s">
        <v>193</v>
      </c>
      <c r="AC229" s="7" t="s">
        <v>243</v>
      </c>
    </row>
    <row r="230" spans="1:29" x14ac:dyDescent="0.25">
      <c r="A230" s="127"/>
      <c r="B230" s="136" t="str">
        <f t="shared" si="28"/>
        <v>CHUT</v>
      </c>
      <c r="C230" s="136" t="str">
        <f>+VLOOKUP(AC230,Ходим!A:B,2,0)</f>
        <v>31608922180118</v>
      </c>
      <c r="D230" s="136" t="str">
        <f>IFERROR(VLOOKUP($B:$B,[20]свод!$A:$AB,3,0)," ")</f>
        <v>Чуст тумани</v>
      </c>
      <c r="E230" s="7" t="s">
        <v>3376</v>
      </c>
      <c r="F230" s="7" t="s">
        <v>9748</v>
      </c>
      <c r="G230" s="134">
        <v>1</v>
      </c>
      <c r="H230" s="134" t="s">
        <v>411</v>
      </c>
      <c r="I230" s="7" t="s">
        <v>158</v>
      </c>
      <c r="J230" s="7" t="s">
        <v>12</v>
      </c>
      <c r="K230" s="7"/>
      <c r="L230" s="7" t="s">
        <v>167</v>
      </c>
      <c r="M230" s="7" t="s">
        <v>5708</v>
      </c>
      <c r="N230" s="7" t="s">
        <v>170</v>
      </c>
      <c r="O230" s="7" t="s">
        <v>162</v>
      </c>
      <c r="P230" s="7" t="s">
        <v>7295</v>
      </c>
      <c r="Q230" s="129">
        <v>46199</v>
      </c>
      <c r="R230" s="130">
        <v>46198</v>
      </c>
      <c r="S230" s="131">
        <v>-1</v>
      </c>
      <c r="T230" s="127">
        <v>1</v>
      </c>
      <c r="U230" s="127"/>
      <c r="V230" s="127">
        <v>1</v>
      </c>
      <c r="W230" s="127"/>
      <c r="X230" s="135">
        <f t="shared" si="27"/>
        <v>0</v>
      </c>
      <c r="Y230" s="135" t="b">
        <f t="shared" si="29"/>
        <v>0</v>
      </c>
      <c r="Z230" s="135" t="b">
        <f t="shared" si="30"/>
        <v>0</v>
      </c>
      <c r="AA230" s="135" t="b">
        <f t="shared" si="31"/>
        <v>0</v>
      </c>
      <c r="AB230" s="7" t="s">
        <v>178</v>
      </c>
      <c r="AC230" s="7" t="s">
        <v>284</v>
      </c>
    </row>
    <row r="231" spans="1:29" hidden="1" x14ac:dyDescent="0.25">
      <c r="A231" s="127"/>
      <c r="B231" s="136" t="str">
        <f t="shared" si="28"/>
        <v>NAMS</v>
      </c>
      <c r="C231" s="136">
        <f>+VLOOKUP(AC231,Ходим!A:B,2,0)</f>
        <v>50510025960139</v>
      </c>
      <c r="D231" s="136" t="str">
        <f>IFERROR(VLOOKUP($B:$B,[20]свод!$A:$AB,3,0)," ")</f>
        <v>Наманган шаҳар</v>
      </c>
      <c r="E231" s="7" t="s">
        <v>3382</v>
      </c>
      <c r="F231" s="7" t="s">
        <v>9753</v>
      </c>
      <c r="G231" s="134">
        <v>1</v>
      </c>
      <c r="H231" s="134" t="s">
        <v>411</v>
      </c>
      <c r="I231" s="7" t="s">
        <v>158</v>
      </c>
      <c r="J231" s="7" t="s">
        <v>10639</v>
      </c>
      <c r="K231" s="7"/>
      <c r="L231" s="7" t="s">
        <v>167</v>
      </c>
      <c r="M231" s="7" t="s">
        <v>1006</v>
      </c>
      <c r="N231" s="7" t="s">
        <v>170</v>
      </c>
      <c r="O231" s="7" t="s">
        <v>162</v>
      </c>
      <c r="P231" s="7" t="s">
        <v>6673</v>
      </c>
      <c r="Q231" s="129">
        <v>46199</v>
      </c>
      <c r="R231" s="130">
        <v>46199</v>
      </c>
      <c r="S231" s="131">
        <v>0</v>
      </c>
      <c r="T231" s="127"/>
      <c r="U231" s="127">
        <v>1</v>
      </c>
      <c r="V231" s="127"/>
      <c r="W231" s="127"/>
      <c r="X231" s="135">
        <f t="shared" si="27"/>
        <v>0</v>
      </c>
      <c r="Y231" s="135" t="b">
        <f t="shared" si="29"/>
        <v>0</v>
      </c>
      <c r="Z231" s="135" t="b">
        <f t="shared" si="30"/>
        <v>0</v>
      </c>
      <c r="AA231" s="135" t="b">
        <f t="shared" si="31"/>
        <v>0</v>
      </c>
      <c r="AB231" s="7" t="s">
        <v>185</v>
      </c>
      <c r="AC231" s="7" t="s">
        <v>955</v>
      </c>
    </row>
    <row r="232" spans="1:29" hidden="1" x14ac:dyDescent="0.25">
      <c r="A232" s="127"/>
      <c r="B232" s="136" t="str">
        <f t="shared" si="28"/>
        <v>NAMS</v>
      </c>
      <c r="C232" s="136">
        <f>+VLOOKUP(AC232,Ходим!A:B,2,0)</f>
        <v>52004005950071</v>
      </c>
      <c r="D232" s="136" t="str">
        <f>IFERROR(VLOOKUP($B:$B,[20]свод!$A:$AB,3,0)," ")</f>
        <v>Наманган шаҳар</v>
      </c>
      <c r="E232" s="7" t="s">
        <v>3384</v>
      </c>
      <c r="F232" s="7" t="s">
        <v>9755</v>
      </c>
      <c r="G232" s="134">
        <v>1</v>
      </c>
      <c r="H232" s="134" t="s">
        <v>411</v>
      </c>
      <c r="I232" s="7" t="s">
        <v>158</v>
      </c>
      <c r="J232" s="7" t="s">
        <v>10639</v>
      </c>
      <c r="K232" s="7"/>
      <c r="L232" s="7" t="s">
        <v>167</v>
      </c>
      <c r="M232" s="7" t="s">
        <v>5715</v>
      </c>
      <c r="N232" s="7" t="s">
        <v>170</v>
      </c>
      <c r="O232" s="7" t="s">
        <v>4261</v>
      </c>
      <c r="P232" s="7" t="s">
        <v>7299</v>
      </c>
      <c r="Q232" s="129">
        <v>46199</v>
      </c>
      <c r="R232" s="130">
        <v>46191</v>
      </c>
      <c r="S232" s="131">
        <v>-8</v>
      </c>
      <c r="T232" s="127">
        <v>1</v>
      </c>
      <c r="U232" s="127"/>
      <c r="V232" s="127">
        <v>1</v>
      </c>
      <c r="W232" s="127"/>
      <c r="X232" s="135">
        <f t="shared" si="27"/>
        <v>0</v>
      </c>
      <c r="Y232" s="135" t="b">
        <f t="shared" si="29"/>
        <v>0</v>
      </c>
      <c r="Z232" s="135" t="b">
        <f t="shared" si="30"/>
        <v>0</v>
      </c>
      <c r="AA232" s="135" t="b">
        <f t="shared" si="31"/>
        <v>0</v>
      </c>
      <c r="AB232" s="7" t="s">
        <v>234</v>
      </c>
      <c r="AC232" s="7" t="s">
        <v>1015</v>
      </c>
    </row>
    <row r="233" spans="1:29" x14ac:dyDescent="0.25">
      <c r="A233" s="127"/>
      <c r="B233" s="136" t="str">
        <f t="shared" si="28"/>
        <v>NAMS</v>
      </c>
      <c r="C233" s="136" t="str">
        <f>+VLOOKUP(AC233,Ходим!A:B,2,0)</f>
        <v>31608732170178</v>
      </c>
      <c r="D233" s="136" t="str">
        <f>IFERROR(VLOOKUP($B:$B,[20]свод!$A:$AB,3,0)," ")</f>
        <v>Наманган шаҳар</v>
      </c>
      <c r="E233" s="7" t="s">
        <v>3385</v>
      </c>
      <c r="F233" s="7" t="s">
        <v>9756</v>
      </c>
      <c r="G233" s="134">
        <v>1</v>
      </c>
      <c r="H233" s="134" t="s">
        <v>411</v>
      </c>
      <c r="I233" s="7" t="s">
        <v>158</v>
      </c>
      <c r="J233" s="7" t="s">
        <v>53</v>
      </c>
      <c r="K233" s="7"/>
      <c r="L233" s="7" t="s">
        <v>167</v>
      </c>
      <c r="M233" s="7" t="s">
        <v>5716</v>
      </c>
      <c r="N233" s="7" t="s">
        <v>170</v>
      </c>
      <c r="O233" s="7" t="s">
        <v>162</v>
      </c>
      <c r="P233" s="7" t="s">
        <v>7300</v>
      </c>
      <c r="Q233" s="129">
        <v>46199</v>
      </c>
      <c r="R233" s="130">
        <v>46191</v>
      </c>
      <c r="S233" s="131">
        <v>-8</v>
      </c>
      <c r="T233" s="127">
        <v>1</v>
      </c>
      <c r="U233" s="127"/>
      <c r="V233" s="127">
        <v>1</v>
      </c>
      <c r="W233" s="127"/>
      <c r="X233" s="135">
        <f t="shared" si="27"/>
        <v>0</v>
      </c>
      <c r="Y233" s="135" t="b">
        <f t="shared" si="29"/>
        <v>0</v>
      </c>
      <c r="Z233" s="135" t="b">
        <f t="shared" si="30"/>
        <v>0</v>
      </c>
      <c r="AA233" s="135" t="b">
        <f t="shared" si="31"/>
        <v>0</v>
      </c>
      <c r="AB233" s="7" t="s">
        <v>234</v>
      </c>
      <c r="AC233" s="7" t="s">
        <v>267</v>
      </c>
    </row>
    <row r="234" spans="1:29" x14ac:dyDescent="0.25">
      <c r="A234" s="127"/>
      <c r="B234" s="136" t="str">
        <f t="shared" si="28"/>
        <v>NAMT</v>
      </c>
      <c r="C234" s="136" t="str">
        <f>+VLOOKUP(AC234,Ходим!A:B,2,0)</f>
        <v>40306812090034</v>
      </c>
      <c r="D234" s="136" t="str">
        <f>IFERROR(VLOOKUP($B:$B,[20]свод!$A:$AB,3,0)," ")</f>
        <v>Наманган тумани</v>
      </c>
      <c r="E234" s="7" t="s">
        <v>3388</v>
      </c>
      <c r="F234" s="7" t="s">
        <v>9759</v>
      </c>
      <c r="G234" s="134">
        <v>1</v>
      </c>
      <c r="H234" s="134" t="s">
        <v>411</v>
      </c>
      <c r="I234" s="7" t="s">
        <v>158</v>
      </c>
      <c r="J234" s="7" t="s">
        <v>1</v>
      </c>
      <c r="K234" s="7"/>
      <c r="L234" s="7" t="s">
        <v>167</v>
      </c>
      <c r="M234" s="7" t="s">
        <v>5719</v>
      </c>
      <c r="N234" s="7" t="s">
        <v>170</v>
      </c>
      <c r="O234" s="7" t="s">
        <v>162</v>
      </c>
      <c r="P234" s="7" t="s">
        <v>6693</v>
      </c>
      <c r="Q234" s="129">
        <v>46199</v>
      </c>
      <c r="R234" s="130">
        <v>46199</v>
      </c>
      <c r="S234" s="131">
        <v>0</v>
      </c>
      <c r="T234" s="127"/>
      <c r="U234" s="127">
        <v>1</v>
      </c>
      <c r="V234" s="127"/>
      <c r="W234" s="127"/>
      <c r="X234" s="135">
        <f t="shared" si="27"/>
        <v>0</v>
      </c>
      <c r="Y234" s="135" t="b">
        <f t="shared" si="29"/>
        <v>0</v>
      </c>
      <c r="Z234" s="135" t="b">
        <f t="shared" si="30"/>
        <v>0</v>
      </c>
      <c r="AA234" s="135" t="b">
        <f t="shared" si="31"/>
        <v>0</v>
      </c>
      <c r="AB234" s="7" t="s">
        <v>193</v>
      </c>
      <c r="AC234" s="7" t="s">
        <v>273</v>
      </c>
    </row>
    <row r="235" spans="1:29" hidden="1" x14ac:dyDescent="0.25">
      <c r="A235" s="127"/>
      <c r="B235" s="136" t="str">
        <f t="shared" si="28"/>
        <v>CHUT</v>
      </c>
      <c r="C235" s="136" t="str">
        <f>+VLOOKUP(AC235,Ходим!A:B,2,0)</f>
        <v>32511965970037</v>
      </c>
      <c r="D235" s="136" t="str">
        <f>IFERROR(VLOOKUP($B:$B,[20]свод!$A:$AB,3,0)," ")</f>
        <v>Чуст тумани</v>
      </c>
      <c r="E235" s="7" t="s">
        <v>3389</v>
      </c>
      <c r="F235" s="7" t="s">
        <v>9760</v>
      </c>
      <c r="G235" s="134">
        <v>1</v>
      </c>
      <c r="H235" s="134" t="s">
        <v>411</v>
      </c>
      <c r="I235" s="7" t="s">
        <v>158</v>
      </c>
      <c r="J235" s="7" t="s">
        <v>10638</v>
      </c>
      <c r="K235" s="7"/>
      <c r="L235" s="7" t="s">
        <v>167</v>
      </c>
      <c r="M235" s="7" t="s">
        <v>5720</v>
      </c>
      <c r="N235" s="7" t="s">
        <v>170</v>
      </c>
      <c r="O235" s="7" t="s">
        <v>162</v>
      </c>
      <c r="P235" s="7" t="s">
        <v>6666</v>
      </c>
      <c r="Q235" s="129">
        <v>46199</v>
      </c>
      <c r="R235" s="130">
        <v>46199</v>
      </c>
      <c r="S235" s="131">
        <v>0</v>
      </c>
      <c r="T235" s="127"/>
      <c r="U235" s="127">
        <v>1</v>
      </c>
      <c r="V235" s="127"/>
      <c r="W235" s="127"/>
      <c r="X235" s="135">
        <f t="shared" si="27"/>
        <v>0</v>
      </c>
      <c r="Y235" s="135" t="b">
        <f t="shared" si="29"/>
        <v>0</v>
      </c>
      <c r="Z235" s="135" t="b">
        <f t="shared" si="30"/>
        <v>0</v>
      </c>
      <c r="AA235" s="135" t="b">
        <f t="shared" si="31"/>
        <v>0</v>
      </c>
      <c r="AB235" s="7" t="s">
        <v>178</v>
      </c>
      <c r="AC235" s="7" t="s">
        <v>351</v>
      </c>
    </row>
    <row r="236" spans="1:29" hidden="1" x14ac:dyDescent="0.25">
      <c r="A236" s="127"/>
      <c r="B236" s="136" t="str">
        <f t="shared" si="28"/>
        <v>CHUT</v>
      </c>
      <c r="C236" s="136" t="str">
        <f>+VLOOKUP(AC236,Ходим!A:B,2,0)</f>
        <v>32006862180015</v>
      </c>
      <c r="D236" s="136" t="str">
        <f>IFERROR(VLOOKUP($B:$B,[20]свод!$A:$AB,3,0)," ")</f>
        <v>Чуст тумани</v>
      </c>
      <c r="E236" s="7" t="s">
        <v>3399</v>
      </c>
      <c r="F236" s="7" t="s">
        <v>9770</v>
      </c>
      <c r="G236" s="134">
        <v>1</v>
      </c>
      <c r="H236" s="134" t="s">
        <v>411</v>
      </c>
      <c r="I236" s="7" t="s">
        <v>158</v>
      </c>
      <c r="J236" s="7" t="s">
        <v>10638</v>
      </c>
      <c r="K236" s="7"/>
      <c r="L236" s="7" t="s">
        <v>167</v>
      </c>
      <c r="M236" s="7" t="s">
        <v>5728</v>
      </c>
      <c r="N236" s="7" t="s">
        <v>170</v>
      </c>
      <c r="O236" s="7" t="s">
        <v>162</v>
      </c>
      <c r="P236" s="7" t="s">
        <v>7305</v>
      </c>
      <c r="Q236" s="129">
        <v>46199</v>
      </c>
      <c r="R236" s="130">
        <v>46199</v>
      </c>
      <c r="S236" s="131">
        <v>0</v>
      </c>
      <c r="T236" s="127"/>
      <c r="U236" s="127">
        <v>1</v>
      </c>
      <c r="V236" s="127"/>
      <c r="W236" s="127"/>
      <c r="X236" s="135">
        <f t="shared" si="27"/>
        <v>0</v>
      </c>
      <c r="Y236" s="135" t="b">
        <f t="shared" si="29"/>
        <v>0</v>
      </c>
      <c r="Z236" s="135" t="b">
        <f t="shared" si="30"/>
        <v>0</v>
      </c>
      <c r="AA236" s="135" t="b">
        <f t="shared" si="31"/>
        <v>0</v>
      </c>
      <c r="AB236" s="7" t="s">
        <v>178</v>
      </c>
      <c r="AC236" s="7" t="s">
        <v>347</v>
      </c>
    </row>
    <row r="237" spans="1:29" hidden="1" x14ac:dyDescent="0.25">
      <c r="A237" s="127"/>
      <c r="B237" s="136" t="str">
        <f t="shared" si="28"/>
        <v>CHUT</v>
      </c>
      <c r="C237" s="136" t="str">
        <f>+VLOOKUP(AC237,Ходим!A:B,2,0)</f>
        <v>30901882180031</v>
      </c>
      <c r="D237" s="136" t="str">
        <f>IFERROR(VLOOKUP($B:$B,[20]свод!$A:$AB,3,0)," ")</f>
        <v>Чуст тумани</v>
      </c>
      <c r="E237" s="7" t="s">
        <v>3405</v>
      </c>
      <c r="F237" s="7" t="s">
        <v>9776</v>
      </c>
      <c r="G237" s="134">
        <v>1</v>
      </c>
      <c r="H237" s="134" t="s">
        <v>411</v>
      </c>
      <c r="I237" s="7" t="s">
        <v>158</v>
      </c>
      <c r="J237" s="7" t="s">
        <v>10639</v>
      </c>
      <c r="K237" s="7"/>
      <c r="L237" s="7" t="s">
        <v>167</v>
      </c>
      <c r="M237" s="7" t="s">
        <v>5731</v>
      </c>
      <c r="N237" s="7" t="s">
        <v>410</v>
      </c>
      <c r="O237" s="7" t="s">
        <v>162</v>
      </c>
      <c r="P237" s="7" t="s">
        <v>6474</v>
      </c>
      <c r="Q237" s="129">
        <v>46199</v>
      </c>
      <c r="R237" s="130">
        <v>46199</v>
      </c>
      <c r="S237" s="131">
        <v>0</v>
      </c>
      <c r="T237" s="127"/>
      <c r="U237" s="127">
        <v>1</v>
      </c>
      <c r="V237" s="127"/>
      <c r="W237" s="127"/>
      <c r="X237" s="135">
        <f t="shared" si="27"/>
        <v>0</v>
      </c>
      <c r="Y237" s="135" t="b">
        <f t="shared" si="29"/>
        <v>0</v>
      </c>
      <c r="Z237" s="135" t="b">
        <f t="shared" si="30"/>
        <v>0</v>
      </c>
      <c r="AA237" s="135" t="b">
        <f t="shared" si="31"/>
        <v>0</v>
      </c>
      <c r="AB237" s="7" t="s">
        <v>178</v>
      </c>
      <c r="AC237" s="7" t="s">
        <v>238</v>
      </c>
    </row>
    <row r="238" spans="1:29" hidden="1" x14ac:dyDescent="0.25">
      <c r="A238" s="127"/>
      <c r="B238" s="136" t="str">
        <f t="shared" si="28"/>
        <v>CHUT</v>
      </c>
      <c r="C238" s="136" t="str">
        <f>+VLOOKUP(AC238,Ходим!A:B,2,0)</f>
        <v>31312912180061</v>
      </c>
      <c r="D238" s="136" t="str">
        <f>IFERROR(VLOOKUP($B:$B,[20]свод!$A:$AB,3,0)," ")</f>
        <v>Чуст тумани</v>
      </c>
      <c r="E238" s="7" t="s">
        <v>3412</v>
      </c>
      <c r="F238" s="7" t="s">
        <v>9783</v>
      </c>
      <c r="G238" s="134">
        <v>1</v>
      </c>
      <c r="H238" s="134" t="s">
        <v>411</v>
      </c>
      <c r="I238" s="7" t="s">
        <v>158</v>
      </c>
      <c r="J238" s="7" t="s">
        <v>10638</v>
      </c>
      <c r="K238" s="7"/>
      <c r="L238" s="7" t="s">
        <v>167</v>
      </c>
      <c r="M238" s="7" t="s">
        <v>5735</v>
      </c>
      <c r="N238" s="7" t="s">
        <v>410</v>
      </c>
      <c r="O238" s="7" t="s">
        <v>162</v>
      </c>
      <c r="P238" s="7" t="s">
        <v>6657</v>
      </c>
      <c r="Q238" s="129">
        <v>46199</v>
      </c>
      <c r="R238" s="130">
        <v>46199</v>
      </c>
      <c r="S238" s="131">
        <v>0</v>
      </c>
      <c r="T238" s="127"/>
      <c r="U238" s="127">
        <v>1</v>
      </c>
      <c r="V238" s="127"/>
      <c r="W238" s="127"/>
      <c r="X238" s="135">
        <f t="shared" si="27"/>
        <v>0</v>
      </c>
      <c r="Y238" s="135" t="b">
        <f t="shared" si="29"/>
        <v>0</v>
      </c>
      <c r="Z238" s="135" t="b">
        <f t="shared" si="30"/>
        <v>0</v>
      </c>
      <c r="AA238" s="135" t="b">
        <f t="shared" si="31"/>
        <v>0</v>
      </c>
      <c r="AB238" s="7" t="s">
        <v>178</v>
      </c>
      <c r="AC238" s="7" t="s">
        <v>202</v>
      </c>
    </row>
    <row r="239" spans="1:29" hidden="1" x14ac:dyDescent="0.25">
      <c r="A239" s="127"/>
      <c r="B239" s="136" t="str">
        <f t="shared" si="28"/>
        <v>KSST</v>
      </c>
      <c r="C239" s="136" t="str">
        <f>+VLOOKUP(AC239,Ходим!A:B,2,0)</f>
        <v>31611995980026</v>
      </c>
      <c r="D239" s="136" t="str">
        <f>IFERROR(VLOOKUP($B:$B,[20]свод!$A:$AB,3,0)," ")</f>
        <v>Косонсой тумани</v>
      </c>
      <c r="E239" s="7" t="s">
        <v>3434</v>
      </c>
      <c r="F239" s="7" t="s">
        <v>9805</v>
      </c>
      <c r="G239" s="134" t="s">
        <v>411</v>
      </c>
      <c r="H239" s="134">
        <v>1</v>
      </c>
      <c r="I239" s="7" t="s">
        <v>157</v>
      </c>
      <c r="J239" s="7" t="s">
        <v>10639</v>
      </c>
      <c r="K239" s="7"/>
      <c r="L239" s="7" t="s">
        <v>166</v>
      </c>
      <c r="M239" s="7" t="s">
        <v>5751</v>
      </c>
      <c r="N239" s="7" t="s">
        <v>170</v>
      </c>
      <c r="O239" s="7" t="s">
        <v>161</v>
      </c>
      <c r="P239" s="7" t="s">
        <v>7326</v>
      </c>
      <c r="Q239" s="129">
        <v>46199</v>
      </c>
      <c r="R239" s="130">
        <v>46199</v>
      </c>
      <c r="S239" s="131">
        <v>0</v>
      </c>
      <c r="T239" s="127"/>
      <c r="U239" s="127">
        <v>1</v>
      </c>
      <c r="V239" s="127"/>
      <c r="W239" s="127"/>
      <c r="X239" s="135">
        <f t="shared" si="27"/>
        <v>0</v>
      </c>
      <c r="Y239" s="135" t="b">
        <f t="shared" si="29"/>
        <v>0</v>
      </c>
      <c r="Z239" s="135" t="b">
        <f t="shared" si="30"/>
        <v>0</v>
      </c>
      <c r="AA239" s="135" t="b">
        <f t="shared" si="31"/>
        <v>0</v>
      </c>
      <c r="AB239" s="7" t="s">
        <v>180</v>
      </c>
      <c r="AC239" s="7" t="s">
        <v>181</v>
      </c>
    </row>
    <row r="240" spans="1:29" hidden="1" x14ac:dyDescent="0.25">
      <c r="A240" s="127"/>
      <c r="B240" s="136" t="str">
        <f t="shared" si="28"/>
        <v>NAMT</v>
      </c>
      <c r="C240" s="136" t="str">
        <f>+VLOOKUP(AC240,Ходим!A:B,2,0)</f>
        <v>31702942090041</v>
      </c>
      <c r="D240" s="136" t="str">
        <f>IFERROR(VLOOKUP($B:$B,[20]свод!$A:$AB,3,0)," ")</f>
        <v>Наманган тумани</v>
      </c>
      <c r="E240" s="7" t="s">
        <v>3435</v>
      </c>
      <c r="F240" s="7" t="s">
        <v>9806</v>
      </c>
      <c r="G240" s="134">
        <v>1</v>
      </c>
      <c r="H240" s="134" t="s">
        <v>411</v>
      </c>
      <c r="I240" s="7" t="s">
        <v>158</v>
      </c>
      <c r="J240" s="7" t="s">
        <v>10638</v>
      </c>
      <c r="K240" s="7"/>
      <c r="L240" s="7" t="s">
        <v>167</v>
      </c>
      <c r="M240" s="7" t="s">
        <v>5752</v>
      </c>
      <c r="N240" s="7" t="s">
        <v>170</v>
      </c>
      <c r="O240" s="7" t="s">
        <v>162</v>
      </c>
      <c r="P240" s="7" t="s">
        <v>7327</v>
      </c>
      <c r="Q240" s="129">
        <v>46199</v>
      </c>
      <c r="R240" s="130">
        <v>46199</v>
      </c>
      <c r="S240" s="131">
        <v>0</v>
      </c>
      <c r="T240" s="127"/>
      <c r="U240" s="127">
        <v>1</v>
      </c>
      <c r="V240" s="127"/>
      <c r="W240" s="127"/>
      <c r="X240" s="135">
        <f t="shared" si="27"/>
        <v>0</v>
      </c>
      <c r="Y240" s="135" t="b">
        <f t="shared" si="29"/>
        <v>0</v>
      </c>
      <c r="Z240" s="135" t="b">
        <f t="shared" si="30"/>
        <v>0</v>
      </c>
      <c r="AA240" s="135" t="b">
        <f t="shared" si="31"/>
        <v>0</v>
      </c>
      <c r="AB240" s="7" t="s">
        <v>193</v>
      </c>
      <c r="AC240" s="7" t="s">
        <v>194</v>
      </c>
    </row>
    <row r="241" spans="1:29" hidden="1" x14ac:dyDescent="0.25">
      <c r="A241" s="127"/>
      <c r="B241" s="136" t="str">
        <f t="shared" si="28"/>
        <v>CHUT</v>
      </c>
      <c r="C241" s="136" t="str">
        <f>+VLOOKUP(AC241,Ходим!A:B,2,0)</f>
        <v>31312912180061</v>
      </c>
      <c r="D241" s="136" t="str">
        <f>IFERROR(VLOOKUP($B:$B,[20]свод!$A:$AB,3,0)," ")</f>
        <v>Чуст тумани</v>
      </c>
      <c r="E241" s="7" t="s">
        <v>3438</v>
      </c>
      <c r="F241" s="7" t="s">
        <v>9809</v>
      </c>
      <c r="G241" s="134">
        <v>1</v>
      </c>
      <c r="H241" s="134" t="s">
        <v>411</v>
      </c>
      <c r="I241" s="7" t="s">
        <v>158</v>
      </c>
      <c r="J241" s="7" t="s">
        <v>10638</v>
      </c>
      <c r="K241" s="7"/>
      <c r="L241" s="7" t="s">
        <v>167</v>
      </c>
      <c r="M241" s="7" t="s">
        <v>5755</v>
      </c>
      <c r="N241" s="7" t="s">
        <v>410</v>
      </c>
      <c r="O241" s="7" t="s">
        <v>162</v>
      </c>
      <c r="P241" s="7" t="s">
        <v>6659</v>
      </c>
      <c r="Q241" s="129">
        <v>46199</v>
      </c>
      <c r="R241" s="130">
        <v>46199</v>
      </c>
      <c r="S241" s="131">
        <v>0</v>
      </c>
      <c r="T241" s="127"/>
      <c r="U241" s="127">
        <v>1</v>
      </c>
      <c r="V241" s="127"/>
      <c r="W241" s="127"/>
      <c r="X241" s="135">
        <f t="shared" si="27"/>
        <v>0</v>
      </c>
      <c r="Y241" s="135" t="b">
        <f t="shared" si="29"/>
        <v>0</v>
      </c>
      <c r="Z241" s="135" t="b">
        <f t="shared" si="30"/>
        <v>0</v>
      </c>
      <c r="AA241" s="135" t="b">
        <f t="shared" si="31"/>
        <v>0</v>
      </c>
      <c r="AB241" s="7" t="s">
        <v>178</v>
      </c>
      <c r="AC241" s="7" t="s">
        <v>202</v>
      </c>
    </row>
    <row r="242" spans="1:29" hidden="1" x14ac:dyDescent="0.25">
      <c r="A242" s="127"/>
      <c r="B242" s="136" t="str">
        <f t="shared" si="28"/>
        <v>NAMS</v>
      </c>
      <c r="C242" s="136" t="str">
        <f>+VLOOKUP(AC242,Ходим!A:B,2,0)</f>
        <v>31601642170089</v>
      </c>
      <c r="D242" s="136" t="str">
        <f>IFERROR(VLOOKUP($B:$B,[20]свод!$A:$AB,3,0)," ")</f>
        <v>Наманган шаҳар</v>
      </c>
      <c r="E242" s="7" t="s">
        <v>3441</v>
      </c>
      <c r="F242" s="7" t="s">
        <v>9812</v>
      </c>
      <c r="G242" s="134">
        <v>1</v>
      </c>
      <c r="H242" s="134" t="s">
        <v>411</v>
      </c>
      <c r="I242" s="7" t="s">
        <v>158</v>
      </c>
      <c r="J242" s="7" t="s">
        <v>10639</v>
      </c>
      <c r="K242" s="7"/>
      <c r="L242" s="7" t="s">
        <v>169</v>
      </c>
      <c r="M242" s="7" t="s">
        <v>381</v>
      </c>
      <c r="N242" s="7" t="s">
        <v>410</v>
      </c>
      <c r="O242" s="7" t="s">
        <v>162</v>
      </c>
      <c r="P242" s="7" t="s">
        <v>7330</v>
      </c>
      <c r="Q242" s="129">
        <v>46199</v>
      </c>
      <c r="R242" s="130">
        <v>46198</v>
      </c>
      <c r="S242" s="131">
        <v>-1</v>
      </c>
      <c r="T242" s="127">
        <v>1</v>
      </c>
      <c r="U242" s="127"/>
      <c r="V242" s="127">
        <v>1</v>
      </c>
      <c r="W242" s="127"/>
      <c r="X242" s="135">
        <f t="shared" si="27"/>
        <v>0</v>
      </c>
      <c r="Y242" s="135" t="b">
        <f t="shared" si="29"/>
        <v>0</v>
      </c>
      <c r="Z242" s="135" t="b">
        <f t="shared" si="30"/>
        <v>0</v>
      </c>
      <c r="AA242" s="135" t="b">
        <f t="shared" si="31"/>
        <v>0</v>
      </c>
      <c r="AB242" s="7" t="s">
        <v>173</v>
      </c>
      <c r="AC242" s="7" t="s">
        <v>201</v>
      </c>
    </row>
    <row r="243" spans="1:29" hidden="1" x14ac:dyDescent="0.25">
      <c r="A243" s="127"/>
      <c r="B243" s="136" t="str">
        <f t="shared" si="28"/>
        <v>NAMS</v>
      </c>
      <c r="C243" s="136" t="str">
        <f>+VLOOKUP(AC243,Ходим!A:B,2,0)</f>
        <v>31601642170089</v>
      </c>
      <c r="D243" s="136" t="str">
        <f>IFERROR(VLOOKUP($B:$B,[20]свод!$A:$AB,3,0)," ")</f>
        <v>Наманган шаҳар</v>
      </c>
      <c r="E243" s="7" t="s">
        <v>3447</v>
      </c>
      <c r="F243" s="7" t="s">
        <v>9817</v>
      </c>
      <c r="G243" s="134">
        <v>1</v>
      </c>
      <c r="H243" s="134" t="s">
        <v>411</v>
      </c>
      <c r="I243" s="7" t="s">
        <v>158</v>
      </c>
      <c r="J243" s="7" t="s">
        <v>10639</v>
      </c>
      <c r="K243" s="7"/>
      <c r="L243" s="7" t="s">
        <v>169</v>
      </c>
      <c r="M243" s="7" t="s">
        <v>381</v>
      </c>
      <c r="N243" s="7" t="s">
        <v>410</v>
      </c>
      <c r="O243" s="7" t="s">
        <v>162</v>
      </c>
      <c r="P243" s="7" t="s">
        <v>7146</v>
      </c>
      <c r="Q243" s="129">
        <v>46199</v>
      </c>
      <c r="R243" s="130">
        <v>46198</v>
      </c>
      <c r="S243" s="131">
        <v>-1</v>
      </c>
      <c r="T243" s="127">
        <v>1</v>
      </c>
      <c r="U243" s="127"/>
      <c r="V243" s="127">
        <v>1</v>
      </c>
      <c r="W243" s="127"/>
      <c r="X243" s="135">
        <f t="shared" si="27"/>
        <v>0</v>
      </c>
      <c r="Y243" s="135" t="b">
        <f t="shared" si="29"/>
        <v>0</v>
      </c>
      <c r="Z243" s="135" t="b">
        <f t="shared" si="30"/>
        <v>0</v>
      </c>
      <c r="AA243" s="135" t="b">
        <f t="shared" si="31"/>
        <v>0</v>
      </c>
      <c r="AB243" s="7" t="s">
        <v>234</v>
      </c>
      <c r="AC243" s="7" t="s">
        <v>201</v>
      </c>
    </row>
    <row r="244" spans="1:29" x14ac:dyDescent="0.25">
      <c r="A244" s="127"/>
      <c r="B244" s="136" t="str">
        <f t="shared" si="28"/>
        <v>NAMT</v>
      </c>
      <c r="C244" s="136" t="str">
        <f>+VLOOKUP(AC244,Ходим!A:B,2,0)</f>
        <v>32610955880027</v>
      </c>
      <c r="D244" s="136" t="str">
        <f>IFERROR(VLOOKUP($B:$B,[20]свод!$A:$AB,3,0)," ")</f>
        <v>Наманган тумани</v>
      </c>
      <c r="E244" s="7" t="s">
        <v>3460</v>
      </c>
      <c r="F244" s="7" t="s">
        <v>9830</v>
      </c>
      <c r="G244" s="134">
        <v>1</v>
      </c>
      <c r="H244" s="134" t="s">
        <v>411</v>
      </c>
      <c r="I244" s="7" t="s">
        <v>158</v>
      </c>
      <c r="J244" s="7" t="s">
        <v>134</v>
      </c>
      <c r="K244" s="7"/>
      <c r="L244" s="7" t="s">
        <v>167</v>
      </c>
      <c r="M244" s="7" t="s">
        <v>5766</v>
      </c>
      <c r="N244" s="7" t="s">
        <v>170</v>
      </c>
      <c r="O244" s="7" t="s">
        <v>162</v>
      </c>
      <c r="P244" s="7" t="s">
        <v>7338</v>
      </c>
      <c r="Q244" s="129">
        <v>46199</v>
      </c>
      <c r="R244" s="130">
        <v>46199</v>
      </c>
      <c r="S244" s="131">
        <v>0</v>
      </c>
      <c r="T244" s="127"/>
      <c r="U244" s="127">
        <v>1</v>
      </c>
      <c r="V244" s="127"/>
      <c r="W244" s="127"/>
      <c r="X244" s="135">
        <f t="shared" si="27"/>
        <v>0</v>
      </c>
      <c r="Y244" s="135" t="b">
        <f t="shared" si="29"/>
        <v>0</v>
      </c>
      <c r="Z244" s="135" t="b">
        <f t="shared" si="30"/>
        <v>0</v>
      </c>
      <c r="AA244" s="135" t="b">
        <f t="shared" si="31"/>
        <v>0</v>
      </c>
      <c r="AB244" s="7" t="s">
        <v>193</v>
      </c>
      <c r="AC244" s="7" t="s">
        <v>288</v>
      </c>
    </row>
    <row r="245" spans="1:29" hidden="1" x14ac:dyDescent="0.25">
      <c r="A245" s="127"/>
      <c r="B245" s="136" t="str">
        <f t="shared" si="28"/>
        <v>MINT</v>
      </c>
      <c r="C245" s="136" t="str">
        <f>+VLOOKUP(AC245,Ходим!A:B,2,0)</f>
        <v>31710662200035</v>
      </c>
      <c r="D245" s="136" t="str">
        <f>IFERROR(VLOOKUP($B:$B,[20]свод!$A:$AB,3,0)," ")</f>
        <v>Мингбулоқ тумани</v>
      </c>
      <c r="E245" s="7" t="s">
        <v>3485</v>
      </c>
      <c r="F245" s="7" t="s">
        <v>9854</v>
      </c>
      <c r="G245" s="134">
        <v>1</v>
      </c>
      <c r="H245" s="134" t="s">
        <v>411</v>
      </c>
      <c r="I245" s="7" t="s">
        <v>158</v>
      </c>
      <c r="J245" s="7" t="s">
        <v>10638</v>
      </c>
      <c r="K245" s="7"/>
      <c r="L245" s="7" t="s">
        <v>167</v>
      </c>
      <c r="M245" s="7" t="s">
        <v>5783</v>
      </c>
      <c r="N245" s="7" t="s">
        <v>410</v>
      </c>
      <c r="O245" s="7" t="s">
        <v>162</v>
      </c>
      <c r="P245" s="7" t="s">
        <v>7347</v>
      </c>
      <c r="Q245" s="129">
        <v>46199</v>
      </c>
      <c r="R245" s="130">
        <v>46199</v>
      </c>
      <c r="S245" s="131">
        <v>0</v>
      </c>
      <c r="T245" s="127"/>
      <c r="U245" s="127">
        <v>1</v>
      </c>
      <c r="V245" s="127"/>
      <c r="W245" s="127"/>
      <c r="X245" s="135">
        <f t="shared" si="27"/>
        <v>0</v>
      </c>
      <c r="Y245" s="135" t="b">
        <f t="shared" si="29"/>
        <v>0</v>
      </c>
      <c r="Z245" s="135" t="b">
        <f t="shared" si="30"/>
        <v>0</v>
      </c>
      <c r="AA245" s="135" t="b">
        <f t="shared" si="31"/>
        <v>0</v>
      </c>
      <c r="AB245" s="7" t="s">
        <v>220</v>
      </c>
      <c r="AC245" s="7" t="s">
        <v>268</v>
      </c>
    </row>
    <row r="246" spans="1:29" hidden="1" x14ac:dyDescent="0.25">
      <c r="A246" s="127"/>
      <c r="B246" s="136" t="str">
        <f t="shared" si="28"/>
        <v>NAMS</v>
      </c>
      <c r="C246" s="136">
        <f>+VLOOKUP(AC246,Ходим!A:B,2,0)</f>
        <v>50703045960050</v>
      </c>
      <c r="D246" s="136" t="str">
        <f>IFERROR(VLOOKUP($B:$B,[20]свод!$A:$AB,3,0)," ")</f>
        <v>Наманган шаҳар</v>
      </c>
      <c r="E246" s="7" t="s">
        <v>3522</v>
      </c>
      <c r="F246" s="7" t="s">
        <v>9891</v>
      </c>
      <c r="G246" s="134">
        <v>1</v>
      </c>
      <c r="H246" s="134" t="s">
        <v>411</v>
      </c>
      <c r="I246" s="7" t="s">
        <v>158</v>
      </c>
      <c r="J246" s="7" t="s">
        <v>10639</v>
      </c>
      <c r="K246" s="7"/>
      <c r="L246" s="7" t="s">
        <v>167</v>
      </c>
      <c r="M246" s="7" t="s">
        <v>5801</v>
      </c>
      <c r="N246" s="7" t="s">
        <v>410</v>
      </c>
      <c r="O246" s="7" t="s">
        <v>162</v>
      </c>
      <c r="P246" s="7" t="s">
        <v>7354</v>
      </c>
      <c r="Q246" s="129">
        <v>46199</v>
      </c>
      <c r="R246" s="130">
        <v>46196</v>
      </c>
      <c r="S246" s="131">
        <v>-3</v>
      </c>
      <c r="T246" s="127">
        <v>1</v>
      </c>
      <c r="U246" s="127"/>
      <c r="V246" s="127"/>
      <c r="W246" s="127">
        <v>1</v>
      </c>
      <c r="X246" s="135">
        <f t="shared" si="27"/>
        <v>0</v>
      </c>
      <c r="Y246" s="135" t="b">
        <f t="shared" si="29"/>
        <v>0</v>
      </c>
      <c r="Z246" s="135" t="b">
        <f t="shared" si="30"/>
        <v>0</v>
      </c>
      <c r="AA246" s="135" t="b">
        <f t="shared" si="31"/>
        <v>0</v>
      </c>
      <c r="AB246" s="7" t="s">
        <v>185</v>
      </c>
      <c r="AC246" s="7" t="s">
        <v>948</v>
      </c>
    </row>
    <row r="247" spans="1:29" x14ac:dyDescent="0.25">
      <c r="A247" s="127"/>
      <c r="B247" s="136" t="str">
        <f t="shared" si="28"/>
        <v>YGQT</v>
      </c>
      <c r="C247" s="136" t="str">
        <f>+VLOOKUP(AC247,Ходим!A:B,2,0)</f>
        <v>30502995950058</v>
      </c>
      <c r="D247" s="136" t="str">
        <f>IFERROR(VLOOKUP($B:$B,[20]свод!$A:$AB,3,0)," ")</f>
        <v>Янгиқўрғон тумани</v>
      </c>
      <c r="E247" s="7" t="s">
        <v>990</v>
      </c>
      <c r="F247" s="7" t="s">
        <v>1011</v>
      </c>
      <c r="G247" s="134">
        <v>1</v>
      </c>
      <c r="H247" s="134" t="s">
        <v>411</v>
      </c>
      <c r="I247" s="7" t="s">
        <v>158</v>
      </c>
      <c r="J247" s="7" t="s">
        <v>55</v>
      </c>
      <c r="K247" s="7"/>
      <c r="L247" s="7" t="s">
        <v>167</v>
      </c>
      <c r="M247" s="7" t="s">
        <v>5813</v>
      </c>
      <c r="N247" s="7" t="s">
        <v>410</v>
      </c>
      <c r="O247" s="7" t="s">
        <v>162</v>
      </c>
      <c r="P247" s="7" t="s">
        <v>1014</v>
      </c>
      <c r="Q247" s="129">
        <v>46199</v>
      </c>
      <c r="R247" s="130">
        <v>46183</v>
      </c>
      <c r="S247" s="131">
        <v>-16</v>
      </c>
      <c r="T247" s="127">
        <v>1</v>
      </c>
      <c r="U247" s="127"/>
      <c r="V247" s="127"/>
      <c r="W247" s="127">
        <v>1</v>
      </c>
      <c r="X247" s="135">
        <f t="shared" si="27"/>
        <v>0</v>
      </c>
      <c r="Y247" s="135" t="b">
        <f t="shared" si="29"/>
        <v>0</v>
      </c>
      <c r="Z247" s="135" t="b">
        <f t="shared" si="30"/>
        <v>0</v>
      </c>
      <c r="AA247" s="135" t="b">
        <f t="shared" si="31"/>
        <v>0</v>
      </c>
      <c r="AB247" s="7" t="s">
        <v>182</v>
      </c>
      <c r="AC247" s="7" t="s">
        <v>340</v>
      </c>
    </row>
    <row r="248" spans="1:29" hidden="1" x14ac:dyDescent="0.25">
      <c r="A248" s="127"/>
      <c r="B248" s="136" t="str">
        <f t="shared" si="28"/>
        <v>UYCT</v>
      </c>
      <c r="C248" s="136" t="str">
        <f>+VLOOKUP(AC248,Ходим!A:B,2,0)</f>
        <v>31310995930032</v>
      </c>
      <c r="D248" s="136" t="str">
        <f>IFERROR(VLOOKUP($B:$B,[20]свод!$A:$AB,3,0)," ")</f>
        <v>Уйчи тумани</v>
      </c>
      <c r="E248" s="7" t="s">
        <v>3556</v>
      </c>
      <c r="F248" s="7" t="s">
        <v>9925</v>
      </c>
      <c r="G248" s="134">
        <v>1</v>
      </c>
      <c r="H248" s="134" t="s">
        <v>411</v>
      </c>
      <c r="I248" s="7" t="s">
        <v>158</v>
      </c>
      <c r="J248" s="7" t="s">
        <v>10639</v>
      </c>
      <c r="K248" s="7"/>
      <c r="L248" s="7" t="s">
        <v>167</v>
      </c>
      <c r="M248" s="7" t="s">
        <v>5823</v>
      </c>
      <c r="N248" s="7" t="s">
        <v>170</v>
      </c>
      <c r="O248" s="7" t="s">
        <v>162</v>
      </c>
      <c r="P248" s="7" t="s">
        <v>7364</v>
      </c>
      <c r="Q248" s="129">
        <v>46199</v>
      </c>
      <c r="R248" s="130">
        <v>46196</v>
      </c>
      <c r="S248" s="131">
        <v>-3</v>
      </c>
      <c r="T248" s="127">
        <v>1</v>
      </c>
      <c r="U248" s="127"/>
      <c r="V248" s="127"/>
      <c r="W248" s="127">
        <v>1</v>
      </c>
      <c r="X248" s="135">
        <f t="shared" si="27"/>
        <v>0</v>
      </c>
      <c r="Y248" s="135" t="b">
        <f t="shared" si="29"/>
        <v>0</v>
      </c>
      <c r="Z248" s="135" t="b">
        <f t="shared" si="30"/>
        <v>0</v>
      </c>
      <c r="AA248" s="135" t="b">
        <f t="shared" si="31"/>
        <v>0</v>
      </c>
      <c r="AB248" s="7" t="s">
        <v>947</v>
      </c>
      <c r="AC248" s="7" t="s">
        <v>399</v>
      </c>
    </row>
    <row r="249" spans="1:29" hidden="1" x14ac:dyDescent="0.25">
      <c r="A249" s="127"/>
      <c r="B249" s="136" t="str">
        <f t="shared" si="28"/>
        <v>UCQT</v>
      </c>
      <c r="C249" s="136" t="str">
        <f>+VLOOKUP(AC249,Ходим!A:B,2,0)</f>
        <v>31206892150069</v>
      </c>
      <c r="D249" s="136" t="str">
        <f>IFERROR(VLOOKUP($B:$B,[20]свод!$A:$AB,3,0)," ")</f>
        <v>Учқўрғон тумани</v>
      </c>
      <c r="E249" s="7" t="s">
        <v>988</v>
      </c>
      <c r="F249" s="7" t="s">
        <v>1009</v>
      </c>
      <c r="G249" s="134">
        <v>1</v>
      </c>
      <c r="H249" s="134" t="s">
        <v>411</v>
      </c>
      <c r="I249" s="7" t="s">
        <v>158</v>
      </c>
      <c r="J249" s="7" t="s">
        <v>10639</v>
      </c>
      <c r="K249" s="7"/>
      <c r="L249" s="7" t="s">
        <v>167</v>
      </c>
      <c r="M249" s="7" t="s">
        <v>992</v>
      </c>
      <c r="N249" s="7" t="s">
        <v>170</v>
      </c>
      <c r="O249" s="7" t="s">
        <v>162</v>
      </c>
      <c r="P249" s="7" t="s">
        <v>1012</v>
      </c>
      <c r="Q249" s="129">
        <v>46199</v>
      </c>
      <c r="R249" s="130">
        <v>46181</v>
      </c>
      <c r="S249" s="131">
        <v>-18</v>
      </c>
      <c r="T249" s="127">
        <v>1</v>
      </c>
      <c r="U249" s="127"/>
      <c r="V249" s="127">
        <v>1</v>
      </c>
      <c r="W249" s="127"/>
      <c r="X249" s="135">
        <f t="shared" si="27"/>
        <v>0</v>
      </c>
      <c r="Y249" s="135" t="b">
        <f t="shared" si="29"/>
        <v>0</v>
      </c>
      <c r="Z249" s="135" t="b">
        <f t="shared" si="30"/>
        <v>0</v>
      </c>
      <c r="AA249" s="135" t="b">
        <f t="shared" si="31"/>
        <v>0</v>
      </c>
      <c r="AB249" s="7" t="s">
        <v>175</v>
      </c>
      <c r="AC249" s="7" t="s">
        <v>318</v>
      </c>
    </row>
    <row r="250" spans="1:29" hidden="1" x14ac:dyDescent="0.25">
      <c r="A250" s="127"/>
      <c r="B250" s="136" t="str">
        <f t="shared" si="28"/>
        <v>UYCT</v>
      </c>
      <c r="C250" s="136" t="str">
        <f>+VLOOKUP(AC250,Ходим!A:B,2,0)</f>
        <v>30309975930028</v>
      </c>
      <c r="D250" s="136" t="str">
        <f>IFERROR(VLOOKUP($B:$B,[20]свод!$A:$AB,3,0)," ")</f>
        <v>Уйчи тумани</v>
      </c>
      <c r="E250" s="7" t="s">
        <v>3565</v>
      </c>
      <c r="F250" s="7" t="s">
        <v>9934</v>
      </c>
      <c r="G250" s="134" t="s">
        <v>411</v>
      </c>
      <c r="H250" s="134">
        <v>1</v>
      </c>
      <c r="I250" s="7" t="s">
        <v>157</v>
      </c>
      <c r="J250" s="7" t="s">
        <v>10639</v>
      </c>
      <c r="K250" s="7"/>
      <c r="L250" s="7"/>
      <c r="M250" s="7"/>
      <c r="N250" s="7" t="s">
        <v>410</v>
      </c>
      <c r="O250" s="7" t="s">
        <v>161</v>
      </c>
      <c r="P250" s="7" t="s">
        <v>7367</v>
      </c>
      <c r="Q250" s="129">
        <v>46199</v>
      </c>
      <c r="R250" s="130">
        <v>46197</v>
      </c>
      <c r="S250" s="131">
        <v>-2</v>
      </c>
      <c r="T250" s="127">
        <v>1</v>
      </c>
      <c r="U250" s="127"/>
      <c r="V250" s="127">
        <v>1</v>
      </c>
      <c r="W250" s="127"/>
      <c r="X250" s="135">
        <f t="shared" si="27"/>
        <v>0</v>
      </c>
      <c r="Y250" s="135" t="b">
        <f t="shared" si="29"/>
        <v>0</v>
      </c>
      <c r="Z250" s="135" t="b">
        <f t="shared" si="30"/>
        <v>0</v>
      </c>
      <c r="AA250" s="135" t="b">
        <f t="shared" si="31"/>
        <v>0</v>
      </c>
      <c r="AB250" s="7" t="s">
        <v>379</v>
      </c>
      <c r="AC250" s="7" t="s">
        <v>261</v>
      </c>
    </row>
    <row r="251" spans="1:29" x14ac:dyDescent="0.25">
      <c r="A251" s="127"/>
      <c r="B251" s="136" t="str">
        <f t="shared" si="28"/>
        <v>POPT</v>
      </c>
      <c r="C251" s="136" t="str">
        <f>+VLOOKUP(AC251,Ходим!A:B,2,0)</f>
        <v>31503892210028</v>
      </c>
      <c r="D251" s="136" t="str">
        <f>IFERROR(VLOOKUP($B:$B,[20]свод!$A:$AB,3,0)," ")</f>
        <v>Поп тумани</v>
      </c>
      <c r="E251" s="7" t="s">
        <v>3567</v>
      </c>
      <c r="F251" s="7" t="s">
        <v>9936</v>
      </c>
      <c r="G251" s="134">
        <v>1</v>
      </c>
      <c r="H251" s="134" t="s">
        <v>411</v>
      </c>
      <c r="I251" s="7" t="s">
        <v>158</v>
      </c>
      <c r="J251" s="7" t="s">
        <v>2</v>
      </c>
      <c r="K251" s="7"/>
      <c r="L251" s="7" t="s">
        <v>167</v>
      </c>
      <c r="M251" s="7" t="s">
        <v>385</v>
      </c>
      <c r="N251" s="7" t="s">
        <v>170</v>
      </c>
      <c r="O251" s="7" t="s">
        <v>162</v>
      </c>
      <c r="P251" s="7" t="s">
        <v>6679</v>
      </c>
      <c r="Q251" s="129">
        <v>46199</v>
      </c>
      <c r="R251" s="130">
        <v>46199</v>
      </c>
      <c r="S251" s="131">
        <v>0</v>
      </c>
      <c r="T251" s="127"/>
      <c r="U251" s="127">
        <v>1</v>
      </c>
      <c r="V251" s="127"/>
      <c r="W251" s="127"/>
      <c r="X251" s="135">
        <f t="shared" si="27"/>
        <v>0</v>
      </c>
      <c r="Y251" s="135" t="b">
        <f t="shared" si="29"/>
        <v>0</v>
      </c>
      <c r="Z251" s="135" t="b">
        <f t="shared" si="30"/>
        <v>0</v>
      </c>
      <c r="AA251" s="135" t="b">
        <f t="shared" si="31"/>
        <v>0</v>
      </c>
      <c r="AB251" s="7" t="s">
        <v>214</v>
      </c>
      <c r="AC251" s="7" t="s">
        <v>285</v>
      </c>
    </row>
    <row r="252" spans="1:29" hidden="1" x14ac:dyDescent="0.25">
      <c r="A252" s="127"/>
      <c r="B252" s="136" t="str">
        <f t="shared" si="28"/>
        <v>TORT</v>
      </c>
      <c r="C252" s="136" t="str">
        <f>+VLOOKUP(AC252,Ходим!A:B,2,0)</f>
        <v>31609912130025</v>
      </c>
      <c r="D252" s="136" t="str">
        <f>IFERROR(VLOOKUP($B:$B,[20]свод!$A:$AB,3,0)," ")</f>
        <v>Тўрақўрғон тумани</v>
      </c>
      <c r="E252" s="7" t="s">
        <v>3596</v>
      </c>
      <c r="F252" s="7" t="s">
        <v>9963</v>
      </c>
      <c r="G252" s="134" t="s">
        <v>411</v>
      </c>
      <c r="H252" s="134">
        <v>1</v>
      </c>
      <c r="I252" s="7" t="s">
        <v>157</v>
      </c>
      <c r="J252" s="7" t="s">
        <v>10639</v>
      </c>
      <c r="K252" s="7"/>
      <c r="L252" s="7" t="s">
        <v>166</v>
      </c>
      <c r="M252" s="7" t="s">
        <v>5852</v>
      </c>
      <c r="N252" s="7" t="s">
        <v>170</v>
      </c>
      <c r="O252" s="7" t="s">
        <v>161</v>
      </c>
      <c r="P252" s="7" t="s">
        <v>7377</v>
      </c>
      <c r="Q252" s="129">
        <v>46199</v>
      </c>
      <c r="R252" s="130">
        <v>46198</v>
      </c>
      <c r="S252" s="131">
        <v>-1</v>
      </c>
      <c r="T252" s="127">
        <v>1</v>
      </c>
      <c r="U252" s="127"/>
      <c r="V252" s="127">
        <v>1</v>
      </c>
      <c r="W252" s="127"/>
      <c r="X252" s="135">
        <f t="shared" si="27"/>
        <v>0</v>
      </c>
      <c r="Y252" s="135" t="b">
        <f t="shared" si="29"/>
        <v>0</v>
      </c>
      <c r="Z252" s="135" t="b">
        <f t="shared" si="30"/>
        <v>0</v>
      </c>
      <c r="AA252" s="135" t="b">
        <f t="shared" si="31"/>
        <v>0</v>
      </c>
      <c r="AB252" s="7" t="s">
        <v>203</v>
      </c>
      <c r="AC252" s="7" t="s">
        <v>280</v>
      </c>
    </row>
    <row r="253" spans="1:29" x14ac:dyDescent="0.25">
      <c r="A253" s="127"/>
      <c r="B253" s="136" t="str">
        <f t="shared" si="28"/>
        <v>UYCT</v>
      </c>
      <c r="C253" s="136" t="str">
        <f>+VLOOKUP(AC253,Ходим!A:B,2,0)</f>
        <v>32002975930037</v>
      </c>
      <c r="D253" s="136" t="str">
        <f>IFERROR(VLOOKUP($B:$B,[20]свод!$A:$AB,3,0)," ")</f>
        <v>Уйчи тумани</v>
      </c>
      <c r="E253" s="7" t="s">
        <v>3611</v>
      </c>
      <c r="F253" s="7" t="s">
        <v>9978</v>
      </c>
      <c r="G253" s="134">
        <v>1</v>
      </c>
      <c r="H253" s="134" t="s">
        <v>411</v>
      </c>
      <c r="I253" s="7" t="s">
        <v>158</v>
      </c>
      <c r="J253" s="7" t="s">
        <v>1</v>
      </c>
      <c r="K253" s="7"/>
      <c r="L253" s="7" t="s">
        <v>167</v>
      </c>
      <c r="M253" s="7" t="s">
        <v>5862</v>
      </c>
      <c r="N253" s="7" t="s">
        <v>170</v>
      </c>
      <c r="O253" s="7" t="s">
        <v>163</v>
      </c>
      <c r="P253" s="7" t="s">
        <v>7204</v>
      </c>
      <c r="Q253" s="129">
        <v>46199</v>
      </c>
      <c r="R253" s="130">
        <v>46199</v>
      </c>
      <c r="S253" s="131">
        <v>0</v>
      </c>
      <c r="T253" s="127"/>
      <c r="U253" s="127">
        <v>1</v>
      </c>
      <c r="V253" s="127"/>
      <c r="W253" s="127"/>
      <c r="X253" s="135">
        <f t="shared" si="27"/>
        <v>0</v>
      </c>
      <c r="Y253" s="135" t="b">
        <f t="shared" si="29"/>
        <v>0</v>
      </c>
      <c r="Z253" s="135" t="b">
        <f t="shared" si="30"/>
        <v>0</v>
      </c>
      <c r="AA253" s="135" t="b">
        <f t="shared" si="31"/>
        <v>0</v>
      </c>
      <c r="AB253" s="7" t="s">
        <v>947</v>
      </c>
      <c r="AC253" s="7" t="s">
        <v>260</v>
      </c>
    </row>
    <row r="254" spans="1:29" x14ac:dyDescent="0.25">
      <c r="A254" s="127"/>
      <c r="B254" s="136" t="str">
        <f t="shared" si="28"/>
        <v>POPT</v>
      </c>
      <c r="C254" s="136" t="str">
        <f>+VLOOKUP(AC254,Ходим!A:B,2,0)</f>
        <v>50310025910024</v>
      </c>
      <c r="D254" s="136" t="str">
        <f>IFERROR(VLOOKUP($B:$B,[20]свод!$A:$AB,3,0)," ")</f>
        <v>Поп тумани</v>
      </c>
      <c r="E254" s="7" t="s">
        <v>3646</v>
      </c>
      <c r="F254" s="7" t="s">
        <v>10013</v>
      </c>
      <c r="G254" s="134">
        <v>1</v>
      </c>
      <c r="H254" s="134" t="s">
        <v>411</v>
      </c>
      <c r="I254" s="7" t="s">
        <v>154</v>
      </c>
      <c r="J254" s="7" t="s">
        <v>12</v>
      </c>
      <c r="K254" s="7"/>
      <c r="L254" s="7" t="s">
        <v>167</v>
      </c>
      <c r="M254" s="7" t="s">
        <v>5884</v>
      </c>
      <c r="N254" s="7" t="s">
        <v>170</v>
      </c>
      <c r="O254" s="7" t="s">
        <v>162</v>
      </c>
      <c r="P254" s="7" t="s">
        <v>6659</v>
      </c>
      <c r="Q254" s="129">
        <v>46199</v>
      </c>
      <c r="R254" s="130">
        <v>46199</v>
      </c>
      <c r="S254" s="131">
        <v>0</v>
      </c>
      <c r="T254" s="127"/>
      <c r="U254" s="127">
        <v>1</v>
      </c>
      <c r="V254" s="127"/>
      <c r="W254" s="127"/>
      <c r="X254" s="135">
        <f t="shared" si="27"/>
        <v>0</v>
      </c>
      <c r="Y254" s="135" t="b">
        <f t="shared" si="29"/>
        <v>0</v>
      </c>
      <c r="Z254" s="135" t="b">
        <f t="shared" si="30"/>
        <v>0</v>
      </c>
      <c r="AA254" s="135" t="b">
        <f t="shared" si="31"/>
        <v>0</v>
      </c>
      <c r="AB254" s="7" t="s">
        <v>240</v>
      </c>
      <c r="AC254" s="7" t="s">
        <v>964</v>
      </c>
    </row>
    <row r="255" spans="1:29" x14ac:dyDescent="0.25">
      <c r="A255" s="127"/>
      <c r="B255" s="136" t="str">
        <f t="shared" si="28"/>
        <v>POPT</v>
      </c>
      <c r="C255" s="136" t="str">
        <f>+VLOOKUP(AC255,Ходим!A:B,2,0)</f>
        <v>31103842180041</v>
      </c>
      <c r="D255" s="136" t="str">
        <f>IFERROR(VLOOKUP($B:$B,[20]свод!$A:$AB,3,0)," ")</f>
        <v>Поп тумани</v>
      </c>
      <c r="E255" s="7" t="s">
        <v>3655</v>
      </c>
      <c r="F255" s="7" t="s">
        <v>10022</v>
      </c>
      <c r="G255" s="134" t="s">
        <v>411</v>
      </c>
      <c r="H255" s="134">
        <v>1</v>
      </c>
      <c r="I255" s="7" t="s">
        <v>157</v>
      </c>
      <c r="J255" s="7" t="s">
        <v>36</v>
      </c>
      <c r="K255" s="7"/>
      <c r="L255" s="7" t="s">
        <v>166</v>
      </c>
      <c r="M255" s="7" t="s">
        <v>5888</v>
      </c>
      <c r="N255" s="7" t="s">
        <v>170</v>
      </c>
      <c r="O255" s="7" t="s">
        <v>161</v>
      </c>
      <c r="P255" s="7" t="s">
        <v>6854</v>
      </c>
      <c r="Q255" s="129">
        <v>46199</v>
      </c>
      <c r="R255" s="130">
        <v>46199</v>
      </c>
      <c r="S255" s="131">
        <v>0</v>
      </c>
      <c r="T255" s="127"/>
      <c r="U255" s="127">
        <v>1</v>
      </c>
      <c r="V255" s="127"/>
      <c r="W255" s="127"/>
      <c r="X255" s="135">
        <f t="shared" si="27"/>
        <v>0</v>
      </c>
      <c r="Y255" s="135" t="b">
        <f t="shared" si="29"/>
        <v>0</v>
      </c>
      <c r="Z255" s="135" t="b">
        <f t="shared" si="30"/>
        <v>0</v>
      </c>
      <c r="AA255" s="135" t="b">
        <f t="shared" si="31"/>
        <v>0</v>
      </c>
      <c r="AB255" s="7" t="s">
        <v>214</v>
      </c>
      <c r="AC255" s="7" t="s">
        <v>337</v>
      </c>
    </row>
    <row r="256" spans="1:29" x14ac:dyDescent="0.25">
      <c r="A256" s="127"/>
      <c r="B256" s="136" t="str">
        <f t="shared" si="28"/>
        <v>POPT</v>
      </c>
      <c r="C256" s="136" t="str">
        <f>+VLOOKUP(AC256,Ходим!A:B,2,0)</f>
        <v>32209966000029</v>
      </c>
      <c r="D256" s="136" t="str">
        <f>IFERROR(VLOOKUP($B:$B,[20]свод!$A:$AB,3,0)," ")</f>
        <v>Поп тумани</v>
      </c>
      <c r="E256" s="7" t="s">
        <v>3668</v>
      </c>
      <c r="F256" s="7" t="s">
        <v>10035</v>
      </c>
      <c r="G256" s="134">
        <v>1</v>
      </c>
      <c r="H256" s="134" t="s">
        <v>411</v>
      </c>
      <c r="I256" s="7" t="s">
        <v>158</v>
      </c>
      <c r="J256" s="7" t="s">
        <v>1</v>
      </c>
      <c r="K256" s="7"/>
      <c r="L256" s="7" t="s">
        <v>169</v>
      </c>
      <c r="M256" s="7" t="s">
        <v>5896</v>
      </c>
      <c r="N256" s="7" t="s">
        <v>170</v>
      </c>
      <c r="O256" s="7" t="s">
        <v>162</v>
      </c>
      <c r="P256" s="7" t="s">
        <v>7393</v>
      </c>
      <c r="Q256" s="129">
        <v>46199</v>
      </c>
      <c r="R256" s="130">
        <v>46199</v>
      </c>
      <c r="S256" s="131">
        <v>0</v>
      </c>
      <c r="T256" s="127"/>
      <c r="U256" s="127">
        <v>1</v>
      </c>
      <c r="V256" s="127"/>
      <c r="W256" s="127"/>
      <c r="X256" s="135">
        <f t="shared" si="27"/>
        <v>0</v>
      </c>
      <c r="Y256" s="135" t="b">
        <f t="shared" si="29"/>
        <v>0</v>
      </c>
      <c r="Z256" s="135" t="b">
        <f t="shared" si="30"/>
        <v>0</v>
      </c>
      <c r="AA256" s="135" t="b">
        <f t="shared" si="31"/>
        <v>0</v>
      </c>
      <c r="AB256" s="7" t="s">
        <v>214</v>
      </c>
      <c r="AC256" s="7" t="s">
        <v>282</v>
      </c>
    </row>
    <row r="257" spans="1:29" x14ac:dyDescent="0.25">
      <c r="A257" s="127"/>
      <c r="B257" s="136" t="str">
        <f t="shared" si="28"/>
        <v>POPT</v>
      </c>
      <c r="C257" s="136" t="str">
        <f>+VLOOKUP(AC257,Ходим!A:B,2,0)</f>
        <v>32209966000029</v>
      </c>
      <c r="D257" s="136" t="str">
        <f>IFERROR(VLOOKUP($B:$B,[20]свод!$A:$AB,3,0)," ")</f>
        <v>Поп тумани</v>
      </c>
      <c r="E257" s="7" t="s">
        <v>3748</v>
      </c>
      <c r="F257" s="7" t="s">
        <v>10115</v>
      </c>
      <c r="G257" s="134">
        <v>1</v>
      </c>
      <c r="H257" s="134" t="s">
        <v>411</v>
      </c>
      <c r="I257" s="7" t="s">
        <v>158</v>
      </c>
      <c r="J257" s="7" t="s">
        <v>1</v>
      </c>
      <c r="K257" s="7"/>
      <c r="L257" s="7" t="s">
        <v>169</v>
      </c>
      <c r="M257" s="7" t="s">
        <v>5936</v>
      </c>
      <c r="N257" s="7" t="s">
        <v>170</v>
      </c>
      <c r="O257" s="7" t="s">
        <v>162</v>
      </c>
      <c r="P257" s="7" t="s">
        <v>7393</v>
      </c>
      <c r="Q257" s="129">
        <v>46199</v>
      </c>
      <c r="R257" s="130">
        <v>46199</v>
      </c>
      <c r="S257" s="131">
        <v>0</v>
      </c>
      <c r="T257" s="127"/>
      <c r="U257" s="127">
        <v>1</v>
      </c>
      <c r="V257" s="127"/>
      <c r="W257" s="127"/>
      <c r="X257" s="135">
        <f t="shared" si="27"/>
        <v>0</v>
      </c>
      <c r="Y257" s="135" t="b">
        <f t="shared" si="29"/>
        <v>0</v>
      </c>
      <c r="Z257" s="135" t="b">
        <f t="shared" si="30"/>
        <v>0</v>
      </c>
      <c r="AA257" s="135" t="b">
        <f t="shared" si="31"/>
        <v>0</v>
      </c>
      <c r="AB257" s="7" t="s">
        <v>214</v>
      </c>
      <c r="AC257" s="7" t="s">
        <v>282</v>
      </c>
    </row>
    <row r="258" spans="1:29" x14ac:dyDescent="0.25">
      <c r="A258" s="127"/>
      <c r="B258" s="136" t="str">
        <f t="shared" si="28"/>
        <v>UYCT</v>
      </c>
      <c r="C258" s="136" t="str">
        <f>+VLOOKUP(AC258,Ходим!A:B,2,0)</f>
        <v>31004952140036</v>
      </c>
      <c r="D258" s="136" t="str">
        <f>IFERROR(VLOOKUP($B:$B,[20]свод!$A:$AB,3,0)," ")</f>
        <v>Уйчи тумани</v>
      </c>
      <c r="E258" s="7" t="s">
        <v>3752</v>
      </c>
      <c r="F258" s="7" t="s">
        <v>10119</v>
      </c>
      <c r="G258" s="134" t="s">
        <v>411</v>
      </c>
      <c r="H258" s="134">
        <v>1</v>
      </c>
      <c r="I258" s="7" t="s">
        <v>157</v>
      </c>
      <c r="J258" s="7" t="s">
        <v>51</v>
      </c>
      <c r="K258" s="7"/>
      <c r="L258" s="7" t="s">
        <v>168</v>
      </c>
      <c r="M258" s="7" t="s">
        <v>5939</v>
      </c>
      <c r="N258" s="7" t="s">
        <v>170</v>
      </c>
      <c r="O258" s="7" t="s">
        <v>161</v>
      </c>
      <c r="P258" s="7" t="s">
        <v>7416</v>
      </c>
      <c r="Q258" s="129">
        <v>46199</v>
      </c>
      <c r="R258" s="130">
        <v>46195</v>
      </c>
      <c r="S258" s="131">
        <v>-4</v>
      </c>
      <c r="T258" s="127">
        <v>1</v>
      </c>
      <c r="U258" s="127"/>
      <c r="V258" s="127"/>
      <c r="W258" s="127">
        <v>1</v>
      </c>
      <c r="X258" s="135">
        <f t="shared" ref="X258:X277" si="32">+IF(I258="Cheklov yaratish",1,IF(I258="Registratsiya (tashqi - UZKAD da bor)",1,IF(I258="G'olib nomiga ko'chirma shakllantirish",1,IF(I258="Auksion yerlari uchun ko'chirma shakllantirish",1,0))))</f>
        <v>0</v>
      </c>
      <c r="Y258" s="135" t="b">
        <f t="shared" si="29"/>
        <v>0</v>
      </c>
      <c r="Z258" s="135" t="b">
        <f t="shared" si="30"/>
        <v>0</v>
      </c>
      <c r="AA258" s="135" t="b">
        <f t="shared" si="31"/>
        <v>0</v>
      </c>
      <c r="AB258" s="7" t="s">
        <v>947</v>
      </c>
      <c r="AC258" s="7" t="s">
        <v>331</v>
      </c>
    </row>
    <row r="259" spans="1:29" x14ac:dyDescent="0.25">
      <c r="A259" s="127"/>
      <c r="B259" s="136" t="str">
        <f t="shared" si="28"/>
        <v>NAMS</v>
      </c>
      <c r="C259" s="136">
        <f>+VLOOKUP(AC259,Ходим!A:B,2,0)</f>
        <v>51006025960068</v>
      </c>
      <c r="D259" s="136" t="str">
        <f>IFERROR(VLOOKUP($B:$B,[20]свод!$A:$AB,3,0)," ")</f>
        <v>Наманган шаҳар</v>
      </c>
      <c r="E259" s="7" t="s">
        <v>3778</v>
      </c>
      <c r="F259" s="7" t="s">
        <v>10145</v>
      </c>
      <c r="G259" s="134" t="s">
        <v>411</v>
      </c>
      <c r="H259" s="134">
        <v>1</v>
      </c>
      <c r="I259" s="7" t="s">
        <v>154</v>
      </c>
      <c r="J259" s="7" t="s">
        <v>12</v>
      </c>
      <c r="K259" s="7"/>
      <c r="L259" s="7" t="s">
        <v>166</v>
      </c>
      <c r="M259" s="7" t="s">
        <v>5956</v>
      </c>
      <c r="N259" s="7" t="s">
        <v>170</v>
      </c>
      <c r="O259" s="7" t="s">
        <v>161</v>
      </c>
      <c r="P259" s="7" t="s">
        <v>7423</v>
      </c>
      <c r="Q259" s="129">
        <v>46199</v>
      </c>
      <c r="R259" s="130">
        <v>46199</v>
      </c>
      <c r="S259" s="131">
        <v>0</v>
      </c>
      <c r="T259" s="127"/>
      <c r="U259" s="127">
        <v>1</v>
      </c>
      <c r="V259" s="127"/>
      <c r="W259" s="127"/>
      <c r="X259" s="135">
        <f t="shared" si="32"/>
        <v>0</v>
      </c>
      <c r="Y259" s="135" t="b">
        <f t="shared" si="29"/>
        <v>0</v>
      </c>
      <c r="Z259" s="135" t="b">
        <f t="shared" si="30"/>
        <v>0</v>
      </c>
      <c r="AA259" s="135" t="b">
        <f t="shared" si="31"/>
        <v>0</v>
      </c>
      <c r="AB259" s="7" t="s">
        <v>227</v>
      </c>
      <c r="AC259" s="7" t="s">
        <v>944</v>
      </c>
    </row>
    <row r="260" spans="1:29" hidden="1" x14ac:dyDescent="0.25">
      <c r="A260" s="127"/>
      <c r="B260" s="136" t="str">
        <f t="shared" si="28"/>
        <v>UYCT</v>
      </c>
      <c r="C260" s="136" t="str">
        <f>+VLOOKUP(AC260,Ходим!A:B,2,0)</f>
        <v>31310995930032</v>
      </c>
      <c r="D260" s="136" t="str">
        <f>IFERROR(VLOOKUP($B:$B,[20]свод!$A:$AB,3,0)," ")</f>
        <v>Уйчи тумани</v>
      </c>
      <c r="E260" s="7" t="s">
        <v>3847</v>
      </c>
      <c r="F260" s="7" t="s">
        <v>10214</v>
      </c>
      <c r="G260" s="134" t="s">
        <v>411</v>
      </c>
      <c r="H260" s="134">
        <v>1</v>
      </c>
      <c r="I260" s="7" t="s">
        <v>157</v>
      </c>
      <c r="J260" s="7" t="s">
        <v>10639</v>
      </c>
      <c r="K260" s="7"/>
      <c r="L260" s="7" t="s">
        <v>168</v>
      </c>
      <c r="M260" s="7" t="s">
        <v>6008</v>
      </c>
      <c r="N260" s="7" t="s">
        <v>410</v>
      </c>
      <c r="O260" s="7" t="s">
        <v>161</v>
      </c>
      <c r="P260" s="7" t="s">
        <v>7094</v>
      </c>
      <c r="Q260" s="129">
        <v>46199</v>
      </c>
      <c r="R260" s="130">
        <v>46197</v>
      </c>
      <c r="S260" s="131">
        <v>-2</v>
      </c>
      <c r="T260" s="127">
        <v>1</v>
      </c>
      <c r="U260" s="127"/>
      <c r="V260" s="127">
        <v>1</v>
      </c>
      <c r="W260" s="127"/>
      <c r="X260" s="135">
        <f t="shared" si="32"/>
        <v>0</v>
      </c>
      <c r="Y260" s="135" t="b">
        <f t="shared" si="29"/>
        <v>0</v>
      </c>
      <c r="Z260" s="135" t="b">
        <f t="shared" si="30"/>
        <v>0</v>
      </c>
      <c r="AA260" s="135" t="b">
        <f t="shared" si="31"/>
        <v>0</v>
      </c>
      <c r="AB260" s="7" t="s">
        <v>947</v>
      </c>
      <c r="AC260" s="7" t="s">
        <v>399</v>
      </c>
    </row>
    <row r="261" spans="1:29" x14ac:dyDescent="0.25">
      <c r="A261" s="127"/>
      <c r="B261" s="136" t="str">
        <f t="shared" si="28"/>
        <v>POPT</v>
      </c>
      <c r="C261" s="136" t="str">
        <f>+VLOOKUP(AC261,Ходим!A:B,2,0)</f>
        <v>32209966000029</v>
      </c>
      <c r="D261" s="136" t="str">
        <f>IFERROR(VLOOKUP($B:$B,[20]свод!$A:$AB,3,0)," ")</f>
        <v>Поп тумани</v>
      </c>
      <c r="E261" s="7" t="s">
        <v>3849</v>
      </c>
      <c r="F261" s="7" t="s">
        <v>10216</v>
      </c>
      <c r="G261" s="134">
        <v>1</v>
      </c>
      <c r="H261" s="134" t="s">
        <v>411</v>
      </c>
      <c r="I261" s="7" t="s">
        <v>158</v>
      </c>
      <c r="J261" s="7" t="s">
        <v>1</v>
      </c>
      <c r="K261" s="7"/>
      <c r="L261" s="7" t="s">
        <v>169</v>
      </c>
      <c r="M261" s="7" t="s">
        <v>6010</v>
      </c>
      <c r="N261" s="7" t="s">
        <v>170</v>
      </c>
      <c r="O261" s="7" t="s">
        <v>162</v>
      </c>
      <c r="P261" s="7" t="s">
        <v>7393</v>
      </c>
      <c r="Q261" s="129">
        <v>46199</v>
      </c>
      <c r="R261" s="130">
        <v>46199</v>
      </c>
      <c r="S261" s="131">
        <v>0</v>
      </c>
      <c r="T261" s="127"/>
      <c r="U261" s="127">
        <v>1</v>
      </c>
      <c r="V261" s="127"/>
      <c r="W261" s="127"/>
      <c r="X261" s="135">
        <f t="shared" si="32"/>
        <v>0</v>
      </c>
      <c r="Y261" s="135" t="b">
        <f t="shared" si="29"/>
        <v>0</v>
      </c>
      <c r="Z261" s="135" t="b">
        <f t="shared" si="30"/>
        <v>0</v>
      </c>
      <c r="AA261" s="135" t="b">
        <f t="shared" si="31"/>
        <v>0</v>
      </c>
      <c r="AB261" s="7" t="s">
        <v>214</v>
      </c>
      <c r="AC261" s="7" t="s">
        <v>282</v>
      </c>
    </row>
    <row r="262" spans="1:29" hidden="1" x14ac:dyDescent="0.25">
      <c r="A262" s="127"/>
      <c r="B262" s="136" t="str">
        <f t="shared" si="28"/>
        <v>KSST</v>
      </c>
      <c r="C262" s="136" t="str">
        <f>+VLOOKUP(AC262,Ходим!A:B,2,0)</f>
        <v>32910975980025</v>
      </c>
      <c r="D262" s="136" t="str">
        <f>IFERROR(VLOOKUP($B:$B,[20]свод!$A:$AB,3,0)," ")</f>
        <v>Косонсой тумани</v>
      </c>
      <c r="E262" s="7" t="s">
        <v>3878</v>
      </c>
      <c r="F262" s="7" t="s">
        <v>10245</v>
      </c>
      <c r="G262" s="134" t="s">
        <v>411</v>
      </c>
      <c r="H262" s="134">
        <v>1</v>
      </c>
      <c r="I262" s="7" t="s">
        <v>157</v>
      </c>
      <c r="J262" s="7" t="s">
        <v>10639</v>
      </c>
      <c r="K262" s="7"/>
      <c r="L262" s="7" t="s">
        <v>168</v>
      </c>
      <c r="M262" s="7" t="s">
        <v>6029</v>
      </c>
      <c r="N262" s="7" t="s">
        <v>170</v>
      </c>
      <c r="O262" s="7" t="s">
        <v>161</v>
      </c>
      <c r="P262" s="7" t="s">
        <v>6317</v>
      </c>
      <c r="Q262" s="129">
        <v>46199</v>
      </c>
      <c r="R262" s="130">
        <v>46199</v>
      </c>
      <c r="S262" s="131">
        <v>0</v>
      </c>
      <c r="T262" s="127"/>
      <c r="U262" s="127">
        <v>1</v>
      </c>
      <c r="V262" s="127"/>
      <c r="W262" s="127"/>
      <c r="X262" s="135">
        <f t="shared" si="32"/>
        <v>0</v>
      </c>
      <c r="Y262" s="135" t="b">
        <f t="shared" si="29"/>
        <v>0</v>
      </c>
      <c r="Z262" s="135" t="b">
        <f t="shared" si="30"/>
        <v>0</v>
      </c>
      <c r="AA262" s="135" t="b">
        <f t="shared" si="31"/>
        <v>0</v>
      </c>
      <c r="AB262" s="7" t="s">
        <v>180</v>
      </c>
      <c r="AC262" s="7" t="s">
        <v>187</v>
      </c>
    </row>
    <row r="263" spans="1:29" x14ac:dyDescent="0.25">
      <c r="A263" s="127"/>
      <c r="B263" s="136" t="str">
        <f t="shared" si="28"/>
        <v>UYCT</v>
      </c>
      <c r="C263" s="136" t="str">
        <f>+VLOOKUP(AC263,Ходим!A:B,2,0)</f>
        <v>32906985930035</v>
      </c>
      <c r="D263" s="136" t="str">
        <f>IFERROR(VLOOKUP($B:$B,[20]свод!$A:$AB,3,0)," ")</f>
        <v>Уйчи тумани</v>
      </c>
      <c r="E263" s="7" t="s">
        <v>3888</v>
      </c>
      <c r="F263" s="7" t="s">
        <v>10255</v>
      </c>
      <c r="G263" s="134" t="s">
        <v>411</v>
      </c>
      <c r="H263" s="134">
        <v>1</v>
      </c>
      <c r="I263" s="7" t="s">
        <v>157</v>
      </c>
      <c r="J263" s="7" t="s">
        <v>85</v>
      </c>
      <c r="K263" s="7"/>
      <c r="L263" s="7" t="s">
        <v>166</v>
      </c>
      <c r="M263" s="7" t="s">
        <v>6035</v>
      </c>
      <c r="N263" s="7" t="s">
        <v>410</v>
      </c>
      <c r="O263" s="7" t="s">
        <v>161</v>
      </c>
      <c r="P263" s="7" t="s">
        <v>7272</v>
      </c>
      <c r="Q263" s="129">
        <v>46199</v>
      </c>
      <c r="R263" s="130">
        <v>46197</v>
      </c>
      <c r="S263" s="131">
        <v>-2</v>
      </c>
      <c r="T263" s="127">
        <v>1</v>
      </c>
      <c r="U263" s="127"/>
      <c r="V263" s="127">
        <v>1</v>
      </c>
      <c r="W263" s="127"/>
      <c r="X263" s="135">
        <f t="shared" si="32"/>
        <v>0</v>
      </c>
      <c r="Y263" s="135" t="b">
        <f t="shared" si="29"/>
        <v>0</v>
      </c>
      <c r="Z263" s="135" t="b">
        <f t="shared" si="30"/>
        <v>0</v>
      </c>
      <c r="AA263" s="135" t="b">
        <f t="shared" si="31"/>
        <v>0</v>
      </c>
      <c r="AB263" s="7" t="s">
        <v>947</v>
      </c>
      <c r="AC263" s="7" t="s">
        <v>257</v>
      </c>
    </row>
    <row r="264" spans="1:29" hidden="1" x14ac:dyDescent="0.25">
      <c r="A264" s="127"/>
      <c r="B264" s="136" t="str">
        <f t="shared" si="28"/>
        <v>CHUT</v>
      </c>
      <c r="C264" s="136" t="str">
        <f>+VLOOKUP(AC264,Ходим!A:B,2,0)</f>
        <v>52508015970048</v>
      </c>
      <c r="D264" s="136" t="str">
        <f>IFERROR(VLOOKUP($B:$B,[20]свод!$A:$AB,3,0)," ")</f>
        <v>Чуст тумани</v>
      </c>
      <c r="E264" s="7" t="s">
        <v>3901</v>
      </c>
      <c r="F264" s="7" t="s">
        <v>10268</v>
      </c>
      <c r="G264" s="134">
        <v>1</v>
      </c>
      <c r="H264" s="134" t="s">
        <v>411</v>
      </c>
      <c r="I264" s="7" t="s">
        <v>158</v>
      </c>
      <c r="J264" s="7" t="s">
        <v>10639</v>
      </c>
      <c r="K264" s="7"/>
      <c r="L264" s="7" t="s">
        <v>167</v>
      </c>
      <c r="M264" s="7" t="s">
        <v>6046</v>
      </c>
      <c r="N264" s="7" t="s">
        <v>170</v>
      </c>
      <c r="O264" s="7" t="s">
        <v>162</v>
      </c>
      <c r="P264" s="7" t="s">
        <v>7460</v>
      </c>
      <c r="Q264" s="129">
        <v>46199</v>
      </c>
      <c r="R264" s="130">
        <v>46190</v>
      </c>
      <c r="S264" s="131">
        <v>-9</v>
      </c>
      <c r="T264" s="127">
        <v>1</v>
      </c>
      <c r="U264" s="127"/>
      <c r="V264" s="127">
        <v>1</v>
      </c>
      <c r="W264" s="127"/>
      <c r="X264" s="135">
        <f t="shared" si="32"/>
        <v>0</v>
      </c>
      <c r="Y264" s="135" t="b">
        <f t="shared" si="29"/>
        <v>0</v>
      </c>
      <c r="Z264" s="135" t="b">
        <f t="shared" si="30"/>
        <v>0</v>
      </c>
      <c r="AA264" s="135" t="b">
        <f t="shared" si="31"/>
        <v>0</v>
      </c>
      <c r="AB264" s="7" t="s">
        <v>178</v>
      </c>
      <c r="AC264" s="7" t="s">
        <v>350</v>
      </c>
    </row>
    <row r="265" spans="1:29" hidden="1" x14ac:dyDescent="0.25">
      <c r="A265" s="127"/>
      <c r="B265" s="136" t="str">
        <f t="shared" si="28"/>
        <v>NORT</v>
      </c>
      <c r="C265" s="136" t="str">
        <f>+VLOOKUP(AC265,Ходим!A:B,2,0)</f>
        <v>32103985900068</v>
      </c>
      <c r="D265" s="136" t="str">
        <f>IFERROR(VLOOKUP($B:$B,[20]свод!$A:$AB,3,0)," ")</f>
        <v>Норин тумани</v>
      </c>
      <c r="E265" s="7" t="s">
        <v>3910</v>
      </c>
      <c r="F265" s="7" t="s">
        <v>10277</v>
      </c>
      <c r="G265" s="134">
        <v>1</v>
      </c>
      <c r="H265" s="134" t="s">
        <v>411</v>
      </c>
      <c r="I265" s="7" t="s">
        <v>158</v>
      </c>
      <c r="J265" s="7" t="s">
        <v>10639</v>
      </c>
      <c r="K265" s="7"/>
      <c r="L265" s="7" t="s">
        <v>167</v>
      </c>
      <c r="M265" s="7" t="s">
        <v>6052</v>
      </c>
      <c r="N265" s="7" t="s">
        <v>410</v>
      </c>
      <c r="O265" s="7" t="s">
        <v>162</v>
      </c>
      <c r="P265" s="7" t="s">
        <v>7462</v>
      </c>
      <c r="Q265" s="129">
        <v>46199</v>
      </c>
      <c r="R265" s="130">
        <v>46195</v>
      </c>
      <c r="S265" s="131">
        <v>-4</v>
      </c>
      <c r="T265" s="127">
        <v>1</v>
      </c>
      <c r="U265" s="127"/>
      <c r="V265" s="127">
        <v>1</v>
      </c>
      <c r="W265" s="127"/>
      <c r="X265" s="135">
        <f t="shared" si="32"/>
        <v>0</v>
      </c>
      <c r="Y265" s="135" t="b">
        <f t="shared" si="29"/>
        <v>0</v>
      </c>
      <c r="Z265" s="135" t="b">
        <f t="shared" si="30"/>
        <v>0</v>
      </c>
      <c r="AA265" s="135" t="b">
        <f t="shared" si="31"/>
        <v>0</v>
      </c>
      <c r="AB265" s="7" t="s">
        <v>210</v>
      </c>
      <c r="AC265" s="7" t="s">
        <v>327</v>
      </c>
    </row>
    <row r="266" spans="1:29" x14ac:dyDescent="0.25">
      <c r="A266" s="127"/>
      <c r="B266" s="136" t="str">
        <f t="shared" si="28"/>
        <v>UYCT</v>
      </c>
      <c r="C266" s="136" t="str">
        <f>+VLOOKUP(AC266,Ходим!A:B,2,0)</f>
        <v>30309975930028</v>
      </c>
      <c r="D266" s="136" t="str">
        <f>IFERROR(VLOOKUP($B:$B,[20]свод!$A:$AB,3,0)," ")</f>
        <v>Уйчи тумани</v>
      </c>
      <c r="E266" s="7" t="s">
        <v>3943</v>
      </c>
      <c r="F266" s="7" t="s">
        <v>10310</v>
      </c>
      <c r="G266" s="134">
        <v>1</v>
      </c>
      <c r="H266" s="134" t="s">
        <v>411</v>
      </c>
      <c r="I266" s="7" t="s">
        <v>154</v>
      </c>
      <c r="J266" s="7" t="s">
        <v>100</v>
      </c>
      <c r="K266" s="7"/>
      <c r="L266" s="7" t="s">
        <v>167</v>
      </c>
      <c r="M266" s="7" t="s">
        <v>6076</v>
      </c>
      <c r="N266" s="7" t="s">
        <v>170</v>
      </c>
      <c r="O266" s="7" t="s">
        <v>162</v>
      </c>
      <c r="P266" s="7" t="s">
        <v>7473</v>
      </c>
      <c r="Q266" s="129">
        <v>46199</v>
      </c>
      <c r="R266" s="130">
        <v>46198</v>
      </c>
      <c r="S266" s="131">
        <v>-1</v>
      </c>
      <c r="T266" s="127">
        <v>1</v>
      </c>
      <c r="U266" s="127"/>
      <c r="V266" s="127">
        <v>1</v>
      </c>
      <c r="W266" s="127"/>
      <c r="X266" s="135">
        <f t="shared" si="32"/>
        <v>0</v>
      </c>
      <c r="Y266" s="135" t="b">
        <f t="shared" si="29"/>
        <v>0</v>
      </c>
      <c r="Z266" s="135" t="b">
        <f t="shared" si="30"/>
        <v>0</v>
      </c>
      <c r="AA266" s="135" t="b">
        <f t="shared" si="31"/>
        <v>0</v>
      </c>
      <c r="AB266" s="7" t="s">
        <v>947</v>
      </c>
      <c r="AC266" s="7" t="s">
        <v>261</v>
      </c>
    </row>
    <row r="267" spans="1:29" x14ac:dyDescent="0.25">
      <c r="A267" s="127"/>
      <c r="B267" s="136" t="str">
        <f t="shared" si="28"/>
        <v>POPT</v>
      </c>
      <c r="C267" s="136" t="str">
        <f>+VLOOKUP(AC267,Ходим!A:B,2,0)</f>
        <v>30608945910016</v>
      </c>
      <c r="D267" s="136" t="str">
        <f>IFERROR(VLOOKUP($B:$B,[20]свод!$A:$AB,3,0)," ")</f>
        <v>Поп тумани</v>
      </c>
      <c r="E267" s="7" t="s">
        <v>3966</v>
      </c>
      <c r="F267" s="7"/>
      <c r="G267" s="134">
        <v>1</v>
      </c>
      <c r="H267" s="134" t="s">
        <v>411</v>
      </c>
      <c r="I267" s="7" t="s">
        <v>154</v>
      </c>
      <c r="J267" s="7" t="s">
        <v>145</v>
      </c>
      <c r="K267" s="7"/>
      <c r="L267" s="7" t="s">
        <v>167</v>
      </c>
      <c r="M267" s="7" t="s">
        <v>6088</v>
      </c>
      <c r="N267" s="7" t="s">
        <v>368</v>
      </c>
      <c r="O267" s="7"/>
      <c r="P267" s="7" t="s">
        <v>7484</v>
      </c>
      <c r="Q267" s="129">
        <v>46199</v>
      </c>
      <c r="R267" s="130">
        <v>46198</v>
      </c>
      <c r="S267" s="131">
        <v>-1</v>
      </c>
      <c r="T267" s="127">
        <v>1</v>
      </c>
      <c r="U267" s="127"/>
      <c r="V267" s="127">
        <v>1</v>
      </c>
      <c r="W267" s="127"/>
      <c r="X267" s="135">
        <f t="shared" si="32"/>
        <v>0</v>
      </c>
      <c r="Y267" s="135" t="b">
        <f t="shared" si="29"/>
        <v>0</v>
      </c>
      <c r="Z267" s="135" t="b">
        <f t="shared" si="30"/>
        <v>0</v>
      </c>
      <c r="AA267" s="135" t="b">
        <f t="shared" si="31"/>
        <v>0</v>
      </c>
      <c r="AB267" s="7" t="s">
        <v>214</v>
      </c>
      <c r="AC267" s="7" t="s">
        <v>295</v>
      </c>
    </row>
    <row r="268" spans="1:29" hidden="1" x14ac:dyDescent="0.25">
      <c r="A268" s="127"/>
      <c r="B268" s="136" t="str">
        <f t="shared" si="28"/>
        <v>YGQT</v>
      </c>
      <c r="C268" s="136" t="str">
        <f>+VLOOKUP(AC268,Ходим!A:B,2,0)</f>
        <v>30602822170087</v>
      </c>
      <c r="D268" s="136" t="str">
        <f>IFERROR(VLOOKUP($B:$B,[20]свод!$A:$AB,3,0)," ")</f>
        <v>Янгиқўрғон тумани</v>
      </c>
      <c r="E268" s="7" t="s">
        <v>4014</v>
      </c>
      <c r="F268" s="7" t="s">
        <v>10379</v>
      </c>
      <c r="G268" s="134">
        <v>1</v>
      </c>
      <c r="H268" s="134" t="s">
        <v>411</v>
      </c>
      <c r="I268" s="7" t="s">
        <v>158</v>
      </c>
      <c r="J268" s="7" t="s">
        <v>10639</v>
      </c>
      <c r="K268" s="7"/>
      <c r="L268" s="7" t="s">
        <v>167</v>
      </c>
      <c r="M268" s="7" t="s">
        <v>6119</v>
      </c>
      <c r="N268" s="7" t="s">
        <v>170</v>
      </c>
      <c r="O268" s="7" t="s">
        <v>162</v>
      </c>
      <c r="P268" s="7" t="s">
        <v>7491</v>
      </c>
      <c r="Q268" s="129">
        <v>46199</v>
      </c>
      <c r="R268" s="130">
        <v>46197</v>
      </c>
      <c r="S268" s="131">
        <v>-2</v>
      </c>
      <c r="T268" s="127">
        <v>1</v>
      </c>
      <c r="U268" s="127"/>
      <c r="V268" s="127">
        <v>1</v>
      </c>
      <c r="W268" s="127"/>
      <c r="X268" s="135">
        <f t="shared" si="32"/>
        <v>0</v>
      </c>
      <c r="Y268" s="135" t="b">
        <f t="shared" si="29"/>
        <v>0</v>
      </c>
      <c r="Z268" s="135" t="b">
        <f t="shared" si="30"/>
        <v>0</v>
      </c>
      <c r="AA268" s="135" t="b">
        <f t="shared" si="31"/>
        <v>0</v>
      </c>
      <c r="AB268" s="7" t="s">
        <v>182</v>
      </c>
      <c r="AC268" s="7" t="s">
        <v>320</v>
      </c>
    </row>
    <row r="269" spans="1:29" hidden="1" x14ac:dyDescent="0.25">
      <c r="A269" s="127"/>
      <c r="B269" s="136" t="str">
        <f t="shared" si="28"/>
        <v>NAMS</v>
      </c>
      <c r="C269" s="136" t="str">
        <f>+VLOOKUP(AC269,Ходим!A:B,2,0)</f>
        <v>30809892160183</v>
      </c>
      <c r="D269" s="136" t="str">
        <f>IFERROR(VLOOKUP($B:$B,[20]свод!$A:$AB,3,0)," ")</f>
        <v>Наманган шаҳар</v>
      </c>
      <c r="E269" s="7" t="s">
        <v>4040</v>
      </c>
      <c r="F269" s="7" t="s">
        <v>10405</v>
      </c>
      <c r="G269" s="134" t="s">
        <v>411</v>
      </c>
      <c r="H269" s="134">
        <v>1</v>
      </c>
      <c r="I269" s="7" t="s">
        <v>154</v>
      </c>
      <c r="J269" s="7" t="s">
        <v>10639</v>
      </c>
      <c r="K269" s="7"/>
      <c r="L269" s="7" t="s">
        <v>166</v>
      </c>
      <c r="M269" s="7" t="s">
        <v>6134</v>
      </c>
      <c r="N269" s="7" t="s">
        <v>170</v>
      </c>
      <c r="O269" s="7" t="s">
        <v>161</v>
      </c>
      <c r="P269" s="7" t="s">
        <v>7495</v>
      </c>
      <c r="Q269" s="129">
        <v>46199</v>
      </c>
      <c r="R269" s="130">
        <v>46198</v>
      </c>
      <c r="S269" s="131">
        <v>-1</v>
      </c>
      <c r="T269" s="127">
        <v>1</v>
      </c>
      <c r="U269" s="127"/>
      <c r="V269" s="127">
        <v>1</v>
      </c>
      <c r="W269" s="127"/>
      <c r="X269" s="135">
        <f t="shared" si="32"/>
        <v>0</v>
      </c>
      <c r="Y269" s="135" t="b">
        <f t="shared" si="29"/>
        <v>0</v>
      </c>
      <c r="Z269" s="135" t="b">
        <f t="shared" si="30"/>
        <v>0</v>
      </c>
      <c r="AA269" s="135" t="b">
        <f t="shared" si="31"/>
        <v>0</v>
      </c>
      <c r="AB269" s="7" t="s">
        <v>185</v>
      </c>
      <c r="AC269" s="7" t="s">
        <v>192</v>
      </c>
    </row>
    <row r="270" spans="1:29" hidden="1" x14ac:dyDescent="0.25">
      <c r="A270" s="127"/>
      <c r="B270" s="136" t="str">
        <f t="shared" si="28"/>
        <v>YGQT</v>
      </c>
      <c r="C270" s="136" t="str">
        <f>+VLOOKUP(AC270,Ходим!A:B,2,0)</f>
        <v>52010015950028</v>
      </c>
      <c r="D270" s="136" t="str">
        <f>IFERROR(VLOOKUP($B:$B,[20]свод!$A:$AB,3,0)," ")</f>
        <v>Янгиқўрғон тумани</v>
      </c>
      <c r="E270" s="7" t="s">
        <v>4062</v>
      </c>
      <c r="F270" s="7" t="s">
        <v>10427</v>
      </c>
      <c r="G270" s="134">
        <v>1</v>
      </c>
      <c r="H270" s="134" t="s">
        <v>411</v>
      </c>
      <c r="I270" s="7" t="s">
        <v>158</v>
      </c>
      <c r="J270" s="7" t="s">
        <v>10639</v>
      </c>
      <c r="K270" s="7"/>
      <c r="L270" s="7" t="s">
        <v>167</v>
      </c>
      <c r="M270" s="7" t="s">
        <v>6148</v>
      </c>
      <c r="N270" s="7" t="s">
        <v>170</v>
      </c>
      <c r="O270" s="7" t="s">
        <v>162</v>
      </c>
      <c r="P270" s="7" t="s">
        <v>7499</v>
      </c>
      <c r="Q270" s="129">
        <v>46199</v>
      </c>
      <c r="R270" s="130">
        <v>46198</v>
      </c>
      <c r="S270" s="131">
        <v>-1</v>
      </c>
      <c r="T270" s="127">
        <v>1</v>
      </c>
      <c r="U270" s="127"/>
      <c r="V270" s="127">
        <v>1</v>
      </c>
      <c r="W270" s="127"/>
      <c r="X270" s="135">
        <f t="shared" si="32"/>
        <v>0</v>
      </c>
      <c r="Y270" s="135" t="b">
        <f t="shared" si="29"/>
        <v>0</v>
      </c>
      <c r="Z270" s="135" t="b">
        <f t="shared" si="30"/>
        <v>0</v>
      </c>
      <c r="AA270" s="135" t="b">
        <f t="shared" si="31"/>
        <v>0</v>
      </c>
      <c r="AB270" s="7" t="s">
        <v>182</v>
      </c>
      <c r="AC270" s="7" t="s">
        <v>391</v>
      </c>
    </row>
    <row r="271" spans="1:29" x14ac:dyDescent="0.25">
      <c r="A271" s="127"/>
      <c r="B271" s="136" t="str">
        <f t="shared" si="28"/>
        <v>YGQT</v>
      </c>
      <c r="C271" s="136" t="str">
        <f>+VLOOKUP(AC271,Ходим!A:B,2,0)</f>
        <v>30903902160122</v>
      </c>
      <c r="D271" s="136" t="str">
        <f>IFERROR(VLOOKUP($B:$B,[20]свод!$A:$AB,3,0)," ")</f>
        <v>Янгиқўрғон тумани</v>
      </c>
      <c r="E271" s="7" t="s">
        <v>4075</v>
      </c>
      <c r="F271" s="7" t="s">
        <v>10440</v>
      </c>
      <c r="G271" s="134">
        <v>1</v>
      </c>
      <c r="H271" s="134" t="s">
        <v>411</v>
      </c>
      <c r="I271" s="7" t="s">
        <v>158</v>
      </c>
      <c r="J271" s="7" t="s">
        <v>36</v>
      </c>
      <c r="K271" s="7"/>
      <c r="L271" s="7" t="s">
        <v>167</v>
      </c>
      <c r="M271" s="7" t="s">
        <v>6157</v>
      </c>
      <c r="N271" s="7" t="s">
        <v>1081</v>
      </c>
      <c r="O271" s="7" t="s">
        <v>1082</v>
      </c>
      <c r="P271" s="7" t="s">
        <v>7502</v>
      </c>
      <c r="Q271" s="129">
        <v>46199</v>
      </c>
      <c r="R271" s="130">
        <v>46199</v>
      </c>
      <c r="S271" s="131">
        <v>0</v>
      </c>
      <c r="T271" s="127"/>
      <c r="U271" s="127">
        <v>1</v>
      </c>
      <c r="V271" s="127"/>
      <c r="W271" s="127"/>
      <c r="X271" s="135">
        <f t="shared" si="32"/>
        <v>0</v>
      </c>
      <c r="Y271" s="135" t="b">
        <f t="shared" si="29"/>
        <v>0</v>
      </c>
      <c r="Z271" s="135" t="b">
        <f t="shared" si="30"/>
        <v>0</v>
      </c>
      <c r="AA271" s="135" t="b">
        <f t="shared" si="31"/>
        <v>0</v>
      </c>
      <c r="AB271" s="7" t="s">
        <v>182</v>
      </c>
      <c r="AC271" s="7" t="s">
        <v>230</v>
      </c>
    </row>
    <row r="272" spans="1:29" x14ac:dyDescent="0.25">
      <c r="A272" s="127"/>
      <c r="B272" s="136" t="str">
        <f t="shared" si="28"/>
        <v>UYCT</v>
      </c>
      <c r="C272" s="136" t="str">
        <f>+VLOOKUP(AC272,Ходим!A:B,2,0)</f>
        <v>50304035930044</v>
      </c>
      <c r="D272" s="136" t="str">
        <f>IFERROR(VLOOKUP($B:$B,[20]свод!$A:$AB,3,0)," ")</f>
        <v>Уйчи тумани</v>
      </c>
      <c r="E272" s="7" t="s">
        <v>4078</v>
      </c>
      <c r="F272" s="7" t="s">
        <v>10443</v>
      </c>
      <c r="G272" s="134">
        <v>1</v>
      </c>
      <c r="H272" s="134" t="s">
        <v>411</v>
      </c>
      <c r="I272" s="7" t="s">
        <v>158</v>
      </c>
      <c r="J272" s="7" t="s">
        <v>35</v>
      </c>
      <c r="K272" s="7"/>
      <c r="L272" s="7" t="s">
        <v>167</v>
      </c>
      <c r="M272" s="7" t="s">
        <v>6160</v>
      </c>
      <c r="N272" s="7" t="s">
        <v>410</v>
      </c>
      <c r="O272" s="7" t="s">
        <v>162</v>
      </c>
      <c r="P272" s="7" t="s">
        <v>7503</v>
      </c>
      <c r="Q272" s="129">
        <v>46199</v>
      </c>
      <c r="R272" s="130">
        <v>46197</v>
      </c>
      <c r="S272" s="131">
        <v>-2</v>
      </c>
      <c r="T272" s="127">
        <v>1</v>
      </c>
      <c r="U272" s="127"/>
      <c r="V272" s="127">
        <v>1</v>
      </c>
      <c r="W272" s="127"/>
      <c r="X272" s="135">
        <f t="shared" si="32"/>
        <v>0</v>
      </c>
      <c r="Y272" s="135" t="b">
        <f t="shared" si="29"/>
        <v>0</v>
      </c>
      <c r="Z272" s="135" t="b">
        <f t="shared" si="30"/>
        <v>0</v>
      </c>
      <c r="AA272" s="135" t="b">
        <f t="shared" si="31"/>
        <v>0</v>
      </c>
      <c r="AB272" s="7" t="s">
        <v>947</v>
      </c>
      <c r="AC272" s="7" t="s">
        <v>956</v>
      </c>
    </row>
    <row r="273" spans="1:29" hidden="1" x14ac:dyDescent="0.25">
      <c r="A273" s="127"/>
      <c r="B273" s="136" t="str">
        <f t="shared" si="28"/>
        <v>CHUT</v>
      </c>
      <c r="C273" s="136" t="str">
        <f>+VLOOKUP(AC273,Ходим!A:B,2,0)</f>
        <v>52508015970048</v>
      </c>
      <c r="D273" s="136" t="str">
        <f>IFERROR(VLOOKUP($B:$B,[20]свод!$A:$AB,3,0)," ")</f>
        <v>Чуст тумани</v>
      </c>
      <c r="E273" s="7" t="s">
        <v>4187</v>
      </c>
      <c r="F273" s="7" t="s">
        <v>10552</v>
      </c>
      <c r="G273" s="134">
        <v>1</v>
      </c>
      <c r="H273" s="134" t="s">
        <v>411</v>
      </c>
      <c r="I273" s="7" t="s">
        <v>158</v>
      </c>
      <c r="J273" s="7" t="s">
        <v>10639</v>
      </c>
      <c r="K273" s="7"/>
      <c r="L273" s="7" t="s">
        <v>167</v>
      </c>
      <c r="M273" s="7" t="s">
        <v>6228</v>
      </c>
      <c r="N273" s="7" t="s">
        <v>170</v>
      </c>
      <c r="O273" s="7" t="s">
        <v>162</v>
      </c>
      <c r="P273" s="7" t="s">
        <v>7287</v>
      </c>
      <c r="Q273" s="129">
        <v>46199</v>
      </c>
      <c r="R273" s="130">
        <v>46198</v>
      </c>
      <c r="S273" s="131">
        <v>-1</v>
      </c>
      <c r="T273" s="127">
        <v>1</v>
      </c>
      <c r="U273" s="127"/>
      <c r="V273" s="127">
        <v>1</v>
      </c>
      <c r="W273" s="127"/>
      <c r="X273" s="135">
        <f t="shared" si="32"/>
        <v>0</v>
      </c>
      <c r="Y273" s="135" t="b">
        <f t="shared" si="29"/>
        <v>0</v>
      </c>
      <c r="Z273" s="135" t="b">
        <f t="shared" si="30"/>
        <v>0</v>
      </c>
      <c r="AA273" s="135" t="b">
        <f t="shared" si="31"/>
        <v>0</v>
      </c>
      <c r="AB273" s="7" t="s">
        <v>178</v>
      </c>
      <c r="AC273" s="7" t="s">
        <v>350</v>
      </c>
    </row>
    <row r="274" spans="1:29" x14ac:dyDescent="0.25">
      <c r="A274" s="127"/>
      <c r="B274" s="136" t="str">
        <f t="shared" si="28"/>
        <v>UYCT</v>
      </c>
      <c r="C274" s="136" t="str">
        <f>+VLOOKUP(AC274,Ходим!A:B,2,0)</f>
        <v>30309975930028</v>
      </c>
      <c r="D274" s="136" t="str">
        <f>IFERROR(VLOOKUP($B:$B,[20]свод!$A:$AB,3,0)," ")</f>
        <v>Уйчи тумани</v>
      </c>
      <c r="E274" s="7" t="s">
        <v>4220</v>
      </c>
      <c r="F274" s="7" t="s">
        <v>10585</v>
      </c>
      <c r="G274" s="134">
        <v>1</v>
      </c>
      <c r="H274" s="134" t="s">
        <v>411</v>
      </c>
      <c r="I274" s="7" t="s">
        <v>158</v>
      </c>
      <c r="J274" s="7" t="s">
        <v>1</v>
      </c>
      <c r="K274" s="7"/>
      <c r="L274" s="7" t="s">
        <v>167</v>
      </c>
      <c r="M274" s="7" t="s">
        <v>6246</v>
      </c>
      <c r="N274" s="7" t="s">
        <v>170</v>
      </c>
      <c r="O274" s="7" t="s">
        <v>162</v>
      </c>
      <c r="P274" s="7" t="s">
        <v>7540</v>
      </c>
      <c r="Q274" s="129">
        <v>46199</v>
      </c>
      <c r="R274" s="130">
        <v>46198</v>
      </c>
      <c r="S274" s="131">
        <v>-1</v>
      </c>
      <c r="T274" s="127">
        <v>1</v>
      </c>
      <c r="U274" s="127"/>
      <c r="V274" s="127">
        <v>1</v>
      </c>
      <c r="W274" s="127"/>
      <c r="X274" s="135">
        <f t="shared" si="32"/>
        <v>0</v>
      </c>
      <c r="Y274" s="135" t="b">
        <f t="shared" si="29"/>
        <v>0</v>
      </c>
      <c r="Z274" s="135" t="b">
        <f t="shared" si="30"/>
        <v>0</v>
      </c>
      <c r="AA274" s="135" t="b">
        <f t="shared" si="31"/>
        <v>0</v>
      </c>
      <c r="AB274" s="7" t="s">
        <v>947</v>
      </c>
      <c r="AC274" s="7" t="s">
        <v>261</v>
      </c>
    </row>
    <row r="275" spans="1:29" x14ac:dyDescent="0.25">
      <c r="A275" s="127"/>
      <c r="B275" s="136" t="str">
        <f t="shared" si="28"/>
        <v>POPT</v>
      </c>
      <c r="C275" s="136" t="str">
        <f>+VLOOKUP(AC275,Ходим!A:B,2,0)</f>
        <v>31710772120029</v>
      </c>
      <c r="D275" s="136" t="str">
        <f>IFERROR(VLOOKUP($B:$B,[20]свод!$A:$AB,3,0)," ")</f>
        <v>Поп тумани</v>
      </c>
      <c r="E275" s="7" t="s">
        <v>4221</v>
      </c>
      <c r="F275" s="7"/>
      <c r="G275" s="134">
        <v>1</v>
      </c>
      <c r="H275" s="134" t="s">
        <v>411</v>
      </c>
      <c r="I275" s="7" t="s">
        <v>154</v>
      </c>
      <c r="J275" s="7" t="s">
        <v>145</v>
      </c>
      <c r="K275" s="7"/>
      <c r="L275" s="7" t="s">
        <v>167</v>
      </c>
      <c r="M275" s="7" t="s">
        <v>6247</v>
      </c>
      <c r="N275" s="7" t="s">
        <v>368</v>
      </c>
      <c r="O275" s="7"/>
      <c r="P275" s="7" t="s">
        <v>7541</v>
      </c>
      <c r="Q275" s="129">
        <v>46199</v>
      </c>
      <c r="R275" s="130">
        <v>46199</v>
      </c>
      <c r="S275" s="131">
        <v>0</v>
      </c>
      <c r="T275" s="127"/>
      <c r="U275" s="127">
        <v>1</v>
      </c>
      <c r="V275" s="127"/>
      <c r="W275" s="127"/>
      <c r="X275" s="135">
        <f t="shared" si="32"/>
        <v>0</v>
      </c>
      <c r="Y275" s="135" t="b">
        <f t="shared" si="29"/>
        <v>0</v>
      </c>
      <c r="Z275" s="135" t="b">
        <f t="shared" si="30"/>
        <v>0</v>
      </c>
      <c r="AA275" s="135" t="b">
        <f t="shared" si="31"/>
        <v>0</v>
      </c>
      <c r="AB275" s="7" t="s">
        <v>214</v>
      </c>
      <c r="AC275" s="7" t="s">
        <v>357</v>
      </c>
    </row>
    <row r="276" spans="1:29" x14ac:dyDescent="0.25">
      <c r="A276" s="127"/>
      <c r="B276" s="136" t="str">
        <f t="shared" si="28"/>
        <v>CHUT</v>
      </c>
      <c r="C276" s="136" t="str">
        <f>+VLOOKUP(AC276,Ходим!A:B,2,0)</f>
        <v>30901882180031</v>
      </c>
      <c r="D276" s="136" t="str">
        <f>IFERROR(VLOOKUP($B:$B,[20]свод!$A:$AB,3,0)," ")</f>
        <v>Чуст тумани</v>
      </c>
      <c r="E276" s="7" t="s">
        <v>4235</v>
      </c>
      <c r="F276" s="7" t="s">
        <v>10599</v>
      </c>
      <c r="G276" s="134">
        <v>1</v>
      </c>
      <c r="H276" s="134" t="s">
        <v>411</v>
      </c>
      <c r="I276" s="7" t="s">
        <v>158</v>
      </c>
      <c r="J276" s="7" t="s">
        <v>1</v>
      </c>
      <c r="K276" s="7"/>
      <c r="L276" s="7" t="s">
        <v>167</v>
      </c>
      <c r="M276" s="7" t="s">
        <v>6258</v>
      </c>
      <c r="N276" s="7" t="s">
        <v>170</v>
      </c>
      <c r="O276" s="7" t="s">
        <v>162</v>
      </c>
      <c r="P276" s="7" t="s">
        <v>7545</v>
      </c>
      <c r="Q276" s="129">
        <v>46199</v>
      </c>
      <c r="R276" s="130">
        <v>46198</v>
      </c>
      <c r="S276" s="131">
        <v>-1</v>
      </c>
      <c r="T276" s="127">
        <v>1</v>
      </c>
      <c r="U276" s="127"/>
      <c r="V276" s="127">
        <v>1</v>
      </c>
      <c r="W276" s="127"/>
      <c r="X276" s="135">
        <f t="shared" si="32"/>
        <v>0</v>
      </c>
      <c r="Y276" s="135" t="b">
        <f t="shared" si="29"/>
        <v>0</v>
      </c>
      <c r="Z276" s="135" t="b">
        <f t="shared" si="30"/>
        <v>0</v>
      </c>
      <c r="AA276" s="135" t="b">
        <f t="shared" si="31"/>
        <v>0</v>
      </c>
      <c r="AB276" s="7" t="s">
        <v>178</v>
      </c>
      <c r="AC276" s="7" t="s">
        <v>238</v>
      </c>
    </row>
    <row r="277" spans="1:29" hidden="1" x14ac:dyDescent="0.25">
      <c r="A277" s="127"/>
      <c r="B277" s="136" t="str">
        <f t="shared" si="28"/>
        <v>NAMS</v>
      </c>
      <c r="C277" s="136" t="str">
        <f>+VLOOKUP(AC277,Ходим!A:B,2,0)</f>
        <v>31601642170089</v>
      </c>
      <c r="D277" s="136" t="str">
        <f>IFERROR(VLOOKUP($B:$B,[20]свод!$A:$AB,3,0)," ")</f>
        <v>Наманган шаҳар</v>
      </c>
      <c r="E277" s="7" t="s">
        <v>4237</v>
      </c>
      <c r="F277" s="7" t="s">
        <v>10601</v>
      </c>
      <c r="G277" s="134">
        <v>1</v>
      </c>
      <c r="H277" s="134" t="s">
        <v>411</v>
      </c>
      <c r="I277" s="7" t="s">
        <v>158</v>
      </c>
      <c r="J277" s="7" t="s">
        <v>10639</v>
      </c>
      <c r="K277" s="7"/>
      <c r="L277" s="7" t="s">
        <v>167</v>
      </c>
      <c r="M277" s="7" t="s">
        <v>6260</v>
      </c>
      <c r="N277" s="7" t="s">
        <v>170</v>
      </c>
      <c r="O277" s="7" t="s">
        <v>162</v>
      </c>
      <c r="P277" s="7" t="s">
        <v>6820</v>
      </c>
      <c r="Q277" s="129">
        <v>46199</v>
      </c>
      <c r="R277" s="130">
        <v>46199</v>
      </c>
      <c r="S277" s="131">
        <v>0</v>
      </c>
      <c r="T277" s="127"/>
      <c r="U277" s="127">
        <v>1</v>
      </c>
      <c r="V277" s="127"/>
      <c r="W277" s="127"/>
      <c r="X277" s="135">
        <f t="shared" si="32"/>
        <v>0</v>
      </c>
      <c r="Y277" s="135" t="b">
        <f t="shared" si="29"/>
        <v>0</v>
      </c>
      <c r="Z277" s="135" t="b">
        <f t="shared" si="30"/>
        <v>0</v>
      </c>
      <c r="AA277" s="135" t="b">
        <f t="shared" si="31"/>
        <v>0</v>
      </c>
      <c r="AB277" s="7" t="s">
        <v>983</v>
      </c>
      <c r="AC277" s="7" t="s">
        <v>201</v>
      </c>
    </row>
  </sheetData>
  <sheetProtection deleteColumns="0" deleteRows="0"/>
  <protectedRanges>
    <protectedRange algorithmName="SHA-512" hashValue="d4vQYKVuAzDRCq5DvVDu2bOxzBlPJdTx97uAqeksr7umCtXwyj+Zy2WTZcYbWIsgBgJEvKc8cczTnL8yUpT76w==" saltValue="yPagDqGTjqs3hl70O411dQ==" spinCount="100000" sqref="X1:AA1 X278:AA916064" name="Диапазон1"/>
  </protectedRanges>
  <autoFilter ref="A1:AC277">
    <filterColumn colId="9">
      <filters>
        <filter val="Arizani qabul qilish"/>
        <filter val="Asosiy qismdan ajratish jarayonida"/>
        <filter val="Bino va inshoot ma'lumotlarini to‘ldirish"/>
        <filter val="Bino-inshootga huquq yaratish"/>
        <filter val="Bino-inshootlarga huquqiy hujjatlarni kiritsh"/>
        <filter val="Bog'liq arizani kutish"/>
        <filter val="Huquqlarni tekshirish"/>
        <filter val="Ijroga qabul qilish"/>
        <filter val="Inventarizatsiya ma'lumotlarini to‘ldirish"/>
        <filter val="Joyida o'rganish va ma'lumotlarni kiritish"/>
        <filter val="Kadastr passportini shakllantirish"/>
        <filter val="Kadastr yig‘majildini qabul qilish, arizani yakunlash"/>
        <filter val="Kadastr yig'majildini chop etish va arxiv ishiga tikish"/>
        <filter val="Kadastr yig'majildini shakllantirish"/>
        <filter val="Kelishish"/>
        <filter val="Kelishish (Boshqarma)"/>
        <filter val="Ma'lumotlarni tasdiqlash"/>
        <filter val="Manzil biriktirish"/>
        <filter val="Next Cloudga yuklash"/>
        <filter val="O'lchov natijalarini kiritish"/>
        <filter val="Rad qilish sababini o'rganish"/>
        <filter val="Ro'yxatdan o'tkazish"/>
        <filter val="Ro'yxatdan o'tkazish ma'lumotlarini tekshirish"/>
        <filter val="Tekshirish"/>
        <filter val="Umumiy foydalanishdagi obyekt yaratilish"/>
        <filter val="Yer toifasi va maqsadini kiritish"/>
        <filter val="Yer uchastkasiga huquq yaratish"/>
        <filter val="Yer uchastkasini yaratish"/>
      </filters>
    </filterColumn>
  </autoFilter>
  <phoneticPr fontId="7" type="noConversion"/>
  <conditionalFormatting sqref="AB1:AC1">
    <cfRule type="duplicateValues" dxfId="103" priority="676"/>
  </conditionalFormatting>
  <conditionalFormatting sqref="A2:D121 W129 W134 W153 W159 W187 W191 W196 W201 W206:W207 W209 W211:W212 W217 V123 V136 V139 V142 V147:V148 V154:V155 V163:V164 V169 V172 V180 V184 V186 V193 V202 V208 T123 T129 T134 T136 T169 T172 T180 T193 T121:U122 T131 T138:T139 T141:T145 T147:T150 T153:T156 T158:T160 T163:T165 T174:T177 T183:T184 T186:T188 T190:T191 T196:T202 T204 T206:T214 T216:T219 T221:T222 T224:T225 T230 T232:T233 T242:T243 T246:T250 T252 T258 T260 T263:T270 T272:T274 T276 W122 W131 W138:W139 W141 W143:W144 W149 W156 W165 W183 W224:W225 W246:W248 W258 V121:AA121 V144:V145 V150 V158:V160 V174:V177 V188 V190:V191 V196:V200 V204 V206 U210:V210 V212:V214 V216:V219 V221:V222 V225 V230 V232:V233 V242:V243 V249:V250 V252 V260 V263:V270 V272:V274 V276 T2:AA120 U123:U138 U140:U142 U145:U158 U160:U176 U178:U189 U192:U195 U197 U200:U205 U207:U209 U211 U214:U216 U220:U224 U226:U229 U231 U234:U241 U244:U245 U251 U253:U257 U259 U261:U262 U271 U275 B121:D277 X121:AA277 A1:AC1">
    <cfRule type="expression" dxfId="102" priority="12">
      <formula>$A1</formula>
    </cfRule>
    <cfRule type="expression" dxfId="101" priority="13">
      <formula>$A2</formula>
    </cfRule>
  </conditionalFormatting>
  <conditionalFormatting sqref="E2:S25 E26:I26 K26:S26 E27:S277">
    <cfRule type="expression" dxfId="100" priority="3">
      <formula>$A2</formula>
    </cfRule>
  </conditionalFormatting>
  <conditionalFormatting sqref="AB2:AC277">
    <cfRule type="expression" dxfId="99" priority="2">
      <formula>$A2</formula>
    </cfRule>
  </conditionalFormatting>
  <conditionalFormatting sqref="U277">
    <cfRule type="expression" dxfId="98" priority="826">
      <formula>$A277</formula>
    </cfRule>
    <cfRule type="expression" dxfId="97" priority="827">
      <formula>#REF!</formula>
    </cfRule>
  </conditionalFormatting>
  <conditionalFormatting sqref="E1:S1">
    <cfRule type="duplicateValues" dxfId="96" priority="835"/>
  </conditionalFormatting>
  <conditionalFormatting sqref="J26">
    <cfRule type="expression" dxfId="31" priority="1">
      <formula>$A26</formula>
    </cfRule>
  </conditionalFormatting>
  <hyperlinks>
    <hyperlink ref="J26" r:id="rId1" location="tasks/728bbb8c-7148-11f1-96ae-52540072af9e" display="https://mulk.kadastr.uz/index.jsp - tasks/728bbb8c-7148-11f1-96ae-52540072af9e"/>
  </hyperlinks>
  <pageMargins left="0.7" right="0.7" top="0.75" bottom="0.75" header="0.3" footer="0.3"/>
  <pageSetup paperSize="9" orientation="portrait" horizont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7"/>
  </sheetPr>
  <dimension ref="A1:AA3128"/>
  <sheetViews>
    <sheetView topLeftCell="J1" zoomScale="70" zoomScaleNormal="70" workbookViewId="0">
      <pane ySplit="1" topLeftCell="A3105" activePane="bottomLeft" state="frozen"/>
      <selection activeCell="B1" sqref="B1:DJ1"/>
      <selection pane="bottomLeft" activeCell="T27" sqref="T27:U3105"/>
    </sheetView>
  </sheetViews>
  <sheetFormatPr defaultColWidth="9.140625" defaultRowHeight="15" x14ac:dyDescent="0.25"/>
  <cols>
    <col min="1" max="1" width="6.7109375" style="121" customWidth="1"/>
    <col min="2" max="2" width="7.42578125" style="121" customWidth="1"/>
    <col min="3" max="3" width="15.42578125" style="121" customWidth="1"/>
    <col min="4" max="4" width="18" style="121" customWidth="1"/>
    <col min="5" max="5" width="17.7109375" style="121" customWidth="1"/>
    <col min="6" max="6" width="12.7109375" style="114" customWidth="1"/>
    <col min="7" max="7" width="7" style="115" customWidth="1"/>
    <col min="8" max="8" width="9.140625" style="115" customWidth="1"/>
    <col min="9" max="9" width="38.140625" style="114" customWidth="1"/>
    <col min="10" max="10" width="44" style="114" customWidth="1"/>
    <col min="11" max="11" width="42.7109375" customWidth="1"/>
    <col min="12" max="13" width="25.7109375" customWidth="1"/>
    <col min="14" max="14" width="11.5703125" style="114" customWidth="1"/>
    <col min="15" max="15" width="40.7109375" customWidth="1"/>
    <col min="16" max="16" width="15.7109375" style="114" customWidth="1"/>
    <col min="17" max="17" width="11.5703125" style="121" customWidth="1"/>
    <col min="18" max="18" width="11.5703125" style="116" customWidth="1"/>
    <col min="19" max="19" width="11.5703125" style="122" customWidth="1"/>
    <col min="20" max="22" width="25.7109375" customWidth="1"/>
    <col min="23" max="23" width="35.7109375" customWidth="1"/>
    <col min="24" max="24" width="11.5703125" style="123" customWidth="1"/>
    <col min="25" max="25" width="13.28515625" style="121" customWidth="1"/>
    <col min="26" max="27" width="18.5703125" style="121" bestFit="1" customWidth="1"/>
    <col min="28" max="16384" width="9.140625" style="121"/>
  </cols>
  <sheetData>
    <row r="1" spans="1:27" s="120" customFormat="1" ht="66.75" customHeight="1" x14ac:dyDescent="0.25">
      <c r="A1" s="13" t="s">
        <v>0</v>
      </c>
      <c r="B1" s="18" t="s">
        <v>119</v>
      </c>
      <c r="C1" s="14" t="s">
        <v>931</v>
      </c>
      <c r="D1" s="13" t="s">
        <v>4</v>
      </c>
      <c r="E1" s="19" t="s">
        <v>3</v>
      </c>
      <c r="F1" s="19" t="s">
        <v>149</v>
      </c>
      <c r="G1" s="14" t="s">
        <v>142</v>
      </c>
      <c r="H1" s="14" t="s">
        <v>143</v>
      </c>
      <c r="I1" s="19" t="s">
        <v>141</v>
      </c>
      <c r="J1" s="19" t="s">
        <v>147</v>
      </c>
      <c r="K1" s="19" t="s">
        <v>135</v>
      </c>
      <c r="L1" s="19" t="s">
        <v>140</v>
      </c>
      <c r="M1" s="19" t="s">
        <v>380</v>
      </c>
      <c r="N1" s="19" t="s">
        <v>148</v>
      </c>
      <c r="O1" s="19" t="s">
        <v>110</v>
      </c>
      <c r="P1" s="19" t="s">
        <v>118</v>
      </c>
      <c r="Q1" s="19" t="s">
        <v>14</v>
      </c>
      <c r="R1" s="27" t="s">
        <v>7</v>
      </c>
      <c r="S1" s="27" t="s">
        <v>6</v>
      </c>
      <c r="T1" s="19" t="s">
        <v>146</v>
      </c>
      <c r="U1" s="19" t="s">
        <v>144</v>
      </c>
      <c r="V1" s="19" t="s">
        <v>152</v>
      </c>
      <c r="W1" s="19" t="s">
        <v>408</v>
      </c>
      <c r="X1" s="27" t="s">
        <v>412</v>
      </c>
      <c r="Y1" s="26">
        <v>46169</v>
      </c>
      <c r="Z1" s="26">
        <v>46170</v>
      </c>
      <c r="AA1" s="26">
        <v>46171</v>
      </c>
    </row>
    <row r="2" spans="1:27" hidden="1" x14ac:dyDescent="0.25">
      <c r="A2" s="127">
        <v>1</v>
      </c>
      <c r="B2" s="128" t="str">
        <f t="shared" ref="B2" si="0">LEFT(E2,4)</f>
        <v>NAMS</v>
      </c>
      <c r="C2" s="128" t="str">
        <f>+VLOOKUP(U2,Ходим!A:B,2,0)</f>
        <v>50308015960081</v>
      </c>
      <c r="D2" s="128" t="str">
        <f>IFERROR(VLOOKUP($B:$B,[20]свод!$A:$AB,3,0)," ")</f>
        <v>Наманган шаҳар</v>
      </c>
      <c r="E2" s="7" t="s">
        <v>1148</v>
      </c>
      <c r="F2" s="7" t="s">
        <v>7553</v>
      </c>
      <c r="G2" s="134">
        <f t="shared" ref="G2" si="1">IF(OR(
I2="Turar joy obyektning kadastr pasportini shakllantirish va davlat ro'yxatidan o'tkazish",
I2="Turar kompozit"
),
1,
IF(OR(
I2="Noturar kompozit",
I2="Avtoyo'l va suv xo'jaligi obyektining kadastr pasportini shakllantirish va ro'yxatga olish",
I2="Noturar obyektning kadastr pasportining kadastr pasportini shakllantirish va davlat ro'yxatidan o'tkazish"
),
"",
IF(OR(
I2="Notarius uchun ma'lumotnoma (uz)",
I2="Qurilishi tugallangan ko'chmas mulkni foydalanishga qabul qilish",
I2="Umumiy foydalanishdagi ko'chmas mulk qismini yaratish",
I2="Registratsiya (tashqi - UZKAD da bor)"
),
IF(OR(L2="Turar yer maydoni",L2="Yakka tartibdagi turar joy"),1,
IF(L2="Noturar bino","",
IF(L2="Noturar yer maydoni","",
IF(L2="",IF(OR(O2="Turar joy xizmati",O2="Foydalanishga ruxsatnoma berish xizmati"),1,""),"")
))),
"")))</f>
        <v>1</v>
      </c>
      <c r="H2" s="134" t="str">
        <f t="shared" ref="H2" si="2">IF(OR(
I2="Turar joy obyektning kadastr pasportini shakllantirish va davlat ro'yxatidan o'tkazish",
I2="Turar kompozit"
),
"",
IF(OR(
I2="Noturar kompozit",
I2="Avtoyo'l va suv xo'jaligi obyektining kadastr pasportini shakllantirish va ro'yxatga olish",
I2="Noturar obyektning kadastr pasportini shakllantirish va davlat ro'yxatidan o'tkazish"
),
1,
IF(OR(
I2="Notarius uchun ma'lumotnoma (uz)",
I2="Qurilishi tugallangan ko'chmas mulkni foydalanishga qabul qilish",
I2="Umumiy foydalanishdagi ko'chmas mulk qismini yaratish",
I2="Registratsiya (tashqi - UZKAD da bor)"
),
IF(OR(L2="Turar yer maydoni",L2="Yakka tartibdagi turar joy"),"",
IF(L2="Noturar bino",1,
IF(L2="Noturar yer maydoni",1,
IF(L2="",IF(OR(O2="Turar joy xizmati",O2="Foydalanishga ruxsatnoma berish xizmati"),"",1),"")
))),
"")))</f>
        <v/>
      </c>
      <c r="I2" s="7" t="s">
        <v>156</v>
      </c>
      <c r="J2" s="7" t="s">
        <v>25</v>
      </c>
      <c r="K2" s="7"/>
      <c r="L2" s="7" t="s">
        <v>169</v>
      </c>
      <c r="M2" s="7" t="s">
        <v>4262</v>
      </c>
      <c r="N2" s="7" t="s">
        <v>170</v>
      </c>
      <c r="O2" s="7" t="s">
        <v>162</v>
      </c>
      <c r="P2" s="7" t="s">
        <v>6273</v>
      </c>
      <c r="Q2" s="129">
        <v>46199</v>
      </c>
      <c r="R2" s="130">
        <f t="shared" ref="R2:R61" si="3">WORKDAY(P2,X2,$Y$1:$AA$1)</f>
        <v>46205</v>
      </c>
      <c r="S2" s="131">
        <f t="shared" ref="S2" si="4">R2-Q2</f>
        <v>6</v>
      </c>
      <c r="T2" s="7" t="s">
        <v>185</v>
      </c>
      <c r="U2" s="7" t="s">
        <v>375</v>
      </c>
      <c r="V2" s="7"/>
      <c r="W2" s="7">
        <v>0</v>
      </c>
      <c r="X2" s="132">
        <f t="shared" ref="X2:X51" si="5">IF(N2="Kadastr muhandisi",3,
IF(N2="UZKAD",5,
IF(V2="FREE",5,
IF(I2="Registratsiya (tashqi - UZKAD da bor)",1,
IF(I2="Avtoyo'l va suv xo'jaligi obyektining kadastr pasportini shakllantirish va ro'yxatga olish",7,
IF(I2="Notarius uchun ma'lumotnoma (uz)",1,
IF(I2="Qurilishi tugallangan ko'chmas mulkni foydalanishga qabul qilish",10,
IF(OR(I2="Turar joy obyektning kadastr pasportini shakllantirish va davlat ro'yxatidan o'tkazish",I2="Turar kompozit"),
IF(L2="Turar yer maydoni",7,10),
IF(OR(I2="Noturar obyektning kadastr pasportini shakllantirish va davlat ro'yxatidan o'tkazish",I2="Noturar kompozit"),
IF(O2="Ko‘p yillik daraxtlar xizmati",15,
IF(OR(L2="Noturar yer maydoni",L2="Davlat tashkilotlaridan ijaraga olingan yer uchastkasi"),7,
IF(W2&lt;100,10,IF(W2&lt;=1000,12,IF(W2&lt;=5000,17,IF(W2&lt;=15000,22,IF(W2&lt;=50000,28,37))))))),
IF(I2="Umumiy foydalanishdagi ko'chmas mulk qismini yaratish",
IF(IF(TRIM(L2)="",IF(OR(O2="Turar joy xizmati",O2="Yakka tartibdagi turar joy"),"Turar","Noturar"),IF(OR(L2="Yakka tartibdagi turar joy",L2="Turar joy xizmati"),"Turar","Noturar"))="Turar",
10,IF(W2&lt;100,10,IF(W2&lt;=1000,12,IF(W2&lt;=5000,17,IF(W2&lt;=15000,22,IF(W2&lt;=50000,28,37)))))),
0))))))))))</f>
        <v>7</v>
      </c>
      <c r="Y2" s="133"/>
      <c r="Z2" s="133"/>
      <c r="AA2" s="133"/>
    </row>
    <row r="3" spans="1:27" hidden="1" x14ac:dyDescent="0.25">
      <c r="A3" s="127">
        <v>2</v>
      </c>
      <c r="B3" s="128" t="str">
        <f t="shared" ref="B3:B52" si="6">LEFT(E3,4)</f>
        <v>MINT</v>
      </c>
      <c r="C3" s="128" t="e">
        <f>+VLOOKUP(U3,Ходим!A:B,2,0)</f>
        <v>#N/A</v>
      </c>
      <c r="D3" s="128" t="str">
        <f>IFERROR(VLOOKUP($B:$B,[20]свод!$A:$AB,3,0)," ")</f>
        <v>Мингбулоқ тумани</v>
      </c>
      <c r="E3" s="7" t="s">
        <v>1149</v>
      </c>
      <c r="F3" s="7" t="s">
        <v>7554</v>
      </c>
      <c r="G3" s="134">
        <f t="shared" ref="G3:G5" si="7">IF(OR(
I3="Turar joy obyektning kadastr pasportini shakllantirish va davlat ro'yxatidan o'tkazish",
I3="Turar kompozit"
),
1,
IF(OR(
I3="Noturar kompozit",
I3="Avtoyo'l va suv xo'jaligi obyektining kadastr pasportini shakllantirish va ro'yxatga olish",
I3="Noturar obyektning kadastr pasportining kadastr pasportini shakllantirish va davlat ro'yxatidan o'tkazish"
),
"",
IF(OR(
I3="Notarius uchun ma'lumotnoma (uz)",
I3="Qurilishi tugallangan ko'chmas mulkni foydalanishga qabul qilish",
I3="Umumiy foydalanishdagi ko'chmas mulk qismini yaratish",
I3="Registratsiya (tashqi - UZKAD da bor)"
),
IF(OR(L3="Turar yer maydoni",L3="Yakka tartibdagi turar joy"),1,
IF(L3="Noturar bino","",
IF(L3="Noturar yer maydoni","",
IF(L3="",IF(OR(O3="Turar joy xizmati",O3="Foydalanishga ruxsatnoma berish xizmati"),1,""),"")
))),
"")))</f>
        <v>1</v>
      </c>
      <c r="H3" s="134" t="str">
        <f t="shared" ref="H3:H5" si="8">IF(OR(
I3="Turar joy obyektning kadastr pasportini shakllantirish va davlat ro'yxatidan o'tkazish",
I3="Turar kompozit"
),
"",
IF(OR(
I3="Noturar kompozit",
I3="Avtoyo'l va suv xo'jaligi obyektining kadastr pasportini shakllantirish va ro'yxatga olish",
I3="Noturar obyektning kadastr pasportini shakllantirish va davlat ro'yxatidan o'tkazish"
),
1,
IF(OR(
I3="Notarius uchun ma'lumotnoma (uz)",
I3="Qurilishi tugallangan ko'chmas mulkni foydalanishga qabul qilish",
I3="Umumiy foydalanishdagi ko'chmas mulk qismini yaratish",
I3="Registratsiya (tashqi - UZKAD da bor)"
),
IF(OR(L3="Turar yer maydoni",L3="Yakka tartibdagi turar joy"),"",
IF(L3="Noturar bino",1,
IF(L3="Noturar yer maydoni",1,
IF(L3="",IF(OR(O3="Turar joy xizmati",O3="Foydalanishga ruxsatnoma berish xizmati"),"",1),"")
))),
"")))</f>
        <v/>
      </c>
      <c r="I3" s="7" t="s">
        <v>156</v>
      </c>
      <c r="J3" s="7" t="s">
        <v>11</v>
      </c>
      <c r="K3" s="7"/>
      <c r="L3" s="7" t="s">
        <v>167</v>
      </c>
      <c r="M3" s="7" t="s">
        <v>4263</v>
      </c>
      <c r="N3" s="7" t="s">
        <v>170</v>
      </c>
      <c r="O3" s="7" t="s">
        <v>162</v>
      </c>
      <c r="P3" s="7" t="s">
        <v>6274</v>
      </c>
      <c r="Q3" s="129">
        <v>46199</v>
      </c>
      <c r="R3" s="130">
        <f t="shared" si="3"/>
        <v>46210</v>
      </c>
      <c r="S3" s="131">
        <f t="shared" ref="S3:S52" si="9">R3-Q3</f>
        <v>11</v>
      </c>
      <c r="T3" s="7"/>
      <c r="U3" s="7"/>
      <c r="V3" s="7"/>
      <c r="W3" s="7">
        <v>112.3</v>
      </c>
      <c r="X3" s="132">
        <f t="shared" si="5"/>
        <v>10</v>
      </c>
      <c r="Y3" s="133"/>
      <c r="Z3" s="133"/>
      <c r="AA3" s="133"/>
    </row>
    <row r="4" spans="1:27" hidden="1" x14ac:dyDescent="0.25">
      <c r="A4" s="127">
        <v>3</v>
      </c>
      <c r="B4" s="128" t="str">
        <f t="shared" si="6"/>
        <v>NAMS</v>
      </c>
      <c r="C4" s="128" t="str">
        <f>+VLOOKUP(U4,Ходим!A:B,2,0)</f>
        <v>32211885960016</v>
      </c>
      <c r="D4" s="128" t="str">
        <f>IFERROR(VLOOKUP($B:$B,[20]свод!$A:$AB,3,0)," ")</f>
        <v>Наманган шаҳар</v>
      </c>
      <c r="E4" s="7" t="s">
        <v>1107</v>
      </c>
      <c r="F4" s="7" t="s">
        <v>1131</v>
      </c>
      <c r="G4" s="134" t="str">
        <f t="shared" si="7"/>
        <v/>
      </c>
      <c r="H4" s="134">
        <f t="shared" si="8"/>
        <v>1</v>
      </c>
      <c r="I4" s="7" t="s">
        <v>157</v>
      </c>
      <c r="J4" s="7" t="s">
        <v>1</v>
      </c>
      <c r="K4" s="7"/>
      <c r="L4" s="7" t="s">
        <v>166</v>
      </c>
      <c r="M4" s="7" t="s">
        <v>1117</v>
      </c>
      <c r="N4" s="7" t="s">
        <v>410</v>
      </c>
      <c r="O4" s="7" t="s">
        <v>161</v>
      </c>
      <c r="P4" s="7" t="s">
        <v>1135</v>
      </c>
      <c r="Q4" s="129">
        <v>46199</v>
      </c>
      <c r="R4" s="130">
        <f t="shared" si="3"/>
        <v>46210</v>
      </c>
      <c r="S4" s="131">
        <f t="shared" si="9"/>
        <v>11</v>
      </c>
      <c r="T4" s="7" t="s">
        <v>227</v>
      </c>
      <c r="U4" s="7" t="s">
        <v>279</v>
      </c>
      <c r="V4" s="7"/>
      <c r="W4" s="7">
        <v>5743.62</v>
      </c>
      <c r="X4" s="132">
        <f t="shared" si="5"/>
        <v>22</v>
      </c>
      <c r="Y4" s="133"/>
      <c r="Z4" s="133"/>
      <c r="AA4" s="133"/>
    </row>
    <row r="5" spans="1:27" hidden="1" x14ac:dyDescent="0.25">
      <c r="A5" s="127">
        <v>4</v>
      </c>
      <c r="B5" s="128" t="str">
        <f t="shared" si="6"/>
        <v>NAMS</v>
      </c>
      <c r="C5" s="128" t="str">
        <f>+VLOOKUP(U5,Ходим!A:B,2,0)</f>
        <v>32602902170105</v>
      </c>
      <c r="D5" s="128" t="str">
        <f>IFERROR(VLOOKUP($B:$B,[20]свод!$A:$AB,3,0)," ")</f>
        <v>Наманган шаҳар</v>
      </c>
      <c r="E5" s="7" t="s">
        <v>1150</v>
      </c>
      <c r="F5" s="7" t="s">
        <v>7555</v>
      </c>
      <c r="G5" s="134">
        <f t="shared" si="7"/>
        <v>1</v>
      </c>
      <c r="H5" s="134" t="str">
        <f t="shared" si="8"/>
        <v/>
      </c>
      <c r="I5" s="7" t="s">
        <v>158</v>
      </c>
      <c r="J5" s="7" t="s">
        <v>2</v>
      </c>
      <c r="K5" s="7"/>
      <c r="L5" s="7" t="s">
        <v>167</v>
      </c>
      <c r="M5" s="7" t="s">
        <v>4264</v>
      </c>
      <c r="N5" s="7" t="s">
        <v>170</v>
      </c>
      <c r="O5" s="7" t="s">
        <v>162</v>
      </c>
      <c r="P5" s="7" t="s">
        <v>6275</v>
      </c>
      <c r="Q5" s="129">
        <v>46199</v>
      </c>
      <c r="R5" s="130">
        <f t="shared" si="3"/>
        <v>46210</v>
      </c>
      <c r="S5" s="131">
        <f t="shared" si="9"/>
        <v>11</v>
      </c>
      <c r="T5" s="7" t="s">
        <v>173</v>
      </c>
      <c r="U5" s="7" t="s">
        <v>247</v>
      </c>
      <c r="V5" s="7"/>
      <c r="W5" s="7">
        <v>215.5</v>
      </c>
      <c r="X5" s="132">
        <f t="shared" si="5"/>
        <v>10</v>
      </c>
      <c r="Y5" s="133"/>
      <c r="Z5" s="133"/>
      <c r="AA5" s="133"/>
    </row>
    <row r="6" spans="1:27" hidden="1" x14ac:dyDescent="0.25">
      <c r="A6" s="127">
        <v>5</v>
      </c>
      <c r="B6" s="128" t="str">
        <f t="shared" si="6"/>
        <v>NAMS</v>
      </c>
      <c r="C6" s="128" t="str">
        <f>+VLOOKUP(U6,Ходим!A:B,2,0)</f>
        <v>32407752170062</v>
      </c>
      <c r="D6" s="128" t="str">
        <f>IFERROR(VLOOKUP($B:$B,[20]свод!$A:$AB,3,0)," ")</f>
        <v>Наманган шаҳар</v>
      </c>
      <c r="E6" s="7" t="s">
        <v>1151</v>
      </c>
      <c r="F6" s="7" t="s">
        <v>7556</v>
      </c>
      <c r="G6" s="134">
        <f t="shared" ref="G6:G65" si="10">IF(OR(
I6="Turar joy obyektning kadastr pasportini shakllantirish va davlat ro'yxatidan o'tkazish",
I6="Turar kompozit"
),
1,
IF(OR(
I6="Noturar kompozit",
I6="Avtoyo'l va suv xo'jaligi obyektining kadastr pasportini shakllantirish va ro'yxatga olish",
I6="Noturar obyektning kadastr pasportining kadastr pasportini shakllantirish va davlat ro'yxatidan o'tkazish"
),
"",
IF(OR(
I6="Notarius uchun ma'lumotnoma (uz)",
I6="Qurilishi tugallangan ko'chmas mulkni foydalanishga qabul qilish",
I6="Umumiy foydalanishdagi ko'chmas mulk qismini yaratish",
I6="Registratsiya (tashqi - UZKAD da bor)"
),
IF(OR(L6="Turar yer maydoni",L6="Yakka tartibdagi turar joy"),1,
IF(L6="Noturar bino","",
IF(L6="Noturar yer maydoni","",
IF(L6="",IF(OR(O6="Turar joy xizmati",O6="Foydalanishga ruxsatnoma berish xizmati"),1,""),"")
))),
"")))</f>
        <v>1</v>
      </c>
      <c r="H6" s="134" t="str">
        <f t="shared" ref="H6:H65" si="11">IF(OR(
I6="Turar joy obyektning kadastr pasportini shakllantirish va davlat ro'yxatidan o'tkazish",
I6="Turar kompozit"
),
"",
IF(OR(
I6="Noturar kompozit",
I6="Avtoyo'l va suv xo'jaligi obyektining kadastr pasportini shakllantirish va ro'yxatga olish",
I6="Noturar obyektning kadastr pasportini shakllantirish va davlat ro'yxatidan o'tkazish"
),
1,
IF(OR(
I6="Notarius uchun ma'lumotnoma (uz)",
I6="Qurilishi tugallangan ko'chmas mulkni foydalanishga qabul qilish",
I6="Umumiy foydalanishdagi ko'chmas mulk qismini yaratish",
I6="Registratsiya (tashqi - UZKAD da bor)"
),
IF(OR(L6="Turar yer maydoni",L6="Yakka tartibdagi turar joy"),"",
IF(L6="Noturar bino",1,
IF(L6="Noturar yer maydoni",1,
IF(L6="",IF(OR(O6="Turar joy xizmati",O6="Foydalanishga ruxsatnoma berish xizmati"),"",1),"")
))),
"")))</f>
        <v/>
      </c>
      <c r="I6" s="7" t="s">
        <v>154</v>
      </c>
      <c r="J6" s="7" t="s">
        <v>109</v>
      </c>
      <c r="K6" s="7"/>
      <c r="L6" s="7"/>
      <c r="M6" s="7"/>
      <c r="N6" s="7" t="s">
        <v>170</v>
      </c>
      <c r="O6" s="7" t="s">
        <v>162</v>
      </c>
      <c r="P6" s="7" t="s">
        <v>6276</v>
      </c>
      <c r="Q6" s="129">
        <v>46199</v>
      </c>
      <c r="R6" s="130">
        <f t="shared" si="3"/>
        <v>46204</v>
      </c>
      <c r="S6" s="131">
        <f t="shared" si="9"/>
        <v>5</v>
      </c>
      <c r="T6" s="7" t="s">
        <v>173</v>
      </c>
      <c r="U6" s="7" t="s">
        <v>264</v>
      </c>
      <c r="V6" s="7"/>
      <c r="W6" s="7"/>
      <c r="X6" s="132">
        <f t="shared" si="5"/>
        <v>10</v>
      </c>
      <c r="Y6" s="133"/>
      <c r="Z6" s="133"/>
      <c r="AA6" s="133"/>
    </row>
    <row r="7" spans="1:27" hidden="1" x14ac:dyDescent="0.25">
      <c r="A7" s="127">
        <v>7</v>
      </c>
      <c r="B7" s="128" t="str">
        <f t="shared" si="6"/>
        <v>UYCT</v>
      </c>
      <c r="C7" s="128" t="str">
        <f>+VLOOKUP(U7,Ходим!A:B,2,0)</f>
        <v>32906985930035</v>
      </c>
      <c r="D7" s="128" t="str">
        <f>IFERROR(VLOOKUP($B:$B,[20]свод!$A:$AB,3,0)," ")</f>
        <v>Уйчи тумани</v>
      </c>
      <c r="E7" s="7" t="s">
        <v>1152</v>
      </c>
      <c r="F7" s="7" t="s">
        <v>7557</v>
      </c>
      <c r="G7" s="134" t="str">
        <f t="shared" si="10"/>
        <v/>
      </c>
      <c r="H7" s="134">
        <f t="shared" si="11"/>
        <v>1</v>
      </c>
      <c r="I7" s="7" t="s">
        <v>157</v>
      </c>
      <c r="J7" s="7" t="s">
        <v>35</v>
      </c>
      <c r="K7" s="7"/>
      <c r="L7" s="7" t="s">
        <v>166</v>
      </c>
      <c r="M7" s="7" t="s">
        <v>4265</v>
      </c>
      <c r="N7" s="7" t="s">
        <v>170</v>
      </c>
      <c r="O7" s="7" t="s">
        <v>161</v>
      </c>
      <c r="P7" s="7" t="s">
        <v>6277</v>
      </c>
      <c r="Q7" s="129">
        <v>46199</v>
      </c>
      <c r="R7" s="130">
        <f t="shared" si="3"/>
        <v>46206</v>
      </c>
      <c r="S7" s="131">
        <f t="shared" si="9"/>
        <v>7</v>
      </c>
      <c r="T7" s="7" t="s">
        <v>379</v>
      </c>
      <c r="U7" s="7" t="s">
        <v>257</v>
      </c>
      <c r="V7" s="7"/>
      <c r="W7" s="7">
        <v>20</v>
      </c>
      <c r="X7" s="132">
        <f t="shared" si="5"/>
        <v>10</v>
      </c>
      <c r="Y7" s="133"/>
      <c r="Z7" s="133"/>
      <c r="AA7" s="133"/>
    </row>
    <row r="8" spans="1:27" hidden="1" x14ac:dyDescent="0.25">
      <c r="A8" s="127">
        <v>8</v>
      </c>
      <c r="B8" s="128" t="str">
        <f t="shared" si="6"/>
        <v>UCQT</v>
      </c>
      <c r="C8" s="128" t="str">
        <f>+VLOOKUP(U8,Ходим!A:B,2,0)</f>
        <v>31402915940019</v>
      </c>
      <c r="D8" s="128" t="str">
        <f>IFERROR(VLOOKUP($B:$B,[20]свод!$A:$AB,3,0)," ")</f>
        <v>Учқўрғон тумани</v>
      </c>
      <c r="E8" s="7" t="s">
        <v>1153</v>
      </c>
      <c r="F8" s="7" t="s">
        <v>7558</v>
      </c>
      <c r="G8" s="134">
        <f t="shared" si="10"/>
        <v>1</v>
      </c>
      <c r="H8" s="134" t="str">
        <f t="shared" si="11"/>
        <v/>
      </c>
      <c r="I8" s="7" t="s">
        <v>158</v>
      </c>
      <c r="J8" s="7" t="s">
        <v>2</v>
      </c>
      <c r="K8" s="7"/>
      <c r="L8" s="7" t="s">
        <v>167</v>
      </c>
      <c r="M8" s="7" t="s">
        <v>4266</v>
      </c>
      <c r="N8" s="7" t="s">
        <v>170</v>
      </c>
      <c r="O8" s="7" t="s">
        <v>162</v>
      </c>
      <c r="P8" s="7" t="s">
        <v>6278</v>
      </c>
      <c r="Q8" s="129">
        <v>46199</v>
      </c>
      <c r="R8" s="130">
        <f t="shared" si="3"/>
        <v>46206</v>
      </c>
      <c r="S8" s="131">
        <f t="shared" si="9"/>
        <v>7</v>
      </c>
      <c r="T8" s="7" t="s">
        <v>175</v>
      </c>
      <c r="U8" s="7" t="s">
        <v>292</v>
      </c>
      <c r="V8" s="7"/>
      <c r="W8" s="7">
        <v>68.319999999999993</v>
      </c>
      <c r="X8" s="132">
        <f t="shared" si="5"/>
        <v>10</v>
      </c>
      <c r="Y8" s="133"/>
      <c r="Z8" s="133"/>
      <c r="AA8" s="133"/>
    </row>
    <row r="9" spans="1:27" hidden="1" x14ac:dyDescent="0.25">
      <c r="A9" s="127">
        <v>9</v>
      </c>
      <c r="B9" s="128" t="str">
        <f t="shared" si="6"/>
        <v>NAMS</v>
      </c>
      <c r="C9" s="128" t="str">
        <f>+VLOOKUP(U9,Ходим!A:B,2,0)</f>
        <v>51911035960011</v>
      </c>
      <c r="D9" s="128" t="str">
        <f>IFERROR(VLOOKUP($B:$B,[20]свод!$A:$AB,3,0)," ")</f>
        <v>Наманган шаҳар</v>
      </c>
      <c r="E9" s="7" t="s">
        <v>1154</v>
      </c>
      <c r="F9" s="7" t="s">
        <v>7559</v>
      </c>
      <c r="G9" s="134">
        <f t="shared" si="10"/>
        <v>1</v>
      </c>
      <c r="H9" s="134" t="str">
        <f t="shared" si="11"/>
        <v/>
      </c>
      <c r="I9" s="7" t="s">
        <v>156</v>
      </c>
      <c r="J9" s="7" t="s">
        <v>25</v>
      </c>
      <c r="K9" s="7"/>
      <c r="L9" s="7"/>
      <c r="M9" s="7"/>
      <c r="N9" s="7" t="s">
        <v>170</v>
      </c>
      <c r="O9" s="7" t="s">
        <v>162</v>
      </c>
      <c r="P9" s="7" t="s">
        <v>6279</v>
      </c>
      <c r="Q9" s="129">
        <v>46199</v>
      </c>
      <c r="R9" s="130">
        <f t="shared" si="3"/>
        <v>46210</v>
      </c>
      <c r="S9" s="131">
        <f t="shared" si="9"/>
        <v>11</v>
      </c>
      <c r="T9" s="7" t="s">
        <v>173</v>
      </c>
      <c r="U9" s="7" t="s">
        <v>371</v>
      </c>
      <c r="V9" s="7"/>
      <c r="W9" s="7"/>
      <c r="X9" s="132">
        <f t="shared" si="5"/>
        <v>10</v>
      </c>
      <c r="Y9" s="133"/>
      <c r="Z9" s="133"/>
      <c r="AA9" s="133"/>
    </row>
    <row r="10" spans="1:27" hidden="1" x14ac:dyDescent="0.25">
      <c r="A10" s="127">
        <v>10</v>
      </c>
      <c r="B10" s="128" t="str">
        <f t="shared" si="6"/>
        <v>NAMT</v>
      </c>
      <c r="C10" s="128" t="str">
        <f>+VLOOKUP(U10,Ходим!A:B,2,0)</f>
        <v>31702942090041</v>
      </c>
      <c r="D10" s="128" t="str">
        <f>IFERROR(VLOOKUP($B:$B,[20]свод!$A:$AB,3,0)," ")</f>
        <v>Наманган тумани</v>
      </c>
      <c r="E10" s="7" t="s">
        <v>1155</v>
      </c>
      <c r="F10" s="7" t="s">
        <v>7560</v>
      </c>
      <c r="G10" s="134">
        <f t="shared" si="10"/>
        <v>1</v>
      </c>
      <c r="H10" s="134" t="str">
        <f t="shared" si="11"/>
        <v/>
      </c>
      <c r="I10" s="7" t="s">
        <v>158</v>
      </c>
      <c r="J10" s="7" t="s">
        <v>2</v>
      </c>
      <c r="K10" s="7"/>
      <c r="L10" s="7"/>
      <c r="M10" s="7"/>
      <c r="N10" s="7" t="s">
        <v>410</v>
      </c>
      <c r="O10" s="7" t="s">
        <v>162</v>
      </c>
      <c r="P10" s="7" t="s">
        <v>6280</v>
      </c>
      <c r="Q10" s="129">
        <v>46199</v>
      </c>
      <c r="R10" s="130">
        <f t="shared" si="3"/>
        <v>46210</v>
      </c>
      <c r="S10" s="131">
        <f t="shared" si="9"/>
        <v>11</v>
      </c>
      <c r="T10" s="7" t="s">
        <v>193</v>
      </c>
      <c r="U10" s="7" t="s">
        <v>194</v>
      </c>
      <c r="V10" s="7"/>
      <c r="W10" s="7"/>
      <c r="X10" s="132">
        <f t="shared" si="5"/>
        <v>10</v>
      </c>
      <c r="Y10" s="133"/>
      <c r="Z10" s="133"/>
      <c r="AA10" s="133"/>
    </row>
    <row r="11" spans="1:27" hidden="1" x14ac:dyDescent="0.25">
      <c r="A11" s="127">
        <v>11</v>
      </c>
      <c r="B11" s="128" t="str">
        <f t="shared" si="6"/>
        <v>CHUT</v>
      </c>
      <c r="C11" s="128" t="str">
        <f>+VLOOKUP(U11,Ходим!A:B,2,0)</f>
        <v>31509882180058</v>
      </c>
      <c r="D11" s="128" t="str">
        <f>IFERROR(VLOOKUP($B:$B,[20]свод!$A:$AB,3,0)," ")</f>
        <v>Чуст тумани</v>
      </c>
      <c r="E11" s="7" t="s">
        <v>1156</v>
      </c>
      <c r="F11" s="7" t="s">
        <v>7561</v>
      </c>
      <c r="G11" s="134" t="str">
        <f t="shared" si="10"/>
        <v/>
      </c>
      <c r="H11" s="134">
        <f t="shared" si="11"/>
        <v>1</v>
      </c>
      <c r="I11" s="7" t="s">
        <v>155</v>
      </c>
      <c r="J11" s="7" t="s">
        <v>25</v>
      </c>
      <c r="K11" s="7"/>
      <c r="L11" s="7"/>
      <c r="M11" s="7"/>
      <c r="N11" s="7" t="s">
        <v>170</v>
      </c>
      <c r="O11" s="7" t="s">
        <v>161</v>
      </c>
      <c r="P11" s="7" t="s">
        <v>6281</v>
      </c>
      <c r="Q11" s="129">
        <v>46199</v>
      </c>
      <c r="R11" s="130">
        <f t="shared" si="3"/>
        <v>46210</v>
      </c>
      <c r="S11" s="131">
        <f t="shared" si="9"/>
        <v>11</v>
      </c>
      <c r="T11" s="7" t="s">
        <v>178</v>
      </c>
      <c r="U11" s="7" t="s">
        <v>324</v>
      </c>
      <c r="V11" s="7"/>
      <c r="W11" s="7"/>
      <c r="X11" s="132">
        <f t="shared" si="5"/>
        <v>10</v>
      </c>
      <c r="Y11" s="133"/>
      <c r="Z11" s="133"/>
      <c r="AA11" s="133"/>
    </row>
    <row r="12" spans="1:27" hidden="1" x14ac:dyDescent="0.25">
      <c r="A12" s="127">
        <v>12</v>
      </c>
      <c r="B12" s="128" t="str">
        <f t="shared" si="6"/>
        <v>NAMS</v>
      </c>
      <c r="C12" s="128" t="str">
        <f>+VLOOKUP(U12,Ходим!A:B,2,0)</f>
        <v>32211885960016</v>
      </c>
      <c r="D12" s="128" t="str">
        <f>IFERROR(VLOOKUP($B:$B,[20]свод!$A:$AB,3,0)," ")</f>
        <v>Наманган шаҳар</v>
      </c>
      <c r="E12" s="7" t="s">
        <v>1157</v>
      </c>
      <c r="F12" s="7" t="s">
        <v>7562</v>
      </c>
      <c r="G12" s="134" t="str">
        <f t="shared" si="10"/>
        <v/>
      </c>
      <c r="H12" s="134">
        <f t="shared" si="11"/>
        <v>1</v>
      </c>
      <c r="I12" s="7" t="s">
        <v>155</v>
      </c>
      <c r="J12" s="7" t="s">
        <v>25</v>
      </c>
      <c r="K12" s="7"/>
      <c r="L12" s="7"/>
      <c r="M12" s="7"/>
      <c r="N12" s="7" t="s">
        <v>170</v>
      </c>
      <c r="O12" s="7" t="s">
        <v>161</v>
      </c>
      <c r="P12" s="7" t="s">
        <v>6282</v>
      </c>
      <c r="Q12" s="129">
        <v>46199</v>
      </c>
      <c r="R12" s="130">
        <f t="shared" si="3"/>
        <v>46210</v>
      </c>
      <c r="S12" s="131">
        <f t="shared" si="9"/>
        <v>11</v>
      </c>
      <c r="T12" s="7" t="s">
        <v>227</v>
      </c>
      <c r="U12" s="7" t="s">
        <v>279</v>
      </c>
      <c r="V12" s="7"/>
      <c r="W12" s="7"/>
      <c r="X12" s="132">
        <f t="shared" si="5"/>
        <v>10</v>
      </c>
      <c r="Y12" s="133"/>
      <c r="Z12" s="133"/>
      <c r="AA12" s="133"/>
    </row>
    <row r="13" spans="1:27" hidden="1" x14ac:dyDescent="0.25">
      <c r="A13" s="127">
        <v>13</v>
      </c>
      <c r="B13" s="128" t="str">
        <f t="shared" si="6"/>
        <v>UYCT</v>
      </c>
      <c r="C13" s="128" t="str">
        <f>+VLOOKUP(U13,Ходим!A:B,2,0)</f>
        <v>30510922140032</v>
      </c>
      <c r="D13" s="128" t="str">
        <f>IFERROR(VLOOKUP($B:$B,[20]свод!$A:$AB,3,0)," ")</f>
        <v>Уйчи тумани</v>
      </c>
      <c r="E13" s="7" t="s">
        <v>1158</v>
      </c>
      <c r="F13" s="7" t="s">
        <v>7563</v>
      </c>
      <c r="G13" s="134">
        <f t="shared" si="10"/>
        <v>1</v>
      </c>
      <c r="H13" s="134" t="str">
        <f t="shared" si="11"/>
        <v/>
      </c>
      <c r="I13" s="7" t="s">
        <v>156</v>
      </c>
      <c r="J13" s="7" t="s">
        <v>22</v>
      </c>
      <c r="K13" s="7"/>
      <c r="L13" s="7" t="s">
        <v>167</v>
      </c>
      <c r="M13" s="7" t="s">
        <v>4267</v>
      </c>
      <c r="N13" s="7" t="s">
        <v>170</v>
      </c>
      <c r="O13" s="7" t="s">
        <v>162</v>
      </c>
      <c r="P13" s="7" t="s">
        <v>6282</v>
      </c>
      <c r="Q13" s="129">
        <v>46199</v>
      </c>
      <c r="R13" s="130">
        <f t="shared" si="3"/>
        <v>46210</v>
      </c>
      <c r="S13" s="131">
        <f t="shared" si="9"/>
        <v>11</v>
      </c>
      <c r="T13" s="7" t="s">
        <v>947</v>
      </c>
      <c r="U13" s="7" t="s">
        <v>199</v>
      </c>
      <c r="V13" s="7"/>
      <c r="W13" s="7">
        <v>364.9</v>
      </c>
      <c r="X13" s="132">
        <f t="shared" si="5"/>
        <v>10</v>
      </c>
      <c r="Y13" s="133"/>
      <c r="Z13" s="133"/>
      <c r="AA13" s="133"/>
    </row>
    <row r="14" spans="1:27" hidden="1" x14ac:dyDescent="0.25">
      <c r="A14" s="127">
        <v>14</v>
      </c>
      <c r="B14" s="128" t="str">
        <f t="shared" si="6"/>
        <v>CHUT</v>
      </c>
      <c r="C14" s="128" t="str">
        <f>+VLOOKUP(U14,Ходим!A:B,2,0)</f>
        <v>31608922180118</v>
      </c>
      <c r="D14" s="128" t="str">
        <f>IFERROR(VLOOKUP($B:$B,[20]свод!$A:$AB,3,0)," ")</f>
        <v>Чуст тумани</v>
      </c>
      <c r="E14" s="7" t="s">
        <v>1159</v>
      </c>
      <c r="F14" s="7" t="s">
        <v>7564</v>
      </c>
      <c r="G14" s="134">
        <f t="shared" si="10"/>
        <v>1</v>
      </c>
      <c r="H14" s="134" t="str">
        <f t="shared" si="11"/>
        <v/>
      </c>
      <c r="I14" s="7" t="s">
        <v>156</v>
      </c>
      <c r="J14" s="7" t="s">
        <v>25</v>
      </c>
      <c r="K14" s="7"/>
      <c r="L14" s="7"/>
      <c r="M14" s="7"/>
      <c r="N14" s="7" t="s">
        <v>170</v>
      </c>
      <c r="O14" s="7" t="s">
        <v>162</v>
      </c>
      <c r="P14" s="7" t="s">
        <v>6282</v>
      </c>
      <c r="Q14" s="129">
        <v>46199</v>
      </c>
      <c r="R14" s="130">
        <f t="shared" si="3"/>
        <v>46210</v>
      </c>
      <c r="S14" s="131">
        <f t="shared" si="9"/>
        <v>11</v>
      </c>
      <c r="T14" s="7" t="s">
        <v>178</v>
      </c>
      <c r="U14" s="7" t="s">
        <v>284</v>
      </c>
      <c r="V14" s="7"/>
      <c r="W14" s="7"/>
      <c r="X14" s="132">
        <f t="shared" si="5"/>
        <v>10</v>
      </c>
      <c r="Y14" s="133"/>
      <c r="Z14" s="133"/>
      <c r="AA14" s="133"/>
    </row>
    <row r="15" spans="1:27" hidden="1" x14ac:dyDescent="0.25">
      <c r="A15" s="127">
        <v>16</v>
      </c>
      <c r="B15" s="128" t="str">
        <f t="shared" si="6"/>
        <v>YGQT</v>
      </c>
      <c r="C15" s="128" t="str">
        <f>+VLOOKUP(U15,Ходим!A:B,2,0)</f>
        <v>52010015950028</v>
      </c>
      <c r="D15" s="128" t="str">
        <f>IFERROR(VLOOKUP($B:$B,[20]свод!$A:$AB,3,0)," ")</f>
        <v>Янгиқўрғон тумани</v>
      </c>
      <c r="E15" s="7" t="s">
        <v>1160</v>
      </c>
      <c r="F15" s="7" t="s">
        <v>7565</v>
      </c>
      <c r="G15" s="134">
        <f t="shared" si="10"/>
        <v>1</v>
      </c>
      <c r="H15" s="134" t="str">
        <f t="shared" si="11"/>
        <v/>
      </c>
      <c r="I15" s="7" t="s">
        <v>158</v>
      </c>
      <c r="J15" s="7" t="s">
        <v>2</v>
      </c>
      <c r="K15" s="7"/>
      <c r="L15" s="7" t="s">
        <v>169</v>
      </c>
      <c r="M15" s="7" t="s">
        <v>382</v>
      </c>
      <c r="N15" s="7" t="s">
        <v>410</v>
      </c>
      <c r="O15" s="7" t="s">
        <v>162</v>
      </c>
      <c r="P15" s="7" t="s">
        <v>6282</v>
      </c>
      <c r="Q15" s="129">
        <v>46199</v>
      </c>
      <c r="R15" s="130">
        <f t="shared" si="3"/>
        <v>46205</v>
      </c>
      <c r="S15" s="131">
        <f t="shared" si="9"/>
        <v>6</v>
      </c>
      <c r="T15" s="7" t="s">
        <v>182</v>
      </c>
      <c r="U15" s="7" t="s">
        <v>391</v>
      </c>
      <c r="V15" s="7"/>
      <c r="W15" s="7">
        <v>0</v>
      </c>
      <c r="X15" s="132">
        <f t="shared" si="5"/>
        <v>7</v>
      </c>
      <c r="Y15" s="133"/>
      <c r="Z15" s="133"/>
      <c r="AA15" s="133"/>
    </row>
    <row r="16" spans="1:27" hidden="1" x14ac:dyDescent="0.25">
      <c r="A16" s="127">
        <v>17</v>
      </c>
      <c r="B16" s="128" t="str">
        <f t="shared" si="6"/>
        <v>POPT</v>
      </c>
      <c r="C16" s="128" t="str">
        <f>+VLOOKUP(U16,Ходим!A:B,2,0)</f>
        <v>31710772120029</v>
      </c>
      <c r="D16" s="128" t="str">
        <f>IFERROR(VLOOKUP($B:$B,[20]свод!$A:$AB,3,0)," ")</f>
        <v>Поп тумани</v>
      </c>
      <c r="E16" s="7" t="s">
        <v>1161</v>
      </c>
      <c r="F16" s="7" t="s">
        <v>7566</v>
      </c>
      <c r="G16" s="134">
        <f t="shared" si="10"/>
        <v>1</v>
      </c>
      <c r="H16" s="134" t="str">
        <f t="shared" si="11"/>
        <v/>
      </c>
      <c r="I16" s="7" t="s">
        <v>156</v>
      </c>
      <c r="J16" s="7" t="s">
        <v>11</v>
      </c>
      <c r="K16" s="7"/>
      <c r="L16" s="7"/>
      <c r="M16" s="7"/>
      <c r="N16" s="7" t="s">
        <v>410</v>
      </c>
      <c r="O16" s="7" t="s">
        <v>162</v>
      </c>
      <c r="P16" s="7" t="s">
        <v>6283</v>
      </c>
      <c r="Q16" s="129">
        <v>46199</v>
      </c>
      <c r="R16" s="130">
        <f t="shared" si="3"/>
        <v>46204</v>
      </c>
      <c r="S16" s="131">
        <f t="shared" si="9"/>
        <v>5</v>
      </c>
      <c r="T16" s="7" t="s">
        <v>214</v>
      </c>
      <c r="U16" s="7" t="s">
        <v>357</v>
      </c>
      <c r="V16" s="7"/>
      <c r="W16" s="7"/>
      <c r="X16" s="132">
        <f t="shared" si="5"/>
        <v>10</v>
      </c>
      <c r="Y16" s="133"/>
      <c r="Z16" s="133"/>
      <c r="AA16" s="133"/>
    </row>
    <row r="17" spans="1:27" hidden="1" x14ac:dyDescent="0.25">
      <c r="A17" s="127">
        <v>19</v>
      </c>
      <c r="B17" s="128" t="str">
        <f t="shared" si="6"/>
        <v>NAMT</v>
      </c>
      <c r="C17" s="128" t="str">
        <f>+VLOOKUP(U17,Ходим!A:B,2,0)</f>
        <v>32607902090019</v>
      </c>
      <c r="D17" s="128" t="str">
        <f>IFERROR(VLOOKUP($B:$B,[20]свод!$A:$AB,3,0)," ")</f>
        <v>Наманган тумани</v>
      </c>
      <c r="E17" s="7" t="s">
        <v>1162</v>
      </c>
      <c r="F17" s="7" t="s">
        <v>7567</v>
      </c>
      <c r="G17" s="134">
        <f t="shared" si="10"/>
        <v>1</v>
      </c>
      <c r="H17" s="134" t="str">
        <f t="shared" si="11"/>
        <v/>
      </c>
      <c r="I17" s="7" t="s">
        <v>158</v>
      </c>
      <c r="J17" s="7" t="s">
        <v>2</v>
      </c>
      <c r="K17" s="7"/>
      <c r="L17" s="7" t="s">
        <v>167</v>
      </c>
      <c r="M17" s="7" t="s">
        <v>4268</v>
      </c>
      <c r="N17" s="7" t="s">
        <v>170</v>
      </c>
      <c r="O17" s="7" t="s">
        <v>162</v>
      </c>
      <c r="P17" s="7" t="s">
        <v>6284</v>
      </c>
      <c r="Q17" s="129">
        <v>46199</v>
      </c>
      <c r="R17" s="130">
        <f t="shared" si="3"/>
        <v>46204</v>
      </c>
      <c r="S17" s="131">
        <f t="shared" si="9"/>
        <v>5</v>
      </c>
      <c r="T17" s="7" t="s">
        <v>197</v>
      </c>
      <c r="U17" s="7" t="s">
        <v>243</v>
      </c>
      <c r="V17" s="7"/>
      <c r="W17" s="7">
        <v>341.03</v>
      </c>
      <c r="X17" s="132">
        <f t="shared" si="5"/>
        <v>10</v>
      </c>
      <c r="Y17" s="133"/>
      <c r="Z17" s="133"/>
      <c r="AA17" s="133"/>
    </row>
    <row r="18" spans="1:27" hidden="1" x14ac:dyDescent="0.25">
      <c r="A18" s="127">
        <v>20</v>
      </c>
      <c r="B18" s="128" t="str">
        <f t="shared" si="6"/>
        <v>POPT</v>
      </c>
      <c r="C18" s="128" t="str">
        <f>+VLOOKUP(U18,Ходим!A:B,2,0)</f>
        <v>33107902120019</v>
      </c>
      <c r="D18" s="128" t="str">
        <f>IFERROR(VLOOKUP($B:$B,[20]свод!$A:$AB,3,0)," ")</f>
        <v>Поп тумани</v>
      </c>
      <c r="E18" s="7" t="s">
        <v>1163</v>
      </c>
      <c r="F18" s="7" t="s">
        <v>7568</v>
      </c>
      <c r="G18" s="134">
        <f t="shared" si="10"/>
        <v>1</v>
      </c>
      <c r="H18" s="134" t="str">
        <f t="shared" si="11"/>
        <v/>
      </c>
      <c r="I18" s="7" t="s">
        <v>154</v>
      </c>
      <c r="J18" s="7" t="s">
        <v>2</v>
      </c>
      <c r="K18" s="7"/>
      <c r="L18" s="7"/>
      <c r="M18" s="7"/>
      <c r="N18" s="7" t="s">
        <v>170</v>
      </c>
      <c r="O18" s="7" t="s">
        <v>162</v>
      </c>
      <c r="P18" s="7" t="s">
        <v>6285</v>
      </c>
      <c r="Q18" s="129">
        <v>46199</v>
      </c>
      <c r="R18" s="130">
        <f t="shared" si="3"/>
        <v>46204</v>
      </c>
      <c r="S18" s="131">
        <f t="shared" si="9"/>
        <v>5</v>
      </c>
      <c r="T18" s="7" t="s">
        <v>214</v>
      </c>
      <c r="U18" s="7" t="s">
        <v>224</v>
      </c>
      <c r="V18" s="7"/>
      <c r="W18" s="7"/>
      <c r="X18" s="132">
        <f t="shared" si="5"/>
        <v>10</v>
      </c>
      <c r="Y18" s="133"/>
      <c r="Z18" s="133"/>
      <c r="AA18" s="133"/>
    </row>
    <row r="19" spans="1:27" hidden="1" x14ac:dyDescent="0.25">
      <c r="A19" s="127">
        <v>21</v>
      </c>
      <c r="B19" s="128" t="str">
        <f t="shared" si="6"/>
        <v>NAMT</v>
      </c>
      <c r="C19" s="128" t="str">
        <f>+VLOOKUP(U19,Ходим!A:B,2,0)</f>
        <v>40306812090034</v>
      </c>
      <c r="D19" s="128" t="str">
        <f>IFERROR(VLOOKUP($B:$B,[20]свод!$A:$AB,3,0)," ")</f>
        <v>Наманган тумани</v>
      </c>
      <c r="E19" s="7" t="s">
        <v>1164</v>
      </c>
      <c r="F19" s="7" t="s">
        <v>7569</v>
      </c>
      <c r="G19" s="134">
        <f t="shared" si="10"/>
        <v>1</v>
      </c>
      <c r="H19" s="134" t="str">
        <f t="shared" si="11"/>
        <v/>
      </c>
      <c r="I19" s="7" t="s">
        <v>158</v>
      </c>
      <c r="J19" s="7" t="s">
        <v>2</v>
      </c>
      <c r="K19" s="7"/>
      <c r="L19" s="7" t="s">
        <v>167</v>
      </c>
      <c r="M19" s="7" t="s">
        <v>4269</v>
      </c>
      <c r="N19" s="7" t="s">
        <v>170</v>
      </c>
      <c r="O19" s="7" t="s">
        <v>162</v>
      </c>
      <c r="P19" s="7" t="s">
        <v>6279</v>
      </c>
      <c r="Q19" s="129">
        <v>46199</v>
      </c>
      <c r="R19" s="130">
        <f t="shared" si="3"/>
        <v>46210</v>
      </c>
      <c r="S19" s="131">
        <f t="shared" si="9"/>
        <v>11</v>
      </c>
      <c r="T19" s="7" t="s">
        <v>193</v>
      </c>
      <c r="U19" s="7" t="s">
        <v>273</v>
      </c>
      <c r="V19" s="7"/>
      <c r="W19" s="7">
        <v>205.18</v>
      </c>
      <c r="X19" s="132">
        <f t="shared" si="5"/>
        <v>10</v>
      </c>
      <c r="Y19" s="133"/>
      <c r="Z19" s="133"/>
      <c r="AA19" s="133"/>
    </row>
    <row r="20" spans="1:27" hidden="1" x14ac:dyDescent="0.25">
      <c r="A20" s="127">
        <v>22</v>
      </c>
      <c r="B20" s="128" t="str">
        <f t="shared" si="6"/>
        <v>NAMS</v>
      </c>
      <c r="C20" s="128">
        <f>+VLOOKUP(U20,Ходим!A:B,2,0)</f>
        <v>52004005950071</v>
      </c>
      <c r="D20" s="128" t="str">
        <f>IFERROR(VLOOKUP($B:$B,[20]свод!$A:$AB,3,0)," ")</f>
        <v>Наманган шаҳар</v>
      </c>
      <c r="E20" s="7" t="s">
        <v>1165</v>
      </c>
      <c r="F20" s="7" t="s">
        <v>7570</v>
      </c>
      <c r="G20" s="134">
        <f t="shared" si="10"/>
        <v>1</v>
      </c>
      <c r="H20" s="134" t="str">
        <f t="shared" si="11"/>
        <v/>
      </c>
      <c r="I20" s="7" t="s">
        <v>158</v>
      </c>
      <c r="J20" s="7" t="s">
        <v>2</v>
      </c>
      <c r="K20" s="7"/>
      <c r="L20" s="7" t="s">
        <v>167</v>
      </c>
      <c r="M20" s="7" t="s">
        <v>4270</v>
      </c>
      <c r="N20" s="7" t="s">
        <v>170</v>
      </c>
      <c r="O20" s="7" t="s">
        <v>162</v>
      </c>
      <c r="P20" s="7" t="s">
        <v>6286</v>
      </c>
      <c r="Q20" s="129">
        <v>46199</v>
      </c>
      <c r="R20" s="130">
        <f t="shared" si="3"/>
        <v>46210</v>
      </c>
      <c r="S20" s="131">
        <f t="shared" si="9"/>
        <v>11</v>
      </c>
      <c r="T20" s="7" t="s">
        <v>173</v>
      </c>
      <c r="U20" s="7" t="s">
        <v>1015</v>
      </c>
      <c r="V20" s="7"/>
      <c r="W20" s="7">
        <v>176.13</v>
      </c>
      <c r="X20" s="132">
        <f t="shared" si="5"/>
        <v>10</v>
      </c>
      <c r="Y20" s="133"/>
      <c r="Z20" s="133"/>
      <c r="AA20" s="133"/>
    </row>
    <row r="21" spans="1:27" hidden="1" x14ac:dyDescent="0.25">
      <c r="A21" s="127">
        <v>23</v>
      </c>
      <c r="B21" s="128" t="str">
        <f t="shared" si="6"/>
        <v>NAMS</v>
      </c>
      <c r="C21" s="128">
        <f>+VLOOKUP(U21,Ходим!A:B,2,0)</f>
        <v>50510025960139</v>
      </c>
      <c r="D21" s="128" t="str">
        <f>IFERROR(VLOOKUP($B:$B,[20]свод!$A:$AB,3,0)," ")</f>
        <v>Наманган шаҳар</v>
      </c>
      <c r="E21" s="7" t="s">
        <v>1166</v>
      </c>
      <c r="F21" s="7" t="s">
        <v>7571</v>
      </c>
      <c r="G21" s="134">
        <f t="shared" si="10"/>
        <v>1</v>
      </c>
      <c r="H21" s="134" t="str">
        <f t="shared" si="11"/>
        <v/>
      </c>
      <c r="I21" s="7" t="s">
        <v>156</v>
      </c>
      <c r="J21" s="7" t="s">
        <v>25</v>
      </c>
      <c r="K21" s="7"/>
      <c r="L21" s="7"/>
      <c r="M21" s="7"/>
      <c r="N21" s="7" t="s">
        <v>170</v>
      </c>
      <c r="O21" s="7" t="s">
        <v>162</v>
      </c>
      <c r="P21" s="7" t="s">
        <v>6286</v>
      </c>
      <c r="Q21" s="129">
        <v>46199</v>
      </c>
      <c r="R21" s="130">
        <f t="shared" si="3"/>
        <v>46210</v>
      </c>
      <c r="S21" s="131">
        <f t="shared" si="9"/>
        <v>11</v>
      </c>
      <c r="T21" s="7" t="s">
        <v>173</v>
      </c>
      <c r="U21" s="7" t="s">
        <v>955</v>
      </c>
      <c r="V21" s="7"/>
      <c r="W21" s="7"/>
      <c r="X21" s="132">
        <f t="shared" si="5"/>
        <v>10</v>
      </c>
      <c r="Y21" s="133"/>
      <c r="Z21" s="133"/>
      <c r="AA21" s="133"/>
    </row>
    <row r="22" spans="1:27" hidden="1" x14ac:dyDescent="0.25">
      <c r="A22" s="127">
        <v>24</v>
      </c>
      <c r="B22" s="128" t="str">
        <f t="shared" si="6"/>
        <v>YGQT</v>
      </c>
      <c r="C22" s="128" t="str">
        <f>+VLOOKUP(U22,Ходим!A:B,2,0)</f>
        <v>31005985950058</v>
      </c>
      <c r="D22" s="128" t="str">
        <f>IFERROR(VLOOKUP($B:$B,[20]свод!$A:$AB,3,0)," ")</f>
        <v>Янгиқўрғон тумани</v>
      </c>
      <c r="E22" s="7" t="s">
        <v>1167</v>
      </c>
      <c r="F22" s="7" t="s">
        <v>7572</v>
      </c>
      <c r="G22" s="134" t="str">
        <f t="shared" si="10"/>
        <v/>
      </c>
      <c r="H22" s="134">
        <f t="shared" si="11"/>
        <v>1</v>
      </c>
      <c r="I22" s="7" t="s">
        <v>155</v>
      </c>
      <c r="J22" s="7" t="s">
        <v>25</v>
      </c>
      <c r="K22" s="7"/>
      <c r="L22" s="7" t="s">
        <v>166</v>
      </c>
      <c r="M22" s="7" t="s">
        <v>4271</v>
      </c>
      <c r="N22" s="7" t="s">
        <v>170</v>
      </c>
      <c r="O22" s="7" t="s">
        <v>161</v>
      </c>
      <c r="P22" s="7" t="s">
        <v>6287</v>
      </c>
      <c r="Q22" s="129">
        <v>46199</v>
      </c>
      <c r="R22" s="130">
        <f t="shared" si="3"/>
        <v>46210</v>
      </c>
      <c r="S22" s="131">
        <f t="shared" si="9"/>
        <v>11</v>
      </c>
      <c r="T22" s="7" t="s">
        <v>182</v>
      </c>
      <c r="U22" s="7" t="s">
        <v>311</v>
      </c>
      <c r="V22" s="7"/>
      <c r="W22" s="7">
        <v>0</v>
      </c>
      <c r="X22" s="132">
        <f t="shared" si="5"/>
        <v>10</v>
      </c>
      <c r="Y22" s="133"/>
      <c r="Z22" s="133"/>
      <c r="AA22" s="133"/>
    </row>
    <row r="23" spans="1:27" hidden="1" x14ac:dyDescent="0.25">
      <c r="A23" s="127">
        <v>25</v>
      </c>
      <c r="B23" s="128" t="str">
        <f t="shared" si="6"/>
        <v>TORT</v>
      </c>
      <c r="C23" s="128" t="str">
        <f>+VLOOKUP(U23,Ходим!A:B,2,0)</f>
        <v>40302922130046</v>
      </c>
      <c r="D23" s="128" t="str">
        <f>IFERROR(VLOOKUP($B:$B,[20]свод!$A:$AB,3,0)," ")</f>
        <v>Тўрақўрғон тумани</v>
      </c>
      <c r="E23" s="7" t="s">
        <v>1168</v>
      </c>
      <c r="F23" s="7" t="s">
        <v>7573</v>
      </c>
      <c r="G23" s="134">
        <f t="shared" si="10"/>
        <v>1</v>
      </c>
      <c r="H23" s="134" t="str">
        <f t="shared" si="11"/>
        <v/>
      </c>
      <c r="I23" s="7" t="s">
        <v>158</v>
      </c>
      <c r="J23" s="7" t="s">
        <v>1</v>
      </c>
      <c r="K23" s="7"/>
      <c r="L23" s="7" t="s">
        <v>167</v>
      </c>
      <c r="M23" s="7" t="s">
        <v>4272</v>
      </c>
      <c r="N23" s="7" t="s">
        <v>170</v>
      </c>
      <c r="O23" s="7" t="s">
        <v>162</v>
      </c>
      <c r="P23" s="7" t="s">
        <v>6288</v>
      </c>
      <c r="Q23" s="129">
        <v>46199</v>
      </c>
      <c r="R23" s="130">
        <f t="shared" si="3"/>
        <v>46205</v>
      </c>
      <c r="S23" s="131">
        <f t="shared" si="9"/>
        <v>6</v>
      </c>
      <c r="T23" s="7" t="s">
        <v>203</v>
      </c>
      <c r="U23" s="7" t="s">
        <v>258</v>
      </c>
      <c r="V23" s="7"/>
      <c r="W23" s="7">
        <v>218.32</v>
      </c>
      <c r="X23" s="132">
        <f t="shared" si="5"/>
        <v>10</v>
      </c>
      <c r="Y23" s="133"/>
      <c r="Z23" s="133"/>
      <c r="AA23" s="133"/>
    </row>
    <row r="24" spans="1:27" hidden="1" x14ac:dyDescent="0.25">
      <c r="A24" s="127">
        <v>26</v>
      </c>
      <c r="B24" s="128" t="str">
        <f t="shared" si="6"/>
        <v>NAMT</v>
      </c>
      <c r="C24" s="128" t="str">
        <f>+VLOOKUP(U24,Ходим!A:B,2,0)</f>
        <v>40306812090034</v>
      </c>
      <c r="D24" s="128" t="str">
        <f>IFERROR(VLOOKUP($B:$B,[20]свод!$A:$AB,3,0)," ")</f>
        <v>Наманган тумани</v>
      </c>
      <c r="E24" s="7" t="s">
        <v>1169</v>
      </c>
      <c r="F24" s="7" t="s">
        <v>7574</v>
      </c>
      <c r="G24" s="134">
        <f t="shared" si="10"/>
        <v>1</v>
      </c>
      <c r="H24" s="134" t="str">
        <f t="shared" si="11"/>
        <v/>
      </c>
      <c r="I24" s="7" t="s">
        <v>158</v>
      </c>
      <c r="J24" s="7" t="s">
        <v>2</v>
      </c>
      <c r="K24" s="7"/>
      <c r="L24" s="7" t="s">
        <v>167</v>
      </c>
      <c r="M24" s="7" t="s">
        <v>4273</v>
      </c>
      <c r="N24" s="7" t="s">
        <v>170</v>
      </c>
      <c r="O24" s="7" t="s">
        <v>162</v>
      </c>
      <c r="P24" s="7" t="s">
        <v>6289</v>
      </c>
      <c r="Q24" s="129">
        <v>46199</v>
      </c>
      <c r="R24" s="130">
        <f t="shared" si="3"/>
        <v>46210</v>
      </c>
      <c r="S24" s="131">
        <f t="shared" si="9"/>
        <v>11</v>
      </c>
      <c r="T24" s="7" t="s">
        <v>193</v>
      </c>
      <c r="U24" s="7" t="s">
        <v>273</v>
      </c>
      <c r="V24" s="7"/>
      <c r="W24" s="7">
        <v>192.41</v>
      </c>
      <c r="X24" s="132">
        <f t="shared" si="5"/>
        <v>10</v>
      </c>
      <c r="Y24" s="133"/>
      <c r="Z24" s="133"/>
      <c r="AA24" s="133"/>
    </row>
    <row r="25" spans="1:27" hidden="1" x14ac:dyDescent="0.25">
      <c r="A25" s="127">
        <v>27</v>
      </c>
      <c r="B25" s="128" t="str">
        <f t="shared" si="6"/>
        <v>YGQT</v>
      </c>
      <c r="C25" s="128" t="str">
        <f>+VLOOKUP(U25,Ходим!A:B,2,0)</f>
        <v>52802005950028</v>
      </c>
      <c r="D25" s="128" t="str">
        <f>IFERROR(VLOOKUP($B:$B,[20]свод!$A:$AB,3,0)," ")</f>
        <v>Янгиқўрғон тумани</v>
      </c>
      <c r="E25" s="7" t="s">
        <v>1170</v>
      </c>
      <c r="F25" s="7" t="s">
        <v>7575</v>
      </c>
      <c r="G25" s="134">
        <f t="shared" si="10"/>
        <v>1</v>
      </c>
      <c r="H25" s="134" t="str">
        <f t="shared" si="11"/>
        <v/>
      </c>
      <c r="I25" s="7" t="s">
        <v>156</v>
      </c>
      <c r="J25" s="7" t="s">
        <v>22</v>
      </c>
      <c r="K25" s="7"/>
      <c r="L25" s="7" t="s">
        <v>167</v>
      </c>
      <c r="M25" s="7" t="s">
        <v>4274</v>
      </c>
      <c r="N25" s="7" t="s">
        <v>170</v>
      </c>
      <c r="O25" s="7" t="s">
        <v>162</v>
      </c>
      <c r="P25" s="7" t="s">
        <v>6287</v>
      </c>
      <c r="Q25" s="129">
        <v>46199</v>
      </c>
      <c r="R25" s="130">
        <f t="shared" si="3"/>
        <v>46210</v>
      </c>
      <c r="S25" s="131">
        <f t="shared" si="9"/>
        <v>11</v>
      </c>
      <c r="T25" s="7" t="s">
        <v>182</v>
      </c>
      <c r="U25" s="7" t="s">
        <v>281</v>
      </c>
      <c r="V25" s="7"/>
      <c r="W25" s="7">
        <v>362.92</v>
      </c>
      <c r="X25" s="132">
        <f t="shared" si="5"/>
        <v>10</v>
      </c>
      <c r="Y25" s="133"/>
      <c r="Z25" s="133"/>
      <c r="AA25" s="133"/>
    </row>
    <row r="26" spans="1:27" hidden="1" x14ac:dyDescent="0.25">
      <c r="A26" s="127">
        <v>28</v>
      </c>
      <c r="B26" s="128" t="str">
        <f t="shared" si="6"/>
        <v>YGQT</v>
      </c>
      <c r="C26" s="128" t="str">
        <f>+VLOOKUP(U26,Ходим!A:B,2,0)</f>
        <v>33103892160125</v>
      </c>
      <c r="D26" s="128" t="str">
        <f>IFERROR(VLOOKUP($B:$B,[20]свод!$A:$AB,3,0)," ")</f>
        <v>Янгиқўрғон тумани</v>
      </c>
      <c r="E26" s="7" t="s">
        <v>1171</v>
      </c>
      <c r="F26" s="7" t="s">
        <v>7576</v>
      </c>
      <c r="G26" s="134" t="str">
        <f t="shared" si="10"/>
        <v/>
      </c>
      <c r="H26" s="134">
        <f t="shared" si="11"/>
        <v>1</v>
      </c>
      <c r="I26" s="7" t="s">
        <v>157</v>
      </c>
      <c r="J26" s="7" t="s">
        <v>2</v>
      </c>
      <c r="K26" s="7"/>
      <c r="L26" s="7"/>
      <c r="M26" s="7"/>
      <c r="N26" s="7" t="s">
        <v>410</v>
      </c>
      <c r="O26" s="7" t="s">
        <v>161</v>
      </c>
      <c r="P26" s="7" t="s">
        <v>6290</v>
      </c>
      <c r="Q26" s="129">
        <v>46199</v>
      </c>
      <c r="R26" s="130">
        <f t="shared" si="3"/>
        <v>46204</v>
      </c>
      <c r="S26" s="131">
        <f t="shared" si="9"/>
        <v>5</v>
      </c>
      <c r="T26" s="7" t="s">
        <v>255</v>
      </c>
      <c r="U26" s="7" t="s">
        <v>183</v>
      </c>
      <c r="V26" s="7"/>
      <c r="W26" s="7"/>
      <c r="X26" s="132">
        <f t="shared" si="5"/>
        <v>10</v>
      </c>
      <c r="Y26" s="133"/>
      <c r="Z26" s="133"/>
      <c r="AA26" s="133"/>
    </row>
    <row r="27" spans="1:27" x14ac:dyDescent="0.25">
      <c r="A27" s="127">
        <v>29</v>
      </c>
      <c r="B27" s="128" t="str">
        <f t="shared" si="6"/>
        <v>UYCT</v>
      </c>
      <c r="C27" s="128" t="str">
        <f>+VLOOKUP(U27,Ходим!A:B,2,0)</f>
        <v>31703985930055</v>
      </c>
      <c r="D27" s="128" t="str">
        <f>IFERROR(VLOOKUP($B:$B,[20]свод!$A:$AB,3,0)," ")</f>
        <v>Уйчи тумани</v>
      </c>
      <c r="E27" s="7" t="s">
        <v>1172</v>
      </c>
      <c r="F27" s="7"/>
      <c r="G27" s="134">
        <f t="shared" si="10"/>
        <v>1</v>
      </c>
      <c r="H27" s="134" t="str">
        <f t="shared" si="11"/>
        <v/>
      </c>
      <c r="I27" s="7" t="s">
        <v>154</v>
      </c>
      <c r="J27" s="7" t="s">
        <v>145</v>
      </c>
      <c r="K27" s="7"/>
      <c r="L27" s="7" t="s">
        <v>167</v>
      </c>
      <c r="M27" s="7" t="s">
        <v>4275</v>
      </c>
      <c r="N27" s="7" t="s">
        <v>368</v>
      </c>
      <c r="O27" s="7"/>
      <c r="P27" s="7" t="s">
        <v>6291</v>
      </c>
      <c r="Q27" s="129">
        <v>46199</v>
      </c>
      <c r="R27" s="130">
        <f t="shared" si="3"/>
        <v>46198</v>
      </c>
      <c r="S27" s="131">
        <f t="shared" si="9"/>
        <v>-1</v>
      </c>
      <c r="T27" s="7" t="s">
        <v>379</v>
      </c>
      <c r="U27" s="7" t="s">
        <v>276</v>
      </c>
      <c r="V27" s="7" t="s">
        <v>965</v>
      </c>
      <c r="W27" s="7">
        <v>348.36</v>
      </c>
      <c r="X27" s="132">
        <f t="shared" si="5"/>
        <v>5</v>
      </c>
      <c r="Y27" s="133"/>
      <c r="Z27" s="133"/>
      <c r="AA27" s="133"/>
    </row>
    <row r="28" spans="1:27" hidden="1" x14ac:dyDescent="0.25">
      <c r="A28" s="127">
        <v>30</v>
      </c>
      <c r="B28" s="128" t="str">
        <f t="shared" si="6"/>
        <v>UCQT</v>
      </c>
      <c r="C28" s="128" t="e">
        <f>+VLOOKUP(U28,Ходим!A:B,2,0)</f>
        <v>#N/A</v>
      </c>
      <c r="D28" s="128" t="str">
        <f>IFERROR(VLOOKUP($B:$B,[20]свод!$A:$AB,3,0)," ")</f>
        <v>Учқўрғон тумани</v>
      </c>
      <c r="E28" s="7" t="s">
        <v>1173</v>
      </c>
      <c r="F28" s="7" t="s">
        <v>7577</v>
      </c>
      <c r="G28" s="134">
        <f t="shared" si="10"/>
        <v>1</v>
      </c>
      <c r="H28" s="134" t="str">
        <f t="shared" si="11"/>
        <v/>
      </c>
      <c r="I28" s="7" t="s">
        <v>156</v>
      </c>
      <c r="J28" s="7" t="s">
        <v>11</v>
      </c>
      <c r="K28" s="7"/>
      <c r="L28" s="7"/>
      <c r="M28" s="7"/>
      <c r="N28" s="7" t="s">
        <v>410</v>
      </c>
      <c r="O28" s="7" t="s">
        <v>162</v>
      </c>
      <c r="P28" s="7" t="s">
        <v>6292</v>
      </c>
      <c r="Q28" s="129">
        <v>46199</v>
      </c>
      <c r="R28" s="130">
        <f t="shared" si="3"/>
        <v>46210</v>
      </c>
      <c r="S28" s="131">
        <f t="shared" si="9"/>
        <v>11</v>
      </c>
      <c r="T28" s="7"/>
      <c r="U28" s="7"/>
      <c r="V28" s="7"/>
      <c r="W28" s="7"/>
      <c r="X28" s="132">
        <f t="shared" si="5"/>
        <v>10</v>
      </c>
      <c r="Y28" s="133"/>
      <c r="Z28" s="133"/>
      <c r="AA28" s="133"/>
    </row>
    <row r="29" spans="1:27" x14ac:dyDescent="0.25">
      <c r="A29" s="127">
        <v>31</v>
      </c>
      <c r="B29" s="128" t="str">
        <f t="shared" si="6"/>
        <v>YGQT</v>
      </c>
      <c r="C29" s="128" t="str">
        <f>+VLOOKUP(U29,Ходим!A:B,2,0)</f>
        <v>30107965950010</v>
      </c>
      <c r="D29" s="128" t="str">
        <f>IFERROR(VLOOKUP($B:$B,[20]свод!$A:$AB,3,0)," ")</f>
        <v>Янгиқўрғон тумани</v>
      </c>
      <c r="E29" s="7" t="s">
        <v>1174</v>
      </c>
      <c r="F29" s="7" t="s">
        <v>7578</v>
      </c>
      <c r="G29" s="134" t="str">
        <f t="shared" si="10"/>
        <v/>
      </c>
      <c r="H29" s="134">
        <f t="shared" si="11"/>
        <v>1</v>
      </c>
      <c r="I29" s="7" t="s">
        <v>157</v>
      </c>
      <c r="J29" s="7" t="s">
        <v>2</v>
      </c>
      <c r="K29" s="7"/>
      <c r="L29" s="7" t="s">
        <v>168</v>
      </c>
      <c r="M29" s="7" t="s">
        <v>4276</v>
      </c>
      <c r="N29" s="7" t="s">
        <v>170</v>
      </c>
      <c r="O29" s="7" t="s">
        <v>161</v>
      </c>
      <c r="P29" s="7" t="s">
        <v>6293</v>
      </c>
      <c r="Q29" s="129">
        <v>46199</v>
      </c>
      <c r="R29" s="130">
        <f t="shared" si="3"/>
        <v>46199</v>
      </c>
      <c r="S29" s="131">
        <f t="shared" si="9"/>
        <v>0</v>
      </c>
      <c r="T29" s="7" t="s">
        <v>182</v>
      </c>
      <c r="U29" s="7" t="s">
        <v>244</v>
      </c>
      <c r="V29" s="7"/>
      <c r="W29" s="7">
        <v>0</v>
      </c>
      <c r="X29" s="132">
        <f t="shared" si="5"/>
        <v>7</v>
      </c>
      <c r="Y29" s="133"/>
      <c r="Z29" s="133"/>
      <c r="AA29" s="133"/>
    </row>
    <row r="30" spans="1:27" hidden="1" x14ac:dyDescent="0.25">
      <c r="A30" s="127">
        <v>32</v>
      </c>
      <c r="B30" s="128" t="str">
        <f t="shared" si="6"/>
        <v>NAMT</v>
      </c>
      <c r="C30" s="128" t="str">
        <f>+VLOOKUP(U30,Ходим!A:B,2,0)</f>
        <v>32204892090133</v>
      </c>
      <c r="D30" s="128" t="str">
        <f>IFERROR(VLOOKUP($B:$B,[20]свод!$A:$AB,3,0)," ")</f>
        <v>Наманган тумани</v>
      </c>
      <c r="E30" s="7" t="s">
        <v>1175</v>
      </c>
      <c r="F30" s="7" t="s">
        <v>7579</v>
      </c>
      <c r="G30" s="134">
        <f t="shared" si="10"/>
        <v>1</v>
      </c>
      <c r="H30" s="134" t="str">
        <f t="shared" si="11"/>
        <v/>
      </c>
      <c r="I30" s="7" t="s">
        <v>158</v>
      </c>
      <c r="J30" s="7" t="s">
        <v>2</v>
      </c>
      <c r="K30" s="7"/>
      <c r="L30" s="7" t="s">
        <v>167</v>
      </c>
      <c r="M30" s="7" t="s">
        <v>4277</v>
      </c>
      <c r="N30" s="7" t="s">
        <v>170</v>
      </c>
      <c r="O30" s="7" t="s">
        <v>162</v>
      </c>
      <c r="P30" s="7" t="s">
        <v>6293</v>
      </c>
      <c r="Q30" s="129">
        <v>46199</v>
      </c>
      <c r="R30" s="130">
        <f t="shared" si="3"/>
        <v>46204</v>
      </c>
      <c r="S30" s="131">
        <f t="shared" si="9"/>
        <v>5</v>
      </c>
      <c r="T30" s="7" t="s">
        <v>197</v>
      </c>
      <c r="U30" s="7" t="s">
        <v>198</v>
      </c>
      <c r="V30" s="7"/>
      <c r="W30" s="7">
        <v>402.2</v>
      </c>
      <c r="X30" s="132">
        <f t="shared" si="5"/>
        <v>10</v>
      </c>
      <c r="Y30" s="133"/>
      <c r="Z30" s="133"/>
      <c r="AA30" s="133"/>
    </row>
    <row r="31" spans="1:27" hidden="1" x14ac:dyDescent="0.25">
      <c r="A31" s="127">
        <v>33</v>
      </c>
      <c r="B31" s="128" t="str">
        <f t="shared" si="6"/>
        <v>UYCT</v>
      </c>
      <c r="C31" s="128" t="str">
        <f>+VLOOKUP(U31,Ходим!A:B,2,0)</f>
        <v>31004952140036</v>
      </c>
      <c r="D31" s="128" t="str">
        <f>IFERROR(VLOOKUP($B:$B,[20]свод!$A:$AB,3,0)," ")</f>
        <v>Уйчи тумани</v>
      </c>
      <c r="E31" s="7" t="s">
        <v>1176</v>
      </c>
      <c r="F31" s="7" t="s">
        <v>7580</v>
      </c>
      <c r="G31" s="134">
        <f t="shared" si="10"/>
        <v>1</v>
      </c>
      <c r="H31" s="134" t="str">
        <f t="shared" si="11"/>
        <v/>
      </c>
      <c r="I31" s="7" t="s">
        <v>156</v>
      </c>
      <c r="J31" s="7" t="s">
        <v>25</v>
      </c>
      <c r="K31" s="7"/>
      <c r="L31" s="7"/>
      <c r="M31" s="7"/>
      <c r="N31" s="7" t="s">
        <v>170</v>
      </c>
      <c r="O31" s="7" t="s">
        <v>162</v>
      </c>
      <c r="P31" s="7" t="s">
        <v>6294</v>
      </c>
      <c r="Q31" s="129">
        <v>46199</v>
      </c>
      <c r="R31" s="130">
        <f t="shared" si="3"/>
        <v>46210</v>
      </c>
      <c r="S31" s="131">
        <f t="shared" si="9"/>
        <v>11</v>
      </c>
      <c r="T31" s="7" t="s">
        <v>947</v>
      </c>
      <c r="U31" s="7" t="s">
        <v>331</v>
      </c>
      <c r="V31" s="7"/>
      <c r="W31" s="7"/>
      <c r="X31" s="132">
        <f t="shared" si="5"/>
        <v>10</v>
      </c>
      <c r="Y31" s="133"/>
      <c r="Z31" s="133"/>
      <c r="AA31" s="133"/>
    </row>
    <row r="32" spans="1:27" hidden="1" x14ac:dyDescent="0.25">
      <c r="A32" s="127">
        <v>34</v>
      </c>
      <c r="B32" s="128" t="str">
        <f t="shared" si="6"/>
        <v>NAMS</v>
      </c>
      <c r="C32" s="128" t="str">
        <f>+VLOOKUP(U32,Ходим!A:B,2,0)</f>
        <v>30108932170088</v>
      </c>
      <c r="D32" s="128" t="str">
        <f>IFERROR(VLOOKUP($B:$B,[20]свод!$A:$AB,3,0)," ")</f>
        <v>Наманган шаҳар</v>
      </c>
      <c r="E32" s="7" t="s">
        <v>1177</v>
      </c>
      <c r="F32" s="7" t="s">
        <v>7581</v>
      </c>
      <c r="G32" s="134">
        <f t="shared" si="10"/>
        <v>1</v>
      </c>
      <c r="H32" s="134" t="str">
        <f t="shared" si="11"/>
        <v/>
      </c>
      <c r="I32" s="7" t="s">
        <v>156</v>
      </c>
      <c r="J32" s="7" t="s">
        <v>25</v>
      </c>
      <c r="K32" s="7"/>
      <c r="L32" s="7"/>
      <c r="M32" s="7"/>
      <c r="N32" s="7" t="s">
        <v>170</v>
      </c>
      <c r="O32" s="7" t="s">
        <v>162</v>
      </c>
      <c r="P32" s="7" t="s">
        <v>6295</v>
      </c>
      <c r="Q32" s="129">
        <v>46199</v>
      </c>
      <c r="R32" s="130">
        <f t="shared" si="3"/>
        <v>46210</v>
      </c>
      <c r="S32" s="131">
        <f t="shared" si="9"/>
        <v>11</v>
      </c>
      <c r="T32" s="7" t="s">
        <v>173</v>
      </c>
      <c r="U32" s="7" t="s">
        <v>329</v>
      </c>
      <c r="V32" s="7"/>
      <c r="W32" s="7"/>
      <c r="X32" s="132">
        <f t="shared" si="5"/>
        <v>10</v>
      </c>
      <c r="Y32" s="133"/>
      <c r="Z32" s="133"/>
      <c r="AA32" s="133"/>
    </row>
    <row r="33" spans="1:27" x14ac:dyDescent="0.25">
      <c r="A33" s="127">
        <v>35</v>
      </c>
      <c r="B33" s="128" t="str">
        <f t="shared" si="6"/>
        <v>MINT</v>
      </c>
      <c r="C33" s="128" t="str">
        <f>+VLOOKUP(U33,Ходим!A:B,2,0)</f>
        <v>53110035990017</v>
      </c>
      <c r="D33" s="128" t="str">
        <f>IFERROR(VLOOKUP($B:$B,[20]свод!$A:$AB,3,0)," ")</f>
        <v>Мингбулоқ тумани</v>
      </c>
      <c r="E33" s="7" t="s">
        <v>1178</v>
      </c>
      <c r="F33" s="7" t="s">
        <v>7582</v>
      </c>
      <c r="G33" s="134">
        <f t="shared" si="10"/>
        <v>1</v>
      </c>
      <c r="H33" s="134" t="str">
        <f t="shared" si="11"/>
        <v/>
      </c>
      <c r="I33" s="7" t="s">
        <v>158</v>
      </c>
      <c r="J33" s="7" t="s">
        <v>134</v>
      </c>
      <c r="K33" s="7"/>
      <c r="L33" s="7"/>
      <c r="M33" s="7"/>
      <c r="N33" s="7" t="s">
        <v>410</v>
      </c>
      <c r="O33" s="7" t="s">
        <v>162</v>
      </c>
      <c r="P33" s="7" t="s">
        <v>6296</v>
      </c>
      <c r="Q33" s="129">
        <v>46199</v>
      </c>
      <c r="R33" s="130">
        <f t="shared" si="3"/>
        <v>46199</v>
      </c>
      <c r="S33" s="131">
        <f t="shared" si="9"/>
        <v>0</v>
      </c>
      <c r="T33" s="7" t="s">
        <v>220</v>
      </c>
      <c r="U33" s="7" t="s">
        <v>372</v>
      </c>
      <c r="V33" s="7"/>
      <c r="W33" s="7"/>
      <c r="X33" s="132">
        <f t="shared" si="5"/>
        <v>10</v>
      </c>
      <c r="Y33" s="133"/>
      <c r="Z33" s="133"/>
      <c r="AA33" s="133"/>
    </row>
    <row r="34" spans="1:27" hidden="1" x14ac:dyDescent="0.25">
      <c r="A34" s="127">
        <v>36</v>
      </c>
      <c r="B34" s="128" t="str">
        <f t="shared" si="6"/>
        <v>NAMS</v>
      </c>
      <c r="C34" s="128" t="str">
        <f>+VLOOKUP(U34,Ходим!A:B,2,0)</f>
        <v>31312985950011</v>
      </c>
      <c r="D34" s="128" t="str">
        <f>IFERROR(VLOOKUP($B:$B,[20]свод!$A:$AB,3,0)," ")</f>
        <v>Наманган шаҳар</v>
      </c>
      <c r="E34" s="7" t="s">
        <v>1179</v>
      </c>
      <c r="F34" s="7" t="s">
        <v>7583</v>
      </c>
      <c r="G34" s="134">
        <f t="shared" si="10"/>
        <v>1</v>
      </c>
      <c r="H34" s="134" t="str">
        <f t="shared" si="11"/>
        <v/>
      </c>
      <c r="I34" s="7" t="s">
        <v>158</v>
      </c>
      <c r="J34" s="7" t="s">
        <v>2</v>
      </c>
      <c r="K34" s="7"/>
      <c r="L34" s="7" t="s">
        <v>167</v>
      </c>
      <c r="M34" s="7" t="s">
        <v>4278</v>
      </c>
      <c r="N34" s="7" t="s">
        <v>170</v>
      </c>
      <c r="O34" s="7" t="s">
        <v>162</v>
      </c>
      <c r="P34" s="7" t="s">
        <v>6297</v>
      </c>
      <c r="Q34" s="129">
        <v>46199</v>
      </c>
      <c r="R34" s="130">
        <f t="shared" si="3"/>
        <v>46204</v>
      </c>
      <c r="S34" s="131">
        <f t="shared" si="9"/>
        <v>5</v>
      </c>
      <c r="T34" s="7" t="s">
        <v>173</v>
      </c>
      <c r="U34" s="7" t="s">
        <v>303</v>
      </c>
      <c r="V34" s="7"/>
      <c r="W34" s="7">
        <v>317.95</v>
      </c>
      <c r="X34" s="132">
        <f t="shared" si="5"/>
        <v>10</v>
      </c>
      <c r="Y34" s="133"/>
      <c r="Z34" s="133"/>
      <c r="AA34" s="133"/>
    </row>
    <row r="35" spans="1:27" hidden="1" x14ac:dyDescent="0.25">
      <c r="A35" s="127">
        <v>37</v>
      </c>
      <c r="B35" s="128" t="str">
        <f t="shared" si="6"/>
        <v>UCQT</v>
      </c>
      <c r="C35" s="128" t="str">
        <f>+VLOOKUP(U35,Ходим!A:B,2,0)</f>
        <v>42005872150022</v>
      </c>
      <c r="D35" s="128" t="str">
        <f>IFERROR(VLOOKUP($B:$B,[20]свод!$A:$AB,3,0)," ")</f>
        <v>Учқўрғон тумани</v>
      </c>
      <c r="E35" s="7" t="s">
        <v>1180</v>
      </c>
      <c r="F35" s="7" t="s">
        <v>7584</v>
      </c>
      <c r="G35" s="134">
        <f t="shared" si="10"/>
        <v>1</v>
      </c>
      <c r="H35" s="134" t="str">
        <f t="shared" si="11"/>
        <v/>
      </c>
      <c r="I35" s="7" t="s">
        <v>158</v>
      </c>
      <c r="J35" s="7" t="s">
        <v>172</v>
      </c>
      <c r="K35" s="7"/>
      <c r="L35" s="7" t="s">
        <v>167</v>
      </c>
      <c r="M35" s="7" t="s">
        <v>4279</v>
      </c>
      <c r="N35" s="7" t="s">
        <v>170</v>
      </c>
      <c r="O35" s="7" t="s">
        <v>162</v>
      </c>
      <c r="P35" s="7" t="s">
        <v>6298</v>
      </c>
      <c r="Q35" s="129">
        <v>46199</v>
      </c>
      <c r="R35" s="130">
        <f t="shared" si="3"/>
        <v>46204</v>
      </c>
      <c r="S35" s="131">
        <f t="shared" si="9"/>
        <v>5</v>
      </c>
      <c r="T35" s="7" t="s">
        <v>175</v>
      </c>
      <c r="U35" s="7" t="s">
        <v>176</v>
      </c>
      <c r="V35" s="7"/>
      <c r="W35" s="7">
        <v>0</v>
      </c>
      <c r="X35" s="132">
        <f t="shared" si="5"/>
        <v>10</v>
      </c>
      <c r="Y35" s="133"/>
      <c r="Z35" s="133"/>
      <c r="AA35" s="133"/>
    </row>
    <row r="36" spans="1:27" hidden="1" x14ac:dyDescent="0.25">
      <c r="A36" s="127">
        <v>38</v>
      </c>
      <c r="B36" s="128" t="str">
        <f t="shared" si="6"/>
        <v>TORT</v>
      </c>
      <c r="C36" s="128" t="str">
        <f>+VLOOKUP(U36,Ходим!A:B,2,0)</f>
        <v>31704782130035</v>
      </c>
      <c r="D36" s="128" t="str">
        <f>IFERROR(VLOOKUP($B:$B,[20]свод!$A:$AB,3,0)," ")</f>
        <v>Тўрақўрғон тумани</v>
      </c>
      <c r="E36" s="7" t="s">
        <v>1181</v>
      </c>
      <c r="F36" s="7" t="s">
        <v>7585</v>
      </c>
      <c r="G36" s="134">
        <f t="shared" si="10"/>
        <v>1</v>
      </c>
      <c r="H36" s="134" t="str">
        <f t="shared" si="11"/>
        <v/>
      </c>
      <c r="I36" s="7" t="s">
        <v>158</v>
      </c>
      <c r="J36" s="7" t="s">
        <v>2</v>
      </c>
      <c r="K36" s="7"/>
      <c r="L36" s="7" t="s">
        <v>167</v>
      </c>
      <c r="M36" s="7" t="s">
        <v>4280</v>
      </c>
      <c r="N36" s="7" t="s">
        <v>170</v>
      </c>
      <c r="O36" s="7" t="s">
        <v>162</v>
      </c>
      <c r="P36" s="7" t="s">
        <v>6299</v>
      </c>
      <c r="Q36" s="129">
        <v>46199</v>
      </c>
      <c r="R36" s="130">
        <f t="shared" si="3"/>
        <v>46204</v>
      </c>
      <c r="S36" s="131">
        <f t="shared" si="9"/>
        <v>5</v>
      </c>
      <c r="T36" s="7" t="s">
        <v>203</v>
      </c>
      <c r="U36" s="7" t="s">
        <v>344</v>
      </c>
      <c r="V36" s="7"/>
      <c r="W36" s="7">
        <v>218.1</v>
      </c>
      <c r="X36" s="132">
        <f t="shared" si="5"/>
        <v>10</v>
      </c>
      <c r="Y36" s="133"/>
      <c r="Z36" s="133"/>
      <c r="AA36" s="133"/>
    </row>
    <row r="37" spans="1:27" hidden="1" x14ac:dyDescent="0.25">
      <c r="A37" s="127">
        <v>39</v>
      </c>
      <c r="B37" s="128" t="str">
        <f t="shared" si="6"/>
        <v>NAMS</v>
      </c>
      <c r="C37" s="128" t="str">
        <f>+VLOOKUP(U37,Ходим!A:B,2,0)</f>
        <v>31608732170178</v>
      </c>
      <c r="D37" s="128" t="str">
        <f>IFERROR(VLOOKUP($B:$B,[20]свод!$A:$AB,3,0)," ")</f>
        <v>Наманган шаҳар</v>
      </c>
      <c r="E37" s="7" t="s">
        <v>1182</v>
      </c>
      <c r="F37" s="7" t="s">
        <v>7586</v>
      </c>
      <c r="G37" s="134">
        <f t="shared" si="10"/>
        <v>1</v>
      </c>
      <c r="H37" s="134" t="str">
        <f t="shared" si="11"/>
        <v/>
      </c>
      <c r="I37" s="7" t="s">
        <v>156</v>
      </c>
      <c r="J37" s="7" t="s">
        <v>25</v>
      </c>
      <c r="K37" s="7"/>
      <c r="L37" s="7"/>
      <c r="M37" s="7"/>
      <c r="N37" s="7" t="s">
        <v>170</v>
      </c>
      <c r="O37" s="7" t="s">
        <v>162</v>
      </c>
      <c r="P37" s="7" t="s">
        <v>6300</v>
      </c>
      <c r="Q37" s="129">
        <v>46199</v>
      </c>
      <c r="R37" s="130">
        <f t="shared" si="3"/>
        <v>46210</v>
      </c>
      <c r="S37" s="131">
        <f t="shared" si="9"/>
        <v>11</v>
      </c>
      <c r="T37" s="7" t="s">
        <v>173</v>
      </c>
      <c r="U37" s="7" t="s">
        <v>267</v>
      </c>
      <c r="V37" s="7"/>
      <c r="W37" s="7"/>
      <c r="X37" s="132">
        <f t="shared" si="5"/>
        <v>10</v>
      </c>
      <c r="Y37" s="133"/>
      <c r="Z37" s="133"/>
      <c r="AA37" s="133"/>
    </row>
    <row r="38" spans="1:27" hidden="1" x14ac:dyDescent="0.25">
      <c r="A38" s="127">
        <v>40</v>
      </c>
      <c r="B38" s="128" t="str">
        <f t="shared" si="6"/>
        <v>CHUT</v>
      </c>
      <c r="C38" s="128" t="e">
        <f>+VLOOKUP(U38,Ходим!A:B,2,0)</f>
        <v>#N/A</v>
      </c>
      <c r="D38" s="128" t="str">
        <f>IFERROR(VLOOKUP($B:$B,[20]свод!$A:$AB,3,0)," ")</f>
        <v>Чуст тумани</v>
      </c>
      <c r="E38" s="7" t="s">
        <v>1183</v>
      </c>
      <c r="F38" s="7" t="s">
        <v>7587</v>
      </c>
      <c r="G38" s="134">
        <f t="shared" si="10"/>
        <v>1</v>
      </c>
      <c r="H38" s="134" t="str">
        <f t="shared" si="11"/>
        <v/>
      </c>
      <c r="I38" s="7" t="s">
        <v>156</v>
      </c>
      <c r="J38" s="7" t="s">
        <v>11</v>
      </c>
      <c r="K38" s="7"/>
      <c r="L38" s="7"/>
      <c r="M38" s="7"/>
      <c r="N38" s="7" t="s">
        <v>410</v>
      </c>
      <c r="O38" s="7" t="s">
        <v>162</v>
      </c>
      <c r="P38" s="7" t="s">
        <v>6299</v>
      </c>
      <c r="Q38" s="129">
        <v>46199</v>
      </c>
      <c r="R38" s="130">
        <f t="shared" si="3"/>
        <v>46204</v>
      </c>
      <c r="S38" s="131">
        <f t="shared" si="9"/>
        <v>5</v>
      </c>
      <c r="T38" s="7"/>
      <c r="U38" s="7"/>
      <c r="V38" s="7"/>
      <c r="W38" s="7"/>
      <c r="X38" s="132">
        <f t="shared" si="5"/>
        <v>10</v>
      </c>
      <c r="Y38" s="133"/>
      <c r="Z38" s="133"/>
      <c r="AA38" s="133"/>
    </row>
    <row r="39" spans="1:27" hidden="1" x14ac:dyDescent="0.25">
      <c r="A39" s="127">
        <v>41</v>
      </c>
      <c r="B39" s="128" t="str">
        <f t="shared" si="6"/>
        <v>TORT</v>
      </c>
      <c r="C39" s="128" t="str">
        <f>+VLOOKUP(U39,Ходим!A:B,2,0)</f>
        <v>40302922130046</v>
      </c>
      <c r="D39" s="128" t="str">
        <f>IFERROR(VLOOKUP($B:$B,[20]свод!$A:$AB,3,0)," ")</f>
        <v>Тўрақўрғон тумани</v>
      </c>
      <c r="E39" s="7" t="s">
        <v>1184</v>
      </c>
      <c r="F39" s="7" t="s">
        <v>7588</v>
      </c>
      <c r="G39" s="134">
        <f t="shared" si="10"/>
        <v>1</v>
      </c>
      <c r="H39" s="134" t="str">
        <f t="shared" si="11"/>
        <v/>
      </c>
      <c r="I39" s="7" t="s">
        <v>158</v>
      </c>
      <c r="J39" s="7" t="s">
        <v>1</v>
      </c>
      <c r="K39" s="7"/>
      <c r="L39" s="7" t="s">
        <v>167</v>
      </c>
      <c r="M39" s="7" t="s">
        <v>4281</v>
      </c>
      <c r="N39" s="7" t="s">
        <v>170</v>
      </c>
      <c r="O39" s="7" t="s">
        <v>162</v>
      </c>
      <c r="P39" s="7" t="s">
        <v>6301</v>
      </c>
      <c r="Q39" s="129">
        <v>46199</v>
      </c>
      <c r="R39" s="130">
        <f t="shared" si="3"/>
        <v>46202</v>
      </c>
      <c r="S39" s="131">
        <f t="shared" si="9"/>
        <v>3</v>
      </c>
      <c r="T39" s="7" t="s">
        <v>203</v>
      </c>
      <c r="U39" s="7" t="s">
        <v>258</v>
      </c>
      <c r="V39" s="7"/>
      <c r="W39" s="7">
        <v>411.1</v>
      </c>
      <c r="X39" s="132">
        <f t="shared" si="5"/>
        <v>10</v>
      </c>
      <c r="Y39" s="133"/>
      <c r="Z39" s="133"/>
      <c r="AA39" s="133"/>
    </row>
    <row r="40" spans="1:27" hidden="1" x14ac:dyDescent="0.25">
      <c r="A40" s="127">
        <v>42</v>
      </c>
      <c r="B40" s="128" t="str">
        <f t="shared" si="6"/>
        <v>POPT</v>
      </c>
      <c r="C40" s="128" t="str">
        <f>+VLOOKUP(U40,Ходим!A:B,2,0)</f>
        <v>51605005910024</v>
      </c>
      <c r="D40" s="128" t="str">
        <f>IFERROR(VLOOKUP($B:$B,[20]свод!$A:$AB,3,0)," ")</f>
        <v>Поп тумани</v>
      </c>
      <c r="E40" s="7" t="s">
        <v>1185</v>
      </c>
      <c r="F40" s="7" t="s">
        <v>7589</v>
      </c>
      <c r="G40" s="134">
        <f t="shared" si="10"/>
        <v>1</v>
      </c>
      <c r="H40" s="134" t="str">
        <f t="shared" si="11"/>
        <v/>
      </c>
      <c r="I40" s="7" t="s">
        <v>154</v>
      </c>
      <c r="J40" s="7" t="s">
        <v>114</v>
      </c>
      <c r="K40" s="7"/>
      <c r="L40" s="7"/>
      <c r="M40" s="7"/>
      <c r="N40" s="7" t="s">
        <v>170</v>
      </c>
      <c r="O40" s="7" t="s">
        <v>162</v>
      </c>
      <c r="P40" s="7" t="s">
        <v>6302</v>
      </c>
      <c r="Q40" s="129">
        <v>46199</v>
      </c>
      <c r="R40" s="130">
        <f t="shared" si="3"/>
        <v>46209</v>
      </c>
      <c r="S40" s="131">
        <f t="shared" si="9"/>
        <v>10</v>
      </c>
      <c r="T40" s="7" t="s">
        <v>214</v>
      </c>
      <c r="U40" s="7" t="s">
        <v>241</v>
      </c>
      <c r="V40" s="7"/>
      <c r="W40" s="7"/>
      <c r="X40" s="132">
        <f t="shared" si="5"/>
        <v>10</v>
      </c>
      <c r="Y40" s="133"/>
      <c r="Z40" s="133"/>
      <c r="AA40" s="133"/>
    </row>
    <row r="41" spans="1:27" hidden="1" x14ac:dyDescent="0.25">
      <c r="A41" s="127">
        <v>43</v>
      </c>
      <c r="B41" s="128" t="str">
        <f t="shared" si="6"/>
        <v>NAMS</v>
      </c>
      <c r="C41" s="128">
        <f>+VLOOKUP(U41,Ходим!A:B,2,0)</f>
        <v>52004005950071</v>
      </c>
      <c r="D41" s="128" t="str">
        <f>IFERROR(VLOOKUP($B:$B,[20]свод!$A:$AB,3,0)," ")</f>
        <v>Наманган шаҳар</v>
      </c>
      <c r="E41" s="7" t="s">
        <v>1186</v>
      </c>
      <c r="F41" s="7" t="s">
        <v>7590</v>
      </c>
      <c r="G41" s="134">
        <f t="shared" si="10"/>
        <v>1</v>
      </c>
      <c r="H41" s="134" t="str">
        <f t="shared" si="11"/>
        <v/>
      </c>
      <c r="I41" s="7" t="s">
        <v>158</v>
      </c>
      <c r="J41" s="7" t="s">
        <v>2</v>
      </c>
      <c r="K41" s="7"/>
      <c r="L41" s="7"/>
      <c r="M41" s="7"/>
      <c r="N41" s="7" t="s">
        <v>170</v>
      </c>
      <c r="O41" s="7" t="s">
        <v>162</v>
      </c>
      <c r="P41" s="7" t="s">
        <v>6303</v>
      </c>
      <c r="Q41" s="129">
        <v>46199</v>
      </c>
      <c r="R41" s="130">
        <f t="shared" si="3"/>
        <v>46204</v>
      </c>
      <c r="S41" s="131">
        <f t="shared" si="9"/>
        <v>5</v>
      </c>
      <c r="T41" s="7" t="s">
        <v>173</v>
      </c>
      <c r="U41" s="7" t="s">
        <v>1015</v>
      </c>
      <c r="V41" s="7"/>
      <c r="W41" s="7"/>
      <c r="X41" s="132">
        <f t="shared" si="5"/>
        <v>10</v>
      </c>
      <c r="Y41" s="133"/>
      <c r="Z41" s="133"/>
      <c r="AA41" s="133"/>
    </row>
    <row r="42" spans="1:27" hidden="1" x14ac:dyDescent="0.25">
      <c r="A42" s="127">
        <v>44</v>
      </c>
      <c r="B42" s="128" t="str">
        <f t="shared" si="6"/>
        <v>MINT</v>
      </c>
      <c r="C42" s="128" t="e">
        <f>+VLOOKUP(U42,Ходим!A:B,2,0)</f>
        <v>#N/A</v>
      </c>
      <c r="D42" s="128" t="str">
        <f>IFERROR(VLOOKUP($B:$B,[20]свод!$A:$AB,3,0)," ")</f>
        <v>Мингбулоқ тумани</v>
      </c>
      <c r="E42" s="7" t="s">
        <v>1187</v>
      </c>
      <c r="F42" s="7" t="s">
        <v>7591</v>
      </c>
      <c r="G42" s="134">
        <f t="shared" si="10"/>
        <v>1</v>
      </c>
      <c r="H42" s="134" t="str">
        <f t="shared" si="11"/>
        <v/>
      </c>
      <c r="I42" s="7" t="s">
        <v>156</v>
      </c>
      <c r="J42" s="7" t="s">
        <v>11</v>
      </c>
      <c r="K42" s="7"/>
      <c r="L42" s="7"/>
      <c r="M42" s="7"/>
      <c r="N42" s="7" t="s">
        <v>170</v>
      </c>
      <c r="O42" s="7" t="s">
        <v>162</v>
      </c>
      <c r="P42" s="7" t="s">
        <v>6304</v>
      </c>
      <c r="Q42" s="129">
        <v>46199</v>
      </c>
      <c r="R42" s="130">
        <f t="shared" si="3"/>
        <v>46210</v>
      </c>
      <c r="S42" s="131">
        <f t="shared" si="9"/>
        <v>11</v>
      </c>
      <c r="T42" s="7"/>
      <c r="U42" s="7"/>
      <c r="V42" s="7"/>
      <c r="W42" s="7"/>
      <c r="X42" s="132">
        <f t="shared" si="5"/>
        <v>10</v>
      </c>
      <c r="Y42" s="133"/>
      <c r="Z42" s="133"/>
      <c r="AA42" s="133"/>
    </row>
    <row r="43" spans="1:27" hidden="1" x14ac:dyDescent="0.25">
      <c r="A43" s="127">
        <v>45</v>
      </c>
      <c r="B43" s="128" t="str">
        <f t="shared" si="6"/>
        <v>UYCT</v>
      </c>
      <c r="C43" s="128" t="str">
        <f>+VLOOKUP(U43,Ходим!A:B,2,0)</f>
        <v>31703985930055</v>
      </c>
      <c r="D43" s="128" t="str">
        <f>IFERROR(VLOOKUP($B:$B,[20]свод!$A:$AB,3,0)," ")</f>
        <v>Уйчи тумани</v>
      </c>
      <c r="E43" s="7" t="s">
        <v>1188</v>
      </c>
      <c r="F43" s="7" t="s">
        <v>7592</v>
      </c>
      <c r="G43" s="134">
        <f t="shared" si="10"/>
        <v>1</v>
      </c>
      <c r="H43" s="134" t="str">
        <f t="shared" si="11"/>
        <v/>
      </c>
      <c r="I43" s="7" t="s">
        <v>158</v>
      </c>
      <c r="J43" s="7" t="s">
        <v>16</v>
      </c>
      <c r="K43" s="7"/>
      <c r="L43" s="7" t="s">
        <v>167</v>
      </c>
      <c r="M43" s="7" t="s">
        <v>4282</v>
      </c>
      <c r="N43" s="7" t="s">
        <v>170</v>
      </c>
      <c r="O43" s="7" t="s">
        <v>162</v>
      </c>
      <c r="P43" s="7" t="s">
        <v>6305</v>
      </c>
      <c r="Q43" s="129">
        <v>46199</v>
      </c>
      <c r="R43" s="130">
        <f t="shared" si="3"/>
        <v>46204</v>
      </c>
      <c r="S43" s="131">
        <f t="shared" si="9"/>
        <v>5</v>
      </c>
      <c r="T43" s="7" t="s">
        <v>947</v>
      </c>
      <c r="U43" s="7" t="s">
        <v>276</v>
      </c>
      <c r="V43" s="7"/>
      <c r="W43" s="7">
        <v>0</v>
      </c>
      <c r="X43" s="132">
        <f t="shared" si="5"/>
        <v>10</v>
      </c>
      <c r="Y43" s="133"/>
      <c r="Z43" s="133"/>
      <c r="AA43" s="133"/>
    </row>
    <row r="44" spans="1:27" hidden="1" x14ac:dyDescent="0.25">
      <c r="A44" s="127">
        <v>46</v>
      </c>
      <c r="B44" s="128" t="str">
        <f t="shared" si="6"/>
        <v>POPT</v>
      </c>
      <c r="C44" s="128" t="str">
        <f>+VLOOKUP(U44,Ходим!A:B,2,0)</f>
        <v>32209966000029</v>
      </c>
      <c r="D44" s="128" t="str">
        <f>IFERROR(VLOOKUP($B:$B,[20]свод!$A:$AB,3,0)," ")</f>
        <v>Поп тумани</v>
      </c>
      <c r="E44" s="7" t="s">
        <v>1189</v>
      </c>
      <c r="F44" s="7" t="s">
        <v>7593</v>
      </c>
      <c r="G44" s="134">
        <f t="shared" si="10"/>
        <v>1</v>
      </c>
      <c r="H44" s="134" t="str">
        <f t="shared" si="11"/>
        <v/>
      </c>
      <c r="I44" s="7" t="s">
        <v>158</v>
      </c>
      <c r="J44" s="7" t="s">
        <v>2</v>
      </c>
      <c r="K44" s="7"/>
      <c r="L44" s="7" t="s">
        <v>167</v>
      </c>
      <c r="M44" s="7" t="s">
        <v>4283</v>
      </c>
      <c r="N44" s="7" t="s">
        <v>410</v>
      </c>
      <c r="O44" s="7" t="s">
        <v>162</v>
      </c>
      <c r="P44" s="7" t="s">
        <v>6306</v>
      </c>
      <c r="Q44" s="129">
        <v>46199</v>
      </c>
      <c r="R44" s="130">
        <f t="shared" si="3"/>
        <v>46204</v>
      </c>
      <c r="S44" s="131">
        <f t="shared" si="9"/>
        <v>5</v>
      </c>
      <c r="T44" s="7" t="s">
        <v>214</v>
      </c>
      <c r="U44" s="7" t="s">
        <v>282</v>
      </c>
      <c r="V44" s="7"/>
      <c r="W44" s="7">
        <v>193</v>
      </c>
      <c r="X44" s="132">
        <f t="shared" si="5"/>
        <v>10</v>
      </c>
      <c r="Y44" s="133"/>
      <c r="Z44" s="133"/>
      <c r="AA44" s="133"/>
    </row>
    <row r="45" spans="1:27" hidden="1" x14ac:dyDescent="0.25">
      <c r="A45" s="127">
        <v>47</v>
      </c>
      <c r="B45" s="128" t="str">
        <f t="shared" si="6"/>
        <v>UCQT</v>
      </c>
      <c r="C45" s="128" t="e">
        <f>+VLOOKUP(U45,Ходим!A:B,2,0)</f>
        <v>#N/A</v>
      </c>
      <c r="D45" s="128" t="str">
        <f>IFERROR(VLOOKUP($B:$B,[20]свод!$A:$AB,3,0)," ")</f>
        <v>Учқўрғон тумани</v>
      </c>
      <c r="E45" s="7" t="s">
        <v>1190</v>
      </c>
      <c r="F45" s="7" t="s">
        <v>7594</v>
      </c>
      <c r="G45" s="134">
        <f t="shared" si="10"/>
        <v>1</v>
      </c>
      <c r="H45" s="134" t="str">
        <f t="shared" si="11"/>
        <v/>
      </c>
      <c r="I45" s="7" t="s">
        <v>156</v>
      </c>
      <c r="J45" s="7" t="s">
        <v>11</v>
      </c>
      <c r="K45" s="7"/>
      <c r="L45" s="7"/>
      <c r="M45" s="7"/>
      <c r="N45" s="7" t="s">
        <v>170</v>
      </c>
      <c r="O45" s="7" t="s">
        <v>162</v>
      </c>
      <c r="P45" s="7" t="s">
        <v>6307</v>
      </c>
      <c r="Q45" s="129">
        <v>46199</v>
      </c>
      <c r="R45" s="130">
        <f t="shared" si="3"/>
        <v>46210</v>
      </c>
      <c r="S45" s="131">
        <f t="shared" si="9"/>
        <v>11</v>
      </c>
      <c r="T45" s="7" t="s">
        <v>175</v>
      </c>
      <c r="U45" s="7"/>
      <c r="V45" s="7"/>
      <c r="W45" s="7"/>
      <c r="X45" s="132">
        <f t="shared" si="5"/>
        <v>10</v>
      </c>
      <c r="Y45" s="133"/>
      <c r="Z45" s="133"/>
      <c r="AA45" s="133"/>
    </row>
    <row r="46" spans="1:27" hidden="1" x14ac:dyDescent="0.25">
      <c r="A46" s="127">
        <v>48</v>
      </c>
      <c r="B46" s="128" t="str">
        <f t="shared" si="6"/>
        <v>CHUT</v>
      </c>
      <c r="C46" s="128" t="str">
        <f>+VLOOKUP(U46,Ходим!A:B,2,0)</f>
        <v>31312912180061</v>
      </c>
      <c r="D46" s="128" t="str">
        <f>IFERROR(VLOOKUP($B:$B,[20]свод!$A:$AB,3,0)," ")</f>
        <v>Чуст тумани</v>
      </c>
      <c r="E46" s="7" t="s">
        <v>1191</v>
      </c>
      <c r="F46" s="7" t="s">
        <v>7595</v>
      </c>
      <c r="G46" s="134">
        <f t="shared" si="10"/>
        <v>1</v>
      </c>
      <c r="H46" s="134" t="str">
        <f t="shared" si="11"/>
        <v/>
      </c>
      <c r="I46" s="7" t="s">
        <v>156</v>
      </c>
      <c r="J46" s="7" t="s">
        <v>25</v>
      </c>
      <c r="K46" s="7"/>
      <c r="L46" s="7"/>
      <c r="M46" s="7"/>
      <c r="N46" s="7" t="s">
        <v>170</v>
      </c>
      <c r="O46" s="7" t="s">
        <v>162</v>
      </c>
      <c r="P46" s="7" t="s">
        <v>6308</v>
      </c>
      <c r="Q46" s="129">
        <v>46199</v>
      </c>
      <c r="R46" s="130">
        <f t="shared" si="3"/>
        <v>46210</v>
      </c>
      <c r="S46" s="131">
        <f t="shared" si="9"/>
        <v>11</v>
      </c>
      <c r="T46" s="7" t="s">
        <v>178</v>
      </c>
      <c r="U46" s="7" t="s">
        <v>202</v>
      </c>
      <c r="V46" s="7"/>
      <c r="W46" s="7"/>
      <c r="X46" s="132">
        <f t="shared" si="5"/>
        <v>10</v>
      </c>
      <c r="Y46" s="133"/>
      <c r="Z46" s="133"/>
      <c r="AA46" s="133"/>
    </row>
    <row r="47" spans="1:27" hidden="1" x14ac:dyDescent="0.25">
      <c r="A47" s="127">
        <v>49</v>
      </c>
      <c r="B47" s="128" t="str">
        <f t="shared" si="6"/>
        <v>NAMS</v>
      </c>
      <c r="C47" s="128" t="str">
        <f>+VLOOKUP(U47,Ходим!A:B,2,0)</f>
        <v>32211885960016</v>
      </c>
      <c r="D47" s="128" t="str">
        <f>IFERROR(VLOOKUP($B:$B,[20]свод!$A:$AB,3,0)," ")</f>
        <v>Наманган шаҳар</v>
      </c>
      <c r="E47" s="7" t="s">
        <v>1192</v>
      </c>
      <c r="F47" s="7" t="s">
        <v>7596</v>
      </c>
      <c r="G47" s="134">
        <f t="shared" si="10"/>
        <v>1</v>
      </c>
      <c r="H47" s="134" t="str">
        <f t="shared" si="11"/>
        <v/>
      </c>
      <c r="I47" s="7" t="s">
        <v>156</v>
      </c>
      <c r="J47" s="7" t="s">
        <v>25</v>
      </c>
      <c r="K47" s="7"/>
      <c r="L47" s="7"/>
      <c r="M47" s="7"/>
      <c r="N47" s="7" t="s">
        <v>170</v>
      </c>
      <c r="O47" s="7" t="s">
        <v>162</v>
      </c>
      <c r="P47" s="7" t="s">
        <v>6309</v>
      </c>
      <c r="Q47" s="129">
        <v>46199</v>
      </c>
      <c r="R47" s="130">
        <f t="shared" si="3"/>
        <v>46204</v>
      </c>
      <c r="S47" s="131">
        <f t="shared" si="9"/>
        <v>5</v>
      </c>
      <c r="T47" s="7" t="s">
        <v>227</v>
      </c>
      <c r="U47" s="7" t="s">
        <v>279</v>
      </c>
      <c r="V47" s="7"/>
      <c r="W47" s="7"/>
      <c r="X47" s="132">
        <f t="shared" si="5"/>
        <v>10</v>
      </c>
      <c r="Y47" s="133"/>
      <c r="Z47" s="133"/>
      <c r="AA47" s="133"/>
    </row>
    <row r="48" spans="1:27" hidden="1" x14ac:dyDescent="0.25">
      <c r="A48" s="127">
        <v>50</v>
      </c>
      <c r="B48" s="128" t="str">
        <f t="shared" si="6"/>
        <v>YGQT</v>
      </c>
      <c r="C48" s="128" t="str">
        <f>+VLOOKUP(U48,Ходим!A:B,2,0)</f>
        <v>52410005950025</v>
      </c>
      <c r="D48" s="128" t="str">
        <f>IFERROR(VLOOKUP($B:$B,[20]свод!$A:$AB,3,0)," ")</f>
        <v>Янгиқўрғон тумани</v>
      </c>
      <c r="E48" s="7" t="s">
        <v>1193</v>
      </c>
      <c r="F48" s="7" t="s">
        <v>7597</v>
      </c>
      <c r="G48" s="134">
        <f t="shared" si="10"/>
        <v>1</v>
      </c>
      <c r="H48" s="134" t="str">
        <f t="shared" si="11"/>
        <v/>
      </c>
      <c r="I48" s="7" t="s">
        <v>158</v>
      </c>
      <c r="J48" s="7" t="s">
        <v>2</v>
      </c>
      <c r="K48" s="7"/>
      <c r="L48" s="7" t="s">
        <v>167</v>
      </c>
      <c r="M48" s="7" t="s">
        <v>4284</v>
      </c>
      <c r="N48" s="7" t="s">
        <v>170</v>
      </c>
      <c r="O48" s="7" t="s">
        <v>162</v>
      </c>
      <c r="P48" s="7" t="s">
        <v>6310</v>
      </c>
      <c r="Q48" s="129">
        <v>46199</v>
      </c>
      <c r="R48" s="130">
        <f t="shared" si="3"/>
        <v>46204</v>
      </c>
      <c r="S48" s="131">
        <f t="shared" si="9"/>
        <v>5</v>
      </c>
      <c r="T48" s="7" t="s">
        <v>255</v>
      </c>
      <c r="U48" s="7" t="s">
        <v>256</v>
      </c>
      <c r="V48" s="7"/>
      <c r="W48" s="7">
        <v>163.98</v>
      </c>
      <c r="X48" s="132">
        <f t="shared" si="5"/>
        <v>10</v>
      </c>
      <c r="Y48" s="133"/>
      <c r="Z48" s="133"/>
      <c r="AA48" s="133"/>
    </row>
    <row r="49" spans="1:27" hidden="1" x14ac:dyDescent="0.25">
      <c r="A49" s="127">
        <v>51</v>
      </c>
      <c r="B49" s="128" t="str">
        <f t="shared" si="6"/>
        <v>NAMS</v>
      </c>
      <c r="C49" s="128" t="str">
        <f>+VLOOKUP(U49,Ходим!A:B,2,0)</f>
        <v>31007955980023</v>
      </c>
      <c r="D49" s="128" t="str">
        <f>IFERROR(VLOOKUP($B:$B,[20]свод!$A:$AB,3,0)," ")</f>
        <v>Наманган шаҳар</v>
      </c>
      <c r="E49" s="7" t="s">
        <v>1194</v>
      </c>
      <c r="F49" s="7" t="s">
        <v>7598</v>
      </c>
      <c r="G49" s="134">
        <f t="shared" si="10"/>
        <v>1</v>
      </c>
      <c r="H49" s="134" t="str">
        <f t="shared" si="11"/>
        <v/>
      </c>
      <c r="I49" s="7" t="s">
        <v>158</v>
      </c>
      <c r="J49" s="7" t="s">
        <v>2</v>
      </c>
      <c r="K49" s="7"/>
      <c r="L49" s="7"/>
      <c r="M49" s="7"/>
      <c r="N49" s="7" t="s">
        <v>170</v>
      </c>
      <c r="O49" s="7" t="s">
        <v>162</v>
      </c>
      <c r="P49" s="7" t="s">
        <v>6311</v>
      </c>
      <c r="Q49" s="129">
        <v>46199</v>
      </c>
      <c r="R49" s="130">
        <f t="shared" si="3"/>
        <v>46204</v>
      </c>
      <c r="S49" s="131">
        <f t="shared" si="9"/>
        <v>5</v>
      </c>
      <c r="T49" s="7" t="s">
        <v>173</v>
      </c>
      <c r="U49" s="7" t="s">
        <v>207</v>
      </c>
      <c r="V49" s="7"/>
      <c r="W49" s="7"/>
      <c r="X49" s="132">
        <f t="shared" si="5"/>
        <v>10</v>
      </c>
      <c r="Y49" s="133"/>
      <c r="Z49" s="133"/>
      <c r="AA49" s="133"/>
    </row>
    <row r="50" spans="1:27" hidden="1" x14ac:dyDescent="0.25">
      <c r="A50" s="127">
        <v>52</v>
      </c>
      <c r="B50" s="128" t="str">
        <f t="shared" si="6"/>
        <v>UYCT</v>
      </c>
      <c r="C50" s="128" t="str">
        <f>+VLOOKUP(U50,Ходим!A:B,2,0)</f>
        <v>32002975930037</v>
      </c>
      <c r="D50" s="128" t="str">
        <f>IFERROR(VLOOKUP($B:$B,[20]свод!$A:$AB,3,0)," ")</f>
        <v>Уйчи тумани</v>
      </c>
      <c r="E50" s="7" t="s">
        <v>1195</v>
      </c>
      <c r="F50" s="7" t="s">
        <v>7599</v>
      </c>
      <c r="G50" s="134" t="str">
        <f t="shared" si="10"/>
        <v/>
      </c>
      <c r="H50" s="134">
        <f t="shared" si="11"/>
        <v>1</v>
      </c>
      <c r="I50" s="7" t="s">
        <v>157</v>
      </c>
      <c r="J50" s="7" t="s">
        <v>35</v>
      </c>
      <c r="K50" s="7"/>
      <c r="L50" s="7" t="s">
        <v>166</v>
      </c>
      <c r="M50" s="7" t="s">
        <v>4285</v>
      </c>
      <c r="N50" s="7" t="s">
        <v>410</v>
      </c>
      <c r="O50" s="7" t="s">
        <v>161</v>
      </c>
      <c r="P50" s="7" t="s">
        <v>6312</v>
      </c>
      <c r="Q50" s="129">
        <v>46199</v>
      </c>
      <c r="R50" s="130">
        <f t="shared" si="3"/>
        <v>46218</v>
      </c>
      <c r="S50" s="131">
        <f t="shared" si="9"/>
        <v>19</v>
      </c>
      <c r="T50" s="7" t="s">
        <v>379</v>
      </c>
      <c r="U50" s="7" t="s">
        <v>260</v>
      </c>
      <c r="V50" s="7"/>
      <c r="W50" s="7">
        <v>1385.4</v>
      </c>
      <c r="X50" s="132">
        <f t="shared" si="5"/>
        <v>17</v>
      </c>
      <c r="Y50" s="133"/>
      <c r="Z50" s="133"/>
      <c r="AA50" s="133"/>
    </row>
    <row r="51" spans="1:27" hidden="1" x14ac:dyDescent="0.25">
      <c r="A51" s="127">
        <v>53</v>
      </c>
      <c r="B51" s="128" t="str">
        <f t="shared" si="6"/>
        <v>NAMS</v>
      </c>
      <c r="C51" s="128" t="str">
        <f>+VLOOKUP(U51,Ходим!A:B,2,0)</f>
        <v>52710005960025</v>
      </c>
      <c r="D51" s="128" t="str">
        <f>IFERROR(VLOOKUP($B:$B,[20]свод!$A:$AB,3,0)," ")</f>
        <v>Наманган шаҳар</v>
      </c>
      <c r="E51" s="7" t="s">
        <v>1196</v>
      </c>
      <c r="F51" s="7" t="s">
        <v>7600</v>
      </c>
      <c r="G51" s="134">
        <f t="shared" si="10"/>
        <v>1</v>
      </c>
      <c r="H51" s="134" t="str">
        <f t="shared" si="11"/>
        <v/>
      </c>
      <c r="I51" s="7" t="s">
        <v>158</v>
      </c>
      <c r="J51" s="7" t="s">
        <v>2</v>
      </c>
      <c r="K51" s="7"/>
      <c r="L51" s="7"/>
      <c r="M51" s="7"/>
      <c r="N51" s="7" t="s">
        <v>170</v>
      </c>
      <c r="O51" s="7" t="s">
        <v>162</v>
      </c>
      <c r="P51" s="7" t="s">
        <v>6313</v>
      </c>
      <c r="Q51" s="129">
        <v>46199</v>
      </c>
      <c r="R51" s="130">
        <f t="shared" si="3"/>
        <v>46204</v>
      </c>
      <c r="S51" s="131">
        <f t="shared" si="9"/>
        <v>5</v>
      </c>
      <c r="T51" s="7" t="s">
        <v>173</v>
      </c>
      <c r="U51" s="7" t="s">
        <v>274</v>
      </c>
      <c r="V51" s="7"/>
      <c r="W51" s="7"/>
      <c r="X51" s="132">
        <f t="shared" si="5"/>
        <v>10</v>
      </c>
      <c r="Y51" s="133"/>
      <c r="Z51" s="133"/>
      <c r="AA51" s="133"/>
    </row>
    <row r="52" spans="1:27" hidden="1" x14ac:dyDescent="0.25">
      <c r="A52" s="127">
        <v>54</v>
      </c>
      <c r="B52" s="128" t="str">
        <f t="shared" si="6"/>
        <v>YGQT</v>
      </c>
      <c r="C52" s="128" t="str">
        <f>+VLOOKUP(U52,Ходим!A:B,2,0)</f>
        <v>31108942160081</v>
      </c>
      <c r="D52" s="128" t="str">
        <f>IFERROR(VLOOKUP($B:$B,[20]свод!$A:$AB,3,0)," ")</f>
        <v>Янгиқўрғон тумани</v>
      </c>
      <c r="E52" s="7" t="s">
        <v>1197</v>
      </c>
      <c r="F52" s="7" t="s">
        <v>7601</v>
      </c>
      <c r="G52" s="134" t="str">
        <f t="shared" si="10"/>
        <v/>
      </c>
      <c r="H52" s="134">
        <f t="shared" si="11"/>
        <v>1</v>
      </c>
      <c r="I52" s="7" t="s">
        <v>157</v>
      </c>
      <c r="J52" s="7" t="s">
        <v>134</v>
      </c>
      <c r="K52" s="7"/>
      <c r="L52" s="7"/>
      <c r="M52" s="7"/>
      <c r="N52" s="7" t="s">
        <v>410</v>
      </c>
      <c r="O52" s="7" t="s">
        <v>161</v>
      </c>
      <c r="P52" s="7" t="s">
        <v>6314</v>
      </c>
      <c r="Q52" s="129">
        <v>46199</v>
      </c>
      <c r="R52" s="130">
        <f t="shared" si="3"/>
        <v>46204</v>
      </c>
      <c r="S52" s="131">
        <f t="shared" si="9"/>
        <v>5</v>
      </c>
      <c r="T52" s="7" t="s">
        <v>255</v>
      </c>
      <c r="U52" s="7" t="s">
        <v>228</v>
      </c>
      <c r="V52" s="7"/>
      <c r="W52" s="7"/>
      <c r="X52" s="132">
        <f t="shared" ref="X52:X107" si="12">IF(N52="Kadastr muhandisi",3,
IF(N52="UZKAD",5,
IF(V52="FREE",5,
IF(I52="Registratsiya (tashqi - UZKAD da bor)",1,
IF(I52="Avtoyo'l va suv xo'jaligi obyektining kadastr pasportini shakllantirish va ro'yxatga olish",7,
IF(I52="Notarius uchun ma'lumotnoma (uz)",1,
IF(I52="Qurilishi tugallangan ko'chmas mulkni foydalanishga qabul qilish",10,
IF(OR(I52="Turar joy obyektning kadastr pasportini shakllantirish va davlat ro'yxatidan o'tkazish",I52="Turar kompozit"),
IF(L52="Turar yer maydoni",7,10),
IF(OR(I52="Noturar obyektning kadastr pasportini shakllantirish va davlat ro'yxatidan o'tkazish",I52="Noturar kompozit"),
IF(O52="Ko‘p yillik daraxtlar xizmati",15,
IF(OR(L52="Noturar yer maydoni",L52="Davlat tashkilotlaridan ijaraga olingan yer uchastkasi"),7,
IF(W52&lt;100,10,IF(W52&lt;=1000,12,IF(W52&lt;=5000,17,IF(W52&lt;=15000,22,IF(W52&lt;=50000,28,37))))))),
IF(I52="Umumiy foydalanishdagi ko'chmas mulk qismini yaratish",
IF(IF(TRIM(L52)="",IF(OR(O52="Turar joy xizmati",O52="Yakka tartibdagi turar joy"),"Turar","Noturar"),IF(OR(L52="Yakka tartibdagi turar joy",L52="Turar joy xizmati"),"Turar","Noturar"))="Turar",
10,IF(W52&lt;100,10,IF(W52&lt;=1000,12,IF(W52&lt;=5000,17,IF(W52&lt;=15000,22,IF(W52&lt;=50000,28,37)))))),
0))))))))))</f>
        <v>10</v>
      </c>
      <c r="Y52" s="133"/>
      <c r="Z52" s="133"/>
      <c r="AA52" s="133"/>
    </row>
    <row r="53" spans="1:27" hidden="1" x14ac:dyDescent="0.25">
      <c r="A53" s="127">
        <v>55</v>
      </c>
      <c r="B53" s="128" t="str">
        <f t="shared" ref="B53:B108" si="13">LEFT(E53,4)</f>
        <v>TORT</v>
      </c>
      <c r="C53" s="128" t="str">
        <f>+VLOOKUP(U53,Ходим!A:B,2,0)</f>
        <v>50908015920034</v>
      </c>
      <c r="D53" s="128" t="str">
        <f>IFERROR(VLOOKUP($B:$B,[20]свод!$A:$AB,3,0)," ")</f>
        <v>Тўрақўрғон тумани</v>
      </c>
      <c r="E53" s="7" t="s">
        <v>1198</v>
      </c>
      <c r="F53" s="7" t="s">
        <v>7602</v>
      </c>
      <c r="G53" s="134">
        <f t="shared" si="10"/>
        <v>1</v>
      </c>
      <c r="H53" s="134" t="str">
        <f t="shared" si="11"/>
        <v/>
      </c>
      <c r="I53" s="7" t="s">
        <v>158</v>
      </c>
      <c r="J53" s="7" t="s">
        <v>1</v>
      </c>
      <c r="K53" s="7"/>
      <c r="L53" s="7" t="s">
        <v>167</v>
      </c>
      <c r="M53" s="7" t="s">
        <v>4286</v>
      </c>
      <c r="N53" s="7" t="s">
        <v>170</v>
      </c>
      <c r="O53" s="7" t="s">
        <v>162</v>
      </c>
      <c r="P53" s="7" t="s">
        <v>6315</v>
      </c>
      <c r="Q53" s="129">
        <v>46199</v>
      </c>
      <c r="R53" s="130">
        <f t="shared" si="3"/>
        <v>46204</v>
      </c>
      <c r="S53" s="131">
        <f t="shared" ref="S53:S108" si="14">R53-Q53</f>
        <v>5</v>
      </c>
      <c r="T53" s="7" t="s">
        <v>203</v>
      </c>
      <c r="U53" s="7" t="s">
        <v>205</v>
      </c>
      <c r="V53" s="7"/>
      <c r="W53" s="7">
        <v>233.5</v>
      </c>
      <c r="X53" s="132">
        <f t="shared" si="12"/>
        <v>10</v>
      </c>
      <c r="Y53" s="133"/>
      <c r="Z53" s="133"/>
      <c r="AA53" s="133"/>
    </row>
    <row r="54" spans="1:27" hidden="1" x14ac:dyDescent="0.25">
      <c r="A54" s="127">
        <v>56</v>
      </c>
      <c r="B54" s="128" t="str">
        <f t="shared" si="13"/>
        <v>KSST</v>
      </c>
      <c r="C54" s="128" t="str">
        <f>+VLOOKUP(U54,Ходим!A:B,2,0)</f>
        <v>52812015980061</v>
      </c>
      <c r="D54" s="128" t="str">
        <f>IFERROR(VLOOKUP($B:$B,[20]свод!$A:$AB,3,0)," ")</f>
        <v>Косонсой тумани</v>
      </c>
      <c r="E54" s="7" t="s">
        <v>1199</v>
      </c>
      <c r="F54" s="7" t="s">
        <v>7603</v>
      </c>
      <c r="G54" s="134">
        <f t="shared" si="10"/>
        <v>1</v>
      </c>
      <c r="H54" s="134" t="str">
        <f t="shared" si="11"/>
        <v/>
      </c>
      <c r="I54" s="7" t="s">
        <v>158</v>
      </c>
      <c r="J54" s="7" t="s">
        <v>1</v>
      </c>
      <c r="K54" s="7"/>
      <c r="L54" s="7" t="s">
        <v>167</v>
      </c>
      <c r="M54" s="7" t="s">
        <v>4287</v>
      </c>
      <c r="N54" s="7" t="s">
        <v>170</v>
      </c>
      <c r="O54" s="7" t="s">
        <v>162</v>
      </c>
      <c r="P54" s="7" t="s">
        <v>6316</v>
      </c>
      <c r="Q54" s="129">
        <v>46199</v>
      </c>
      <c r="R54" s="130">
        <f t="shared" si="3"/>
        <v>46204</v>
      </c>
      <c r="S54" s="131">
        <f t="shared" si="14"/>
        <v>5</v>
      </c>
      <c r="T54" s="7" t="s">
        <v>180</v>
      </c>
      <c r="U54" s="7" t="s">
        <v>307</v>
      </c>
      <c r="V54" s="7"/>
      <c r="W54" s="7">
        <v>191.72</v>
      </c>
      <c r="X54" s="132">
        <f t="shared" si="12"/>
        <v>10</v>
      </c>
      <c r="Y54" s="133"/>
      <c r="Z54" s="133"/>
      <c r="AA54" s="133"/>
    </row>
    <row r="55" spans="1:27" hidden="1" x14ac:dyDescent="0.25">
      <c r="A55" s="127">
        <v>57</v>
      </c>
      <c r="B55" s="128" t="str">
        <f t="shared" si="13"/>
        <v>MINT</v>
      </c>
      <c r="C55" s="128" t="str">
        <f>+VLOOKUP(U55,Ходим!A:B,2,0)</f>
        <v>31710662200035</v>
      </c>
      <c r="D55" s="128" t="str">
        <f>IFERROR(VLOOKUP($B:$B,[20]свод!$A:$AB,3,0)," ")</f>
        <v>Мингбулоқ тумани</v>
      </c>
      <c r="E55" s="7" t="s">
        <v>1200</v>
      </c>
      <c r="F55" s="7" t="s">
        <v>7604</v>
      </c>
      <c r="G55" s="134">
        <f t="shared" si="10"/>
        <v>1</v>
      </c>
      <c r="H55" s="134" t="str">
        <f t="shared" si="11"/>
        <v/>
      </c>
      <c r="I55" s="7" t="s">
        <v>158</v>
      </c>
      <c r="J55" s="7" t="s">
        <v>2</v>
      </c>
      <c r="K55" s="7"/>
      <c r="L55" s="7" t="s">
        <v>167</v>
      </c>
      <c r="M55" s="7" t="s">
        <v>4288</v>
      </c>
      <c r="N55" s="7" t="s">
        <v>170</v>
      </c>
      <c r="O55" s="7" t="s">
        <v>162</v>
      </c>
      <c r="P55" s="7" t="s">
        <v>6317</v>
      </c>
      <c r="Q55" s="129">
        <v>46199</v>
      </c>
      <c r="R55" s="130">
        <f t="shared" si="3"/>
        <v>46204</v>
      </c>
      <c r="S55" s="131">
        <f t="shared" si="14"/>
        <v>5</v>
      </c>
      <c r="T55" s="7" t="s">
        <v>220</v>
      </c>
      <c r="U55" s="7" t="s">
        <v>268</v>
      </c>
      <c r="V55" s="7"/>
      <c r="W55" s="7">
        <v>247.27</v>
      </c>
      <c r="X55" s="132">
        <f t="shared" si="12"/>
        <v>10</v>
      </c>
      <c r="Y55" s="133"/>
      <c r="Z55" s="133"/>
      <c r="AA55" s="133"/>
    </row>
    <row r="56" spans="1:27" hidden="1" x14ac:dyDescent="0.25">
      <c r="A56" s="127">
        <v>58</v>
      </c>
      <c r="B56" s="128" t="str">
        <f t="shared" si="13"/>
        <v>MINT</v>
      </c>
      <c r="C56" s="128" t="str">
        <f>+VLOOKUP(U56,Ходим!A:B,2,0)</f>
        <v>31802912200033</v>
      </c>
      <c r="D56" s="128" t="str">
        <f>IFERROR(VLOOKUP($B:$B,[20]свод!$A:$AB,3,0)," ")</f>
        <v>Мингбулоқ тумани</v>
      </c>
      <c r="E56" s="7" t="s">
        <v>1201</v>
      </c>
      <c r="F56" s="7" t="s">
        <v>7605</v>
      </c>
      <c r="G56" s="134">
        <f t="shared" si="10"/>
        <v>1</v>
      </c>
      <c r="H56" s="134" t="str">
        <f t="shared" si="11"/>
        <v/>
      </c>
      <c r="I56" s="7" t="s">
        <v>158</v>
      </c>
      <c r="J56" s="7" t="s">
        <v>2</v>
      </c>
      <c r="K56" s="7"/>
      <c r="L56" s="7" t="s">
        <v>167</v>
      </c>
      <c r="M56" s="7" t="s">
        <v>4289</v>
      </c>
      <c r="N56" s="7" t="s">
        <v>170</v>
      </c>
      <c r="O56" s="7" t="s">
        <v>162</v>
      </c>
      <c r="P56" s="7" t="s">
        <v>6318</v>
      </c>
      <c r="Q56" s="129">
        <v>46199</v>
      </c>
      <c r="R56" s="130">
        <f t="shared" si="3"/>
        <v>46209</v>
      </c>
      <c r="S56" s="131">
        <f t="shared" si="14"/>
        <v>10</v>
      </c>
      <c r="T56" s="7" t="s">
        <v>220</v>
      </c>
      <c r="U56" s="7" t="s">
        <v>225</v>
      </c>
      <c r="V56" s="7"/>
      <c r="W56" s="7">
        <v>193.2</v>
      </c>
      <c r="X56" s="132">
        <f t="shared" si="12"/>
        <v>10</v>
      </c>
      <c r="Y56" s="133"/>
      <c r="Z56" s="133"/>
      <c r="AA56" s="133"/>
    </row>
    <row r="57" spans="1:27" hidden="1" x14ac:dyDescent="0.25">
      <c r="A57" s="127">
        <v>60</v>
      </c>
      <c r="B57" s="128" t="str">
        <f t="shared" si="13"/>
        <v>NAMS</v>
      </c>
      <c r="C57" s="128" t="str">
        <f>+VLOOKUP(U57,Ходим!A:B,2,0)</f>
        <v>51705025890024</v>
      </c>
      <c r="D57" s="128" t="str">
        <f>IFERROR(VLOOKUP($B:$B,[20]свод!$A:$AB,3,0)," ")</f>
        <v>Наманган шаҳар</v>
      </c>
      <c r="E57" s="7" t="s">
        <v>1202</v>
      </c>
      <c r="F57" s="7" t="s">
        <v>7606</v>
      </c>
      <c r="G57" s="134">
        <f t="shared" si="10"/>
        <v>1</v>
      </c>
      <c r="H57" s="134" t="str">
        <f t="shared" si="11"/>
        <v/>
      </c>
      <c r="I57" s="7" t="s">
        <v>158</v>
      </c>
      <c r="J57" s="7" t="s">
        <v>2</v>
      </c>
      <c r="K57" s="7"/>
      <c r="L57" s="7"/>
      <c r="M57" s="7"/>
      <c r="N57" s="7" t="s">
        <v>170</v>
      </c>
      <c r="O57" s="7" t="s">
        <v>162</v>
      </c>
      <c r="P57" s="7" t="s">
        <v>6319</v>
      </c>
      <c r="Q57" s="129">
        <v>46199</v>
      </c>
      <c r="R57" s="130">
        <f t="shared" si="3"/>
        <v>46210</v>
      </c>
      <c r="S57" s="131">
        <f t="shared" si="14"/>
        <v>11</v>
      </c>
      <c r="T57" s="7" t="s">
        <v>173</v>
      </c>
      <c r="U57" s="7" t="s">
        <v>189</v>
      </c>
      <c r="V57" s="7"/>
      <c r="W57" s="7"/>
      <c r="X57" s="132">
        <f t="shared" si="12"/>
        <v>10</v>
      </c>
      <c r="Y57" s="133"/>
      <c r="Z57" s="133"/>
      <c r="AA57" s="133"/>
    </row>
    <row r="58" spans="1:27" hidden="1" x14ac:dyDescent="0.25">
      <c r="A58" s="127">
        <v>61</v>
      </c>
      <c r="B58" s="128" t="str">
        <f t="shared" si="13"/>
        <v>KSST</v>
      </c>
      <c r="C58" s="128" t="str">
        <f>+VLOOKUP(U58,Ходим!A:B,2,0)</f>
        <v>30205975980020</v>
      </c>
      <c r="D58" s="128" t="str">
        <f>IFERROR(VLOOKUP($B:$B,[20]свод!$A:$AB,3,0)," ")</f>
        <v>Косонсой тумани</v>
      </c>
      <c r="E58" s="7" t="s">
        <v>1203</v>
      </c>
      <c r="F58" s="7" t="s">
        <v>7607</v>
      </c>
      <c r="G58" s="134">
        <f t="shared" si="10"/>
        <v>1</v>
      </c>
      <c r="H58" s="134" t="str">
        <f t="shared" si="11"/>
        <v/>
      </c>
      <c r="I58" s="7" t="s">
        <v>154</v>
      </c>
      <c r="J58" s="7" t="s">
        <v>109</v>
      </c>
      <c r="K58" s="7"/>
      <c r="L58" s="7"/>
      <c r="M58" s="7"/>
      <c r="N58" s="7" t="s">
        <v>170</v>
      </c>
      <c r="O58" s="7" t="s">
        <v>162</v>
      </c>
      <c r="P58" s="7" t="s">
        <v>6320</v>
      </c>
      <c r="Q58" s="129">
        <v>46199</v>
      </c>
      <c r="R58" s="130">
        <f t="shared" si="3"/>
        <v>46204</v>
      </c>
      <c r="S58" s="131">
        <f t="shared" si="14"/>
        <v>5</v>
      </c>
      <c r="T58" s="7" t="s">
        <v>180</v>
      </c>
      <c r="U58" s="7" t="s">
        <v>370</v>
      </c>
      <c r="V58" s="7"/>
      <c r="W58" s="7"/>
      <c r="X58" s="132">
        <f t="shared" si="12"/>
        <v>10</v>
      </c>
      <c r="Y58" s="133"/>
      <c r="Z58" s="133"/>
      <c r="AA58" s="133"/>
    </row>
    <row r="59" spans="1:27" hidden="1" x14ac:dyDescent="0.25">
      <c r="A59" s="127">
        <v>62</v>
      </c>
      <c r="B59" s="128" t="str">
        <f t="shared" si="13"/>
        <v>NAMT</v>
      </c>
      <c r="C59" s="128" t="str">
        <f>+VLOOKUP(U59,Ходим!A:B,2,0)</f>
        <v>32204892090133</v>
      </c>
      <c r="D59" s="128" t="str">
        <f>IFERROR(VLOOKUP($B:$B,[20]свод!$A:$AB,3,0)," ")</f>
        <v>Наманган тумани</v>
      </c>
      <c r="E59" s="7" t="s">
        <v>1204</v>
      </c>
      <c r="F59" s="7" t="s">
        <v>7608</v>
      </c>
      <c r="G59" s="134">
        <f t="shared" si="10"/>
        <v>1</v>
      </c>
      <c r="H59" s="134" t="str">
        <f t="shared" si="11"/>
        <v/>
      </c>
      <c r="I59" s="7" t="s">
        <v>158</v>
      </c>
      <c r="J59" s="7" t="s">
        <v>2</v>
      </c>
      <c r="K59" s="7"/>
      <c r="L59" s="7"/>
      <c r="M59" s="7"/>
      <c r="N59" s="7" t="s">
        <v>410</v>
      </c>
      <c r="O59" s="7" t="s">
        <v>162</v>
      </c>
      <c r="P59" s="7" t="s">
        <v>6321</v>
      </c>
      <c r="Q59" s="129">
        <v>46199</v>
      </c>
      <c r="R59" s="130">
        <f t="shared" si="3"/>
        <v>46204</v>
      </c>
      <c r="S59" s="131">
        <f t="shared" si="14"/>
        <v>5</v>
      </c>
      <c r="T59" s="7" t="s">
        <v>197</v>
      </c>
      <c r="U59" s="7" t="s">
        <v>198</v>
      </c>
      <c r="V59" s="7"/>
      <c r="W59" s="7"/>
      <c r="X59" s="132">
        <f t="shared" si="12"/>
        <v>10</v>
      </c>
      <c r="Y59" s="133"/>
      <c r="Z59" s="133"/>
      <c r="AA59" s="133"/>
    </row>
    <row r="60" spans="1:27" hidden="1" x14ac:dyDescent="0.25">
      <c r="A60" s="127">
        <v>63</v>
      </c>
      <c r="B60" s="128" t="str">
        <f t="shared" si="13"/>
        <v>CHUT</v>
      </c>
      <c r="C60" s="128" t="str">
        <f>+VLOOKUP(U60,Ходим!A:B,2,0)</f>
        <v>30901882180031</v>
      </c>
      <c r="D60" s="128" t="str">
        <f>IFERROR(VLOOKUP($B:$B,[20]свод!$A:$AB,3,0)," ")</f>
        <v>Чуст тумани</v>
      </c>
      <c r="E60" s="7" t="s">
        <v>1205</v>
      </c>
      <c r="F60" s="7" t="s">
        <v>7609</v>
      </c>
      <c r="G60" s="134" t="str">
        <f t="shared" si="10"/>
        <v/>
      </c>
      <c r="H60" s="134">
        <f t="shared" si="11"/>
        <v>1</v>
      </c>
      <c r="I60" s="7" t="s">
        <v>154</v>
      </c>
      <c r="J60" s="7" t="s">
        <v>172</v>
      </c>
      <c r="K60" s="7"/>
      <c r="L60" s="7" t="s">
        <v>166</v>
      </c>
      <c r="M60" s="7" t="s">
        <v>4290</v>
      </c>
      <c r="N60" s="7" t="s">
        <v>170</v>
      </c>
      <c r="O60" s="7" t="s">
        <v>161</v>
      </c>
      <c r="P60" s="7" t="s">
        <v>6322</v>
      </c>
      <c r="Q60" s="129">
        <v>46199</v>
      </c>
      <c r="R60" s="130">
        <f t="shared" si="3"/>
        <v>46204</v>
      </c>
      <c r="S60" s="131">
        <f t="shared" si="14"/>
        <v>5</v>
      </c>
      <c r="T60" s="7" t="s">
        <v>178</v>
      </c>
      <c r="U60" s="7" t="s">
        <v>238</v>
      </c>
      <c r="V60" s="7"/>
      <c r="W60" s="7">
        <v>12</v>
      </c>
      <c r="X60" s="132">
        <f t="shared" si="12"/>
        <v>10</v>
      </c>
      <c r="Y60" s="133"/>
      <c r="Z60" s="133"/>
      <c r="AA60" s="133"/>
    </row>
    <row r="61" spans="1:27" hidden="1" x14ac:dyDescent="0.25">
      <c r="A61" s="127">
        <v>64</v>
      </c>
      <c r="B61" s="128" t="str">
        <f t="shared" si="13"/>
        <v>NAMS</v>
      </c>
      <c r="C61" s="128" t="str">
        <f>+VLOOKUP(U61,Ходим!A:B,2,0)</f>
        <v>31608732170178</v>
      </c>
      <c r="D61" s="128" t="str">
        <f>IFERROR(VLOOKUP($B:$B,[20]свод!$A:$AB,3,0)," ")</f>
        <v>Наманган шаҳар</v>
      </c>
      <c r="E61" s="7" t="s">
        <v>1206</v>
      </c>
      <c r="F61" s="7" t="s">
        <v>7610</v>
      </c>
      <c r="G61" s="134">
        <f t="shared" si="10"/>
        <v>1</v>
      </c>
      <c r="H61" s="134" t="str">
        <f t="shared" si="11"/>
        <v/>
      </c>
      <c r="I61" s="7" t="s">
        <v>158</v>
      </c>
      <c r="J61" s="7" t="s">
        <v>2</v>
      </c>
      <c r="K61" s="7"/>
      <c r="L61" s="7" t="s">
        <v>167</v>
      </c>
      <c r="M61" s="7" t="s">
        <v>4291</v>
      </c>
      <c r="N61" s="7" t="s">
        <v>170</v>
      </c>
      <c r="O61" s="7" t="s">
        <v>162</v>
      </c>
      <c r="P61" s="7" t="s">
        <v>6323</v>
      </c>
      <c r="Q61" s="129">
        <v>46199</v>
      </c>
      <c r="R61" s="130">
        <f t="shared" si="3"/>
        <v>46204</v>
      </c>
      <c r="S61" s="131">
        <f t="shared" si="14"/>
        <v>5</v>
      </c>
      <c r="T61" s="7" t="s">
        <v>173</v>
      </c>
      <c r="U61" s="7" t="s">
        <v>267</v>
      </c>
      <c r="V61" s="7"/>
      <c r="W61" s="7">
        <v>170.72</v>
      </c>
      <c r="X61" s="132">
        <f t="shared" si="12"/>
        <v>10</v>
      </c>
      <c r="Y61" s="133"/>
      <c r="Z61" s="133"/>
      <c r="AA61" s="133"/>
    </row>
    <row r="62" spans="1:27" x14ac:dyDescent="0.25">
      <c r="A62" s="127">
        <v>65</v>
      </c>
      <c r="B62" s="128" t="str">
        <f t="shared" si="13"/>
        <v>MINT</v>
      </c>
      <c r="C62" s="128" t="str">
        <f>+VLOOKUP(U62,Ходим!A:B,2,0)</f>
        <v>51604025990014</v>
      </c>
      <c r="D62" s="128" t="str">
        <f>IFERROR(VLOOKUP($B:$B,[20]свод!$A:$AB,3,0)," ")</f>
        <v>Мингбулоқ тумани</v>
      </c>
      <c r="E62" s="7" t="s">
        <v>1207</v>
      </c>
      <c r="F62" s="7" t="s">
        <v>7611</v>
      </c>
      <c r="G62" s="134">
        <f t="shared" si="10"/>
        <v>1</v>
      </c>
      <c r="H62" s="134" t="str">
        <f t="shared" si="11"/>
        <v/>
      </c>
      <c r="I62" s="7" t="s">
        <v>158</v>
      </c>
      <c r="J62" s="7" t="s">
        <v>10</v>
      </c>
      <c r="K62" s="7"/>
      <c r="L62" s="7" t="s">
        <v>167</v>
      </c>
      <c r="M62" s="7" t="s">
        <v>4292</v>
      </c>
      <c r="N62" s="7" t="s">
        <v>410</v>
      </c>
      <c r="O62" s="7" t="s">
        <v>162</v>
      </c>
      <c r="P62" s="7" t="s">
        <v>6324</v>
      </c>
      <c r="Q62" s="129">
        <v>46199</v>
      </c>
      <c r="R62" s="130">
        <f t="shared" ref="R62:R123" si="15">WORKDAY(P62,X62,$Y$1:$AA$1)</f>
        <v>46199</v>
      </c>
      <c r="S62" s="131">
        <f t="shared" si="14"/>
        <v>0</v>
      </c>
      <c r="T62" s="7" t="s">
        <v>220</v>
      </c>
      <c r="U62" s="7" t="s">
        <v>252</v>
      </c>
      <c r="V62" s="7"/>
      <c r="W62" s="7">
        <v>646.35</v>
      </c>
      <c r="X62" s="132">
        <f t="shared" si="12"/>
        <v>10</v>
      </c>
      <c r="Y62" s="133"/>
      <c r="Z62" s="133"/>
      <c r="AA62" s="133"/>
    </row>
    <row r="63" spans="1:27" hidden="1" x14ac:dyDescent="0.25">
      <c r="A63" s="127">
        <v>66</v>
      </c>
      <c r="B63" s="128" t="str">
        <f t="shared" si="13"/>
        <v>YGQT</v>
      </c>
      <c r="C63" s="128" t="str">
        <f>+VLOOKUP(U63,Ходим!A:B,2,0)</f>
        <v>52802005950028</v>
      </c>
      <c r="D63" s="128" t="str">
        <f>IFERROR(VLOOKUP($B:$B,[20]свод!$A:$AB,3,0)," ")</f>
        <v>Янгиқўрғон тумани</v>
      </c>
      <c r="E63" s="7" t="s">
        <v>1208</v>
      </c>
      <c r="F63" s="7" t="s">
        <v>7612</v>
      </c>
      <c r="G63" s="134" t="str">
        <f t="shared" si="10"/>
        <v/>
      </c>
      <c r="H63" s="134">
        <f t="shared" si="11"/>
        <v>1</v>
      </c>
      <c r="I63" s="7" t="s">
        <v>157</v>
      </c>
      <c r="J63" s="7" t="s">
        <v>134</v>
      </c>
      <c r="K63" s="7"/>
      <c r="L63" s="7"/>
      <c r="M63" s="7"/>
      <c r="N63" s="7" t="s">
        <v>170</v>
      </c>
      <c r="O63" s="7" t="s">
        <v>161</v>
      </c>
      <c r="P63" s="7" t="s">
        <v>6325</v>
      </c>
      <c r="Q63" s="129">
        <v>46199</v>
      </c>
      <c r="R63" s="130">
        <f t="shared" si="15"/>
        <v>46204</v>
      </c>
      <c r="S63" s="131">
        <f t="shared" si="14"/>
        <v>5</v>
      </c>
      <c r="T63" s="7" t="s">
        <v>182</v>
      </c>
      <c r="U63" s="7" t="s">
        <v>281</v>
      </c>
      <c r="V63" s="7"/>
      <c r="W63" s="7"/>
      <c r="X63" s="132">
        <f t="shared" si="12"/>
        <v>10</v>
      </c>
      <c r="Y63" s="133"/>
      <c r="Z63" s="133"/>
      <c r="AA63" s="133"/>
    </row>
    <row r="64" spans="1:27" hidden="1" x14ac:dyDescent="0.25">
      <c r="A64" s="127">
        <v>67</v>
      </c>
      <c r="B64" s="128" t="str">
        <f t="shared" si="13"/>
        <v>YGQT</v>
      </c>
      <c r="C64" s="128" t="str">
        <f>+VLOOKUP(U64,Ходим!A:B,2,0)</f>
        <v>33103892160125</v>
      </c>
      <c r="D64" s="128" t="str">
        <f>IFERROR(VLOOKUP($B:$B,[20]свод!$A:$AB,3,0)," ")</f>
        <v>Янгиқўрғон тумани</v>
      </c>
      <c r="E64" s="7" t="s">
        <v>1209</v>
      </c>
      <c r="F64" s="7" t="s">
        <v>7613</v>
      </c>
      <c r="G64" s="134" t="str">
        <f t="shared" si="10"/>
        <v/>
      </c>
      <c r="H64" s="134">
        <f t="shared" si="11"/>
        <v>1</v>
      </c>
      <c r="I64" s="7" t="s">
        <v>157</v>
      </c>
      <c r="J64" s="7" t="s">
        <v>2</v>
      </c>
      <c r="K64" s="7"/>
      <c r="L64" s="7" t="s">
        <v>166</v>
      </c>
      <c r="M64" s="7" t="s">
        <v>4293</v>
      </c>
      <c r="N64" s="7" t="s">
        <v>410</v>
      </c>
      <c r="O64" s="7" t="s">
        <v>161</v>
      </c>
      <c r="P64" s="7" t="s">
        <v>6326</v>
      </c>
      <c r="Q64" s="129">
        <v>46199</v>
      </c>
      <c r="R64" s="130">
        <f t="shared" si="15"/>
        <v>46204</v>
      </c>
      <c r="S64" s="131">
        <f t="shared" si="14"/>
        <v>5</v>
      </c>
      <c r="T64" s="7" t="s">
        <v>255</v>
      </c>
      <c r="U64" s="7" t="s">
        <v>183</v>
      </c>
      <c r="V64" s="7"/>
      <c r="W64" s="7">
        <v>46</v>
      </c>
      <c r="X64" s="132">
        <f t="shared" si="12"/>
        <v>10</v>
      </c>
      <c r="Y64" s="133"/>
      <c r="Z64" s="133"/>
      <c r="AA64" s="133"/>
    </row>
    <row r="65" spans="1:27" hidden="1" x14ac:dyDescent="0.25">
      <c r="A65" s="127">
        <v>68</v>
      </c>
      <c r="B65" s="128" t="str">
        <f t="shared" si="13"/>
        <v>YGQT</v>
      </c>
      <c r="C65" s="128" t="str">
        <f>+VLOOKUP(U65,Ходим!A:B,2,0)</f>
        <v>52010015950028</v>
      </c>
      <c r="D65" s="128" t="str">
        <f>IFERROR(VLOOKUP($B:$B,[20]свод!$A:$AB,3,0)," ")</f>
        <v>Янгиқўрғон тумани</v>
      </c>
      <c r="E65" s="7" t="s">
        <v>1210</v>
      </c>
      <c r="F65" s="7" t="s">
        <v>7614</v>
      </c>
      <c r="G65" s="134">
        <f t="shared" si="10"/>
        <v>1</v>
      </c>
      <c r="H65" s="134" t="str">
        <f t="shared" si="11"/>
        <v/>
      </c>
      <c r="I65" s="7" t="s">
        <v>158</v>
      </c>
      <c r="J65" s="7" t="s">
        <v>2</v>
      </c>
      <c r="K65" s="7"/>
      <c r="L65" s="7" t="s">
        <v>167</v>
      </c>
      <c r="M65" s="7" t="s">
        <v>4294</v>
      </c>
      <c r="N65" s="7" t="s">
        <v>170</v>
      </c>
      <c r="O65" s="7" t="s">
        <v>162</v>
      </c>
      <c r="P65" s="7" t="s">
        <v>6327</v>
      </c>
      <c r="Q65" s="129">
        <v>46199</v>
      </c>
      <c r="R65" s="130">
        <f t="shared" si="15"/>
        <v>46204</v>
      </c>
      <c r="S65" s="131">
        <f t="shared" si="14"/>
        <v>5</v>
      </c>
      <c r="T65" s="7" t="s">
        <v>255</v>
      </c>
      <c r="U65" s="7" t="s">
        <v>391</v>
      </c>
      <c r="V65" s="7"/>
      <c r="W65" s="7">
        <v>317.36500000000001</v>
      </c>
      <c r="X65" s="132">
        <f t="shared" si="12"/>
        <v>10</v>
      </c>
      <c r="Y65" s="133"/>
      <c r="Z65" s="133"/>
      <c r="AA65" s="133"/>
    </row>
    <row r="66" spans="1:27" hidden="1" x14ac:dyDescent="0.25">
      <c r="A66" s="127">
        <v>69</v>
      </c>
      <c r="B66" s="128" t="str">
        <f t="shared" si="13"/>
        <v>UYCT</v>
      </c>
      <c r="C66" s="128" t="str">
        <f>+VLOOKUP(U66,Ходим!A:B,2,0)</f>
        <v>31007942140083</v>
      </c>
      <c r="D66" s="128" t="str">
        <f>IFERROR(VLOOKUP($B:$B,[20]свод!$A:$AB,3,0)," ")</f>
        <v>Уйчи тумани</v>
      </c>
      <c r="E66" s="7" t="s">
        <v>1211</v>
      </c>
      <c r="F66" s="7" t="s">
        <v>7615</v>
      </c>
      <c r="G66" s="134" t="str">
        <f t="shared" ref="G66:G126" si="16">IF(OR(
I66="Turar joy obyektning kadastr pasportini shakllantirish va davlat ro'yxatidan o'tkazish",
I66="Turar kompozit"
),
1,
IF(OR(
I66="Noturar kompozit",
I66="Avtoyo'l va suv xo'jaligi obyektining kadastr pasportini shakllantirish va ro'yxatga olish",
I66="Noturar obyektning kadastr pasportining kadastr pasportini shakllantirish va davlat ro'yxatidan o'tkazish"
),
"",
IF(OR(
I66="Notarius uchun ma'lumotnoma (uz)",
I66="Qurilishi tugallangan ko'chmas mulkni foydalanishga qabul qilish",
I66="Umumiy foydalanishdagi ko'chmas mulk qismini yaratish",
I66="Registratsiya (tashqi - UZKAD da bor)"
),
IF(OR(L66="Turar yer maydoni",L66="Yakka tartibdagi turar joy"),1,
IF(L66="Noturar bino","",
IF(L66="Noturar yer maydoni","",
IF(L66="",IF(OR(O66="Turar joy xizmati",O66="Foydalanishga ruxsatnoma berish xizmati"),1,""),"")
))),
"")))</f>
        <v/>
      </c>
      <c r="H66" s="134">
        <f t="shared" ref="H66:H126" si="17">IF(OR(
I66="Turar joy obyektning kadastr pasportini shakllantirish va davlat ro'yxatidan o'tkazish",
I66="Turar kompozit"
),
"",
IF(OR(
I66="Noturar kompozit",
I66="Avtoyo'l va suv xo'jaligi obyektining kadastr pasportini shakllantirish va ro'yxatga olish",
I66="Noturar obyektning kadastr pasportini shakllantirish va davlat ro'yxatidan o'tkazish"
),
1,
IF(OR(
I66="Notarius uchun ma'lumotnoma (uz)",
I66="Qurilishi tugallangan ko'chmas mulkni foydalanishga qabul qilish",
I66="Umumiy foydalanishdagi ko'chmas mulk qismini yaratish",
I66="Registratsiya (tashqi - UZKAD da bor)"
),
IF(OR(L66="Turar yer maydoni",L66="Yakka tartibdagi turar joy"),"",
IF(L66="Noturar bino",1,
IF(L66="Noturar yer maydoni",1,
IF(L66="",IF(OR(O66="Turar joy xizmati",O66="Foydalanishga ruxsatnoma berish xizmati"),"",1),"")
))),
"")))</f>
        <v>1</v>
      </c>
      <c r="I66" s="7" t="s">
        <v>157</v>
      </c>
      <c r="J66" s="7" t="s">
        <v>2</v>
      </c>
      <c r="K66" s="7"/>
      <c r="L66" s="7"/>
      <c r="M66" s="7"/>
      <c r="N66" s="7" t="s">
        <v>410</v>
      </c>
      <c r="O66" s="7" t="s">
        <v>161</v>
      </c>
      <c r="P66" s="7" t="s">
        <v>6328</v>
      </c>
      <c r="Q66" s="129">
        <v>46199</v>
      </c>
      <c r="R66" s="130">
        <f t="shared" si="15"/>
        <v>46204</v>
      </c>
      <c r="S66" s="131">
        <f t="shared" si="14"/>
        <v>5</v>
      </c>
      <c r="T66" s="7" t="s">
        <v>947</v>
      </c>
      <c r="U66" s="7" t="s">
        <v>263</v>
      </c>
      <c r="V66" s="7"/>
      <c r="W66" s="7"/>
      <c r="X66" s="132">
        <f t="shared" si="12"/>
        <v>10</v>
      </c>
      <c r="Y66" s="133"/>
      <c r="Z66" s="133"/>
      <c r="AA66" s="133"/>
    </row>
    <row r="67" spans="1:27" hidden="1" x14ac:dyDescent="0.25">
      <c r="A67" s="127">
        <v>70</v>
      </c>
      <c r="B67" s="128" t="str">
        <f t="shared" si="13"/>
        <v>NAMS</v>
      </c>
      <c r="C67" s="128" t="str">
        <f>+VLOOKUP(U67,Ходим!A:B,2,0)</f>
        <v>52710005960025</v>
      </c>
      <c r="D67" s="128" t="str">
        <f>IFERROR(VLOOKUP($B:$B,[20]свод!$A:$AB,3,0)," ")</f>
        <v>Наманган шаҳар</v>
      </c>
      <c r="E67" s="7" t="s">
        <v>1212</v>
      </c>
      <c r="F67" s="7" t="s">
        <v>7616</v>
      </c>
      <c r="G67" s="134" t="str">
        <f t="shared" si="16"/>
        <v/>
      </c>
      <c r="H67" s="134">
        <f t="shared" si="17"/>
        <v>1</v>
      </c>
      <c r="I67" s="7" t="s">
        <v>157</v>
      </c>
      <c r="J67" s="7" t="s">
        <v>2</v>
      </c>
      <c r="K67" s="7"/>
      <c r="L67" s="7"/>
      <c r="M67" s="7"/>
      <c r="N67" s="7" t="s">
        <v>410</v>
      </c>
      <c r="O67" s="7" t="s">
        <v>161</v>
      </c>
      <c r="P67" s="7" t="s">
        <v>6328</v>
      </c>
      <c r="Q67" s="129">
        <v>46199</v>
      </c>
      <c r="R67" s="130">
        <f t="shared" si="15"/>
        <v>46204</v>
      </c>
      <c r="S67" s="131">
        <f t="shared" si="14"/>
        <v>5</v>
      </c>
      <c r="T67" s="7" t="s">
        <v>173</v>
      </c>
      <c r="U67" s="7" t="s">
        <v>274</v>
      </c>
      <c r="V67" s="7"/>
      <c r="W67" s="7"/>
      <c r="X67" s="132">
        <f t="shared" si="12"/>
        <v>10</v>
      </c>
      <c r="Y67" s="133"/>
      <c r="Z67" s="133"/>
      <c r="AA67" s="133"/>
    </row>
    <row r="68" spans="1:27" hidden="1" x14ac:dyDescent="0.25">
      <c r="A68" s="127">
        <v>71</v>
      </c>
      <c r="B68" s="128" t="str">
        <f t="shared" si="13"/>
        <v>MINT</v>
      </c>
      <c r="C68" s="128" t="str">
        <f>+VLOOKUP(U68,Ходим!A:B,2,0)</f>
        <v>51604025990014</v>
      </c>
      <c r="D68" s="128" t="str">
        <f>IFERROR(VLOOKUP($B:$B,[20]свод!$A:$AB,3,0)," ")</f>
        <v>Мингбулоқ тумани</v>
      </c>
      <c r="E68" s="7" t="s">
        <v>1213</v>
      </c>
      <c r="F68" s="7" t="s">
        <v>7617</v>
      </c>
      <c r="G68" s="134">
        <f t="shared" si="16"/>
        <v>1</v>
      </c>
      <c r="H68" s="134" t="str">
        <f t="shared" si="17"/>
        <v/>
      </c>
      <c r="I68" s="7" t="s">
        <v>158</v>
      </c>
      <c r="J68" s="7" t="s">
        <v>10</v>
      </c>
      <c r="K68" s="7"/>
      <c r="L68" s="7" t="s">
        <v>167</v>
      </c>
      <c r="M68" s="7" t="s">
        <v>4295</v>
      </c>
      <c r="N68" s="7" t="s">
        <v>410</v>
      </c>
      <c r="O68" s="7" t="s">
        <v>162</v>
      </c>
      <c r="P68" s="7" t="s">
        <v>6285</v>
      </c>
      <c r="Q68" s="129">
        <v>46199</v>
      </c>
      <c r="R68" s="130">
        <f t="shared" si="15"/>
        <v>46204</v>
      </c>
      <c r="S68" s="131">
        <f t="shared" si="14"/>
        <v>5</v>
      </c>
      <c r="T68" s="7" t="s">
        <v>220</v>
      </c>
      <c r="U68" s="7" t="s">
        <v>252</v>
      </c>
      <c r="V68" s="7"/>
      <c r="W68" s="7">
        <v>302.58999999999997</v>
      </c>
      <c r="X68" s="132">
        <f t="shared" si="12"/>
        <v>10</v>
      </c>
      <c r="Y68" s="133"/>
      <c r="Z68" s="133"/>
      <c r="AA68" s="133"/>
    </row>
    <row r="69" spans="1:27" hidden="1" x14ac:dyDescent="0.25">
      <c r="A69" s="127">
        <v>72</v>
      </c>
      <c r="B69" s="128" t="str">
        <f t="shared" si="13"/>
        <v>CHUT</v>
      </c>
      <c r="C69" s="128" t="str">
        <f>+VLOOKUP(U69,Ходим!A:B,2,0)</f>
        <v>30202885970013</v>
      </c>
      <c r="D69" s="128" t="str">
        <f>IFERROR(VLOOKUP($B:$B,[20]свод!$A:$AB,3,0)," ")</f>
        <v>Чуст тумани</v>
      </c>
      <c r="E69" s="7" t="s">
        <v>1214</v>
      </c>
      <c r="F69" s="7" t="s">
        <v>7618</v>
      </c>
      <c r="G69" s="134">
        <f t="shared" si="16"/>
        <v>1</v>
      </c>
      <c r="H69" s="134" t="str">
        <f t="shared" si="17"/>
        <v/>
      </c>
      <c r="I69" s="7" t="s">
        <v>158</v>
      </c>
      <c r="J69" s="7" t="s">
        <v>172</v>
      </c>
      <c r="K69" s="7"/>
      <c r="L69" s="7" t="s">
        <v>167</v>
      </c>
      <c r="M69" s="7" t="s">
        <v>4296</v>
      </c>
      <c r="N69" s="7" t="s">
        <v>170</v>
      </c>
      <c r="O69" s="7" t="s">
        <v>162</v>
      </c>
      <c r="P69" s="7" t="s">
        <v>6329</v>
      </c>
      <c r="Q69" s="129">
        <v>46199</v>
      </c>
      <c r="R69" s="130">
        <f t="shared" si="15"/>
        <v>46209</v>
      </c>
      <c r="S69" s="131">
        <f t="shared" si="14"/>
        <v>10</v>
      </c>
      <c r="T69" s="7" t="s">
        <v>178</v>
      </c>
      <c r="U69" s="7" t="s">
        <v>289</v>
      </c>
      <c r="V69" s="7"/>
      <c r="W69" s="7">
        <v>0</v>
      </c>
      <c r="X69" s="132">
        <f t="shared" si="12"/>
        <v>10</v>
      </c>
      <c r="Y69" s="133"/>
      <c r="Z69" s="133"/>
      <c r="AA69" s="133"/>
    </row>
    <row r="70" spans="1:27" hidden="1" x14ac:dyDescent="0.25">
      <c r="A70" s="127">
        <v>73</v>
      </c>
      <c r="B70" s="128" t="str">
        <f t="shared" si="13"/>
        <v>TORT</v>
      </c>
      <c r="C70" s="128" t="str">
        <f>+VLOOKUP(U70,Ходим!A:B,2,0)</f>
        <v>31609912130025</v>
      </c>
      <c r="D70" s="128" t="str">
        <f>IFERROR(VLOOKUP($B:$B,[20]свод!$A:$AB,3,0)," ")</f>
        <v>Тўрақўрғон тумани</v>
      </c>
      <c r="E70" s="7" t="s">
        <v>1215</v>
      </c>
      <c r="F70" s="7" t="s">
        <v>7619</v>
      </c>
      <c r="G70" s="134">
        <f t="shared" si="16"/>
        <v>1</v>
      </c>
      <c r="H70" s="134" t="str">
        <f t="shared" si="17"/>
        <v/>
      </c>
      <c r="I70" s="7" t="s">
        <v>158</v>
      </c>
      <c r="J70" s="7" t="s">
        <v>2</v>
      </c>
      <c r="K70" s="7"/>
      <c r="L70" s="7" t="s">
        <v>167</v>
      </c>
      <c r="M70" s="7" t="s">
        <v>4297</v>
      </c>
      <c r="N70" s="7" t="s">
        <v>170</v>
      </c>
      <c r="O70" s="7" t="s">
        <v>162</v>
      </c>
      <c r="P70" s="7" t="s">
        <v>6330</v>
      </c>
      <c r="Q70" s="129">
        <v>46199</v>
      </c>
      <c r="R70" s="130">
        <f t="shared" si="15"/>
        <v>46204</v>
      </c>
      <c r="S70" s="131">
        <f t="shared" si="14"/>
        <v>5</v>
      </c>
      <c r="T70" s="7" t="s">
        <v>203</v>
      </c>
      <c r="U70" s="7" t="s">
        <v>280</v>
      </c>
      <c r="V70" s="7"/>
      <c r="W70" s="7">
        <v>305.5</v>
      </c>
      <c r="X70" s="132">
        <f t="shared" si="12"/>
        <v>10</v>
      </c>
      <c r="Y70" s="133"/>
      <c r="Z70" s="133"/>
      <c r="AA70" s="133"/>
    </row>
    <row r="71" spans="1:27" hidden="1" x14ac:dyDescent="0.25">
      <c r="A71" s="127">
        <v>74</v>
      </c>
      <c r="B71" s="128" t="str">
        <f t="shared" si="13"/>
        <v>NAMS</v>
      </c>
      <c r="C71" s="128" t="str">
        <f>+VLOOKUP(U71,Ходим!A:B,2,0)</f>
        <v>30108932170088</v>
      </c>
      <c r="D71" s="128" t="str">
        <f>IFERROR(VLOOKUP($B:$B,[20]свод!$A:$AB,3,0)," ")</f>
        <v>Наманган шаҳар</v>
      </c>
      <c r="E71" s="7" t="s">
        <v>1216</v>
      </c>
      <c r="F71" s="7" t="s">
        <v>7620</v>
      </c>
      <c r="G71" s="134">
        <f t="shared" si="16"/>
        <v>1</v>
      </c>
      <c r="H71" s="134" t="str">
        <f t="shared" si="17"/>
        <v/>
      </c>
      <c r="I71" s="7" t="s">
        <v>156</v>
      </c>
      <c r="J71" s="7" t="s">
        <v>22</v>
      </c>
      <c r="K71" s="7"/>
      <c r="L71" s="7"/>
      <c r="M71" s="7"/>
      <c r="N71" s="7" t="s">
        <v>170</v>
      </c>
      <c r="O71" s="7" t="s">
        <v>162</v>
      </c>
      <c r="P71" s="7" t="s">
        <v>6331</v>
      </c>
      <c r="Q71" s="129">
        <v>46199</v>
      </c>
      <c r="R71" s="130">
        <f t="shared" si="15"/>
        <v>46210</v>
      </c>
      <c r="S71" s="131">
        <f t="shared" si="14"/>
        <v>11</v>
      </c>
      <c r="T71" s="7" t="s">
        <v>173</v>
      </c>
      <c r="U71" s="7" t="s">
        <v>329</v>
      </c>
      <c r="V71" s="7"/>
      <c r="W71" s="7"/>
      <c r="X71" s="132">
        <f t="shared" si="12"/>
        <v>10</v>
      </c>
      <c r="Y71" s="133"/>
      <c r="Z71" s="133"/>
      <c r="AA71" s="133"/>
    </row>
    <row r="72" spans="1:27" hidden="1" x14ac:dyDescent="0.25">
      <c r="A72" s="127">
        <v>75</v>
      </c>
      <c r="B72" s="128" t="str">
        <f t="shared" si="13"/>
        <v>CHUT</v>
      </c>
      <c r="C72" s="128" t="str">
        <f>+VLOOKUP(U72,Ходим!A:B,2,0)</f>
        <v>50905015970078</v>
      </c>
      <c r="D72" s="128" t="str">
        <f>IFERROR(VLOOKUP($B:$B,[20]свод!$A:$AB,3,0)," ")</f>
        <v>Чуст тумани</v>
      </c>
      <c r="E72" s="7" t="s">
        <v>1217</v>
      </c>
      <c r="F72" s="7" t="s">
        <v>7621</v>
      </c>
      <c r="G72" s="134">
        <f t="shared" si="16"/>
        <v>1</v>
      </c>
      <c r="H72" s="134" t="str">
        <f t="shared" si="17"/>
        <v/>
      </c>
      <c r="I72" s="7" t="s">
        <v>158</v>
      </c>
      <c r="J72" s="7" t="s">
        <v>172</v>
      </c>
      <c r="K72" s="7"/>
      <c r="L72" s="7" t="s">
        <v>167</v>
      </c>
      <c r="M72" s="7" t="s">
        <v>4298</v>
      </c>
      <c r="N72" s="7" t="s">
        <v>170</v>
      </c>
      <c r="O72" s="7" t="s">
        <v>162</v>
      </c>
      <c r="P72" s="7" t="s">
        <v>6332</v>
      </c>
      <c r="Q72" s="129">
        <v>46199</v>
      </c>
      <c r="R72" s="130">
        <f t="shared" si="15"/>
        <v>46210</v>
      </c>
      <c r="S72" s="131">
        <f t="shared" si="14"/>
        <v>11</v>
      </c>
      <c r="T72" s="7" t="s">
        <v>178</v>
      </c>
      <c r="U72" s="7" t="s">
        <v>521</v>
      </c>
      <c r="V72" s="7"/>
      <c r="W72" s="7">
        <v>596.41</v>
      </c>
      <c r="X72" s="132">
        <f t="shared" si="12"/>
        <v>10</v>
      </c>
      <c r="Y72" s="133"/>
      <c r="Z72" s="133"/>
      <c r="AA72" s="133"/>
    </row>
    <row r="73" spans="1:27" hidden="1" x14ac:dyDescent="0.25">
      <c r="A73" s="127">
        <v>76</v>
      </c>
      <c r="B73" s="128" t="str">
        <f t="shared" si="13"/>
        <v>NAMS</v>
      </c>
      <c r="C73" s="128" t="str">
        <f>+VLOOKUP(U73,Ходим!A:B,2,0)</f>
        <v>51406015960142</v>
      </c>
      <c r="D73" s="128" t="str">
        <f>IFERROR(VLOOKUP($B:$B,[20]свод!$A:$AB,3,0)," ")</f>
        <v>Наманган шаҳар</v>
      </c>
      <c r="E73" s="7" t="s">
        <v>1218</v>
      </c>
      <c r="F73" s="7" t="s">
        <v>7622</v>
      </c>
      <c r="G73" s="134">
        <f t="shared" si="16"/>
        <v>1</v>
      </c>
      <c r="H73" s="134" t="str">
        <f t="shared" si="17"/>
        <v/>
      </c>
      <c r="I73" s="7" t="s">
        <v>158</v>
      </c>
      <c r="J73" s="7" t="s">
        <v>2</v>
      </c>
      <c r="K73" s="7"/>
      <c r="L73" s="7" t="s">
        <v>167</v>
      </c>
      <c r="M73" s="7" t="s">
        <v>381</v>
      </c>
      <c r="N73" s="7" t="s">
        <v>170</v>
      </c>
      <c r="O73" s="7" t="s">
        <v>162</v>
      </c>
      <c r="P73" s="7" t="s">
        <v>6333</v>
      </c>
      <c r="Q73" s="129">
        <v>46199</v>
      </c>
      <c r="R73" s="130">
        <f t="shared" si="15"/>
        <v>46204</v>
      </c>
      <c r="S73" s="131">
        <f t="shared" si="14"/>
        <v>5</v>
      </c>
      <c r="T73" s="7" t="s">
        <v>173</v>
      </c>
      <c r="U73" s="7" t="s">
        <v>349</v>
      </c>
      <c r="V73" s="7"/>
      <c r="W73" s="7">
        <v>0</v>
      </c>
      <c r="X73" s="132">
        <f t="shared" si="12"/>
        <v>10</v>
      </c>
      <c r="Y73" s="133"/>
      <c r="Z73" s="133"/>
      <c r="AA73" s="133"/>
    </row>
    <row r="74" spans="1:27" hidden="1" x14ac:dyDescent="0.25">
      <c r="A74" s="127">
        <v>77</v>
      </c>
      <c r="B74" s="128" t="str">
        <f t="shared" si="13"/>
        <v>TORT</v>
      </c>
      <c r="C74" s="128" t="str">
        <f>+VLOOKUP(U74,Ходим!A:B,2,0)</f>
        <v>40302922130046</v>
      </c>
      <c r="D74" s="128" t="str">
        <f>IFERROR(VLOOKUP($B:$B,[20]свод!$A:$AB,3,0)," ")</f>
        <v>Тўрақўрғон тумани</v>
      </c>
      <c r="E74" s="7" t="s">
        <v>1219</v>
      </c>
      <c r="F74" s="7" t="s">
        <v>7623</v>
      </c>
      <c r="G74" s="134">
        <f t="shared" si="16"/>
        <v>1</v>
      </c>
      <c r="H74" s="134" t="str">
        <f t="shared" si="17"/>
        <v/>
      </c>
      <c r="I74" s="7" t="s">
        <v>158</v>
      </c>
      <c r="J74" s="7" t="s">
        <v>2</v>
      </c>
      <c r="K74" s="7"/>
      <c r="L74" s="7" t="s">
        <v>167</v>
      </c>
      <c r="M74" s="7" t="s">
        <v>4299</v>
      </c>
      <c r="N74" s="7" t="s">
        <v>170</v>
      </c>
      <c r="O74" s="7" t="s">
        <v>162</v>
      </c>
      <c r="P74" s="7" t="s">
        <v>6334</v>
      </c>
      <c r="Q74" s="129">
        <v>46199</v>
      </c>
      <c r="R74" s="130">
        <f t="shared" si="15"/>
        <v>46204</v>
      </c>
      <c r="S74" s="131">
        <f t="shared" si="14"/>
        <v>5</v>
      </c>
      <c r="T74" s="7" t="s">
        <v>203</v>
      </c>
      <c r="U74" s="7" t="s">
        <v>258</v>
      </c>
      <c r="V74" s="7"/>
      <c r="W74" s="7">
        <v>126</v>
      </c>
      <c r="X74" s="132">
        <f t="shared" si="12"/>
        <v>10</v>
      </c>
      <c r="Y74" s="133"/>
      <c r="Z74" s="133"/>
      <c r="AA74" s="133"/>
    </row>
    <row r="75" spans="1:27" hidden="1" x14ac:dyDescent="0.25">
      <c r="A75" s="127">
        <v>78</v>
      </c>
      <c r="B75" s="128" t="str">
        <f t="shared" si="13"/>
        <v>CHUT</v>
      </c>
      <c r="C75" s="128" t="str">
        <f>+VLOOKUP(U75,Ходим!A:B,2,0)</f>
        <v>31312912180061</v>
      </c>
      <c r="D75" s="128" t="str">
        <f>IFERROR(VLOOKUP($B:$B,[20]свод!$A:$AB,3,0)," ")</f>
        <v>Чуст тумани</v>
      </c>
      <c r="E75" s="7" t="s">
        <v>1220</v>
      </c>
      <c r="F75" s="7" t="s">
        <v>7624</v>
      </c>
      <c r="G75" s="134">
        <f t="shared" si="16"/>
        <v>1</v>
      </c>
      <c r="H75" s="134" t="str">
        <f t="shared" si="17"/>
        <v/>
      </c>
      <c r="I75" s="7" t="s">
        <v>158</v>
      </c>
      <c r="J75" s="7" t="s">
        <v>172</v>
      </c>
      <c r="K75" s="7"/>
      <c r="L75" s="7" t="s">
        <v>167</v>
      </c>
      <c r="M75" s="7" t="s">
        <v>4300</v>
      </c>
      <c r="N75" s="7" t="s">
        <v>170</v>
      </c>
      <c r="O75" s="7" t="s">
        <v>162</v>
      </c>
      <c r="P75" s="7" t="s">
        <v>6335</v>
      </c>
      <c r="Q75" s="129">
        <v>46199</v>
      </c>
      <c r="R75" s="130">
        <f t="shared" si="15"/>
        <v>46204</v>
      </c>
      <c r="S75" s="131">
        <f t="shared" si="14"/>
        <v>5</v>
      </c>
      <c r="T75" s="7" t="s">
        <v>178</v>
      </c>
      <c r="U75" s="7" t="s">
        <v>202</v>
      </c>
      <c r="V75" s="7"/>
      <c r="W75" s="7">
        <v>340.33</v>
      </c>
      <c r="X75" s="132">
        <f t="shared" si="12"/>
        <v>10</v>
      </c>
      <c r="Y75" s="133"/>
      <c r="Z75" s="133"/>
      <c r="AA75" s="133"/>
    </row>
    <row r="76" spans="1:27" hidden="1" x14ac:dyDescent="0.25">
      <c r="A76" s="127">
        <v>79</v>
      </c>
      <c r="B76" s="128" t="str">
        <f t="shared" si="13"/>
        <v>CHOT</v>
      </c>
      <c r="C76" s="128" t="str">
        <f>+VLOOKUP(U76,Ходим!A:B,2,0)</f>
        <v>50310015890046</v>
      </c>
      <c r="D76" s="128" t="str">
        <f>IFERROR(VLOOKUP($B:$B,[20]свод!$A:$AB,3,0)," ")</f>
        <v>Чортоқ тумани</v>
      </c>
      <c r="E76" s="7" t="s">
        <v>1221</v>
      </c>
      <c r="F76" s="7" t="s">
        <v>7625</v>
      </c>
      <c r="G76" s="134">
        <f t="shared" si="16"/>
        <v>1</v>
      </c>
      <c r="H76" s="134" t="str">
        <f t="shared" si="17"/>
        <v/>
      </c>
      <c r="I76" s="7" t="s">
        <v>158</v>
      </c>
      <c r="J76" s="7" t="s">
        <v>172</v>
      </c>
      <c r="K76" s="7"/>
      <c r="L76" s="7" t="s">
        <v>167</v>
      </c>
      <c r="M76" s="7" t="s">
        <v>4301</v>
      </c>
      <c r="N76" s="7" t="s">
        <v>170</v>
      </c>
      <c r="O76" s="7" t="s">
        <v>162</v>
      </c>
      <c r="P76" s="7" t="s">
        <v>6309</v>
      </c>
      <c r="Q76" s="129">
        <v>46199</v>
      </c>
      <c r="R76" s="130">
        <f t="shared" si="15"/>
        <v>46204</v>
      </c>
      <c r="S76" s="131">
        <f t="shared" si="14"/>
        <v>5</v>
      </c>
      <c r="T76" s="7" t="s">
        <v>184</v>
      </c>
      <c r="U76" s="7" t="s">
        <v>404</v>
      </c>
      <c r="V76" s="7"/>
      <c r="W76" s="7">
        <v>406.7</v>
      </c>
      <c r="X76" s="132">
        <f t="shared" si="12"/>
        <v>10</v>
      </c>
      <c r="Y76" s="133"/>
      <c r="Z76" s="133"/>
      <c r="AA76" s="133"/>
    </row>
    <row r="77" spans="1:27" hidden="1" x14ac:dyDescent="0.25">
      <c r="A77" s="127">
        <v>80</v>
      </c>
      <c r="B77" s="128" t="str">
        <f t="shared" si="13"/>
        <v>NORT</v>
      </c>
      <c r="C77" s="128" t="str">
        <f>+VLOOKUP(U77,Ходим!A:B,2,0)</f>
        <v>31609962110019</v>
      </c>
      <c r="D77" s="128" t="str">
        <f>IFERROR(VLOOKUP($B:$B,[20]свод!$A:$AB,3,0)," ")</f>
        <v>Норин тумани</v>
      </c>
      <c r="E77" s="7" t="s">
        <v>1222</v>
      </c>
      <c r="F77" s="7" t="s">
        <v>7626</v>
      </c>
      <c r="G77" s="134">
        <f t="shared" si="16"/>
        <v>1</v>
      </c>
      <c r="H77" s="134" t="str">
        <f t="shared" si="17"/>
        <v/>
      </c>
      <c r="I77" s="7" t="s">
        <v>158</v>
      </c>
      <c r="J77" s="7" t="s">
        <v>36</v>
      </c>
      <c r="K77" s="7"/>
      <c r="L77" s="7" t="s">
        <v>167</v>
      </c>
      <c r="M77" s="7" t="s">
        <v>4302</v>
      </c>
      <c r="N77" s="7" t="s">
        <v>170</v>
      </c>
      <c r="O77" s="7" t="s">
        <v>162</v>
      </c>
      <c r="P77" s="7" t="s">
        <v>6336</v>
      </c>
      <c r="Q77" s="129">
        <v>46199</v>
      </c>
      <c r="R77" s="130">
        <f t="shared" si="15"/>
        <v>46204</v>
      </c>
      <c r="S77" s="131">
        <f t="shared" si="14"/>
        <v>5</v>
      </c>
      <c r="T77" s="7" t="s">
        <v>210</v>
      </c>
      <c r="U77" s="7" t="s">
        <v>355</v>
      </c>
      <c r="V77" s="7"/>
      <c r="W77" s="7">
        <v>216.84</v>
      </c>
      <c r="X77" s="132">
        <f t="shared" si="12"/>
        <v>10</v>
      </c>
      <c r="Y77" s="133"/>
      <c r="Z77" s="133"/>
      <c r="AA77" s="133"/>
    </row>
    <row r="78" spans="1:27" hidden="1" x14ac:dyDescent="0.25">
      <c r="A78" s="127">
        <v>81</v>
      </c>
      <c r="B78" s="128" t="str">
        <f t="shared" si="13"/>
        <v>POPT</v>
      </c>
      <c r="C78" s="128" t="str">
        <f>+VLOOKUP(U78,Ходим!A:B,2,0)</f>
        <v>30608945910016</v>
      </c>
      <c r="D78" s="128" t="str">
        <f>IFERROR(VLOOKUP($B:$B,[20]свод!$A:$AB,3,0)," ")</f>
        <v>Поп тумани</v>
      </c>
      <c r="E78" s="7" t="s">
        <v>1223</v>
      </c>
      <c r="F78" s="7" t="s">
        <v>7627</v>
      </c>
      <c r="G78" s="134">
        <f t="shared" si="16"/>
        <v>1</v>
      </c>
      <c r="H78" s="134" t="str">
        <f t="shared" si="17"/>
        <v/>
      </c>
      <c r="I78" s="7" t="s">
        <v>154</v>
      </c>
      <c r="J78" s="7" t="s">
        <v>1</v>
      </c>
      <c r="K78" s="7"/>
      <c r="L78" s="7" t="s">
        <v>167</v>
      </c>
      <c r="M78" s="7" t="s">
        <v>4303</v>
      </c>
      <c r="N78" s="7" t="s">
        <v>170</v>
      </c>
      <c r="O78" s="7" t="s">
        <v>162</v>
      </c>
      <c r="P78" s="7" t="s">
        <v>6337</v>
      </c>
      <c r="Q78" s="129">
        <v>46199</v>
      </c>
      <c r="R78" s="130">
        <f t="shared" si="15"/>
        <v>46204</v>
      </c>
      <c r="S78" s="131">
        <f t="shared" si="14"/>
        <v>5</v>
      </c>
      <c r="T78" s="7" t="s">
        <v>240</v>
      </c>
      <c r="U78" s="7" t="s">
        <v>295</v>
      </c>
      <c r="V78" s="7"/>
      <c r="W78" s="7">
        <v>181.14</v>
      </c>
      <c r="X78" s="132">
        <f t="shared" si="12"/>
        <v>10</v>
      </c>
      <c r="Y78" s="133"/>
      <c r="Z78" s="133"/>
      <c r="AA78" s="133"/>
    </row>
    <row r="79" spans="1:27" hidden="1" x14ac:dyDescent="0.25">
      <c r="A79" s="127">
        <v>82</v>
      </c>
      <c r="B79" s="128" t="str">
        <f t="shared" si="13"/>
        <v>NAMS</v>
      </c>
      <c r="C79" s="128" t="str">
        <f>+VLOOKUP(U79,Ходим!A:B,2,0)</f>
        <v>53008015960094</v>
      </c>
      <c r="D79" s="128" t="str">
        <f>IFERROR(VLOOKUP($B:$B,[20]свод!$A:$AB,3,0)," ")</f>
        <v>Наманган шаҳар</v>
      </c>
      <c r="E79" s="7" t="s">
        <v>1224</v>
      </c>
      <c r="F79" s="7" t="s">
        <v>7628</v>
      </c>
      <c r="G79" s="134">
        <f t="shared" si="16"/>
        <v>1</v>
      </c>
      <c r="H79" s="134" t="str">
        <f t="shared" si="17"/>
        <v/>
      </c>
      <c r="I79" s="7" t="s">
        <v>158</v>
      </c>
      <c r="J79" s="7" t="s">
        <v>2</v>
      </c>
      <c r="K79" s="7"/>
      <c r="L79" s="7"/>
      <c r="M79" s="7"/>
      <c r="N79" s="7" t="s">
        <v>170</v>
      </c>
      <c r="O79" s="7" t="s">
        <v>162</v>
      </c>
      <c r="P79" s="7" t="s">
        <v>6338</v>
      </c>
      <c r="Q79" s="129">
        <v>46199</v>
      </c>
      <c r="R79" s="130">
        <f t="shared" si="15"/>
        <v>46204</v>
      </c>
      <c r="S79" s="131">
        <f t="shared" si="14"/>
        <v>5</v>
      </c>
      <c r="T79" s="7" t="s">
        <v>173</v>
      </c>
      <c r="U79" s="7" t="s">
        <v>403</v>
      </c>
      <c r="V79" s="7"/>
      <c r="W79" s="7"/>
      <c r="X79" s="132">
        <f t="shared" si="12"/>
        <v>10</v>
      </c>
      <c r="Y79" s="133"/>
      <c r="Z79" s="133"/>
      <c r="AA79" s="133"/>
    </row>
    <row r="80" spans="1:27" x14ac:dyDescent="0.25">
      <c r="A80" s="127">
        <v>83</v>
      </c>
      <c r="B80" s="128" t="str">
        <f t="shared" si="13"/>
        <v>YGQT</v>
      </c>
      <c r="C80" s="128" t="str">
        <f>+VLOOKUP(U80,Ходим!A:B,2,0)</f>
        <v>30107965950010</v>
      </c>
      <c r="D80" s="128" t="str">
        <f>IFERROR(VLOOKUP($B:$B,[20]свод!$A:$AB,3,0)," ")</f>
        <v>Янгиқўрғон тумани</v>
      </c>
      <c r="E80" s="7" t="s">
        <v>1225</v>
      </c>
      <c r="F80" s="7" t="s">
        <v>7629</v>
      </c>
      <c r="G80" s="134">
        <f t="shared" si="16"/>
        <v>1</v>
      </c>
      <c r="H80" s="134" t="str">
        <f t="shared" si="17"/>
        <v/>
      </c>
      <c r="I80" s="7" t="s">
        <v>158</v>
      </c>
      <c r="J80" s="7" t="s">
        <v>55</v>
      </c>
      <c r="K80" s="7"/>
      <c r="L80" s="7" t="s">
        <v>167</v>
      </c>
      <c r="M80" s="7" t="s">
        <v>4304</v>
      </c>
      <c r="N80" s="7" t="s">
        <v>410</v>
      </c>
      <c r="O80" s="7" t="s">
        <v>162</v>
      </c>
      <c r="P80" s="7" t="s">
        <v>6339</v>
      </c>
      <c r="Q80" s="129">
        <v>46199</v>
      </c>
      <c r="R80" s="130">
        <f t="shared" si="15"/>
        <v>46196</v>
      </c>
      <c r="S80" s="131">
        <f t="shared" si="14"/>
        <v>-3</v>
      </c>
      <c r="T80" s="7" t="s">
        <v>182</v>
      </c>
      <c r="U80" s="7" t="s">
        <v>244</v>
      </c>
      <c r="V80" s="7" t="s">
        <v>359</v>
      </c>
      <c r="W80" s="7">
        <v>369.5</v>
      </c>
      <c r="X80" s="132">
        <f t="shared" si="12"/>
        <v>10</v>
      </c>
      <c r="Y80" s="133"/>
      <c r="Z80" s="133"/>
      <c r="AA80" s="133"/>
    </row>
    <row r="81" spans="1:27" hidden="1" x14ac:dyDescent="0.25">
      <c r="A81" s="127">
        <v>85</v>
      </c>
      <c r="B81" s="128" t="str">
        <f t="shared" si="13"/>
        <v>YGQT</v>
      </c>
      <c r="C81" s="128" t="str">
        <f>+VLOOKUP(U81,Ходим!A:B,2,0)</f>
        <v>50710015950029</v>
      </c>
      <c r="D81" s="128" t="str">
        <f>IFERROR(VLOOKUP($B:$B,[20]свод!$A:$AB,3,0)," ")</f>
        <v>Янгиқўрғон тумани</v>
      </c>
      <c r="E81" s="7" t="s">
        <v>1226</v>
      </c>
      <c r="F81" s="7" t="s">
        <v>7630</v>
      </c>
      <c r="G81" s="134">
        <f t="shared" si="16"/>
        <v>1</v>
      </c>
      <c r="H81" s="134" t="str">
        <f t="shared" si="17"/>
        <v/>
      </c>
      <c r="I81" s="7" t="s">
        <v>158</v>
      </c>
      <c r="J81" s="7" t="s">
        <v>172</v>
      </c>
      <c r="K81" s="7"/>
      <c r="L81" s="7" t="s">
        <v>167</v>
      </c>
      <c r="M81" s="7" t="s">
        <v>4305</v>
      </c>
      <c r="N81" s="7" t="s">
        <v>410</v>
      </c>
      <c r="O81" s="7" t="s">
        <v>162</v>
      </c>
      <c r="P81" s="7" t="s">
        <v>6340</v>
      </c>
      <c r="Q81" s="129">
        <v>46199</v>
      </c>
      <c r="R81" s="130">
        <f t="shared" si="15"/>
        <v>46209</v>
      </c>
      <c r="S81" s="131">
        <f t="shared" si="14"/>
        <v>10</v>
      </c>
      <c r="T81" s="7" t="s">
        <v>255</v>
      </c>
      <c r="U81" s="7" t="s">
        <v>312</v>
      </c>
      <c r="V81" s="7"/>
      <c r="W81" s="7">
        <v>227.91</v>
      </c>
      <c r="X81" s="132">
        <f t="shared" si="12"/>
        <v>10</v>
      </c>
      <c r="Y81" s="133"/>
      <c r="Z81" s="133"/>
      <c r="AA81" s="133"/>
    </row>
    <row r="82" spans="1:27" hidden="1" x14ac:dyDescent="0.25">
      <c r="A82" s="127">
        <v>86</v>
      </c>
      <c r="B82" s="128" t="str">
        <f t="shared" si="13"/>
        <v>NAMT</v>
      </c>
      <c r="C82" s="128" t="str">
        <f>+VLOOKUP(U82,Ходим!A:B,2,0)</f>
        <v>32607902090019</v>
      </c>
      <c r="D82" s="128" t="str">
        <f>IFERROR(VLOOKUP($B:$B,[20]свод!$A:$AB,3,0)," ")</f>
        <v>Наманган тумани</v>
      </c>
      <c r="E82" s="7" t="s">
        <v>1227</v>
      </c>
      <c r="F82" s="7" t="s">
        <v>7631</v>
      </c>
      <c r="G82" s="134">
        <f t="shared" si="16"/>
        <v>1</v>
      </c>
      <c r="H82" s="134" t="str">
        <f t="shared" si="17"/>
        <v/>
      </c>
      <c r="I82" s="7" t="s">
        <v>158</v>
      </c>
      <c r="J82" s="7" t="s">
        <v>2</v>
      </c>
      <c r="K82" s="7"/>
      <c r="L82" s="7" t="s">
        <v>167</v>
      </c>
      <c r="M82" s="7" t="s">
        <v>1139</v>
      </c>
      <c r="N82" s="7" t="s">
        <v>170</v>
      </c>
      <c r="O82" s="7" t="s">
        <v>162</v>
      </c>
      <c r="P82" s="7" t="s">
        <v>6341</v>
      </c>
      <c r="Q82" s="129">
        <v>46199</v>
      </c>
      <c r="R82" s="130">
        <f t="shared" si="15"/>
        <v>46204</v>
      </c>
      <c r="S82" s="131">
        <f t="shared" si="14"/>
        <v>5</v>
      </c>
      <c r="T82" s="7" t="s">
        <v>197</v>
      </c>
      <c r="U82" s="7" t="s">
        <v>243</v>
      </c>
      <c r="V82" s="7"/>
      <c r="W82" s="7">
        <v>0</v>
      </c>
      <c r="X82" s="132">
        <f t="shared" si="12"/>
        <v>10</v>
      </c>
      <c r="Y82" s="133"/>
      <c r="Z82" s="133"/>
      <c r="AA82" s="133"/>
    </row>
    <row r="83" spans="1:27" hidden="1" x14ac:dyDescent="0.25">
      <c r="A83" s="127">
        <v>87</v>
      </c>
      <c r="B83" s="128" t="str">
        <f t="shared" si="13"/>
        <v>NAMS</v>
      </c>
      <c r="C83" s="128" t="str">
        <f>+VLOOKUP(U83,Ходим!A:B,2,0)</f>
        <v>30108932170088</v>
      </c>
      <c r="D83" s="128" t="str">
        <f>IFERROR(VLOOKUP($B:$B,[20]свод!$A:$AB,3,0)," ")</f>
        <v>Наманган шаҳар</v>
      </c>
      <c r="E83" s="7" t="s">
        <v>1228</v>
      </c>
      <c r="F83" s="7" t="s">
        <v>7632</v>
      </c>
      <c r="G83" s="134">
        <f t="shared" si="16"/>
        <v>1</v>
      </c>
      <c r="H83" s="134" t="str">
        <f t="shared" si="17"/>
        <v/>
      </c>
      <c r="I83" s="7" t="s">
        <v>158</v>
      </c>
      <c r="J83" s="7" t="s">
        <v>2</v>
      </c>
      <c r="K83" s="7"/>
      <c r="L83" s="7"/>
      <c r="M83" s="7"/>
      <c r="N83" s="7" t="s">
        <v>170</v>
      </c>
      <c r="O83" s="7" t="s">
        <v>162</v>
      </c>
      <c r="P83" s="7" t="s">
        <v>6342</v>
      </c>
      <c r="Q83" s="129">
        <v>46199</v>
      </c>
      <c r="R83" s="130">
        <f t="shared" si="15"/>
        <v>46204</v>
      </c>
      <c r="S83" s="131">
        <f t="shared" si="14"/>
        <v>5</v>
      </c>
      <c r="T83" s="7" t="s">
        <v>173</v>
      </c>
      <c r="U83" s="7" t="s">
        <v>329</v>
      </c>
      <c r="V83" s="7"/>
      <c r="W83" s="7"/>
      <c r="X83" s="132">
        <f t="shared" si="12"/>
        <v>10</v>
      </c>
      <c r="Y83" s="133"/>
      <c r="Z83" s="133"/>
      <c r="AA83" s="133"/>
    </row>
    <row r="84" spans="1:27" hidden="1" x14ac:dyDescent="0.25">
      <c r="A84" s="127">
        <v>88</v>
      </c>
      <c r="B84" s="128" t="str">
        <f t="shared" si="13"/>
        <v>YGQT</v>
      </c>
      <c r="C84" s="128" t="str">
        <f>+VLOOKUP(U84,Ходим!A:B,2,0)</f>
        <v>52410005950025</v>
      </c>
      <c r="D84" s="128" t="str">
        <f>IFERROR(VLOOKUP($B:$B,[20]свод!$A:$AB,3,0)," ")</f>
        <v>Янгиқўрғон тумани</v>
      </c>
      <c r="E84" s="7" t="s">
        <v>1229</v>
      </c>
      <c r="F84" s="7" t="s">
        <v>7633</v>
      </c>
      <c r="G84" s="134">
        <f t="shared" si="16"/>
        <v>1</v>
      </c>
      <c r="H84" s="134" t="str">
        <f t="shared" si="17"/>
        <v/>
      </c>
      <c r="I84" s="7" t="s">
        <v>156</v>
      </c>
      <c r="J84" s="7" t="s">
        <v>22</v>
      </c>
      <c r="K84" s="7"/>
      <c r="L84" s="7" t="s">
        <v>167</v>
      </c>
      <c r="M84" s="7" t="s">
        <v>4306</v>
      </c>
      <c r="N84" s="7" t="s">
        <v>170</v>
      </c>
      <c r="O84" s="7" t="s">
        <v>162</v>
      </c>
      <c r="P84" s="7" t="s">
        <v>6343</v>
      </c>
      <c r="Q84" s="129">
        <v>46199</v>
      </c>
      <c r="R84" s="130">
        <f t="shared" si="15"/>
        <v>46210</v>
      </c>
      <c r="S84" s="131">
        <f t="shared" si="14"/>
        <v>11</v>
      </c>
      <c r="T84" s="7" t="s">
        <v>182</v>
      </c>
      <c r="U84" s="7" t="s">
        <v>256</v>
      </c>
      <c r="V84" s="7"/>
      <c r="W84" s="7">
        <v>0</v>
      </c>
      <c r="X84" s="132">
        <f t="shared" si="12"/>
        <v>10</v>
      </c>
      <c r="Y84" s="133"/>
      <c r="Z84" s="133"/>
      <c r="AA84" s="133"/>
    </row>
    <row r="85" spans="1:27" hidden="1" x14ac:dyDescent="0.25">
      <c r="A85" s="127">
        <v>89</v>
      </c>
      <c r="B85" s="128" t="str">
        <f t="shared" si="13"/>
        <v>NAMT</v>
      </c>
      <c r="C85" s="128" t="str">
        <f>+VLOOKUP(U85,Ходим!A:B,2,0)</f>
        <v>50706025880010</v>
      </c>
      <c r="D85" s="128" t="str">
        <f>IFERROR(VLOOKUP($B:$B,[20]свод!$A:$AB,3,0)," ")</f>
        <v>Наманган тумани</v>
      </c>
      <c r="E85" s="7" t="s">
        <v>1230</v>
      </c>
      <c r="F85" s="7" t="s">
        <v>7634</v>
      </c>
      <c r="G85" s="134">
        <f t="shared" si="16"/>
        <v>1</v>
      </c>
      <c r="H85" s="134" t="str">
        <f t="shared" si="17"/>
        <v/>
      </c>
      <c r="I85" s="7" t="s">
        <v>158</v>
      </c>
      <c r="J85" s="7" t="s">
        <v>13</v>
      </c>
      <c r="K85" s="7"/>
      <c r="L85" s="7" t="s">
        <v>167</v>
      </c>
      <c r="M85" s="7" t="s">
        <v>4307</v>
      </c>
      <c r="N85" s="7" t="s">
        <v>170</v>
      </c>
      <c r="O85" s="7" t="s">
        <v>162</v>
      </c>
      <c r="P85" s="7" t="s">
        <v>6344</v>
      </c>
      <c r="Q85" s="129">
        <v>46199</v>
      </c>
      <c r="R85" s="130">
        <f t="shared" si="15"/>
        <v>46204</v>
      </c>
      <c r="S85" s="131">
        <f t="shared" si="14"/>
        <v>5</v>
      </c>
      <c r="T85" s="7" t="s">
        <v>197</v>
      </c>
      <c r="U85" s="7" t="s">
        <v>397</v>
      </c>
      <c r="V85" s="7"/>
      <c r="W85" s="7">
        <v>154.77000000000001</v>
      </c>
      <c r="X85" s="132">
        <f t="shared" si="12"/>
        <v>10</v>
      </c>
      <c r="Y85" s="133"/>
      <c r="Z85" s="133"/>
      <c r="AA85" s="133"/>
    </row>
    <row r="86" spans="1:27" hidden="1" x14ac:dyDescent="0.25">
      <c r="A86" s="127">
        <v>90</v>
      </c>
      <c r="B86" s="128" t="str">
        <f t="shared" si="13"/>
        <v>YGQT</v>
      </c>
      <c r="C86" s="128" t="str">
        <f>+VLOOKUP(U86,Ходим!A:B,2,0)</f>
        <v>32806922160043</v>
      </c>
      <c r="D86" s="128" t="str">
        <f>IFERROR(VLOOKUP($B:$B,[20]свод!$A:$AB,3,0)," ")</f>
        <v>Янгиқўрғон тумани</v>
      </c>
      <c r="E86" s="7" t="s">
        <v>1231</v>
      </c>
      <c r="F86" s="7" t="s">
        <v>7635</v>
      </c>
      <c r="G86" s="134">
        <f t="shared" si="16"/>
        <v>1</v>
      </c>
      <c r="H86" s="134" t="str">
        <f t="shared" si="17"/>
        <v/>
      </c>
      <c r="I86" s="7" t="s">
        <v>156</v>
      </c>
      <c r="J86" s="7" t="s">
        <v>22</v>
      </c>
      <c r="K86" s="7"/>
      <c r="L86" s="7" t="s">
        <v>167</v>
      </c>
      <c r="M86" s="7" t="s">
        <v>4308</v>
      </c>
      <c r="N86" s="7" t="s">
        <v>170</v>
      </c>
      <c r="O86" s="7" t="s">
        <v>162</v>
      </c>
      <c r="P86" s="7" t="s">
        <v>6343</v>
      </c>
      <c r="Q86" s="129">
        <v>46199</v>
      </c>
      <c r="R86" s="130">
        <f t="shared" si="15"/>
        <v>46210</v>
      </c>
      <c r="S86" s="131">
        <f t="shared" si="14"/>
        <v>11</v>
      </c>
      <c r="T86" s="7" t="s">
        <v>182</v>
      </c>
      <c r="U86" s="7" t="s">
        <v>186</v>
      </c>
      <c r="V86" s="7"/>
      <c r="W86" s="7">
        <v>309.20999999999998</v>
      </c>
      <c r="X86" s="132">
        <f t="shared" si="12"/>
        <v>10</v>
      </c>
      <c r="Y86" s="133"/>
      <c r="Z86" s="133"/>
      <c r="AA86" s="133"/>
    </row>
    <row r="87" spans="1:27" hidden="1" x14ac:dyDescent="0.25">
      <c r="A87" s="127">
        <v>91</v>
      </c>
      <c r="B87" s="128" t="str">
        <f t="shared" si="13"/>
        <v>TORT</v>
      </c>
      <c r="C87" s="128" t="str">
        <f>+VLOOKUP(U87,Ходим!A:B,2,0)</f>
        <v>50908015920034</v>
      </c>
      <c r="D87" s="128" t="str">
        <f>IFERROR(VLOOKUP($B:$B,[20]свод!$A:$AB,3,0)," ")</f>
        <v>Тўрақўрғон тумани</v>
      </c>
      <c r="E87" s="7" t="s">
        <v>1232</v>
      </c>
      <c r="F87" s="7" t="s">
        <v>7636</v>
      </c>
      <c r="G87" s="134">
        <f t="shared" si="16"/>
        <v>1</v>
      </c>
      <c r="H87" s="134" t="str">
        <f t="shared" si="17"/>
        <v/>
      </c>
      <c r="I87" s="7" t="s">
        <v>158</v>
      </c>
      <c r="J87" s="7" t="s">
        <v>172</v>
      </c>
      <c r="K87" s="7"/>
      <c r="L87" s="7" t="s">
        <v>167</v>
      </c>
      <c r="M87" s="7" t="s">
        <v>4309</v>
      </c>
      <c r="N87" s="7" t="s">
        <v>170</v>
      </c>
      <c r="O87" s="7" t="s">
        <v>163</v>
      </c>
      <c r="P87" s="7" t="s">
        <v>6345</v>
      </c>
      <c r="Q87" s="129">
        <v>46199</v>
      </c>
      <c r="R87" s="130">
        <f t="shared" si="15"/>
        <v>46205</v>
      </c>
      <c r="S87" s="131">
        <f t="shared" si="14"/>
        <v>6</v>
      </c>
      <c r="T87" s="7" t="s">
        <v>203</v>
      </c>
      <c r="U87" s="7" t="s">
        <v>205</v>
      </c>
      <c r="V87" s="7"/>
      <c r="W87" s="7">
        <v>317.14999999999998</v>
      </c>
      <c r="X87" s="132">
        <f t="shared" si="12"/>
        <v>10</v>
      </c>
      <c r="Y87" s="133"/>
      <c r="Z87" s="133"/>
      <c r="AA87" s="133"/>
    </row>
    <row r="88" spans="1:27" hidden="1" x14ac:dyDescent="0.25">
      <c r="A88" s="127">
        <v>92</v>
      </c>
      <c r="B88" s="128" t="str">
        <f t="shared" si="13"/>
        <v>CHUT</v>
      </c>
      <c r="C88" s="128" t="str">
        <f>+VLOOKUP(U88,Ходим!A:B,2,0)</f>
        <v>50309005970046</v>
      </c>
      <c r="D88" s="128" t="str">
        <f>IFERROR(VLOOKUP($B:$B,[20]свод!$A:$AB,3,0)," ")</f>
        <v>Чуст тумани</v>
      </c>
      <c r="E88" s="7" t="s">
        <v>1233</v>
      </c>
      <c r="F88" s="7" t="s">
        <v>7637</v>
      </c>
      <c r="G88" s="134" t="str">
        <f t="shared" si="16"/>
        <v/>
      </c>
      <c r="H88" s="134">
        <f t="shared" si="17"/>
        <v>1</v>
      </c>
      <c r="I88" s="7" t="s">
        <v>157</v>
      </c>
      <c r="J88" s="7" t="s">
        <v>172</v>
      </c>
      <c r="K88" s="7"/>
      <c r="L88" s="7" t="s">
        <v>166</v>
      </c>
      <c r="M88" s="7" t="s">
        <v>4310</v>
      </c>
      <c r="N88" s="7" t="s">
        <v>410</v>
      </c>
      <c r="O88" s="7" t="s">
        <v>161</v>
      </c>
      <c r="P88" s="7" t="s">
        <v>6346</v>
      </c>
      <c r="Q88" s="129">
        <v>46199</v>
      </c>
      <c r="R88" s="130">
        <f t="shared" si="15"/>
        <v>46203</v>
      </c>
      <c r="S88" s="131">
        <f t="shared" si="14"/>
        <v>4</v>
      </c>
      <c r="T88" s="7" t="s">
        <v>178</v>
      </c>
      <c r="U88" s="7" t="s">
        <v>290</v>
      </c>
      <c r="V88" s="7"/>
      <c r="W88" s="7">
        <v>0</v>
      </c>
      <c r="X88" s="132">
        <f t="shared" si="12"/>
        <v>10</v>
      </c>
      <c r="Y88" s="133"/>
      <c r="Z88" s="133"/>
      <c r="AA88" s="133"/>
    </row>
    <row r="89" spans="1:27" hidden="1" x14ac:dyDescent="0.25">
      <c r="A89" s="127">
        <v>93</v>
      </c>
      <c r="B89" s="128" t="str">
        <f t="shared" si="13"/>
        <v>YGQT</v>
      </c>
      <c r="C89" s="128" t="str">
        <f>+VLOOKUP(U89,Ходим!A:B,2,0)</f>
        <v>50710015950029</v>
      </c>
      <c r="D89" s="128" t="str">
        <f>IFERROR(VLOOKUP($B:$B,[20]свод!$A:$AB,3,0)," ")</f>
        <v>Янгиқўрғон тумани</v>
      </c>
      <c r="E89" s="7" t="s">
        <v>1234</v>
      </c>
      <c r="F89" s="7" t="s">
        <v>7638</v>
      </c>
      <c r="G89" s="134">
        <f t="shared" si="16"/>
        <v>1</v>
      </c>
      <c r="H89" s="134" t="str">
        <f t="shared" si="17"/>
        <v/>
      </c>
      <c r="I89" s="7" t="s">
        <v>156</v>
      </c>
      <c r="J89" s="7" t="s">
        <v>22</v>
      </c>
      <c r="K89" s="7"/>
      <c r="L89" s="7" t="s">
        <v>167</v>
      </c>
      <c r="M89" s="7" t="s">
        <v>4311</v>
      </c>
      <c r="N89" s="7" t="s">
        <v>170</v>
      </c>
      <c r="O89" s="7" t="s">
        <v>162</v>
      </c>
      <c r="P89" s="7" t="s">
        <v>6308</v>
      </c>
      <c r="Q89" s="129">
        <v>46199</v>
      </c>
      <c r="R89" s="130">
        <f t="shared" si="15"/>
        <v>46210</v>
      </c>
      <c r="S89" s="131">
        <f t="shared" si="14"/>
        <v>11</v>
      </c>
      <c r="T89" s="7" t="s">
        <v>182</v>
      </c>
      <c r="U89" s="7" t="s">
        <v>312</v>
      </c>
      <c r="V89" s="7"/>
      <c r="W89" s="7">
        <v>300.25</v>
      </c>
      <c r="X89" s="132">
        <f t="shared" si="12"/>
        <v>10</v>
      </c>
      <c r="Y89" s="133"/>
      <c r="Z89" s="133"/>
      <c r="AA89" s="133"/>
    </row>
    <row r="90" spans="1:27" hidden="1" x14ac:dyDescent="0.25">
      <c r="A90" s="127">
        <v>94</v>
      </c>
      <c r="B90" s="128" t="str">
        <f t="shared" si="13"/>
        <v>YGQT</v>
      </c>
      <c r="C90" s="128" t="str">
        <f>+VLOOKUP(U90,Ходим!A:B,2,0)</f>
        <v>32806922160043</v>
      </c>
      <c r="D90" s="128" t="str">
        <f>IFERROR(VLOOKUP($B:$B,[20]свод!$A:$AB,3,0)," ")</f>
        <v>Янгиқўрғон тумани</v>
      </c>
      <c r="E90" s="7" t="s">
        <v>1235</v>
      </c>
      <c r="F90" s="7" t="s">
        <v>7639</v>
      </c>
      <c r="G90" s="134" t="str">
        <f t="shared" si="16"/>
        <v/>
      </c>
      <c r="H90" s="134">
        <f t="shared" si="17"/>
        <v>1</v>
      </c>
      <c r="I90" s="7" t="s">
        <v>155</v>
      </c>
      <c r="J90" s="7" t="s">
        <v>22</v>
      </c>
      <c r="K90" s="7"/>
      <c r="L90" s="7" t="s">
        <v>168</v>
      </c>
      <c r="M90" s="7" t="s">
        <v>4312</v>
      </c>
      <c r="N90" s="7" t="s">
        <v>170</v>
      </c>
      <c r="O90" s="7" t="s">
        <v>161</v>
      </c>
      <c r="P90" s="7" t="s">
        <v>6308</v>
      </c>
      <c r="Q90" s="129">
        <v>46199</v>
      </c>
      <c r="R90" s="130">
        <f t="shared" si="15"/>
        <v>46205</v>
      </c>
      <c r="S90" s="131">
        <f t="shared" si="14"/>
        <v>6</v>
      </c>
      <c r="T90" s="7" t="s">
        <v>182</v>
      </c>
      <c r="U90" s="7" t="s">
        <v>186</v>
      </c>
      <c r="V90" s="7"/>
      <c r="W90" s="7">
        <v>0</v>
      </c>
      <c r="X90" s="132">
        <f t="shared" si="12"/>
        <v>7</v>
      </c>
      <c r="Y90" s="133"/>
      <c r="Z90" s="133"/>
      <c r="AA90" s="133"/>
    </row>
    <row r="91" spans="1:27" hidden="1" x14ac:dyDescent="0.25">
      <c r="A91" s="127">
        <v>95</v>
      </c>
      <c r="B91" s="128" t="str">
        <f t="shared" si="13"/>
        <v>YGQT</v>
      </c>
      <c r="C91" s="128" t="str">
        <f>+VLOOKUP(U91,Ходим!A:B,2,0)</f>
        <v>33103892160125</v>
      </c>
      <c r="D91" s="128" t="str">
        <f>IFERROR(VLOOKUP($B:$B,[20]свод!$A:$AB,3,0)," ")</f>
        <v>Янгиқўрғон тумани</v>
      </c>
      <c r="E91" s="7" t="s">
        <v>1236</v>
      </c>
      <c r="F91" s="7" t="s">
        <v>7640</v>
      </c>
      <c r="G91" s="134">
        <f t="shared" si="16"/>
        <v>1</v>
      </c>
      <c r="H91" s="134" t="str">
        <f t="shared" si="17"/>
        <v/>
      </c>
      <c r="I91" s="7" t="s">
        <v>158</v>
      </c>
      <c r="J91" s="7" t="s">
        <v>2</v>
      </c>
      <c r="K91" s="7"/>
      <c r="L91" s="7" t="s">
        <v>167</v>
      </c>
      <c r="M91" s="7" t="s">
        <v>4313</v>
      </c>
      <c r="N91" s="7" t="s">
        <v>410</v>
      </c>
      <c r="O91" s="7" t="s">
        <v>162</v>
      </c>
      <c r="P91" s="7" t="s">
        <v>6290</v>
      </c>
      <c r="Q91" s="129">
        <v>46199</v>
      </c>
      <c r="R91" s="130">
        <f t="shared" si="15"/>
        <v>46204</v>
      </c>
      <c r="S91" s="131">
        <f t="shared" si="14"/>
        <v>5</v>
      </c>
      <c r="T91" s="7" t="s">
        <v>255</v>
      </c>
      <c r="U91" s="7" t="s">
        <v>183</v>
      </c>
      <c r="V91" s="7"/>
      <c r="W91" s="7">
        <v>344.29</v>
      </c>
      <c r="X91" s="132">
        <f t="shared" si="12"/>
        <v>10</v>
      </c>
      <c r="Y91" s="133"/>
      <c r="Z91" s="133"/>
      <c r="AA91" s="133"/>
    </row>
    <row r="92" spans="1:27" hidden="1" x14ac:dyDescent="0.25">
      <c r="A92" s="127">
        <v>96</v>
      </c>
      <c r="B92" s="128" t="str">
        <f t="shared" si="13"/>
        <v>UYCT</v>
      </c>
      <c r="C92" s="128" t="str">
        <f>+VLOOKUP(U92,Ходим!A:B,2,0)</f>
        <v>32002975930037</v>
      </c>
      <c r="D92" s="128" t="str">
        <f>IFERROR(VLOOKUP($B:$B,[20]свод!$A:$AB,3,0)," ")</f>
        <v>Уйчи тумани</v>
      </c>
      <c r="E92" s="7" t="s">
        <v>1237</v>
      </c>
      <c r="F92" s="7" t="s">
        <v>7641</v>
      </c>
      <c r="G92" s="134">
        <f t="shared" si="16"/>
        <v>1</v>
      </c>
      <c r="H92" s="134" t="str">
        <f t="shared" si="17"/>
        <v/>
      </c>
      <c r="I92" s="7" t="s">
        <v>158</v>
      </c>
      <c r="J92" s="7" t="s">
        <v>2</v>
      </c>
      <c r="K92" s="7"/>
      <c r="L92" s="7" t="s">
        <v>167</v>
      </c>
      <c r="M92" s="7" t="s">
        <v>4314</v>
      </c>
      <c r="N92" s="7" t="s">
        <v>170</v>
      </c>
      <c r="O92" s="7" t="s">
        <v>162</v>
      </c>
      <c r="P92" s="7" t="s">
        <v>6347</v>
      </c>
      <c r="Q92" s="129">
        <v>46199</v>
      </c>
      <c r="R92" s="130">
        <f t="shared" si="15"/>
        <v>46204</v>
      </c>
      <c r="S92" s="131">
        <f t="shared" si="14"/>
        <v>5</v>
      </c>
      <c r="T92" s="7" t="s">
        <v>947</v>
      </c>
      <c r="U92" s="7" t="s">
        <v>260</v>
      </c>
      <c r="V92" s="7"/>
      <c r="W92" s="7">
        <v>0</v>
      </c>
      <c r="X92" s="132">
        <f t="shared" si="12"/>
        <v>10</v>
      </c>
      <c r="Y92" s="133"/>
      <c r="Z92" s="133"/>
      <c r="AA92" s="133"/>
    </row>
    <row r="93" spans="1:27" hidden="1" x14ac:dyDescent="0.25">
      <c r="A93" s="127">
        <v>97</v>
      </c>
      <c r="B93" s="128" t="str">
        <f t="shared" si="13"/>
        <v>YGQT</v>
      </c>
      <c r="C93" s="128" t="str">
        <f>+VLOOKUP(U93,Ходим!A:B,2,0)</f>
        <v>52010015950028</v>
      </c>
      <c r="D93" s="128" t="str">
        <f>IFERROR(VLOOKUP($B:$B,[20]свод!$A:$AB,3,0)," ")</f>
        <v>Янгиқўрғон тумани</v>
      </c>
      <c r="E93" s="7" t="s">
        <v>1238</v>
      </c>
      <c r="F93" s="7" t="s">
        <v>7642</v>
      </c>
      <c r="G93" s="134">
        <f t="shared" si="16"/>
        <v>1</v>
      </c>
      <c r="H93" s="134" t="str">
        <f t="shared" si="17"/>
        <v/>
      </c>
      <c r="I93" s="7" t="s">
        <v>158</v>
      </c>
      <c r="J93" s="7" t="s">
        <v>1</v>
      </c>
      <c r="K93" s="7"/>
      <c r="L93" s="7" t="s">
        <v>167</v>
      </c>
      <c r="M93" s="7" t="s">
        <v>4315</v>
      </c>
      <c r="N93" s="7" t="s">
        <v>170</v>
      </c>
      <c r="O93" s="7" t="s">
        <v>162</v>
      </c>
      <c r="P93" s="7" t="s">
        <v>6348</v>
      </c>
      <c r="Q93" s="129">
        <v>46199</v>
      </c>
      <c r="R93" s="130">
        <f t="shared" si="15"/>
        <v>46204</v>
      </c>
      <c r="S93" s="131">
        <f t="shared" si="14"/>
        <v>5</v>
      </c>
      <c r="T93" s="7" t="s">
        <v>255</v>
      </c>
      <c r="U93" s="7" t="s">
        <v>391</v>
      </c>
      <c r="V93" s="7"/>
      <c r="W93" s="7">
        <v>24</v>
      </c>
      <c r="X93" s="132">
        <f t="shared" si="12"/>
        <v>10</v>
      </c>
      <c r="Y93" s="133"/>
      <c r="Z93" s="133"/>
      <c r="AA93" s="133"/>
    </row>
    <row r="94" spans="1:27" hidden="1" x14ac:dyDescent="0.25">
      <c r="A94" s="127">
        <v>98</v>
      </c>
      <c r="B94" s="128" t="str">
        <f t="shared" si="13"/>
        <v>NAMS</v>
      </c>
      <c r="C94" s="128" t="str">
        <f>+VLOOKUP(U94,Ходим!A:B,2,0)</f>
        <v>33012942170121</v>
      </c>
      <c r="D94" s="128" t="str">
        <f>IFERROR(VLOOKUP($B:$B,[20]свод!$A:$AB,3,0)," ")</f>
        <v>Наманган шаҳар</v>
      </c>
      <c r="E94" s="7" t="s">
        <v>1239</v>
      </c>
      <c r="F94" s="7" t="s">
        <v>7643</v>
      </c>
      <c r="G94" s="134">
        <f t="shared" si="16"/>
        <v>1</v>
      </c>
      <c r="H94" s="134" t="str">
        <f t="shared" si="17"/>
        <v/>
      </c>
      <c r="I94" s="7" t="s">
        <v>154</v>
      </c>
      <c r="J94" s="7" t="s">
        <v>2</v>
      </c>
      <c r="K94" s="7"/>
      <c r="L94" s="7" t="s">
        <v>167</v>
      </c>
      <c r="M94" s="7" t="s">
        <v>4316</v>
      </c>
      <c r="N94" s="7" t="s">
        <v>170</v>
      </c>
      <c r="O94" s="7" t="s">
        <v>162</v>
      </c>
      <c r="P94" s="7" t="s">
        <v>6348</v>
      </c>
      <c r="Q94" s="129">
        <v>46199</v>
      </c>
      <c r="R94" s="130">
        <f t="shared" si="15"/>
        <v>46204</v>
      </c>
      <c r="S94" s="131">
        <f t="shared" si="14"/>
        <v>5</v>
      </c>
      <c r="T94" s="7" t="s">
        <v>173</v>
      </c>
      <c r="U94" s="7" t="s">
        <v>259</v>
      </c>
      <c r="V94" s="7"/>
      <c r="W94" s="7">
        <v>473.34</v>
      </c>
      <c r="X94" s="132">
        <f t="shared" si="12"/>
        <v>10</v>
      </c>
      <c r="Y94" s="133"/>
      <c r="Z94" s="133"/>
      <c r="AA94" s="133"/>
    </row>
    <row r="95" spans="1:27" hidden="1" x14ac:dyDescent="0.25">
      <c r="A95" s="127">
        <v>99</v>
      </c>
      <c r="B95" s="128" t="str">
        <f t="shared" si="13"/>
        <v>UYCT</v>
      </c>
      <c r="C95" s="128" t="str">
        <f>+VLOOKUP(U95,Ходим!A:B,2,0)</f>
        <v>52811025930077</v>
      </c>
      <c r="D95" s="128" t="str">
        <f>IFERROR(VLOOKUP($B:$B,[20]свод!$A:$AB,3,0)," ")</f>
        <v>Уйчи тумани</v>
      </c>
      <c r="E95" s="7" t="s">
        <v>1240</v>
      </c>
      <c r="F95" s="7" t="s">
        <v>7644</v>
      </c>
      <c r="G95" s="134">
        <f t="shared" si="16"/>
        <v>1</v>
      </c>
      <c r="H95" s="134" t="str">
        <f t="shared" si="17"/>
        <v/>
      </c>
      <c r="I95" s="7" t="s">
        <v>158</v>
      </c>
      <c r="J95" s="7" t="s">
        <v>2</v>
      </c>
      <c r="K95" s="7"/>
      <c r="L95" s="7" t="s">
        <v>167</v>
      </c>
      <c r="M95" s="7" t="s">
        <v>4317</v>
      </c>
      <c r="N95" s="7" t="s">
        <v>410</v>
      </c>
      <c r="O95" s="7" t="s">
        <v>162</v>
      </c>
      <c r="P95" s="7" t="s">
        <v>6348</v>
      </c>
      <c r="Q95" s="129">
        <v>46199</v>
      </c>
      <c r="R95" s="130">
        <f t="shared" si="15"/>
        <v>46204</v>
      </c>
      <c r="S95" s="131">
        <f t="shared" si="14"/>
        <v>5</v>
      </c>
      <c r="T95" s="7" t="s">
        <v>947</v>
      </c>
      <c r="U95" s="7" t="s">
        <v>356</v>
      </c>
      <c r="V95" s="7"/>
      <c r="W95" s="7">
        <v>0</v>
      </c>
      <c r="X95" s="132">
        <f t="shared" si="12"/>
        <v>10</v>
      </c>
      <c r="Y95" s="133"/>
      <c r="Z95" s="133"/>
      <c r="AA95" s="133"/>
    </row>
    <row r="96" spans="1:27" hidden="1" x14ac:dyDescent="0.25">
      <c r="A96" s="127">
        <v>100</v>
      </c>
      <c r="B96" s="128" t="str">
        <f t="shared" si="13"/>
        <v>CHUT</v>
      </c>
      <c r="C96" s="128" t="str">
        <f>+VLOOKUP(U96,Ходим!A:B,2,0)</f>
        <v>33112995970023</v>
      </c>
      <c r="D96" s="128" t="str">
        <f>IFERROR(VLOOKUP($B:$B,[20]свод!$A:$AB,3,0)," ")</f>
        <v>Чуст тумани</v>
      </c>
      <c r="E96" s="7" t="s">
        <v>1241</v>
      </c>
      <c r="F96" s="7" t="s">
        <v>7645</v>
      </c>
      <c r="G96" s="134">
        <f t="shared" si="16"/>
        <v>1</v>
      </c>
      <c r="H96" s="134" t="str">
        <f t="shared" si="17"/>
        <v/>
      </c>
      <c r="I96" s="7" t="s">
        <v>156</v>
      </c>
      <c r="J96" s="7" t="s">
        <v>25</v>
      </c>
      <c r="K96" s="7"/>
      <c r="L96" s="7"/>
      <c r="M96" s="7"/>
      <c r="N96" s="7" t="s">
        <v>170</v>
      </c>
      <c r="O96" s="7" t="s">
        <v>162</v>
      </c>
      <c r="P96" s="7" t="s">
        <v>6303</v>
      </c>
      <c r="Q96" s="129">
        <v>46199</v>
      </c>
      <c r="R96" s="130">
        <f t="shared" si="15"/>
        <v>46204</v>
      </c>
      <c r="S96" s="131">
        <f t="shared" si="14"/>
        <v>5</v>
      </c>
      <c r="T96" s="7" t="s">
        <v>178</v>
      </c>
      <c r="U96" s="7" t="s">
        <v>179</v>
      </c>
      <c r="V96" s="7"/>
      <c r="W96" s="7"/>
      <c r="X96" s="132">
        <f t="shared" si="12"/>
        <v>10</v>
      </c>
      <c r="Y96" s="133"/>
      <c r="Z96" s="133"/>
      <c r="AA96" s="133"/>
    </row>
    <row r="97" spans="1:27" hidden="1" x14ac:dyDescent="0.25">
      <c r="A97" s="127">
        <v>101</v>
      </c>
      <c r="B97" s="128" t="str">
        <f t="shared" si="13"/>
        <v>TORT</v>
      </c>
      <c r="C97" s="128" t="str">
        <f>+VLOOKUP(U97,Ходим!A:B,2,0)</f>
        <v>52603025920015</v>
      </c>
      <c r="D97" s="128" t="str">
        <f>IFERROR(VLOOKUP($B:$B,[20]свод!$A:$AB,3,0)," ")</f>
        <v>Тўрақўрғон тумани</v>
      </c>
      <c r="E97" s="7" t="s">
        <v>1242</v>
      </c>
      <c r="F97" s="7" t="s">
        <v>7646</v>
      </c>
      <c r="G97" s="134">
        <f t="shared" si="16"/>
        <v>1</v>
      </c>
      <c r="H97" s="134" t="str">
        <f t="shared" si="17"/>
        <v/>
      </c>
      <c r="I97" s="7" t="s">
        <v>158</v>
      </c>
      <c r="J97" s="7" t="s">
        <v>2</v>
      </c>
      <c r="K97" s="7"/>
      <c r="L97" s="7" t="s">
        <v>167</v>
      </c>
      <c r="M97" s="7" t="s">
        <v>4318</v>
      </c>
      <c r="N97" s="7" t="s">
        <v>170</v>
      </c>
      <c r="O97" s="7" t="s">
        <v>163</v>
      </c>
      <c r="P97" s="7" t="s">
        <v>6289</v>
      </c>
      <c r="Q97" s="129">
        <v>46199</v>
      </c>
      <c r="R97" s="130">
        <f t="shared" si="15"/>
        <v>46210</v>
      </c>
      <c r="S97" s="131">
        <f t="shared" si="14"/>
        <v>11</v>
      </c>
      <c r="T97" s="7" t="s">
        <v>203</v>
      </c>
      <c r="U97" s="7" t="s">
        <v>374</v>
      </c>
      <c r="V97" s="7"/>
      <c r="W97" s="7">
        <v>296.77</v>
      </c>
      <c r="X97" s="132">
        <f t="shared" si="12"/>
        <v>10</v>
      </c>
      <c r="Y97" s="133"/>
      <c r="Z97" s="133"/>
      <c r="AA97" s="133"/>
    </row>
    <row r="98" spans="1:27" hidden="1" x14ac:dyDescent="0.25">
      <c r="A98" s="127">
        <v>102</v>
      </c>
      <c r="B98" s="128" t="str">
        <f t="shared" si="13"/>
        <v>UYCT</v>
      </c>
      <c r="C98" s="128" t="str">
        <f>+VLOOKUP(U98,Ходим!A:B,2,0)</f>
        <v>50304035930044</v>
      </c>
      <c r="D98" s="128" t="str">
        <f>IFERROR(VLOOKUP($B:$B,[20]свод!$A:$AB,3,0)," ")</f>
        <v>Уйчи тумани</v>
      </c>
      <c r="E98" s="7" t="s">
        <v>1243</v>
      </c>
      <c r="F98" s="7" t="s">
        <v>7647</v>
      </c>
      <c r="G98" s="134">
        <f t="shared" si="16"/>
        <v>1</v>
      </c>
      <c r="H98" s="134" t="str">
        <f t="shared" si="17"/>
        <v/>
      </c>
      <c r="I98" s="7" t="s">
        <v>158</v>
      </c>
      <c r="J98" s="7" t="s">
        <v>2</v>
      </c>
      <c r="K98" s="7"/>
      <c r="L98" s="7" t="s">
        <v>167</v>
      </c>
      <c r="M98" s="7" t="s">
        <v>4319</v>
      </c>
      <c r="N98" s="7" t="s">
        <v>170</v>
      </c>
      <c r="O98" s="7" t="s">
        <v>162</v>
      </c>
      <c r="P98" s="7" t="s">
        <v>6349</v>
      </c>
      <c r="Q98" s="129">
        <v>46199</v>
      </c>
      <c r="R98" s="130">
        <f t="shared" si="15"/>
        <v>46204</v>
      </c>
      <c r="S98" s="131">
        <f t="shared" si="14"/>
        <v>5</v>
      </c>
      <c r="T98" s="7" t="s">
        <v>947</v>
      </c>
      <c r="U98" s="7" t="s">
        <v>956</v>
      </c>
      <c r="V98" s="7"/>
      <c r="W98" s="7">
        <v>675.2</v>
      </c>
      <c r="X98" s="132">
        <f t="shared" si="12"/>
        <v>10</v>
      </c>
      <c r="Y98" s="133"/>
      <c r="Z98" s="133"/>
      <c r="AA98" s="133"/>
    </row>
    <row r="99" spans="1:27" hidden="1" x14ac:dyDescent="0.25">
      <c r="A99" s="127">
        <v>103</v>
      </c>
      <c r="B99" s="128" t="str">
        <f t="shared" si="13"/>
        <v>NAMT</v>
      </c>
      <c r="C99" s="128" t="str">
        <f>+VLOOKUP(U99,Ходим!A:B,2,0)</f>
        <v>31205812090050</v>
      </c>
      <c r="D99" s="128" t="str">
        <f>IFERROR(VLOOKUP($B:$B,[20]свод!$A:$AB,3,0)," ")</f>
        <v>Наманган тумани</v>
      </c>
      <c r="E99" s="7" t="s">
        <v>1244</v>
      </c>
      <c r="F99" s="7" t="s">
        <v>7648</v>
      </c>
      <c r="G99" s="134">
        <f t="shared" si="16"/>
        <v>1</v>
      </c>
      <c r="H99" s="134" t="str">
        <f t="shared" si="17"/>
        <v/>
      </c>
      <c r="I99" s="7" t="s">
        <v>158</v>
      </c>
      <c r="J99" s="7" t="s">
        <v>2</v>
      </c>
      <c r="K99" s="7"/>
      <c r="L99" s="7" t="s">
        <v>167</v>
      </c>
      <c r="M99" s="7" t="s">
        <v>4320</v>
      </c>
      <c r="N99" s="7" t="s">
        <v>170</v>
      </c>
      <c r="O99" s="7" t="s">
        <v>162</v>
      </c>
      <c r="P99" s="7" t="s">
        <v>6350</v>
      </c>
      <c r="Q99" s="129">
        <v>46199</v>
      </c>
      <c r="R99" s="130">
        <f t="shared" si="15"/>
        <v>46204</v>
      </c>
      <c r="S99" s="131">
        <f t="shared" si="14"/>
        <v>5</v>
      </c>
      <c r="T99" s="7" t="s">
        <v>193</v>
      </c>
      <c r="U99" s="7" t="s">
        <v>346</v>
      </c>
      <c r="V99" s="7"/>
      <c r="W99" s="7">
        <v>183</v>
      </c>
      <c r="X99" s="132">
        <f t="shared" si="12"/>
        <v>10</v>
      </c>
      <c r="Y99" s="133"/>
      <c r="Z99" s="133"/>
      <c r="AA99" s="133"/>
    </row>
    <row r="100" spans="1:27" hidden="1" x14ac:dyDescent="0.25">
      <c r="A100" s="127">
        <v>104</v>
      </c>
      <c r="B100" s="128" t="str">
        <f t="shared" si="13"/>
        <v>CHUT</v>
      </c>
      <c r="C100" s="128" t="str">
        <f>+VLOOKUP(U100,Ходим!A:B,2,0)</f>
        <v>31910975970049</v>
      </c>
      <c r="D100" s="128" t="str">
        <f>IFERROR(VLOOKUP($B:$B,[20]свод!$A:$AB,3,0)," ")</f>
        <v>Чуст тумани</v>
      </c>
      <c r="E100" s="7" t="s">
        <v>1245</v>
      </c>
      <c r="F100" s="7" t="s">
        <v>7649</v>
      </c>
      <c r="G100" s="134">
        <f t="shared" si="16"/>
        <v>1</v>
      </c>
      <c r="H100" s="134" t="str">
        <f t="shared" si="17"/>
        <v/>
      </c>
      <c r="I100" s="7" t="s">
        <v>158</v>
      </c>
      <c r="J100" s="7" t="s">
        <v>172</v>
      </c>
      <c r="K100" s="7"/>
      <c r="L100" s="7" t="s">
        <v>167</v>
      </c>
      <c r="M100" s="7" t="s">
        <v>4321</v>
      </c>
      <c r="N100" s="7" t="s">
        <v>170</v>
      </c>
      <c r="O100" s="7" t="s">
        <v>163</v>
      </c>
      <c r="P100" s="7" t="s">
        <v>6351</v>
      </c>
      <c r="Q100" s="129">
        <v>46199</v>
      </c>
      <c r="R100" s="130">
        <f t="shared" si="15"/>
        <v>46204</v>
      </c>
      <c r="S100" s="131">
        <f t="shared" si="14"/>
        <v>5</v>
      </c>
      <c r="T100" s="7" t="s">
        <v>178</v>
      </c>
      <c r="U100" s="7" t="s">
        <v>352</v>
      </c>
      <c r="V100" s="7"/>
      <c r="W100" s="7">
        <v>372.29</v>
      </c>
      <c r="X100" s="132">
        <f t="shared" si="12"/>
        <v>10</v>
      </c>
      <c r="Y100" s="133"/>
      <c r="Z100" s="133"/>
      <c r="AA100" s="133"/>
    </row>
    <row r="101" spans="1:27" hidden="1" x14ac:dyDescent="0.25">
      <c r="A101" s="127">
        <v>105</v>
      </c>
      <c r="B101" s="128" t="str">
        <f t="shared" si="13"/>
        <v>NAMS</v>
      </c>
      <c r="C101" s="128" t="str">
        <f>+VLOOKUP(U101,Ходим!A:B,2,0)</f>
        <v>52407055960122</v>
      </c>
      <c r="D101" s="128" t="str">
        <f>IFERROR(VLOOKUP($B:$B,[20]свод!$A:$AB,3,0)," ")</f>
        <v>Наманган шаҳар</v>
      </c>
      <c r="E101" s="7" t="s">
        <v>1246</v>
      </c>
      <c r="F101" s="7" t="s">
        <v>7650</v>
      </c>
      <c r="G101" s="134">
        <f t="shared" si="16"/>
        <v>1</v>
      </c>
      <c r="H101" s="134" t="str">
        <f t="shared" si="17"/>
        <v/>
      </c>
      <c r="I101" s="7" t="s">
        <v>156</v>
      </c>
      <c r="J101" s="7" t="s">
        <v>25</v>
      </c>
      <c r="K101" s="7"/>
      <c r="L101" s="7" t="s">
        <v>167</v>
      </c>
      <c r="M101" s="7" t="s">
        <v>4322</v>
      </c>
      <c r="N101" s="7" t="s">
        <v>170</v>
      </c>
      <c r="O101" s="7" t="s">
        <v>162</v>
      </c>
      <c r="P101" s="7" t="s">
        <v>6352</v>
      </c>
      <c r="Q101" s="129">
        <v>46199</v>
      </c>
      <c r="R101" s="130">
        <f t="shared" si="15"/>
        <v>46204</v>
      </c>
      <c r="S101" s="131">
        <f t="shared" si="14"/>
        <v>5</v>
      </c>
      <c r="T101" s="7" t="s">
        <v>173</v>
      </c>
      <c r="U101" s="7" t="s">
        <v>345</v>
      </c>
      <c r="V101" s="7"/>
      <c r="W101" s="7">
        <v>0</v>
      </c>
      <c r="X101" s="132">
        <f t="shared" si="12"/>
        <v>10</v>
      </c>
      <c r="Y101" s="133"/>
      <c r="Z101" s="133"/>
      <c r="AA101" s="133"/>
    </row>
    <row r="102" spans="1:27" hidden="1" x14ac:dyDescent="0.25">
      <c r="A102" s="127">
        <v>106</v>
      </c>
      <c r="B102" s="128" t="str">
        <f t="shared" si="13"/>
        <v>CHUT</v>
      </c>
      <c r="C102" s="128" t="str">
        <f>+VLOOKUP(U102,Ходим!A:B,2,0)</f>
        <v>32511965970037</v>
      </c>
      <c r="D102" s="128" t="str">
        <f>IFERROR(VLOOKUP($B:$B,[20]свод!$A:$AB,3,0)," ")</f>
        <v>Чуст тумани</v>
      </c>
      <c r="E102" s="7" t="s">
        <v>1247</v>
      </c>
      <c r="F102" s="7" t="s">
        <v>7651</v>
      </c>
      <c r="G102" s="134">
        <f t="shared" si="16"/>
        <v>1</v>
      </c>
      <c r="H102" s="134" t="str">
        <f t="shared" si="17"/>
        <v/>
      </c>
      <c r="I102" s="7" t="s">
        <v>156</v>
      </c>
      <c r="J102" s="7" t="s">
        <v>22</v>
      </c>
      <c r="K102" s="7"/>
      <c r="L102" s="7"/>
      <c r="M102" s="7"/>
      <c r="N102" s="7" t="s">
        <v>410</v>
      </c>
      <c r="O102" s="7" t="s">
        <v>162</v>
      </c>
      <c r="P102" s="7" t="s">
        <v>6292</v>
      </c>
      <c r="Q102" s="129">
        <v>46199</v>
      </c>
      <c r="R102" s="130">
        <f t="shared" si="15"/>
        <v>46210</v>
      </c>
      <c r="S102" s="131">
        <f t="shared" si="14"/>
        <v>11</v>
      </c>
      <c r="T102" s="7" t="s">
        <v>178</v>
      </c>
      <c r="U102" s="7" t="s">
        <v>351</v>
      </c>
      <c r="V102" s="7"/>
      <c r="W102" s="7"/>
      <c r="X102" s="132">
        <f t="shared" si="12"/>
        <v>10</v>
      </c>
      <c r="Y102" s="133"/>
      <c r="Z102" s="133"/>
      <c r="AA102" s="133"/>
    </row>
    <row r="103" spans="1:27" hidden="1" x14ac:dyDescent="0.25">
      <c r="A103" s="127">
        <v>107</v>
      </c>
      <c r="B103" s="128" t="str">
        <f t="shared" si="13"/>
        <v>NAMS</v>
      </c>
      <c r="C103" s="128" t="str">
        <f>+VLOOKUP(U103,Ходим!A:B,2,0)</f>
        <v>33012942170121</v>
      </c>
      <c r="D103" s="128" t="str">
        <f>IFERROR(VLOOKUP($B:$B,[20]свод!$A:$AB,3,0)," ")</f>
        <v>Наманган шаҳар</v>
      </c>
      <c r="E103" s="7" t="s">
        <v>1248</v>
      </c>
      <c r="F103" s="7" t="s">
        <v>7652</v>
      </c>
      <c r="G103" s="134">
        <f t="shared" si="16"/>
        <v>1</v>
      </c>
      <c r="H103" s="134" t="str">
        <f t="shared" si="17"/>
        <v/>
      </c>
      <c r="I103" s="7" t="s">
        <v>158</v>
      </c>
      <c r="J103" s="7" t="s">
        <v>2</v>
      </c>
      <c r="K103" s="7"/>
      <c r="L103" s="7"/>
      <c r="M103" s="7"/>
      <c r="N103" s="7" t="s">
        <v>170</v>
      </c>
      <c r="O103" s="7" t="s">
        <v>162</v>
      </c>
      <c r="P103" s="7" t="s">
        <v>6353</v>
      </c>
      <c r="Q103" s="129">
        <v>46199</v>
      </c>
      <c r="R103" s="130">
        <f t="shared" si="15"/>
        <v>46204</v>
      </c>
      <c r="S103" s="131">
        <f t="shared" si="14"/>
        <v>5</v>
      </c>
      <c r="T103" s="7" t="s">
        <v>173</v>
      </c>
      <c r="U103" s="7" t="s">
        <v>259</v>
      </c>
      <c r="V103" s="7"/>
      <c r="W103" s="7"/>
      <c r="X103" s="132">
        <f t="shared" si="12"/>
        <v>10</v>
      </c>
      <c r="Y103" s="133"/>
      <c r="Z103" s="133"/>
      <c r="AA103" s="133"/>
    </row>
    <row r="104" spans="1:27" hidden="1" x14ac:dyDescent="0.25">
      <c r="A104" s="127">
        <v>108</v>
      </c>
      <c r="B104" s="128" t="str">
        <f t="shared" si="13"/>
        <v>NAMS</v>
      </c>
      <c r="C104" s="128" t="str">
        <f>+VLOOKUP(U104,Ходим!A:B,2,0)</f>
        <v>51911035960011</v>
      </c>
      <c r="D104" s="128" t="str">
        <f>IFERROR(VLOOKUP($B:$B,[20]свод!$A:$AB,3,0)," ")</f>
        <v>Наманган шаҳар</v>
      </c>
      <c r="E104" s="7" t="s">
        <v>1249</v>
      </c>
      <c r="F104" s="7" t="s">
        <v>7653</v>
      </c>
      <c r="G104" s="134">
        <f t="shared" si="16"/>
        <v>1</v>
      </c>
      <c r="H104" s="134" t="str">
        <f t="shared" si="17"/>
        <v/>
      </c>
      <c r="I104" s="7" t="s">
        <v>158</v>
      </c>
      <c r="J104" s="7" t="s">
        <v>2</v>
      </c>
      <c r="K104" s="7"/>
      <c r="L104" s="7"/>
      <c r="M104" s="7"/>
      <c r="N104" s="7" t="s">
        <v>170</v>
      </c>
      <c r="O104" s="7" t="s">
        <v>162</v>
      </c>
      <c r="P104" s="7" t="s">
        <v>6354</v>
      </c>
      <c r="Q104" s="129">
        <v>46199</v>
      </c>
      <c r="R104" s="130">
        <f t="shared" si="15"/>
        <v>46204</v>
      </c>
      <c r="S104" s="131">
        <f t="shared" si="14"/>
        <v>5</v>
      </c>
      <c r="T104" s="7" t="s">
        <v>173</v>
      </c>
      <c r="U104" s="7" t="s">
        <v>371</v>
      </c>
      <c r="V104" s="7"/>
      <c r="W104" s="7"/>
      <c r="X104" s="132">
        <f t="shared" si="12"/>
        <v>10</v>
      </c>
      <c r="Y104" s="133"/>
      <c r="Z104" s="133"/>
      <c r="AA104" s="133"/>
    </row>
    <row r="105" spans="1:27" hidden="1" x14ac:dyDescent="0.25">
      <c r="A105" s="127">
        <v>109</v>
      </c>
      <c r="B105" s="128" t="str">
        <f t="shared" si="13"/>
        <v>NORT</v>
      </c>
      <c r="C105" s="128" t="str">
        <f>+VLOOKUP(U105,Ходим!A:B,2,0)</f>
        <v>32103985900068</v>
      </c>
      <c r="D105" s="128" t="str">
        <f>IFERROR(VLOOKUP($B:$B,[20]свод!$A:$AB,3,0)," ")</f>
        <v>Норин тумани</v>
      </c>
      <c r="E105" s="7" t="s">
        <v>1250</v>
      </c>
      <c r="F105" s="7" t="s">
        <v>7654</v>
      </c>
      <c r="G105" s="134">
        <f t="shared" si="16"/>
        <v>1</v>
      </c>
      <c r="H105" s="134" t="str">
        <f t="shared" si="17"/>
        <v/>
      </c>
      <c r="I105" s="7" t="s">
        <v>158</v>
      </c>
      <c r="J105" s="7" t="s">
        <v>2</v>
      </c>
      <c r="K105" s="7"/>
      <c r="L105" s="7"/>
      <c r="M105" s="7"/>
      <c r="N105" s="7" t="s">
        <v>170</v>
      </c>
      <c r="O105" s="7" t="s">
        <v>162</v>
      </c>
      <c r="P105" s="7" t="s">
        <v>6355</v>
      </c>
      <c r="Q105" s="129">
        <v>46199</v>
      </c>
      <c r="R105" s="130">
        <f t="shared" si="15"/>
        <v>46204</v>
      </c>
      <c r="S105" s="131">
        <f t="shared" si="14"/>
        <v>5</v>
      </c>
      <c r="T105" s="7" t="s">
        <v>210</v>
      </c>
      <c r="U105" s="7" t="s">
        <v>327</v>
      </c>
      <c r="V105" s="7"/>
      <c r="W105" s="7"/>
      <c r="X105" s="132">
        <f t="shared" si="12"/>
        <v>10</v>
      </c>
      <c r="Y105" s="133"/>
      <c r="Z105" s="133"/>
      <c r="AA105" s="133"/>
    </row>
    <row r="106" spans="1:27" hidden="1" x14ac:dyDescent="0.25">
      <c r="A106" s="127">
        <v>110</v>
      </c>
      <c r="B106" s="128" t="str">
        <f t="shared" si="13"/>
        <v>POPT</v>
      </c>
      <c r="C106" s="128" t="str">
        <f>+VLOOKUP(U106,Ходим!A:B,2,0)</f>
        <v>32901912210017</v>
      </c>
      <c r="D106" s="128" t="str">
        <f>IFERROR(VLOOKUP($B:$B,[20]свод!$A:$AB,3,0)," ")</f>
        <v>Поп тумани</v>
      </c>
      <c r="E106" s="7" t="s">
        <v>1251</v>
      </c>
      <c r="F106" s="7" t="s">
        <v>7655</v>
      </c>
      <c r="G106" s="134">
        <f t="shared" si="16"/>
        <v>1</v>
      </c>
      <c r="H106" s="134" t="str">
        <f t="shared" si="17"/>
        <v/>
      </c>
      <c r="I106" s="7" t="s">
        <v>158</v>
      </c>
      <c r="J106" s="7" t="s">
        <v>2</v>
      </c>
      <c r="K106" s="7"/>
      <c r="L106" s="7" t="s">
        <v>167</v>
      </c>
      <c r="M106" s="7" t="s">
        <v>4323</v>
      </c>
      <c r="N106" s="7" t="s">
        <v>170</v>
      </c>
      <c r="O106" s="7" t="s">
        <v>162</v>
      </c>
      <c r="P106" s="7" t="s">
        <v>6290</v>
      </c>
      <c r="Q106" s="129">
        <v>46199</v>
      </c>
      <c r="R106" s="130">
        <f t="shared" si="15"/>
        <v>46204</v>
      </c>
      <c r="S106" s="131">
        <f t="shared" si="14"/>
        <v>5</v>
      </c>
      <c r="T106" s="7" t="s">
        <v>214</v>
      </c>
      <c r="U106" s="7" t="s">
        <v>215</v>
      </c>
      <c r="V106" s="7"/>
      <c r="W106" s="7">
        <v>119.85</v>
      </c>
      <c r="X106" s="132">
        <f t="shared" si="12"/>
        <v>10</v>
      </c>
      <c r="Y106" s="133"/>
      <c r="Z106" s="133"/>
      <c r="AA106" s="133"/>
    </row>
    <row r="107" spans="1:27" hidden="1" x14ac:dyDescent="0.25">
      <c r="A107" s="127">
        <v>111</v>
      </c>
      <c r="B107" s="128" t="str">
        <f t="shared" si="13"/>
        <v>POPT</v>
      </c>
      <c r="C107" s="128" t="str">
        <f>+VLOOKUP(U107,Ходим!A:B,2,0)</f>
        <v>31710772120029</v>
      </c>
      <c r="D107" s="128" t="str">
        <f>IFERROR(VLOOKUP($B:$B,[20]свод!$A:$AB,3,0)," ")</f>
        <v>Поп тумани</v>
      </c>
      <c r="E107" s="7" t="s">
        <v>1252</v>
      </c>
      <c r="F107" s="7" t="s">
        <v>7656</v>
      </c>
      <c r="G107" s="134">
        <f t="shared" si="16"/>
        <v>1</v>
      </c>
      <c r="H107" s="134" t="str">
        <f t="shared" si="17"/>
        <v/>
      </c>
      <c r="I107" s="7" t="s">
        <v>156</v>
      </c>
      <c r="J107" s="7" t="s">
        <v>11</v>
      </c>
      <c r="K107" s="7"/>
      <c r="L107" s="7"/>
      <c r="M107" s="7"/>
      <c r="N107" s="7" t="s">
        <v>170</v>
      </c>
      <c r="O107" s="7" t="s">
        <v>162</v>
      </c>
      <c r="P107" s="7" t="s">
        <v>6320</v>
      </c>
      <c r="Q107" s="129">
        <v>46199</v>
      </c>
      <c r="R107" s="130">
        <f t="shared" si="15"/>
        <v>46204</v>
      </c>
      <c r="S107" s="131">
        <f t="shared" si="14"/>
        <v>5</v>
      </c>
      <c r="T107" s="7" t="s">
        <v>214</v>
      </c>
      <c r="U107" s="7" t="s">
        <v>357</v>
      </c>
      <c r="V107" s="7"/>
      <c r="W107" s="7"/>
      <c r="X107" s="132">
        <f t="shared" si="12"/>
        <v>10</v>
      </c>
      <c r="Y107" s="133"/>
      <c r="Z107" s="133"/>
      <c r="AA107" s="133"/>
    </row>
    <row r="108" spans="1:27" hidden="1" x14ac:dyDescent="0.25">
      <c r="A108" s="127">
        <v>112</v>
      </c>
      <c r="B108" s="128" t="str">
        <f t="shared" si="13"/>
        <v>YGQT</v>
      </c>
      <c r="C108" s="128" t="str">
        <f>+VLOOKUP(U108,Ходим!A:B,2,0)</f>
        <v>52010015950028</v>
      </c>
      <c r="D108" s="128" t="str">
        <f>IFERROR(VLOOKUP($B:$B,[20]свод!$A:$AB,3,0)," ")</f>
        <v>Янгиқўрғон тумани</v>
      </c>
      <c r="E108" s="7" t="s">
        <v>1253</v>
      </c>
      <c r="F108" s="7" t="s">
        <v>7657</v>
      </c>
      <c r="G108" s="134">
        <f t="shared" si="16"/>
        <v>1</v>
      </c>
      <c r="H108" s="134" t="str">
        <f t="shared" si="17"/>
        <v/>
      </c>
      <c r="I108" s="7" t="s">
        <v>158</v>
      </c>
      <c r="J108" s="7" t="s">
        <v>172</v>
      </c>
      <c r="K108" s="7"/>
      <c r="L108" s="7"/>
      <c r="M108" s="7"/>
      <c r="N108" s="7" t="s">
        <v>410</v>
      </c>
      <c r="O108" s="7" t="s">
        <v>162</v>
      </c>
      <c r="P108" s="7" t="s">
        <v>6356</v>
      </c>
      <c r="Q108" s="129">
        <v>46199</v>
      </c>
      <c r="R108" s="130">
        <f t="shared" si="15"/>
        <v>46210</v>
      </c>
      <c r="S108" s="131">
        <f t="shared" si="14"/>
        <v>11</v>
      </c>
      <c r="T108" s="7" t="s">
        <v>182</v>
      </c>
      <c r="U108" s="7" t="s">
        <v>391</v>
      </c>
      <c r="V108" s="7"/>
      <c r="W108" s="7"/>
      <c r="X108" s="132">
        <f t="shared" ref="X108:X165" si="18">IF(N108="Kadastr muhandisi",3,
IF(N108="UZKAD",5,
IF(V108="FREE",5,
IF(I108="Registratsiya (tashqi - UZKAD da bor)",1,
IF(I108="Avtoyo'l va suv xo'jaligi obyektining kadastr pasportini shakllantirish va ro'yxatga olish",7,
IF(I108="Notarius uchun ma'lumotnoma (uz)",1,
IF(I108="Qurilishi tugallangan ko'chmas mulkni foydalanishga qabul qilish",10,
IF(OR(I108="Turar joy obyektning kadastr pasportini shakllantirish va davlat ro'yxatidan o'tkazish",I108="Turar kompozit"),
IF(L108="Turar yer maydoni",7,10),
IF(OR(I108="Noturar obyektning kadastr pasportini shakllantirish va davlat ro'yxatidan o'tkazish",I108="Noturar kompozit"),
IF(O108="Ko‘p yillik daraxtlar xizmati",15,
IF(OR(L108="Noturar yer maydoni",L108="Davlat tashkilotlaridan ijaraga olingan yer uchastkasi"),7,
IF(W108&lt;100,10,IF(W108&lt;=1000,12,IF(W108&lt;=5000,17,IF(W108&lt;=15000,22,IF(W108&lt;=50000,28,37))))))),
IF(I108="Umumiy foydalanishdagi ko'chmas mulk qismini yaratish",
IF(IF(TRIM(L108)="",IF(OR(O108="Turar joy xizmati",O108="Yakka tartibdagi turar joy"),"Turar","Noturar"),IF(OR(L108="Yakka tartibdagi turar joy",L108="Turar joy xizmati"),"Turar","Noturar"))="Turar",
10,IF(W108&lt;100,10,IF(W108&lt;=1000,12,IF(W108&lt;=5000,17,IF(W108&lt;=15000,22,IF(W108&lt;=50000,28,37)))))),
0))))))))))</f>
        <v>10</v>
      </c>
      <c r="Y108" s="133"/>
      <c r="Z108" s="133"/>
      <c r="AA108" s="133"/>
    </row>
    <row r="109" spans="1:27" hidden="1" x14ac:dyDescent="0.25">
      <c r="A109" s="127">
        <v>113</v>
      </c>
      <c r="B109" s="128" t="str">
        <f t="shared" ref="B109:B166" si="19">LEFT(E109,4)</f>
        <v>TORT</v>
      </c>
      <c r="C109" s="128" t="str">
        <f>+VLOOKUP(U109,Ходим!A:B,2,0)</f>
        <v>40302922130046</v>
      </c>
      <c r="D109" s="128" t="str">
        <f>IFERROR(VLOOKUP($B:$B,[20]свод!$A:$AB,3,0)," ")</f>
        <v>Тўрақўрғон тумани</v>
      </c>
      <c r="E109" s="7" t="s">
        <v>1254</v>
      </c>
      <c r="F109" s="7" t="s">
        <v>7658</v>
      </c>
      <c r="G109" s="134">
        <f t="shared" si="16"/>
        <v>1</v>
      </c>
      <c r="H109" s="134" t="str">
        <f t="shared" si="17"/>
        <v/>
      </c>
      <c r="I109" s="7" t="s">
        <v>158</v>
      </c>
      <c r="J109" s="7" t="s">
        <v>13</v>
      </c>
      <c r="K109" s="7"/>
      <c r="L109" s="7" t="s">
        <v>167</v>
      </c>
      <c r="M109" s="7" t="s">
        <v>1125</v>
      </c>
      <c r="N109" s="7" t="s">
        <v>170</v>
      </c>
      <c r="O109" s="7" t="s">
        <v>162</v>
      </c>
      <c r="P109" s="7" t="s">
        <v>6357</v>
      </c>
      <c r="Q109" s="129">
        <v>46199</v>
      </c>
      <c r="R109" s="130">
        <f t="shared" si="15"/>
        <v>46204</v>
      </c>
      <c r="S109" s="131">
        <f t="shared" ref="S109:S166" si="20">R109-Q109</f>
        <v>5</v>
      </c>
      <c r="T109" s="7" t="s">
        <v>203</v>
      </c>
      <c r="U109" s="7" t="s">
        <v>258</v>
      </c>
      <c r="V109" s="7"/>
      <c r="W109" s="7">
        <v>0</v>
      </c>
      <c r="X109" s="132">
        <f t="shared" si="18"/>
        <v>10</v>
      </c>
      <c r="Y109" s="133"/>
      <c r="Z109" s="133"/>
      <c r="AA109" s="133"/>
    </row>
    <row r="110" spans="1:27" hidden="1" x14ac:dyDescent="0.25">
      <c r="A110" s="127">
        <v>114</v>
      </c>
      <c r="B110" s="128" t="str">
        <f t="shared" si="19"/>
        <v>NAMT</v>
      </c>
      <c r="C110" s="128" t="str">
        <f>+VLOOKUP(U110,Ходим!A:B,2,0)</f>
        <v>32607902090019</v>
      </c>
      <c r="D110" s="128" t="str">
        <f>IFERROR(VLOOKUP($B:$B,[20]свод!$A:$AB,3,0)," ")</f>
        <v>Наманган тумани</v>
      </c>
      <c r="E110" s="7" t="s">
        <v>1255</v>
      </c>
      <c r="F110" s="7" t="s">
        <v>7659</v>
      </c>
      <c r="G110" s="134">
        <f t="shared" si="16"/>
        <v>1</v>
      </c>
      <c r="H110" s="134" t="str">
        <f t="shared" si="17"/>
        <v/>
      </c>
      <c r="I110" s="7" t="s">
        <v>158</v>
      </c>
      <c r="J110" s="7" t="s">
        <v>2</v>
      </c>
      <c r="K110" s="7"/>
      <c r="L110" s="7" t="s">
        <v>167</v>
      </c>
      <c r="M110" s="7" t="s">
        <v>4324</v>
      </c>
      <c r="N110" s="7" t="s">
        <v>170</v>
      </c>
      <c r="O110" s="7" t="s">
        <v>162</v>
      </c>
      <c r="P110" s="7" t="s">
        <v>6358</v>
      </c>
      <c r="Q110" s="129">
        <v>46199</v>
      </c>
      <c r="R110" s="130">
        <f t="shared" si="15"/>
        <v>46204</v>
      </c>
      <c r="S110" s="131">
        <f t="shared" si="20"/>
        <v>5</v>
      </c>
      <c r="T110" s="7" t="s">
        <v>197</v>
      </c>
      <c r="U110" s="7" t="s">
        <v>243</v>
      </c>
      <c r="V110" s="7"/>
      <c r="W110" s="7">
        <v>61.01</v>
      </c>
      <c r="X110" s="132">
        <f t="shared" si="18"/>
        <v>10</v>
      </c>
      <c r="Y110" s="133"/>
      <c r="Z110" s="133"/>
      <c r="AA110" s="133"/>
    </row>
    <row r="111" spans="1:27" hidden="1" x14ac:dyDescent="0.25">
      <c r="A111" s="127">
        <v>115</v>
      </c>
      <c r="B111" s="128" t="str">
        <f t="shared" si="19"/>
        <v>UYCT</v>
      </c>
      <c r="C111" s="128" t="str">
        <f>+VLOOKUP(U111,Ходим!A:B,2,0)</f>
        <v>31101985930022</v>
      </c>
      <c r="D111" s="128" t="str">
        <f>IFERROR(VLOOKUP($B:$B,[20]свод!$A:$AB,3,0)," ")</f>
        <v>Уйчи тумани</v>
      </c>
      <c r="E111" s="7" t="s">
        <v>1256</v>
      </c>
      <c r="F111" s="7" t="s">
        <v>7660</v>
      </c>
      <c r="G111" s="134">
        <f t="shared" si="16"/>
        <v>1</v>
      </c>
      <c r="H111" s="134" t="str">
        <f t="shared" si="17"/>
        <v/>
      </c>
      <c r="I111" s="7" t="s">
        <v>156</v>
      </c>
      <c r="J111" s="7" t="s">
        <v>11</v>
      </c>
      <c r="K111" s="7"/>
      <c r="L111" s="7" t="s">
        <v>167</v>
      </c>
      <c r="M111" s="7" t="s">
        <v>4325</v>
      </c>
      <c r="N111" s="7" t="s">
        <v>410</v>
      </c>
      <c r="O111" s="7" t="s">
        <v>162</v>
      </c>
      <c r="P111" s="7" t="s">
        <v>6359</v>
      </c>
      <c r="Q111" s="129">
        <v>46199</v>
      </c>
      <c r="R111" s="130">
        <f t="shared" si="15"/>
        <v>46210</v>
      </c>
      <c r="S111" s="131">
        <f t="shared" si="20"/>
        <v>11</v>
      </c>
      <c r="T111" s="7" t="s">
        <v>947</v>
      </c>
      <c r="U111" s="7" t="s">
        <v>299</v>
      </c>
      <c r="V111" s="7"/>
      <c r="W111" s="7">
        <v>0</v>
      </c>
      <c r="X111" s="132">
        <f t="shared" si="18"/>
        <v>10</v>
      </c>
      <c r="Y111" s="133"/>
      <c r="Z111" s="133"/>
      <c r="AA111" s="133"/>
    </row>
    <row r="112" spans="1:27" hidden="1" x14ac:dyDescent="0.25">
      <c r="A112" s="127">
        <v>116</v>
      </c>
      <c r="B112" s="128" t="str">
        <f t="shared" si="19"/>
        <v>POPT</v>
      </c>
      <c r="C112" s="128" t="str">
        <f>+VLOOKUP(U112,Ходим!A:B,2,0)</f>
        <v>31707832120033</v>
      </c>
      <c r="D112" s="128" t="str">
        <f>IFERROR(VLOOKUP($B:$B,[20]свод!$A:$AB,3,0)," ")</f>
        <v>Поп тумани</v>
      </c>
      <c r="E112" s="7" t="s">
        <v>1257</v>
      </c>
      <c r="F112" s="7" t="s">
        <v>7661</v>
      </c>
      <c r="G112" s="134">
        <f t="shared" si="16"/>
        <v>1</v>
      </c>
      <c r="H112" s="134" t="str">
        <f t="shared" si="17"/>
        <v/>
      </c>
      <c r="I112" s="7" t="s">
        <v>156</v>
      </c>
      <c r="J112" s="7" t="s">
        <v>25</v>
      </c>
      <c r="K112" s="7"/>
      <c r="L112" s="7"/>
      <c r="M112" s="7"/>
      <c r="N112" s="7" t="s">
        <v>410</v>
      </c>
      <c r="O112" s="7" t="s">
        <v>162</v>
      </c>
      <c r="P112" s="7" t="s">
        <v>6360</v>
      </c>
      <c r="Q112" s="129">
        <v>46199</v>
      </c>
      <c r="R112" s="130">
        <f t="shared" si="15"/>
        <v>46204</v>
      </c>
      <c r="S112" s="131">
        <f t="shared" si="20"/>
        <v>5</v>
      </c>
      <c r="T112" s="7" t="s">
        <v>214</v>
      </c>
      <c r="U112" s="7" t="s">
        <v>313</v>
      </c>
      <c r="V112" s="7"/>
      <c r="W112" s="7"/>
      <c r="X112" s="132">
        <f t="shared" si="18"/>
        <v>10</v>
      </c>
      <c r="Y112" s="133"/>
      <c r="Z112" s="133"/>
      <c r="AA112" s="133"/>
    </row>
    <row r="113" spans="1:27" hidden="1" x14ac:dyDescent="0.25">
      <c r="A113" s="127">
        <v>117</v>
      </c>
      <c r="B113" s="128" t="str">
        <f t="shared" si="19"/>
        <v>YGQT</v>
      </c>
      <c r="C113" s="128" t="str">
        <f>+VLOOKUP(U113,Ходим!A:B,2,0)</f>
        <v>32806922160043</v>
      </c>
      <c r="D113" s="128" t="str">
        <f>IFERROR(VLOOKUP($B:$B,[20]свод!$A:$AB,3,0)," ")</f>
        <v>Янгиқўрғон тумани</v>
      </c>
      <c r="E113" s="7" t="s">
        <v>1258</v>
      </c>
      <c r="F113" s="7" t="s">
        <v>7662</v>
      </c>
      <c r="G113" s="134">
        <f t="shared" si="16"/>
        <v>1</v>
      </c>
      <c r="H113" s="134" t="str">
        <f t="shared" si="17"/>
        <v/>
      </c>
      <c r="I113" s="7" t="s">
        <v>158</v>
      </c>
      <c r="J113" s="7" t="s">
        <v>2</v>
      </c>
      <c r="K113" s="7"/>
      <c r="L113" s="7" t="s">
        <v>167</v>
      </c>
      <c r="M113" s="7" t="s">
        <v>4326</v>
      </c>
      <c r="N113" s="7" t="s">
        <v>170</v>
      </c>
      <c r="O113" s="7" t="s">
        <v>162</v>
      </c>
      <c r="P113" s="7" t="s">
        <v>6335</v>
      </c>
      <c r="Q113" s="129">
        <v>46199</v>
      </c>
      <c r="R113" s="130">
        <f t="shared" si="15"/>
        <v>46204</v>
      </c>
      <c r="S113" s="131">
        <f t="shared" si="20"/>
        <v>5</v>
      </c>
      <c r="T113" s="7" t="s">
        <v>255</v>
      </c>
      <c r="U113" s="7" t="s">
        <v>186</v>
      </c>
      <c r="V113" s="7"/>
      <c r="W113" s="7">
        <v>267.005</v>
      </c>
      <c r="X113" s="132">
        <f t="shared" si="18"/>
        <v>10</v>
      </c>
      <c r="Y113" s="133"/>
      <c r="Z113" s="133"/>
      <c r="AA113" s="133"/>
    </row>
    <row r="114" spans="1:27" hidden="1" x14ac:dyDescent="0.25">
      <c r="A114" s="127">
        <v>118</v>
      </c>
      <c r="B114" s="128" t="str">
        <f t="shared" si="19"/>
        <v>YGQT</v>
      </c>
      <c r="C114" s="128" t="str">
        <f>+VLOOKUP(U114,Ходим!A:B,2,0)</f>
        <v>52010015950028</v>
      </c>
      <c r="D114" s="128" t="str">
        <f>IFERROR(VLOOKUP($B:$B,[20]свод!$A:$AB,3,0)," ")</f>
        <v>Янгиқўрғон тумани</v>
      </c>
      <c r="E114" s="7" t="s">
        <v>1259</v>
      </c>
      <c r="F114" s="7" t="s">
        <v>7663</v>
      </c>
      <c r="G114" s="134">
        <f t="shared" si="16"/>
        <v>1</v>
      </c>
      <c r="H114" s="134" t="str">
        <f t="shared" si="17"/>
        <v/>
      </c>
      <c r="I114" s="7" t="s">
        <v>158</v>
      </c>
      <c r="J114" s="7" t="s">
        <v>134</v>
      </c>
      <c r="K114" s="7"/>
      <c r="L114" s="7" t="s">
        <v>167</v>
      </c>
      <c r="M114" s="7" t="s">
        <v>4327</v>
      </c>
      <c r="N114" s="7" t="s">
        <v>410</v>
      </c>
      <c r="O114" s="7" t="s">
        <v>162</v>
      </c>
      <c r="P114" s="7" t="s">
        <v>6361</v>
      </c>
      <c r="Q114" s="129">
        <v>46199</v>
      </c>
      <c r="R114" s="130">
        <f t="shared" si="15"/>
        <v>46204</v>
      </c>
      <c r="S114" s="131">
        <f t="shared" si="20"/>
        <v>5</v>
      </c>
      <c r="T114" s="7" t="s">
        <v>255</v>
      </c>
      <c r="U114" s="7" t="s">
        <v>391</v>
      </c>
      <c r="V114" s="7"/>
      <c r="W114" s="7">
        <v>311.82</v>
      </c>
      <c r="X114" s="132">
        <f t="shared" si="18"/>
        <v>10</v>
      </c>
      <c r="Y114" s="133"/>
      <c r="Z114" s="133"/>
      <c r="AA114" s="133"/>
    </row>
    <row r="115" spans="1:27" hidden="1" x14ac:dyDescent="0.25">
      <c r="A115" s="127">
        <v>119</v>
      </c>
      <c r="B115" s="128" t="str">
        <f t="shared" si="19"/>
        <v>NAMS</v>
      </c>
      <c r="C115" s="128" t="str">
        <f>+VLOOKUP(U115,Ходим!A:B,2,0)</f>
        <v>32407752170062</v>
      </c>
      <c r="D115" s="128" t="str">
        <f>IFERROR(VLOOKUP($B:$B,[20]свод!$A:$AB,3,0)," ")</f>
        <v>Наманган шаҳар</v>
      </c>
      <c r="E115" s="7" t="s">
        <v>1260</v>
      </c>
      <c r="F115" s="7" t="s">
        <v>7664</v>
      </c>
      <c r="G115" s="134">
        <f t="shared" si="16"/>
        <v>1</v>
      </c>
      <c r="H115" s="134" t="str">
        <f t="shared" si="17"/>
        <v/>
      </c>
      <c r="I115" s="7" t="s">
        <v>156</v>
      </c>
      <c r="J115" s="7" t="s">
        <v>25</v>
      </c>
      <c r="K115" s="7"/>
      <c r="L115" s="7" t="s">
        <v>167</v>
      </c>
      <c r="M115" s="7" t="s">
        <v>4328</v>
      </c>
      <c r="N115" s="7" t="s">
        <v>170</v>
      </c>
      <c r="O115" s="7" t="s">
        <v>162</v>
      </c>
      <c r="P115" s="7" t="s">
        <v>6362</v>
      </c>
      <c r="Q115" s="129">
        <v>46199</v>
      </c>
      <c r="R115" s="130">
        <f t="shared" si="15"/>
        <v>46211</v>
      </c>
      <c r="S115" s="131">
        <f t="shared" si="20"/>
        <v>12</v>
      </c>
      <c r="T115" s="7" t="s">
        <v>173</v>
      </c>
      <c r="U115" s="7" t="s">
        <v>264</v>
      </c>
      <c r="V115" s="7"/>
      <c r="W115" s="7">
        <v>214.09</v>
      </c>
      <c r="X115" s="132">
        <f t="shared" si="18"/>
        <v>10</v>
      </c>
      <c r="Y115" s="133"/>
      <c r="Z115" s="133"/>
      <c r="AA115" s="133"/>
    </row>
    <row r="116" spans="1:27" hidden="1" x14ac:dyDescent="0.25">
      <c r="A116" s="127">
        <v>120</v>
      </c>
      <c r="B116" s="128" t="str">
        <f t="shared" si="19"/>
        <v>NAMS</v>
      </c>
      <c r="C116" s="128" t="str">
        <f>+VLOOKUP(U116,Ходим!A:B,2,0)</f>
        <v>51110025960044</v>
      </c>
      <c r="D116" s="128" t="str">
        <f>IFERROR(VLOOKUP($B:$B,[20]свод!$A:$AB,3,0)," ")</f>
        <v>Наманган шаҳар</v>
      </c>
      <c r="E116" s="7" t="s">
        <v>1261</v>
      </c>
      <c r="F116" s="7" t="s">
        <v>7665</v>
      </c>
      <c r="G116" s="134">
        <f t="shared" si="16"/>
        <v>1</v>
      </c>
      <c r="H116" s="134" t="str">
        <f t="shared" si="17"/>
        <v/>
      </c>
      <c r="I116" s="7" t="s">
        <v>158</v>
      </c>
      <c r="J116" s="7" t="s">
        <v>2</v>
      </c>
      <c r="K116" s="7"/>
      <c r="L116" s="7"/>
      <c r="M116" s="7"/>
      <c r="N116" s="7" t="s">
        <v>170</v>
      </c>
      <c r="O116" s="7" t="s">
        <v>162</v>
      </c>
      <c r="P116" s="7" t="s">
        <v>6327</v>
      </c>
      <c r="Q116" s="129">
        <v>46199</v>
      </c>
      <c r="R116" s="130">
        <f t="shared" si="15"/>
        <v>46204</v>
      </c>
      <c r="S116" s="131">
        <f t="shared" si="20"/>
        <v>5</v>
      </c>
      <c r="T116" s="7" t="s">
        <v>173</v>
      </c>
      <c r="U116" s="7" t="s">
        <v>294</v>
      </c>
      <c r="V116" s="7"/>
      <c r="W116" s="7"/>
      <c r="X116" s="132">
        <f t="shared" si="18"/>
        <v>10</v>
      </c>
      <c r="Y116" s="133"/>
      <c r="Z116" s="133"/>
      <c r="AA116" s="133"/>
    </row>
    <row r="117" spans="1:27" hidden="1" x14ac:dyDescent="0.25">
      <c r="A117" s="127">
        <v>121</v>
      </c>
      <c r="B117" s="128" t="str">
        <f t="shared" si="19"/>
        <v>POPT</v>
      </c>
      <c r="C117" s="128" t="str">
        <f>+VLOOKUP(U117,Ходим!A:B,2,0)</f>
        <v>51605005910024</v>
      </c>
      <c r="D117" s="128" t="str">
        <f>IFERROR(VLOOKUP($B:$B,[20]свод!$A:$AB,3,0)," ")</f>
        <v>Поп тумани</v>
      </c>
      <c r="E117" s="7" t="s">
        <v>1262</v>
      </c>
      <c r="F117" s="7" t="s">
        <v>7666</v>
      </c>
      <c r="G117" s="134">
        <f t="shared" si="16"/>
        <v>1</v>
      </c>
      <c r="H117" s="134" t="str">
        <f t="shared" si="17"/>
        <v/>
      </c>
      <c r="I117" s="7" t="s">
        <v>158</v>
      </c>
      <c r="J117" s="7" t="s">
        <v>2</v>
      </c>
      <c r="K117" s="7"/>
      <c r="L117" s="7" t="s">
        <v>167</v>
      </c>
      <c r="M117" s="7" t="s">
        <v>4329</v>
      </c>
      <c r="N117" s="7" t="s">
        <v>170</v>
      </c>
      <c r="O117" s="7" t="s">
        <v>162</v>
      </c>
      <c r="P117" s="7" t="s">
        <v>6363</v>
      </c>
      <c r="Q117" s="129">
        <v>46199</v>
      </c>
      <c r="R117" s="130">
        <f t="shared" si="15"/>
        <v>46210</v>
      </c>
      <c r="S117" s="131">
        <f t="shared" si="20"/>
        <v>11</v>
      </c>
      <c r="T117" s="7" t="s">
        <v>240</v>
      </c>
      <c r="U117" s="7" t="s">
        <v>241</v>
      </c>
      <c r="V117" s="7"/>
      <c r="W117" s="7">
        <v>83.6</v>
      </c>
      <c r="X117" s="132">
        <f t="shared" si="18"/>
        <v>10</v>
      </c>
      <c r="Y117" s="133"/>
      <c r="Z117" s="133"/>
      <c r="AA117" s="133"/>
    </row>
    <row r="118" spans="1:27" hidden="1" x14ac:dyDescent="0.25">
      <c r="A118" s="127">
        <v>122</v>
      </c>
      <c r="B118" s="128" t="str">
        <f t="shared" si="19"/>
        <v>POPT</v>
      </c>
      <c r="C118" s="128" t="str">
        <f>+VLOOKUP(U118,Ходим!A:B,2,0)</f>
        <v>30809922120031</v>
      </c>
      <c r="D118" s="128" t="str">
        <f>IFERROR(VLOOKUP($B:$B,[20]свод!$A:$AB,3,0)," ")</f>
        <v>Поп тумани</v>
      </c>
      <c r="E118" s="7" t="s">
        <v>1263</v>
      </c>
      <c r="F118" s="7" t="s">
        <v>7667</v>
      </c>
      <c r="G118" s="134">
        <f t="shared" si="16"/>
        <v>1</v>
      </c>
      <c r="H118" s="134" t="str">
        <f t="shared" si="17"/>
        <v/>
      </c>
      <c r="I118" s="7" t="s">
        <v>158</v>
      </c>
      <c r="J118" s="7" t="s">
        <v>2</v>
      </c>
      <c r="K118" s="7"/>
      <c r="L118" s="7"/>
      <c r="M118" s="7"/>
      <c r="N118" s="7" t="s">
        <v>170</v>
      </c>
      <c r="O118" s="7" t="s">
        <v>162</v>
      </c>
      <c r="P118" s="7" t="s">
        <v>6364</v>
      </c>
      <c r="Q118" s="129">
        <v>46199</v>
      </c>
      <c r="R118" s="130">
        <f t="shared" si="15"/>
        <v>46210</v>
      </c>
      <c r="S118" s="131">
        <f t="shared" si="20"/>
        <v>11</v>
      </c>
      <c r="T118" s="7" t="s">
        <v>240</v>
      </c>
      <c r="U118" s="7" t="s">
        <v>339</v>
      </c>
      <c r="V118" s="7"/>
      <c r="W118" s="7"/>
      <c r="X118" s="132">
        <f t="shared" si="18"/>
        <v>10</v>
      </c>
      <c r="Y118" s="133"/>
      <c r="Z118" s="133"/>
      <c r="AA118" s="133"/>
    </row>
    <row r="119" spans="1:27" hidden="1" x14ac:dyDescent="0.25">
      <c r="A119" s="127">
        <v>123</v>
      </c>
      <c r="B119" s="128" t="str">
        <f t="shared" si="19"/>
        <v>NAMS</v>
      </c>
      <c r="C119" s="128" t="str">
        <f>+VLOOKUP(U119,Ходим!A:B,2,0)</f>
        <v>51110025960044</v>
      </c>
      <c r="D119" s="128" t="str">
        <f>IFERROR(VLOOKUP($B:$B,[20]свод!$A:$AB,3,0)," ")</f>
        <v>Наманган шаҳар</v>
      </c>
      <c r="E119" s="7" t="s">
        <v>1264</v>
      </c>
      <c r="F119" s="7" t="s">
        <v>7668</v>
      </c>
      <c r="G119" s="134">
        <f t="shared" si="16"/>
        <v>1</v>
      </c>
      <c r="H119" s="134" t="str">
        <f t="shared" si="17"/>
        <v/>
      </c>
      <c r="I119" s="7" t="s">
        <v>158</v>
      </c>
      <c r="J119" s="7" t="s">
        <v>2</v>
      </c>
      <c r="K119" s="7"/>
      <c r="L119" s="7"/>
      <c r="M119" s="7"/>
      <c r="N119" s="7" t="s">
        <v>170</v>
      </c>
      <c r="O119" s="7" t="s">
        <v>162</v>
      </c>
      <c r="P119" s="7" t="s">
        <v>6365</v>
      </c>
      <c r="Q119" s="129">
        <v>46199</v>
      </c>
      <c r="R119" s="130">
        <f t="shared" si="15"/>
        <v>46204</v>
      </c>
      <c r="S119" s="131">
        <f t="shared" si="20"/>
        <v>5</v>
      </c>
      <c r="T119" s="7" t="s">
        <v>173</v>
      </c>
      <c r="U119" s="7" t="s">
        <v>294</v>
      </c>
      <c r="V119" s="7"/>
      <c r="W119" s="7"/>
      <c r="X119" s="132">
        <f t="shared" si="18"/>
        <v>10</v>
      </c>
      <c r="Y119" s="133"/>
      <c r="Z119" s="133"/>
      <c r="AA119" s="133"/>
    </row>
    <row r="120" spans="1:27" hidden="1" x14ac:dyDescent="0.25">
      <c r="A120" s="127">
        <v>124</v>
      </c>
      <c r="B120" s="128" t="str">
        <f t="shared" si="19"/>
        <v>KSST</v>
      </c>
      <c r="C120" s="128" t="str">
        <f>+VLOOKUP(U120,Ходим!A:B,2,0)</f>
        <v>30411985980017</v>
      </c>
      <c r="D120" s="128" t="str">
        <f>IFERROR(VLOOKUP($B:$B,[20]свод!$A:$AB,3,0)," ")</f>
        <v>Косонсой тумани</v>
      </c>
      <c r="E120" s="7" t="s">
        <v>1265</v>
      </c>
      <c r="F120" s="7" t="s">
        <v>7669</v>
      </c>
      <c r="G120" s="134">
        <f t="shared" si="16"/>
        <v>1</v>
      </c>
      <c r="H120" s="134" t="str">
        <f t="shared" si="17"/>
        <v/>
      </c>
      <c r="I120" s="7" t="s">
        <v>156</v>
      </c>
      <c r="J120" s="7" t="s">
        <v>25</v>
      </c>
      <c r="K120" s="7"/>
      <c r="L120" s="7"/>
      <c r="M120" s="7"/>
      <c r="N120" s="7" t="s">
        <v>170</v>
      </c>
      <c r="O120" s="7" t="s">
        <v>162</v>
      </c>
      <c r="P120" s="7" t="s">
        <v>6366</v>
      </c>
      <c r="Q120" s="129">
        <v>46199</v>
      </c>
      <c r="R120" s="130">
        <f t="shared" si="15"/>
        <v>46211</v>
      </c>
      <c r="S120" s="131">
        <f t="shared" si="20"/>
        <v>12</v>
      </c>
      <c r="T120" s="7" t="s">
        <v>180</v>
      </c>
      <c r="U120" s="7" t="s">
        <v>360</v>
      </c>
      <c r="V120" s="7"/>
      <c r="W120" s="7"/>
      <c r="X120" s="132">
        <f t="shared" si="18"/>
        <v>10</v>
      </c>
      <c r="Y120" s="133"/>
      <c r="Z120" s="133"/>
      <c r="AA120" s="133"/>
    </row>
    <row r="121" spans="1:27" hidden="1" x14ac:dyDescent="0.25">
      <c r="A121" s="127">
        <v>125</v>
      </c>
      <c r="B121" s="128" t="str">
        <f t="shared" si="19"/>
        <v>MINT</v>
      </c>
      <c r="C121" s="128" t="e">
        <f>+VLOOKUP(U121,Ходим!A:B,2,0)</f>
        <v>#N/A</v>
      </c>
      <c r="D121" s="128" t="str">
        <f>IFERROR(VLOOKUP($B:$B,[20]свод!$A:$AB,3,0)," ")</f>
        <v>Мингбулоқ тумани</v>
      </c>
      <c r="E121" s="7" t="s">
        <v>1266</v>
      </c>
      <c r="F121" s="7" t="s">
        <v>7670</v>
      </c>
      <c r="G121" s="134">
        <f t="shared" si="16"/>
        <v>1</v>
      </c>
      <c r="H121" s="134" t="str">
        <f t="shared" si="17"/>
        <v/>
      </c>
      <c r="I121" s="7" t="s">
        <v>159</v>
      </c>
      <c r="J121" s="7" t="s">
        <v>137</v>
      </c>
      <c r="K121" s="7"/>
      <c r="L121" s="7" t="s">
        <v>167</v>
      </c>
      <c r="M121" s="7" t="s">
        <v>4330</v>
      </c>
      <c r="N121" s="7" t="s">
        <v>170</v>
      </c>
      <c r="O121" s="7" t="s">
        <v>163</v>
      </c>
      <c r="P121" s="7" t="s">
        <v>6367</v>
      </c>
      <c r="Q121" s="129">
        <v>46199</v>
      </c>
      <c r="R121" s="130">
        <f t="shared" si="15"/>
        <v>46211</v>
      </c>
      <c r="S121" s="131">
        <f t="shared" si="20"/>
        <v>12</v>
      </c>
      <c r="T121" s="7"/>
      <c r="U121" s="7"/>
      <c r="V121" s="7"/>
      <c r="W121" s="7">
        <v>74.98</v>
      </c>
      <c r="X121" s="132">
        <f t="shared" si="18"/>
        <v>10</v>
      </c>
      <c r="Y121" s="133"/>
      <c r="Z121" s="133"/>
      <c r="AA121" s="133"/>
    </row>
    <row r="122" spans="1:27" hidden="1" x14ac:dyDescent="0.25">
      <c r="A122" s="127">
        <v>127</v>
      </c>
      <c r="B122" s="128" t="str">
        <f t="shared" si="19"/>
        <v>NAMS</v>
      </c>
      <c r="C122" s="128" t="str">
        <f>+VLOOKUP(U122,Ходим!A:B,2,0)</f>
        <v>31601642170089</v>
      </c>
      <c r="D122" s="128" t="str">
        <f>IFERROR(VLOOKUP($B:$B,[20]свод!$A:$AB,3,0)," ")</f>
        <v>Наманган шаҳар</v>
      </c>
      <c r="E122" s="7" t="s">
        <v>1267</v>
      </c>
      <c r="F122" s="7" t="s">
        <v>7671</v>
      </c>
      <c r="G122" s="134">
        <f t="shared" si="16"/>
        <v>1</v>
      </c>
      <c r="H122" s="134" t="str">
        <f t="shared" si="17"/>
        <v/>
      </c>
      <c r="I122" s="7" t="s">
        <v>156</v>
      </c>
      <c r="J122" s="7" t="s">
        <v>25</v>
      </c>
      <c r="K122" s="7"/>
      <c r="L122" s="7"/>
      <c r="M122" s="7"/>
      <c r="N122" s="7" t="s">
        <v>170</v>
      </c>
      <c r="O122" s="7" t="s">
        <v>162</v>
      </c>
      <c r="P122" s="7" t="s">
        <v>6368</v>
      </c>
      <c r="Q122" s="129">
        <v>46199</v>
      </c>
      <c r="R122" s="130">
        <f t="shared" si="15"/>
        <v>46211</v>
      </c>
      <c r="S122" s="131">
        <f t="shared" si="20"/>
        <v>12</v>
      </c>
      <c r="T122" s="7" t="s">
        <v>173</v>
      </c>
      <c r="U122" s="7" t="s">
        <v>201</v>
      </c>
      <c r="V122" s="7"/>
      <c r="W122" s="7"/>
      <c r="X122" s="132">
        <f t="shared" si="18"/>
        <v>10</v>
      </c>
      <c r="Y122" s="133"/>
      <c r="Z122" s="133"/>
      <c r="AA122" s="133"/>
    </row>
    <row r="123" spans="1:27" hidden="1" x14ac:dyDescent="0.25">
      <c r="A123" s="127">
        <v>128</v>
      </c>
      <c r="B123" s="128" t="str">
        <f t="shared" si="19"/>
        <v>YGQT</v>
      </c>
      <c r="C123" s="128" t="str">
        <f>+VLOOKUP(U123,Ходим!A:B,2,0)</f>
        <v>52410005950025</v>
      </c>
      <c r="D123" s="128" t="str">
        <f>IFERROR(VLOOKUP($B:$B,[20]свод!$A:$AB,3,0)," ")</f>
        <v>Янгиқўрғон тумани</v>
      </c>
      <c r="E123" s="7" t="s">
        <v>1268</v>
      </c>
      <c r="F123" s="7" t="s">
        <v>7672</v>
      </c>
      <c r="G123" s="134">
        <f t="shared" si="16"/>
        <v>1</v>
      </c>
      <c r="H123" s="134" t="str">
        <f t="shared" si="17"/>
        <v/>
      </c>
      <c r="I123" s="7" t="s">
        <v>156</v>
      </c>
      <c r="J123" s="7" t="s">
        <v>22</v>
      </c>
      <c r="K123" s="7"/>
      <c r="L123" s="7"/>
      <c r="M123" s="7"/>
      <c r="N123" s="7" t="s">
        <v>170</v>
      </c>
      <c r="O123" s="7" t="s">
        <v>162</v>
      </c>
      <c r="P123" s="7" t="s">
        <v>6343</v>
      </c>
      <c r="Q123" s="129">
        <v>46199</v>
      </c>
      <c r="R123" s="130">
        <f t="shared" si="15"/>
        <v>46210</v>
      </c>
      <c r="S123" s="131">
        <f t="shared" si="20"/>
        <v>11</v>
      </c>
      <c r="T123" s="7" t="s">
        <v>182</v>
      </c>
      <c r="U123" s="7" t="s">
        <v>256</v>
      </c>
      <c r="V123" s="7"/>
      <c r="W123" s="7"/>
      <c r="X123" s="132">
        <f t="shared" si="18"/>
        <v>10</v>
      </c>
      <c r="Y123" s="133"/>
      <c r="Z123" s="133"/>
      <c r="AA123" s="133"/>
    </row>
    <row r="124" spans="1:27" hidden="1" x14ac:dyDescent="0.25">
      <c r="A124" s="127">
        <v>130</v>
      </c>
      <c r="B124" s="128" t="str">
        <f t="shared" si="19"/>
        <v>YGQT</v>
      </c>
      <c r="C124" s="128" t="str">
        <f>+VLOOKUP(U124,Ходим!A:B,2,0)</f>
        <v>31005985950058</v>
      </c>
      <c r="D124" s="128" t="str">
        <f>IFERROR(VLOOKUP($B:$B,[20]свод!$A:$AB,3,0)," ")</f>
        <v>Янгиқўрғон тумани</v>
      </c>
      <c r="E124" s="7" t="s">
        <v>1269</v>
      </c>
      <c r="F124" s="7" t="s">
        <v>7673</v>
      </c>
      <c r="G124" s="134" t="str">
        <f t="shared" si="16"/>
        <v/>
      </c>
      <c r="H124" s="134">
        <f t="shared" si="17"/>
        <v>1</v>
      </c>
      <c r="I124" s="7" t="s">
        <v>155</v>
      </c>
      <c r="J124" s="7" t="s">
        <v>25</v>
      </c>
      <c r="K124" s="7"/>
      <c r="L124" s="7"/>
      <c r="M124" s="7"/>
      <c r="N124" s="7" t="s">
        <v>170</v>
      </c>
      <c r="O124" s="7" t="s">
        <v>161</v>
      </c>
      <c r="P124" s="7" t="s">
        <v>6369</v>
      </c>
      <c r="Q124" s="129">
        <v>46199</v>
      </c>
      <c r="R124" s="130">
        <f t="shared" ref="R124:R186" si="21">WORKDAY(P124,X124,$Y$1:$AA$1)</f>
        <v>46210</v>
      </c>
      <c r="S124" s="131">
        <f t="shared" si="20"/>
        <v>11</v>
      </c>
      <c r="T124" s="7" t="s">
        <v>182</v>
      </c>
      <c r="U124" s="7" t="s">
        <v>311</v>
      </c>
      <c r="V124" s="7"/>
      <c r="W124" s="7"/>
      <c r="X124" s="132">
        <f t="shared" si="18"/>
        <v>10</v>
      </c>
      <c r="Y124" s="133"/>
      <c r="Z124" s="133"/>
      <c r="AA124" s="133"/>
    </row>
    <row r="125" spans="1:27" hidden="1" x14ac:dyDescent="0.25">
      <c r="A125" s="127">
        <v>131</v>
      </c>
      <c r="B125" s="128" t="str">
        <f t="shared" si="19"/>
        <v>YGQT</v>
      </c>
      <c r="C125" s="128" t="str">
        <f>+VLOOKUP(U125,Ходим!A:B,2,0)</f>
        <v>30602822170087</v>
      </c>
      <c r="D125" s="128" t="str">
        <f>IFERROR(VLOOKUP($B:$B,[20]свод!$A:$AB,3,0)," ")</f>
        <v>Янгиқўрғон тумани</v>
      </c>
      <c r="E125" s="7" t="s">
        <v>1270</v>
      </c>
      <c r="F125" s="7" t="s">
        <v>7674</v>
      </c>
      <c r="G125" s="134" t="str">
        <f t="shared" si="16"/>
        <v/>
      </c>
      <c r="H125" s="134">
        <f t="shared" si="17"/>
        <v>1</v>
      </c>
      <c r="I125" s="7" t="s">
        <v>157</v>
      </c>
      <c r="J125" s="7" t="s">
        <v>172</v>
      </c>
      <c r="K125" s="7"/>
      <c r="L125" s="7" t="s">
        <v>168</v>
      </c>
      <c r="M125" s="7" t="s">
        <v>4331</v>
      </c>
      <c r="N125" s="7" t="s">
        <v>170</v>
      </c>
      <c r="O125" s="7" t="s">
        <v>161</v>
      </c>
      <c r="P125" s="7" t="s">
        <v>6370</v>
      </c>
      <c r="Q125" s="129">
        <v>46199</v>
      </c>
      <c r="R125" s="130">
        <f t="shared" si="21"/>
        <v>46205</v>
      </c>
      <c r="S125" s="131">
        <f t="shared" si="20"/>
        <v>6</v>
      </c>
      <c r="T125" s="7" t="s">
        <v>182</v>
      </c>
      <c r="U125" s="7" t="s">
        <v>320</v>
      </c>
      <c r="V125" s="7"/>
      <c r="W125" s="7">
        <v>0</v>
      </c>
      <c r="X125" s="132">
        <f t="shared" si="18"/>
        <v>7</v>
      </c>
      <c r="Y125" s="133"/>
      <c r="Z125" s="133"/>
      <c r="AA125" s="133"/>
    </row>
    <row r="126" spans="1:27" hidden="1" x14ac:dyDescent="0.25">
      <c r="A126" s="127">
        <v>132</v>
      </c>
      <c r="B126" s="128" t="str">
        <f t="shared" si="19"/>
        <v>NAMT</v>
      </c>
      <c r="C126" s="128" t="str">
        <f>+VLOOKUP(U126,Ходим!A:B,2,0)</f>
        <v>31205812090050</v>
      </c>
      <c r="D126" s="128" t="str">
        <f>IFERROR(VLOOKUP($B:$B,[20]свод!$A:$AB,3,0)," ")</f>
        <v>Наманган тумани</v>
      </c>
      <c r="E126" s="7" t="s">
        <v>1271</v>
      </c>
      <c r="F126" s="7" t="s">
        <v>7675</v>
      </c>
      <c r="G126" s="134" t="str">
        <f t="shared" si="16"/>
        <v/>
      </c>
      <c r="H126" s="134">
        <f t="shared" si="17"/>
        <v>1</v>
      </c>
      <c r="I126" s="7" t="s">
        <v>157</v>
      </c>
      <c r="J126" s="7" t="s">
        <v>2</v>
      </c>
      <c r="K126" s="7"/>
      <c r="L126" s="7" t="s">
        <v>166</v>
      </c>
      <c r="M126" s="7" t="s">
        <v>4332</v>
      </c>
      <c r="N126" s="7" t="s">
        <v>170</v>
      </c>
      <c r="O126" s="7" t="s">
        <v>161</v>
      </c>
      <c r="P126" s="7" t="s">
        <v>6371</v>
      </c>
      <c r="Q126" s="129">
        <v>46199</v>
      </c>
      <c r="R126" s="130">
        <f t="shared" si="21"/>
        <v>46206</v>
      </c>
      <c r="S126" s="131">
        <f t="shared" si="20"/>
        <v>7</v>
      </c>
      <c r="T126" s="7" t="s">
        <v>193</v>
      </c>
      <c r="U126" s="7" t="s">
        <v>346</v>
      </c>
      <c r="V126" s="7"/>
      <c r="W126" s="7">
        <v>290.66000000000003</v>
      </c>
      <c r="X126" s="132">
        <f t="shared" si="18"/>
        <v>12</v>
      </c>
      <c r="Y126" s="133"/>
      <c r="Z126" s="133"/>
      <c r="AA126" s="133"/>
    </row>
    <row r="127" spans="1:27" hidden="1" x14ac:dyDescent="0.25">
      <c r="A127" s="127">
        <v>133</v>
      </c>
      <c r="B127" s="128" t="str">
        <f t="shared" si="19"/>
        <v>NAMT</v>
      </c>
      <c r="C127" s="128" t="str">
        <f>+VLOOKUP(U127,Ходим!A:B,2,0)</f>
        <v>50706025880010</v>
      </c>
      <c r="D127" s="128" t="str">
        <f>IFERROR(VLOOKUP($B:$B,[20]свод!$A:$AB,3,0)," ")</f>
        <v>Наманган тумани</v>
      </c>
      <c r="E127" s="7" t="s">
        <v>1272</v>
      </c>
      <c r="F127" s="7" t="s">
        <v>7676</v>
      </c>
      <c r="G127" s="134">
        <f t="shared" ref="G127:G190" si="22">IF(OR(
I127="Turar joy obyektning kadastr pasportini shakllantirish va davlat ro'yxatidan o'tkazish",
I127="Turar kompozit"
),
1,
IF(OR(
I127="Noturar kompozit",
I127="Avtoyo'l va suv xo'jaligi obyektining kadastr pasportini shakllantirish va ro'yxatga olish",
I127="Noturar obyektning kadastr pasportining kadastr pasportini shakllantirish va davlat ro'yxatidan o'tkazish"
),
"",
IF(OR(
I127="Notarius uchun ma'lumotnoma (uz)",
I127="Qurilishi tugallangan ko'chmas mulkni foydalanishga qabul qilish",
I127="Umumiy foydalanishdagi ko'chmas mulk qismini yaratish",
I127="Registratsiya (tashqi - UZKAD da bor)"
),
IF(OR(L127="Turar yer maydoni",L127="Yakka tartibdagi turar joy"),1,
IF(L127="Noturar bino","",
IF(L127="Noturar yer maydoni","",
IF(L127="",IF(OR(O127="Turar joy xizmati",O127="Foydalanishga ruxsatnoma berish xizmati"),1,""),"")
))),
"")))</f>
        <v>1</v>
      </c>
      <c r="H127" s="134" t="str">
        <f t="shared" ref="H127:H190" si="23">IF(OR(
I127="Turar joy obyektning kadastr pasportini shakllantirish va davlat ro'yxatidan o'tkazish",
I127="Turar kompozit"
),
"",
IF(OR(
I127="Noturar kompozit",
I127="Avtoyo'l va suv xo'jaligi obyektining kadastr pasportini shakllantirish va ro'yxatga olish",
I127="Noturar obyektning kadastr pasportini shakllantirish va davlat ro'yxatidan o'tkazish"
),
1,
IF(OR(
I127="Notarius uchun ma'lumotnoma (uz)",
I127="Qurilishi tugallangan ko'chmas mulkni foydalanishga qabul qilish",
I127="Umumiy foydalanishdagi ko'chmas mulk qismini yaratish",
I127="Registratsiya (tashqi - UZKAD da bor)"
),
IF(OR(L127="Turar yer maydoni",L127="Yakka tartibdagi turar joy"),"",
IF(L127="Noturar bino",1,
IF(L127="Noturar yer maydoni",1,
IF(L127="",IF(OR(O127="Turar joy xizmati",O127="Foydalanishga ruxsatnoma berish xizmati"),"",1),"")
))),
"")))</f>
        <v/>
      </c>
      <c r="I127" s="7" t="s">
        <v>158</v>
      </c>
      <c r="J127" s="7" t="s">
        <v>13</v>
      </c>
      <c r="K127" s="7"/>
      <c r="L127" s="7" t="s">
        <v>167</v>
      </c>
      <c r="M127" s="7" t="s">
        <v>1110</v>
      </c>
      <c r="N127" s="7" t="s">
        <v>170</v>
      </c>
      <c r="O127" s="7" t="s">
        <v>162</v>
      </c>
      <c r="P127" s="7" t="s">
        <v>6372</v>
      </c>
      <c r="Q127" s="129">
        <v>46199</v>
      </c>
      <c r="R127" s="130">
        <f t="shared" si="21"/>
        <v>46210</v>
      </c>
      <c r="S127" s="131">
        <f t="shared" si="20"/>
        <v>11</v>
      </c>
      <c r="T127" s="7" t="s">
        <v>193</v>
      </c>
      <c r="U127" s="7" t="s">
        <v>397</v>
      </c>
      <c r="V127" s="7"/>
      <c r="W127" s="7">
        <v>169.23</v>
      </c>
      <c r="X127" s="132">
        <f t="shared" si="18"/>
        <v>10</v>
      </c>
      <c r="Y127" s="133"/>
      <c r="Z127" s="133"/>
      <c r="AA127" s="133"/>
    </row>
    <row r="128" spans="1:27" x14ac:dyDescent="0.25">
      <c r="A128" s="127">
        <v>134</v>
      </c>
      <c r="B128" s="128" t="str">
        <f t="shared" si="19"/>
        <v>TORT</v>
      </c>
      <c r="C128" s="128" t="str">
        <f>+VLOOKUP(U128,Ходим!A:B,2,0)</f>
        <v>40302922130046</v>
      </c>
      <c r="D128" s="128" t="str">
        <f>IFERROR(VLOOKUP($B:$B,[20]свод!$A:$AB,3,0)," ")</f>
        <v>Тўрақўрғон тумани</v>
      </c>
      <c r="E128" s="7" t="s">
        <v>1273</v>
      </c>
      <c r="F128" s="7" t="s">
        <v>7677</v>
      </c>
      <c r="G128" s="134">
        <f t="shared" si="22"/>
        <v>1</v>
      </c>
      <c r="H128" s="134" t="str">
        <f t="shared" si="23"/>
        <v/>
      </c>
      <c r="I128" s="7" t="s">
        <v>158</v>
      </c>
      <c r="J128" s="7" t="s">
        <v>1</v>
      </c>
      <c r="K128" s="7"/>
      <c r="L128" s="7" t="s">
        <v>167</v>
      </c>
      <c r="M128" s="7" t="s">
        <v>4333</v>
      </c>
      <c r="N128" s="7" t="s">
        <v>410</v>
      </c>
      <c r="O128" s="7" t="s">
        <v>162</v>
      </c>
      <c r="P128" s="7" t="s">
        <v>6373</v>
      </c>
      <c r="Q128" s="129">
        <v>46199</v>
      </c>
      <c r="R128" s="130">
        <f t="shared" si="21"/>
        <v>46199</v>
      </c>
      <c r="S128" s="131">
        <f t="shared" si="20"/>
        <v>0</v>
      </c>
      <c r="T128" s="7" t="s">
        <v>203</v>
      </c>
      <c r="U128" s="7" t="s">
        <v>258</v>
      </c>
      <c r="V128" s="7"/>
      <c r="W128" s="7">
        <v>175.17</v>
      </c>
      <c r="X128" s="132">
        <f t="shared" si="18"/>
        <v>10</v>
      </c>
      <c r="Y128" s="133"/>
      <c r="Z128" s="133"/>
      <c r="AA128" s="133"/>
    </row>
    <row r="129" spans="1:27" hidden="1" x14ac:dyDescent="0.25">
      <c r="A129" s="127">
        <v>135</v>
      </c>
      <c r="B129" s="128" t="str">
        <f t="shared" si="19"/>
        <v>NAMT</v>
      </c>
      <c r="C129" s="128" t="str">
        <f>+VLOOKUP(U129,Ходим!A:B,2,0)</f>
        <v>32204892090133</v>
      </c>
      <c r="D129" s="128" t="str">
        <f>IFERROR(VLOOKUP($B:$B,[20]свод!$A:$AB,3,0)," ")</f>
        <v>Наманган тумани</v>
      </c>
      <c r="E129" s="7" t="s">
        <v>1274</v>
      </c>
      <c r="F129" s="7" t="s">
        <v>7678</v>
      </c>
      <c r="G129" s="134">
        <f t="shared" si="22"/>
        <v>1</v>
      </c>
      <c r="H129" s="134" t="str">
        <f t="shared" si="23"/>
        <v/>
      </c>
      <c r="I129" s="7" t="s">
        <v>158</v>
      </c>
      <c r="J129" s="7" t="s">
        <v>2</v>
      </c>
      <c r="K129" s="7"/>
      <c r="L129" s="7" t="s">
        <v>167</v>
      </c>
      <c r="M129" s="7" t="s">
        <v>4334</v>
      </c>
      <c r="N129" s="7" t="s">
        <v>410</v>
      </c>
      <c r="O129" s="7" t="s">
        <v>162</v>
      </c>
      <c r="P129" s="7" t="s">
        <v>6354</v>
      </c>
      <c r="Q129" s="129">
        <v>46199</v>
      </c>
      <c r="R129" s="130">
        <f t="shared" si="21"/>
        <v>46204</v>
      </c>
      <c r="S129" s="131">
        <f t="shared" si="20"/>
        <v>5</v>
      </c>
      <c r="T129" s="7" t="s">
        <v>197</v>
      </c>
      <c r="U129" s="7" t="s">
        <v>198</v>
      </c>
      <c r="V129" s="7"/>
      <c r="W129" s="7">
        <v>100.51</v>
      </c>
      <c r="X129" s="132">
        <f t="shared" si="18"/>
        <v>10</v>
      </c>
      <c r="Y129" s="133"/>
      <c r="Z129" s="133"/>
      <c r="AA129" s="133"/>
    </row>
    <row r="130" spans="1:27" hidden="1" x14ac:dyDescent="0.25">
      <c r="A130" s="127">
        <v>136</v>
      </c>
      <c r="B130" s="128" t="str">
        <f t="shared" si="19"/>
        <v>TORT</v>
      </c>
      <c r="C130" s="128" t="str">
        <f>+VLOOKUP(U130,Ходим!A:B,2,0)</f>
        <v>31609912130025</v>
      </c>
      <c r="D130" s="128" t="str">
        <f>IFERROR(VLOOKUP($B:$B,[20]свод!$A:$AB,3,0)," ")</f>
        <v>Тўрақўрғон тумани</v>
      </c>
      <c r="E130" s="7" t="s">
        <v>1275</v>
      </c>
      <c r="F130" s="7" t="s">
        <v>7679</v>
      </c>
      <c r="G130" s="134" t="str">
        <f t="shared" si="22"/>
        <v/>
      </c>
      <c r="H130" s="134">
        <f t="shared" si="23"/>
        <v>1</v>
      </c>
      <c r="I130" s="7" t="s">
        <v>155</v>
      </c>
      <c r="J130" s="7" t="s">
        <v>25</v>
      </c>
      <c r="K130" s="7"/>
      <c r="L130" s="7"/>
      <c r="M130" s="7"/>
      <c r="N130" s="7" t="s">
        <v>170</v>
      </c>
      <c r="O130" s="7" t="s">
        <v>161</v>
      </c>
      <c r="P130" s="7" t="s">
        <v>6374</v>
      </c>
      <c r="Q130" s="129">
        <v>46199</v>
      </c>
      <c r="R130" s="130">
        <f t="shared" si="21"/>
        <v>46211</v>
      </c>
      <c r="S130" s="131">
        <f t="shared" si="20"/>
        <v>12</v>
      </c>
      <c r="T130" s="7" t="s">
        <v>203</v>
      </c>
      <c r="U130" s="7" t="s">
        <v>280</v>
      </c>
      <c r="V130" s="7"/>
      <c r="W130" s="7"/>
      <c r="X130" s="132">
        <f t="shared" si="18"/>
        <v>10</v>
      </c>
      <c r="Y130" s="133"/>
      <c r="Z130" s="133"/>
      <c r="AA130" s="133"/>
    </row>
    <row r="131" spans="1:27" x14ac:dyDescent="0.25">
      <c r="A131" s="127">
        <v>137</v>
      </c>
      <c r="B131" s="128" t="str">
        <f t="shared" si="19"/>
        <v>KSST</v>
      </c>
      <c r="C131" s="128" t="str">
        <f>+VLOOKUP(U131,Ходим!A:B,2,0)</f>
        <v>31407932190092</v>
      </c>
      <c r="D131" s="128" t="str">
        <f>IFERROR(VLOOKUP($B:$B,[20]свод!$A:$AB,3,0)," ")</f>
        <v>Косонсой тумани</v>
      </c>
      <c r="E131" s="7" t="s">
        <v>1276</v>
      </c>
      <c r="F131" s="7" t="s">
        <v>7680</v>
      </c>
      <c r="G131" s="134">
        <f t="shared" si="22"/>
        <v>1</v>
      </c>
      <c r="H131" s="134" t="str">
        <f t="shared" si="23"/>
        <v/>
      </c>
      <c r="I131" s="7" t="s">
        <v>158</v>
      </c>
      <c r="J131" s="7" t="s">
        <v>13</v>
      </c>
      <c r="K131" s="7"/>
      <c r="L131" s="7" t="s">
        <v>167</v>
      </c>
      <c r="M131" s="7" t="s">
        <v>4335</v>
      </c>
      <c r="N131" s="7" t="s">
        <v>170</v>
      </c>
      <c r="O131" s="7" t="s">
        <v>162</v>
      </c>
      <c r="P131" s="7" t="s">
        <v>6375</v>
      </c>
      <c r="Q131" s="129">
        <v>46199</v>
      </c>
      <c r="R131" s="130">
        <f t="shared" si="21"/>
        <v>46199</v>
      </c>
      <c r="S131" s="131">
        <f t="shared" si="20"/>
        <v>0</v>
      </c>
      <c r="T131" s="7" t="s">
        <v>180</v>
      </c>
      <c r="U131" s="7" t="s">
        <v>188</v>
      </c>
      <c r="V131" s="7"/>
      <c r="W131" s="7">
        <v>104.14</v>
      </c>
      <c r="X131" s="132">
        <f t="shared" si="18"/>
        <v>10</v>
      </c>
      <c r="Y131" s="133"/>
      <c r="Z131" s="133"/>
      <c r="AA131" s="133"/>
    </row>
    <row r="132" spans="1:27" hidden="1" x14ac:dyDescent="0.25">
      <c r="A132" s="127">
        <v>138</v>
      </c>
      <c r="B132" s="128" t="str">
        <f t="shared" si="19"/>
        <v>NAMT</v>
      </c>
      <c r="C132" s="128" t="str">
        <f>+VLOOKUP(U132,Ходим!A:B,2,0)</f>
        <v>32204892090133</v>
      </c>
      <c r="D132" s="128" t="str">
        <f>IFERROR(VLOOKUP($B:$B,[20]свод!$A:$AB,3,0)," ")</f>
        <v>Наманган тумани</v>
      </c>
      <c r="E132" s="7" t="s">
        <v>1277</v>
      </c>
      <c r="F132" s="7" t="s">
        <v>7681</v>
      </c>
      <c r="G132" s="134">
        <f t="shared" si="22"/>
        <v>1</v>
      </c>
      <c r="H132" s="134" t="str">
        <f t="shared" si="23"/>
        <v/>
      </c>
      <c r="I132" s="7" t="s">
        <v>158</v>
      </c>
      <c r="J132" s="7" t="s">
        <v>2</v>
      </c>
      <c r="K132" s="7"/>
      <c r="L132" s="7"/>
      <c r="M132" s="7"/>
      <c r="N132" s="7" t="s">
        <v>410</v>
      </c>
      <c r="O132" s="7" t="s">
        <v>162</v>
      </c>
      <c r="P132" s="7" t="s">
        <v>6376</v>
      </c>
      <c r="Q132" s="129">
        <v>46199</v>
      </c>
      <c r="R132" s="130">
        <f t="shared" si="21"/>
        <v>46204</v>
      </c>
      <c r="S132" s="131">
        <f t="shared" si="20"/>
        <v>5</v>
      </c>
      <c r="T132" s="7" t="s">
        <v>197</v>
      </c>
      <c r="U132" s="7" t="s">
        <v>198</v>
      </c>
      <c r="V132" s="7"/>
      <c r="W132" s="7"/>
      <c r="X132" s="132">
        <f t="shared" si="18"/>
        <v>10</v>
      </c>
      <c r="Y132" s="133"/>
      <c r="Z132" s="133"/>
      <c r="AA132" s="133"/>
    </row>
    <row r="133" spans="1:27" hidden="1" x14ac:dyDescent="0.25">
      <c r="A133" s="127">
        <v>139</v>
      </c>
      <c r="B133" s="128" t="str">
        <f t="shared" si="19"/>
        <v>CHUT</v>
      </c>
      <c r="C133" s="128" t="str">
        <f>+VLOOKUP(U133,Ходим!A:B,2,0)</f>
        <v>52508015970048</v>
      </c>
      <c r="D133" s="128" t="str">
        <f>IFERROR(VLOOKUP($B:$B,[20]свод!$A:$AB,3,0)," ")</f>
        <v>Чуст тумани</v>
      </c>
      <c r="E133" s="7" t="s">
        <v>1278</v>
      </c>
      <c r="F133" s="7" t="s">
        <v>7682</v>
      </c>
      <c r="G133" s="134">
        <f t="shared" si="22"/>
        <v>1</v>
      </c>
      <c r="H133" s="134" t="str">
        <f t="shared" si="23"/>
        <v/>
      </c>
      <c r="I133" s="7" t="s">
        <v>158</v>
      </c>
      <c r="J133" s="7" t="s">
        <v>172</v>
      </c>
      <c r="K133" s="7"/>
      <c r="L133" s="7" t="s">
        <v>167</v>
      </c>
      <c r="M133" s="7" t="s">
        <v>4336</v>
      </c>
      <c r="N133" s="7" t="s">
        <v>170</v>
      </c>
      <c r="O133" s="7" t="s">
        <v>162</v>
      </c>
      <c r="P133" s="7" t="s">
        <v>6300</v>
      </c>
      <c r="Q133" s="129">
        <v>46199</v>
      </c>
      <c r="R133" s="130">
        <f t="shared" si="21"/>
        <v>46210</v>
      </c>
      <c r="S133" s="131">
        <f t="shared" si="20"/>
        <v>11</v>
      </c>
      <c r="T133" s="7" t="s">
        <v>178</v>
      </c>
      <c r="U133" s="7" t="s">
        <v>350</v>
      </c>
      <c r="V133" s="7"/>
      <c r="W133" s="7">
        <v>171.8</v>
      </c>
      <c r="X133" s="132">
        <f t="shared" si="18"/>
        <v>10</v>
      </c>
      <c r="Y133" s="133"/>
      <c r="Z133" s="133"/>
      <c r="AA133" s="133"/>
    </row>
    <row r="134" spans="1:27" hidden="1" x14ac:dyDescent="0.25">
      <c r="A134" s="127">
        <v>140</v>
      </c>
      <c r="B134" s="128" t="str">
        <f t="shared" si="19"/>
        <v>NAMS</v>
      </c>
      <c r="C134" s="128" t="str">
        <f>+VLOOKUP(U134,Ходим!A:B,2,0)</f>
        <v>53008015960094</v>
      </c>
      <c r="D134" s="128" t="str">
        <f>IFERROR(VLOOKUP($B:$B,[20]свод!$A:$AB,3,0)," ")</f>
        <v>Наманган шаҳар</v>
      </c>
      <c r="E134" s="7" t="s">
        <v>1279</v>
      </c>
      <c r="F134" s="7" t="s">
        <v>7683</v>
      </c>
      <c r="G134" s="134">
        <f t="shared" si="22"/>
        <v>1</v>
      </c>
      <c r="H134" s="134" t="str">
        <f t="shared" si="23"/>
        <v/>
      </c>
      <c r="I134" s="7" t="s">
        <v>156</v>
      </c>
      <c r="J134" s="7" t="s">
        <v>25</v>
      </c>
      <c r="K134" s="7"/>
      <c r="L134" s="7"/>
      <c r="M134" s="7"/>
      <c r="N134" s="7" t="s">
        <v>170</v>
      </c>
      <c r="O134" s="7" t="s">
        <v>162</v>
      </c>
      <c r="P134" s="7" t="s">
        <v>6377</v>
      </c>
      <c r="Q134" s="129">
        <v>46199</v>
      </c>
      <c r="R134" s="130">
        <f t="shared" si="21"/>
        <v>46211</v>
      </c>
      <c r="S134" s="131">
        <f t="shared" si="20"/>
        <v>12</v>
      </c>
      <c r="T134" s="7" t="s">
        <v>173</v>
      </c>
      <c r="U134" s="7" t="s">
        <v>403</v>
      </c>
      <c r="V134" s="7"/>
      <c r="W134" s="7"/>
      <c r="X134" s="132">
        <f t="shared" si="18"/>
        <v>10</v>
      </c>
      <c r="Y134" s="133"/>
      <c r="Z134" s="133"/>
      <c r="AA134" s="133"/>
    </row>
    <row r="135" spans="1:27" hidden="1" x14ac:dyDescent="0.25">
      <c r="A135" s="127">
        <v>141</v>
      </c>
      <c r="B135" s="128" t="str">
        <f t="shared" si="19"/>
        <v>TORT</v>
      </c>
      <c r="C135" s="128" t="str">
        <f>+VLOOKUP(U135,Ходим!A:B,2,0)</f>
        <v>31704782130035</v>
      </c>
      <c r="D135" s="128" t="str">
        <f>IFERROR(VLOOKUP($B:$B,[20]свод!$A:$AB,3,0)," ")</f>
        <v>Тўрақўрғон тумани</v>
      </c>
      <c r="E135" s="7" t="s">
        <v>1280</v>
      </c>
      <c r="F135" s="7" t="s">
        <v>7684</v>
      </c>
      <c r="G135" s="134">
        <f t="shared" si="22"/>
        <v>1</v>
      </c>
      <c r="H135" s="134" t="str">
        <f t="shared" si="23"/>
        <v/>
      </c>
      <c r="I135" s="7" t="s">
        <v>158</v>
      </c>
      <c r="J135" s="7" t="s">
        <v>2</v>
      </c>
      <c r="K135" s="7"/>
      <c r="L135" s="7" t="s">
        <v>167</v>
      </c>
      <c r="M135" s="7" t="s">
        <v>4337</v>
      </c>
      <c r="N135" s="7" t="s">
        <v>410</v>
      </c>
      <c r="O135" s="7" t="s">
        <v>162</v>
      </c>
      <c r="P135" s="7" t="s">
        <v>6326</v>
      </c>
      <c r="Q135" s="129">
        <v>46199</v>
      </c>
      <c r="R135" s="130">
        <f t="shared" si="21"/>
        <v>46204</v>
      </c>
      <c r="S135" s="131">
        <f t="shared" si="20"/>
        <v>5</v>
      </c>
      <c r="T135" s="7" t="s">
        <v>203</v>
      </c>
      <c r="U135" s="7" t="s">
        <v>344</v>
      </c>
      <c r="V135" s="7"/>
      <c r="W135" s="7">
        <v>143.19</v>
      </c>
      <c r="X135" s="132">
        <f t="shared" si="18"/>
        <v>10</v>
      </c>
      <c r="Y135" s="133"/>
      <c r="Z135" s="133"/>
      <c r="AA135" s="133"/>
    </row>
    <row r="136" spans="1:27" hidden="1" x14ac:dyDescent="0.25">
      <c r="A136" s="127">
        <v>142</v>
      </c>
      <c r="B136" s="128" t="str">
        <f t="shared" si="19"/>
        <v>CHOT</v>
      </c>
      <c r="C136" s="128" t="str">
        <f>+VLOOKUP(U136,Ходим!A:B,2,0)</f>
        <v>30308922100022</v>
      </c>
      <c r="D136" s="128" t="str">
        <f>IFERROR(VLOOKUP($B:$B,[20]свод!$A:$AB,3,0)," ")</f>
        <v>Чортоқ тумани</v>
      </c>
      <c r="E136" s="7" t="s">
        <v>1281</v>
      </c>
      <c r="F136" s="7" t="s">
        <v>7685</v>
      </c>
      <c r="G136" s="134">
        <f t="shared" si="22"/>
        <v>1</v>
      </c>
      <c r="H136" s="134" t="str">
        <f t="shared" si="23"/>
        <v/>
      </c>
      <c r="I136" s="7" t="s">
        <v>158</v>
      </c>
      <c r="J136" s="7" t="s">
        <v>172</v>
      </c>
      <c r="K136" s="7"/>
      <c r="L136" s="7"/>
      <c r="M136" s="7"/>
      <c r="N136" s="7" t="s">
        <v>170</v>
      </c>
      <c r="O136" s="7" t="s">
        <v>162</v>
      </c>
      <c r="P136" s="7" t="s">
        <v>6377</v>
      </c>
      <c r="Q136" s="129">
        <v>46199</v>
      </c>
      <c r="R136" s="130">
        <f t="shared" si="21"/>
        <v>46211</v>
      </c>
      <c r="S136" s="131">
        <f t="shared" si="20"/>
        <v>12</v>
      </c>
      <c r="T136" s="7" t="s">
        <v>184</v>
      </c>
      <c r="U136" s="7" t="s">
        <v>190</v>
      </c>
      <c r="V136" s="7"/>
      <c r="W136" s="7"/>
      <c r="X136" s="132">
        <f t="shared" si="18"/>
        <v>10</v>
      </c>
      <c r="Y136" s="133"/>
      <c r="Z136" s="133"/>
      <c r="AA136" s="133"/>
    </row>
    <row r="137" spans="1:27" hidden="1" x14ac:dyDescent="0.25">
      <c r="A137" s="127">
        <v>143</v>
      </c>
      <c r="B137" s="128" t="str">
        <f t="shared" si="19"/>
        <v>MINT</v>
      </c>
      <c r="C137" s="128" t="e">
        <f>+VLOOKUP(U137,Ходим!A:B,2,0)</f>
        <v>#N/A</v>
      </c>
      <c r="D137" s="128" t="str">
        <f>IFERROR(VLOOKUP($B:$B,[20]свод!$A:$AB,3,0)," ")</f>
        <v>Мингбулоқ тумани</v>
      </c>
      <c r="E137" s="7" t="s">
        <v>1282</v>
      </c>
      <c r="F137" s="7" t="s">
        <v>7686</v>
      </c>
      <c r="G137" s="134">
        <f t="shared" si="22"/>
        <v>1</v>
      </c>
      <c r="H137" s="134" t="str">
        <f t="shared" si="23"/>
        <v/>
      </c>
      <c r="I137" s="7" t="s">
        <v>156</v>
      </c>
      <c r="J137" s="7" t="s">
        <v>11</v>
      </c>
      <c r="K137" s="7"/>
      <c r="L137" s="7" t="s">
        <v>167</v>
      </c>
      <c r="M137" s="7" t="s">
        <v>4338</v>
      </c>
      <c r="N137" s="7" t="s">
        <v>170</v>
      </c>
      <c r="O137" s="7" t="s">
        <v>162</v>
      </c>
      <c r="P137" s="7" t="s">
        <v>6378</v>
      </c>
      <c r="Q137" s="129">
        <v>46199</v>
      </c>
      <c r="R137" s="130">
        <f t="shared" si="21"/>
        <v>46211</v>
      </c>
      <c r="S137" s="131">
        <f t="shared" si="20"/>
        <v>12</v>
      </c>
      <c r="T137" s="7"/>
      <c r="U137" s="7"/>
      <c r="V137" s="7"/>
      <c r="W137" s="7">
        <v>255.73</v>
      </c>
      <c r="X137" s="132">
        <f t="shared" si="18"/>
        <v>10</v>
      </c>
      <c r="Y137" s="133"/>
      <c r="Z137" s="133"/>
      <c r="AA137" s="133"/>
    </row>
    <row r="138" spans="1:27" hidden="1" x14ac:dyDescent="0.25">
      <c r="A138" s="127">
        <v>144</v>
      </c>
      <c r="B138" s="128" t="str">
        <f t="shared" si="19"/>
        <v>YGQT</v>
      </c>
      <c r="C138" s="128" t="str">
        <f>+VLOOKUP(U138,Ходим!A:B,2,0)</f>
        <v>52010015950028</v>
      </c>
      <c r="D138" s="128" t="str">
        <f>IFERROR(VLOOKUP($B:$B,[20]свод!$A:$AB,3,0)," ")</f>
        <v>Янгиқўрғон тумани</v>
      </c>
      <c r="E138" s="7" t="s">
        <v>1283</v>
      </c>
      <c r="F138" s="7" t="s">
        <v>7687</v>
      </c>
      <c r="G138" s="134">
        <f t="shared" si="22"/>
        <v>1</v>
      </c>
      <c r="H138" s="134" t="str">
        <f t="shared" si="23"/>
        <v/>
      </c>
      <c r="I138" s="7" t="s">
        <v>158</v>
      </c>
      <c r="J138" s="7" t="s">
        <v>2</v>
      </c>
      <c r="K138" s="7"/>
      <c r="L138" s="7" t="s">
        <v>167</v>
      </c>
      <c r="M138" s="7" t="s">
        <v>4339</v>
      </c>
      <c r="N138" s="7" t="s">
        <v>170</v>
      </c>
      <c r="O138" s="7" t="s">
        <v>162</v>
      </c>
      <c r="P138" s="7" t="s">
        <v>6343</v>
      </c>
      <c r="Q138" s="129">
        <v>46199</v>
      </c>
      <c r="R138" s="130">
        <f t="shared" si="21"/>
        <v>46210</v>
      </c>
      <c r="S138" s="131">
        <f t="shared" si="20"/>
        <v>11</v>
      </c>
      <c r="T138" s="7" t="s">
        <v>182</v>
      </c>
      <c r="U138" s="7" t="s">
        <v>391</v>
      </c>
      <c r="V138" s="7"/>
      <c r="W138" s="7">
        <v>330.68</v>
      </c>
      <c r="X138" s="132">
        <f t="shared" si="18"/>
        <v>10</v>
      </c>
      <c r="Y138" s="133"/>
      <c r="Z138" s="133"/>
      <c r="AA138" s="133"/>
    </row>
    <row r="139" spans="1:27" hidden="1" x14ac:dyDescent="0.25">
      <c r="A139" s="127">
        <v>145</v>
      </c>
      <c r="B139" s="128" t="str">
        <f t="shared" si="19"/>
        <v>YGQT</v>
      </c>
      <c r="C139" s="128" t="str">
        <f>+VLOOKUP(U139,Ходим!A:B,2,0)</f>
        <v>52010015950028</v>
      </c>
      <c r="D139" s="128" t="str">
        <f>IFERROR(VLOOKUP($B:$B,[20]свод!$A:$AB,3,0)," ")</f>
        <v>Янгиқўрғон тумани</v>
      </c>
      <c r="E139" s="7" t="s">
        <v>1284</v>
      </c>
      <c r="F139" s="7" t="s">
        <v>7688</v>
      </c>
      <c r="G139" s="134">
        <f t="shared" si="22"/>
        <v>1</v>
      </c>
      <c r="H139" s="134" t="str">
        <f t="shared" si="23"/>
        <v/>
      </c>
      <c r="I139" s="7" t="s">
        <v>158</v>
      </c>
      <c r="J139" s="7" t="s">
        <v>172</v>
      </c>
      <c r="K139" s="7"/>
      <c r="L139" s="7"/>
      <c r="M139" s="7"/>
      <c r="N139" s="7" t="s">
        <v>170</v>
      </c>
      <c r="O139" s="7" t="s">
        <v>162</v>
      </c>
      <c r="P139" s="7" t="s">
        <v>6307</v>
      </c>
      <c r="Q139" s="129">
        <v>46199</v>
      </c>
      <c r="R139" s="130">
        <f t="shared" si="21"/>
        <v>46210</v>
      </c>
      <c r="S139" s="131">
        <f t="shared" si="20"/>
        <v>11</v>
      </c>
      <c r="T139" s="7" t="s">
        <v>182</v>
      </c>
      <c r="U139" s="7" t="s">
        <v>391</v>
      </c>
      <c r="V139" s="7"/>
      <c r="W139" s="7"/>
      <c r="X139" s="132">
        <f t="shared" si="18"/>
        <v>10</v>
      </c>
      <c r="Y139" s="133"/>
      <c r="Z139" s="133"/>
      <c r="AA139" s="133"/>
    </row>
    <row r="140" spans="1:27" hidden="1" x14ac:dyDescent="0.25">
      <c r="A140" s="127">
        <v>146</v>
      </c>
      <c r="B140" s="128" t="str">
        <f t="shared" si="19"/>
        <v>NAMS</v>
      </c>
      <c r="C140" s="128" t="str">
        <f>+VLOOKUP(U140,Ходим!A:B,2,0)</f>
        <v>51705025890024</v>
      </c>
      <c r="D140" s="128" t="str">
        <f>IFERROR(VLOOKUP($B:$B,[20]свод!$A:$AB,3,0)," ")</f>
        <v>Наманган шаҳар</v>
      </c>
      <c r="E140" s="7" t="s">
        <v>1285</v>
      </c>
      <c r="F140" s="7" t="s">
        <v>7689</v>
      </c>
      <c r="G140" s="134">
        <f t="shared" si="22"/>
        <v>1</v>
      </c>
      <c r="H140" s="134" t="str">
        <f t="shared" si="23"/>
        <v/>
      </c>
      <c r="I140" s="7" t="s">
        <v>158</v>
      </c>
      <c r="J140" s="7" t="s">
        <v>2</v>
      </c>
      <c r="K140" s="7"/>
      <c r="L140" s="7" t="s">
        <v>167</v>
      </c>
      <c r="M140" s="7" t="s">
        <v>4340</v>
      </c>
      <c r="N140" s="7" t="s">
        <v>170</v>
      </c>
      <c r="O140" s="7" t="s">
        <v>162</v>
      </c>
      <c r="P140" s="7" t="s">
        <v>6379</v>
      </c>
      <c r="Q140" s="129">
        <v>46199</v>
      </c>
      <c r="R140" s="130">
        <f t="shared" si="21"/>
        <v>46211</v>
      </c>
      <c r="S140" s="131">
        <f t="shared" si="20"/>
        <v>12</v>
      </c>
      <c r="T140" s="7" t="s">
        <v>173</v>
      </c>
      <c r="U140" s="7" t="s">
        <v>189</v>
      </c>
      <c r="V140" s="7"/>
      <c r="W140" s="7">
        <v>0</v>
      </c>
      <c r="X140" s="132">
        <f t="shared" si="18"/>
        <v>10</v>
      </c>
      <c r="Y140" s="133"/>
      <c r="Z140" s="133"/>
      <c r="AA140" s="133"/>
    </row>
    <row r="141" spans="1:27" hidden="1" x14ac:dyDescent="0.25">
      <c r="A141" s="127">
        <v>147</v>
      </c>
      <c r="B141" s="128" t="str">
        <f t="shared" si="19"/>
        <v>TORT</v>
      </c>
      <c r="C141" s="128" t="str">
        <f>+VLOOKUP(U141,Ходим!A:B,2,0)</f>
        <v>30702995920011</v>
      </c>
      <c r="D141" s="128" t="str">
        <f>IFERROR(VLOOKUP($B:$B,[20]свод!$A:$AB,3,0)," ")</f>
        <v>Тўрақўрғон тумани</v>
      </c>
      <c r="E141" s="7" t="s">
        <v>1286</v>
      </c>
      <c r="F141" s="7" t="s">
        <v>7690</v>
      </c>
      <c r="G141" s="134">
        <f t="shared" si="22"/>
        <v>1</v>
      </c>
      <c r="H141" s="134" t="str">
        <f t="shared" si="23"/>
        <v/>
      </c>
      <c r="I141" s="7" t="s">
        <v>158</v>
      </c>
      <c r="J141" s="7" t="s">
        <v>2</v>
      </c>
      <c r="K141" s="7"/>
      <c r="L141" s="7" t="s">
        <v>167</v>
      </c>
      <c r="M141" s="7" t="s">
        <v>4341</v>
      </c>
      <c r="N141" s="7" t="s">
        <v>170</v>
      </c>
      <c r="O141" s="7" t="s">
        <v>162</v>
      </c>
      <c r="P141" s="7" t="s">
        <v>6366</v>
      </c>
      <c r="Q141" s="129">
        <v>46199</v>
      </c>
      <c r="R141" s="130">
        <f t="shared" si="21"/>
        <v>46211</v>
      </c>
      <c r="S141" s="131">
        <f t="shared" si="20"/>
        <v>12</v>
      </c>
      <c r="T141" s="7" t="s">
        <v>203</v>
      </c>
      <c r="U141" s="7" t="s">
        <v>341</v>
      </c>
      <c r="V141" s="7"/>
      <c r="W141" s="7">
        <v>63.95</v>
      </c>
      <c r="X141" s="132">
        <f t="shared" si="18"/>
        <v>10</v>
      </c>
      <c r="Y141" s="133"/>
      <c r="Z141" s="133"/>
      <c r="AA141" s="133"/>
    </row>
    <row r="142" spans="1:27" hidden="1" x14ac:dyDescent="0.25">
      <c r="A142" s="127">
        <v>148</v>
      </c>
      <c r="B142" s="128" t="str">
        <f t="shared" si="19"/>
        <v>NAMT</v>
      </c>
      <c r="C142" s="128" t="str">
        <f>+VLOOKUP(U142,Ходим!A:B,2,0)</f>
        <v>32204892090133</v>
      </c>
      <c r="D142" s="128" t="str">
        <f>IFERROR(VLOOKUP($B:$B,[20]свод!$A:$AB,3,0)," ")</f>
        <v>Наманган тумани</v>
      </c>
      <c r="E142" s="7" t="s">
        <v>1287</v>
      </c>
      <c r="F142" s="7" t="s">
        <v>7691</v>
      </c>
      <c r="G142" s="134">
        <f t="shared" si="22"/>
        <v>1</v>
      </c>
      <c r="H142" s="134" t="str">
        <f t="shared" si="23"/>
        <v/>
      </c>
      <c r="I142" s="7" t="s">
        <v>158</v>
      </c>
      <c r="J142" s="7" t="s">
        <v>2</v>
      </c>
      <c r="K142" s="7"/>
      <c r="L142" s="7" t="s">
        <v>167</v>
      </c>
      <c r="M142" s="7" t="s">
        <v>4342</v>
      </c>
      <c r="N142" s="7" t="s">
        <v>170</v>
      </c>
      <c r="O142" s="7" t="s">
        <v>162</v>
      </c>
      <c r="P142" s="7" t="s">
        <v>6334</v>
      </c>
      <c r="Q142" s="129">
        <v>46199</v>
      </c>
      <c r="R142" s="130">
        <f t="shared" si="21"/>
        <v>46204</v>
      </c>
      <c r="S142" s="131">
        <f t="shared" si="20"/>
        <v>5</v>
      </c>
      <c r="T142" s="7" t="s">
        <v>197</v>
      </c>
      <c r="U142" s="7" t="s">
        <v>198</v>
      </c>
      <c r="V142" s="7"/>
      <c r="W142" s="7">
        <v>168.22</v>
      </c>
      <c r="X142" s="132">
        <f t="shared" si="18"/>
        <v>10</v>
      </c>
      <c r="Y142" s="133"/>
      <c r="Z142" s="133"/>
      <c r="AA142" s="133"/>
    </row>
    <row r="143" spans="1:27" hidden="1" x14ac:dyDescent="0.25">
      <c r="A143" s="127">
        <v>149</v>
      </c>
      <c r="B143" s="128" t="str">
        <f t="shared" si="19"/>
        <v>CHOT</v>
      </c>
      <c r="C143" s="128" t="str">
        <f>+VLOOKUP(U143,Ходим!A:B,2,0)</f>
        <v>51507005890086</v>
      </c>
      <c r="D143" s="128" t="str">
        <f>IFERROR(VLOOKUP($B:$B,[20]свод!$A:$AB,3,0)," ")</f>
        <v>Чортоқ тумани</v>
      </c>
      <c r="E143" s="7" t="s">
        <v>1288</v>
      </c>
      <c r="F143" s="7" t="s">
        <v>7692</v>
      </c>
      <c r="G143" s="134">
        <f t="shared" si="22"/>
        <v>1</v>
      </c>
      <c r="H143" s="134" t="str">
        <f t="shared" si="23"/>
        <v/>
      </c>
      <c r="I143" s="7" t="s">
        <v>158</v>
      </c>
      <c r="J143" s="7" t="s">
        <v>172</v>
      </c>
      <c r="K143" s="7"/>
      <c r="L143" s="7" t="s">
        <v>167</v>
      </c>
      <c r="M143" s="7" t="s">
        <v>4343</v>
      </c>
      <c r="N143" s="7" t="s">
        <v>170</v>
      </c>
      <c r="O143" s="7" t="s">
        <v>162</v>
      </c>
      <c r="P143" s="7" t="s">
        <v>6376</v>
      </c>
      <c r="Q143" s="129">
        <v>46199</v>
      </c>
      <c r="R143" s="130">
        <f t="shared" si="21"/>
        <v>46204</v>
      </c>
      <c r="S143" s="131">
        <f t="shared" si="20"/>
        <v>5</v>
      </c>
      <c r="T143" s="7" t="s">
        <v>184</v>
      </c>
      <c r="U143" s="7" t="s">
        <v>406</v>
      </c>
      <c r="V143" s="7"/>
      <c r="W143" s="7">
        <v>0</v>
      </c>
      <c r="X143" s="132">
        <f t="shared" si="18"/>
        <v>10</v>
      </c>
      <c r="Y143" s="133"/>
      <c r="Z143" s="133"/>
      <c r="AA143" s="133"/>
    </row>
    <row r="144" spans="1:27" hidden="1" x14ac:dyDescent="0.25">
      <c r="A144" s="127">
        <v>150</v>
      </c>
      <c r="B144" s="128" t="str">
        <f t="shared" si="19"/>
        <v>MINT</v>
      </c>
      <c r="C144" s="128" t="e">
        <f>+VLOOKUP(U144,Ходим!A:B,2,0)</f>
        <v>#N/A</v>
      </c>
      <c r="D144" s="128" t="str">
        <f>IFERROR(VLOOKUP($B:$B,[20]свод!$A:$AB,3,0)," ")</f>
        <v>Мингбулоқ тумани</v>
      </c>
      <c r="E144" s="7" t="s">
        <v>1289</v>
      </c>
      <c r="F144" s="7" t="s">
        <v>7693</v>
      </c>
      <c r="G144" s="134">
        <f t="shared" si="22"/>
        <v>1</v>
      </c>
      <c r="H144" s="134" t="str">
        <f t="shared" si="23"/>
        <v/>
      </c>
      <c r="I144" s="7" t="s">
        <v>156</v>
      </c>
      <c r="J144" s="7" t="s">
        <v>11</v>
      </c>
      <c r="K144" s="7"/>
      <c r="L144" s="7"/>
      <c r="M144" s="7"/>
      <c r="N144" s="7" t="s">
        <v>170</v>
      </c>
      <c r="O144" s="7" t="s">
        <v>162</v>
      </c>
      <c r="P144" s="7" t="s">
        <v>6380</v>
      </c>
      <c r="Q144" s="129">
        <v>46199</v>
      </c>
      <c r="R144" s="130">
        <f t="shared" si="21"/>
        <v>46211</v>
      </c>
      <c r="S144" s="131">
        <f t="shared" si="20"/>
        <v>12</v>
      </c>
      <c r="T144" s="7"/>
      <c r="U144" s="7"/>
      <c r="V144" s="7"/>
      <c r="W144" s="7"/>
      <c r="X144" s="132">
        <f t="shared" si="18"/>
        <v>10</v>
      </c>
      <c r="Y144" s="133"/>
      <c r="Z144" s="133"/>
      <c r="AA144" s="133"/>
    </row>
    <row r="145" spans="1:27" hidden="1" x14ac:dyDescent="0.25">
      <c r="A145" s="127">
        <v>151</v>
      </c>
      <c r="B145" s="128" t="str">
        <f t="shared" si="19"/>
        <v>UYCT</v>
      </c>
      <c r="C145" s="128" t="str">
        <f>+VLOOKUP(U145,Ходим!A:B,2,0)</f>
        <v>50304035930044</v>
      </c>
      <c r="D145" s="128" t="str">
        <f>IFERROR(VLOOKUP($B:$B,[20]свод!$A:$AB,3,0)," ")</f>
        <v>Уйчи тумани</v>
      </c>
      <c r="E145" s="7" t="s">
        <v>1290</v>
      </c>
      <c r="F145" s="7" t="s">
        <v>7694</v>
      </c>
      <c r="G145" s="134">
        <f t="shared" si="22"/>
        <v>1</v>
      </c>
      <c r="H145" s="134" t="str">
        <f t="shared" si="23"/>
        <v/>
      </c>
      <c r="I145" s="7" t="s">
        <v>156</v>
      </c>
      <c r="J145" s="7" t="s">
        <v>25</v>
      </c>
      <c r="K145" s="7"/>
      <c r="L145" s="7" t="s">
        <v>167</v>
      </c>
      <c r="M145" s="7" t="s">
        <v>4344</v>
      </c>
      <c r="N145" s="7" t="s">
        <v>170</v>
      </c>
      <c r="O145" s="7" t="s">
        <v>162</v>
      </c>
      <c r="P145" s="7" t="s">
        <v>6380</v>
      </c>
      <c r="Q145" s="129">
        <v>46199</v>
      </c>
      <c r="R145" s="130">
        <f t="shared" si="21"/>
        <v>46211</v>
      </c>
      <c r="S145" s="131">
        <f t="shared" si="20"/>
        <v>12</v>
      </c>
      <c r="T145" s="7" t="s">
        <v>947</v>
      </c>
      <c r="U145" s="7" t="s">
        <v>956</v>
      </c>
      <c r="V145" s="7"/>
      <c r="W145" s="7">
        <v>0</v>
      </c>
      <c r="X145" s="132">
        <f t="shared" si="18"/>
        <v>10</v>
      </c>
      <c r="Y145" s="133"/>
      <c r="Z145" s="133"/>
      <c r="AA145" s="133"/>
    </row>
    <row r="146" spans="1:27" hidden="1" x14ac:dyDescent="0.25">
      <c r="A146" s="127">
        <v>152</v>
      </c>
      <c r="B146" s="128" t="str">
        <f t="shared" si="19"/>
        <v>UCQT</v>
      </c>
      <c r="C146" s="128" t="str">
        <f>+VLOOKUP(U146,Ходим!A:B,2,0)</f>
        <v>51107025940051</v>
      </c>
      <c r="D146" s="128" t="str">
        <f>IFERROR(VLOOKUP($B:$B,[20]свод!$A:$AB,3,0)," ")</f>
        <v>Учқўрғон тумани</v>
      </c>
      <c r="E146" s="7" t="s">
        <v>1291</v>
      </c>
      <c r="F146" s="7" t="s">
        <v>7695</v>
      </c>
      <c r="G146" s="134">
        <f t="shared" si="22"/>
        <v>1</v>
      </c>
      <c r="H146" s="134" t="str">
        <f t="shared" si="23"/>
        <v/>
      </c>
      <c r="I146" s="7" t="s">
        <v>158</v>
      </c>
      <c r="J146" s="7" t="s">
        <v>172</v>
      </c>
      <c r="K146" s="7"/>
      <c r="L146" s="7" t="s">
        <v>167</v>
      </c>
      <c r="M146" s="7" t="s">
        <v>4345</v>
      </c>
      <c r="N146" s="7" t="s">
        <v>170</v>
      </c>
      <c r="O146" s="7" t="s">
        <v>162</v>
      </c>
      <c r="P146" s="7" t="s">
        <v>6381</v>
      </c>
      <c r="Q146" s="129">
        <v>46199</v>
      </c>
      <c r="R146" s="130">
        <f t="shared" si="21"/>
        <v>46206</v>
      </c>
      <c r="S146" s="131">
        <f t="shared" si="20"/>
        <v>7</v>
      </c>
      <c r="T146" s="7" t="s">
        <v>175</v>
      </c>
      <c r="U146" s="7" t="s">
        <v>296</v>
      </c>
      <c r="V146" s="7"/>
      <c r="W146" s="7">
        <v>87.11</v>
      </c>
      <c r="X146" s="132">
        <f t="shared" si="18"/>
        <v>10</v>
      </c>
      <c r="Y146" s="133"/>
      <c r="Z146" s="133"/>
      <c r="AA146" s="133"/>
    </row>
    <row r="147" spans="1:27" hidden="1" x14ac:dyDescent="0.25">
      <c r="A147" s="127">
        <v>153</v>
      </c>
      <c r="B147" s="128" t="str">
        <f t="shared" si="19"/>
        <v>YGQT</v>
      </c>
      <c r="C147" s="128" t="str">
        <f>+VLOOKUP(U147,Ходим!A:B,2,0)</f>
        <v>30602822170087</v>
      </c>
      <c r="D147" s="128" t="str">
        <f>IFERROR(VLOOKUP($B:$B,[20]свод!$A:$AB,3,0)," ")</f>
        <v>Янгиқўрғон тумани</v>
      </c>
      <c r="E147" s="7" t="s">
        <v>1292</v>
      </c>
      <c r="F147" s="7" t="s">
        <v>7696</v>
      </c>
      <c r="G147" s="134" t="str">
        <f t="shared" si="22"/>
        <v/>
      </c>
      <c r="H147" s="134">
        <f t="shared" si="23"/>
        <v>1</v>
      </c>
      <c r="I147" s="7" t="s">
        <v>157</v>
      </c>
      <c r="J147" s="7" t="s">
        <v>2</v>
      </c>
      <c r="K147" s="7"/>
      <c r="L147" s="7" t="s">
        <v>166</v>
      </c>
      <c r="M147" s="7" t="s">
        <v>4346</v>
      </c>
      <c r="N147" s="7" t="s">
        <v>170</v>
      </c>
      <c r="O147" s="7" t="s">
        <v>161</v>
      </c>
      <c r="P147" s="7" t="s">
        <v>6343</v>
      </c>
      <c r="Q147" s="129">
        <v>46199</v>
      </c>
      <c r="R147" s="130">
        <f t="shared" si="21"/>
        <v>46219</v>
      </c>
      <c r="S147" s="131">
        <f t="shared" si="20"/>
        <v>20</v>
      </c>
      <c r="T147" s="7" t="s">
        <v>182</v>
      </c>
      <c r="U147" s="7" t="s">
        <v>320</v>
      </c>
      <c r="V147" s="7"/>
      <c r="W147" s="7">
        <v>2536.12</v>
      </c>
      <c r="X147" s="132">
        <f t="shared" si="18"/>
        <v>17</v>
      </c>
      <c r="Y147" s="133"/>
      <c r="Z147" s="133"/>
      <c r="AA147" s="133"/>
    </row>
    <row r="148" spans="1:27" hidden="1" x14ac:dyDescent="0.25">
      <c r="A148" s="127">
        <v>154</v>
      </c>
      <c r="B148" s="128" t="str">
        <f t="shared" si="19"/>
        <v>KSST</v>
      </c>
      <c r="C148" s="128" t="str">
        <f>+VLOOKUP(U148,Ходим!A:B,2,0)</f>
        <v>31810912190036</v>
      </c>
      <c r="D148" s="128" t="str">
        <f>IFERROR(VLOOKUP($B:$B,[20]свод!$A:$AB,3,0)," ")</f>
        <v>Косонсой тумани</v>
      </c>
      <c r="E148" s="7" t="s">
        <v>1293</v>
      </c>
      <c r="F148" s="7" t="s">
        <v>7697</v>
      </c>
      <c r="G148" s="134" t="str">
        <f t="shared" si="22"/>
        <v/>
      </c>
      <c r="H148" s="134">
        <f t="shared" si="23"/>
        <v>1</v>
      </c>
      <c r="I148" s="7" t="s">
        <v>155</v>
      </c>
      <c r="J148" s="7" t="s">
        <v>25</v>
      </c>
      <c r="K148" s="7"/>
      <c r="L148" s="7"/>
      <c r="M148" s="7"/>
      <c r="N148" s="7" t="s">
        <v>170</v>
      </c>
      <c r="O148" s="7" t="s">
        <v>161</v>
      </c>
      <c r="P148" s="7" t="s">
        <v>6382</v>
      </c>
      <c r="Q148" s="129">
        <v>46199</v>
      </c>
      <c r="R148" s="130">
        <f t="shared" si="21"/>
        <v>46211</v>
      </c>
      <c r="S148" s="131">
        <f t="shared" si="20"/>
        <v>12</v>
      </c>
      <c r="T148" s="7" t="s">
        <v>180</v>
      </c>
      <c r="U148" s="7" t="s">
        <v>196</v>
      </c>
      <c r="V148" s="7"/>
      <c r="W148" s="7"/>
      <c r="X148" s="132">
        <f t="shared" si="18"/>
        <v>10</v>
      </c>
      <c r="Y148" s="133"/>
      <c r="Z148" s="133"/>
      <c r="AA148" s="133"/>
    </row>
    <row r="149" spans="1:27" hidden="1" x14ac:dyDescent="0.25">
      <c r="A149" s="127">
        <v>155</v>
      </c>
      <c r="B149" s="128" t="str">
        <f t="shared" si="19"/>
        <v>NAMS</v>
      </c>
      <c r="C149" s="128" t="str">
        <f>+VLOOKUP(U149,Ходим!A:B,2,0)</f>
        <v>51705025890024</v>
      </c>
      <c r="D149" s="128" t="str">
        <f>IFERROR(VLOOKUP($B:$B,[20]свод!$A:$AB,3,0)," ")</f>
        <v>Наманган шаҳар</v>
      </c>
      <c r="E149" s="7" t="s">
        <v>1294</v>
      </c>
      <c r="F149" s="7" t="s">
        <v>7698</v>
      </c>
      <c r="G149" s="134">
        <f t="shared" si="22"/>
        <v>1</v>
      </c>
      <c r="H149" s="134" t="str">
        <f t="shared" si="23"/>
        <v/>
      </c>
      <c r="I149" s="7" t="s">
        <v>156</v>
      </c>
      <c r="J149" s="7" t="s">
        <v>11</v>
      </c>
      <c r="K149" s="7"/>
      <c r="L149" s="7"/>
      <c r="M149" s="7"/>
      <c r="N149" s="7" t="s">
        <v>170</v>
      </c>
      <c r="O149" s="7" t="s">
        <v>162</v>
      </c>
      <c r="P149" s="7" t="s">
        <v>6382</v>
      </c>
      <c r="Q149" s="129">
        <v>46199</v>
      </c>
      <c r="R149" s="130">
        <f t="shared" si="21"/>
        <v>46211</v>
      </c>
      <c r="S149" s="131">
        <f t="shared" si="20"/>
        <v>12</v>
      </c>
      <c r="T149" s="7" t="s">
        <v>173</v>
      </c>
      <c r="U149" s="7" t="s">
        <v>189</v>
      </c>
      <c r="V149" s="7"/>
      <c r="W149" s="7"/>
      <c r="X149" s="132">
        <f t="shared" si="18"/>
        <v>10</v>
      </c>
      <c r="Y149" s="133"/>
      <c r="Z149" s="133"/>
      <c r="AA149" s="133"/>
    </row>
    <row r="150" spans="1:27" hidden="1" x14ac:dyDescent="0.25">
      <c r="A150" s="127">
        <v>156</v>
      </c>
      <c r="B150" s="128" t="str">
        <f t="shared" si="19"/>
        <v>NAMS</v>
      </c>
      <c r="C150" s="128" t="str">
        <f>+VLOOKUP(U150,Ходим!A:B,2,0)</f>
        <v>52710005960025</v>
      </c>
      <c r="D150" s="128" t="str">
        <f>IFERROR(VLOOKUP($B:$B,[20]свод!$A:$AB,3,0)," ")</f>
        <v>Наманган шаҳар</v>
      </c>
      <c r="E150" s="7" t="s">
        <v>1295</v>
      </c>
      <c r="F150" s="7" t="s">
        <v>7699</v>
      </c>
      <c r="G150" s="134">
        <f t="shared" si="22"/>
        <v>1</v>
      </c>
      <c r="H150" s="134" t="str">
        <f t="shared" si="23"/>
        <v/>
      </c>
      <c r="I150" s="7" t="s">
        <v>158</v>
      </c>
      <c r="J150" s="7" t="s">
        <v>2</v>
      </c>
      <c r="K150" s="7"/>
      <c r="L150" s="7"/>
      <c r="M150" s="7"/>
      <c r="N150" s="7" t="s">
        <v>170</v>
      </c>
      <c r="O150" s="7" t="s">
        <v>162</v>
      </c>
      <c r="P150" s="7" t="s">
        <v>6382</v>
      </c>
      <c r="Q150" s="129">
        <v>46199</v>
      </c>
      <c r="R150" s="130">
        <f t="shared" si="21"/>
        <v>46211</v>
      </c>
      <c r="S150" s="131">
        <f t="shared" si="20"/>
        <v>12</v>
      </c>
      <c r="T150" s="7" t="s">
        <v>185</v>
      </c>
      <c r="U150" s="7" t="s">
        <v>274</v>
      </c>
      <c r="V150" s="7"/>
      <c r="W150" s="7"/>
      <c r="X150" s="132">
        <f t="shared" si="18"/>
        <v>10</v>
      </c>
      <c r="Y150" s="133"/>
      <c r="Z150" s="133"/>
      <c r="AA150" s="133"/>
    </row>
    <row r="151" spans="1:27" hidden="1" x14ac:dyDescent="0.25">
      <c r="A151" s="127">
        <v>157</v>
      </c>
      <c r="B151" s="128" t="str">
        <f t="shared" si="19"/>
        <v>MINT</v>
      </c>
      <c r="C151" s="128" t="e">
        <f>+VLOOKUP(U151,Ходим!A:B,2,0)</f>
        <v>#N/A</v>
      </c>
      <c r="D151" s="128" t="str">
        <f>IFERROR(VLOOKUP($B:$B,[20]свод!$A:$AB,3,0)," ")</f>
        <v>Мингбулоқ тумани</v>
      </c>
      <c r="E151" s="7" t="s">
        <v>1296</v>
      </c>
      <c r="F151" s="7" t="s">
        <v>7700</v>
      </c>
      <c r="G151" s="134">
        <f t="shared" si="22"/>
        <v>1</v>
      </c>
      <c r="H151" s="134" t="str">
        <f t="shared" si="23"/>
        <v/>
      </c>
      <c r="I151" s="7" t="s">
        <v>156</v>
      </c>
      <c r="J151" s="7" t="s">
        <v>11</v>
      </c>
      <c r="K151" s="7"/>
      <c r="L151" s="7"/>
      <c r="M151" s="7"/>
      <c r="N151" s="7" t="s">
        <v>170</v>
      </c>
      <c r="O151" s="7" t="s">
        <v>162</v>
      </c>
      <c r="P151" s="7" t="s">
        <v>6383</v>
      </c>
      <c r="Q151" s="129">
        <v>46199</v>
      </c>
      <c r="R151" s="130">
        <f t="shared" si="21"/>
        <v>46211</v>
      </c>
      <c r="S151" s="131">
        <f t="shared" si="20"/>
        <v>12</v>
      </c>
      <c r="T151" s="7"/>
      <c r="U151" s="7"/>
      <c r="V151" s="7"/>
      <c r="W151" s="7"/>
      <c r="X151" s="132">
        <f t="shared" si="18"/>
        <v>10</v>
      </c>
      <c r="Y151" s="133"/>
      <c r="Z151" s="133"/>
      <c r="AA151" s="133"/>
    </row>
    <row r="152" spans="1:27" hidden="1" x14ac:dyDescent="0.25">
      <c r="A152" s="127">
        <v>158</v>
      </c>
      <c r="B152" s="128" t="str">
        <f t="shared" si="19"/>
        <v>NAMS</v>
      </c>
      <c r="C152" s="128" t="str">
        <f>+VLOOKUP(U152,Ходим!A:B,2,0)</f>
        <v>30108932170088</v>
      </c>
      <c r="D152" s="128" t="str">
        <f>IFERROR(VLOOKUP($B:$B,[20]свод!$A:$AB,3,0)," ")</f>
        <v>Наманган шаҳар</v>
      </c>
      <c r="E152" s="7" t="s">
        <v>1297</v>
      </c>
      <c r="F152" s="7" t="s">
        <v>7701</v>
      </c>
      <c r="G152" s="134">
        <f t="shared" si="22"/>
        <v>1</v>
      </c>
      <c r="H152" s="134" t="str">
        <f t="shared" si="23"/>
        <v/>
      </c>
      <c r="I152" s="7" t="s">
        <v>156</v>
      </c>
      <c r="J152" s="7" t="s">
        <v>22</v>
      </c>
      <c r="K152" s="7"/>
      <c r="L152" s="7"/>
      <c r="M152" s="7"/>
      <c r="N152" s="7" t="s">
        <v>170</v>
      </c>
      <c r="O152" s="7" t="s">
        <v>162</v>
      </c>
      <c r="P152" s="7" t="s">
        <v>6384</v>
      </c>
      <c r="Q152" s="129">
        <v>46199</v>
      </c>
      <c r="R152" s="130">
        <f t="shared" si="21"/>
        <v>46211</v>
      </c>
      <c r="S152" s="131">
        <f t="shared" si="20"/>
        <v>12</v>
      </c>
      <c r="T152" s="7" t="s">
        <v>173</v>
      </c>
      <c r="U152" s="7" t="s">
        <v>329</v>
      </c>
      <c r="V152" s="7"/>
      <c r="W152" s="7"/>
      <c r="X152" s="132">
        <f t="shared" si="18"/>
        <v>10</v>
      </c>
      <c r="Y152" s="133"/>
      <c r="Z152" s="133"/>
      <c r="AA152" s="133"/>
    </row>
    <row r="153" spans="1:27" hidden="1" x14ac:dyDescent="0.25">
      <c r="A153" s="127">
        <v>159</v>
      </c>
      <c r="B153" s="128" t="str">
        <f t="shared" si="19"/>
        <v>NAMS</v>
      </c>
      <c r="C153" s="128" t="str">
        <f>+VLOOKUP(U153,Ходим!A:B,2,0)</f>
        <v>31601642170089</v>
      </c>
      <c r="D153" s="128" t="str">
        <f>IFERROR(VLOOKUP($B:$B,[20]свод!$A:$AB,3,0)," ")</f>
        <v>Наманган шаҳар</v>
      </c>
      <c r="E153" s="7" t="s">
        <v>1298</v>
      </c>
      <c r="F153" s="7" t="s">
        <v>7702</v>
      </c>
      <c r="G153" s="134">
        <f t="shared" si="22"/>
        <v>1</v>
      </c>
      <c r="H153" s="134" t="str">
        <f t="shared" si="23"/>
        <v/>
      </c>
      <c r="I153" s="7" t="s">
        <v>156</v>
      </c>
      <c r="J153" s="7" t="s">
        <v>25</v>
      </c>
      <c r="K153" s="7"/>
      <c r="L153" s="7"/>
      <c r="M153" s="7"/>
      <c r="N153" s="7" t="s">
        <v>170</v>
      </c>
      <c r="O153" s="7" t="s">
        <v>162</v>
      </c>
      <c r="P153" s="7" t="s">
        <v>6385</v>
      </c>
      <c r="Q153" s="129">
        <v>46199</v>
      </c>
      <c r="R153" s="130">
        <f t="shared" si="21"/>
        <v>46211</v>
      </c>
      <c r="S153" s="131">
        <f t="shared" si="20"/>
        <v>12</v>
      </c>
      <c r="T153" s="7" t="s">
        <v>173</v>
      </c>
      <c r="U153" s="7" t="s">
        <v>201</v>
      </c>
      <c r="V153" s="7"/>
      <c r="W153" s="7"/>
      <c r="X153" s="132">
        <f t="shared" si="18"/>
        <v>10</v>
      </c>
      <c r="Y153" s="133"/>
      <c r="Z153" s="133"/>
      <c r="AA153" s="133"/>
    </row>
    <row r="154" spans="1:27" hidden="1" x14ac:dyDescent="0.25">
      <c r="A154" s="127">
        <v>160</v>
      </c>
      <c r="B154" s="128" t="str">
        <f t="shared" si="19"/>
        <v>NAMS</v>
      </c>
      <c r="C154" s="128" t="str">
        <f>+VLOOKUP(U154,Ходим!A:B,2,0)</f>
        <v>30304915960053</v>
      </c>
      <c r="D154" s="128" t="str">
        <f>IFERROR(VLOOKUP($B:$B,[20]свод!$A:$AB,3,0)," ")</f>
        <v>Наманган шаҳар</v>
      </c>
      <c r="E154" s="7" t="s">
        <v>1299</v>
      </c>
      <c r="F154" s="7" t="s">
        <v>7703</v>
      </c>
      <c r="G154" s="134">
        <f t="shared" si="22"/>
        <v>1</v>
      </c>
      <c r="H154" s="134" t="str">
        <f t="shared" si="23"/>
        <v/>
      </c>
      <c r="I154" s="7" t="s">
        <v>156</v>
      </c>
      <c r="J154" s="7" t="s">
        <v>11</v>
      </c>
      <c r="K154" s="7"/>
      <c r="L154" s="7" t="s">
        <v>167</v>
      </c>
      <c r="M154" s="7" t="s">
        <v>4347</v>
      </c>
      <c r="N154" s="7" t="s">
        <v>170</v>
      </c>
      <c r="O154" s="7" t="s">
        <v>162</v>
      </c>
      <c r="P154" s="7" t="s">
        <v>6385</v>
      </c>
      <c r="Q154" s="129">
        <v>46199</v>
      </c>
      <c r="R154" s="130">
        <f t="shared" si="21"/>
        <v>46211</v>
      </c>
      <c r="S154" s="131">
        <f t="shared" si="20"/>
        <v>12</v>
      </c>
      <c r="T154" s="7" t="s">
        <v>185</v>
      </c>
      <c r="U154" s="7" t="s">
        <v>314</v>
      </c>
      <c r="V154" s="7"/>
      <c r="W154" s="7">
        <v>272.63</v>
      </c>
      <c r="X154" s="132">
        <f t="shared" si="18"/>
        <v>10</v>
      </c>
      <c r="Y154" s="133"/>
      <c r="Z154" s="133"/>
      <c r="AA154" s="133"/>
    </row>
    <row r="155" spans="1:27" hidden="1" x14ac:dyDescent="0.25">
      <c r="A155" s="127">
        <v>161</v>
      </c>
      <c r="B155" s="128" t="str">
        <f t="shared" si="19"/>
        <v>NAMS</v>
      </c>
      <c r="C155" s="128" t="str">
        <f>+VLOOKUP(U155,Ходим!A:B,2,0)</f>
        <v>51911035960011</v>
      </c>
      <c r="D155" s="128" t="str">
        <f>IFERROR(VLOOKUP($B:$B,[20]свод!$A:$AB,3,0)," ")</f>
        <v>Наманган шаҳар</v>
      </c>
      <c r="E155" s="7" t="s">
        <v>1300</v>
      </c>
      <c r="F155" s="7" t="s">
        <v>7704</v>
      </c>
      <c r="G155" s="134">
        <f t="shared" si="22"/>
        <v>1</v>
      </c>
      <c r="H155" s="134" t="str">
        <f t="shared" si="23"/>
        <v/>
      </c>
      <c r="I155" s="7" t="s">
        <v>156</v>
      </c>
      <c r="J155" s="7" t="s">
        <v>25</v>
      </c>
      <c r="K155" s="7"/>
      <c r="L155" s="7"/>
      <c r="M155" s="7"/>
      <c r="N155" s="7" t="s">
        <v>170</v>
      </c>
      <c r="O155" s="7" t="s">
        <v>162</v>
      </c>
      <c r="P155" s="7" t="s">
        <v>6385</v>
      </c>
      <c r="Q155" s="129">
        <v>46199</v>
      </c>
      <c r="R155" s="130">
        <f t="shared" si="21"/>
        <v>46211</v>
      </c>
      <c r="S155" s="131">
        <f t="shared" si="20"/>
        <v>12</v>
      </c>
      <c r="T155" s="7" t="s">
        <v>173</v>
      </c>
      <c r="U155" s="7" t="s">
        <v>371</v>
      </c>
      <c r="V155" s="7"/>
      <c r="W155" s="7"/>
      <c r="X155" s="132">
        <f t="shared" si="18"/>
        <v>10</v>
      </c>
      <c r="Y155" s="133"/>
      <c r="Z155" s="133"/>
      <c r="AA155" s="133"/>
    </row>
    <row r="156" spans="1:27" hidden="1" x14ac:dyDescent="0.25">
      <c r="A156" s="127">
        <v>162</v>
      </c>
      <c r="B156" s="128" t="str">
        <f t="shared" si="19"/>
        <v>NAMS</v>
      </c>
      <c r="C156" s="128" t="str">
        <f>+VLOOKUP(U156,Ходим!A:B,2,0)</f>
        <v>30302965960014</v>
      </c>
      <c r="D156" s="128" t="str">
        <f>IFERROR(VLOOKUP($B:$B,[20]свод!$A:$AB,3,0)," ")</f>
        <v>Наманган шаҳар</v>
      </c>
      <c r="E156" s="7" t="s">
        <v>1301</v>
      </c>
      <c r="F156" s="7" t="s">
        <v>7705</v>
      </c>
      <c r="G156" s="134">
        <f t="shared" si="22"/>
        <v>1</v>
      </c>
      <c r="H156" s="134" t="str">
        <f t="shared" si="23"/>
        <v/>
      </c>
      <c r="I156" s="7" t="s">
        <v>156</v>
      </c>
      <c r="J156" s="7" t="s">
        <v>25</v>
      </c>
      <c r="K156" s="7"/>
      <c r="L156" s="7"/>
      <c r="M156" s="7"/>
      <c r="N156" s="7" t="s">
        <v>170</v>
      </c>
      <c r="O156" s="7" t="s">
        <v>162</v>
      </c>
      <c r="P156" s="7" t="s">
        <v>6386</v>
      </c>
      <c r="Q156" s="129">
        <v>46199</v>
      </c>
      <c r="R156" s="130">
        <f t="shared" si="21"/>
        <v>46211</v>
      </c>
      <c r="S156" s="131">
        <f t="shared" si="20"/>
        <v>12</v>
      </c>
      <c r="T156" s="7" t="s">
        <v>173</v>
      </c>
      <c r="U156" s="7" t="s">
        <v>304</v>
      </c>
      <c r="V156" s="7"/>
      <c r="W156" s="7"/>
      <c r="X156" s="132">
        <f t="shared" si="18"/>
        <v>10</v>
      </c>
      <c r="Y156" s="133"/>
      <c r="Z156" s="133"/>
      <c r="AA156" s="133"/>
    </row>
    <row r="157" spans="1:27" hidden="1" x14ac:dyDescent="0.25">
      <c r="A157" s="127">
        <v>163</v>
      </c>
      <c r="B157" s="128" t="str">
        <f t="shared" si="19"/>
        <v>UCQT</v>
      </c>
      <c r="C157" s="128" t="e">
        <f>+VLOOKUP(U157,Ходим!A:B,2,0)</f>
        <v>#N/A</v>
      </c>
      <c r="D157" s="128" t="str">
        <f>IFERROR(VLOOKUP($B:$B,[20]свод!$A:$AB,3,0)," ")</f>
        <v>Учқўрғон тумани</v>
      </c>
      <c r="E157" s="7" t="s">
        <v>1302</v>
      </c>
      <c r="F157" s="7" t="s">
        <v>7706</v>
      </c>
      <c r="G157" s="134">
        <f t="shared" si="22"/>
        <v>1</v>
      </c>
      <c r="H157" s="134" t="str">
        <f t="shared" si="23"/>
        <v/>
      </c>
      <c r="I157" s="7" t="s">
        <v>156</v>
      </c>
      <c r="J157" s="7" t="s">
        <v>11</v>
      </c>
      <c r="K157" s="7"/>
      <c r="L157" s="7"/>
      <c r="M157" s="7"/>
      <c r="N157" s="7" t="s">
        <v>410</v>
      </c>
      <c r="O157" s="7" t="s">
        <v>162</v>
      </c>
      <c r="P157" s="7" t="s">
        <v>6387</v>
      </c>
      <c r="Q157" s="129">
        <v>46199</v>
      </c>
      <c r="R157" s="130">
        <f t="shared" si="21"/>
        <v>46211</v>
      </c>
      <c r="S157" s="131">
        <f t="shared" si="20"/>
        <v>12</v>
      </c>
      <c r="T157" s="7"/>
      <c r="U157" s="7"/>
      <c r="V157" s="7"/>
      <c r="W157" s="7"/>
      <c r="X157" s="132">
        <f t="shared" si="18"/>
        <v>10</v>
      </c>
      <c r="Y157" s="133"/>
      <c r="Z157" s="133"/>
      <c r="AA157" s="133"/>
    </row>
    <row r="158" spans="1:27" hidden="1" x14ac:dyDescent="0.25">
      <c r="A158" s="127">
        <v>164</v>
      </c>
      <c r="B158" s="128" t="str">
        <f t="shared" si="19"/>
        <v>CHOT</v>
      </c>
      <c r="C158" s="128" t="str">
        <f>+VLOOKUP(U158,Ходим!A:B,2,0)</f>
        <v>30608892100030</v>
      </c>
      <c r="D158" s="128" t="str">
        <f>IFERROR(VLOOKUP($B:$B,[20]свод!$A:$AB,3,0)," ")</f>
        <v>Чортоқ тумани</v>
      </c>
      <c r="E158" s="7" t="s">
        <v>1303</v>
      </c>
      <c r="F158" s="7" t="s">
        <v>7707</v>
      </c>
      <c r="G158" s="134">
        <f t="shared" si="22"/>
        <v>1</v>
      </c>
      <c r="H158" s="134" t="str">
        <f t="shared" si="23"/>
        <v/>
      </c>
      <c r="I158" s="7" t="s">
        <v>158</v>
      </c>
      <c r="J158" s="7" t="s">
        <v>2</v>
      </c>
      <c r="K158" s="7"/>
      <c r="L158" s="7" t="s">
        <v>167</v>
      </c>
      <c r="M158" s="7" t="s">
        <v>4348</v>
      </c>
      <c r="N158" s="7" t="s">
        <v>170</v>
      </c>
      <c r="O158" s="7" t="s">
        <v>162</v>
      </c>
      <c r="P158" s="7" t="s">
        <v>6388</v>
      </c>
      <c r="Q158" s="129">
        <v>46199</v>
      </c>
      <c r="R158" s="130">
        <f t="shared" si="21"/>
        <v>46204</v>
      </c>
      <c r="S158" s="131">
        <f t="shared" si="20"/>
        <v>5</v>
      </c>
      <c r="T158" s="7" t="s">
        <v>184</v>
      </c>
      <c r="U158" s="7" t="s">
        <v>266</v>
      </c>
      <c r="V158" s="7"/>
      <c r="W158" s="7">
        <v>287.07</v>
      </c>
      <c r="X158" s="132">
        <f t="shared" si="18"/>
        <v>10</v>
      </c>
      <c r="Y158" s="133"/>
      <c r="Z158" s="133"/>
      <c r="AA158" s="133"/>
    </row>
    <row r="159" spans="1:27" x14ac:dyDescent="0.25">
      <c r="A159" s="127">
        <v>165</v>
      </c>
      <c r="B159" s="128" t="str">
        <f t="shared" si="19"/>
        <v>POPT</v>
      </c>
      <c r="C159" s="128" t="str">
        <f>+VLOOKUP(U159,Ходим!A:B,2,0)</f>
        <v>30809922120031</v>
      </c>
      <c r="D159" s="128" t="str">
        <f>IFERROR(VLOOKUP($B:$B,[20]свод!$A:$AB,3,0)," ")</f>
        <v>Поп тумани</v>
      </c>
      <c r="E159" s="7" t="s">
        <v>960</v>
      </c>
      <c r="F159" s="7" t="s">
        <v>961</v>
      </c>
      <c r="G159" s="134">
        <f t="shared" si="22"/>
        <v>1</v>
      </c>
      <c r="H159" s="134" t="str">
        <f t="shared" si="23"/>
        <v/>
      </c>
      <c r="I159" s="7" t="s">
        <v>154</v>
      </c>
      <c r="J159" s="7" t="s">
        <v>2</v>
      </c>
      <c r="K159" s="7"/>
      <c r="L159" s="7"/>
      <c r="M159" s="7"/>
      <c r="N159" s="7" t="s">
        <v>410</v>
      </c>
      <c r="O159" s="7" t="s">
        <v>162</v>
      </c>
      <c r="P159" s="7" t="s">
        <v>962</v>
      </c>
      <c r="Q159" s="129">
        <v>46199</v>
      </c>
      <c r="R159" s="130">
        <f t="shared" si="21"/>
        <v>46160</v>
      </c>
      <c r="S159" s="131">
        <f t="shared" si="20"/>
        <v>-39</v>
      </c>
      <c r="T159" s="7" t="s">
        <v>214</v>
      </c>
      <c r="U159" s="7" t="s">
        <v>339</v>
      </c>
      <c r="V159" s="7"/>
      <c r="W159" s="7"/>
      <c r="X159" s="132">
        <f t="shared" si="18"/>
        <v>10</v>
      </c>
      <c r="Y159" s="133"/>
      <c r="Z159" s="133"/>
      <c r="AA159" s="133"/>
    </row>
    <row r="160" spans="1:27" hidden="1" x14ac:dyDescent="0.25">
      <c r="A160" s="127">
        <v>166</v>
      </c>
      <c r="B160" s="128" t="str">
        <f t="shared" si="19"/>
        <v>TORT</v>
      </c>
      <c r="C160" s="128" t="str">
        <f>+VLOOKUP(U160,Ходим!A:B,2,0)</f>
        <v>40302922130046</v>
      </c>
      <c r="D160" s="128" t="str">
        <f>IFERROR(VLOOKUP($B:$B,[20]свод!$A:$AB,3,0)," ")</f>
        <v>Тўрақўрғон тумани</v>
      </c>
      <c r="E160" s="7" t="s">
        <v>1304</v>
      </c>
      <c r="F160" s="7" t="s">
        <v>7708</v>
      </c>
      <c r="G160" s="134">
        <f t="shared" si="22"/>
        <v>1</v>
      </c>
      <c r="H160" s="134" t="str">
        <f t="shared" si="23"/>
        <v/>
      </c>
      <c r="I160" s="7" t="s">
        <v>158</v>
      </c>
      <c r="J160" s="7" t="s">
        <v>172</v>
      </c>
      <c r="K160" s="7"/>
      <c r="L160" s="7" t="s">
        <v>167</v>
      </c>
      <c r="M160" s="7" t="s">
        <v>4349</v>
      </c>
      <c r="N160" s="7" t="s">
        <v>170</v>
      </c>
      <c r="O160" s="7" t="s">
        <v>163</v>
      </c>
      <c r="P160" s="7" t="s">
        <v>6273</v>
      </c>
      <c r="Q160" s="129">
        <v>46199</v>
      </c>
      <c r="R160" s="130">
        <f t="shared" si="21"/>
        <v>46210</v>
      </c>
      <c r="S160" s="131">
        <f t="shared" si="20"/>
        <v>11</v>
      </c>
      <c r="T160" s="7" t="s">
        <v>203</v>
      </c>
      <c r="U160" s="7" t="s">
        <v>258</v>
      </c>
      <c r="V160" s="7"/>
      <c r="W160" s="7">
        <v>375.16</v>
      </c>
      <c r="X160" s="132">
        <f t="shared" si="18"/>
        <v>10</v>
      </c>
      <c r="Y160" s="133"/>
      <c r="Z160" s="133"/>
      <c r="AA160" s="133"/>
    </row>
    <row r="161" spans="1:27" hidden="1" x14ac:dyDescent="0.25">
      <c r="A161" s="127">
        <v>167</v>
      </c>
      <c r="B161" s="128" t="str">
        <f t="shared" si="19"/>
        <v>POPT</v>
      </c>
      <c r="C161" s="128" t="str">
        <f>+VLOOKUP(U161,Ходим!A:B,2,0)</f>
        <v>50310025910024</v>
      </c>
      <c r="D161" s="128" t="str">
        <f>IFERROR(VLOOKUP($B:$B,[20]свод!$A:$AB,3,0)," ")</f>
        <v>Поп тумани</v>
      </c>
      <c r="E161" s="7" t="s">
        <v>1305</v>
      </c>
      <c r="F161" s="7" t="s">
        <v>7709</v>
      </c>
      <c r="G161" s="134">
        <f t="shared" si="22"/>
        <v>1</v>
      </c>
      <c r="H161" s="134" t="str">
        <f t="shared" si="23"/>
        <v/>
      </c>
      <c r="I161" s="7" t="s">
        <v>158</v>
      </c>
      <c r="J161" s="7" t="s">
        <v>15</v>
      </c>
      <c r="K161" s="7"/>
      <c r="L161" s="7" t="s">
        <v>167</v>
      </c>
      <c r="M161" s="7" t="s">
        <v>4350</v>
      </c>
      <c r="N161" s="7" t="s">
        <v>170</v>
      </c>
      <c r="O161" s="7" t="s">
        <v>162</v>
      </c>
      <c r="P161" s="7" t="s">
        <v>6389</v>
      </c>
      <c r="Q161" s="129">
        <v>46199</v>
      </c>
      <c r="R161" s="130">
        <f t="shared" si="21"/>
        <v>46211</v>
      </c>
      <c r="S161" s="131">
        <f t="shared" si="20"/>
        <v>12</v>
      </c>
      <c r="T161" s="7" t="s">
        <v>214</v>
      </c>
      <c r="U161" s="7" t="s">
        <v>964</v>
      </c>
      <c r="V161" s="7"/>
      <c r="W161" s="7">
        <v>428.6</v>
      </c>
      <c r="X161" s="132">
        <f t="shared" si="18"/>
        <v>10</v>
      </c>
      <c r="Y161" s="133"/>
      <c r="Z161" s="133"/>
      <c r="AA161" s="133"/>
    </row>
    <row r="162" spans="1:27" hidden="1" x14ac:dyDescent="0.25">
      <c r="A162" s="127">
        <v>168</v>
      </c>
      <c r="B162" s="128" t="str">
        <f t="shared" si="19"/>
        <v>NAMS</v>
      </c>
      <c r="C162" s="128" t="str">
        <f>+VLOOKUP(U162,Ходим!A:B,2,0)</f>
        <v>32207925880019</v>
      </c>
      <c r="D162" s="128" t="str">
        <f>IFERROR(VLOOKUP($B:$B,[20]свод!$A:$AB,3,0)," ")</f>
        <v>Наманган шаҳар</v>
      </c>
      <c r="E162" s="7" t="s">
        <v>1306</v>
      </c>
      <c r="F162" s="7" t="s">
        <v>7710</v>
      </c>
      <c r="G162" s="134">
        <f t="shared" si="22"/>
        <v>1</v>
      </c>
      <c r="H162" s="134" t="str">
        <f t="shared" si="23"/>
        <v/>
      </c>
      <c r="I162" s="7" t="s">
        <v>156</v>
      </c>
      <c r="J162" s="7" t="s">
        <v>25</v>
      </c>
      <c r="K162" s="7"/>
      <c r="L162" s="7"/>
      <c r="M162" s="7"/>
      <c r="N162" s="7" t="s">
        <v>170</v>
      </c>
      <c r="O162" s="7" t="s">
        <v>162</v>
      </c>
      <c r="P162" s="7" t="s">
        <v>6389</v>
      </c>
      <c r="Q162" s="129">
        <v>46199</v>
      </c>
      <c r="R162" s="130">
        <f t="shared" si="21"/>
        <v>46211</v>
      </c>
      <c r="S162" s="131">
        <f t="shared" si="20"/>
        <v>12</v>
      </c>
      <c r="T162" s="7" t="s">
        <v>173</v>
      </c>
      <c r="U162" s="7" t="s">
        <v>174</v>
      </c>
      <c r="V162" s="7"/>
      <c r="W162" s="7"/>
      <c r="X162" s="132">
        <f t="shared" si="18"/>
        <v>10</v>
      </c>
      <c r="Y162" s="133"/>
      <c r="Z162" s="133"/>
      <c r="AA162" s="133"/>
    </row>
    <row r="163" spans="1:27" hidden="1" x14ac:dyDescent="0.25">
      <c r="A163" s="127">
        <v>169</v>
      </c>
      <c r="B163" s="128" t="str">
        <f t="shared" si="19"/>
        <v>UYCT</v>
      </c>
      <c r="C163" s="128" t="str">
        <f>+VLOOKUP(U163,Ходим!A:B,2,0)</f>
        <v>32002975930037</v>
      </c>
      <c r="D163" s="128" t="str">
        <f>IFERROR(VLOOKUP($B:$B,[20]свод!$A:$AB,3,0)," ")</f>
        <v>Уйчи тумани</v>
      </c>
      <c r="E163" s="7" t="s">
        <v>1307</v>
      </c>
      <c r="F163" s="7" t="s">
        <v>7711</v>
      </c>
      <c r="G163" s="134" t="str">
        <f t="shared" si="22"/>
        <v/>
      </c>
      <c r="H163" s="134">
        <f t="shared" si="23"/>
        <v>1</v>
      </c>
      <c r="I163" s="7" t="s">
        <v>157</v>
      </c>
      <c r="J163" s="7" t="s">
        <v>172</v>
      </c>
      <c r="K163" s="7"/>
      <c r="L163" s="7"/>
      <c r="M163" s="7"/>
      <c r="N163" s="7" t="s">
        <v>410</v>
      </c>
      <c r="O163" s="7" t="s">
        <v>161</v>
      </c>
      <c r="P163" s="7" t="s">
        <v>6370</v>
      </c>
      <c r="Q163" s="129">
        <v>46199</v>
      </c>
      <c r="R163" s="130">
        <f t="shared" si="21"/>
        <v>46210</v>
      </c>
      <c r="S163" s="131">
        <f t="shared" si="20"/>
        <v>11</v>
      </c>
      <c r="T163" s="7" t="s">
        <v>947</v>
      </c>
      <c r="U163" s="7" t="s">
        <v>260</v>
      </c>
      <c r="V163" s="7"/>
      <c r="W163" s="7"/>
      <c r="X163" s="132">
        <f t="shared" si="18"/>
        <v>10</v>
      </c>
      <c r="Y163" s="133"/>
      <c r="Z163" s="133"/>
      <c r="AA163" s="133"/>
    </row>
    <row r="164" spans="1:27" hidden="1" x14ac:dyDescent="0.25">
      <c r="A164" s="127">
        <v>170</v>
      </c>
      <c r="B164" s="128" t="str">
        <f t="shared" si="19"/>
        <v>UCQT</v>
      </c>
      <c r="C164" s="128" t="e">
        <f>+VLOOKUP(U164,Ходим!A:B,2,0)</f>
        <v>#N/A</v>
      </c>
      <c r="D164" s="128" t="str">
        <f>IFERROR(VLOOKUP($B:$B,[20]свод!$A:$AB,3,0)," ")</f>
        <v>Учқўрғон тумани</v>
      </c>
      <c r="E164" s="7" t="s">
        <v>1308</v>
      </c>
      <c r="F164" s="7" t="s">
        <v>7712</v>
      </c>
      <c r="G164" s="134">
        <f t="shared" si="22"/>
        <v>1</v>
      </c>
      <c r="H164" s="134" t="str">
        <f t="shared" si="23"/>
        <v/>
      </c>
      <c r="I164" s="7" t="s">
        <v>156</v>
      </c>
      <c r="J164" s="7" t="s">
        <v>11</v>
      </c>
      <c r="K164" s="7"/>
      <c r="L164" s="7"/>
      <c r="M164" s="7"/>
      <c r="N164" s="7" t="s">
        <v>170</v>
      </c>
      <c r="O164" s="7" t="s">
        <v>162</v>
      </c>
      <c r="P164" s="7" t="s">
        <v>6390</v>
      </c>
      <c r="Q164" s="129">
        <v>46199</v>
      </c>
      <c r="R164" s="130">
        <f t="shared" si="21"/>
        <v>46211</v>
      </c>
      <c r="S164" s="131">
        <f t="shared" si="20"/>
        <v>12</v>
      </c>
      <c r="T164" s="7" t="s">
        <v>175</v>
      </c>
      <c r="U164" s="7"/>
      <c r="V164" s="7"/>
      <c r="W164" s="7"/>
      <c r="X164" s="132">
        <f t="shared" si="18"/>
        <v>10</v>
      </c>
      <c r="Y164" s="133"/>
      <c r="Z164" s="133"/>
      <c r="AA164" s="133"/>
    </row>
    <row r="165" spans="1:27" hidden="1" x14ac:dyDescent="0.25">
      <c r="A165" s="127">
        <v>171</v>
      </c>
      <c r="B165" s="128" t="str">
        <f t="shared" si="19"/>
        <v>NAMS</v>
      </c>
      <c r="C165" s="128" t="str">
        <f>+VLOOKUP(U165,Ходим!A:B,2,0)</f>
        <v>32407752170062</v>
      </c>
      <c r="D165" s="128" t="str">
        <f>IFERROR(VLOOKUP($B:$B,[20]свод!$A:$AB,3,0)," ")</f>
        <v>Наманган шаҳар</v>
      </c>
      <c r="E165" s="7" t="s">
        <v>1309</v>
      </c>
      <c r="F165" s="7" t="s">
        <v>7713</v>
      </c>
      <c r="G165" s="134">
        <f t="shared" si="22"/>
        <v>1</v>
      </c>
      <c r="H165" s="134" t="str">
        <f t="shared" si="23"/>
        <v/>
      </c>
      <c r="I165" s="7" t="s">
        <v>156</v>
      </c>
      <c r="J165" s="7" t="s">
        <v>25</v>
      </c>
      <c r="K165" s="7"/>
      <c r="L165" s="7"/>
      <c r="M165" s="7"/>
      <c r="N165" s="7" t="s">
        <v>170</v>
      </c>
      <c r="O165" s="7" t="s">
        <v>162</v>
      </c>
      <c r="P165" s="7" t="s">
        <v>6391</v>
      </c>
      <c r="Q165" s="129">
        <v>46199</v>
      </c>
      <c r="R165" s="130">
        <f t="shared" si="21"/>
        <v>46211</v>
      </c>
      <c r="S165" s="131">
        <f t="shared" si="20"/>
        <v>12</v>
      </c>
      <c r="T165" s="7" t="s">
        <v>173</v>
      </c>
      <c r="U165" s="7" t="s">
        <v>264</v>
      </c>
      <c r="V165" s="7"/>
      <c r="W165" s="7"/>
      <c r="X165" s="132">
        <f t="shared" si="18"/>
        <v>10</v>
      </c>
      <c r="Y165" s="133"/>
      <c r="Z165" s="133"/>
      <c r="AA165" s="133"/>
    </row>
    <row r="166" spans="1:27" hidden="1" x14ac:dyDescent="0.25">
      <c r="A166" s="127">
        <v>172</v>
      </c>
      <c r="B166" s="128" t="str">
        <f t="shared" si="19"/>
        <v>MINT</v>
      </c>
      <c r="C166" s="128" t="e">
        <f>+VLOOKUP(U166,Ходим!A:B,2,0)</f>
        <v>#N/A</v>
      </c>
      <c r="D166" s="128" t="str">
        <f>IFERROR(VLOOKUP($B:$B,[20]свод!$A:$AB,3,0)," ")</f>
        <v>Мингбулоқ тумани</v>
      </c>
      <c r="E166" s="7" t="s">
        <v>1310</v>
      </c>
      <c r="F166" s="7" t="s">
        <v>7714</v>
      </c>
      <c r="G166" s="134">
        <f t="shared" si="22"/>
        <v>1</v>
      </c>
      <c r="H166" s="134" t="str">
        <f t="shared" si="23"/>
        <v/>
      </c>
      <c r="I166" s="7" t="s">
        <v>156</v>
      </c>
      <c r="J166" s="7" t="s">
        <v>11</v>
      </c>
      <c r="K166" s="7"/>
      <c r="L166" s="7"/>
      <c r="M166" s="7"/>
      <c r="N166" s="7" t="s">
        <v>170</v>
      </c>
      <c r="O166" s="7" t="s">
        <v>162</v>
      </c>
      <c r="P166" s="7" t="s">
        <v>6391</v>
      </c>
      <c r="Q166" s="129">
        <v>46199</v>
      </c>
      <c r="R166" s="130">
        <f t="shared" si="21"/>
        <v>46211</v>
      </c>
      <c r="S166" s="131">
        <f t="shared" si="20"/>
        <v>12</v>
      </c>
      <c r="T166" s="7"/>
      <c r="U166" s="7"/>
      <c r="V166" s="7"/>
      <c r="W166" s="7"/>
      <c r="X166" s="132">
        <f t="shared" ref="X166:X217" si="24">IF(N166="Kadastr muhandisi",3,
IF(N166="UZKAD",5,
IF(V166="FREE",5,
IF(I166="Registratsiya (tashqi - UZKAD da bor)",1,
IF(I166="Avtoyo'l va suv xo'jaligi obyektining kadastr pasportini shakllantirish va ro'yxatga olish",7,
IF(I166="Notarius uchun ma'lumotnoma (uz)",1,
IF(I166="Qurilishi tugallangan ko'chmas mulkni foydalanishga qabul qilish",10,
IF(OR(I166="Turar joy obyektning kadastr pasportini shakllantirish va davlat ro'yxatidan o'tkazish",I166="Turar kompozit"),
IF(L166="Turar yer maydoni",7,10),
IF(OR(I166="Noturar obyektning kadastr pasportini shakllantirish va davlat ro'yxatidan o'tkazish",I166="Noturar kompozit"),
IF(O166="Ko‘p yillik daraxtlar xizmati",15,
IF(OR(L166="Noturar yer maydoni",L166="Davlat tashkilotlaridan ijaraga olingan yer uchastkasi"),7,
IF(W166&lt;100,10,IF(W166&lt;=1000,12,IF(W166&lt;=5000,17,IF(W166&lt;=15000,22,IF(W166&lt;=50000,28,37))))))),
IF(I166="Umumiy foydalanishdagi ko'chmas mulk qismini yaratish",
IF(IF(TRIM(L166)="",IF(OR(O166="Turar joy xizmati",O166="Yakka tartibdagi turar joy"),"Turar","Noturar"),IF(OR(L166="Yakka tartibdagi turar joy",L166="Turar joy xizmati"),"Turar","Noturar"))="Turar",
10,IF(W166&lt;100,10,IF(W166&lt;=1000,12,IF(W166&lt;=5000,17,IF(W166&lt;=15000,22,IF(W166&lt;=50000,28,37)))))),
0))))))))))</f>
        <v>10</v>
      </c>
      <c r="Y166" s="133"/>
      <c r="Z166" s="133"/>
      <c r="AA166" s="133"/>
    </row>
    <row r="167" spans="1:27" hidden="1" x14ac:dyDescent="0.25">
      <c r="A167" s="127">
        <v>173</v>
      </c>
      <c r="B167" s="128" t="str">
        <f t="shared" ref="B167:B218" si="25">LEFT(E167,4)</f>
        <v>YGQT</v>
      </c>
      <c r="C167" s="128" t="str">
        <f>+VLOOKUP(U167,Ходим!A:B,2,0)</f>
        <v>30809995950021</v>
      </c>
      <c r="D167" s="128" t="str">
        <f>IFERROR(VLOOKUP($B:$B,[20]свод!$A:$AB,3,0)," ")</f>
        <v>Янгиқўрғон тумани</v>
      </c>
      <c r="E167" s="7" t="s">
        <v>1311</v>
      </c>
      <c r="F167" s="7" t="s">
        <v>7715</v>
      </c>
      <c r="G167" s="134">
        <f t="shared" si="22"/>
        <v>1</v>
      </c>
      <c r="H167" s="134" t="str">
        <f t="shared" si="23"/>
        <v/>
      </c>
      <c r="I167" s="7" t="s">
        <v>158</v>
      </c>
      <c r="J167" s="7" t="s">
        <v>2</v>
      </c>
      <c r="K167" s="7"/>
      <c r="L167" s="7" t="s">
        <v>167</v>
      </c>
      <c r="M167" s="7" t="s">
        <v>4351</v>
      </c>
      <c r="N167" s="7" t="s">
        <v>170</v>
      </c>
      <c r="O167" s="7" t="s">
        <v>162</v>
      </c>
      <c r="P167" s="7" t="s">
        <v>6391</v>
      </c>
      <c r="Q167" s="129">
        <v>46199</v>
      </c>
      <c r="R167" s="130">
        <f t="shared" si="21"/>
        <v>46211</v>
      </c>
      <c r="S167" s="131">
        <f t="shared" ref="S167:S218" si="26">R167-Q167</f>
        <v>12</v>
      </c>
      <c r="T167" s="7" t="s">
        <v>182</v>
      </c>
      <c r="U167" s="7" t="s">
        <v>223</v>
      </c>
      <c r="V167" s="7"/>
      <c r="W167" s="7">
        <v>95.51</v>
      </c>
      <c r="X167" s="132">
        <f t="shared" si="24"/>
        <v>10</v>
      </c>
      <c r="Y167" s="133"/>
      <c r="Z167" s="133"/>
      <c r="AA167" s="133"/>
    </row>
    <row r="168" spans="1:27" hidden="1" x14ac:dyDescent="0.25">
      <c r="A168" s="127">
        <v>174</v>
      </c>
      <c r="B168" s="128" t="str">
        <f t="shared" si="25"/>
        <v>POPT</v>
      </c>
      <c r="C168" s="128" t="str">
        <f>+VLOOKUP(U168,Ходим!A:B,2,0)</f>
        <v>33107902120019</v>
      </c>
      <c r="D168" s="128" t="str">
        <f>IFERROR(VLOOKUP($B:$B,[20]свод!$A:$AB,3,0)," ")</f>
        <v>Поп тумани</v>
      </c>
      <c r="E168" s="7" t="s">
        <v>1312</v>
      </c>
      <c r="F168" s="7" t="s">
        <v>7716</v>
      </c>
      <c r="G168" s="134">
        <f t="shared" si="22"/>
        <v>1</v>
      </c>
      <c r="H168" s="134" t="str">
        <f t="shared" si="23"/>
        <v/>
      </c>
      <c r="I168" s="7" t="s">
        <v>158</v>
      </c>
      <c r="J168" s="7" t="s">
        <v>2</v>
      </c>
      <c r="K168" s="7"/>
      <c r="L168" s="7" t="s">
        <v>167</v>
      </c>
      <c r="M168" s="7" t="s">
        <v>4352</v>
      </c>
      <c r="N168" s="7" t="s">
        <v>170</v>
      </c>
      <c r="O168" s="7" t="s">
        <v>162</v>
      </c>
      <c r="P168" s="7" t="s">
        <v>6391</v>
      </c>
      <c r="Q168" s="129">
        <v>46199</v>
      </c>
      <c r="R168" s="130">
        <f t="shared" si="21"/>
        <v>46211</v>
      </c>
      <c r="S168" s="131">
        <f t="shared" si="26"/>
        <v>12</v>
      </c>
      <c r="T168" s="7" t="s">
        <v>214</v>
      </c>
      <c r="U168" s="7" t="s">
        <v>224</v>
      </c>
      <c r="V168" s="7"/>
      <c r="W168" s="7">
        <v>348.56</v>
      </c>
      <c r="X168" s="132">
        <f t="shared" si="24"/>
        <v>10</v>
      </c>
      <c r="Y168" s="133"/>
      <c r="Z168" s="133"/>
      <c r="AA168" s="133"/>
    </row>
    <row r="169" spans="1:27" hidden="1" x14ac:dyDescent="0.25">
      <c r="A169" s="127">
        <v>175</v>
      </c>
      <c r="B169" s="128" t="str">
        <f t="shared" si="25"/>
        <v>NAMT</v>
      </c>
      <c r="C169" s="128" t="str">
        <f>+VLOOKUP(U169,Ходим!A:B,2,0)</f>
        <v>50706025880010</v>
      </c>
      <c r="D169" s="128" t="str">
        <f>IFERROR(VLOOKUP($B:$B,[20]свод!$A:$AB,3,0)," ")</f>
        <v>Наманган тумани</v>
      </c>
      <c r="E169" s="7" t="s">
        <v>1313</v>
      </c>
      <c r="F169" s="7" t="s">
        <v>7717</v>
      </c>
      <c r="G169" s="134" t="str">
        <f t="shared" si="22"/>
        <v/>
      </c>
      <c r="H169" s="134">
        <f t="shared" si="23"/>
        <v>1</v>
      </c>
      <c r="I169" s="7" t="s">
        <v>157</v>
      </c>
      <c r="J169" s="7" t="s">
        <v>2</v>
      </c>
      <c r="K169" s="7"/>
      <c r="L169" s="7" t="s">
        <v>166</v>
      </c>
      <c r="M169" s="7" t="s">
        <v>4353</v>
      </c>
      <c r="N169" s="7" t="s">
        <v>170</v>
      </c>
      <c r="O169" s="7" t="s">
        <v>161</v>
      </c>
      <c r="P169" s="7" t="s">
        <v>6392</v>
      </c>
      <c r="Q169" s="129">
        <v>46199</v>
      </c>
      <c r="R169" s="130">
        <f t="shared" si="21"/>
        <v>46213</v>
      </c>
      <c r="S169" s="131">
        <f t="shared" si="26"/>
        <v>14</v>
      </c>
      <c r="T169" s="7" t="s">
        <v>193</v>
      </c>
      <c r="U169" s="7" t="s">
        <v>397</v>
      </c>
      <c r="V169" s="7"/>
      <c r="W169" s="7">
        <v>403.95</v>
      </c>
      <c r="X169" s="132">
        <f t="shared" si="24"/>
        <v>12</v>
      </c>
      <c r="Y169" s="133"/>
      <c r="Z169" s="133"/>
      <c r="AA169" s="133"/>
    </row>
    <row r="170" spans="1:27" hidden="1" x14ac:dyDescent="0.25">
      <c r="A170" s="127">
        <v>176</v>
      </c>
      <c r="B170" s="128" t="str">
        <f t="shared" si="25"/>
        <v>KSST</v>
      </c>
      <c r="C170" s="128" t="str">
        <f>+VLOOKUP(U170,Ходим!A:B,2,0)</f>
        <v>32910975980025</v>
      </c>
      <c r="D170" s="128" t="str">
        <f>IFERROR(VLOOKUP($B:$B,[20]свод!$A:$AB,3,0)," ")</f>
        <v>Косонсой тумани</v>
      </c>
      <c r="E170" s="7" t="s">
        <v>1314</v>
      </c>
      <c r="F170" s="7" t="s">
        <v>7718</v>
      </c>
      <c r="G170" s="134">
        <f t="shared" si="22"/>
        <v>1</v>
      </c>
      <c r="H170" s="134" t="str">
        <f t="shared" si="23"/>
        <v/>
      </c>
      <c r="I170" s="7" t="s">
        <v>156</v>
      </c>
      <c r="J170" s="7" t="s">
        <v>25</v>
      </c>
      <c r="K170" s="7"/>
      <c r="L170" s="7"/>
      <c r="M170" s="7"/>
      <c r="N170" s="7" t="s">
        <v>170</v>
      </c>
      <c r="O170" s="7" t="s">
        <v>162</v>
      </c>
      <c r="P170" s="7" t="s">
        <v>6392</v>
      </c>
      <c r="Q170" s="129">
        <v>46199</v>
      </c>
      <c r="R170" s="130">
        <f t="shared" si="21"/>
        <v>46211</v>
      </c>
      <c r="S170" s="131">
        <f t="shared" si="26"/>
        <v>12</v>
      </c>
      <c r="T170" s="7" t="s">
        <v>180</v>
      </c>
      <c r="U170" s="7" t="s">
        <v>187</v>
      </c>
      <c r="V170" s="7"/>
      <c r="W170" s="7"/>
      <c r="X170" s="132">
        <f t="shared" si="24"/>
        <v>10</v>
      </c>
      <c r="Y170" s="133"/>
      <c r="Z170" s="133"/>
      <c r="AA170" s="133"/>
    </row>
    <row r="171" spans="1:27" hidden="1" x14ac:dyDescent="0.25">
      <c r="A171" s="127">
        <v>177</v>
      </c>
      <c r="B171" s="128" t="str">
        <f t="shared" si="25"/>
        <v>MINT</v>
      </c>
      <c r="C171" s="128" t="e">
        <f>+VLOOKUP(U171,Ходим!A:B,2,0)</f>
        <v>#N/A</v>
      </c>
      <c r="D171" s="128" t="str">
        <f>IFERROR(VLOOKUP($B:$B,[20]свод!$A:$AB,3,0)," ")</f>
        <v>Мингбулоқ тумани</v>
      </c>
      <c r="E171" s="7" t="s">
        <v>1315</v>
      </c>
      <c r="F171" s="7" t="s">
        <v>7719</v>
      </c>
      <c r="G171" s="134">
        <f t="shared" si="22"/>
        <v>1</v>
      </c>
      <c r="H171" s="134" t="str">
        <f t="shared" si="23"/>
        <v/>
      </c>
      <c r="I171" s="7" t="s">
        <v>156</v>
      </c>
      <c r="J171" s="7" t="s">
        <v>11</v>
      </c>
      <c r="K171" s="7"/>
      <c r="L171" s="7"/>
      <c r="M171" s="7"/>
      <c r="N171" s="7" t="s">
        <v>170</v>
      </c>
      <c r="O171" s="7" t="s">
        <v>162</v>
      </c>
      <c r="P171" s="7" t="s">
        <v>6392</v>
      </c>
      <c r="Q171" s="129">
        <v>46199</v>
      </c>
      <c r="R171" s="130">
        <f t="shared" si="21"/>
        <v>46211</v>
      </c>
      <c r="S171" s="131">
        <f t="shared" si="26"/>
        <v>12</v>
      </c>
      <c r="T171" s="7"/>
      <c r="U171" s="7"/>
      <c r="V171" s="7"/>
      <c r="W171" s="7"/>
      <c r="X171" s="132">
        <f t="shared" si="24"/>
        <v>10</v>
      </c>
      <c r="Y171" s="133"/>
      <c r="Z171" s="133"/>
      <c r="AA171" s="133"/>
    </row>
    <row r="172" spans="1:27" hidden="1" x14ac:dyDescent="0.25">
      <c r="A172" s="127">
        <v>178</v>
      </c>
      <c r="B172" s="128" t="str">
        <f t="shared" si="25"/>
        <v>NAMS</v>
      </c>
      <c r="C172" s="128">
        <f>+VLOOKUP(U172,Ходим!A:B,2,0)</f>
        <v>50703045960050</v>
      </c>
      <c r="D172" s="128" t="str">
        <f>IFERROR(VLOOKUP($B:$B,[20]свод!$A:$AB,3,0)," ")</f>
        <v>Наманган шаҳар</v>
      </c>
      <c r="E172" s="7" t="s">
        <v>1316</v>
      </c>
      <c r="F172" s="7" t="s">
        <v>7720</v>
      </c>
      <c r="G172" s="134" t="str">
        <f t="shared" si="22"/>
        <v/>
      </c>
      <c r="H172" s="134">
        <f t="shared" si="23"/>
        <v>1</v>
      </c>
      <c r="I172" s="7" t="s">
        <v>157</v>
      </c>
      <c r="J172" s="7" t="s">
        <v>172</v>
      </c>
      <c r="K172" s="7"/>
      <c r="L172" s="7" t="s">
        <v>166</v>
      </c>
      <c r="M172" s="7" t="s">
        <v>4354</v>
      </c>
      <c r="N172" s="7" t="s">
        <v>170</v>
      </c>
      <c r="O172" s="7" t="s">
        <v>161</v>
      </c>
      <c r="P172" s="7" t="s">
        <v>6393</v>
      </c>
      <c r="Q172" s="129">
        <v>46199</v>
      </c>
      <c r="R172" s="130">
        <f t="shared" si="21"/>
        <v>46204</v>
      </c>
      <c r="S172" s="131">
        <f t="shared" si="26"/>
        <v>5</v>
      </c>
      <c r="T172" s="7" t="s">
        <v>173</v>
      </c>
      <c r="U172" s="7" t="s">
        <v>948</v>
      </c>
      <c r="V172" s="7"/>
      <c r="W172" s="7">
        <v>0</v>
      </c>
      <c r="X172" s="132">
        <f t="shared" si="24"/>
        <v>10</v>
      </c>
      <c r="Y172" s="133"/>
      <c r="Z172" s="133"/>
      <c r="AA172" s="133"/>
    </row>
    <row r="173" spans="1:27" x14ac:dyDescent="0.25">
      <c r="A173" s="127">
        <v>179</v>
      </c>
      <c r="B173" s="128" t="str">
        <f t="shared" si="25"/>
        <v>NAMS</v>
      </c>
      <c r="C173" s="128" t="str">
        <f>+VLOOKUP(U173,Ходим!A:B,2,0)</f>
        <v>51705025890024</v>
      </c>
      <c r="D173" s="128" t="str">
        <f>IFERROR(VLOOKUP($B:$B,[20]свод!$A:$AB,3,0)," ")</f>
        <v>Наманган шаҳар</v>
      </c>
      <c r="E173" s="7" t="s">
        <v>1317</v>
      </c>
      <c r="F173" s="7" t="s">
        <v>7721</v>
      </c>
      <c r="G173" s="134">
        <f t="shared" si="22"/>
        <v>1</v>
      </c>
      <c r="H173" s="134" t="str">
        <f t="shared" si="23"/>
        <v/>
      </c>
      <c r="I173" s="7" t="s">
        <v>158</v>
      </c>
      <c r="J173" s="7" t="s">
        <v>1</v>
      </c>
      <c r="K173" s="7"/>
      <c r="L173" s="7" t="s">
        <v>167</v>
      </c>
      <c r="M173" s="7" t="s">
        <v>4355</v>
      </c>
      <c r="N173" s="7" t="s">
        <v>170</v>
      </c>
      <c r="O173" s="7" t="s">
        <v>162</v>
      </c>
      <c r="P173" s="7" t="s">
        <v>6394</v>
      </c>
      <c r="Q173" s="129">
        <v>46199</v>
      </c>
      <c r="R173" s="130">
        <f t="shared" si="21"/>
        <v>46199</v>
      </c>
      <c r="S173" s="131">
        <f t="shared" si="26"/>
        <v>0</v>
      </c>
      <c r="T173" s="7" t="s">
        <v>185</v>
      </c>
      <c r="U173" s="7" t="s">
        <v>189</v>
      </c>
      <c r="V173" s="7"/>
      <c r="W173" s="7">
        <v>237.44</v>
      </c>
      <c r="X173" s="132">
        <f t="shared" si="24"/>
        <v>10</v>
      </c>
      <c r="Y173" s="133"/>
      <c r="Z173" s="133"/>
      <c r="AA173" s="133"/>
    </row>
    <row r="174" spans="1:27" hidden="1" x14ac:dyDescent="0.25">
      <c r="A174" s="127">
        <v>180</v>
      </c>
      <c r="B174" s="128" t="str">
        <f t="shared" si="25"/>
        <v>NAMS</v>
      </c>
      <c r="C174" s="128" t="str">
        <f>+VLOOKUP(U174,Ходим!A:B,2,0)</f>
        <v>30302942170072</v>
      </c>
      <c r="D174" s="128" t="str">
        <f>IFERROR(VLOOKUP($B:$B,[20]свод!$A:$AB,3,0)," ")</f>
        <v>Наманган шаҳар</v>
      </c>
      <c r="E174" s="7" t="s">
        <v>1318</v>
      </c>
      <c r="F174" s="7" t="s">
        <v>7722</v>
      </c>
      <c r="G174" s="134">
        <f t="shared" si="22"/>
        <v>1</v>
      </c>
      <c r="H174" s="134" t="str">
        <f t="shared" si="23"/>
        <v/>
      </c>
      <c r="I174" s="7" t="s">
        <v>156</v>
      </c>
      <c r="J174" s="7" t="s">
        <v>25</v>
      </c>
      <c r="K174" s="7"/>
      <c r="L174" s="7"/>
      <c r="M174" s="7"/>
      <c r="N174" s="7" t="s">
        <v>170</v>
      </c>
      <c r="O174" s="7" t="s">
        <v>162</v>
      </c>
      <c r="P174" s="7" t="s">
        <v>6395</v>
      </c>
      <c r="Q174" s="129">
        <v>46199</v>
      </c>
      <c r="R174" s="130">
        <f t="shared" si="21"/>
        <v>46211</v>
      </c>
      <c r="S174" s="131">
        <f t="shared" si="26"/>
        <v>12</v>
      </c>
      <c r="T174" s="7" t="s">
        <v>173</v>
      </c>
      <c r="U174" s="7" t="s">
        <v>325</v>
      </c>
      <c r="V174" s="7"/>
      <c r="W174" s="7"/>
      <c r="X174" s="132">
        <f t="shared" si="24"/>
        <v>10</v>
      </c>
      <c r="Y174" s="133"/>
      <c r="Z174" s="133"/>
      <c r="AA174" s="133"/>
    </row>
    <row r="175" spans="1:27" hidden="1" x14ac:dyDescent="0.25">
      <c r="A175" s="127">
        <v>181</v>
      </c>
      <c r="B175" s="128" t="str">
        <f t="shared" si="25"/>
        <v>UCQT</v>
      </c>
      <c r="C175" s="128" t="e">
        <f>+VLOOKUP(U175,Ходим!A:B,2,0)</f>
        <v>#N/A</v>
      </c>
      <c r="D175" s="128" t="str">
        <f>IFERROR(VLOOKUP($B:$B,[20]свод!$A:$AB,3,0)," ")</f>
        <v>Учқўрғон тумани</v>
      </c>
      <c r="E175" s="7" t="s">
        <v>1319</v>
      </c>
      <c r="F175" s="7" t="s">
        <v>7723</v>
      </c>
      <c r="G175" s="134">
        <f t="shared" si="22"/>
        <v>1</v>
      </c>
      <c r="H175" s="134" t="str">
        <f t="shared" si="23"/>
        <v/>
      </c>
      <c r="I175" s="7" t="s">
        <v>159</v>
      </c>
      <c r="J175" s="7" t="s">
        <v>137</v>
      </c>
      <c r="K175" s="7"/>
      <c r="L175" s="7" t="s">
        <v>167</v>
      </c>
      <c r="M175" s="7" t="s">
        <v>4356</v>
      </c>
      <c r="N175" s="7" t="s">
        <v>410</v>
      </c>
      <c r="O175" s="7" t="s">
        <v>163</v>
      </c>
      <c r="P175" s="7" t="s">
        <v>6396</v>
      </c>
      <c r="Q175" s="129">
        <v>46199</v>
      </c>
      <c r="R175" s="130">
        <f t="shared" si="21"/>
        <v>46211</v>
      </c>
      <c r="S175" s="131">
        <f t="shared" si="26"/>
        <v>12</v>
      </c>
      <c r="T175" s="7"/>
      <c r="U175" s="7"/>
      <c r="V175" s="7"/>
      <c r="W175" s="7">
        <v>194.96</v>
      </c>
      <c r="X175" s="132">
        <f t="shared" si="24"/>
        <v>10</v>
      </c>
      <c r="Y175" s="133"/>
      <c r="Z175" s="133"/>
      <c r="AA175" s="133"/>
    </row>
    <row r="176" spans="1:27" hidden="1" x14ac:dyDescent="0.25">
      <c r="A176" s="127">
        <v>182</v>
      </c>
      <c r="B176" s="128" t="str">
        <f t="shared" si="25"/>
        <v>CHUT</v>
      </c>
      <c r="C176" s="128" t="e">
        <f>+VLOOKUP(U176,Ходим!A:B,2,0)</f>
        <v>#N/A</v>
      </c>
      <c r="D176" s="128" t="str">
        <f>IFERROR(VLOOKUP($B:$B,[20]свод!$A:$AB,3,0)," ")</f>
        <v>Чуст тумани</v>
      </c>
      <c r="E176" s="7" t="s">
        <v>1320</v>
      </c>
      <c r="F176" s="7" t="s">
        <v>7724</v>
      </c>
      <c r="G176" s="134">
        <f t="shared" si="22"/>
        <v>1</v>
      </c>
      <c r="H176" s="134" t="str">
        <f t="shared" si="23"/>
        <v/>
      </c>
      <c r="I176" s="7" t="s">
        <v>156</v>
      </c>
      <c r="J176" s="7" t="s">
        <v>11</v>
      </c>
      <c r="K176" s="7"/>
      <c r="L176" s="7"/>
      <c r="M176" s="7"/>
      <c r="N176" s="7" t="s">
        <v>170</v>
      </c>
      <c r="O176" s="7" t="s">
        <v>162</v>
      </c>
      <c r="P176" s="7" t="s">
        <v>6396</v>
      </c>
      <c r="Q176" s="129">
        <v>46199</v>
      </c>
      <c r="R176" s="130">
        <f t="shared" si="21"/>
        <v>46211</v>
      </c>
      <c r="S176" s="131">
        <f t="shared" si="26"/>
        <v>12</v>
      </c>
      <c r="T176" s="7"/>
      <c r="U176" s="7"/>
      <c r="V176" s="7"/>
      <c r="W176" s="7"/>
      <c r="X176" s="132">
        <f t="shared" si="24"/>
        <v>10</v>
      </c>
      <c r="Y176" s="133"/>
      <c r="Z176" s="133"/>
      <c r="AA176" s="133"/>
    </row>
    <row r="177" spans="1:27" hidden="1" x14ac:dyDescent="0.25">
      <c r="A177" s="127">
        <v>183</v>
      </c>
      <c r="B177" s="128" t="str">
        <f t="shared" si="25"/>
        <v>NAMS</v>
      </c>
      <c r="C177" s="128" t="str">
        <f>+VLOOKUP(U177,Ходим!A:B,2,0)</f>
        <v>52503015960039</v>
      </c>
      <c r="D177" s="128" t="str">
        <f>IFERROR(VLOOKUP($B:$B,[20]свод!$A:$AB,3,0)," ")</f>
        <v>Наманган шаҳар</v>
      </c>
      <c r="E177" s="7" t="s">
        <v>1321</v>
      </c>
      <c r="F177" s="7" t="s">
        <v>7725</v>
      </c>
      <c r="G177" s="134">
        <f t="shared" si="22"/>
        <v>1</v>
      </c>
      <c r="H177" s="134" t="str">
        <f t="shared" si="23"/>
        <v/>
      </c>
      <c r="I177" s="7" t="s">
        <v>156</v>
      </c>
      <c r="J177" s="7" t="s">
        <v>25</v>
      </c>
      <c r="K177" s="7"/>
      <c r="L177" s="7"/>
      <c r="M177" s="7"/>
      <c r="N177" s="7" t="s">
        <v>170</v>
      </c>
      <c r="O177" s="7" t="s">
        <v>162</v>
      </c>
      <c r="P177" s="7" t="s">
        <v>6397</v>
      </c>
      <c r="Q177" s="129">
        <v>46199</v>
      </c>
      <c r="R177" s="130">
        <f t="shared" si="21"/>
        <v>46211</v>
      </c>
      <c r="S177" s="131">
        <f t="shared" si="26"/>
        <v>12</v>
      </c>
      <c r="T177" s="7" t="s">
        <v>173</v>
      </c>
      <c r="U177" s="7" t="s">
        <v>246</v>
      </c>
      <c r="V177" s="7"/>
      <c r="W177" s="7"/>
      <c r="X177" s="132">
        <f t="shared" si="24"/>
        <v>10</v>
      </c>
      <c r="Y177" s="133"/>
      <c r="Z177" s="133"/>
      <c r="AA177" s="133"/>
    </row>
    <row r="178" spans="1:27" hidden="1" x14ac:dyDescent="0.25">
      <c r="A178" s="127">
        <v>184</v>
      </c>
      <c r="B178" s="128" t="str">
        <f t="shared" si="25"/>
        <v>YGQT</v>
      </c>
      <c r="C178" s="128" t="str">
        <f>+VLOOKUP(U178,Ходим!A:B,2,0)</f>
        <v>32806922160043</v>
      </c>
      <c r="D178" s="128" t="str">
        <f>IFERROR(VLOOKUP($B:$B,[20]свод!$A:$AB,3,0)," ")</f>
        <v>Янгиқўрғон тумани</v>
      </c>
      <c r="E178" s="7" t="s">
        <v>1322</v>
      </c>
      <c r="F178" s="7" t="s">
        <v>7726</v>
      </c>
      <c r="G178" s="134" t="str">
        <f t="shared" si="22"/>
        <v/>
      </c>
      <c r="H178" s="134">
        <f t="shared" si="23"/>
        <v>1</v>
      </c>
      <c r="I178" s="7" t="s">
        <v>155</v>
      </c>
      <c r="J178" s="7" t="s">
        <v>22</v>
      </c>
      <c r="K178" s="7"/>
      <c r="L178" s="7" t="s">
        <v>168</v>
      </c>
      <c r="M178" s="7" t="s">
        <v>4357</v>
      </c>
      <c r="N178" s="7" t="s">
        <v>170</v>
      </c>
      <c r="O178" s="7" t="s">
        <v>161</v>
      </c>
      <c r="P178" s="7" t="s">
        <v>6397</v>
      </c>
      <c r="Q178" s="129">
        <v>46199</v>
      </c>
      <c r="R178" s="130">
        <f t="shared" si="21"/>
        <v>46206</v>
      </c>
      <c r="S178" s="131">
        <f t="shared" si="26"/>
        <v>7</v>
      </c>
      <c r="T178" s="7" t="s">
        <v>182</v>
      </c>
      <c r="U178" s="7" t="s">
        <v>186</v>
      </c>
      <c r="V178" s="7"/>
      <c r="W178" s="7"/>
      <c r="X178" s="132">
        <f t="shared" si="24"/>
        <v>7</v>
      </c>
      <c r="Y178" s="133"/>
      <c r="Z178" s="133"/>
      <c r="AA178" s="133"/>
    </row>
    <row r="179" spans="1:27" hidden="1" x14ac:dyDescent="0.25">
      <c r="A179" s="127">
        <v>185</v>
      </c>
      <c r="B179" s="128" t="str">
        <f t="shared" si="25"/>
        <v>NAMS</v>
      </c>
      <c r="C179" s="128" t="str">
        <f>+VLOOKUP(U179,Ходим!A:B,2,0)</f>
        <v>33012942170121</v>
      </c>
      <c r="D179" s="128" t="str">
        <f>IFERROR(VLOOKUP($B:$B,[20]свод!$A:$AB,3,0)," ")</f>
        <v>Наманган шаҳар</v>
      </c>
      <c r="E179" s="7" t="s">
        <v>1323</v>
      </c>
      <c r="F179" s="7" t="s">
        <v>7727</v>
      </c>
      <c r="G179" s="134">
        <f t="shared" si="22"/>
        <v>1</v>
      </c>
      <c r="H179" s="134" t="str">
        <f t="shared" si="23"/>
        <v/>
      </c>
      <c r="I179" s="7" t="s">
        <v>158</v>
      </c>
      <c r="J179" s="7" t="s">
        <v>36</v>
      </c>
      <c r="K179" s="7"/>
      <c r="L179" s="7" t="s">
        <v>167</v>
      </c>
      <c r="M179" s="7" t="s">
        <v>4358</v>
      </c>
      <c r="N179" s="7" t="s">
        <v>170</v>
      </c>
      <c r="O179" s="7" t="s">
        <v>162</v>
      </c>
      <c r="P179" s="7" t="s">
        <v>6398</v>
      </c>
      <c r="Q179" s="129">
        <v>46199</v>
      </c>
      <c r="R179" s="130">
        <f t="shared" si="21"/>
        <v>46203</v>
      </c>
      <c r="S179" s="131">
        <f t="shared" si="26"/>
        <v>4</v>
      </c>
      <c r="T179" s="7" t="s">
        <v>173</v>
      </c>
      <c r="U179" s="7" t="s">
        <v>259</v>
      </c>
      <c r="V179" s="7"/>
      <c r="W179" s="7">
        <v>450</v>
      </c>
      <c r="X179" s="132">
        <f t="shared" si="24"/>
        <v>10</v>
      </c>
      <c r="Y179" s="133"/>
      <c r="Z179" s="133"/>
      <c r="AA179" s="133"/>
    </row>
    <row r="180" spans="1:27" hidden="1" x14ac:dyDescent="0.25">
      <c r="A180" s="127">
        <v>186</v>
      </c>
      <c r="B180" s="128" t="str">
        <f t="shared" si="25"/>
        <v>POPT</v>
      </c>
      <c r="C180" s="128" t="str">
        <f>+VLOOKUP(U180,Ходим!A:B,2,0)</f>
        <v>33107902120019</v>
      </c>
      <c r="D180" s="128" t="str">
        <f>IFERROR(VLOOKUP($B:$B,[20]свод!$A:$AB,3,0)," ")</f>
        <v>Поп тумани</v>
      </c>
      <c r="E180" s="7" t="s">
        <v>1324</v>
      </c>
      <c r="F180" s="7" t="s">
        <v>7728</v>
      </c>
      <c r="G180" s="134">
        <f t="shared" si="22"/>
        <v>1</v>
      </c>
      <c r="H180" s="134" t="str">
        <f t="shared" si="23"/>
        <v/>
      </c>
      <c r="I180" s="7" t="s">
        <v>158</v>
      </c>
      <c r="J180" s="7" t="s">
        <v>2</v>
      </c>
      <c r="K180" s="7"/>
      <c r="L180" s="7" t="s">
        <v>167</v>
      </c>
      <c r="M180" s="7" t="s">
        <v>4359</v>
      </c>
      <c r="N180" s="7" t="s">
        <v>170</v>
      </c>
      <c r="O180" s="7" t="s">
        <v>162</v>
      </c>
      <c r="P180" s="7" t="s">
        <v>6395</v>
      </c>
      <c r="Q180" s="129">
        <v>46199</v>
      </c>
      <c r="R180" s="130">
        <f t="shared" si="21"/>
        <v>46211</v>
      </c>
      <c r="S180" s="131">
        <f t="shared" si="26"/>
        <v>12</v>
      </c>
      <c r="T180" s="7" t="s">
        <v>214</v>
      </c>
      <c r="U180" s="7" t="s">
        <v>224</v>
      </c>
      <c r="V180" s="7"/>
      <c r="W180" s="7">
        <v>472.56</v>
      </c>
      <c r="X180" s="132">
        <f t="shared" si="24"/>
        <v>10</v>
      </c>
      <c r="Y180" s="133"/>
      <c r="Z180" s="133"/>
      <c r="AA180" s="133"/>
    </row>
    <row r="181" spans="1:27" hidden="1" x14ac:dyDescent="0.25">
      <c r="A181" s="127">
        <v>187</v>
      </c>
      <c r="B181" s="128" t="str">
        <f t="shared" si="25"/>
        <v>TORT</v>
      </c>
      <c r="C181" s="128">
        <f>+VLOOKUP(U181,Ходим!A:B,2,0)</f>
        <v>30603862130011</v>
      </c>
      <c r="D181" s="128" t="str">
        <f>IFERROR(VLOOKUP($B:$B,[20]свод!$A:$AB,3,0)," ")</f>
        <v>Тўрақўрғон тумани</v>
      </c>
      <c r="E181" s="7" t="s">
        <v>1325</v>
      </c>
      <c r="F181" s="7" t="s">
        <v>7729</v>
      </c>
      <c r="G181" s="134">
        <f t="shared" si="22"/>
        <v>1</v>
      </c>
      <c r="H181" s="134" t="str">
        <f t="shared" si="23"/>
        <v/>
      </c>
      <c r="I181" s="7" t="s">
        <v>156</v>
      </c>
      <c r="J181" s="7" t="s">
        <v>25</v>
      </c>
      <c r="K181" s="7"/>
      <c r="L181" s="7"/>
      <c r="M181" s="7"/>
      <c r="N181" s="7" t="s">
        <v>170</v>
      </c>
      <c r="O181" s="7" t="s">
        <v>162</v>
      </c>
      <c r="P181" s="7" t="s">
        <v>6399</v>
      </c>
      <c r="Q181" s="129">
        <v>46199</v>
      </c>
      <c r="R181" s="130">
        <f t="shared" si="21"/>
        <v>46211</v>
      </c>
      <c r="S181" s="131">
        <f t="shared" si="26"/>
        <v>12</v>
      </c>
      <c r="T181" s="7" t="s">
        <v>203</v>
      </c>
      <c r="U181" s="7" t="s">
        <v>950</v>
      </c>
      <c r="V181" s="7"/>
      <c r="W181" s="7"/>
      <c r="X181" s="132">
        <f t="shared" si="24"/>
        <v>10</v>
      </c>
      <c r="Y181" s="133"/>
      <c r="Z181" s="133"/>
      <c r="AA181" s="133"/>
    </row>
    <row r="182" spans="1:27" hidden="1" x14ac:dyDescent="0.25">
      <c r="A182" s="127">
        <v>188</v>
      </c>
      <c r="B182" s="128" t="str">
        <f t="shared" si="25"/>
        <v>NORT</v>
      </c>
      <c r="C182" s="128" t="str">
        <f>+VLOOKUP(U182,Ходим!A:B,2,0)</f>
        <v>51810035900046</v>
      </c>
      <c r="D182" s="128" t="str">
        <f>IFERROR(VLOOKUP($B:$B,[20]свод!$A:$AB,3,0)," ")</f>
        <v>Норин тумани</v>
      </c>
      <c r="E182" s="7" t="s">
        <v>1326</v>
      </c>
      <c r="F182" s="7" t="s">
        <v>7730</v>
      </c>
      <c r="G182" s="134">
        <f t="shared" si="22"/>
        <v>1</v>
      </c>
      <c r="H182" s="134" t="str">
        <f t="shared" si="23"/>
        <v/>
      </c>
      <c r="I182" s="7" t="s">
        <v>158</v>
      </c>
      <c r="J182" s="7" t="s">
        <v>2</v>
      </c>
      <c r="K182" s="7"/>
      <c r="L182" s="7" t="s">
        <v>167</v>
      </c>
      <c r="M182" s="7" t="s">
        <v>4360</v>
      </c>
      <c r="N182" s="7" t="s">
        <v>170</v>
      </c>
      <c r="O182" s="7" t="s">
        <v>162</v>
      </c>
      <c r="P182" s="7" t="s">
        <v>6400</v>
      </c>
      <c r="Q182" s="129">
        <v>46199</v>
      </c>
      <c r="R182" s="130">
        <f t="shared" si="21"/>
        <v>46211</v>
      </c>
      <c r="S182" s="131">
        <f t="shared" si="26"/>
        <v>12</v>
      </c>
      <c r="T182" s="7" t="s">
        <v>210</v>
      </c>
      <c r="U182" s="7" t="s">
        <v>400</v>
      </c>
      <c r="V182" s="7"/>
      <c r="W182" s="7">
        <v>169.87</v>
      </c>
      <c r="X182" s="132">
        <f t="shared" si="24"/>
        <v>10</v>
      </c>
      <c r="Y182" s="133"/>
      <c r="Z182" s="133"/>
      <c r="AA182" s="133"/>
    </row>
    <row r="183" spans="1:27" hidden="1" x14ac:dyDescent="0.25">
      <c r="A183" s="127">
        <v>189</v>
      </c>
      <c r="B183" s="128" t="str">
        <f t="shared" si="25"/>
        <v>MINT</v>
      </c>
      <c r="C183" s="128" t="str">
        <f>+VLOOKUP(U183,Ходим!A:B,2,0)</f>
        <v>30910905990010</v>
      </c>
      <c r="D183" s="128" t="str">
        <f>IFERROR(VLOOKUP($B:$B,[20]свод!$A:$AB,3,0)," ")</f>
        <v>Мингбулоқ тумани</v>
      </c>
      <c r="E183" s="7" t="s">
        <v>1327</v>
      </c>
      <c r="F183" s="7" t="s">
        <v>7731</v>
      </c>
      <c r="G183" s="134">
        <f t="shared" si="22"/>
        <v>1</v>
      </c>
      <c r="H183" s="134" t="str">
        <f t="shared" si="23"/>
        <v/>
      </c>
      <c r="I183" s="7" t="s">
        <v>158</v>
      </c>
      <c r="J183" s="7" t="s">
        <v>172</v>
      </c>
      <c r="K183" s="7"/>
      <c r="L183" s="7" t="s">
        <v>167</v>
      </c>
      <c r="M183" s="7" t="s">
        <v>4361</v>
      </c>
      <c r="N183" s="7" t="s">
        <v>170</v>
      </c>
      <c r="O183" s="7" t="s">
        <v>162</v>
      </c>
      <c r="P183" s="7" t="s">
        <v>6396</v>
      </c>
      <c r="Q183" s="129">
        <v>46199</v>
      </c>
      <c r="R183" s="130">
        <f t="shared" si="21"/>
        <v>46211</v>
      </c>
      <c r="S183" s="131">
        <f t="shared" si="26"/>
        <v>12</v>
      </c>
      <c r="T183" s="7" t="s">
        <v>220</v>
      </c>
      <c r="U183" s="7" t="s">
        <v>221</v>
      </c>
      <c r="V183" s="7"/>
      <c r="W183" s="7">
        <v>390.56</v>
      </c>
      <c r="X183" s="132">
        <f t="shared" si="24"/>
        <v>10</v>
      </c>
      <c r="Y183" s="133"/>
      <c r="Z183" s="133"/>
      <c r="AA183" s="133"/>
    </row>
    <row r="184" spans="1:27" hidden="1" x14ac:dyDescent="0.25">
      <c r="A184" s="127">
        <v>190</v>
      </c>
      <c r="B184" s="128" t="str">
        <f t="shared" si="25"/>
        <v>YGQT</v>
      </c>
      <c r="C184" s="128" t="str">
        <f>+VLOOKUP(U184,Ходим!A:B,2,0)</f>
        <v>30903902160122</v>
      </c>
      <c r="D184" s="128" t="str">
        <f>IFERROR(VLOOKUP($B:$B,[20]свод!$A:$AB,3,0)," ")</f>
        <v>Янгиқўрғон тумани</v>
      </c>
      <c r="E184" s="7" t="s">
        <v>1328</v>
      </c>
      <c r="F184" s="7" t="s">
        <v>7732</v>
      </c>
      <c r="G184" s="134" t="str">
        <f t="shared" si="22"/>
        <v/>
      </c>
      <c r="H184" s="134">
        <f t="shared" si="23"/>
        <v>1</v>
      </c>
      <c r="I184" s="7" t="s">
        <v>157</v>
      </c>
      <c r="J184" s="7" t="s">
        <v>172</v>
      </c>
      <c r="K184" s="7"/>
      <c r="L184" s="7"/>
      <c r="M184" s="7"/>
      <c r="N184" s="7" t="s">
        <v>170</v>
      </c>
      <c r="O184" s="7" t="s">
        <v>161</v>
      </c>
      <c r="P184" s="7" t="s">
        <v>6401</v>
      </c>
      <c r="Q184" s="129">
        <v>46199</v>
      </c>
      <c r="R184" s="130">
        <f t="shared" si="21"/>
        <v>46211</v>
      </c>
      <c r="S184" s="131">
        <f t="shared" si="26"/>
        <v>12</v>
      </c>
      <c r="T184" s="7" t="s">
        <v>255</v>
      </c>
      <c r="U184" s="7" t="s">
        <v>230</v>
      </c>
      <c r="V184" s="7"/>
      <c r="W184" s="7"/>
      <c r="X184" s="132">
        <f t="shared" si="24"/>
        <v>10</v>
      </c>
      <c r="Y184" s="133"/>
      <c r="Z184" s="133"/>
      <c r="AA184" s="133"/>
    </row>
    <row r="185" spans="1:27" hidden="1" x14ac:dyDescent="0.25">
      <c r="A185" s="127">
        <v>191</v>
      </c>
      <c r="B185" s="128" t="str">
        <f t="shared" si="25"/>
        <v>POPT</v>
      </c>
      <c r="C185" s="128" t="str">
        <f>+VLOOKUP(U185,Ходим!A:B,2,0)</f>
        <v>50902005910032</v>
      </c>
      <c r="D185" s="128" t="str">
        <f>IFERROR(VLOOKUP($B:$B,[20]свод!$A:$AB,3,0)," ")</f>
        <v>Поп тумани</v>
      </c>
      <c r="E185" s="7" t="s">
        <v>1329</v>
      </c>
      <c r="F185" s="7" t="s">
        <v>7733</v>
      </c>
      <c r="G185" s="134">
        <f t="shared" si="22"/>
        <v>1</v>
      </c>
      <c r="H185" s="134" t="str">
        <f t="shared" si="23"/>
        <v/>
      </c>
      <c r="I185" s="7" t="s">
        <v>156</v>
      </c>
      <c r="J185" s="7" t="s">
        <v>25</v>
      </c>
      <c r="K185" s="7"/>
      <c r="L185" s="7"/>
      <c r="M185" s="7"/>
      <c r="N185" s="7" t="s">
        <v>170</v>
      </c>
      <c r="O185" s="7" t="s">
        <v>162</v>
      </c>
      <c r="P185" s="7" t="s">
        <v>6401</v>
      </c>
      <c r="Q185" s="129">
        <v>46199</v>
      </c>
      <c r="R185" s="130">
        <f t="shared" si="21"/>
        <v>46211</v>
      </c>
      <c r="S185" s="131">
        <f t="shared" si="26"/>
        <v>12</v>
      </c>
      <c r="T185" s="7" t="s">
        <v>240</v>
      </c>
      <c r="U185" s="7" t="s">
        <v>278</v>
      </c>
      <c r="V185" s="7"/>
      <c r="W185" s="7"/>
      <c r="X185" s="132">
        <f t="shared" si="24"/>
        <v>10</v>
      </c>
      <c r="Y185" s="133"/>
      <c r="Z185" s="133"/>
      <c r="AA185" s="133"/>
    </row>
    <row r="186" spans="1:27" hidden="1" x14ac:dyDescent="0.25">
      <c r="A186" s="127">
        <v>192</v>
      </c>
      <c r="B186" s="128" t="str">
        <f t="shared" si="25"/>
        <v>UYCT</v>
      </c>
      <c r="C186" s="128" t="str">
        <f>+VLOOKUP(U186,Ходим!A:B,2,0)</f>
        <v>52811025930077</v>
      </c>
      <c r="D186" s="128" t="str">
        <f>IFERROR(VLOOKUP($B:$B,[20]свод!$A:$AB,3,0)," ")</f>
        <v>Уйчи тумани</v>
      </c>
      <c r="E186" s="7" t="s">
        <v>1330</v>
      </c>
      <c r="F186" s="7" t="s">
        <v>7734</v>
      </c>
      <c r="G186" s="134" t="str">
        <f t="shared" si="22"/>
        <v/>
      </c>
      <c r="H186" s="134">
        <f t="shared" si="23"/>
        <v>1</v>
      </c>
      <c r="I186" s="7" t="s">
        <v>155</v>
      </c>
      <c r="J186" s="7" t="s">
        <v>25</v>
      </c>
      <c r="K186" s="7"/>
      <c r="L186" s="7" t="s">
        <v>166</v>
      </c>
      <c r="M186" s="7" t="s">
        <v>1126</v>
      </c>
      <c r="N186" s="7" t="s">
        <v>170</v>
      </c>
      <c r="O186" s="7" t="s">
        <v>161</v>
      </c>
      <c r="P186" s="7" t="s">
        <v>6401</v>
      </c>
      <c r="Q186" s="129">
        <v>46199</v>
      </c>
      <c r="R186" s="130">
        <f t="shared" si="21"/>
        <v>46211</v>
      </c>
      <c r="S186" s="131">
        <f t="shared" si="26"/>
        <v>12</v>
      </c>
      <c r="T186" s="7" t="s">
        <v>947</v>
      </c>
      <c r="U186" s="7" t="s">
        <v>356</v>
      </c>
      <c r="V186" s="7"/>
      <c r="W186" s="7">
        <v>0</v>
      </c>
      <c r="X186" s="132">
        <f t="shared" si="24"/>
        <v>10</v>
      </c>
      <c r="Y186" s="133"/>
      <c r="Z186" s="133"/>
      <c r="AA186" s="133"/>
    </row>
    <row r="187" spans="1:27" hidden="1" x14ac:dyDescent="0.25">
      <c r="A187" s="127">
        <v>193</v>
      </c>
      <c r="B187" s="128" t="str">
        <f t="shared" si="25"/>
        <v>CHUT</v>
      </c>
      <c r="C187" s="128" t="str">
        <f>+VLOOKUP(U187,Ходим!A:B,2,0)</f>
        <v>30901882180031</v>
      </c>
      <c r="D187" s="128" t="str">
        <f>IFERROR(VLOOKUP($B:$B,[20]свод!$A:$AB,3,0)," ")</f>
        <v>Чуст тумани</v>
      </c>
      <c r="E187" s="7" t="s">
        <v>1331</v>
      </c>
      <c r="F187" s="7" t="s">
        <v>7735</v>
      </c>
      <c r="G187" s="134">
        <f t="shared" si="22"/>
        <v>1</v>
      </c>
      <c r="H187" s="134" t="str">
        <f t="shared" si="23"/>
        <v/>
      </c>
      <c r="I187" s="7" t="s">
        <v>158</v>
      </c>
      <c r="J187" s="7" t="s">
        <v>172</v>
      </c>
      <c r="K187" s="7"/>
      <c r="L187" s="7" t="s">
        <v>167</v>
      </c>
      <c r="M187" s="7" t="s">
        <v>4362</v>
      </c>
      <c r="N187" s="7" t="s">
        <v>170</v>
      </c>
      <c r="O187" s="7" t="s">
        <v>162</v>
      </c>
      <c r="P187" s="7" t="s">
        <v>6402</v>
      </c>
      <c r="Q187" s="129">
        <v>46199</v>
      </c>
      <c r="R187" s="130">
        <f t="shared" ref="R187:R246" si="27">WORKDAY(P187,X187,$Y$1:$AA$1)</f>
        <v>46210</v>
      </c>
      <c r="S187" s="131">
        <f t="shared" si="26"/>
        <v>11</v>
      </c>
      <c r="T187" s="7" t="s">
        <v>178</v>
      </c>
      <c r="U187" s="7" t="s">
        <v>238</v>
      </c>
      <c r="V187" s="7"/>
      <c r="W187" s="7">
        <v>285.05</v>
      </c>
      <c r="X187" s="132">
        <f t="shared" si="24"/>
        <v>10</v>
      </c>
      <c r="Y187" s="133"/>
      <c r="Z187" s="133"/>
      <c r="AA187" s="133"/>
    </row>
    <row r="188" spans="1:27" hidden="1" x14ac:dyDescent="0.25">
      <c r="A188" s="127">
        <v>194</v>
      </c>
      <c r="B188" s="128" t="str">
        <f t="shared" si="25"/>
        <v>KSST</v>
      </c>
      <c r="C188" s="128" t="e">
        <f>+VLOOKUP(U188,Ходим!A:B,2,0)</f>
        <v>#N/A</v>
      </c>
      <c r="D188" s="128" t="str">
        <f>IFERROR(VLOOKUP($B:$B,[20]свод!$A:$AB,3,0)," ")</f>
        <v>Косонсой тумани</v>
      </c>
      <c r="E188" s="7" t="s">
        <v>1332</v>
      </c>
      <c r="F188" s="7" t="s">
        <v>7736</v>
      </c>
      <c r="G188" s="134">
        <f t="shared" si="22"/>
        <v>1</v>
      </c>
      <c r="H188" s="134" t="str">
        <f t="shared" si="23"/>
        <v/>
      </c>
      <c r="I188" s="7" t="s">
        <v>156</v>
      </c>
      <c r="J188" s="7" t="s">
        <v>25</v>
      </c>
      <c r="K188" s="7"/>
      <c r="L188" s="7"/>
      <c r="M188" s="7"/>
      <c r="N188" s="7" t="s">
        <v>170</v>
      </c>
      <c r="O188" s="7" t="s">
        <v>162</v>
      </c>
      <c r="P188" s="7" t="s">
        <v>6403</v>
      </c>
      <c r="Q188" s="129">
        <v>46199</v>
      </c>
      <c r="R188" s="130">
        <f t="shared" si="27"/>
        <v>46211</v>
      </c>
      <c r="S188" s="131">
        <f t="shared" si="26"/>
        <v>12</v>
      </c>
      <c r="T188" s="7" t="s">
        <v>180</v>
      </c>
      <c r="U188" s="7" t="s">
        <v>10634</v>
      </c>
      <c r="V188" s="7"/>
      <c r="W188" s="7"/>
      <c r="X188" s="132">
        <f t="shared" si="24"/>
        <v>10</v>
      </c>
      <c r="Y188" s="133"/>
      <c r="Z188" s="133"/>
      <c r="AA188" s="133"/>
    </row>
    <row r="189" spans="1:27" hidden="1" x14ac:dyDescent="0.25">
      <c r="A189" s="127">
        <v>195</v>
      </c>
      <c r="B189" s="128" t="str">
        <f t="shared" si="25"/>
        <v>NAMS</v>
      </c>
      <c r="C189" s="128" t="str">
        <f>+VLOOKUP(U189,Ходим!A:B,2,0)</f>
        <v>32407752170062</v>
      </c>
      <c r="D189" s="128" t="str">
        <f>IFERROR(VLOOKUP($B:$B,[20]свод!$A:$AB,3,0)," ")</f>
        <v>Наманган шаҳар</v>
      </c>
      <c r="E189" s="7" t="s">
        <v>1333</v>
      </c>
      <c r="F189" s="7" t="s">
        <v>7737</v>
      </c>
      <c r="G189" s="134">
        <f t="shared" si="22"/>
        <v>1</v>
      </c>
      <c r="H189" s="134" t="str">
        <f t="shared" si="23"/>
        <v/>
      </c>
      <c r="I189" s="7" t="s">
        <v>156</v>
      </c>
      <c r="J189" s="7" t="s">
        <v>25</v>
      </c>
      <c r="K189" s="7"/>
      <c r="L189" s="7"/>
      <c r="M189" s="7"/>
      <c r="N189" s="7" t="s">
        <v>170</v>
      </c>
      <c r="O189" s="7" t="s">
        <v>162</v>
      </c>
      <c r="P189" s="7" t="s">
        <v>6404</v>
      </c>
      <c r="Q189" s="129">
        <v>46199</v>
      </c>
      <c r="R189" s="130">
        <f t="shared" si="27"/>
        <v>46211</v>
      </c>
      <c r="S189" s="131">
        <f t="shared" si="26"/>
        <v>12</v>
      </c>
      <c r="T189" s="7" t="s">
        <v>173</v>
      </c>
      <c r="U189" s="7" t="s">
        <v>264</v>
      </c>
      <c r="V189" s="7"/>
      <c r="W189" s="7"/>
      <c r="X189" s="132">
        <f t="shared" si="24"/>
        <v>10</v>
      </c>
      <c r="Y189" s="133"/>
      <c r="Z189" s="133"/>
      <c r="AA189" s="133"/>
    </row>
    <row r="190" spans="1:27" hidden="1" x14ac:dyDescent="0.25">
      <c r="A190" s="127">
        <v>196</v>
      </c>
      <c r="B190" s="128" t="str">
        <f t="shared" si="25"/>
        <v>YGQT</v>
      </c>
      <c r="C190" s="128" t="str">
        <f>+VLOOKUP(U190,Ходим!A:B,2,0)</f>
        <v>33103892160125</v>
      </c>
      <c r="D190" s="128" t="str">
        <f>IFERROR(VLOOKUP($B:$B,[20]свод!$A:$AB,3,0)," ")</f>
        <v>Янгиқўрғон тумани</v>
      </c>
      <c r="E190" s="7" t="s">
        <v>1334</v>
      </c>
      <c r="F190" s="7" t="s">
        <v>7738</v>
      </c>
      <c r="G190" s="134">
        <f t="shared" si="22"/>
        <v>1</v>
      </c>
      <c r="H190" s="134" t="str">
        <f t="shared" si="23"/>
        <v/>
      </c>
      <c r="I190" s="7" t="s">
        <v>158</v>
      </c>
      <c r="J190" s="7" t="s">
        <v>2</v>
      </c>
      <c r="K190" s="7"/>
      <c r="L190" s="7" t="s">
        <v>167</v>
      </c>
      <c r="M190" s="7" t="s">
        <v>4363</v>
      </c>
      <c r="N190" s="7" t="s">
        <v>170</v>
      </c>
      <c r="O190" s="7" t="s">
        <v>162</v>
      </c>
      <c r="P190" s="7" t="s">
        <v>6404</v>
      </c>
      <c r="Q190" s="129">
        <v>46199</v>
      </c>
      <c r="R190" s="130">
        <f t="shared" si="27"/>
        <v>46211</v>
      </c>
      <c r="S190" s="131">
        <f t="shared" si="26"/>
        <v>12</v>
      </c>
      <c r="T190" s="7" t="s">
        <v>255</v>
      </c>
      <c r="U190" s="7" t="s">
        <v>183</v>
      </c>
      <c r="V190" s="7"/>
      <c r="W190" s="7">
        <v>332.1</v>
      </c>
      <c r="X190" s="132">
        <f t="shared" si="24"/>
        <v>10</v>
      </c>
      <c r="Y190" s="133"/>
      <c r="Z190" s="133"/>
      <c r="AA190" s="133"/>
    </row>
    <row r="191" spans="1:27" hidden="1" x14ac:dyDescent="0.25">
      <c r="A191" s="127">
        <v>197</v>
      </c>
      <c r="B191" s="128" t="str">
        <f t="shared" si="25"/>
        <v>YGQT</v>
      </c>
      <c r="C191" s="128" t="str">
        <f>+VLOOKUP(U191,Ходим!A:B,2,0)</f>
        <v>30502995950058</v>
      </c>
      <c r="D191" s="128" t="str">
        <f>IFERROR(VLOOKUP($B:$B,[20]свод!$A:$AB,3,0)," ")</f>
        <v>Янгиқўрғон тумани</v>
      </c>
      <c r="E191" s="7" t="s">
        <v>1335</v>
      </c>
      <c r="F191" s="7" t="s">
        <v>7739</v>
      </c>
      <c r="G191" s="134">
        <f t="shared" ref="G191:G250" si="28">IF(OR(
I191="Turar joy obyektning kadastr pasportini shakllantirish va davlat ro'yxatidan o'tkazish",
I191="Turar kompozit"
),
1,
IF(OR(
I191="Noturar kompozit",
I191="Avtoyo'l va suv xo'jaligi obyektining kadastr pasportini shakllantirish va ro'yxatga olish",
I191="Noturar obyektning kadastr pasportining kadastr pasportini shakllantirish va davlat ro'yxatidan o'tkazish"
),
"",
IF(OR(
I191="Notarius uchun ma'lumotnoma (uz)",
I191="Qurilishi tugallangan ko'chmas mulkni foydalanishga qabul qilish",
I191="Umumiy foydalanishdagi ko'chmas mulk qismini yaratish",
I191="Registratsiya (tashqi - UZKAD da bor)"
),
IF(OR(L191="Turar yer maydoni",L191="Yakka tartibdagi turar joy"),1,
IF(L191="Noturar bino","",
IF(L191="Noturar yer maydoni","",
IF(L191="",IF(OR(O191="Turar joy xizmati",O191="Foydalanishga ruxsatnoma berish xizmati"),1,""),"")
))),
"")))</f>
        <v>1</v>
      </c>
      <c r="H191" s="134" t="str">
        <f t="shared" ref="H191:H250" si="29">IF(OR(
I191="Turar joy obyektning kadastr pasportini shakllantirish va davlat ro'yxatidan o'tkazish",
I191="Turar kompozit"
),
"",
IF(OR(
I191="Noturar kompozit",
I191="Avtoyo'l va suv xo'jaligi obyektining kadastr pasportini shakllantirish va ro'yxatga olish",
I191="Noturar obyektning kadastr pasportini shakllantirish va davlat ro'yxatidan o'tkazish"
),
1,
IF(OR(
I191="Notarius uchun ma'lumotnoma (uz)",
I191="Qurilishi tugallangan ko'chmas mulkni foydalanishga qabul qilish",
I191="Umumiy foydalanishdagi ko'chmas mulk qismini yaratish",
I191="Registratsiya (tashqi - UZKAD da bor)"
),
IF(OR(L191="Turar yer maydoni",L191="Yakka tartibdagi turar joy"),"",
IF(L191="Noturar bino",1,
IF(L191="Noturar yer maydoni",1,
IF(L191="",IF(OR(O191="Turar joy xizmati",O191="Foydalanishga ruxsatnoma berish xizmati"),"",1),"")
))),
"")))</f>
        <v/>
      </c>
      <c r="I191" s="7" t="s">
        <v>156</v>
      </c>
      <c r="J191" s="7" t="s">
        <v>21</v>
      </c>
      <c r="K191" s="7"/>
      <c r="L191" s="7" t="s">
        <v>167</v>
      </c>
      <c r="M191" s="7" t="s">
        <v>4364</v>
      </c>
      <c r="N191" s="7" t="s">
        <v>170</v>
      </c>
      <c r="O191" s="7" t="s">
        <v>162</v>
      </c>
      <c r="P191" s="7" t="s">
        <v>6404</v>
      </c>
      <c r="Q191" s="129">
        <v>46199</v>
      </c>
      <c r="R191" s="130">
        <f t="shared" si="27"/>
        <v>46211</v>
      </c>
      <c r="S191" s="131">
        <f t="shared" si="26"/>
        <v>12</v>
      </c>
      <c r="T191" s="7" t="s">
        <v>182</v>
      </c>
      <c r="U191" s="7" t="s">
        <v>340</v>
      </c>
      <c r="V191" s="7"/>
      <c r="W191" s="7">
        <v>309.39</v>
      </c>
      <c r="X191" s="132">
        <f t="shared" si="24"/>
        <v>10</v>
      </c>
      <c r="Y191" s="133"/>
      <c r="Z191" s="133"/>
      <c r="AA191" s="133"/>
    </row>
    <row r="192" spans="1:27" hidden="1" x14ac:dyDescent="0.25">
      <c r="A192" s="127">
        <v>198</v>
      </c>
      <c r="B192" s="128" t="str">
        <f t="shared" si="25"/>
        <v>YGQT</v>
      </c>
      <c r="C192" s="128" t="str">
        <f>+VLOOKUP(U192,Ходим!A:B,2,0)</f>
        <v>52410005950025</v>
      </c>
      <c r="D192" s="128" t="str">
        <f>IFERROR(VLOOKUP($B:$B,[20]свод!$A:$AB,3,0)," ")</f>
        <v>Янгиқўрғон тумани</v>
      </c>
      <c r="E192" s="7" t="s">
        <v>1336</v>
      </c>
      <c r="F192" s="7" t="s">
        <v>7740</v>
      </c>
      <c r="G192" s="134">
        <f t="shared" si="28"/>
        <v>1</v>
      </c>
      <c r="H192" s="134" t="str">
        <f t="shared" si="29"/>
        <v/>
      </c>
      <c r="I192" s="7" t="s">
        <v>156</v>
      </c>
      <c r="J192" s="7" t="s">
        <v>21</v>
      </c>
      <c r="K192" s="7"/>
      <c r="L192" s="7" t="s">
        <v>167</v>
      </c>
      <c r="M192" s="7" t="s">
        <v>4365</v>
      </c>
      <c r="N192" s="7" t="s">
        <v>170</v>
      </c>
      <c r="O192" s="7" t="s">
        <v>162</v>
      </c>
      <c r="P192" s="7" t="s">
        <v>6404</v>
      </c>
      <c r="Q192" s="129">
        <v>46199</v>
      </c>
      <c r="R192" s="130">
        <f t="shared" si="27"/>
        <v>46211</v>
      </c>
      <c r="S192" s="131">
        <f t="shared" si="26"/>
        <v>12</v>
      </c>
      <c r="T192" s="7" t="s">
        <v>182</v>
      </c>
      <c r="U192" s="7" t="s">
        <v>256</v>
      </c>
      <c r="V192" s="7"/>
      <c r="W192" s="7">
        <v>434.54</v>
      </c>
      <c r="X192" s="132">
        <f t="shared" si="24"/>
        <v>10</v>
      </c>
      <c r="Y192" s="133"/>
      <c r="Z192" s="133"/>
      <c r="AA192" s="133"/>
    </row>
    <row r="193" spans="1:27" hidden="1" x14ac:dyDescent="0.25">
      <c r="A193" s="127">
        <v>200</v>
      </c>
      <c r="B193" s="128" t="str">
        <f t="shared" si="25"/>
        <v>NAMS</v>
      </c>
      <c r="C193" s="128" t="str">
        <f>+VLOOKUP(U193,Ходим!A:B,2,0)</f>
        <v>51705025890024</v>
      </c>
      <c r="D193" s="128" t="str">
        <f>IFERROR(VLOOKUP($B:$B,[20]свод!$A:$AB,3,0)," ")</f>
        <v>Наманган шаҳар</v>
      </c>
      <c r="E193" s="7" t="s">
        <v>1337</v>
      </c>
      <c r="F193" s="7" t="s">
        <v>7741</v>
      </c>
      <c r="G193" s="134">
        <f t="shared" si="28"/>
        <v>1</v>
      </c>
      <c r="H193" s="134" t="str">
        <f t="shared" si="29"/>
        <v/>
      </c>
      <c r="I193" s="7" t="s">
        <v>156</v>
      </c>
      <c r="J193" s="7" t="s">
        <v>25</v>
      </c>
      <c r="K193" s="7"/>
      <c r="L193" s="7"/>
      <c r="M193" s="7"/>
      <c r="N193" s="7" t="s">
        <v>170</v>
      </c>
      <c r="O193" s="7" t="s">
        <v>162</v>
      </c>
      <c r="P193" s="7" t="s">
        <v>6404</v>
      </c>
      <c r="Q193" s="129">
        <v>46199</v>
      </c>
      <c r="R193" s="130">
        <f t="shared" si="27"/>
        <v>46211</v>
      </c>
      <c r="S193" s="131">
        <f t="shared" si="26"/>
        <v>12</v>
      </c>
      <c r="T193" s="7" t="s">
        <v>173</v>
      </c>
      <c r="U193" s="7" t="s">
        <v>189</v>
      </c>
      <c r="V193" s="7"/>
      <c r="W193" s="7"/>
      <c r="X193" s="132">
        <f t="shared" si="24"/>
        <v>10</v>
      </c>
      <c r="Y193" s="133"/>
      <c r="Z193" s="133"/>
      <c r="AA193" s="133"/>
    </row>
    <row r="194" spans="1:27" hidden="1" x14ac:dyDescent="0.25">
      <c r="A194" s="127">
        <v>201</v>
      </c>
      <c r="B194" s="128" t="str">
        <f t="shared" si="25"/>
        <v>UCQT</v>
      </c>
      <c r="C194" s="128" t="e">
        <f>+VLOOKUP(U194,Ходим!A:B,2,0)</f>
        <v>#N/A</v>
      </c>
      <c r="D194" s="128" t="str">
        <f>IFERROR(VLOOKUP($B:$B,[20]свод!$A:$AB,3,0)," ")</f>
        <v>Учқўрғон тумани</v>
      </c>
      <c r="E194" s="7" t="s">
        <v>1338</v>
      </c>
      <c r="F194" s="7" t="s">
        <v>7742</v>
      </c>
      <c r="G194" s="134">
        <f t="shared" si="28"/>
        <v>1</v>
      </c>
      <c r="H194" s="134" t="str">
        <f t="shared" si="29"/>
        <v/>
      </c>
      <c r="I194" s="7" t="s">
        <v>156</v>
      </c>
      <c r="J194" s="7" t="s">
        <v>11</v>
      </c>
      <c r="K194" s="7"/>
      <c r="L194" s="7"/>
      <c r="M194" s="7"/>
      <c r="N194" s="7" t="s">
        <v>170</v>
      </c>
      <c r="O194" s="7" t="s">
        <v>162</v>
      </c>
      <c r="P194" s="7" t="s">
        <v>6274</v>
      </c>
      <c r="Q194" s="129">
        <v>46199</v>
      </c>
      <c r="R194" s="130">
        <f t="shared" si="27"/>
        <v>46210</v>
      </c>
      <c r="S194" s="131">
        <f t="shared" si="26"/>
        <v>11</v>
      </c>
      <c r="T194" s="7" t="s">
        <v>175</v>
      </c>
      <c r="U194" s="7"/>
      <c r="V194" s="7"/>
      <c r="W194" s="7"/>
      <c r="X194" s="132">
        <f t="shared" si="24"/>
        <v>10</v>
      </c>
      <c r="Y194" s="133"/>
      <c r="Z194" s="133"/>
      <c r="AA194" s="133"/>
    </row>
    <row r="195" spans="1:27" hidden="1" x14ac:dyDescent="0.25">
      <c r="A195" s="127">
        <v>202</v>
      </c>
      <c r="B195" s="128" t="str">
        <f t="shared" si="25"/>
        <v>UCQT</v>
      </c>
      <c r="C195" s="128" t="e">
        <f>+VLOOKUP(U195,Ходим!A:B,2,0)</f>
        <v>#N/A</v>
      </c>
      <c r="D195" s="128" t="str">
        <f>IFERROR(VLOOKUP($B:$B,[20]свод!$A:$AB,3,0)," ")</f>
        <v>Учқўрғон тумани</v>
      </c>
      <c r="E195" s="7" t="s">
        <v>1339</v>
      </c>
      <c r="F195" s="7" t="s">
        <v>7743</v>
      </c>
      <c r="G195" s="134">
        <f t="shared" si="28"/>
        <v>1</v>
      </c>
      <c r="H195" s="134" t="str">
        <f t="shared" si="29"/>
        <v/>
      </c>
      <c r="I195" s="7" t="s">
        <v>156</v>
      </c>
      <c r="J195" s="7" t="s">
        <v>11</v>
      </c>
      <c r="K195" s="7"/>
      <c r="L195" s="7"/>
      <c r="M195" s="7"/>
      <c r="N195" s="7" t="s">
        <v>170</v>
      </c>
      <c r="O195" s="7" t="s">
        <v>162</v>
      </c>
      <c r="P195" s="7" t="s">
        <v>6405</v>
      </c>
      <c r="Q195" s="129">
        <v>46199</v>
      </c>
      <c r="R195" s="130">
        <f t="shared" si="27"/>
        <v>46211</v>
      </c>
      <c r="S195" s="131">
        <f t="shared" si="26"/>
        <v>12</v>
      </c>
      <c r="T195" s="7" t="s">
        <v>175</v>
      </c>
      <c r="U195" s="7"/>
      <c r="V195" s="7"/>
      <c r="W195" s="7"/>
      <c r="X195" s="132">
        <f t="shared" si="24"/>
        <v>10</v>
      </c>
      <c r="Y195" s="133"/>
      <c r="Z195" s="133"/>
      <c r="AA195" s="133"/>
    </row>
    <row r="196" spans="1:27" hidden="1" x14ac:dyDescent="0.25">
      <c r="A196" s="127">
        <v>203</v>
      </c>
      <c r="B196" s="128" t="str">
        <f t="shared" si="25"/>
        <v>UCQT</v>
      </c>
      <c r="C196" s="128" t="e">
        <f>+VLOOKUP(U196,Ходим!A:B,2,0)</f>
        <v>#N/A</v>
      </c>
      <c r="D196" s="128" t="str">
        <f>IFERROR(VLOOKUP($B:$B,[20]свод!$A:$AB,3,0)," ")</f>
        <v>Учқўрғон тумани</v>
      </c>
      <c r="E196" s="7" t="s">
        <v>1340</v>
      </c>
      <c r="F196" s="7" t="s">
        <v>7744</v>
      </c>
      <c r="G196" s="134">
        <f t="shared" si="28"/>
        <v>1</v>
      </c>
      <c r="H196" s="134" t="str">
        <f t="shared" si="29"/>
        <v/>
      </c>
      <c r="I196" s="7" t="s">
        <v>156</v>
      </c>
      <c r="J196" s="7" t="s">
        <v>11</v>
      </c>
      <c r="K196" s="7"/>
      <c r="L196" s="7" t="s">
        <v>167</v>
      </c>
      <c r="M196" s="7" t="s">
        <v>4366</v>
      </c>
      <c r="N196" s="7" t="s">
        <v>170</v>
      </c>
      <c r="O196" s="7" t="s">
        <v>162</v>
      </c>
      <c r="P196" s="7" t="s">
        <v>6406</v>
      </c>
      <c r="Q196" s="129">
        <v>46199</v>
      </c>
      <c r="R196" s="130">
        <f t="shared" si="27"/>
        <v>46211</v>
      </c>
      <c r="S196" s="131">
        <f t="shared" si="26"/>
        <v>12</v>
      </c>
      <c r="T196" s="7" t="s">
        <v>175</v>
      </c>
      <c r="U196" s="7"/>
      <c r="V196" s="7"/>
      <c r="W196" s="7">
        <v>360.95</v>
      </c>
      <c r="X196" s="132">
        <f t="shared" si="24"/>
        <v>10</v>
      </c>
      <c r="Y196" s="133"/>
      <c r="Z196" s="133"/>
      <c r="AA196" s="133"/>
    </row>
    <row r="197" spans="1:27" hidden="1" x14ac:dyDescent="0.25">
      <c r="A197" s="127">
        <v>204</v>
      </c>
      <c r="B197" s="128" t="str">
        <f t="shared" si="25"/>
        <v>UCQT</v>
      </c>
      <c r="C197" s="128" t="e">
        <f>+VLOOKUP(U197,Ходим!A:B,2,0)</f>
        <v>#N/A</v>
      </c>
      <c r="D197" s="128" t="str">
        <f>IFERROR(VLOOKUP($B:$B,[20]свод!$A:$AB,3,0)," ")</f>
        <v>Учқўрғон тумани</v>
      </c>
      <c r="E197" s="7" t="s">
        <v>1341</v>
      </c>
      <c r="F197" s="7" t="s">
        <v>7745</v>
      </c>
      <c r="G197" s="134">
        <f t="shared" si="28"/>
        <v>1</v>
      </c>
      <c r="H197" s="134" t="str">
        <f t="shared" si="29"/>
        <v/>
      </c>
      <c r="I197" s="7" t="s">
        <v>156</v>
      </c>
      <c r="J197" s="7" t="s">
        <v>11</v>
      </c>
      <c r="K197" s="7"/>
      <c r="L197" s="7"/>
      <c r="M197" s="7"/>
      <c r="N197" s="7" t="s">
        <v>170</v>
      </c>
      <c r="O197" s="7" t="s">
        <v>162</v>
      </c>
      <c r="P197" s="7" t="s">
        <v>6407</v>
      </c>
      <c r="Q197" s="129">
        <v>46199</v>
      </c>
      <c r="R197" s="130">
        <f t="shared" si="27"/>
        <v>46211</v>
      </c>
      <c r="S197" s="131">
        <f t="shared" si="26"/>
        <v>12</v>
      </c>
      <c r="T197" s="7" t="s">
        <v>175</v>
      </c>
      <c r="U197" s="7"/>
      <c r="V197" s="7"/>
      <c r="W197" s="7"/>
      <c r="X197" s="132">
        <f t="shared" si="24"/>
        <v>10</v>
      </c>
      <c r="Y197" s="133"/>
      <c r="Z197" s="133"/>
      <c r="AA197" s="133"/>
    </row>
    <row r="198" spans="1:27" hidden="1" x14ac:dyDescent="0.25">
      <c r="A198" s="127">
        <v>205</v>
      </c>
      <c r="B198" s="128" t="str">
        <f t="shared" si="25"/>
        <v>UCQT</v>
      </c>
      <c r="C198" s="128" t="e">
        <f>+VLOOKUP(U198,Ходим!A:B,2,0)</f>
        <v>#N/A</v>
      </c>
      <c r="D198" s="128" t="str">
        <f>IFERROR(VLOOKUP($B:$B,[20]свод!$A:$AB,3,0)," ")</f>
        <v>Учқўрғон тумани</v>
      </c>
      <c r="E198" s="7" t="s">
        <v>1342</v>
      </c>
      <c r="F198" s="7" t="s">
        <v>7746</v>
      </c>
      <c r="G198" s="134">
        <f t="shared" si="28"/>
        <v>1</v>
      </c>
      <c r="H198" s="134" t="str">
        <f t="shared" si="29"/>
        <v/>
      </c>
      <c r="I198" s="7" t="s">
        <v>156</v>
      </c>
      <c r="J198" s="7" t="s">
        <v>11</v>
      </c>
      <c r="K198" s="7"/>
      <c r="L198" s="7"/>
      <c r="M198" s="7"/>
      <c r="N198" s="7" t="s">
        <v>170</v>
      </c>
      <c r="O198" s="7" t="s">
        <v>162</v>
      </c>
      <c r="P198" s="7" t="s">
        <v>6389</v>
      </c>
      <c r="Q198" s="129">
        <v>46199</v>
      </c>
      <c r="R198" s="130">
        <f t="shared" si="27"/>
        <v>46211</v>
      </c>
      <c r="S198" s="131">
        <f t="shared" si="26"/>
        <v>12</v>
      </c>
      <c r="T198" s="7" t="s">
        <v>175</v>
      </c>
      <c r="U198" s="7"/>
      <c r="V198" s="7"/>
      <c r="W198" s="7"/>
      <c r="X198" s="132">
        <f t="shared" si="24"/>
        <v>10</v>
      </c>
      <c r="Y198" s="133"/>
      <c r="Z198" s="133"/>
      <c r="AA198" s="133"/>
    </row>
    <row r="199" spans="1:27" hidden="1" x14ac:dyDescent="0.25">
      <c r="A199" s="127">
        <v>206</v>
      </c>
      <c r="B199" s="128" t="str">
        <f t="shared" si="25"/>
        <v>NAMT</v>
      </c>
      <c r="C199" s="128" t="str">
        <f>+VLOOKUP(U199,Ходим!A:B,2,0)</f>
        <v>52012025880014</v>
      </c>
      <c r="D199" s="128" t="str">
        <f>IFERROR(VLOOKUP($B:$B,[20]свод!$A:$AB,3,0)," ")</f>
        <v>Наманган тумани</v>
      </c>
      <c r="E199" s="7" t="s">
        <v>1343</v>
      </c>
      <c r="F199" s="7" t="s">
        <v>7747</v>
      </c>
      <c r="G199" s="134">
        <f t="shared" si="28"/>
        <v>1</v>
      </c>
      <c r="H199" s="134" t="str">
        <f t="shared" si="29"/>
        <v/>
      </c>
      <c r="I199" s="7" t="s">
        <v>158</v>
      </c>
      <c r="J199" s="7" t="s">
        <v>2</v>
      </c>
      <c r="K199" s="7"/>
      <c r="L199" s="7" t="s">
        <v>167</v>
      </c>
      <c r="M199" s="7" t="s">
        <v>4367</v>
      </c>
      <c r="N199" s="7" t="s">
        <v>170</v>
      </c>
      <c r="O199" s="7" t="s">
        <v>162</v>
      </c>
      <c r="P199" s="7" t="s">
        <v>6392</v>
      </c>
      <c r="Q199" s="129">
        <v>46199</v>
      </c>
      <c r="R199" s="130">
        <f t="shared" si="27"/>
        <v>46211</v>
      </c>
      <c r="S199" s="131">
        <f t="shared" si="26"/>
        <v>12</v>
      </c>
      <c r="T199" s="7" t="s">
        <v>197</v>
      </c>
      <c r="U199" s="7" t="s">
        <v>216</v>
      </c>
      <c r="V199" s="7"/>
      <c r="W199" s="7">
        <v>196.77</v>
      </c>
      <c r="X199" s="132">
        <f t="shared" si="24"/>
        <v>10</v>
      </c>
      <c r="Y199" s="133"/>
      <c r="Z199" s="133"/>
      <c r="AA199" s="133"/>
    </row>
    <row r="200" spans="1:27" hidden="1" x14ac:dyDescent="0.25">
      <c r="A200" s="127">
        <v>207</v>
      </c>
      <c r="B200" s="128" t="str">
        <f t="shared" si="25"/>
        <v>UCQT</v>
      </c>
      <c r="C200" s="128" t="e">
        <f>+VLOOKUP(U200,Ходим!A:B,2,0)</f>
        <v>#N/A</v>
      </c>
      <c r="D200" s="128" t="str">
        <f>IFERROR(VLOOKUP($B:$B,[20]свод!$A:$AB,3,0)," ")</f>
        <v>Учқўрғон тумани</v>
      </c>
      <c r="E200" s="7" t="s">
        <v>1344</v>
      </c>
      <c r="F200" s="7" t="s">
        <v>7748</v>
      </c>
      <c r="G200" s="134">
        <f t="shared" si="28"/>
        <v>1</v>
      </c>
      <c r="H200" s="134" t="str">
        <f t="shared" si="29"/>
        <v/>
      </c>
      <c r="I200" s="7" t="s">
        <v>156</v>
      </c>
      <c r="J200" s="7" t="s">
        <v>11</v>
      </c>
      <c r="K200" s="7"/>
      <c r="L200" s="7"/>
      <c r="M200" s="7"/>
      <c r="N200" s="7" t="s">
        <v>170</v>
      </c>
      <c r="O200" s="7" t="s">
        <v>162</v>
      </c>
      <c r="P200" s="7" t="s">
        <v>6408</v>
      </c>
      <c r="Q200" s="129">
        <v>46199</v>
      </c>
      <c r="R200" s="130">
        <f t="shared" si="27"/>
        <v>46211</v>
      </c>
      <c r="S200" s="131">
        <f t="shared" si="26"/>
        <v>12</v>
      </c>
      <c r="T200" s="7"/>
      <c r="U200" s="7"/>
      <c r="V200" s="7"/>
      <c r="W200" s="7"/>
      <c r="X200" s="132">
        <f t="shared" si="24"/>
        <v>10</v>
      </c>
      <c r="Y200" s="133"/>
      <c r="Z200" s="133"/>
      <c r="AA200" s="133"/>
    </row>
    <row r="201" spans="1:27" hidden="1" x14ac:dyDescent="0.25">
      <c r="A201" s="127">
        <v>208</v>
      </c>
      <c r="B201" s="128" t="str">
        <f t="shared" si="25"/>
        <v>CHUT</v>
      </c>
      <c r="C201" s="128" t="str">
        <f>+VLOOKUP(U201,Ходим!A:B,2,0)</f>
        <v>32511965970037</v>
      </c>
      <c r="D201" s="128" t="str">
        <f>IFERROR(VLOOKUP($B:$B,[20]свод!$A:$AB,3,0)," ")</f>
        <v>Чуст тумани</v>
      </c>
      <c r="E201" s="7" t="s">
        <v>1345</v>
      </c>
      <c r="F201" s="7" t="s">
        <v>7749</v>
      </c>
      <c r="G201" s="134">
        <f t="shared" si="28"/>
        <v>1</v>
      </c>
      <c r="H201" s="134" t="str">
        <f t="shared" si="29"/>
        <v/>
      </c>
      <c r="I201" s="7" t="s">
        <v>156</v>
      </c>
      <c r="J201" s="7" t="s">
        <v>11</v>
      </c>
      <c r="K201" s="7"/>
      <c r="L201" s="7"/>
      <c r="M201" s="7"/>
      <c r="N201" s="7" t="s">
        <v>170</v>
      </c>
      <c r="O201" s="7" t="s">
        <v>162</v>
      </c>
      <c r="P201" s="7" t="s">
        <v>6408</v>
      </c>
      <c r="Q201" s="129">
        <v>46199</v>
      </c>
      <c r="R201" s="130">
        <f t="shared" si="27"/>
        <v>46211</v>
      </c>
      <c r="S201" s="131">
        <f t="shared" si="26"/>
        <v>12</v>
      </c>
      <c r="T201" s="7" t="s">
        <v>178</v>
      </c>
      <c r="U201" s="7" t="s">
        <v>351</v>
      </c>
      <c r="V201" s="7"/>
      <c r="W201" s="7"/>
      <c r="X201" s="132">
        <f t="shared" si="24"/>
        <v>10</v>
      </c>
      <c r="Y201" s="133"/>
      <c r="Z201" s="133"/>
      <c r="AA201" s="133"/>
    </row>
    <row r="202" spans="1:27" hidden="1" x14ac:dyDescent="0.25">
      <c r="A202" s="127">
        <v>209</v>
      </c>
      <c r="B202" s="128" t="str">
        <f t="shared" si="25"/>
        <v>NAMS</v>
      </c>
      <c r="C202" s="128" t="str">
        <f>+VLOOKUP(U202,Ходим!A:B,2,0)</f>
        <v>52710005960025</v>
      </c>
      <c r="D202" s="128" t="str">
        <f>IFERROR(VLOOKUP($B:$B,[20]свод!$A:$AB,3,0)," ")</f>
        <v>Наманган шаҳар</v>
      </c>
      <c r="E202" s="7" t="s">
        <v>1346</v>
      </c>
      <c r="F202" s="7" t="s">
        <v>7750</v>
      </c>
      <c r="G202" s="134">
        <f t="shared" si="28"/>
        <v>1</v>
      </c>
      <c r="H202" s="134" t="str">
        <f t="shared" si="29"/>
        <v/>
      </c>
      <c r="I202" s="7" t="s">
        <v>158</v>
      </c>
      <c r="J202" s="7" t="s">
        <v>2</v>
      </c>
      <c r="K202" s="7"/>
      <c r="L202" s="7"/>
      <c r="M202" s="7"/>
      <c r="N202" s="7" t="s">
        <v>170</v>
      </c>
      <c r="O202" s="7" t="s">
        <v>162</v>
      </c>
      <c r="P202" s="7" t="s">
        <v>6313</v>
      </c>
      <c r="Q202" s="129">
        <v>46199</v>
      </c>
      <c r="R202" s="130">
        <f t="shared" si="27"/>
        <v>46204</v>
      </c>
      <c r="S202" s="131">
        <f t="shared" si="26"/>
        <v>5</v>
      </c>
      <c r="T202" s="7" t="s">
        <v>173</v>
      </c>
      <c r="U202" s="7" t="s">
        <v>274</v>
      </c>
      <c r="V202" s="7"/>
      <c r="W202" s="7"/>
      <c r="X202" s="132">
        <f t="shared" si="24"/>
        <v>10</v>
      </c>
      <c r="Y202" s="133"/>
      <c r="Z202" s="133"/>
      <c r="AA202" s="133"/>
    </row>
    <row r="203" spans="1:27" hidden="1" x14ac:dyDescent="0.25">
      <c r="A203" s="127">
        <v>210</v>
      </c>
      <c r="B203" s="128" t="str">
        <f t="shared" si="25"/>
        <v>NAMS</v>
      </c>
      <c r="C203" s="128" t="str">
        <f>+VLOOKUP(U203,Ходим!A:B,2,0)</f>
        <v>31007955980023</v>
      </c>
      <c r="D203" s="128" t="str">
        <f>IFERROR(VLOOKUP($B:$B,[20]свод!$A:$AB,3,0)," ")</f>
        <v>Наманган шаҳар</v>
      </c>
      <c r="E203" s="7" t="s">
        <v>1347</v>
      </c>
      <c r="F203" s="7" t="s">
        <v>7751</v>
      </c>
      <c r="G203" s="134">
        <f t="shared" si="28"/>
        <v>1</v>
      </c>
      <c r="H203" s="134" t="str">
        <f t="shared" si="29"/>
        <v/>
      </c>
      <c r="I203" s="7" t="s">
        <v>158</v>
      </c>
      <c r="J203" s="7" t="s">
        <v>2</v>
      </c>
      <c r="K203" s="7"/>
      <c r="L203" s="7" t="s">
        <v>167</v>
      </c>
      <c r="M203" s="7" t="s">
        <v>4368</v>
      </c>
      <c r="N203" s="7" t="s">
        <v>170</v>
      </c>
      <c r="O203" s="7" t="s">
        <v>162</v>
      </c>
      <c r="P203" s="7" t="s">
        <v>6409</v>
      </c>
      <c r="Q203" s="129">
        <v>46199</v>
      </c>
      <c r="R203" s="130">
        <f t="shared" si="27"/>
        <v>46204</v>
      </c>
      <c r="S203" s="131">
        <f t="shared" si="26"/>
        <v>5</v>
      </c>
      <c r="T203" s="7" t="s">
        <v>173</v>
      </c>
      <c r="U203" s="7" t="s">
        <v>207</v>
      </c>
      <c r="V203" s="7"/>
      <c r="W203" s="7">
        <v>138.91999999999999</v>
      </c>
      <c r="X203" s="132">
        <f t="shared" si="24"/>
        <v>10</v>
      </c>
      <c r="Y203" s="133"/>
      <c r="Z203" s="133"/>
      <c r="AA203" s="133"/>
    </row>
    <row r="204" spans="1:27" x14ac:dyDescent="0.25">
      <c r="A204" s="127">
        <v>211</v>
      </c>
      <c r="B204" s="128" t="str">
        <f t="shared" si="25"/>
        <v>NAMS</v>
      </c>
      <c r="C204" s="128" t="str">
        <f>+VLOOKUP(U204,Ходим!A:B,2,0)</f>
        <v>52710005960025</v>
      </c>
      <c r="D204" s="128" t="str">
        <f>IFERROR(VLOOKUP($B:$B,[20]свод!$A:$AB,3,0)," ")</f>
        <v>Наманган шаҳар</v>
      </c>
      <c r="E204" s="7" t="s">
        <v>1348</v>
      </c>
      <c r="F204" s="7" t="s">
        <v>7752</v>
      </c>
      <c r="G204" s="134">
        <f t="shared" si="28"/>
        <v>1</v>
      </c>
      <c r="H204" s="134" t="str">
        <f t="shared" si="29"/>
        <v/>
      </c>
      <c r="I204" s="7" t="s">
        <v>158</v>
      </c>
      <c r="J204" s="7" t="s">
        <v>13</v>
      </c>
      <c r="K204" s="7"/>
      <c r="L204" s="7" t="s">
        <v>169</v>
      </c>
      <c r="M204" s="7" t="s">
        <v>381</v>
      </c>
      <c r="N204" s="7" t="s">
        <v>170</v>
      </c>
      <c r="O204" s="7" t="s">
        <v>162</v>
      </c>
      <c r="P204" s="7" t="s">
        <v>6410</v>
      </c>
      <c r="Q204" s="129">
        <v>46199</v>
      </c>
      <c r="R204" s="130">
        <f t="shared" si="27"/>
        <v>46199</v>
      </c>
      <c r="S204" s="131">
        <f t="shared" si="26"/>
        <v>0</v>
      </c>
      <c r="T204" s="7" t="s">
        <v>173</v>
      </c>
      <c r="U204" s="7" t="s">
        <v>274</v>
      </c>
      <c r="V204" s="7"/>
      <c r="W204" s="7">
        <v>0</v>
      </c>
      <c r="X204" s="132">
        <f t="shared" si="24"/>
        <v>7</v>
      </c>
      <c r="Y204" s="133"/>
      <c r="Z204" s="133"/>
      <c r="AA204" s="133"/>
    </row>
    <row r="205" spans="1:27" hidden="1" x14ac:dyDescent="0.25">
      <c r="A205" s="127">
        <v>212</v>
      </c>
      <c r="B205" s="128" t="str">
        <f t="shared" si="25"/>
        <v>KSST</v>
      </c>
      <c r="C205" s="128" t="e">
        <f>+VLOOKUP(U205,Ходим!A:B,2,0)</f>
        <v>#N/A</v>
      </c>
      <c r="D205" s="128" t="str">
        <f>IFERROR(VLOOKUP($B:$B,[20]свод!$A:$AB,3,0)," ")</f>
        <v>Косонсой тумани</v>
      </c>
      <c r="E205" s="7" t="s">
        <v>1349</v>
      </c>
      <c r="F205" s="7" t="s">
        <v>7753</v>
      </c>
      <c r="G205" s="134">
        <f t="shared" si="28"/>
        <v>1</v>
      </c>
      <c r="H205" s="134" t="str">
        <f t="shared" si="29"/>
        <v/>
      </c>
      <c r="I205" s="7" t="s">
        <v>156</v>
      </c>
      <c r="J205" s="7" t="s">
        <v>25</v>
      </c>
      <c r="K205" s="7"/>
      <c r="L205" s="7" t="s">
        <v>167</v>
      </c>
      <c r="M205" s="7" t="s">
        <v>4369</v>
      </c>
      <c r="N205" s="7" t="s">
        <v>170</v>
      </c>
      <c r="O205" s="7" t="s">
        <v>163</v>
      </c>
      <c r="P205" s="7" t="s">
        <v>6411</v>
      </c>
      <c r="Q205" s="129">
        <v>46199</v>
      </c>
      <c r="R205" s="130">
        <f t="shared" si="27"/>
        <v>46211</v>
      </c>
      <c r="S205" s="131">
        <f t="shared" si="26"/>
        <v>12</v>
      </c>
      <c r="T205" s="7" t="s">
        <v>180</v>
      </c>
      <c r="U205" s="7" t="s">
        <v>10634</v>
      </c>
      <c r="V205" s="7"/>
      <c r="W205" s="7">
        <v>602.88</v>
      </c>
      <c r="X205" s="132">
        <f t="shared" si="24"/>
        <v>10</v>
      </c>
      <c r="Y205" s="133"/>
      <c r="Z205" s="133"/>
      <c r="AA205" s="133"/>
    </row>
    <row r="206" spans="1:27" hidden="1" x14ac:dyDescent="0.25">
      <c r="A206" s="127">
        <v>213</v>
      </c>
      <c r="B206" s="128" t="str">
        <f t="shared" si="25"/>
        <v>UYCT</v>
      </c>
      <c r="C206" s="128" t="str">
        <f>+VLOOKUP(U206,Ходим!A:B,2,0)</f>
        <v>31101985930022</v>
      </c>
      <c r="D206" s="128" t="str">
        <f>IFERROR(VLOOKUP($B:$B,[20]свод!$A:$AB,3,0)," ")</f>
        <v>Уйчи тумани</v>
      </c>
      <c r="E206" s="7" t="s">
        <v>1350</v>
      </c>
      <c r="F206" s="7" t="s">
        <v>7754</v>
      </c>
      <c r="G206" s="134" t="str">
        <f t="shared" si="28"/>
        <v/>
      </c>
      <c r="H206" s="134">
        <f t="shared" si="29"/>
        <v>1</v>
      </c>
      <c r="I206" s="7" t="s">
        <v>157</v>
      </c>
      <c r="J206" s="7" t="s">
        <v>134</v>
      </c>
      <c r="K206" s="7"/>
      <c r="L206" s="7" t="s">
        <v>166</v>
      </c>
      <c r="M206" s="7" t="s">
        <v>4370</v>
      </c>
      <c r="N206" s="7" t="s">
        <v>170</v>
      </c>
      <c r="O206" s="7" t="s">
        <v>161</v>
      </c>
      <c r="P206" s="7" t="s">
        <v>6412</v>
      </c>
      <c r="Q206" s="129">
        <v>46199</v>
      </c>
      <c r="R206" s="130">
        <f t="shared" si="27"/>
        <v>46206</v>
      </c>
      <c r="S206" s="131">
        <f t="shared" si="26"/>
        <v>7</v>
      </c>
      <c r="T206" s="7" t="s">
        <v>947</v>
      </c>
      <c r="U206" s="7" t="s">
        <v>299</v>
      </c>
      <c r="V206" s="7"/>
      <c r="W206" s="7">
        <v>1507</v>
      </c>
      <c r="X206" s="132">
        <f t="shared" si="24"/>
        <v>17</v>
      </c>
      <c r="Y206" s="133"/>
      <c r="Z206" s="133"/>
      <c r="AA206" s="133"/>
    </row>
    <row r="207" spans="1:27" hidden="1" x14ac:dyDescent="0.25">
      <c r="A207" s="127">
        <v>214</v>
      </c>
      <c r="B207" s="128" t="str">
        <f t="shared" si="25"/>
        <v>NAMS</v>
      </c>
      <c r="C207" s="128" t="str">
        <f>+VLOOKUP(U207,Ходим!A:B,2,0)</f>
        <v>32207925880019</v>
      </c>
      <c r="D207" s="128" t="str">
        <f>IFERROR(VLOOKUP($B:$B,[20]свод!$A:$AB,3,0)," ")</f>
        <v>Наманган шаҳар</v>
      </c>
      <c r="E207" s="7" t="s">
        <v>1351</v>
      </c>
      <c r="F207" s="7" t="s">
        <v>7755</v>
      </c>
      <c r="G207" s="134">
        <f t="shared" si="28"/>
        <v>1</v>
      </c>
      <c r="H207" s="134" t="str">
        <f t="shared" si="29"/>
        <v/>
      </c>
      <c r="I207" s="7" t="s">
        <v>158</v>
      </c>
      <c r="J207" s="7" t="s">
        <v>2</v>
      </c>
      <c r="K207" s="7"/>
      <c r="L207" s="7"/>
      <c r="M207" s="7"/>
      <c r="N207" s="7" t="s">
        <v>170</v>
      </c>
      <c r="O207" s="7" t="s">
        <v>162</v>
      </c>
      <c r="P207" s="7" t="s">
        <v>6413</v>
      </c>
      <c r="Q207" s="129">
        <v>46199</v>
      </c>
      <c r="R207" s="130">
        <f t="shared" si="27"/>
        <v>46204</v>
      </c>
      <c r="S207" s="131">
        <f t="shared" si="26"/>
        <v>5</v>
      </c>
      <c r="T207" s="7" t="s">
        <v>173</v>
      </c>
      <c r="U207" s="7" t="s">
        <v>174</v>
      </c>
      <c r="V207" s="7"/>
      <c r="W207" s="7"/>
      <c r="X207" s="132">
        <f t="shared" si="24"/>
        <v>10</v>
      </c>
      <c r="Y207" s="133"/>
      <c r="Z207" s="133"/>
      <c r="AA207" s="133"/>
    </row>
    <row r="208" spans="1:27" hidden="1" x14ac:dyDescent="0.25">
      <c r="A208" s="127">
        <v>215</v>
      </c>
      <c r="B208" s="128" t="str">
        <f t="shared" si="25"/>
        <v>NAMS</v>
      </c>
      <c r="C208" s="128" t="str">
        <f>+VLOOKUP(U208,Ходим!A:B,2,0)</f>
        <v>51705025890024</v>
      </c>
      <c r="D208" s="128" t="str">
        <f>IFERROR(VLOOKUP($B:$B,[20]свод!$A:$AB,3,0)," ")</f>
        <v>Наманган шаҳар</v>
      </c>
      <c r="E208" s="7" t="s">
        <v>1352</v>
      </c>
      <c r="F208" s="7" t="s">
        <v>7756</v>
      </c>
      <c r="G208" s="134">
        <f t="shared" si="28"/>
        <v>1</v>
      </c>
      <c r="H208" s="134" t="str">
        <f t="shared" si="29"/>
        <v/>
      </c>
      <c r="I208" s="7" t="s">
        <v>158</v>
      </c>
      <c r="J208" s="7" t="s">
        <v>2</v>
      </c>
      <c r="K208" s="7"/>
      <c r="L208" s="7"/>
      <c r="M208" s="7"/>
      <c r="N208" s="7" t="s">
        <v>170</v>
      </c>
      <c r="O208" s="7" t="s">
        <v>162</v>
      </c>
      <c r="P208" s="7" t="s">
        <v>6358</v>
      </c>
      <c r="Q208" s="129">
        <v>46199</v>
      </c>
      <c r="R208" s="130">
        <f t="shared" si="27"/>
        <v>46204</v>
      </c>
      <c r="S208" s="131">
        <f t="shared" si="26"/>
        <v>5</v>
      </c>
      <c r="T208" s="7" t="s">
        <v>173</v>
      </c>
      <c r="U208" s="7" t="s">
        <v>189</v>
      </c>
      <c r="V208" s="7"/>
      <c r="W208" s="7"/>
      <c r="X208" s="132">
        <f t="shared" si="24"/>
        <v>10</v>
      </c>
      <c r="Y208" s="133"/>
      <c r="Z208" s="133"/>
      <c r="AA208" s="133"/>
    </row>
    <row r="209" spans="1:27" hidden="1" x14ac:dyDescent="0.25">
      <c r="A209" s="127">
        <v>216</v>
      </c>
      <c r="B209" s="128" t="str">
        <f t="shared" si="25"/>
        <v>NAMS</v>
      </c>
      <c r="C209" s="128" t="str">
        <f>+VLOOKUP(U209,Ходим!A:B,2,0)</f>
        <v>52503015960039</v>
      </c>
      <c r="D209" s="128" t="str">
        <f>IFERROR(VLOOKUP($B:$B,[20]свод!$A:$AB,3,0)," ")</f>
        <v>Наманган шаҳар</v>
      </c>
      <c r="E209" s="7" t="s">
        <v>1353</v>
      </c>
      <c r="F209" s="7" t="s">
        <v>7757</v>
      </c>
      <c r="G209" s="134">
        <f t="shared" si="28"/>
        <v>1</v>
      </c>
      <c r="H209" s="134" t="str">
        <f t="shared" si="29"/>
        <v/>
      </c>
      <c r="I209" s="7" t="s">
        <v>156</v>
      </c>
      <c r="J209" s="7" t="s">
        <v>25</v>
      </c>
      <c r="K209" s="7"/>
      <c r="L209" s="7"/>
      <c r="M209" s="7"/>
      <c r="N209" s="7" t="s">
        <v>170</v>
      </c>
      <c r="O209" s="7" t="s">
        <v>162</v>
      </c>
      <c r="P209" s="7" t="s">
        <v>6414</v>
      </c>
      <c r="Q209" s="129">
        <v>46199</v>
      </c>
      <c r="R209" s="130">
        <f t="shared" si="27"/>
        <v>46211</v>
      </c>
      <c r="S209" s="131">
        <f t="shared" si="26"/>
        <v>12</v>
      </c>
      <c r="T209" s="7" t="s">
        <v>173</v>
      </c>
      <c r="U209" s="7" t="s">
        <v>246</v>
      </c>
      <c r="V209" s="7"/>
      <c r="W209" s="7"/>
      <c r="X209" s="132">
        <f t="shared" si="24"/>
        <v>10</v>
      </c>
      <c r="Y209" s="133"/>
      <c r="Z209" s="133"/>
      <c r="AA209" s="133"/>
    </row>
    <row r="210" spans="1:27" hidden="1" x14ac:dyDescent="0.25">
      <c r="A210" s="127">
        <v>217</v>
      </c>
      <c r="B210" s="128" t="str">
        <f t="shared" si="25"/>
        <v>YGQT</v>
      </c>
      <c r="C210" s="128" t="str">
        <f>+VLOOKUP(U210,Ходим!A:B,2,0)</f>
        <v>52410005950025</v>
      </c>
      <c r="D210" s="128" t="str">
        <f>IFERROR(VLOOKUP($B:$B,[20]свод!$A:$AB,3,0)," ")</f>
        <v>Янгиқўрғон тумани</v>
      </c>
      <c r="E210" s="7" t="s">
        <v>1354</v>
      </c>
      <c r="F210" s="7" t="s">
        <v>7758</v>
      </c>
      <c r="G210" s="134">
        <f t="shared" si="28"/>
        <v>1</v>
      </c>
      <c r="H210" s="134" t="str">
        <f t="shared" si="29"/>
        <v/>
      </c>
      <c r="I210" s="7" t="s">
        <v>156</v>
      </c>
      <c r="J210" s="7" t="s">
        <v>22</v>
      </c>
      <c r="K210" s="7"/>
      <c r="L210" s="7" t="s">
        <v>167</v>
      </c>
      <c r="M210" s="7" t="s">
        <v>4371</v>
      </c>
      <c r="N210" s="7" t="s">
        <v>170</v>
      </c>
      <c r="O210" s="7" t="s">
        <v>162</v>
      </c>
      <c r="P210" s="7" t="s">
        <v>6343</v>
      </c>
      <c r="Q210" s="129">
        <v>46199</v>
      </c>
      <c r="R210" s="130">
        <f t="shared" si="27"/>
        <v>46210</v>
      </c>
      <c r="S210" s="131">
        <f t="shared" si="26"/>
        <v>11</v>
      </c>
      <c r="T210" s="7" t="s">
        <v>182</v>
      </c>
      <c r="U210" s="7" t="s">
        <v>256</v>
      </c>
      <c r="V210" s="7"/>
      <c r="W210" s="7">
        <v>140.65</v>
      </c>
      <c r="X210" s="132">
        <f t="shared" si="24"/>
        <v>10</v>
      </c>
      <c r="Y210" s="133"/>
      <c r="Z210" s="133"/>
      <c r="AA210" s="133"/>
    </row>
    <row r="211" spans="1:27" hidden="1" x14ac:dyDescent="0.25">
      <c r="A211" s="127">
        <v>218</v>
      </c>
      <c r="B211" s="128" t="str">
        <f t="shared" si="25"/>
        <v>POPT</v>
      </c>
      <c r="C211" s="128" t="str">
        <f>+VLOOKUP(U211,Ходим!A:B,2,0)</f>
        <v>32901912210017</v>
      </c>
      <c r="D211" s="128" t="str">
        <f>IFERROR(VLOOKUP($B:$B,[20]свод!$A:$AB,3,0)," ")</f>
        <v>Поп тумани</v>
      </c>
      <c r="E211" s="7" t="s">
        <v>1355</v>
      </c>
      <c r="F211" s="7" t="s">
        <v>7759</v>
      </c>
      <c r="G211" s="134">
        <f t="shared" si="28"/>
        <v>1</v>
      </c>
      <c r="H211" s="134" t="str">
        <f t="shared" si="29"/>
        <v/>
      </c>
      <c r="I211" s="7" t="s">
        <v>158</v>
      </c>
      <c r="J211" s="7" t="s">
        <v>2</v>
      </c>
      <c r="K211" s="7"/>
      <c r="L211" s="7" t="s">
        <v>167</v>
      </c>
      <c r="M211" s="7" t="s">
        <v>4372</v>
      </c>
      <c r="N211" s="7" t="s">
        <v>170</v>
      </c>
      <c r="O211" s="7" t="s">
        <v>162</v>
      </c>
      <c r="P211" s="7" t="s">
        <v>6415</v>
      </c>
      <c r="Q211" s="129">
        <v>46199</v>
      </c>
      <c r="R211" s="130">
        <f t="shared" si="27"/>
        <v>46204</v>
      </c>
      <c r="S211" s="131">
        <f t="shared" si="26"/>
        <v>5</v>
      </c>
      <c r="T211" s="7" t="s">
        <v>214</v>
      </c>
      <c r="U211" s="7" t="s">
        <v>215</v>
      </c>
      <c r="V211" s="7"/>
      <c r="W211" s="7">
        <v>308.74</v>
      </c>
      <c r="X211" s="132">
        <f t="shared" si="24"/>
        <v>10</v>
      </c>
      <c r="Y211" s="133"/>
      <c r="Z211" s="133"/>
      <c r="AA211" s="133"/>
    </row>
    <row r="212" spans="1:27" hidden="1" x14ac:dyDescent="0.25">
      <c r="A212" s="127">
        <v>219</v>
      </c>
      <c r="B212" s="128" t="str">
        <f t="shared" si="25"/>
        <v>POPT</v>
      </c>
      <c r="C212" s="128" t="str">
        <f>+VLOOKUP(U212,Ходим!A:B,2,0)</f>
        <v>33107902120019</v>
      </c>
      <c r="D212" s="128" t="str">
        <f>IFERROR(VLOOKUP($B:$B,[20]свод!$A:$AB,3,0)," ")</f>
        <v>Поп тумани</v>
      </c>
      <c r="E212" s="7" t="s">
        <v>1356</v>
      </c>
      <c r="F212" s="7" t="s">
        <v>7760</v>
      </c>
      <c r="G212" s="134">
        <f t="shared" si="28"/>
        <v>1</v>
      </c>
      <c r="H212" s="134" t="str">
        <f t="shared" si="29"/>
        <v/>
      </c>
      <c r="I212" s="7" t="s">
        <v>158</v>
      </c>
      <c r="J212" s="7" t="s">
        <v>2</v>
      </c>
      <c r="K212" s="7"/>
      <c r="L212" s="7" t="s">
        <v>167</v>
      </c>
      <c r="M212" s="7" t="s">
        <v>4373</v>
      </c>
      <c r="N212" s="7" t="s">
        <v>170</v>
      </c>
      <c r="O212" s="7" t="s">
        <v>162</v>
      </c>
      <c r="P212" s="7" t="s">
        <v>6341</v>
      </c>
      <c r="Q212" s="129">
        <v>46199</v>
      </c>
      <c r="R212" s="130">
        <f t="shared" si="27"/>
        <v>46204</v>
      </c>
      <c r="S212" s="131">
        <f t="shared" si="26"/>
        <v>5</v>
      </c>
      <c r="T212" s="7" t="s">
        <v>214</v>
      </c>
      <c r="U212" s="7" t="s">
        <v>224</v>
      </c>
      <c r="V212" s="7"/>
      <c r="W212" s="7">
        <v>16.72</v>
      </c>
      <c r="X212" s="132">
        <f t="shared" si="24"/>
        <v>10</v>
      </c>
      <c r="Y212" s="133"/>
      <c r="Z212" s="133"/>
      <c r="AA212" s="133"/>
    </row>
    <row r="213" spans="1:27" hidden="1" x14ac:dyDescent="0.25">
      <c r="A213" s="127">
        <v>221</v>
      </c>
      <c r="B213" s="128" t="str">
        <f t="shared" si="25"/>
        <v>NAMS</v>
      </c>
      <c r="C213" s="128" t="str">
        <f>+VLOOKUP(U213,Ходим!A:B,2,0)</f>
        <v>52407055960122</v>
      </c>
      <c r="D213" s="128" t="str">
        <f>IFERROR(VLOOKUP($B:$B,[20]свод!$A:$AB,3,0)," ")</f>
        <v>Наманган шаҳар</v>
      </c>
      <c r="E213" s="7" t="s">
        <v>1357</v>
      </c>
      <c r="F213" s="7" t="s">
        <v>7761</v>
      </c>
      <c r="G213" s="134">
        <f t="shared" si="28"/>
        <v>1</v>
      </c>
      <c r="H213" s="134" t="str">
        <f t="shared" si="29"/>
        <v/>
      </c>
      <c r="I213" s="7" t="s">
        <v>156</v>
      </c>
      <c r="J213" s="7" t="s">
        <v>25</v>
      </c>
      <c r="K213" s="7"/>
      <c r="L213" s="7" t="s">
        <v>167</v>
      </c>
      <c r="M213" s="7" t="s">
        <v>4374</v>
      </c>
      <c r="N213" s="7" t="s">
        <v>170</v>
      </c>
      <c r="O213" s="7" t="s">
        <v>162</v>
      </c>
      <c r="P213" s="7" t="s">
        <v>6305</v>
      </c>
      <c r="Q213" s="129">
        <v>46199</v>
      </c>
      <c r="R213" s="130">
        <f t="shared" si="27"/>
        <v>46204</v>
      </c>
      <c r="S213" s="131">
        <f t="shared" si="26"/>
        <v>5</v>
      </c>
      <c r="T213" s="7" t="s">
        <v>173</v>
      </c>
      <c r="U213" s="7" t="s">
        <v>345</v>
      </c>
      <c r="V213" s="7"/>
      <c r="W213" s="7">
        <v>0</v>
      </c>
      <c r="X213" s="132">
        <f t="shared" si="24"/>
        <v>10</v>
      </c>
      <c r="Y213" s="133"/>
      <c r="Z213" s="133"/>
      <c r="AA213" s="133"/>
    </row>
    <row r="214" spans="1:27" hidden="1" x14ac:dyDescent="0.25">
      <c r="A214" s="127">
        <v>222</v>
      </c>
      <c r="B214" s="128" t="str">
        <f t="shared" si="25"/>
        <v>NAMS</v>
      </c>
      <c r="C214" s="128" t="str">
        <f>+VLOOKUP(U214,Ходим!A:B,2,0)</f>
        <v>51406015960142</v>
      </c>
      <c r="D214" s="128" t="str">
        <f>IFERROR(VLOOKUP($B:$B,[20]свод!$A:$AB,3,0)," ")</f>
        <v>Наманган шаҳар</v>
      </c>
      <c r="E214" s="7" t="s">
        <v>1358</v>
      </c>
      <c r="F214" s="7" t="s">
        <v>7762</v>
      </c>
      <c r="G214" s="134">
        <f t="shared" si="28"/>
        <v>1</v>
      </c>
      <c r="H214" s="134" t="str">
        <f t="shared" si="29"/>
        <v/>
      </c>
      <c r="I214" s="7" t="s">
        <v>158</v>
      </c>
      <c r="J214" s="7" t="s">
        <v>2</v>
      </c>
      <c r="K214" s="7"/>
      <c r="L214" s="7" t="s">
        <v>167</v>
      </c>
      <c r="M214" s="7" t="s">
        <v>4375</v>
      </c>
      <c r="N214" s="7" t="s">
        <v>170</v>
      </c>
      <c r="O214" s="7" t="s">
        <v>162</v>
      </c>
      <c r="P214" s="7" t="s">
        <v>6416</v>
      </c>
      <c r="Q214" s="129">
        <v>46199</v>
      </c>
      <c r="R214" s="130">
        <f t="shared" si="27"/>
        <v>46211</v>
      </c>
      <c r="S214" s="131">
        <f t="shared" si="26"/>
        <v>12</v>
      </c>
      <c r="T214" s="7" t="s">
        <v>173</v>
      </c>
      <c r="U214" s="7" t="s">
        <v>349</v>
      </c>
      <c r="V214" s="7"/>
      <c r="W214" s="7">
        <v>340.12</v>
      </c>
      <c r="X214" s="132">
        <f t="shared" si="24"/>
        <v>10</v>
      </c>
      <c r="Y214" s="133"/>
      <c r="Z214" s="133"/>
      <c r="AA214" s="133"/>
    </row>
    <row r="215" spans="1:27" hidden="1" x14ac:dyDescent="0.25">
      <c r="A215" s="127">
        <v>223</v>
      </c>
      <c r="B215" s="128" t="str">
        <f t="shared" si="25"/>
        <v>NAMS</v>
      </c>
      <c r="C215" s="128">
        <f>+VLOOKUP(U215,Ходим!A:B,2,0)</f>
        <v>50703045960050</v>
      </c>
      <c r="D215" s="128" t="str">
        <f>IFERROR(VLOOKUP($B:$B,[20]свод!$A:$AB,3,0)," ")</f>
        <v>Наманган шаҳар</v>
      </c>
      <c r="E215" s="7" t="s">
        <v>1359</v>
      </c>
      <c r="F215" s="7" t="s">
        <v>7763</v>
      </c>
      <c r="G215" s="134" t="str">
        <f t="shared" si="28"/>
        <v/>
      </c>
      <c r="H215" s="134">
        <f t="shared" si="29"/>
        <v>1</v>
      </c>
      <c r="I215" s="7" t="s">
        <v>155</v>
      </c>
      <c r="J215" s="7" t="s">
        <v>25</v>
      </c>
      <c r="K215" s="7"/>
      <c r="L215" s="7"/>
      <c r="M215" s="7"/>
      <c r="N215" s="7" t="s">
        <v>170</v>
      </c>
      <c r="O215" s="7" t="s">
        <v>161</v>
      </c>
      <c r="P215" s="7" t="s">
        <v>6417</v>
      </c>
      <c r="Q215" s="129">
        <v>46199</v>
      </c>
      <c r="R215" s="130">
        <f t="shared" si="27"/>
        <v>46210</v>
      </c>
      <c r="S215" s="131">
        <f t="shared" si="26"/>
        <v>11</v>
      </c>
      <c r="T215" s="7" t="s">
        <v>227</v>
      </c>
      <c r="U215" s="7" t="s">
        <v>948</v>
      </c>
      <c r="V215" s="7"/>
      <c r="W215" s="7"/>
      <c r="X215" s="132">
        <f t="shared" si="24"/>
        <v>10</v>
      </c>
      <c r="Y215" s="133"/>
      <c r="Z215" s="133"/>
      <c r="AA215" s="133"/>
    </row>
    <row r="216" spans="1:27" hidden="1" x14ac:dyDescent="0.25">
      <c r="A216" s="127">
        <v>224</v>
      </c>
      <c r="B216" s="128" t="str">
        <f t="shared" si="25"/>
        <v>MINT</v>
      </c>
      <c r="C216" s="128" t="e">
        <f>+VLOOKUP(U216,Ходим!A:B,2,0)</f>
        <v>#N/A</v>
      </c>
      <c r="D216" s="128" t="str">
        <f>IFERROR(VLOOKUP($B:$B,[20]свод!$A:$AB,3,0)," ")</f>
        <v>Мингбулоқ тумани</v>
      </c>
      <c r="E216" s="7" t="s">
        <v>1360</v>
      </c>
      <c r="F216" s="7" t="s">
        <v>7764</v>
      </c>
      <c r="G216" s="134">
        <f t="shared" si="28"/>
        <v>1</v>
      </c>
      <c r="H216" s="134" t="str">
        <f t="shared" si="29"/>
        <v/>
      </c>
      <c r="I216" s="7" t="s">
        <v>159</v>
      </c>
      <c r="J216" s="7" t="s">
        <v>137</v>
      </c>
      <c r="K216" s="7"/>
      <c r="L216" s="7" t="s">
        <v>167</v>
      </c>
      <c r="M216" s="7" t="s">
        <v>4376</v>
      </c>
      <c r="N216" s="7" t="s">
        <v>410</v>
      </c>
      <c r="O216" s="7" t="s">
        <v>163</v>
      </c>
      <c r="P216" s="7" t="s">
        <v>6418</v>
      </c>
      <c r="Q216" s="129">
        <v>46199</v>
      </c>
      <c r="R216" s="130">
        <f t="shared" si="27"/>
        <v>46211</v>
      </c>
      <c r="S216" s="131">
        <f t="shared" si="26"/>
        <v>12</v>
      </c>
      <c r="T216" s="7"/>
      <c r="U216" s="7"/>
      <c r="V216" s="7"/>
      <c r="W216" s="7">
        <v>337.98</v>
      </c>
      <c r="X216" s="132">
        <f t="shared" si="24"/>
        <v>10</v>
      </c>
      <c r="Y216" s="133"/>
      <c r="Z216" s="133"/>
      <c r="AA216" s="133"/>
    </row>
    <row r="217" spans="1:27" hidden="1" x14ac:dyDescent="0.25">
      <c r="A217" s="127">
        <v>225</v>
      </c>
      <c r="B217" s="128" t="str">
        <f t="shared" si="25"/>
        <v>MINT</v>
      </c>
      <c r="C217" s="128" t="e">
        <f>+VLOOKUP(U217,Ходим!A:B,2,0)</f>
        <v>#N/A</v>
      </c>
      <c r="D217" s="128" t="str">
        <f>IFERROR(VLOOKUP($B:$B,[20]свод!$A:$AB,3,0)," ")</f>
        <v>Мингбулоқ тумани</v>
      </c>
      <c r="E217" s="7" t="s">
        <v>1361</v>
      </c>
      <c r="F217" s="7" t="s">
        <v>7765</v>
      </c>
      <c r="G217" s="134">
        <f t="shared" si="28"/>
        <v>1</v>
      </c>
      <c r="H217" s="134" t="str">
        <f t="shared" si="29"/>
        <v/>
      </c>
      <c r="I217" s="7" t="s">
        <v>159</v>
      </c>
      <c r="J217" s="7" t="s">
        <v>137</v>
      </c>
      <c r="K217" s="7"/>
      <c r="L217" s="7" t="s">
        <v>167</v>
      </c>
      <c r="M217" s="7" t="s">
        <v>999</v>
      </c>
      <c r="N217" s="7" t="s">
        <v>410</v>
      </c>
      <c r="O217" s="7" t="s">
        <v>163</v>
      </c>
      <c r="P217" s="7" t="s">
        <v>6418</v>
      </c>
      <c r="Q217" s="129">
        <v>46199</v>
      </c>
      <c r="R217" s="130">
        <f t="shared" si="27"/>
        <v>46211</v>
      </c>
      <c r="S217" s="131">
        <f t="shared" si="26"/>
        <v>12</v>
      </c>
      <c r="T217" s="7"/>
      <c r="U217" s="7"/>
      <c r="V217" s="7"/>
      <c r="W217" s="7">
        <v>386.3</v>
      </c>
      <c r="X217" s="132">
        <f t="shared" si="24"/>
        <v>10</v>
      </c>
      <c r="Y217" s="133"/>
      <c r="Z217" s="133"/>
      <c r="AA217" s="133"/>
    </row>
    <row r="218" spans="1:27" hidden="1" x14ac:dyDescent="0.25">
      <c r="A218" s="127">
        <v>226</v>
      </c>
      <c r="B218" s="128" t="str">
        <f t="shared" si="25"/>
        <v>NAMS</v>
      </c>
      <c r="C218" s="128" t="str">
        <f>+VLOOKUP(U218,Ходим!A:B,2,0)</f>
        <v>52407055960122</v>
      </c>
      <c r="D218" s="128" t="str">
        <f>IFERROR(VLOOKUP($B:$B,[20]свод!$A:$AB,3,0)," ")</f>
        <v>Наманган шаҳар</v>
      </c>
      <c r="E218" s="7" t="s">
        <v>1362</v>
      </c>
      <c r="F218" s="7" t="s">
        <v>7766</v>
      </c>
      <c r="G218" s="134">
        <f t="shared" si="28"/>
        <v>1</v>
      </c>
      <c r="H218" s="134" t="str">
        <f t="shared" si="29"/>
        <v/>
      </c>
      <c r="I218" s="7" t="s">
        <v>158</v>
      </c>
      <c r="J218" s="7" t="s">
        <v>2</v>
      </c>
      <c r="K218" s="7"/>
      <c r="L218" s="7" t="s">
        <v>167</v>
      </c>
      <c r="M218" s="7" t="s">
        <v>4377</v>
      </c>
      <c r="N218" s="7" t="s">
        <v>170</v>
      </c>
      <c r="O218" s="7" t="s">
        <v>162</v>
      </c>
      <c r="P218" s="7" t="s">
        <v>6419</v>
      </c>
      <c r="Q218" s="129">
        <v>46199</v>
      </c>
      <c r="R218" s="130">
        <f t="shared" si="27"/>
        <v>46204</v>
      </c>
      <c r="S218" s="131">
        <f t="shared" si="26"/>
        <v>5</v>
      </c>
      <c r="T218" s="7" t="s">
        <v>173</v>
      </c>
      <c r="U218" s="7" t="s">
        <v>345</v>
      </c>
      <c r="V218" s="7"/>
      <c r="W218" s="7">
        <v>0</v>
      </c>
      <c r="X218" s="132">
        <f t="shared" ref="X218:X274" si="30">IF(N218="Kadastr muhandisi",3,
IF(N218="UZKAD",5,
IF(V218="FREE",5,
IF(I218="Registratsiya (tashqi - UZKAD da bor)",1,
IF(I218="Avtoyo'l va suv xo'jaligi obyektining kadastr pasportini shakllantirish va ro'yxatga olish",7,
IF(I218="Notarius uchun ma'lumotnoma (uz)",1,
IF(I218="Qurilishi tugallangan ko'chmas mulkni foydalanishga qabul qilish",10,
IF(OR(I218="Turar joy obyektning kadastr pasportini shakllantirish va davlat ro'yxatidan o'tkazish",I218="Turar kompozit"),
IF(L218="Turar yer maydoni",7,10),
IF(OR(I218="Noturar obyektning kadastr pasportini shakllantirish va davlat ro'yxatidan o'tkazish",I218="Noturar kompozit"),
IF(O218="Ko‘p yillik daraxtlar xizmati",15,
IF(OR(L218="Noturar yer maydoni",L218="Davlat tashkilotlaridan ijaraga olingan yer uchastkasi"),7,
IF(W218&lt;100,10,IF(W218&lt;=1000,12,IF(W218&lt;=5000,17,IF(W218&lt;=15000,22,IF(W218&lt;=50000,28,37))))))),
IF(I218="Umumiy foydalanishdagi ko'chmas mulk qismini yaratish",
IF(IF(TRIM(L218)="",IF(OR(O218="Turar joy xizmati",O218="Yakka tartibdagi turar joy"),"Turar","Noturar"),IF(OR(L218="Yakka tartibdagi turar joy",L218="Turar joy xizmati"),"Turar","Noturar"))="Turar",
10,IF(W218&lt;100,10,IF(W218&lt;=1000,12,IF(W218&lt;=5000,17,IF(W218&lt;=15000,22,IF(W218&lt;=50000,28,37)))))),
0))))))))))</f>
        <v>10</v>
      </c>
      <c r="Y218" s="133"/>
      <c r="Z218" s="133"/>
      <c r="AA218" s="133"/>
    </row>
    <row r="219" spans="1:27" hidden="1" x14ac:dyDescent="0.25">
      <c r="A219" s="127">
        <v>228</v>
      </c>
      <c r="B219" s="128" t="str">
        <f t="shared" ref="B219:B275" si="31">LEFT(E219,4)</f>
        <v>NAMS</v>
      </c>
      <c r="C219" s="128" t="str">
        <f>+VLOOKUP(U219,Ходим!A:B,2,0)</f>
        <v>33012942170121</v>
      </c>
      <c r="D219" s="128" t="str">
        <f>IFERROR(VLOOKUP($B:$B,[20]свод!$A:$AB,3,0)," ")</f>
        <v>Наманган шаҳар</v>
      </c>
      <c r="E219" s="7" t="s">
        <v>1363</v>
      </c>
      <c r="F219" s="7" t="s">
        <v>7767</v>
      </c>
      <c r="G219" s="134">
        <f t="shared" si="28"/>
        <v>1</v>
      </c>
      <c r="H219" s="134" t="str">
        <f t="shared" si="29"/>
        <v/>
      </c>
      <c r="I219" s="7" t="s">
        <v>158</v>
      </c>
      <c r="J219" s="7" t="s">
        <v>172</v>
      </c>
      <c r="K219" s="7"/>
      <c r="L219" s="7" t="s">
        <v>167</v>
      </c>
      <c r="M219" s="7" t="s">
        <v>4378</v>
      </c>
      <c r="N219" s="7" t="s">
        <v>170</v>
      </c>
      <c r="O219" s="7" t="s">
        <v>162</v>
      </c>
      <c r="P219" s="7" t="s">
        <v>6419</v>
      </c>
      <c r="Q219" s="129">
        <v>46199</v>
      </c>
      <c r="R219" s="130">
        <f t="shared" si="27"/>
        <v>46204</v>
      </c>
      <c r="S219" s="131">
        <f t="shared" ref="S219:S275" si="32">R219-Q219</f>
        <v>5</v>
      </c>
      <c r="T219" s="7" t="s">
        <v>173</v>
      </c>
      <c r="U219" s="7" t="s">
        <v>259</v>
      </c>
      <c r="V219" s="7"/>
      <c r="W219" s="7">
        <v>286.37</v>
      </c>
      <c r="X219" s="132">
        <f t="shared" si="30"/>
        <v>10</v>
      </c>
      <c r="Y219" s="133"/>
      <c r="Z219" s="133"/>
      <c r="AA219" s="133"/>
    </row>
    <row r="220" spans="1:27" hidden="1" x14ac:dyDescent="0.25">
      <c r="A220" s="127">
        <v>229</v>
      </c>
      <c r="B220" s="128" t="str">
        <f t="shared" si="31"/>
        <v>CHUT</v>
      </c>
      <c r="C220" s="128" t="str">
        <f>+VLOOKUP(U220,Ходим!A:B,2,0)</f>
        <v>32304995970021</v>
      </c>
      <c r="D220" s="128" t="str">
        <f>IFERROR(VLOOKUP($B:$B,[20]свод!$A:$AB,3,0)," ")</f>
        <v>Чуст тумани</v>
      </c>
      <c r="E220" s="7" t="s">
        <v>1364</v>
      </c>
      <c r="F220" s="7" t="s">
        <v>7768</v>
      </c>
      <c r="G220" s="134">
        <f t="shared" si="28"/>
        <v>1</v>
      </c>
      <c r="H220" s="134" t="str">
        <f t="shared" si="29"/>
        <v/>
      </c>
      <c r="I220" s="7" t="s">
        <v>156</v>
      </c>
      <c r="J220" s="7" t="s">
        <v>22</v>
      </c>
      <c r="K220" s="7"/>
      <c r="L220" s="7"/>
      <c r="M220" s="7"/>
      <c r="N220" s="7" t="s">
        <v>410</v>
      </c>
      <c r="O220" s="7" t="s">
        <v>162</v>
      </c>
      <c r="P220" s="7" t="s">
        <v>6420</v>
      </c>
      <c r="Q220" s="129">
        <v>46199</v>
      </c>
      <c r="R220" s="130">
        <f t="shared" si="27"/>
        <v>46211</v>
      </c>
      <c r="S220" s="131">
        <f t="shared" si="32"/>
        <v>12</v>
      </c>
      <c r="T220" s="7" t="s">
        <v>178</v>
      </c>
      <c r="U220" s="7" t="s">
        <v>938</v>
      </c>
      <c r="V220" s="7"/>
      <c r="W220" s="7"/>
      <c r="X220" s="132">
        <f t="shared" si="30"/>
        <v>10</v>
      </c>
      <c r="Y220" s="133"/>
      <c r="Z220" s="133"/>
      <c r="AA220" s="133"/>
    </row>
    <row r="221" spans="1:27" hidden="1" x14ac:dyDescent="0.25">
      <c r="A221" s="127">
        <v>230</v>
      </c>
      <c r="B221" s="128" t="str">
        <f t="shared" si="31"/>
        <v>MINT</v>
      </c>
      <c r="C221" s="128" t="e">
        <f>+VLOOKUP(U221,Ходим!A:B,2,0)</f>
        <v>#N/A</v>
      </c>
      <c r="D221" s="128" t="str">
        <f>IFERROR(VLOOKUP($B:$B,[20]свод!$A:$AB,3,0)," ")</f>
        <v>Мингбулоқ тумани</v>
      </c>
      <c r="E221" s="7" t="s">
        <v>1365</v>
      </c>
      <c r="F221" s="7" t="s">
        <v>7769</v>
      </c>
      <c r="G221" s="134">
        <f t="shared" si="28"/>
        <v>1</v>
      </c>
      <c r="H221" s="134" t="str">
        <f t="shared" si="29"/>
        <v/>
      </c>
      <c r="I221" s="7" t="s">
        <v>156</v>
      </c>
      <c r="J221" s="7" t="s">
        <v>11</v>
      </c>
      <c r="K221" s="7"/>
      <c r="L221" s="7"/>
      <c r="M221" s="7"/>
      <c r="N221" s="7" t="s">
        <v>170</v>
      </c>
      <c r="O221" s="7" t="s">
        <v>162</v>
      </c>
      <c r="P221" s="7" t="s">
        <v>6420</v>
      </c>
      <c r="Q221" s="129">
        <v>46199</v>
      </c>
      <c r="R221" s="130">
        <f t="shared" si="27"/>
        <v>46211</v>
      </c>
      <c r="S221" s="131">
        <f t="shared" si="32"/>
        <v>12</v>
      </c>
      <c r="T221" s="7"/>
      <c r="U221" s="7"/>
      <c r="V221" s="7"/>
      <c r="W221" s="7"/>
      <c r="X221" s="132">
        <f t="shared" si="30"/>
        <v>10</v>
      </c>
      <c r="Y221" s="133"/>
      <c r="Z221" s="133"/>
      <c r="AA221" s="133"/>
    </row>
    <row r="222" spans="1:27" hidden="1" x14ac:dyDescent="0.25">
      <c r="A222" s="127">
        <v>231</v>
      </c>
      <c r="B222" s="128" t="str">
        <f t="shared" si="31"/>
        <v>NAMS</v>
      </c>
      <c r="C222" s="128" t="str">
        <f>+VLOOKUP(U222,Ходим!A:B,2,0)</f>
        <v>30304915960053</v>
      </c>
      <c r="D222" s="128" t="str">
        <f>IFERROR(VLOOKUP($B:$B,[20]свод!$A:$AB,3,0)," ")</f>
        <v>Наманган шаҳар</v>
      </c>
      <c r="E222" s="7" t="s">
        <v>1366</v>
      </c>
      <c r="F222" s="7" t="s">
        <v>7770</v>
      </c>
      <c r="G222" s="134" t="str">
        <f t="shared" si="28"/>
        <v/>
      </c>
      <c r="H222" s="134">
        <f t="shared" si="29"/>
        <v>1</v>
      </c>
      <c r="I222" s="7" t="s">
        <v>157</v>
      </c>
      <c r="J222" s="7" t="s">
        <v>13</v>
      </c>
      <c r="K222" s="7"/>
      <c r="L222" s="7" t="s">
        <v>166</v>
      </c>
      <c r="M222" s="7" t="s">
        <v>4379</v>
      </c>
      <c r="N222" s="7" t="s">
        <v>170</v>
      </c>
      <c r="O222" s="7" t="s">
        <v>161</v>
      </c>
      <c r="P222" s="7" t="s">
        <v>6421</v>
      </c>
      <c r="Q222" s="129">
        <v>46199</v>
      </c>
      <c r="R222" s="130">
        <f t="shared" si="27"/>
        <v>46219</v>
      </c>
      <c r="S222" s="131">
        <f t="shared" si="32"/>
        <v>20</v>
      </c>
      <c r="T222" s="7" t="s">
        <v>173</v>
      </c>
      <c r="U222" s="7" t="s">
        <v>314</v>
      </c>
      <c r="V222" s="7"/>
      <c r="W222" s="7">
        <v>1116.31</v>
      </c>
      <c r="X222" s="132">
        <f t="shared" si="30"/>
        <v>17</v>
      </c>
      <c r="Y222" s="133"/>
      <c r="Z222" s="133"/>
      <c r="AA222" s="133"/>
    </row>
    <row r="223" spans="1:27" hidden="1" x14ac:dyDescent="0.25">
      <c r="A223" s="127">
        <v>232</v>
      </c>
      <c r="B223" s="128" t="str">
        <f t="shared" si="31"/>
        <v>NAMT</v>
      </c>
      <c r="C223" s="128" t="str">
        <f>+VLOOKUP(U223,Ходим!A:B,2,0)</f>
        <v>31702942090041</v>
      </c>
      <c r="D223" s="128" t="str">
        <f>IFERROR(VLOOKUP($B:$B,[20]свод!$A:$AB,3,0)," ")</f>
        <v>Наманган тумани</v>
      </c>
      <c r="E223" s="7" t="s">
        <v>1367</v>
      </c>
      <c r="F223" s="7" t="s">
        <v>7771</v>
      </c>
      <c r="G223" s="134">
        <f t="shared" si="28"/>
        <v>1</v>
      </c>
      <c r="H223" s="134" t="str">
        <f t="shared" si="29"/>
        <v/>
      </c>
      <c r="I223" s="7" t="s">
        <v>158</v>
      </c>
      <c r="J223" s="7" t="s">
        <v>2</v>
      </c>
      <c r="K223" s="7"/>
      <c r="L223" s="7" t="s">
        <v>167</v>
      </c>
      <c r="M223" s="7" t="s">
        <v>4380</v>
      </c>
      <c r="N223" s="7" t="s">
        <v>170</v>
      </c>
      <c r="O223" s="7" t="s">
        <v>162</v>
      </c>
      <c r="P223" s="7" t="s">
        <v>6422</v>
      </c>
      <c r="Q223" s="129">
        <v>46199</v>
      </c>
      <c r="R223" s="130">
        <f t="shared" si="27"/>
        <v>46211</v>
      </c>
      <c r="S223" s="131">
        <f t="shared" si="32"/>
        <v>12</v>
      </c>
      <c r="T223" s="7" t="s">
        <v>197</v>
      </c>
      <c r="U223" s="7" t="s">
        <v>194</v>
      </c>
      <c r="V223" s="7"/>
      <c r="W223" s="7">
        <v>80.3</v>
      </c>
      <c r="X223" s="132">
        <f t="shared" si="30"/>
        <v>10</v>
      </c>
      <c r="Y223" s="133"/>
      <c r="Z223" s="133"/>
      <c r="AA223" s="133"/>
    </row>
    <row r="224" spans="1:27" hidden="1" x14ac:dyDescent="0.25">
      <c r="A224" s="127">
        <v>233</v>
      </c>
      <c r="B224" s="128" t="str">
        <f t="shared" si="31"/>
        <v>MINT</v>
      </c>
      <c r="C224" s="128" t="e">
        <f>+VLOOKUP(U224,Ходим!A:B,2,0)</f>
        <v>#N/A</v>
      </c>
      <c r="D224" s="128" t="str">
        <f>IFERROR(VLOOKUP($B:$B,[20]свод!$A:$AB,3,0)," ")</f>
        <v>Мингбулоқ тумани</v>
      </c>
      <c r="E224" s="7" t="s">
        <v>1368</v>
      </c>
      <c r="F224" s="7" t="s">
        <v>7772</v>
      </c>
      <c r="G224" s="134">
        <f t="shared" si="28"/>
        <v>1</v>
      </c>
      <c r="H224" s="134" t="str">
        <f t="shared" si="29"/>
        <v/>
      </c>
      <c r="I224" s="7" t="s">
        <v>156</v>
      </c>
      <c r="J224" s="7" t="s">
        <v>11</v>
      </c>
      <c r="K224" s="7"/>
      <c r="L224" s="7"/>
      <c r="M224" s="7"/>
      <c r="N224" s="7" t="s">
        <v>170</v>
      </c>
      <c r="O224" s="7" t="s">
        <v>162</v>
      </c>
      <c r="P224" s="7" t="s">
        <v>6423</v>
      </c>
      <c r="Q224" s="129">
        <v>46199</v>
      </c>
      <c r="R224" s="130">
        <f t="shared" si="27"/>
        <v>46211</v>
      </c>
      <c r="S224" s="131">
        <f t="shared" si="32"/>
        <v>12</v>
      </c>
      <c r="T224" s="7"/>
      <c r="U224" s="7"/>
      <c r="V224" s="7"/>
      <c r="W224" s="7"/>
      <c r="X224" s="132">
        <f t="shared" si="30"/>
        <v>10</v>
      </c>
      <c r="Y224" s="133"/>
      <c r="Z224" s="133"/>
      <c r="AA224" s="133"/>
    </row>
    <row r="225" spans="1:27" hidden="1" x14ac:dyDescent="0.25">
      <c r="A225" s="127">
        <v>234</v>
      </c>
      <c r="B225" s="128" t="str">
        <f t="shared" si="31"/>
        <v>YGQT</v>
      </c>
      <c r="C225" s="128" t="str">
        <f>+VLOOKUP(U225,Ходим!A:B,2,0)</f>
        <v>52010015950028</v>
      </c>
      <c r="D225" s="128" t="str">
        <f>IFERROR(VLOOKUP($B:$B,[20]свод!$A:$AB,3,0)," ")</f>
        <v>Янгиқўрғон тумани</v>
      </c>
      <c r="E225" s="7" t="s">
        <v>1369</v>
      </c>
      <c r="F225" s="7" t="s">
        <v>7773</v>
      </c>
      <c r="G225" s="134">
        <f t="shared" si="28"/>
        <v>1</v>
      </c>
      <c r="H225" s="134" t="str">
        <f t="shared" si="29"/>
        <v/>
      </c>
      <c r="I225" s="7" t="s">
        <v>158</v>
      </c>
      <c r="J225" s="7" t="s">
        <v>172</v>
      </c>
      <c r="K225" s="7"/>
      <c r="L225" s="7"/>
      <c r="M225" s="7"/>
      <c r="N225" s="7" t="s">
        <v>170</v>
      </c>
      <c r="O225" s="7" t="s">
        <v>162</v>
      </c>
      <c r="P225" s="7" t="s">
        <v>6424</v>
      </c>
      <c r="Q225" s="129">
        <v>46199</v>
      </c>
      <c r="R225" s="130">
        <f t="shared" si="27"/>
        <v>46211</v>
      </c>
      <c r="S225" s="131">
        <f t="shared" si="32"/>
        <v>12</v>
      </c>
      <c r="T225" s="7" t="s">
        <v>255</v>
      </c>
      <c r="U225" s="7" t="s">
        <v>391</v>
      </c>
      <c r="V225" s="7"/>
      <c r="W225" s="7"/>
      <c r="X225" s="132">
        <f t="shared" si="30"/>
        <v>10</v>
      </c>
      <c r="Y225" s="133"/>
      <c r="Z225" s="133"/>
      <c r="AA225" s="133"/>
    </row>
    <row r="226" spans="1:27" hidden="1" x14ac:dyDescent="0.25">
      <c r="A226" s="127">
        <v>235</v>
      </c>
      <c r="B226" s="128" t="str">
        <f t="shared" si="31"/>
        <v>NAMS</v>
      </c>
      <c r="C226" s="128" t="str">
        <f>+VLOOKUP(U226,Ходим!A:B,2,0)</f>
        <v>30108932170088</v>
      </c>
      <c r="D226" s="128" t="str">
        <f>IFERROR(VLOOKUP($B:$B,[20]свод!$A:$AB,3,0)," ")</f>
        <v>Наманган шаҳар</v>
      </c>
      <c r="E226" s="7" t="s">
        <v>1370</v>
      </c>
      <c r="F226" s="7" t="s">
        <v>7774</v>
      </c>
      <c r="G226" s="134">
        <f t="shared" si="28"/>
        <v>1</v>
      </c>
      <c r="H226" s="134" t="str">
        <f t="shared" si="29"/>
        <v/>
      </c>
      <c r="I226" s="7" t="s">
        <v>156</v>
      </c>
      <c r="J226" s="7" t="s">
        <v>25</v>
      </c>
      <c r="K226" s="7"/>
      <c r="L226" s="7"/>
      <c r="M226" s="7"/>
      <c r="N226" s="7" t="s">
        <v>170</v>
      </c>
      <c r="O226" s="7" t="s">
        <v>162</v>
      </c>
      <c r="P226" s="7" t="s">
        <v>6424</v>
      </c>
      <c r="Q226" s="129">
        <v>46199</v>
      </c>
      <c r="R226" s="130">
        <f t="shared" si="27"/>
        <v>46211</v>
      </c>
      <c r="S226" s="131">
        <f t="shared" si="32"/>
        <v>12</v>
      </c>
      <c r="T226" s="7" t="s">
        <v>173</v>
      </c>
      <c r="U226" s="7" t="s">
        <v>329</v>
      </c>
      <c r="V226" s="7"/>
      <c r="W226" s="7"/>
      <c r="X226" s="132">
        <f t="shared" si="30"/>
        <v>10</v>
      </c>
      <c r="Y226" s="133"/>
      <c r="Z226" s="133"/>
      <c r="AA226" s="133"/>
    </row>
    <row r="227" spans="1:27" hidden="1" x14ac:dyDescent="0.25">
      <c r="A227" s="127">
        <v>236</v>
      </c>
      <c r="B227" s="128" t="str">
        <f t="shared" si="31"/>
        <v>NAMS</v>
      </c>
      <c r="C227" s="128">
        <f>+VLOOKUP(U227,Ходим!A:B,2,0)</f>
        <v>52004005950071</v>
      </c>
      <c r="D227" s="128" t="str">
        <f>IFERROR(VLOOKUP($B:$B,[20]свод!$A:$AB,3,0)," ")</f>
        <v>Наманган шаҳар</v>
      </c>
      <c r="E227" s="7" t="s">
        <v>1371</v>
      </c>
      <c r="F227" s="7" t="s">
        <v>7775</v>
      </c>
      <c r="G227" s="134">
        <f t="shared" si="28"/>
        <v>1</v>
      </c>
      <c r="H227" s="134" t="str">
        <f t="shared" si="29"/>
        <v/>
      </c>
      <c r="I227" s="7" t="s">
        <v>156</v>
      </c>
      <c r="J227" s="7" t="s">
        <v>25</v>
      </c>
      <c r="K227" s="7"/>
      <c r="L227" s="7"/>
      <c r="M227" s="7"/>
      <c r="N227" s="7" t="s">
        <v>410</v>
      </c>
      <c r="O227" s="7" t="s">
        <v>162</v>
      </c>
      <c r="P227" s="7" t="s">
        <v>6424</v>
      </c>
      <c r="Q227" s="129">
        <v>46199</v>
      </c>
      <c r="R227" s="130">
        <f t="shared" si="27"/>
        <v>46211</v>
      </c>
      <c r="S227" s="131">
        <f t="shared" si="32"/>
        <v>12</v>
      </c>
      <c r="T227" s="7" t="s">
        <v>173</v>
      </c>
      <c r="U227" s="7" t="s">
        <v>1015</v>
      </c>
      <c r="V227" s="7"/>
      <c r="W227" s="7"/>
      <c r="X227" s="132">
        <f t="shared" si="30"/>
        <v>10</v>
      </c>
      <c r="Y227" s="133"/>
      <c r="Z227" s="133"/>
      <c r="AA227" s="133"/>
    </row>
    <row r="228" spans="1:27" hidden="1" x14ac:dyDescent="0.25">
      <c r="A228" s="127">
        <v>237</v>
      </c>
      <c r="B228" s="128" t="str">
        <f t="shared" si="31"/>
        <v>MINT</v>
      </c>
      <c r="C228" s="128" t="e">
        <f>+VLOOKUP(U228,Ходим!A:B,2,0)</f>
        <v>#N/A</v>
      </c>
      <c r="D228" s="128" t="str">
        <f>IFERROR(VLOOKUP($B:$B,[20]свод!$A:$AB,3,0)," ")</f>
        <v>Мингбулоқ тумани</v>
      </c>
      <c r="E228" s="7" t="s">
        <v>1372</v>
      </c>
      <c r="F228" s="7" t="s">
        <v>7776</v>
      </c>
      <c r="G228" s="134">
        <f t="shared" si="28"/>
        <v>1</v>
      </c>
      <c r="H228" s="134" t="str">
        <f t="shared" si="29"/>
        <v/>
      </c>
      <c r="I228" s="7" t="s">
        <v>156</v>
      </c>
      <c r="J228" s="7" t="s">
        <v>11</v>
      </c>
      <c r="K228" s="7"/>
      <c r="L228" s="7" t="s">
        <v>167</v>
      </c>
      <c r="M228" s="7" t="s">
        <v>1070</v>
      </c>
      <c r="N228" s="7" t="s">
        <v>170</v>
      </c>
      <c r="O228" s="7" t="s">
        <v>162</v>
      </c>
      <c r="P228" s="7" t="s">
        <v>6424</v>
      </c>
      <c r="Q228" s="129">
        <v>46199</v>
      </c>
      <c r="R228" s="130">
        <f t="shared" si="27"/>
        <v>46211</v>
      </c>
      <c r="S228" s="131">
        <f t="shared" si="32"/>
        <v>12</v>
      </c>
      <c r="T228" s="7"/>
      <c r="U228" s="7"/>
      <c r="V228" s="7"/>
      <c r="W228" s="7">
        <v>280.16000000000003</v>
      </c>
      <c r="X228" s="132">
        <f t="shared" si="30"/>
        <v>10</v>
      </c>
      <c r="Y228" s="133"/>
      <c r="Z228" s="133"/>
      <c r="AA228" s="133"/>
    </row>
    <row r="229" spans="1:27" hidden="1" x14ac:dyDescent="0.25">
      <c r="A229" s="127">
        <v>238</v>
      </c>
      <c r="B229" s="128" t="str">
        <f t="shared" si="31"/>
        <v>NAMT</v>
      </c>
      <c r="C229" s="128" t="str">
        <f>+VLOOKUP(U229,Ходим!A:B,2,0)</f>
        <v>50706025880010</v>
      </c>
      <c r="D229" s="128" t="str">
        <f>IFERROR(VLOOKUP($B:$B,[20]свод!$A:$AB,3,0)," ")</f>
        <v>Наманган тумани</v>
      </c>
      <c r="E229" s="7" t="s">
        <v>1373</v>
      </c>
      <c r="F229" s="7" t="s">
        <v>7777</v>
      </c>
      <c r="G229" s="134" t="str">
        <f t="shared" si="28"/>
        <v/>
      </c>
      <c r="H229" s="134">
        <f t="shared" si="29"/>
        <v>1</v>
      </c>
      <c r="I229" s="7" t="s">
        <v>157</v>
      </c>
      <c r="J229" s="7" t="s">
        <v>2</v>
      </c>
      <c r="K229" s="7"/>
      <c r="L229" s="7"/>
      <c r="M229" s="7"/>
      <c r="N229" s="7" t="s">
        <v>170</v>
      </c>
      <c r="O229" s="7" t="s">
        <v>161</v>
      </c>
      <c r="P229" s="7" t="s">
        <v>6424</v>
      </c>
      <c r="Q229" s="129">
        <v>46199</v>
      </c>
      <c r="R229" s="130">
        <f t="shared" si="27"/>
        <v>46211</v>
      </c>
      <c r="S229" s="131">
        <f t="shared" si="32"/>
        <v>12</v>
      </c>
      <c r="T229" s="7" t="s">
        <v>193</v>
      </c>
      <c r="U229" s="7" t="s">
        <v>397</v>
      </c>
      <c r="V229" s="7"/>
      <c r="W229" s="7"/>
      <c r="X229" s="132">
        <f t="shared" si="30"/>
        <v>10</v>
      </c>
      <c r="Y229" s="133"/>
      <c r="Z229" s="133"/>
      <c r="AA229" s="133"/>
    </row>
    <row r="230" spans="1:27" hidden="1" x14ac:dyDescent="0.25">
      <c r="A230" s="127">
        <v>239</v>
      </c>
      <c r="B230" s="128" t="str">
        <f t="shared" si="31"/>
        <v>CHOT</v>
      </c>
      <c r="C230" s="128" t="str">
        <f>+VLOOKUP(U230,Ходим!A:B,2,0)</f>
        <v>30510945890013</v>
      </c>
      <c r="D230" s="128" t="str">
        <f>IFERROR(VLOOKUP($B:$B,[20]свод!$A:$AB,3,0)," ")</f>
        <v>Чортоқ тумани</v>
      </c>
      <c r="E230" s="7" t="s">
        <v>1374</v>
      </c>
      <c r="F230" s="7" t="s">
        <v>7778</v>
      </c>
      <c r="G230" s="134">
        <f t="shared" si="28"/>
        <v>1</v>
      </c>
      <c r="H230" s="134" t="str">
        <f t="shared" si="29"/>
        <v/>
      </c>
      <c r="I230" s="7" t="s">
        <v>158</v>
      </c>
      <c r="J230" s="7" t="s">
        <v>172</v>
      </c>
      <c r="K230" s="7"/>
      <c r="L230" s="7"/>
      <c r="M230" s="7"/>
      <c r="N230" s="7" t="s">
        <v>170</v>
      </c>
      <c r="O230" s="7" t="s">
        <v>162</v>
      </c>
      <c r="P230" s="7" t="s">
        <v>6404</v>
      </c>
      <c r="Q230" s="129">
        <v>46199</v>
      </c>
      <c r="R230" s="130">
        <f t="shared" si="27"/>
        <v>46211</v>
      </c>
      <c r="S230" s="131">
        <f t="shared" si="32"/>
        <v>12</v>
      </c>
      <c r="T230" s="7" t="s">
        <v>184</v>
      </c>
      <c r="U230" s="7" t="s">
        <v>185</v>
      </c>
      <c r="V230" s="7"/>
      <c r="W230" s="7"/>
      <c r="X230" s="132">
        <f t="shared" si="30"/>
        <v>10</v>
      </c>
      <c r="Y230" s="133"/>
      <c r="Z230" s="133"/>
      <c r="AA230" s="133"/>
    </row>
    <row r="231" spans="1:27" hidden="1" x14ac:dyDescent="0.25">
      <c r="A231" s="127">
        <v>240</v>
      </c>
      <c r="B231" s="128" t="str">
        <f t="shared" si="31"/>
        <v>NAMS</v>
      </c>
      <c r="C231" s="128" t="str">
        <f>+VLOOKUP(U231,Ходим!A:B,2,0)</f>
        <v>33012942170121</v>
      </c>
      <c r="D231" s="128" t="str">
        <f>IFERROR(VLOOKUP($B:$B,[20]свод!$A:$AB,3,0)," ")</f>
        <v>Наманган шаҳар</v>
      </c>
      <c r="E231" s="7" t="s">
        <v>1375</v>
      </c>
      <c r="F231" s="7" t="s">
        <v>7779</v>
      </c>
      <c r="G231" s="134">
        <f t="shared" si="28"/>
        <v>1</v>
      </c>
      <c r="H231" s="134" t="str">
        <f t="shared" si="29"/>
        <v/>
      </c>
      <c r="I231" s="7" t="s">
        <v>154</v>
      </c>
      <c r="J231" s="7" t="s">
        <v>100</v>
      </c>
      <c r="K231" s="7"/>
      <c r="L231" s="7" t="s">
        <v>167</v>
      </c>
      <c r="M231" s="7" t="s">
        <v>4381</v>
      </c>
      <c r="N231" s="7" t="s">
        <v>170</v>
      </c>
      <c r="O231" s="7" t="s">
        <v>162</v>
      </c>
      <c r="P231" s="7" t="s">
        <v>6425</v>
      </c>
      <c r="Q231" s="129">
        <v>46199</v>
      </c>
      <c r="R231" s="130">
        <f t="shared" si="27"/>
        <v>46204</v>
      </c>
      <c r="S231" s="131">
        <f t="shared" si="32"/>
        <v>5</v>
      </c>
      <c r="T231" s="7" t="s">
        <v>173</v>
      </c>
      <c r="U231" s="7" t="s">
        <v>259</v>
      </c>
      <c r="V231" s="7"/>
      <c r="W231" s="7">
        <v>96.88</v>
      </c>
      <c r="X231" s="132">
        <f t="shared" si="30"/>
        <v>10</v>
      </c>
      <c r="Y231" s="133"/>
      <c r="Z231" s="133"/>
      <c r="AA231" s="133"/>
    </row>
    <row r="232" spans="1:27" hidden="1" x14ac:dyDescent="0.25">
      <c r="A232" s="127">
        <v>241</v>
      </c>
      <c r="B232" s="128" t="str">
        <f t="shared" si="31"/>
        <v>NAMS</v>
      </c>
      <c r="C232" s="128" t="str">
        <f>+VLOOKUP(U232,Ходим!A:B,2,0)</f>
        <v>33012942170121</v>
      </c>
      <c r="D232" s="128" t="str">
        <f>IFERROR(VLOOKUP($B:$B,[20]свод!$A:$AB,3,0)," ")</f>
        <v>Наманган шаҳар</v>
      </c>
      <c r="E232" s="7" t="s">
        <v>1376</v>
      </c>
      <c r="F232" s="7" t="s">
        <v>7780</v>
      </c>
      <c r="G232" s="134">
        <f t="shared" si="28"/>
        <v>1</v>
      </c>
      <c r="H232" s="134" t="str">
        <f t="shared" si="29"/>
        <v/>
      </c>
      <c r="I232" s="7" t="s">
        <v>158</v>
      </c>
      <c r="J232" s="7" t="s">
        <v>2</v>
      </c>
      <c r="K232" s="7"/>
      <c r="L232" s="7"/>
      <c r="M232" s="7"/>
      <c r="N232" s="7" t="s">
        <v>170</v>
      </c>
      <c r="O232" s="7" t="s">
        <v>162</v>
      </c>
      <c r="P232" s="7" t="s">
        <v>6353</v>
      </c>
      <c r="Q232" s="129">
        <v>46199</v>
      </c>
      <c r="R232" s="130">
        <f t="shared" si="27"/>
        <v>46204</v>
      </c>
      <c r="S232" s="131">
        <f t="shared" si="32"/>
        <v>5</v>
      </c>
      <c r="T232" s="7" t="s">
        <v>173</v>
      </c>
      <c r="U232" s="7" t="s">
        <v>259</v>
      </c>
      <c r="V232" s="7"/>
      <c r="W232" s="7"/>
      <c r="X232" s="132">
        <f t="shared" si="30"/>
        <v>10</v>
      </c>
      <c r="Y232" s="133"/>
      <c r="Z232" s="133"/>
      <c r="AA232" s="133"/>
    </row>
    <row r="233" spans="1:27" hidden="1" x14ac:dyDescent="0.25">
      <c r="A233" s="127">
        <v>242</v>
      </c>
      <c r="B233" s="128" t="str">
        <f t="shared" si="31"/>
        <v>NAMS</v>
      </c>
      <c r="C233" s="128">
        <f>+VLOOKUP(U233,Ходим!A:B,2,0)</f>
        <v>50510025960139</v>
      </c>
      <c r="D233" s="128" t="str">
        <f>IFERROR(VLOOKUP($B:$B,[20]свод!$A:$AB,3,0)," ")</f>
        <v>Наманган шаҳар</v>
      </c>
      <c r="E233" s="7" t="s">
        <v>1377</v>
      </c>
      <c r="F233" s="7" t="s">
        <v>7781</v>
      </c>
      <c r="G233" s="134">
        <f t="shared" si="28"/>
        <v>1</v>
      </c>
      <c r="H233" s="134" t="str">
        <f t="shared" si="29"/>
        <v/>
      </c>
      <c r="I233" s="7" t="s">
        <v>158</v>
      </c>
      <c r="J233" s="7" t="s">
        <v>13</v>
      </c>
      <c r="K233" s="7"/>
      <c r="L233" s="7" t="s">
        <v>167</v>
      </c>
      <c r="M233" s="7" t="s">
        <v>4382</v>
      </c>
      <c r="N233" s="7" t="s">
        <v>170</v>
      </c>
      <c r="O233" s="7" t="s">
        <v>162</v>
      </c>
      <c r="P233" s="7" t="s">
        <v>6426</v>
      </c>
      <c r="Q233" s="129">
        <v>46199</v>
      </c>
      <c r="R233" s="130">
        <f t="shared" si="27"/>
        <v>46204</v>
      </c>
      <c r="S233" s="131">
        <f t="shared" si="32"/>
        <v>5</v>
      </c>
      <c r="T233" s="7" t="s">
        <v>173</v>
      </c>
      <c r="U233" s="7" t="s">
        <v>955</v>
      </c>
      <c r="V233" s="7"/>
      <c r="W233" s="7">
        <v>0</v>
      </c>
      <c r="X233" s="132">
        <f t="shared" si="30"/>
        <v>10</v>
      </c>
      <c r="Y233" s="133"/>
      <c r="Z233" s="133"/>
      <c r="AA233" s="133"/>
    </row>
    <row r="234" spans="1:27" hidden="1" x14ac:dyDescent="0.25">
      <c r="A234" s="127">
        <v>243</v>
      </c>
      <c r="B234" s="128" t="str">
        <f t="shared" si="31"/>
        <v>NAMS</v>
      </c>
      <c r="C234" s="128" t="str">
        <f>+VLOOKUP(U234,Ходим!A:B,2,0)</f>
        <v>51911035960011</v>
      </c>
      <c r="D234" s="128" t="str">
        <f>IFERROR(VLOOKUP($B:$B,[20]свод!$A:$AB,3,0)," ")</f>
        <v>Наманган шаҳар</v>
      </c>
      <c r="E234" s="7" t="s">
        <v>1378</v>
      </c>
      <c r="F234" s="7" t="s">
        <v>7782</v>
      </c>
      <c r="G234" s="134">
        <f t="shared" si="28"/>
        <v>1</v>
      </c>
      <c r="H234" s="134" t="str">
        <f t="shared" si="29"/>
        <v/>
      </c>
      <c r="I234" s="7" t="s">
        <v>158</v>
      </c>
      <c r="J234" s="7" t="s">
        <v>2</v>
      </c>
      <c r="K234" s="7"/>
      <c r="L234" s="7" t="s">
        <v>167</v>
      </c>
      <c r="M234" s="7" t="s">
        <v>4383</v>
      </c>
      <c r="N234" s="7" t="s">
        <v>170</v>
      </c>
      <c r="O234" s="7" t="s">
        <v>162</v>
      </c>
      <c r="P234" s="7" t="s">
        <v>6427</v>
      </c>
      <c r="Q234" s="129">
        <v>46199</v>
      </c>
      <c r="R234" s="130">
        <f t="shared" si="27"/>
        <v>46204</v>
      </c>
      <c r="S234" s="131">
        <f t="shared" si="32"/>
        <v>5</v>
      </c>
      <c r="T234" s="7" t="s">
        <v>173</v>
      </c>
      <c r="U234" s="7" t="s">
        <v>371</v>
      </c>
      <c r="V234" s="7"/>
      <c r="W234" s="7">
        <v>131.97</v>
      </c>
      <c r="X234" s="132">
        <f t="shared" si="30"/>
        <v>10</v>
      </c>
      <c r="Y234" s="133"/>
      <c r="Z234" s="133"/>
      <c r="AA234" s="133"/>
    </row>
    <row r="235" spans="1:27" hidden="1" x14ac:dyDescent="0.25">
      <c r="A235" s="127">
        <v>244</v>
      </c>
      <c r="B235" s="128" t="str">
        <f t="shared" si="31"/>
        <v>UYCT</v>
      </c>
      <c r="C235" s="128" t="str">
        <f>+VLOOKUP(U235,Ходим!A:B,2,0)</f>
        <v>32906985930035</v>
      </c>
      <c r="D235" s="128" t="str">
        <f>IFERROR(VLOOKUP($B:$B,[20]свод!$A:$AB,3,0)," ")</f>
        <v>Уйчи тумани</v>
      </c>
      <c r="E235" s="7" t="s">
        <v>1379</v>
      </c>
      <c r="F235" s="7" t="s">
        <v>7783</v>
      </c>
      <c r="G235" s="134">
        <f t="shared" si="28"/>
        <v>1</v>
      </c>
      <c r="H235" s="134" t="str">
        <f t="shared" si="29"/>
        <v/>
      </c>
      <c r="I235" s="7" t="s">
        <v>156</v>
      </c>
      <c r="J235" s="7" t="s">
        <v>11</v>
      </c>
      <c r="K235" s="7"/>
      <c r="L235" s="7"/>
      <c r="M235" s="7"/>
      <c r="N235" s="7" t="s">
        <v>170</v>
      </c>
      <c r="O235" s="7" t="s">
        <v>162</v>
      </c>
      <c r="P235" s="7" t="s">
        <v>6428</v>
      </c>
      <c r="Q235" s="129">
        <v>46199</v>
      </c>
      <c r="R235" s="130">
        <f t="shared" si="27"/>
        <v>46211</v>
      </c>
      <c r="S235" s="131">
        <f t="shared" si="32"/>
        <v>12</v>
      </c>
      <c r="T235" s="7" t="s">
        <v>947</v>
      </c>
      <c r="U235" s="7" t="s">
        <v>257</v>
      </c>
      <c r="V235" s="7"/>
      <c r="W235" s="7"/>
      <c r="X235" s="132">
        <f t="shared" si="30"/>
        <v>10</v>
      </c>
      <c r="Y235" s="133"/>
      <c r="Z235" s="133"/>
      <c r="AA235" s="133"/>
    </row>
    <row r="236" spans="1:27" hidden="1" x14ac:dyDescent="0.25">
      <c r="A236" s="127">
        <v>246</v>
      </c>
      <c r="B236" s="128" t="str">
        <f t="shared" si="31"/>
        <v>MINT</v>
      </c>
      <c r="C236" s="128" t="e">
        <f>+VLOOKUP(U236,Ходим!A:B,2,0)</f>
        <v>#N/A</v>
      </c>
      <c r="D236" s="128" t="str">
        <f>IFERROR(VLOOKUP($B:$B,[20]свод!$A:$AB,3,0)," ")</f>
        <v>Мингбулоқ тумани</v>
      </c>
      <c r="E236" s="7" t="s">
        <v>1380</v>
      </c>
      <c r="F236" s="7" t="s">
        <v>7784</v>
      </c>
      <c r="G236" s="134">
        <f t="shared" si="28"/>
        <v>1</v>
      </c>
      <c r="H236" s="134" t="str">
        <f t="shared" si="29"/>
        <v/>
      </c>
      <c r="I236" s="7" t="s">
        <v>156</v>
      </c>
      <c r="J236" s="7" t="s">
        <v>11</v>
      </c>
      <c r="K236" s="7"/>
      <c r="L236" s="7"/>
      <c r="M236" s="7"/>
      <c r="N236" s="7" t="s">
        <v>410</v>
      </c>
      <c r="O236" s="7" t="s">
        <v>162</v>
      </c>
      <c r="P236" s="7" t="s">
        <v>6428</v>
      </c>
      <c r="Q236" s="129">
        <v>46199</v>
      </c>
      <c r="R236" s="130">
        <f t="shared" si="27"/>
        <v>46211</v>
      </c>
      <c r="S236" s="131">
        <f t="shared" si="32"/>
        <v>12</v>
      </c>
      <c r="T236" s="7"/>
      <c r="U236" s="7"/>
      <c r="V236" s="7"/>
      <c r="W236" s="7"/>
      <c r="X236" s="132">
        <f t="shared" si="30"/>
        <v>10</v>
      </c>
      <c r="Y236" s="133"/>
      <c r="Z236" s="133"/>
      <c r="AA236" s="133"/>
    </row>
    <row r="237" spans="1:27" hidden="1" x14ac:dyDescent="0.25">
      <c r="A237" s="127">
        <v>247</v>
      </c>
      <c r="B237" s="128" t="str">
        <f t="shared" si="31"/>
        <v>NAMS</v>
      </c>
      <c r="C237" s="128" t="str">
        <f>+VLOOKUP(U237,Ходим!A:B,2,0)</f>
        <v>31601642170089</v>
      </c>
      <c r="D237" s="128" t="str">
        <f>IFERROR(VLOOKUP($B:$B,[20]свод!$A:$AB,3,0)," ")</f>
        <v>Наманган шаҳар</v>
      </c>
      <c r="E237" s="7" t="s">
        <v>1381</v>
      </c>
      <c r="F237" s="7" t="s">
        <v>7785</v>
      </c>
      <c r="G237" s="134">
        <f t="shared" si="28"/>
        <v>1</v>
      </c>
      <c r="H237" s="134" t="str">
        <f t="shared" si="29"/>
        <v/>
      </c>
      <c r="I237" s="7" t="s">
        <v>158</v>
      </c>
      <c r="J237" s="7" t="s">
        <v>1</v>
      </c>
      <c r="K237" s="7"/>
      <c r="L237" s="7" t="s">
        <v>167</v>
      </c>
      <c r="M237" s="7" t="s">
        <v>4384</v>
      </c>
      <c r="N237" s="7" t="s">
        <v>170</v>
      </c>
      <c r="O237" s="7" t="s">
        <v>162</v>
      </c>
      <c r="P237" s="7" t="s">
        <v>6348</v>
      </c>
      <c r="Q237" s="129">
        <v>46199</v>
      </c>
      <c r="R237" s="130">
        <f t="shared" si="27"/>
        <v>46204</v>
      </c>
      <c r="S237" s="131">
        <f t="shared" si="32"/>
        <v>5</v>
      </c>
      <c r="T237" s="7" t="s">
        <v>227</v>
      </c>
      <c r="U237" s="7" t="s">
        <v>201</v>
      </c>
      <c r="V237" s="7"/>
      <c r="W237" s="7">
        <v>530.54999999999995</v>
      </c>
      <c r="X237" s="132">
        <f t="shared" si="30"/>
        <v>10</v>
      </c>
      <c r="Y237" s="133"/>
      <c r="Z237" s="133"/>
      <c r="AA237" s="133"/>
    </row>
    <row r="238" spans="1:27" hidden="1" x14ac:dyDescent="0.25">
      <c r="A238" s="127">
        <v>248</v>
      </c>
      <c r="B238" s="128" t="str">
        <f t="shared" si="31"/>
        <v>NAMS</v>
      </c>
      <c r="C238" s="128" t="str">
        <f>+VLOOKUP(U238,Ходим!A:B,2,0)</f>
        <v>51911035960011</v>
      </c>
      <c r="D238" s="128" t="str">
        <f>IFERROR(VLOOKUP($B:$B,[20]свод!$A:$AB,3,0)," ")</f>
        <v>Наманган шаҳар</v>
      </c>
      <c r="E238" s="7" t="s">
        <v>1382</v>
      </c>
      <c r="F238" s="7" t="s">
        <v>7786</v>
      </c>
      <c r="G238" s="134">
        <f t="shared" si="28"/>
        <v>1</v>
      </c>
      <c r="H238" s="134" t="str">
        <f t="shared" si="29"/>
        <v/>
      </c>
      <c r="I238" s="7" t="s">
        <v>158</v>
      </c>
      <c r="J238" s="7" t="s">
        <v>2</v>
      </c>
      <c r="K238" s="7"/>
      <c r="L238" s="7" t="s">
        <v>167</v>
      </c>
      <c r="M238" s="7" t="s">
        <v>4385</v>
      </c>
      <c r="N238" s="7" t="s">
        <v>170</v>
      </c>
      <c r="O238" s="7" t="s">
        <v>162</v>
      </c>
      <c r="P238" s="7" t="s">
        <v>6305</v>
      </c>
      <c r="Q238" s="129">
        <v>46199</v>
      </c>
      <c r="R238" s="130">
        <f t="shared" si="27"/>
        <v>46204</v>
      </c>
      <c r="S238" s="131">
        <f t="shared" si="32"/>
        <v>5</v>
      </c>
      <c r="T238" s="7" t="s">
        <v>173</v>
      </c>
      <c r="U238" s="7" t="s">
        <v>371</v>
      </c>
      <c r="V238" s="7"/>
      <c r="W238" s="7">
        <v>151.35</v>
      </c>
      <c r="X238" s="132">
        <f t="shared" si="30"/>
        <v>10</v>
      </c>
      <c r="Y238" s="133"/>
      <c r="Z238" s="133"/>
      <c r="AA238" s="133"/>
    </row>
    <row r="239" spans="1:27" hidden="1" x14ac:dyDescent="0.25">
      <c r="A239" s="127">
        <v>249</v>
      </c>
      <c r="B239" s="128" t="str">
        <f t="shared" si="31"/>
        <v>NAMS</v>
      </c>
      <c r="C239" s="128" t="str">
        <f>+VLOOKUP(U239,Ходим!A:B,2,0)</f>
        <v>30108932170088</v>
      </c>
      <c r="D239" s="128" t="str">
        <f>IFERROR(VLOOKUP($B:$B,[20]свод!$A:$AB,3,0)," ")</f>
        <v>Наманган шаҳар</v>
      </c>
      <c r="E239" s="7" t="s">
        <v>1383</v>
      </c>
      <c r="F239" s="7" t="s">
        <v>7787</v>
      </c>
      <c r="G239" s="134">
        <f t="shared" si="28"/>
        <v>1</v>
      </c>
      <c r="H239" s="134" t="str">
        <f t="shared" si="29"/>
        <v/>
      </c>
      <c r="I239" s="7" t="s">
        <v>158</v>
      </c>
      <c r="J239" s="7" t="s">
        <v>2</v>
      </c>
      <c r="K239" s="7"/>
      <c r="L239" s="7"/>
      <c r="M239" s="7"/>
      <c r="N239" s="7" t="s">
        <v>170</v>
      </c>
      <c r="O239" s="7" t="s">
        <v>162</v>
      </c>
      <c r="P239" s="7" t="s">
        <v>6426</v>
      </c>
      <c r="Q239" s="129">
        <v>46199</v>
      </c>
      <c r="R239" s="130">
        <f t="shared" si="27"/>
        <v>46204</v>
      </c>
      <c r="S239" s="131">
        <f t="shared" si="32"/>
        <v>5</v>
      </c>
      <c r="T239" s="7" t="s">
        <v>173</v>
      </c>
      <c r="U239" s="7" t="s">
        <v>329</v>
      </c>
      <c r="V239" s="7"/>
      <c r="W239" s="7"/>
      <c r="X239" s="132">
        <f t="shared" si="30"/>
        <v>10</v>
      </c>
      <c r="Y239" s="133"/>
      <c r="Z239" s="133"/>
      <c r="AA239" s="133"/>
    </row>
    <row r="240" spans="1:27" hidden="1" x14ac:dyDescent="0.25">
      <c r="A240" s="127">
        <v>250</v>
      </c>
      <c r="B240" s="128" t="str">
        <f t="shared" si="31"/>
        <v>UYCT</v>
      </c>
      <c r="C240" s="128" t="str">
        <f>+VLOOKUP(U240,Ходим!A:B,2,0)</f>
        <v>32906985930035</v>
      </c>
      <c r="D240" s="128" t="str">
        <f>IFERROR(VLOOKUP($B:$B,[20]свод!$A:$AB,3,0)," ")</f>
        <v>Уйчи тумани</v>
      </c>
      <c r="E240" s="7" t="s">
        <v>1384</v>
      </c>
      <c r="F240" s="7" t="s">
        <v>7788</v>
      </c>
      <c r="G240" s="134">
        <f t="shared" si="28"/>
        <v>1</v>
      </c>
      <c r="H240" s="134" t="str">
        <f t="shared" si="29"/>
        <v/>
      </c>
      <c r="I240" s="7" t="s">
        <v>156</v>
      </c>
      <c r="J240" s="7" t="s">
        <v>11</v>
      </c>
      <c r="K240" s="7"/>
      <c r="L240" s="7"/>
      <c r="M240" s="7"/>
      <c r="N240" s="7" t="s">
        <v>170</v>
      </c>
      <c r="O240" s="7" t="s">
        <v>162</v>
      </c>
      <c r="P240" s="7" t="s">
        <v>6428</v>
      </c>
      <c r="Q240" s="129">
        <v>46199</v>
      </c>
      <c r="R240" s="130">
        <f t="shared" si="27"/>
        <v>46211</v>
      </c>
      <c r="S240" s="131">
        <f t="shared" si="32"/>
        <v>12</v>
      </c>
      <c r="T240" s="7" t="s">
        <v>947</v>
      </c>
      <c r="U240" s="7" t="s">
        <v>257</v>
      </c>
      <c r="V240" s="7"/>
      <c r="W240" s="7"/>
      <c r="X240" s="132">
        <f t="shared" si="30"/>
        <v>10</v>
      </c>
      <c r="Y240" s="133"/>
      <c r="Z240" s="133"/>
      <c r="AA240" s="133"/>
    </row>
    <row r="241" spans="1:27" hidden="1" x14ac:dyDescent="0.25">
      <c r="A241" s="127">
        <v>251</v>
      </c>
      <c r="B241" s="128" t="str">
        <f t="shared" si="31"/>
        <v>NAMS</v>
      </c>
      <c r="C241" s="128" t="str">
        <f>+VLOOKUP(U241,Ходим!A:B,2,0)</f>
        <v>30910985930021</v>
      </c>
      <c r="D241" s="128" t="str">
        <f>IFERROR(VLOOKUP($B:$B,[20]свод!$A:$AB,3,0)," ")</f>
        <v>Наманган шаҳар</v>
      </c>
      <c r="E241" s="7" t="s">
        <v>1385</v>
      </c>
      <c r="F241" s="7" t="s">
        <v>7789</v>
      </c>
      <c r="G241" s="134">
        <f t="shared" si="28"/>
        <v>1</v>
      </c>
      <c r="H241" s="134" t="str">
        <f t="shared" si="29"/>
        <v/>
      </c>
      <c r="I241" s="7" t="s">
        <v>156</v>
      </c>
      <c r="J241" s="7" t="s">
        <v>25</v>
      </c>
      <c r="K241" s="7"/>
      <c r="L241" s="7" t="s">
        <v>167</v>
      </c>
      <c r="M241" s="7" t="s">
        <v>4386</v>
      </c>
      <c r="N241" s="7" t="s">
        <v>170</v>
      </c>
      <c r="O241" s="7" t="s">
        <v>162</v>
      </c>
      <c r="P241" s="7" t="s">
        <v>6429</v>
      </c>
      <c r="Q241" s="129">
        <v>46199</v>
      </c>
      <c r="R241" s="130">
        <f t="shared" si="27"/>
        <v>46205</v>
      </c>
      <c r="S241" s="131">
        <f t="shared" si="32"/>
        <v>6</v>
      </c>
      <c r="T241" s="7" t="s">
        <v>173</v>
      </c>
      <c r="U241" s="7" t="s">
        <v>963</v>
      </c>
      <c r="V241" s="7"/>
      <c r="W241" s="7">
        <v>104.09</v>
      </c>
      <c r="X241" s="132">
        <f t="shared" si="30"/>
        <v>10</v>
      </c>
      <c r="Y241" s="133"/>
      <c r="Z241" s="133"/>
      <c r="AA241" s="133"/>
    </row>
    <row r="242" spans="1:27" hidden="1" x14ac:dyDescent="0.25">
      <c r="A242" s="127">
        <v>252</v>
      </c>
      <c r="B242" s="128" t="str">
        <f t="shared" si="31"/>
        <v>POPT</v>
      </c>
      <c r="C242" s="128" t="str">
        <f>+VLOOKUP(U242,Ходим!A:B,2,0)</f>
        <v>30808922120014</v>
      </c>
      <c r="D242" s="128" t="str">
        <f>IFERROR(VLOOKUP($B:$B,[20]свод!$A:$AB,3,0)," ")</f>
        <v>Поп тумани</v>
      </c>
      <c r="E242" s="7" t="s">
        <v>1386</v>
      </c>
      <c r="F242" s="7"/>
      <c r="G242" s="134" t="str">
        <f t="shared" si="28"/>
        <v/>
      </c>
      <c r="H242" s="134">
        <f t="shared" si="29"/>
        <v>1</v>
      </c>
      <c r="I242" s="7" t="s">
        <v>154</v>
      </c>
      <c r="J242" s="7" t="s">
        <v>2</v>
      </c>
      <c r="K242" s="7"/>
      <c r="L242" s="7" t="s">
        <v>166</v>
      </c>
      <c r="M242" s="7" t="s">
        <v>4387</v>
      </c>
      <c r="N242" s="7" t="s">
        <v>368</v>
      </c>
      <c r="O242" s="7"/>
      <c r="P242" s="7" t="s">
        <v>6430</v>
      </c>
      <c r="Q242" s="129">
        <v>46199</v>
      </c>
      <c r="R242" s="130">
        <f t="shared" si="27"/>
        <v>46204</v>
      </c>
      <c r="S242" s="131">
        <f t="shared" si="32"/>
        <v>5</v>
      </c>
      <c r="T242" s="7"/>
      <c r="U242" s="7" t="s">
        <v>242</v>
      </c>
      <c r="V242" s="7"/>
      <c r="W242" s="7">
        <v>72</v>
      </c>
      <c r="X242" s="132">
        <f t="shared" si="30"/>
        <v>5</v>
      </c>
      <c r="Y242" s="133"/>
      <c r="Z242" s="133"/>
      <c r="AA242" s="133"/>
    </row>
    <row r="243" spans="1:27" hidden="1" x14ac:dyDescent="0.25">
      <c r="A243" s="127">
        <v>253</v>
      </c>
      <c r="B243" s="128" t="str">
        <f t="shared" si="31"/>
        <v>KSST</v>
      </c>
      <c r="C243" s="128" t="str">
        <f>+VLOOKUP(U243,Ходим!A:B,2,0)</f>
        <v>50709025980034</v>
      </c>
      <c r="D243" s="128" t="str">
        <f>IFERROR(VLOOKUP($B:$B,[20]свод!$A:$AB,3,0)," ")</f>
        <v>Косонсой тумани</v>
      </c>
      <c r="E243" s="7" t="s">
        <v>1387</v>
      </c>
      <c r="F243" s="7" t="s">
        <v>7790</v>
      </c>
      <c r="G243" s="134">
        <f t="shared" si="28"/>
        <v>1</v>
      </c>
      <c r="H243" s="134" t="str">
        <f t="shared" si="29"/>
        <v/>
      </c>
      <c r="I243" s="7" t="s">
        <v>158</v>
      </c>
      <c r="J243" s="7" t="s">
        <v>2</v>
      </c>
      <c r="K243" s="7"/>
      <c r="L243" s="7" t="s">
        <v>167</v>
      </c>
      <c r="M243" s="7" t="s">
        <v>4388</v>
      </c>
      <c r="N243" s="7" t="s">
        <v>410</v>
      </c>
      <c r="O243" s="7" t="s">
        <v>162</v>
      </c>
      <c r="P243" s="7" t="s">
        <v>6431</v>
      </c>
      <c r="Q243" s="129">
        <v>46199</v>
      </c>
      <c r="R243" s="130">
        <f t="shared" si="27"/>
        <v>46210</v>
      </c>
      <c r="S243" s="131">
        <f t="shared" si="32"/>
        <v>11</v>
      </c>
      <c r="T243" s="7" t="s">
        <v>180</v>
      </c>
      <c r="U243" s="7" t="s">
        <v>286</v>
      </c>
      <c r="V243" s="7"/>
      <c r="W243" s="7">
        <v>63.3</v>
      </c>
      <c r="X243" s="132">
        <f t="shared" si="30"/>
        <v>10</v>
      </c>
      <c r="Y243" s="133"/>
      <c r="Z243" s="133"/>
      <c r="AA243" s="133"/>
    </row>
    <row r="244" spans="1:27" hidden="1" x14ac:dyDescent="0.25">
      <c r="A244" s="127">
        <v>254</v>
      </c>
      <c r="B244" s="128" t="str">
        <f t="shared" si="31"/>
        <v>UCQT</v>
      </c>
      <c r="C244" s="128" t="e">
        <f>+VLOOKUP(U244,Ходим!A:B,2,0)</f>
        <v>#N/A</v>
      </c>
      <c r="D244" s="128" t="str">
        <f>IFERROR(VLOOKUP($B:$B,[20]свод!$A:$AB,3,0)," ")</f>
        <v>Учқўрғон тумани</v>
      </c>
      <c r="E244" s="7" t="s">
        <v>1388</v>
      </c>
      <c r="F244" s="7" t="s">
        <v>7791</v>
      </c>
      <c r="G244" s="134">
        <f t="shared" si="28"/>
        <v>1</v>
      </c>
      <c r="H244" s="134" t="str">
        <f t="shared" si="29"/>
        <v/>
      </c>
      <c r="I244" s="7" t="s">
        <v>159</v>
      </c>
      <c r="J244" s="7" t="s">
        <v>137</v>
      </c>
      <c r="K244" s="7"/>
      <c r="L244" s="7" t="s">
        <v>167</v>
      </c>
      <c r="M244" s="7" t="s">
        <v>4389</v>
      </c>
      <c r="N244" s="7" t="s">
        <v>170</v>
      </c>
      <c r="O244" s="7" t="s">
        <v>163</v>
      </c>
      <c r="P244" s="7" t="s">
        <v>6432</v>
      </c>
      <c r="Q244" s="129">
        <v>46199</v>
      </c>
      <c r="R244" s="130">
        <f t="shared" si="27"/>
        <v>46211</v>
      </c>
      <c r="S244" s="131">
        <f t="shared" si="32"/>
        <v>12</v>
      </c>
      <c r="T244" s="7"/>
      <c r="U244" s="7"/>
      <c r="V244" s="7"/>
      <c r="W244" s="7">
        <v>600.55999999999995</v>
      </c>
      <c r="X244" s="132">
        <f t="shared" si="30"/>
        <v>10</v>
      </c>
      <c r="Y244" s="133"/>
      <c r="Z244" s="133"/>
      <c r="AA244" s="133"/>
    </row>
    <row r="245" spans="1:27" hidden="1" x14ac:dyDescent="0.25">
      <c r="A245" s="127">
        <v>255</v>
      </c>
      <c r="B245" s="128" t="str">
        <f t="shared" si="31"/>
        <v>NAMS</v>
      </c>
      <c r="C245" s="128" t="str">
        <f>+VLOOKUP(U245,Ходим!A:B,2,0)</f>
        <v>30108932170088</v>
      </c>
      <c r="D245" s="128" t="str">
        <f>IFERROR(VLOOKUP($B:$B,[20]свод!$A:$AB,3,0)," ")</f>
        <v>Наманган шаҳар</v>
      </c>
      <c r="E245" s="7" t="s">
        <v>1389</v>
      </c>
      <c r="F245" s="7" t="s">
        <v>7792</v>
      </c>
      <c r="G245" s="134">
        <f t="shared" si="28"/>
        <v>1</v>
      </c>
      <c r="H245" s="134" t="str">
        <f t="shared" si="29"/>
        <v/>
      </c>
      <c r="I245" s="7" t="s">
        <v>158</v>
      </c>
      <c r="J245" s="7" t="s">
        <v>2</v>
      </c>
      <c r="K245" s="7"/>
      <c r="L245" s="7" t="s">
        <v>167</v>
      </c>
      <c r="M245" s="7" t="s">
        <v>4390</v>
      </c>
      <c r="N245" s="7" t="s">
        <v>170</v>
      </c>
      <c r="O245" s="7" t="s">
        <v>162</v>
      </c>
      <c r="P245" s="7" t="s">
        <v>6293</v>
      </c>
      <c r="Q245" s="129">
        <v>46199</v>
      </c>
      <c r="R245" s="130">
        <f t="shared" si="27"/>
        <v>46204</v>
      </c>
      <c r="S245" s="131">
        <f t="shared" si="32"/>
        <v>5</v>
      </c>
      <c r="T245" s="7" t="s">
        <v>173</v>
      </c>
      <c r="U245" s="7" t="s">
        <v>329</v>
      </c>
      <c r="V245" s="7"/>
      <c r="W245" s="7">
        <v>213.59</v>
      </c>
      <c r="X245" s="132">
        <f t="shared" si="30"/>
        <v>10</v>
      </c>
      <c r="Y245" s="133"/>
      <c r="Z245" s="133"/>
      <c r="AA245" s="133"/>
    </row>
    <row r="246" spans="1:27" hidden="1" x14ac:dyDescent="0.25">
      <c r="A246" s="127">
        <v>256</v>
      </c>
      <c r="B246" s="128" t="str">
        <f t="shared" si="31"/>
        <v>KSST</v>
      </c>
      <c r="C246" s="128" t="str">
        <f>+VLOOKUP(U246,Ходим!A:B,2,0)</f>
        <v>52812015980061</v>
      </c>
      <c r="D246" s="128" t="str">
        <f>IFERROR(VLOOKUP($B:$B,[20]свод!$A:$AB,3,0)," ")</f>
        <v>Косонсой тумани</v>
      </c>
      <c r="E246" s="7" t="s">
        <v>1390</v>
      </c>
      <c r="F246" s="7" t="s">
        <v>7793</v>
      </c>
      <c r="G246" s="134">
        <f t="shared" si="28"/>
        <v>1</v>
      </c>
      <c r="H246" s="134" t="str">
        <f t="shared" si="29"/>
        <v/>
      </c>
      <c r="I246" s="7" t="s">
        <v>158</v>
      </c>
      <c r="J246" s="7" t="s">
        <v>2</v>
      </c>
      <c r="K246" s="7"/>
      <c r="L246" s="7" t="s">
        <v>167</v>
      </c>
      <c r="M246" s="7" t="s">
        <v>4391</v>
      </c>
      <c r="N246" s="7" t="s">
        <v>170</v>
      </c>
      <c r="O246" s="7" t="s">
        <v>162</v>
      </c>
      <c r="P246" s="7" t="s">
        <v>6433</v>
      </c>
      <c r="Q246" s="129">
        <v>46199</v>
      </c>
      <c r="R246" s="130">
        <f t="shared" si="27"/>
        <v>46205</v>
      </c>
      <c r="S246" s="131">
        <f t="shared" si="32"/>
        <v>6</v>
      </c>
      <c r="T246" s="7" t="s">
        <v>180</v>
      </c>
      <c r="U246" s="7" t="s">
        <v>307</v>
      </c>
      <c r="V246" s="7"/>
      <c r="W246" s="7">
        <v>122.3</v>
      </c>
      <c r="X246" s="132">
        <f t="shared" si="30"/>
        <v>10</v>
      </c>
      <c r="Y246" s="133"/>
      <c r="Z246" s="133"/>
      <c r="AA246" s="133"/>
    </row>
    <row r="247" spans="1:27" hidden="1" x14ac:dyDescent="0.25">
      <c r="A247" s="127">
        <v>257</v>
      </c>
      <c r="B247" s="128" t="str">
        <f t="shared" si="31"/>
        <v>YGQT</v>
      </c>
      <c r="C247" s="128" t="str">
        <f>+VLOOKUP(U247,Ходим!A:B,2,0)</f>
        <v>52010015950028</v>
      </c>
      <c r="D247" s="128" t="str">
        <f>IFERROR(VLOOKUP($B:$B,[20]свод!$A:$AB,3,0)," ")</f>
        <v>Янгиқўрғон тумани</v>
      </c>
      <c r="E247" s="7" t="s">
        <v>1391</v>
      </c>
      <c r="F247" s="7" t="s">
        <v>7794</v>
      </c>
      <c r="G247" s="134">
        <f t="shared" si="28"/>
        <v>1</v>
      </c>
      <c r="H247" s="134" t="str">
        <f t="shared" si="29"/>
        <v/>
      </c>
      <c r="I247" s="7" t="s">
        <v>156</v>
      </c>
      <c r="J247" s="7" t="s">
        <v>22</v>
      </c>
      <c r="K247" s="7"/>
      <c r="L247" s="7"/>
      <c r="M247" s="7"/>
      <c r="N247" s="7" t="s">
        <v>410</v>
      </c>
      <c r="O247" s="7" t="s">
        <v>162</v>
      </c>
      <c r="P247" s="7" t="s">
        <v>6434</v>
      </c>
      <c r="Q247" s="129">
        <v>46199</v>
      </c>
      <c r="R247" s="130">
        <f t="shared" ref="R247:R307" si="33">WORKDAY(P247,X247,$Y$1:$AA$1)</f>
        <v>46211</v>
      </c>
      <c r="S247" s="131">
        <f t="shared" si="32"/>
        <v>12</v>
      </c>
      <c r="T247" s="7" t="s">
        <v>182</v>
      </c>
      <c r="U247" s="7" t="s">
        <v>391</v>
      </c>
      <c r="V247" s="7"/>
      <c r="W247" s="7"/>
      <c r="X247" s="132">
        <f t="shared" si="30"/>
        <v>10</v>
      </c>
      <c r="Y247" s="133"/>
      <c r="Z247" s="133"/>
      <c r="AA247" s="133"/>
    </row>
    <row r="248" spans="1:27" hidden="1" x14ac:dyDescent="0.25">
      <c r="A248" s="127">
        <v>258</v>
      </c>
      <c r="B248" s="128" t="str">
        <f t="shared" si="31"/>
        <v>POPT</v>
      </c>
      <c r="C248" s="128" t="str">
        <f>+VLOOKUP(U248,Ходим!A:B,2,0)</f>
        <v>51605005910024</v>
      </c>
      <c r="D248" s="128" t="str">
        <f>IFERROR(VLOOKUP($B:$B,[20]свод!$A:$AB,3,0)," ")</f>
        <v>Поп тумани</v>
      </c>
      <c r="E248" s="7" t="s">
        <v>1392</v>
      </c>
      <c r="F248" s="7" t="s">
        <v>7795</v>
      </c>
      <c r="G248" s="134">
        <f t="shared" si="28"/>
        <v>1</v>
      </c>
      <c r="H248" s="134" t="str">
        <f t="shared" si="29"/>
        <v/>
      </c>
      <c r="I248" s="7" t="s">
        <v>158</v>
      </c>
      <c r="J248" s="7" t="s">
        <v>2</v>
      </c>
      <c r="K248" s="7"/>
      <c r="L248" s="7"/>
      <c r="M248" s="7"/>
      <c r="N248" s="7" t="s">
        <v>170</v>
      </c>
      <c r="O248" s="7" t="s">
        <v>162</v>
      </c>
      <c r="P248" s="7" t="s">
        <v>6435</v>
      </c>
      <c r="Q248" s="129">
        <v>46199</v>
      </c>
      <c r="R248" s="130">
        <f t="shared" si="33"/>
        <v>46204</v>
      </c>
      <c r="S248" s="131">
        <f t="shared" si="32"/>
        <v>5</v>
      </c>
      <c r="T248" s="7" t="s">
        <v>240</v>
      </c>
      <c r="U248" s="7" t="s">
        <v>241</v>
      </c>
      <c r="V248" s="7"/>
      <c r="W248" s="7"/>
      <c r="X248" s="132">
        <f t="shared" si="30"/>
        <v>10</v>
      </c>
      <c r="Y248" s="133"/>
      <c r="Z248" s="133"/>
      <c r="AA248" s="133"/>
    </row>
    <row r="249" spans="1:27" hidden="1" x14ac:dyDescent="0.25">
      <c r="A249" s="127">
        <v>259</v>
      </c>
      <c r="B249" s="128" t="str">
        <f t="shared" si="31"/>
        <v>POPT</v>
      </c>
      <c r="C249" s="128" t="str">
        <f>+VLOOKUP(U249,Ходим!A:B,2,0)</f>
        <v>30808922120014</v>
      </c>
      <c r="D249" s="128" t="str">
        <f>IFERROR(VLOOKUP($B:$B,[20]свод!$A:$AB,3,0)," ")</f>
        <v>Поп тумани</v>
      </c>
      <c r="E249" s="7" t="s">
        <v>1393</v>
      </c>
      <c r="F249" s="7" t="s">
        <v>7796</v>
      </c>
      <c r="G249" s="134" t="str">
        <f t="shared" si="28"/>
        <v/>
      </c>
      <c r="H249" s="134">
        <f t="shared" si="29"/>
        <v>1</v>
      </c>
      <c r="I249" s="7" t="s">
        <v>157</v>
      </c>
      <c r="J249" s="7" t="s">
        <v>2</v>
      </c>
      <c r="K249" s="7"/>
      <c r="L249" s="7" t="s">
        <v>166</v>
      </c>
      <c r="M249" s="7" t="s">
        <v>4392</v>
      </c>
      <c r="N249" s="7" t="s">
        <v>170</v>
      </c>
      <c r="O249" s="7" t="s">
        <v>161</v>
      </c>
      <c r="P249" s="7" t="s">
        <v>6413</v>
      </c>
      <c r="Q249" s="129">
        <v>46199</v>
      </c>
      <c r="R249" s="130">
        <f t="shared" si="33"/>
        <v>46213</v>
      </c>
      <c r="S249" s="131">
        <f t="shared" si="32"/>
        <v>14</v>
      </c>
      <c r="T249" s="7" t="s">
        <v>214</v>
      </c>
      <c r="U249" s="7" t="s">
        <v>242</v>
      </c>
      <c r="V249" s="7"/>
      <c r="W249" s="7">
        <v>1179.21</v>
      </c>
      <c r="X249" s="132">
        <f t="shared" si="30"/>
        <v>17</v>
      </c>
      <c r="Y249" s="133"/>
      <c r="Z249" s="133"/>
      <c r="AA249" s="133"/>
    </row>
    <row r="250" spans="1:27" x14ac:dyDescent="0.25">
      <c r="A250" s="127">
        <v>260</v>
      </c>
      <c r="B250" s="128" t="str">
        <f t="shared" si="31"/>
        <v>NAMS</v>
      </c>
      <c r="C250" s="128" t="str">
        <f>+VLOOKUP(U250,Ходим!A:B,2,0)</f>
        <v>51110025960044</v>
      </c>
      <c r="D250" s="128" t="str">
        <f>IFERROR(VLOOKUP($B:$B,[20]свод!$A:$AB,3,0)," ")</f>
        <v>Наманган шаҳар</v>
      </c>
      <c r="E250" s="7" t="s">
        <v>1394</v>
      </c>
      <c r="F250" s="7" t="s">
        <v>7797</v>
      </c>
      <c r="G250" s="134">
        <f t="shared" si="28"/>
        <v>1</v>
      </c>
      <c r="H250" s="134" t="str">
        <f t="shared" si="29"/>
        <v/>
      </c>
      <c r="I250" s="7" t="s">
        <v>158</v>
      </c>
      <c r="J250" s="7" t="s">
        <v>2</v>
      </c>
      <c r="K250" s="7"/>
      <c r="L250" s="7" t="s">
        <v>167</v>
      </c>
      <c r="M250" s="7" t="s">
        <v>4393</v>
      </c>
      <c r="N250" s="7" t="s">
        <v>170</v>
      </c>
      <c r="O250" s="7" t="s">
        <v>162</v>
      </c>
      <c r="P250" s="7" t="s">
        <v>6436</v>
      </c>
      <c r="Q250" s="129">
        <v>46199</v>
      </c>
      <c r="R250" s="130">
        <f t="shared" si="33"/>
        <v>46197</v>
      </c>
      <c r="S250" s="131">
        <f t="shared" si="32"/>
        <v>-2</v>
      </c>
      <c r="T250" s="7" t="s">
        <v>173</v>
      </c>
      <c r="U250" s="7" t="s">
        <v>294</v>
      </c>
      <c r="V250" s="7"/>
      <c r="W250" s="7">
        <v>0</v>
      </c>
      <c r="X250" s="132">
        <f t="shared" si="30"/>
        <v>10</v>
      </c>
      <c r="Y250" s="133"/>
      <c r="Z250" s="133"/>
      <c r="AA250" s="133"/>
    </row>
    <row r="251" spans="1:27" hidden="1" x14ac:dyDescent="0.25">
      <c r="A251" s="127">
        <v>261</v>
      </c>
      <c r="B251" s="128" t="str">
        <f t="shared" si="31"/>
        <v>CHUT</v>
      </c>
      <c r="C251" s="128" t="str">
        <f>+VLOOKUP(U251,Ходим!A:B,2,0)</f>
        <v>31312912180061</v>
      </c>
      <c r="D251" s="128" t="str">
        <f>IFERROR(VLOOKUP($B:$B,[20]свод!$A:$AB,3,0)," ")</f>
        <v>Чуст тумани</v>
      </c>
      <c r="E251" s="7" t="s">
        <v>1395</v>
      </c>
      <c r="F251" s="7" t="s">
        <v>7798</v>
      </c>
      <c r="G251" s="134">
        <f t="shared" ref="G251:G309" si="34">IF(OR(
I251="Turar joy obyektning kadastr pasportini shakllantirish va davlat ro'yxatidan o'tkazish",
I251="Turar kompozit"
),
1,
IF(OR(
I251="Noturar kompozit",
I251="Avtoyo'l va suv xo'jaligi obyektining kadastr pasportini shakllantirish va ro'yxatga olish",
I251="Noturar obyektning kadastr pasportining kadastr pasportini shakllantirish va davlat ro'yxatidan o'tkazish"
),
"",
IF(OR(
I251="Notarius uchun ma'lumotnoma (uz)",
I251="Qurilishi tugallangan ko'chmas mulkni foydalanishga qabul qilish",
I251="Umumiy foydalanishdagi ko'chmas mulk qismini yaratish",
I251="Registratsiya (tashqi - UZKAD da bor)"
),
IF(OR(L251="Turar yer maydoni",L251="Yakka tartibdagi turar joy"),1,
IF(L251="Noturar bino","",
IF(L251="Noturar yer maydoni","",
IF(L251="",IF(OR(O251="Turar joy xizmati",O251="Foydalanishga ruxsatnoma berish xizmati"),1,""),"")
))),
"")))</f>
        <v>1</v>
      </c>
      <c r="H251" s="134" t="str">
        <f t="shared" ref="H251:H309" si="35">IF(OR(
I251="Turar joy obyektning kadastr pasportini shakllantirish va davlat ro'yxatidan o'tkazish",
I251="Turar kompozit"
),
"",
IF(OR(
I251="Noturar kompozit",
I251="Avtoyo'l va suv xo'jaligi obyektining kadastr pasportini shakllantirish va ro'yxatga olish",
I251="Noturar obyektning kadastr pasportini shakllantirish va davlat ro'yxatidan o'tkazish"
),
1,
IF(OR(
I251="Notarius uchun ma'lumotnoma (uz)",
I251="Qurilishi tugallangan ko'chmas mulkni foydalanishga qabul qilish",
I251="Umumiy foydalanishdagi ko'chmas mulk qismini yaratish",
I251="Registratsiya (tashqi - UZKAD da bor)"
),
IF(OR(L251="Turar yer maydoni",L251="Yakka tartibdagi turar joy"),"",
IF(L251="Noturar bino",1,
IF(L251="Noturar yer maydoni",1,
IF(L251="",IF(OR(O251="Turar joy xizmati",O251="Foydalanishga ruxsatnoma berish xizmati"),"",1),"")
))),
"")))</f>
        <v/>
      </c>
      <c r="I251" s="7" t="s">
        <v>158</v>
      </c>
      <c r="J251" s="7" t="s">
        <v>172</v>
      </c>
      <c r="K251" s="7"/>
      <c r="L251" s="7" t="s">
        <v>167</v>
      </c>
      <c r="M251" s="7" t="s">
        <v>4394</v>
      </c>
      <c r="N251" s="7" t="s">
        <v>170</v>
      </c>
      <c r="O251" s="7" t="s">
        <v>162</v>
      </c>
      <c r="P251" s="7" t="s">
        <v>6437</v>
      </c>
      <c r="Q251" s="129">
        <v>46199</v>
      </c>
      <c r="R251" s="130">
        <f t="shared" si="33"/>
        <v>46205</v>
      </c>
      <c r="S251" s="131">
        <f t="shared" si="32"/>
        <v>6</v>
      </c>
      <c r="T251" s="7" t="s">
        <v>178</v>
      </c>
      <c r="U251" s="7" t="s">
        <v>202</v>
      </c>
      <c r="V251" s="7"/>
      <c r="W251" s="7">
        <v>318.5</v>
      </c>
      <c r="X251" s="132">
        <f t="shared" si="30"/>
        <v>10</v>
      </c>
      <c r="Y251" s="133"/>
      <c r="Z251" s="133"/>
      <c r="AA251" s="133"/>
    </row>
    <row r="252" spans="1:27" hidden="1" x14ac:dyDescent="0.25">
      <c r="A252" s="127">
        <v>262</v>
      </c>
      <c r="B252" s="128" t="str">
        <f t="shared" si="31"/>
        <v>NAMS</v>
      </c>
      <c r="C252" s="128" t="str">
        <f>+VLOOKUP(U252,Ходим!A:B,2,0)</f>
        <v>53008015960094</v>
      </c>
      <c r="D252" s="128" t="str">
        <f>IFERROR(VLOOKUP($B:$B,[20]свод!$A:$AB,3,0)," ")</f>
        <v>Наманган шаҳар</v>
      </c>
      <c r="E252" s="7" t="s">
        <v>1396</v>
      </c>
      <c r="F252" s="7" t="s">
        <v>7799</v>
      </c>
      <c r="G252" s="134">
        <f t="shared" si="34"/>
        <v>1</v>
      </c>
      <c r="H252" s="134" t="str">
        <f t="shared" si="35"/>
        <v/>
      </c>
      <c r="I252" s="7" t="s">
        <v>158</v>
      </c>
      <c r="J252" s="7" t="s">
        <v>2</v>
      </c>
      <c r="K252" s="7"/>
      <c r="L252" s="7" t="s">
        <v>167</v>
      </c>
      <c r="M252" s="7" t="s">
        <v>4395</v>
      </c>
      <c r="N252" s="7" t="s">
        <v>170</v>
      </c>
      <c r="O252" s="7" t="s">
        <v>162</v>
      </c>
      <c r="P252" s="7" t="s">
        <v>6438</v>
      </c>
      <c r="Q252" s="129">
        <v>46199</v>
      </c>
      <c r="R252" s="130">
        <f t="shared" si="33"/>
        <v>46205</v>
      </c>
      <c r="S252" s="131">
        <f t="shared" si="32"/>
        <v>6</v>
      </c>
      <c r="T252" s="7" t="s">
        <v>173</v>
      </c>
      <c r="U252" s="7" t="s">
        <v>403</v>
      </c>
      <c r="V252" s="7"/>
      <c r="W252" s="7">
        <v>227.64</v>
      </c>
      <c r="X252" s="132">
        <f t="shared" si="30"/>
        <v>10</v>
      </c>
      <c r="Y252" s="133"/>
      <c r="Z252" s="133"/>
      <c r="AA252" s="133"/>
    </row>
    <row r="253" spans="1:27" hidden="1" x14ac:dyDescent="0.25">
      <c r="A253" s="127">
        <v>263</v>
      </c>
      <c r="B253" s="128" t="str">
        <f t="shared" si="31"/>
        <v>CHUT</v>
      </c>
      <c r="C253" s="128" t="str">
        <f>+VLOOKUP(U253,Ходим!A:B,2,0)</f>
        <v>32304995970021</v>
      </c>
      <c r="D253" s="128" t="str">
        <f>IFERROR(VLOOKUP($B:$B,[20]свод!$A:$AB,3,0)," ")</f>
        <v>Чуст тумани</v>
      </c>
      <c r="E253" s="7" t="s">
        <v>1397</v>
      </c>
      <c r="F253" s="7" t="s">
        <v>7800</v>
      </c>
      <c r="G253" s="134" t="str">
        <f t="shared" si="34"/>
        <v/>
      </c>
      <c r="H253" s="134">
        <f t="shared" si="35"/>
        <v>1</v>
      </c>
      <c r="I253" s="7" t="s">
        <v>155</v>
      </c>
      <c r="J253" s="7" t="s">
        <v>22</v>
      </c>
      <c r="K253" s="7"/>
      <c r="L253" s="7" t="s">
        <v>168</v>
      </c>
      <c r="M253" s="7" t="s">
        <v>4396</v>
      </c>
      <c r="N253" s="7" t="s">
        <v>410</v>
      </c>
      <c r="O253" s="7" t="s">
        <v>161</v>
      </c>
      <c r="P253" s="7" t="s">
        <v>6439</v>
      </c>
      <c r="Q253" s="129">
        <v>46199</v>
      </c>
      <c r="R253" s="130">
        <f t="shared" si="33"/>
        <v>46206</v>
      </c>
      <c r="S253" s="131">
        <f t="shared" si="32"/>
        <v>7</v>
      </c>
      <c r="T253" s="7" t="s">
        <v>178</v>
      </c>
      <c r="U253" s="7" t="s">
        <v>938</v>
      </c>
      <c r="V253" s="7"/>
      <c r="W253" s="7">
        <v>0</v>
      </c>
      <c r="X253" s="132">
        <f t="shared" si="30"/>
        <v>7</v>
      </c>
      <c r="Y253" s="133"/>
      <c r="Z253" s="133"/>
      <c r="AA253" s="133"/>
    </row>
    <row r="254" spans="1:27" hidden="1" x14ac:dyDescent="0.25">
      <c r="A254" s="127">
        <v>264</v>
      </c>
      <c r="B254" s="128" t="str">
        <f t="shared" si="31"/>
        <v>UCQT</v>
      </c>
      <c r="C254" s="128" t="e">
        <f>+VLOOKUP(U254,Ходим!A:B,2,0)</f>
        <v>#N/A</v>
      </c>
      <c r="D254" s="128" t="str">
        <f>IFERROR(VLOOKUP($B:$B,[20]свод!$A:$AB,3,0)," ")</f>
        <v>Учқўрғон тумани</v>
      </c>
      <c r="E254" s="7" t="s">
        <v>1398</v>
      </c>
      <c r="F254" s="7" t="s">
        <v>7801</v>
      </c>
      <c r="G254" s="134">
        <f t="shared" si="34"/>
        <v>1</v>
      </c>
      <c r="H254" s="134" t="str">
        <f t="shared" si="35"/>
        <v/>
      </c>
      <c r="I254" s="7" t="s">
        <v>156</v>
      </c>
      <c r="J254" s="7" t="s">
        <v>11</v>
      </c>
      <c r="K254" s="7"/>
      <c r="L254" s="7"/>
      <c r="M254" s="7"/>
      <c r="N254" s="7" t="s">
        <v>170</v>
      </c>
      <c r="O254" s="7" t="s">
        <v>162</v>
      </c>
      <c r="P254" s="7" t="s">
        <v>6439</v>
      </c>
      <c r="Q254" s="129">
        <v>46199</v>
      </c>
      <c r="R254" s="130">
        <f t="shared" si="33"/>
        <v>46211</v>
      </c>
      <c r="S254" s="131">
        <f t="shared" si="32"/>
        <v>12</v>
      </c>
      <c r="T254" s="7"/>
      <c r="U254" s="7"/>
      <c r="V254" s="7"/>
      <c r="W254" s="7"/>
      <c r="X254" s="132">
        <f t="shared" si="30"/>
        <v>10</v>
      </c>
      <c r="Y254" s="133"/>
      <c r="Z254" s="133"/>
      <c r="AA254" s="133"/>
    </row>
    <row r="255" spans="1:27" hidden="1" x14ac:dyDescent="0.25">
      <c r="A255" s="127">
        <v>266</v>
      </c>
      <c r="B255" s="128" t="str">
        <f t="shared" si="31"/>
        <v>NAMS</v>
      </c>
      <c r="C255" s="128" t="str">
        <f>+VLOOKUP(U255,Ходим!A:B,2,0)</f>
        <v>51705025890024</v>
      </c>
      <c r="D255" s="128" t="str">
        <f>IFERROR(VLOOKUP($B:$B,[20]свод!$A:$AB,3,0)," ")</f>
        <v>Наманган шаҳар</v>
      </c>
      <c r="E255" s="7" t="s">
        <v>1399</v>
      </c>
      <c r="F255" s="7" t="s">
        <v>7802</v>
      </c>
      <c r="G255" s="134">
        <f t="shared" si="34"/>
        <v>1</v>
      </c>
      <c r="H255" s="134" t="str">
        <f t="shared" si="35"/>
        <v/>
      </c>
      <c r="I255" s="7" t="s">
        <v>158</v>
      </c>
      <c r="J255" s="7" t="s">
        <v>2</v>
      </c>
      <c r="K255" s="7"/>
      <c r="L255" s="7" t="s">
        <v>167</v>
      </c>
      <c r="M255" s="7" t="s">
        <v>4397</v>
      </c>
      <c r="N255" s="7" t="s">
        <v>170</v>
      </c>
      <c r="O255" s="7" t="s">
        <v>162</v>
      </c>
      <c r="P255" s="7" t="s">
        <v>6355</v>
      </c>
      <c r="Q255" s="129">
        <v>46199</v>
      </c>
      <c r="R255" s="130">
        <f t="shared" si="33"/>
        <v>46204</v>
      </c>
      <c r="S255" s="131">
        <f t="shared" si="32"/>
        <v>5</v>
      </c>
      <c r="T255" s="7" t="s">
        <v>173</v>
      </c>
      <c r="U255" s="7" t="s">
        <v>189</v>
      </c>
      <c r="V255" s="7"/>
      <c r="W255" s="7">
        <v>0</v>
      </c>
      <c r="X255" s="132">
        <f t="shared" si="30"/>
        <v>10</v>
      </c>
      <c r="Y255" s="133"/>
      <c r="Z255" s="133"/>
      <c r="AA255" s="133"/>
    </row>
    <row r="256" spans="1:27" hidden="1" x14ac:dyDescent="0.25">
      <c r="A256" s="127">
        <v>267</v>
      </c>
      <c r="B256" s="128" t="str">
        <f t="shared" si="31"/>
        <v>NAMS</v>
      </c>
      <c r="C256" s="128" t="str">
        <f>+VLOOKUP(U256,Ходим!A:B,2,0)</f>
        <v>30302965960014</v>
      </c>
      <c r="D256" s="128" t="str">
        <f>IFERROR(VLOOKUP($B:$B,[20]свод!$A:$AB,3,0)," ")</f>
        <v>Наманган шаҳар</v>
      </c>
      <c r="E256" s="7" t="s">
        <v>1400</v>
      </c>
      <c r="F256" s="7" t="s">
        <v>7803</v>
      </c>
      <c r="G256" s="134">
        <f t="shared" si="34"/>
        <v>1</v>
      </c>
      <c r="H256" s="134" t="str">
        <f t="shared" si="35"/>
        <v/>
      </c>
      <c r="I256" s="7" t="s">
        <v>156</v>
      </c>
      <c r="J256" s="7" t="s">
        <v>25</v>
      </c>
      <c r="K256" s="7"/>
      <c r="L256" s="7"/>
      <c r="M256" s="7"/>
      <c r="N256" s="7" t="s">
        <v>170</v>
      </c>
      <c r="O256" s="7" t="s">
        <v>162</v>
      </c>
      <c r="P256" s="7" t="s">
        <v>6440</v>
      </c>
      <c r="Q256" s="129">
        <v>46199</v>
      </c>
      <c r="R256" s="130">
        <f t="shared" si="33"/>
        <v>46211</v>
      </c>
      <c r="S256" s="131">
        <f t="shared" si="32"/>
        <v>12</v>
      </c>
      <c r="T256" s="7" t="s">
        <v>173</v>
      </c>
      <c r="U256" s="7" t="s">
        <v>304</v>
      </c>
      <c r="V256" s="7"/>
      <c r="W256" s="7"/>
      <c r="X256" s="132">
        <f t="shared" si="30"/>
        <v>10</v>
      </c>
      <c r="Y256" s="133"/>
      <c r="Z256" s="133"/>
      <c r="AA256" s="133"/>
    </row>
    <row r="257" spans="1:27" x14ac:dyDescent="0.25">
      <c r="A257" s="127">
        <v>268</v>
      </c>
      <c r="B257" s="128" t="str">
        <f t="shared" si="31"/>
        <v>KSST</v>
      </c>
      <c r="C257" s="128" t="str">
        <f>+VLOOKUP(U257,Ходим!A:B,2,0)</f>
        <v>50709025980034</v>
      </c>
      <c r="D257" s="128" t="str">
        <f>IFERROR(VLOOKUP($B:$B,[20]свод!$A:$AB,3,0)," ")</f>
        <v>Косонсой тумани</v>
      </c>
      <c r="E257" s="7" t="s">
        <v>1401</v>
      </c>
      <c r="F257" s="7" t="s">
        <v>7804</v>
      </c>
      <c r="G257" s="134">
        <f t="shared" si="34"/>
        <v>1</v>
      </c>
      <c r="H257" s="134" t="str">
        <f t="shared" si="35"/>
        <v/>
      </c>
      <c r="I257" s="7" t="s">
        <v>158</v>
      </c>
      <c r="J257" s="7" t="s">
        <v>1</v>
      </c>
      <c r="K257" s="7"/>
      <c r="L257" s="7" t="s">
        <v>167</v>
      </c>
      <c r="M257" s="7" t="s">
        <v>4398</v>
      </c>
      <c r="N257" s="7" t="s">
        <v>170</v>
      </c>
      <c r="O257" s="7" t="s">
        <v>162</v>
      </c>
      <c r="P257" s="7" t="s">
        <v>6441</v>
      </c>
      <c r="Q257" s="129">
        <v>46199</v>
      </c>
      <c r="R257" s="130">
        <f t="shared" si="33"/>
        <v>46199</v>
      </c>
      <c r="S257" s="131">
        <f t="shared" si="32"/>
        <v>0</v>
      </c>
      <c r="T257" s="7" t="s">
        <v>180</v>
      </c>
      <c r="U257" s="7" t="s">
        <v>286</v>
      </c>
      <c r="V257" s="7"/>
      <c r="W257" s="7">
        <v>274.54000000000002</v>
      </c>
      <c r="X257" s="132">
        <f t="shared" si="30"/>
        <v>10</v>
      </c>
      <c r="Y257" s="133"/>
      <c r="Z257" s="133"/>
      <c r="AA257" s="133"/>
    </row>
    <row r="258" spans="1:27" hidden="1" x14ac:dyDescent="0.25">
      <c r="A258" s="127">
        <v>269</v>
      </c>
      <c r="B258" s="128" t="str">
        <f t="shared" si="31"/>
        <v>NAMS</v>
      </c>
      <c r="C258" s="128" t="str">
        <f>+VLOOKUP(U258,Ходим!A:B,2,0)</f>
        <v>31601642170089</v>
      </c>
      <c r="D258" s="128" t="str">
        <f>IFERROR(VLOOKUP($B:$B,[20]свод!$A:$AB,3,0)," ")</f>
        <v>Наманган шаҳар</v>
      </c>
      <c r="E258" s="7" t="s">
        <v>1402</v>
      </c>
      <c r="F258" s="7" t="s">
        <v>7805</v>
      </c>
      <c r="G258" s="134">
        <f t="shared" si="34"/>
        <v>1</v>
      </c>
      <c r="H258" s="134" t="str">
        <f t="shared" si="35"/>
        <v/>
      </c>
      <c r="I258" s="7" t="s">
        <v>158</v>
      </c>
      <c r="J258" s="7" t="s">
        <v>2</v>
      </c>
      <c r="K258" s="7"/>
      <c r="L258" s="7" t="s">
        <v>167</v>
      </c>
      <c r="M258" s="7" t="s">
        <v>4399</v>
      </c>
      <c r="N258" s="7" t="s">
        <v>170</v>
      </c>
      <c r="O258" s="7" t="s">
        <v>162</v>
      </c>
      <c r="P258" s="7" t="s">
        <v>6286</v>
      </c>
      <c r="Q258" s="129">
        <v>46199</v>
      </c>
      <c r="R258" s="130">
        <f t="shared" si="33"/>
        <v>46210</v>
      </c>
      <c r="S258" s="131">
        <f t="shared" si="32"/>
        <v>11</v>
      </c>
      <c r="T258" s="7" t="s">
        <v>173</v>
      </c>
      <c r="U258" s="7" t="s">
        <v>201</v>
      </c>
      <c r="V258" s="7"/>
      <c r="W258" s="7">
        <v>504.69</v>
      </c>
      <c r="X258" s="132">
        <f t="shared" si="30"/>
        <v>10</v>
      </c>
      <c r="Y258" s="133"/>
      <c r="Z258" s="133"/>
      <c r="AA258" s="133"/>
    </row>
    <row r="259" spans="1:27" hidden="1" x14ac:dyDescent="0.25">
      <c r="A259" s="127">
        <v>270</v>
      </c>
      <c r="B259" s="128" t="str">
        <f t="shared" si="31"/>
        <v>UYCT</v>
      </c>
      <c r="C259" s="128" t="str">
        <f>+VLOOKUP(U259,Ходим!A:B,2,0)</f>
        <v>52811025930077</v>
      </c>
      <c r="D259" s="128" t="str">
        <f>IFERROR(VLOOKUP($B:$B,[20]свод!$A:$AB,3,0)," ")</f>
        <v>Уйчи тумани</v>
      </c>
      <c r="E259" s="7" t="s">
        <v>1403</v>
      </c>
      <c r="F259" s="7" t="s">
        <v>7806</v>
      </c>
      <c r="G259" s="134" t="str">
        <f t="shared" si="34"/>
        <v/>
      </c>
      <c r="H259" s="134">
        <f t="shared" si="35"/>
        <v>1</v>
      </c>
      <c r="I259" s="7" t="s">
        <v>157</v>
      </c>
      <c r="J259" s="7" t="s">
        <v>2</v>
      </c>
      <c r="K259" s="7"/>
      <c r="L259" s="7"/>
      <c r="M259" s="7"/>
      <c r="N259" s="7" t="s">
        <v>170</v>
      </c>
      <c r="O259" s="7" t="s">
        <v>161</v>
      </c>
      <c r="P259" s="7" t="s">
        <v>6442</v>
      </c>
      <c r="Q259" s="129">
        <v>46199</v>
      </c>
      <c r="R259" s="130">
        <f t="shared" si="33"/>
        <v>46205</v>
      </c>
      <c r="S259" s="131">
        <f t="shared" si="32"/>
        <v>6</v>
      </c>
      <c r="T259" s="7" t="s">
        <v>947</v>
      </c>
      <c r="U259" s="7" t="s">
        <v>356</v>
      </c>
      <c r="V259" s="7"/>
      <c r="W259" s="7"/>
      <c r="X259" s="132">
        <f t="shared" si="30"/>
        <v>10</v>
      </c>
      <c r="Y259" s="133"/>
      <c r="Z259" s="133"/>
      <c r="AA259" s="133"/>
    </row>
    <row r="260" spans="1:27" hidden="1" x14ac:dyDescent="0.25">
      <c r="A260" s="127">
        <v>271</v>
      </c>
      <c r="B260" s="128" t="str">
        <f t="shared" si="31"/>
        <v>YGQT</v>
      </c>
      <c r="C260" s="128" t="str">
        <f>+VLOOKUP(U260,Ходим!A:B,2,0)</f>
        <v>52010015950028</v>
      </c>
      <c r="D260" s="128" t="str">
        <f>IFERROR(VLOOKUP($B:$B,[20]свод!$A:$AB,3,0)," ")</f>
        <v>Янгиқўрғон тумани</v>
      </c>
      <c r="E260" s="7" t="s">
        <v>1404</v>
      </c>
      <c r="F260" s="7" t="s">
        <v>7807</v>
      </c>
      <c r="G260" s="134" t="str">
        <f t="shared" si="34"/>
        <v/>
      </c>
      <c r="H260" s="134">
        <f t="shared" si="35"/>
        <v>1</v>
      </c>
      <c r="I260" s="7" t="s">
        <v>157</v>
      </c>
      <c r="J260" s="7" t="s">
        <v>2</v>
      </c>
      <c r="K260" s="7"/>
      <c r="L260" s="7"/>
      <c r="M260" s="7"/>
      <c r="N260" s="7" t="s">
        <v>410</v>
      </c>
      <c r="O260" s="7" t="s">
        <v>161</v>
      </c>
      <c r="P260" s="7" t="s">
        <v>6442</v>
      </c>
      <c r="Q260" s="129">
        <v>46199</v>
      </c>
      <c r="R260" s="130">
        <f t="shared" si="33"/>
        <v>46205</v>
      </c>
      <c r="S260" s="131">
        <f t="shared" si="32"/>
        <v>6</v>
      </c>
      <c r="T260" s="7" t="s">
        <v>255</v>
      </c>
      <c r="U260" s="7" t="s">
        <v>391</v>
      </c>
      <c r="V260" s="7"/>
      <c r="W260" s="7"/>
      <c r="X260" s="132">
        <f t="shared" si="30"/>
        <v>10</v>
      </c>
      <c r="Y260" s="133"/>
      <c r="Z260" s="133"/>
      <c r="AA260" s="133"/>
    </row>
    <row r="261" spans="1:27" hidden="1" x14ac:dyDescent="0.25">
      <c r="A261" s="127">
        <v>272</v>
      </c>
      <c r="B261" s="128" t="str">
        <f t="shared" si="31"/>
        <v>NAMS</v>
      </c>
      <c r="C261" s="128" t="str">
        <f>+VLOOKUP(U261,Ходим!A:B,2,0)</f>
        <v>50308015960081</v>
      </c>
      <c r="D261" s="128" t="str">
        <f>IFERROR(VLOOKUP($B:$B,[20]свод!$A:$AB,3,0)," ")</f>
        <v>Наманган шаҳар</v>
      </c>
      <c r="E261" s="7" t="s">
        <v>1405</v>
      </c>
      <c r="F261" s="7" t="s">
        <v>7808</v>
      </c>
      <c r="G261" s="134">
        <f t="shared" si="34"/>
        <v>1</v>
      </c>
      <c r="H261" s="134" t="str">
        <f t="shared" si="35"/>
        <v/>
      </c>
      <c r="I261" s="7" t="s">
        <v>156</v>
      </c>
      <c r="J261" s="7" t="s">
        <v>25</v>
      </c>
      <c r="K261" s="7"/>
      <c r="L261" s="7"/>
      <c r="M261" s="7"/>
      <c r="N261" s="7" t="s">
        <v>170</v>
      </c>
      <c r="O261" s="7" t="s">
        <v>162</v>
      </c>
      <c r="P261" s="7" t="s">
        <v>6442</v>
      </c>
      <c r="Q261" s="129">
        <v>46199</v>
      </c>
      <c r="R261" s="130">
        <f t="shared" si="33"/>
        <v>46205</v>
      </c>
      <c r="S261" s="131">
        <f t="shared" si="32"/>
        <v>6</v>
      </c>
      <c r="T261" s="7" t="s">
        <v>173</v>
      </c>
      <c r="U261" s="7" t="s">
        <v>375</v>
      </c>
      <c r="V261" s="7"/>
      <c r="W261" s="7"/>
      <c r="X261" s="132">
        <f t="shared" si="30"/>
        <v>10</v>
      </c>
      <c r="Y261" s="133"/>
      <c r="Z261" s="133"/>
      <c r="AA261" s="133"/>
    </row>
    <row r="262" spans="1:27" x14ac:dyDescent="0.25">
      <c r="A262" s="127">
        <v>273</v>
      </c>
      <c r="B262" s="128" t="str">
        <f t="shared" si="31"/>
        <v>KSST</v>
      </c>
      <c r="C262" s="128" t="str">
        <f>+VLOOKUP(U262,Ходим!A:B,2,0)</f>
        <v>31611995980026</v>
      </c>
      <c r="D262" s="128" t="str">
        <f>IFERROR(VLOOKUP($B:$B,[20]свод!$A:$AB,3,0)," ")</f>
        <v>Косонсой тумани</v>
      </c>
      <c r="E262" s="7" t="s">
        <v>1406</v>
      </c>
      <c r="F262" s="7" t="s">
        <v>7809</v>
      </c>
      <c r="G262" s="134">
        <f t="shared" si="34"/>
        <v>1</v>
      </c>
      <c r="H262" s="134" t="str">
        <f t="shared" si="35"/>
        <v/>
      </c>
      <c r="I262" s="7" t="s">
        <v>158</v>
      </c>
      <c r="J262" s="7" t="s">
        <v>1</v>
      </c>
      <c r="K262" s="7"/>
      <c r="L262" s="7" t="s">
        <v>167</v>
      </c>
      <c r="M262" s="7" t="s">
        <v>4400</v>
      </c>
      <c r="N262" s="7" t="s">
        <v>170</v>
      </c>
      <c r="O262" s="7" t="s">
        <v>162</v>
      </c>
      <c r="P262" s="7" t="s">
        <v>6441</v>
      </c>
      <c r="Q262" s="129">
        <v>46199</v>
      </c>
      <c r="R262" s="130">
        <f t="shared" si="33"/>
        <v>46199</v>
      </c>
      <c r="S262" s="131">
        <f t="shared" si="32"/>
        <v>0</v>
      </c>
      <c r="T262" s="7" t="s">
        <v>180</v>
      </c>
      <c r="U262" s="7" t="s">
        <v>181</v>
      </c>
      <c r="V262" s="7"/>
      <c r="W262" s="7">
        <v>219.79</v>
      </c>
      <c r="X262" s="132">
        <f t="shared" si="30"/>
        <v>10</v>
      </c>
      <c r="Y262" s="133"/>
      <c r="Z262" s="133"/>
      <c r="AA262" s="133"/>
    </row>
    <row r="263" spans="1:27" hidden="1" x14ac:dyDescent="0.25">
      <c r="A263" s="127">
        <v>274</v>
      </c>
      <c r="B263" s="128" t="str">
        <f t="shared" si="31"/>
        <v>YGQT</v>
      </c>
      <c r="C263" s="128" t="str">
        <f>+VLOOKUP(U263,Ходим!A:B,2,0)</f>
        <v>30809995950021</v>
      </c>
      <c r="D263" s="128" t="str">
        <f>IFERROR(VLOOKUP($B:$B,[20]свод!$A:$AB,3,0)," ")</f>
        <v>Янгиқўрғон тумани</v>
      </c>
      <c r="E263" s="7" t="s">
        <v>1407</v>
      </c>
      <c r="F263" s="7" t="s">
        <v>7810</v>
      </c>
      <c r="G263" s="134">
        <f t="shared" si="34"/>
        <v>1</v>
      </c>
      <c r="H263" s="134" t="str">
        <f t="shared" si="35"/>
        <v/>
      </c>
      <c r="I263" s="7" t="s">
        <v>156</v>
      </c>
      <c r="J263" s="7" t="s">
        <v>25</v>
      </c>
      <c r="K263" s="7"/>
      <c r="L263" s="7"/>
      <c r="M263" s="7"/>
      <c r="N263" s="7" t="s">
        <v>170</v>
      </c>
      <c r="O263" s="7" t="s">
        <v>162</v>
      </c>
      <c r="P263" s="7" t="s">
        <v>6443</v>
      </c>
      <c r="Q263" s="129">
        <v>46199</v>
      </c>
      <c r="R263" s="130">
        <f t="shared" si="33"/>
        <v>46211</v>
      </c>
      <c r="S263" s="131">
        <f t="shared" si="32"/>
        <v>12</v>
      </c>
      <c r="T263" s="7" t="s">
        <v>182</v>
      </c>
      <c r="U263" s="7" t="s">
        <v>223</v>
      </c>
      <c r="V263" s="7"/>
      <c r="W263" s="7"/>
      <c r="X263" s="132">
        <f t="shared" si="30"/>
        <v>10</v>
      </c>
      <c r="Y263" s="133"/>
      <c r="Z263" s="133"/>
      <c r="AA263" s="133"/>
    </row>
    <row r="264" spans="1:27" hidden="1" x14ac:dyDescent="0.25">
      <c r="A264" s="127">
        <v>275</v>
      </c>
      <c r="B264" s="128" t="str">
        <f t="shared" si="31"/>
        <v>NAMS</v>
      </c>
      <c r="C264" s="128" t="str">
        <f>+VLOOKUP(U264,Ходим!A:B,2,0)</f>
        <v>52710005960025</v>
      </c>
      <c r="D264" s="128" t="str">
        <f>IFERROR(VLOOKUP($B:$B,[20]свод!$A:$AB,3,0)," ")</f>
        <v>Наманган шаҳар</v>
      </c>
      <c r="E264" s="7" t="s">
        <v>1408</v>
      </c>
      <c r="F264" s="7" t="s">
        <v>7811</v>
      </c>
      <c r="G264" s="134">
        <f t="shared" si="34"/>
        <v>1</v>
      </c>
      <c r="H264" s="134" t="str">
        <f t="shared" si="35"/>
        <v/>
      </c>
      <c r="I264" s="7" t="s">
        <v>156</v>
      </c>
      <c r="J264" s="7" t="s">
        <v>25</v>
      </c>
      <c r="K264" s="7"/>
      <c r="L264" s="7"/>
      <c r="M264" s="7"/>
      <c r="N264" s="7" t="s">
        <v>170</v>
      </c>
      <c r="O264" s="7" t="s">
        <v>162</v>
      </c>
      <c r="P264" s="7" t="s">
        <v>6443</v>
      </c>
      <c r="Q264" s="129">
        <v>46199</v>
      </c>
      <c r="R264" s="130">
        <f t="shared" si="33"/>
        <v>46211</v>
      </c>
      <c r="S264" s="131">
        <f t="shared" si="32"/>
        <v>12</v>
      </c>
      <c r="T264" s="7" t="s">
        <v>173</v>
      </c>
      <c r="U264" s="7" t="s">
        <v>274</v>
      </c>
      <c r="V264" s="7"/>
      <c r="W264" s="7"/>
      <c r="X264" s="132">
        <f t="shared" si="30"/>
        <v>10</v>
      </c>
      <c r="Y264" s="133"/>
      <c r="Z264" s="133"/>
      <c r="AA264" s="133"/>
    </row>
    <row r="265" spans="1:27" hidden="1" x14ac:dyDescent="0.25">
      <c r="A265" s="127">
        <v>276</v>
      </c>
      <c r="B265" s="128" t="str">
        <f t="shared" si="31"/>
        <v>NAMT</v>
      </c>
      <c r="C265" s="128" t="str">
        <f>+VLOOKUP(U265,Ходим!A:B,2,0)</f>
        <v>31303965880044</v>
      </c>
      <c r="D265" s="128" t="str">
        <f>IFERROR(VLOOKUP($B:$B,[20]свод!$A:$AB,3,0)," ")</f>
        <v>Наманган тумани</v>
      </c>
      <c r="E265" s="7" t="s">
        <v>1409</v>
      </c>
      <c r="F265" s="7" t="s">
        <v>7812</v>
      </c>
      <c r="G265" s="134" t="str">
        <f t="shared" si="34"/>
        <v/>
      </c>
      <c r="H265" s="134">
        <f t="shared" si="35"/>
        <v>1</v>
      </c>
      <c r="I265" s="7" t="s">
        <v>157</v>
      </c>
      <c r="J265" s="7" t="s">
        <v>2</v>
      </c>
      <c r="K265" s="7"/>
      <c r="L265" s="7" t="s">
        <v>166</v>
      </c>
      <c r="M265" s="7" t="s">
        <v>1050</v>
      </c>
      <c r="N265" s="7" t="s">
        <v>170</v>
      </c>
      <c r="O265" s="7" t="s">
        <v>161</v>
      </c>
      <c r="P265" s="7" t="s">
        <v>6444</v>
      </c>
      <c r="Q265" s="129">
        <v>46199</v>
      </c>
      <c r="R265" s="130">
        <f t="shared" si="33"/>
        <v>46204</v>
      </c>
      <c r="S265" s="131">
        <f t="shared" si="32"/>
        <v>5</v>
      </c>
      <c r="T265" s="7" t="s">
        <v>193</v>
      </c>
      <c r="U265" s="7" t="s">
        <v>217</v>
      </c>
      <c r="V265" s="7"/>
      <c r="W265" s="7">
        <v>40.47</v>
      </c>
      <c r="X265" s="132">
        <f t="shared" si="30"/>
        <v>10</v>
      </c>
      <c r="Y265" s="133"/>
      <c r="Z265" s="133"/>
      <c r="AA265" s="133"/>
    </row>
    <row r="266" spans="1:27" hidden="1" x14ac:dyDescent="0.25">
      <c r="A266" s="127">
        <v>277</v>
      </c>
      <c r="B266" s="128" t="str">
        <f t="shared" si="31"/>
        <v>MINT</v>
      </c>
      <c r="C266" s="128" t="str">
        <f>+VLOOKUP(U266,Ходим!A:B,2,0)</f>
        <v>51604025990014</v>
      </c>
      <c r="D266" s="128" t="str">
        <f>IFERROR(VLOOKUP($B:$B,[20]свод!$A:$AB,3,0)," ")</f>
        <v>Мингбулоқ тумани</v>
      </c>
      <c r="E266" s="7" t="s">
        <v>1410</v>
      </c>
      <c r="F266" s="7" t="s">
        <v>7813</v>
      </c>
      <c r="G266" s="134" t="str">
        <f t="shared" si="34"/>
        <v/>
      </c>
      <c r="H266" s="134">
        <f t="shared" si="35"/>
        <v>1</v>
      </c>
      <c r="I266" s="7" t="s">
        <v>157</v>
      </c>
      <c r="J266" s="7" t="s">
        <v>2</v>
      </c>
      <c r="K266" s="7"/>
      <c r="L266" s="7" t="s">
        <v>166</v>
      </c>
      <c r="M266" s="7" t="s">
        <v>4401</v>
      </c>
      <c r="N266" s="7" t="s">
        <v>170</v>
      </c>
      <c r="O266" s="7" t="s">
        <v>161</v>
      </c>
      <c r="P266" s="7" t="s">
        <v>6445</v>
      </c>
      <c r="Q266" s="129">
        <v>46199</v>
      </c>
      <c r="R266" s="130">
        <f t="shared" si="33"/>
        <v>46205</v>
      </c>
      <c r="S266" s="131">
        <f t="shared" si="32"/>
        <v>6</v>
      </c>
      <c r="T266" s="7" t="s">
        <v>220</v>
      </c>
      <c r="U266" s="7" t="s">
        <v>252</v>
      </c>
      <c r="V266" s="7"/>
      <c r="W266" s="7">
        <v>0</v>
      </c>
      <c r="X266" s="132">
        <f t="shared" si="30"/>
        <v>10</v>
      </c>
      <c r="Y266" s="133"/>
      <c r="Z266" s="133"/>
      <c r="AA266" s="133"/>
    </row>
    <row r="267" spans="1:27" hidden="1" x14ac:dyDescent="0.25">
      <c r="A267" s="127">
        <v>278</v>
      </c>
      <c r="B267" s="128" t="str">
        <f t="shared" si="31"/>
        <v>TORT</v>
      </c>
      <c r="C267" s="128" t="str">
        <f>+VLOOKUP(U267,Ходим!A:B,2,0)</f>
        <v>30702995920011</v>
      </c>
      <c r="D267" s="128" t="str">
        <f>IFERROR(VLOOKUP($B:$B,[20]свод!$A:$AB,3,0)," ")</f>
        <v>Тўрақўрғон тумани</v>
      </c>
      <c r="E267" s="7" t="s">
        <v>1411</v>
      </c>
      <c r="F267" s="7" t="s">
        <v>7814</v>
      </c>
      <c r="G267" s="134">
        <f t="shared" si="34"/>
        <v>1</v>
      </c>
      <c r="H267" s="134" t="str">
        <f t="shared" si="35"/>
        <v/>
      </c>
      <c r="I267" s="7" t="s">
        <v>156</v>
      </c>
      <c r="J267" s="7" t="s">
        <v>25</v>
      </c>
      <c r="K267" s="7"/>
      <c r="L267" s="7" t="s">
        <v>167</v>
      </c>
      <c r="M267" s="7" t="s">
        <v>4402</v>
      </c>
      <c r="N267" s="7" t="s">
        <v>170</v>
      </c>
      <c r="O267" s="7" t="s">
        <v>162</v>
      </c>
      <c r="P267" s="7" t="s">
        <v>6446</v>
      </c>
      <c r="Q267" s="129">
        <v>46199</v>
      </c>
      <c r="R267" s="130">
        <f t="shared" si="33"/>
        <v>46205</v>
      </c>
      <c r="S267" s="131">
        <f t="shared" si="32"/>
        <v>6</v>
      </c>
      <c r="T267" s="7" t="s">
        <v>203</v>
      </c>
      <c r="U267" s="7" t="s">
        <v>341</v>
      </c>
      <c r="V267" s="7"/>
      <c r="W267" s="7">
        <v>102.29</v>
      </c>
      <c r="X267" s="132">
        <f t="shared" si="30"/>
        <v>10</v>
      </c>
      <c r="Y267" s="133"/>
      <c r="Z267" s="133"/>
      <c r="AA267" s="133"/>
    </row>
    <row r="268" spans="1:27" hidden="1" x14ac:dyDescent="0.25">
      <c r="A268" s="127">
        <v>279</v>
      </c>
      <c r="B268" s="128" t="str">
        <f t="shared" si="31"/>
        <v>KSST</v>
      </c>
      <c r="C268" s="128" t="str">
        <f>+VLOOKUP(U268,Ходим!A:B,2,0)</f>
        <v>30411985980017</v>
      </c>
      <c r="D268" s="128" t="str">
        <f>IFERROR(VLOOKUP($B:$B,[20]свод!$A:$AB,3,0)," ")</f>
        <v>Косонсой тумани</v>
      </c>
      <c r="E268" s="7" t="s">
        <v>1412</v>
      </c>
      <c r="F268" s="7" t="s">
        <v>7815</v>
      </c>
      <c r="G268" s="134">
        <f t="shared" si="34"/>
        <v>1</v>
      </c>
      <c r="H268" s="134" t="str">
        <f t="shared" si="35"/>
        <v/>
      </c>
      <c r="I268" s="7" t="s">
        <v>158</v>
      </c>
      <c r="J268" s="7" t="s">
        <v>2</v>
      </c>
      <c r="K268" s="7"/>
      <c r="L268" s="7" t="s">
        <v>167</v>
      </c>
      <c r="M268" s="7" t="s">
        <v>4403</v>
      </c>
      <c r="N268" s="7" t="s">
        <v>410</v>
      </c>
      <c r="O268" s="7" t="s">
        <v>162</v>
      </c>
      <c r="P268" s="7" t="s">
        <v>6447</v>
      </c>
      <c r="Q268" s="129">
        <v>46199</v>
      </c>
      <c r="R268" s="130">
        <f t="shared" si="33"/>
        <v>46210</v>
      </c>
      <c r="S268" s="131">
        <f t="shared" si="32"/>
        <v>11</v>
      </c>
      <c r="T268" s="7" t="s">
        <v>180</v>
      </c>
      <c r="U268" s="7" t="s">
        <v>360</v>
      </c>
      <c r="V268" s="7"/>
      <c r="W268" s="7">
        <v>168.18</v>
      </c>
      <c r="X268" s="132">
        <f t="shared" si="30"/>
        <v>10</v>
      </c>
      <c r="Y268" s="133"/>
      <c r="Z268" s="133"/>
      <c r="AA268" s="133"/>
    </row>
    <row r="269" spans="1:27" hidden="1" x14ac:dyDescent="0.25">
      <c r="A269" s="127">
        <v>280</v>
      </c>
      <c r="B269" s="128" t="str">
        <f t="shared" si="31"/>
        <v>KSST</v>
      </c>
      <c r="C269" s="128" t="str">
        <f>+VLOOKUP(U269,Ходим!A:B,2,0)</f>
        <v>31407932190092</v>
      </c>
      <c r="D269" s="128" t="str">
        <f>IFERROR(VLOOKUP($B:$B,[20]свод!$A:$AB,3,0)," ")</f>
        <v>Косонсой тумани</v>
      </c>
      <c r="E269" s="7" t="s">
        <v>1413</v>
      </c>
      <c r="F269" s="7" t="s">
        <v>7816</v>
      </c>
      <c r="G269" s="134">
        <f t="shared" si="34"/>
        <v>1</v>
      </c>
      <c r="H269" s="134" t="str">
        <f t="shared" si="35"/>
        <v/>
      </c>
      <c r="I269" s="7" t="s">
        <v>158</v>
      </c>
      <c r="J269" s="7" t="s">
        <v>2</v>
      </c>
      <c r="K269" s="7"/>
      <c r="L269" s="7" t="s">
        <v>167</v>
      </c>
      <c r="M269" s="7" t="s">
        <v>4404</v>
      </c>
      <c r="N269" s="7" t="s">
        <v>410</v>
      </c>
      <c r="O269" s="7" t="s">
        <v>162</v>
      </c>
      <c r="P269" s="7" t="s">
        <v>6298</v>
      </c>
      <c r="Q269" s="129">
        <v>46199</v>
      </c>
      <c r="R269" s="130">
        <f t="shared" si="33"/>
        <v>46204</v>
      </c>
      <c r="S269" s="131">
        <f t="shared" si="32"/>
        <v>5</v>
      </c>
      <c r="T269" s="7" t="s">
        <v>180</v>
      </c>
      <c r="U269" s="7" t="s">
        <v>188</v>
      </c>
      <c r="V269" s="7"/>
      <c r="W269" s="7">
        <v>82.96</v>
      </c>
      <c r="X269" s="132">
        <f t="shared" si="30"/>
        <v>10</v>
      </c>
      <c r="Y269" s="133"/>
      <c r="Z269" s="133"/>
      <c r="AA269" s="133"/>
    </row>
    <row r="270" spans="1:27" hidden="1" x14ac:dyDescent="0.25">
      <c r="A270" s="127">
        <v>281</v>
      </c>
      <c r="B270" s="128" t="str">
        <f t="shared" si="31"/>
        <v>KSST</v>
      </c>
      <c r="C270" s="128" t="str">
        <f>+VLOOKUP(U270,Ходим!A:B,2,0)</f>
        <v>52812015980061</v>
      </c>
      <c r="D270" s="128" t="str">
        <f>IFERROR(VLOOKUP($B:$B,[20]свод!$A:$AB,3,0)," ")</f>
        <v>Косонсой тумани</v>
      </c>
      <c r="E270" s="7" t="s">
        <v>1414</v>
      </c>
      <c r="F270" s="7" t="s">
        <v>7817</v>
      </c>
      <c r="G270" s="134">
        <f t="shared" si="34"/>
        <v>1</v>
      </c>
      <c r="H270" s="134" t="str">
        <f t="shared" si="35"/>
        <v/>
      </c>
      <c r="I270" s="7" t="s">
        <v>158</v>
      </c>
      <c r="J270" s="7" t="s">
        <v>2</v>
      </c>
      <c r="K270" s="7"/>
      <c r="L270" s="7" t="s">
        <v>167</v>
      </c>
      <c r="M270" s="7" t="s">
        <v>4405</v>
      </c>
      <c r="N270" s="7" t="s">
        <v>410</v>
      </c>
      <c r="O270" s="7" t="s">
        <v>162</v>
      </c>
      <c r="P270" s="7" t="s">
        <v>6448</v>
      </c>
      <c r="Q270" s="129">
        <v>46199</v>
      </c>
      <c r="R270" s="130">
        <f t="shared" si="33"/>
        <v>46210</v>
      </c>
      <c r="S270" s="131">
        <f t="shared" si="32"/>
        <v>11</v>
      </c>
      <c r="T270" s="7" t="s">
        <v>180</v>
      </c>
      <c r="U270" s="7" t="s">
        <v>307</v>
      </c>
      <c r="V270" s="7"/>
      <c r="W270" s="7">
        <v>344.2</v>
      </c>
      <c r="X270" s="132">
        <f t="shared" si="30"/>
        <v>10</v>
      </c>
      <c r="Y270" s="133"/>
      <c r="Z270" s="133"/>
      <c r="AA270" s="133"/>
    </row>
    <row r="271" spans="1:27" hidden="1" x14ac:dyDescent="0.25">
      <c r="A271" s="127">
        <v>282</v>
      </c>
      <c r="B271" s="128" t="str">
        <f t="shared" si="31"/>
        <v>KSST</v>
      </c>
      <c r="C271" s="128" t="str">
        <f>+VLOOKUP(U271,Ходим!A:B,2,0)</f>
        <v>31407932190092</v>
      </c>
      <c r="D271" s="128" t="str">
        <f>IFERROR(VLOOKUP($B:$B,[20]свод!$A:$AB,3,0)," ")</f>
        <v>Косонсой тумани</v>
      </c>
      <c r="E271" s="7" t="s">
        <v>1415</v>
      </c>
      <c r="F271" s="7" t="s">
        <v>7818</v>
      </c>
      <c r="G271" s="134">
        <f t="shared" si="34"/>
        <v>1</v>
      </c>
      <c r="H271" s="134" t="str">
        <f t="shared" si="35"/>
        <v/>
      </c>
      <c r="I271" s="7" t="s">
        <v>158</v>
      </c>
      <c r="J271" s="7" t="s">
        <v>2</v>
      </c>
      <c r="K271" s="7"/>
      <c r="L271" s="7" t="s">
        <v>167</v>
      </c>
      <c r="M271" s="7" t="s">
        <v>4406</v>
      </c>
      <c r="N271" s="7" t="s">
        <v>170</v>
      </c>
      <c r="O271" s="7" t="s">
        <v>162</v>
      </c>
      <c r="P271" s="7" t="s">
        <v>6320</v>
      </c>
      <c r="Q271" s="129">
        <v>46199</v>
      </c>
      <c r="R271" s="130">
        <f t="shared" si="33"/>
        <v>46204</v>
      </c>
      <c r="S271" s="131">
        <f t="shared" si="32"/>
        <v>5</v>
      </c>
      <c r="T271" s="7" t="s">
        <v>180</v>
      </c>
      <c r="U271" s="7" t="s">
        <v>188</v>
      </c>
      <c r="V271" s="7"/>
      <c r="W271" s="7">
        <v>211.7</v>
      </c>
      <c r="X271" s="132">
        <f t="shared" si="30"/>
        <v>10</v>
      </c>
      <c r="Y271" s="133"/>
      <c r="Z271" s="133"/>
      <c r="AA271" s="133"/>
    </row>
    <row r="272" spans="1:27" hidden="1" x14ac:dyDescent="0.25">
      <c r="A272" s="127">
        <v>283</v>
      </c>
      <c r="B272" s="128" t="str">
        <f t="shared" si="31"/>
        <v>NAMS</v>
      </c>
      <c r="C272" s="128" t="str">
        <f>+VLOOKUP(U272,Ходим!A:B,2,0)</f>
        <v>51705025890024</v>
      </c>
      <c r="D272" s="128" t="str">
        <f>IFERROR(VLOOKUP($B:$B,[20]свод!$A:$AB,3,0)," ")</f>
        <v>Наманган шаҳар</v>
      </c>
      <c r="E272" s="7" t="s">
        <v>1416</v>
      </c>
      <c r="F272" s="7" t="s">
        <v>7819</v>
      </c>
      <c r="G272" s="134">
        <f t="shared" si="34"/>
        <v>1</v>
      </c>
      <c r="H272" s="134" t="str">
        <f t="shared" si="35"/>
        <v/>
      </c>
      <c r="I272" s="7" t="s">
        <v>158</v>
      </c>
      <c r="J272" s="7" t="s">
        <v>2</v>
      </c>
      <c r="K272" s="7"/>
      <c r="L272" s="7" t="s">
        <v>167</v>
      </c>
      <c r="M272" s="7" t="s">
        <v>4407</v>
      </c>
      <c r="N272" s="7" t="s">
        <v>170</v>
      </c>
      <c r="O272" s="7" t="s">
        <v>162</v>
      </c>
      <c r="P272" s="7" t="s">
        <v>6310</v>
      </c>
      <c r="Q272" s="129">
        <v>46199</v>
      </c>
      <c r="R272" s="130">
        <f t="shared" si="33"/>
        <v>46204</v>
      </c>
      <c r="S272" s="131">
        <f t="shared" si="32"/>
        <v>5</v>
      </c>
      <c r="T272" s="7" t="s">
        <v>173</v>
      </c>
      <c r="U272" s="7" t="s">
        <v>189</v>
      </c>
      <c r="V272" s="7"/>
      <c r="W272" s="7">
        <v>45.73</v>
      </c>
      <c r="X272" s="132">
        <f t="shared" si="30"/>
        <v>10</v>
      </c>
      <c r="Y272" s="133"/>
      <c r="Z272" s="133"/>
      <c r="AA272" s="133"/>
    </row>
    <row r="273" spans="1:27" hidden="1" x14ac:dyDescent="0.25">
      <c r="A273" s="127">
        <v>284</v>
      </c>
      <c r="B273" s="128" t="str">
        <f t="shared" si="31"/>
        <v>POPT</v>
      </c>
      <c r="C273" s="128" t="str">
        <f>+VLOOKUP(U273,Ходим!A:B,2,0)</f>
        <v>50902005910032</v>
      </c>
      <c r="D273" s="128" t="str">
        <f>IFERROR(VLOOKUP($B:$B,[20]свод!$A:$AB,3,0)," ")</f>
        <v>Поп тумани</v>
      </c>
      <c r="E273" s="7" t="s">
        <v>1417</v>
      </c>
      <c r="F273" s="7" t="s">
        <v>7820</v>
      </c>
      <c r="G273" s="134" t="str">
        <f t="shared" si="34"/>
        <v/>
      </c>
      <c r="H273" s="134">
        <f t="shared" si="35"/>
        <v>1</v>
      </c>
      <c r="I273" s="7" t="s">
        <v>157</v>
      </c>
      <c r="J273" s="7" t="s">
        <v>36</v>
      </c>
      <c r="K273" s="7"/>
      <c r="L273" s="7" t="s">
        <v>166</v>
      </c>
      <c r="M273" s="7" t="s">
        <v>4408</v>
      </c>
      <c r="N273" s="7" t="s">
        <v>170</v>
      </c>
      <c r="O273" s="7" t="s">
        <v>161</v>
      </c>
      <c r="P273" s="7" t="s">
        <v>6449</v>
      </c>
      <c r="Q273" s="129">
        <v>46199</v>
      </c>
      <c r="R273" s="130">
        <f t="shared" si="33"/>
        <v>46205</v>
      </c>
      <c r="S273" s="131">
        <f t="shared" si="32"/>
        <v>6</v>
      </c>
      <c r="T273" s="7" t="s">
        <v>214</v>
      </c>
      <c r="U273" s="7" t="s">
        <v>278</v>
      </c>
      <c r="V273" s="7"/>
      <c r="W273" s="7">
        <v>0</v>
      </c>
      <c r="X273" s="132">
        <f t="shared" si="30"/>
        <v>10</v>
      </c>
      <c r="Y273" s="133"/>
      <c r="Z273" s="133"/>
      <c r="AA273" s="133"/>
    </row>
    <row r="274" spans="1:27" hidden="1" x14ac:dyDescent="0.25">
      <c r="A274" s="127">
        <v>285</v>
      </c>
      <c r="B274" s="128" t="str">
        <f t="shared" si="31"/>
        <v>NAMS</v>
      </c>
      <c r="C274" s="128" t="str">
        <f>+VLOOKUP(U274,Ходим!A:B,2,0)</f>
        <v>31312985950011</v>
      </c>
      <c r="D274" s="128" t="str">
        <f>IFERROR(VLOOKUP($B:$B,[20]свод!$A:$AB,3,0)," ")</f>
        <v>Наманган шаҳар</v>
      </c>
      <c r="E274" s="7" t="s">
        <v>1418</v>
      </c>
      <c r="F274" s="7" t="s">
        <v>7821</v>
      </c>
      <c r="G274" s="134">
        <f t="shared" si="34"/>
        <v>1</v>
      </c>
      <c r="H274" s="134" t="str">
        <f t="shared" si="35"/>
        <v/>
      </c>
      <c r="I274" s="7" t="s">
        <v>158</v>
      </c>
      <c r="J274" s="7" t="s">
        <v>2</v>
      </c>
      <c r="K274" s="7"/>
      <c r="L274" s="7" t="s">
        <v>167</v>
      </c>
      <c r="M274" s="7" t="s">
        <v>4409</v>
      </c>
      <c r="N274" s="7" t="s">
        <v>170</v>
      </c>
      <c r="O274" s="7" t="s">
        <v>162</v>
      </c>
      <c r="P274" s="7" t="s">
        <v>6446</v>
      </c>
      <c r="Q274" s="129">
        <v>46199</v>
      </c>
      <c r="R274" s="130">
        <f t="shared" si="33"/>
        <v>46205</v>
      </c>
      <c r="S274" s="131">
        <f t="shared" si="32"/>
        <v>6</v>
      </c>
      <c r="T274" s="7" t="s">
        <v>173</v>
      </c>
      <c r="U274" s="7" t="s">
        <v>303</v>
      </c>
      <c r="V274" s="7"/>
      <c r="W274" s="7">
        <v>102.06</v>
      </c>
      <c r="X274" s="132">
        <f t="shared" si="30"/>
        <v>10</v>
      </c>
      <c r="Y274" s="133"/>
      <c r="Z274" s="133"/>
      <c r="AA274" s="133"/>
    </row>
    <row r="275" spans="1:27" hidden="1" x14ac:dyDescent="0.25">
      <c r="A275" s="127">
        <v>286</v>
      </c>
      <c r="B275" s="128" t="str">
        <f t="shared" si="31"/>
        <v>NAMT</v>
      </c>
      <c r="C275" s="128">
        <f>+VLOOKUP(U275,Ходим!A:B,2,0)</f>
        <v>32712932090068</v>
      </c>
      <c r="D275" s="128" t="str">
        <f>IFERROR(VLOOKUP($B:$B,[20]свод!$A:$AB,3,0)," ")</f>
        <v>Наманган тумани</v>
      </c>
      <c r="E275" s="7" t="s">
        <v>1419</v>
      </c>
      <c r="F275" s="7" t="s">
        <v>7822</v>
      </c>
      <c r="G275" s="134">
        <f t="shared" si="34"/>
        <v>1</v>
      </c>
      <c r="H275" s="134" t="str">
        <f t="shared" si="35"/>
        <v/>
      </c>
      <c r="I275" s="7" t="s">
        <v>158</v>
      </c>
      <c r="J275" s="7" t="s">
        <v>2</v>
      </c>
      <c r="K275" s="7"/>
      <c r="L275" s="7" t="s">
        <v>167</v>
      </c>
      <c r="M275" s="7" t="s">
        <v>4410</v>
      </c>
      <c r="N275" s="7" t="s">
        <v>170</v>
      </c>
      <c r="O275" s="7" t="s">
        <v>162</v>
      </c>
      <c r="P275" s="7" t="s">
        <v>6427</v>
      </c>
      <c r="Q275" s="129">
        <v>46199</v>
      </c>
      <c r="R275" s="130">
        <f t="shared" si="33"/>
        <v>46204</v>
      </c>
      <c r="S275" s="131">
        <f t="shared" si="32"/>
        <v>5</v>
      </c>
      <c r="T275" s="7" t="s">
        <v>197</v>
      </c>
      <c r="U275" s="7" t="s">
        <v>1016</v>
      </c>
      <c r="V275" s="7"/>
      <c r="W275" s="7">
        <v>74.81</v>
      </c>
      <c r="X275" s="132">
        <f t="shared" ref="X275:X324" si="36">IF(N275="Kadastr muhandisi",3,
IF(N275="UZKAD",5,
IF(V275="FREE",5,
IF(I275="Registratsiya (tashqi - UZKAD da bor)",1,
IF(I275="Avtoyo'l va suv xo'jaligi obyektining kadastr pasportini shakllantirish va ro'yxatga olish",7,
IF(I275="Notarius uchun ma'lumotnoma (uz)",1,
IF(I275="Qurilishi tugallangan ko'chmas mulkni foydalanishga qabul qilish",10,
IF(OR(I275="Turar joy obyektning kadastr pasportini shakllantirish va davlat ro'yxatidan o'tkazish",I275="Turar kompozit"),
IF(L275="Turar yer maydoni",7,10),
IF(OR(I275="Noturar obyektning kadastr pasportini shakllantirish va davlat ro'yxatidan o'tkazish",I275="Noturar kompozit"),
IF(O275="Ko‘p yillik daraxtlar xizmati",15,
IF(OR(L275="Noturar yer maydoni",L275="Davlat tashkilotlaridan ijaraga olingan yer uchastkasi"),7,
IF(W275&lt;100,10,IF(W275&lt;=1000,12,IF(W275&lt;=5000,17,IF(W275&lt;=15000,22,IF(W275&lt;=50000,28,37))))))),
IF(I275="Umumiy foydalanishdagi ko'chmas mulk qismini yaratish",
IF(IF(TRIM(L275)="",IF(OR(O275="Turar joy xizmati",O275="Yakka tartibdagi turar joy"),"Turar","Noturar"),IF(OR(L275="Yakka tartibdagi turar joy",L275="Turar joy xizmati"),"Turar","Noturar"))="Turar",
10,IF(W275&lt;100,10,IF(W275&lt;=1000,12,IF(W275&lt;=5000,17,IF(W275&lt;=15000,22,IF(W275&lt;=50000,28,37)))))),
0))))))))))</f>
        <v>10</v>
      </c>
      <c r="Y275" s="133"/>
      <c r="Z275" s="133"/>
      <c r="AA275" s="133"/>
    </row>
    <row r="276" spans="1:27" hidden="1" x14ac:dyDescent="0.25">
      <c r="A276" s="127">
        <v>287</v>
      </c>
      <c r="B276" s="128" t="str">
        <f t="shared" ref="B276:B325" si="37">LEFT(E276,4)</f>
        <v>MINT</v>
      </c>
      <c r="C276" s="128" t="e">
        <f>+VLOOKUP(U276,Ходим!A:B,2,0)</f>
        <v>#N/A</v>
      </c>
      <c r="D276" s="128" t="str">
        <f>IFERROR(VLOOKUP($B:$B,[20]свод!$A:$AB,3,0)," ")</f>
        <v>Мингбулоқ тумани</v>
      </c>
      <c r="E276" s="7" t="s">
        <v>1420</v>
      </c>
      <c r="F276" s="7" t="s">
        <v>7823</v>
      </c>
      <c r="G276" s="134" t="str">
        <f t="shared" si="34"/>
        <v/>
      </c>
      <c r="H276" s="134">
        <f t="shared" si="35"/>
        <v>1</v>
      </c>
      <c r="I276" s="7" t="s">
        <v>155</v>
      </c>
      <c r="J276" s="7" t="s">
        <v>11</v>
      </c>
      <c r="K276" s="7"/>
      <c r="L276" s="7" t="s">
        <v>166</v>
      </c>
      <c r="M276" s="7" t="s">
        <v>4411</v>
      </c>
      <c r="N276" s="7" t="s">
        <v>410</v>
      </c>
      <c r="O276" s="7" t="s">
        <v>161</v>
      </c>
      <c r="P276" s="7" t="s">
        <v>6450</v>
      </c>
      <c r="Q276" s="129">
        <v>46199</v>
      </c>
      <c r="R276" s="130">
        <f t="shared" si="33"/>
        <v>46213</v>
      </c>
      <c r="S276" s="131">
        <f t="shared" ref="S276:S325" si="38">R276-Q276</f>
        <v>14</v>
      </c>
      <c r="T276" s="7"/>
      <c r="U276" s="7"/>
      <c r="V276" s="7"/>
      <c r="W276" s="7">
        <v>260</v>
      </c>
      <c r="X276" s="132">
        <f t="shared" si="36"/>
        <v>12</v>
      </c>
      <c r="Y276" s="133"/>
      <c r="Z276" s="133"/>
      <c r="AA276" s="133"/>
    </row>
    <row r="277" spans="1:27" hidden="1" x14ac:dyDescent="0.25">
      <c r="A277" s="127">
        <v>288</v>
      </c>
      <c r="B277" s="128" t="str">
        <f t="shared" si="37"/>
        <v>NAMT</v>
      </c>
      <c r="C277" s="128" t="str">
        <f>+VLOOKUP(U277,Ходим!A:B,2,0)</f>
        <v>31303965880044</v>
      </c>
      <c r="D277" s="128" t="str">
        <f>IFERROR(VLOOKUP($B:$B,[20]свод!$A:$AB,3,0)," ")</f>
        <v>Наманган тумани</v>
      </c>
      <c r="E277" s="7" t="s">
        <v>1421</v>
      </c>
      <c r="F277" s="7" t="s">
        <v>7824</v>
      </c>
      <c r="G277" s="134">
        <f t="shared" si="34"/>
        <v>1</v>
      </c>
      <c r="H277" s="134" t="str">
        <f t="shared" si="35"/>
        <v/>
      </c>
      <c r="I277" s="7" t="s">
        <v>158</v>
      </c>
      <c r="J277" s="7" t="s">
        <v>2</v>
      </c>
      <c r="K277" s="7"/>
      <c r="L277" s="7" t="s">
        <v>167</v>
      </c>
      <c r="M277" s="7" t="s">
        <v>4412</v>
      </c>
      <c r="N277" s="7" t="s">
        <v>170</v>
      </c>
      <c r="O277" s="7" t="s">
        <v>162</v>
      </c>
      <c r="P277" s="7" t="s">
        <v>6451</v>
      </c>
      <c r="Q277" s="129">
        <v>46199</v>
      </c>
      <c r="R277" s="130">
        <f t="shared" si="33"/>
        <v>46204</v>
      </c>
      <c r="S277" s="131">
        <f t="shared" si="38"/>
        <v>5</v>
      </c>
      <c r="T277" s="7" t="s">
        <v>193</v>
      </c>
      <c r="U277" s="7" t="s">
        <v>217</v>
      </c>
      <c r="V277" s="7"/>
      <c r="W277" s="7">
        <v>134.32</v>
      </c>
      <c r="X277" s="132">
        <f t="shared" si="36"/>
        <v>10</v>
      </c>
      <c r="Y277" s="133"/>
      <c r="Z277" s="133"/>
      <c r="AA277" s="133"/>
    </row>
    <row r="278" spans="1:27" hidden="1" x14ac:dyDescent="0.25">
      <c r="A278" s="127">
        <v>289</v>
      </c>
      <c r="B278" s="128" t="str">
        <f t="shared" si="37"/>
        <v>YGQT</v>
      </c>
      <c r="C278" s="128" t="str">
        <f>+VLOOKUP(U278,Ходим!A:B,2,0)</f>
        <v>30101922100050</v>
      </c>
      <c r="D278" s="128" t="str">
        <f>IFERROR(VLOOKUP($B:$B,[20]свод!$A:$AB,3,0)," ")</f>
        <v>Янгиқўрғон тумани</v>
      </c>
      <c r="E278" s="7" t="s">
        <v>1422</v>
      </c>
      <c r="F278" s="7" t="s">
        <v>7825</v>
      </c>
      <c r="G278" s="134" t="str">
        <f t="shared" si="34"/>
        <v/>
      </c>
      <c r="H278" s="134">
        <f t="shared" si="35"/>
        <v>1</v>
      </c>
      <c r="I278" s="7" t="s">
        <v>157</v>
      </c>
      <c r="J278" s="7" t="s">
        <v>2</v>
      </c>
      <c r="K278" s="7"/>
      <c r="L278" s="7"/>
      <c r="M278" s="7"/>
      <c r="N278" s="7" t="s">
        <v>170</v>
      </c>
      <c r="O278" s="7" t="s">
        <v>161</v>
      </c>
      <c r="P278" s="7" t="s">
        <v>6452</v>
      </c>
      <c r="Q278" s="129">
        <v>46199</v>
      </c>
      <c r="R278" s="130">
        <f t="shared" si="33"/>
        <v>46211</v>
      </c>
      <c r="S278" s="131">
        <f t="shared" si="38"/>
        <v>12</v>
      </c>
      <c r="T278" s="7" t="s">
        <v>255</v>
      </c>
      <c r="U278" s="7" t="s">
        <v>265</v>
      </c>
      <c r="V278" s="7"/>
      <c r="W278" s="7"/>
      <c r="X278" s="132">
        <f t="shared" si="36"/>
        <v>10</v>
      </c>
      <c r="Y278" s="133"/>
      <c r="Z278" s="133"/>
      <c r="AA278" s="133"/>
    </row>
    <row r="279" spans="1:27" hidden="1" x14ac:dyDescent="0.25">
      <c r="A279" s="127">
        <v>290</v>
      </c>
      <c r="B279" s="128" t="str">
        <f t="shared" si="37"/>
        <v>POPT</v>
      </c>
      <c r="C279" s="128" t="str">
        <f>+VLOOKUP(U279,Ходим!A:B,2,0)</f>
        <v>33107902120019</v>
      </c>
      <c r="D279" s="128" t="str">
        <f>IFERROR(VLOOKUP($B:$B,[20]свод!$A:$AB,3,0)," ")</f>
        <v>Поп тумани</v>
      </c>
      <c r="E279" s="7" t="s">
        <v>1423</v>
      </c>
      <c r="F279" s="7" t="s">
        <v>7826</v>
      </c>
      <c r="G279" s="134">
        <f t="shared" si="34"/>
        <v>1</v>
      </c>
      <c r="H279" s="134" t="str">
        <f t="shared" si="35"/>
        <v/>
      </c>
      <c r="I279" s="7" t="s">
        <v>158</v>
      </c>
      <c r="J279" s="7" t="s">
        <v>2</v>
      </c>
      <c r="K279" s="7"/>
      <c r="L279" s="7"/>
      <c r="M279" s="7"/>
      <c r="N279" s="7" t="s">
        <v>170</v>
      </c>
      <c r="O279" s="7" t="s">
        <v>162</v>
      </c>
      <c r="P279" s="7" t="s">
        <v>6453</v>
      </c>
      <c r="Q279" s="129">
        <v>46199</v>
      </c>
      <c r="R279" s="130">
        <f t="shared" si="33"/>
        <v>46205</v>
      </c>
      <c r="S279" s="131">
        <f t="shared" si="38"/>
        <v>6</v>
      </c>
      <c r="T279" s="7" t="s">
        <v>214</v>
      </c>
      <c r="U279" s="7" t="s">
        <v>224</v>
      </c>
      <c r="V279" s="7"/>
      <c r="W279" s="7"/>
      <c r="X279" s="132">
        <f t="shared" si="36"/>
        <v>10</v>
      </c>
      <c r="Y279" s="133"/>
      <c r="Z279" s="133"/>
      <c r="AA279" s="133"/>
    </row>
    <row r="280" spans="1:27" hidden="1" x14ac:dyDescent="0.25">
      <c r="A280" s="127">
        <v>291</v>
      </c>
      <c r="B280" s="128" t="str">
        <f t="shared" si="37"/>
        <v>CHOT</v>
      </c>
      <c r="C280" s="128" t="str">
        <f>+VLOOKUP(U280,Ходим!A:B,2,0)</f>
        <v>30510945890013</v>
      </c>
      <c r="D280" s="128" t="str">
        <f>IFERROR(VLOOKUP($B:$B,[20]свод!$A:$AB,3,0)," ")</f>
        <v>Чортоқ тумани</v>
      </c>
      <c r="E280" s="7" t="s">
        <v>1424</v>
      </c>
      <c r="F280" s="7" t="s">
        <v>7827</v>
      </c>
      <c r="G280" s="134" t="str">
        <f t="shared" si="34"/>
        <v/>
      </c>
      <c r="H280" s="134">
        <f t="shared" si="35"/>
        <v>1</v>
      </c>
      <c r="I280" s="7" t="s">
        <v>157</v>
      </c>
      <c r="J280" s="7" t="s">
        <v>2</v>
      </c>
      <c r="K280" s="7"/>
      <c r="L280" s="7"/>
      <c r="M280" s="7"/>
      <c r="N280" s="7" t="s">
        <v>410</v>
      </c>
      <c r="O280" s="7" t="s">
        <v>1147</v>
      </c>
      <c r="P280" s="7" t="s">
        <v>6446</v>
      </c>
      <c r="Q280" s="129">
        <v>46199</v>
      </c>
      <c r="R280" s="130">
        <f t="shared" si="33"/>
        <v>46205</v>
      </c>
      <c r="S280" s="131">
        <f t="shared" si="38"/>
        <v>6</v>
      </c>
      <c r="T280" s="7" t="s">
        <v>184</v>
      </c>
      <c r="U280" s="7" t="s">
        <v>185</v>
      </c>
      <c r="V280" s="7"/>
      <c r="W280" s="7"/>
      <c r="X280" s="132">
        <f t="shared" si="36"/>
        <v>10</v>
      </c>
      <c r="Y280" s="133"/>
      <c r="Z280" s="133"/>
      <c r="AA280" s="133"/>
    </row>
    <row r="281" spans="1:27" hidden="1" x14ac:dyDescent="0.25">
      <c r="A281" s="127">
        <v>292</v>
      </c>
      <c r="B281" s="128" t="str">
        <f t="shared" si="37"/>
        <v>CHOT</v>
      </c>
      <c r="C281" s="128" t="str">
        <f>+VLOOKUP(U281,Ходим!A:B,2,0)</f>
        <v>30308922100022</v>
      </c>
      <c r="D281" s="128" t="str">
        <f>IFERROR(VLOOKUP($B:$B,[20]свод!$A:$AB,3,0)," ")</f>
        <v>Чортоқ тумани</v>
      </c>
      <c r="E281" s="7" t="s">
        <v>1425</v>
      </c>
      <c r="F281" s="7" t="s">
        <v>7828</v>
      </c>
      <c r="G281" s="134" t="str">
        <f t="shared" si="34"/>
        <v/>
      </c>
      <c r="H281" s="134">
        <f t="shared" si="35"/>
        <v>1</v>
      </c>
      <c r="I281" s="7" t="s">
        <v>157</v>
      </c>
      <c r="J281" s="7" t="s">
        <v>2</v>
      </c>
      <c r="K281" s="7"/>
      <c r="L281" s="7" t="s">
        <v>168</v>
      </c>
      <c r="M281" s="7" t="s">
        <v>384</v>
      </c>
      <c r="N281" s="7" t="s">
        <v>410</v>
      </c>
      <c r="O281" s="7" t="s">
        <v>1147</v>
      </c>
      <c r="P281" s="7" t="s">
        <v>6454</v>
      </c>
      <c r="Q281" s="129">
        <v>46199</v>
      </c>
      <c r="R281" s="130">
        <f t="shared" si="33"/>
        <v>46202</v>
      </c>
      <c r="S281" s="131">
        <f t="shared" si="38"/>
        <v>3</v>
      </c>
      <c r="T281" s="7" t="s">
        <v>184</v>
      </c>
      <c r="U281" s="7" t="s">
        <v>190</v>
      </c>
      <c r="V281" s="7"/>
      <c r="W281" s="7">
        <v>0</v>
      </c>
      <c r="X281" s="132">
        <f t="shared" si="36"/>
        <v>7</v>
      </c>
      <c r="Y281" s="133"/>
      <c r="Z281" s="133"/>
      <c r="AA281" s="133"/>
    </row>
    <row r="282" spans="1:27" x14ac:dyDescent="0.25">
      <c r="A282" s="127">
        <v>293</v>
      </c>
      <c r="B282" s="128" t="str">
        <f t="shared" si="37"/>
        <v>CHUT</v>
      </c>
      <c r="C282" s="128" t="str">
        <f>+VLOOKUP(U282,Ходим!A:B,2,0)</f>
        <v>52508015970048</v>
      </c>
      <c r="D282" s="128" t="str">
        <f>IFERROR(VLOOKUP($B:$B,[20]свод!$A:$AB,3,0)," ")</f>
        <v>Чуст тумани</v>
      </c>
      <c r="E282" s="7" t="s">
        <v>1426</v>
      </c>
      <c r="F282" s="7" t="s">
        <v>7829</v>
      </c>
      <c r="G282" s="134">
        <f t="shared" si="34"/>
        <v>1</v>
      </c>
      <c r="H282" s="134" t="str">
        <f t="shared" si="35"/>
        <v/>
      </c>
      <c r="I282" s="7" t="s">
        <v>158</v>
      </c>
      <c r="J282" s="7" t="s">
        <v>2</v>
      </c>
      <c r="K282" s="7"/>
      <c r="L282" s="7" t="s">
        <v>167</v>
      </c>
      <c r="M282" s="7" t="s">
        <v>1109</v>
      </c>
      <c r="N282" s="7" t="s">
        <v>170</v>
      </c>
      <c r="O282" s="7" t="s">
        <v>162</v>
      </c>
      <c r="P282" s="7" t="s">
        <v>6455</v>
      </c>
      <c r="Q282" s="129">
        <v>46199</v>
      </c>
      <c r="R282" s="130">
        <f t="shared" si="33"/>
        <v>46198</v>
      </c>
      <c r="S282" s="131">
        <f t="shared" si="38"/>
        <v>-1</v>
      </c>
      <c r="T282" s="7" t="s">
        <v>178</v>
      </c>
      <c r="U282" s="7" t="s">
        <v>350</v>
      </c>
      <c r="V282" s="7"/>
      <c r="W282" s="7">
        <v>0</v>
      </c>
      <c r="X282" s="132">
        <f t="shared" si="36"/>
        <v>10</v>
      </c>
      <c r="Y282" s="133"/>
      <c r="Z282" s="133"/>
      <c r="AA282" s="133"/>
    </row>
    <row r="283" spans="1:27" hidden="1" x14ac:dyDescent="0.25">
      <c r="A283" s="127">
        <v>294</v>
      </c>
      <c r="B283" s="128" t="str">
        <f t="shared" si="37"/>
        <v>NAMS</v>
      </c>
      <c r="C283" s="128" t="str">
        <f>+VLOOKUP(U283,Ходим!A:B,2,0)</f>
        <v>31007955980023</v>
      </c>
      <c r="D283" s="128" t="str">
        <f>IFERROR(VLOOKUP($B:$B,[20]свод!$A:$AB,3,0)," ")</f>
        <v>Наманган шаҳар</v>
      </c>
      <c r="E283" s="7" t="s">
        <v>1427</v>
      </c>
      <c r="F283" s="7" t="s">
        <v>7830</v>
      </c>
      <c r="G283" s="134">
        <f t="shared" si="34"/>
        <v>1</v>
      </c>
      <c r="H283" s="134" t="str">
        <f t="shared" si="35"/>
        <v/>
      </c>
      <c r="I283" s="7" t="s">
        <v>158</v>
      </c>
      <c r="J283" s="7" t="s">
        <v>2</v>
      </c>
      <c r="K283" s="7"/>
      <c r="L283" s="7" t="s">
        <v>167</v>
      </c>
      <c r="M283" s="7" t="s">
        <v>4413</v>
      </c>
      <c r="N283" s="7" t="s">
        <v>170</v>
      </c>
      <c r="O283" s="7" t="s">
        <v>162</v>
      </c>
      <c r="P283" s="7" t="s">
        <v>6326</v>
      </c>
      <c r="Q283" s="129">
        <v>46199</v>
      </c>
      <c r="R283" s="130">
        <f t="shared" si="33"/>
        <v>46204</v>
      </c>
      <c r="S283" s="131">
        <f t="shared" si="38"/>
        <v>5</v>
      </c>
      <c r="T283" s="7" t="s">
        <v>173</v>
      </c>
      <c r="U283" s="7" t="s">
        <v>207</v>
      </c>
      <c r="V283" s="7"/>
      <c r="W283" s="7">
        <v>136.44</v>
      </c>
      <c r="X283" s="132">
        <f t="shared" si="36"/>
        <v>10</v>
      </c>
      <c r="Y283" s="133"/>
      <c r="Z283" s="133"/>
      <c r="AA283" s="133"/>
    </row>
    <row r="284" spans="1:27" hidden="1" x14ac:dyDescent="0.25">
      <c r="A284" s="127">
        <v>295</v>
      </c>
      <c r="B284" s="128" t="str">
        <f t="shared" si="37"/>
        <v>YGQT</v>
      </c>
      <c r="C284" s="128" t="str">
        <f>+VLOOKUP(U284,Ходим!A:B,2,0)</f>
        <v>30903902160122</v>
      </c>
      <c r="D284" s="128" t="str">
        <f>IFERROR(VLOOKUP($B:$B,[20]свод!$A:$AB,3,0)," ")</f>
        <v>Янгиқўрғон тумани</v>
      </c>
      <c r="E284" s="7" t="s">
        <v>1428</v>
      </c>
      <c r="F284" s="7" t="s">
        <v>7831</v>
      </c>
      <c r="G284" s="134">
        <f t="shared" si="34"/>
        <v>1</v>
      </c>
      <c r="H284" s="134" t="str">
        <f t="shared" si="35"/>
        <v/>
      </c>
      <c r="I284" s="7" t="s">
        <v>158</v>
      </c>
      <c r="J284" s="7" t="s">
        <v>36</v>
      </c>
      <c r="K284" s="7"/>
      <c r="L284" s="7" t="s">
        <v>167</v>
      </c>
      <c r="M284" s="7" t="s">
        <v>4414</v>
      </c>
      <c r="N284" s="7" t="s">
        <v>410</v>
      </c>
      <c r="O284" s="7" t="s">
        <v>162</v>
      </c>
      <c r="P284" s="7" t="s">
        <v>6456</v>
      </c>
      <c r="Q284" s="129">
        <v>46199</v>
      </c>
      <c r="R284" s="130">
        <f t="shared" si="33"/>
        <v>46202</v>
      </c>
      <c r="S284" s="131">
        <f t="shared" si="38"/>
        <v>3</v>
      </c>
      <c r="T284" s="7" t="s">
        <v>182</v>
      </c>
      <c r="U284" s="7" t="s">
        <v>230</v>
      </c>
      <c r="V284" s="7"/>
      <c r="W284" s="7">
        <v>416.08</v>
      </c>
      <c r="X284" s="132">
        <f t="shared" si="36"/>
        <v>10</v>
      </c>
      <c r="Y284" s="133"/>
      <c r="Z284" s="133"/>
      <c r="AA284" s="133"/>
    </row>
    <row r="285" spans="1:27" hidden="1" x14ac:dyDescent="0.25">
      <c r="A285" s="127">
        <v>296</v>
      </c>
      <c r="B285" s="128" t="str">
        <f t="shared" si="37"/>
        <v>CHUT</v>
      </c>
      <c r="C285" s="128" t="str">
        <f>+VLOOKUP(U285,Ходим!A:B,2,0)</f>
        <v>30901882180031</v>
      </c>
      <c r="D285" s="128" t="str">
        <f>IFERROR(VLOOKUP($B:$B,[20]свод!$A:$AB,3,0)," ")</f>
        <v>Чуст тумани</v>
      </c>
      <c r="E285" s="7" t="s">
        <v>1429</v>
      </c>
      <c r="F285" s="7" t="s">
        <v>7832</v>
      </c>
      <c r="G285" s="134" t="str">
        <f t="shared" si="34"/>
        <v/>
      </c>
      <c r="H285" s="134">
        <f t="shared" si="35"/>
        <v>1</v>
      </c>
      <c r="I285" s="7" t="s">
        <v>157</v>
      </c>
      <c r="J285" s="7" t="s">
        <v>172</v>
      </c>
      <c r="K285" s="7"/>
      <c r="L285" s="7" t="s">
        <v>166</v>
      </c>
      <c r="M285" s="7" t="s">
        <v>4415</v>
      </c>
      <c r="N285" s="7" t="s">
        <v>410</v>
      </c>
      <c r="O285" s="7" t="s">
        <v>161</v>
      </c>
      <c r="P285" s="7" t="s">
        <v>6457</v>
      </c>
      <c r="Q285" s="129">
        <v>46199</v>
      </c>
      <c r="R285" s="130">
        <f t="shared" si="33"/>
        <v>46211</v>
      </c>
      <c r="S285" s="131">
        <f t="shared" si="38"/>
        <v>12</v>
      </c>
      <c r="T285" s="7" t="s">
        <v>178</v>
      </c>
      <c r="U285" s="7" t="s">
        <v>238</v>
      </c>
      <c r="V285" s="7"/>
      <c r="W285" s="7">
        <v>0</v>
      </c>
      <c r="X285" s="132">
        <f t="shared" si="36"/>
        <v>10</v>
      </c>
      <c r="Y285" s="133"/>
      <c r="Z285" s="133"/>
      <c r="AA285" s="133"/>
    </row>
    <row r="286" spans="1:27" hidden="1" x14ac:dyDescent="0.25">
      <c r="A286" s="127">
        <v>297</v>
      </c>
      <c r="B286" s="128" t="str">
        <f t="shared" si="37"/>
        <v>NAMT</v>
      </c>
      <c r="C286" s="128" t="str">
        <f>+VLOOKUP(U286,Ходим!A:B,2,0)</f>
        <v>50706025880010</v>
      </c>
      <c r="D286" s="128" t="str">
        <f>IFERROR(VLOOKUP($B:$B,[20]свод!$A:$AB,3,0)," ")</f>
        <v>Наманган тумани</v>
      </c>
      <c r="E286" s="7" t="s">
        <v>1430</v>
      </c>
      <c r="F286" s="7" t="s">
        <v>7833</v>
      </c>
      <c r="G286" s="134">
        <f t="shared" si="34"/>
        <v>1</v>
      </c>
      <c r="H286" s="134" t="str">
        <f t="shared" si="35"/>
        <v/>
      </c>
      <c r="I286" s="7" t="s">
        <v>158</v>
      </c>
      <c r="J286" s="7" t="s">
        <v>16</v>
      </c>
      <c r="K286" s="7"/>
      <c r="L286" s="7" t="s">
        <v>167</v>
      </c>
      <c r="M286" s="7" t="s">
        <v>4416</v>
      </c>
      <c r="N286" s="7" t="s">
        <v>170</v>
      </c>
      <c r="O286" s="7" t="s">
        <v>162</v>
      </c>
      <c r="P286" s="7" t="s">
        <v>6458</v>
      </c>
      <c r="Q286" s="129">
        <v>46199</v>
      </c>
      <c r="R286" s="130">
        <f t="shared" si="33"/>
        <v>46204</v>
      </c>
      <c r="S286" s="131">
        <f t="shared" si="38"/>
        <v>5</v>
      </c>
      <c r="T286" s="7" t="s">
        <v>193</v>
      </c>
      <c r="U286" s="7" t="s">
        <v>397</v>
      </c>
      <c r="V286" s="7"/>
      <c r="W286" s="7">
        <v>275.95999999999998</v>
      </c>
      <c r="X286" s="132">
        <f t="shared" si="36"/>
        <v>10</v>
      </c>
      <c r="Y286" s="133"/>
      <c r="Z286" s="133"/>
      <c r="AA286" s="133"/>
    </row>
    <row r="287" spans="1:27" hidden="1" x14ac:dyDescent="0.25">
      <c r="A287" s="127">
        <v>298</v>
      </c>
      <c r="B287" s="128" t="str">
        <f t="shared" si="37"/>
        <v>KSST</v>
      </c>
      <c r="C287" s="128" t="str">
        <f>+VLOOKUP(U287,Ходим!A:B,2,0)</f>
        <v>52812015980061</v>
      </c>
      <c r="D287" s="128" t="str">
        <f>IFERROR(VLOOKUP($B:$B,[20]свод!$A:$AB,3,0)," ")</f>
        <v>Косонсой тумани</v>
      </c>
      <c r="E287" s="7" t="s">
        <v>1431</v>
      </c>
      <c r="F287" s="7" t="s">
        <v>7834</v>
      </c>
      <c r="G287" s="134">
        <f t="shared" si="34"/>
        <v>1</v>
      </c>
      <c r="H287" s="134" t="str">
        <f t="shared" si="35"/>
        <v/>
      </c>
      <c r="I287" s="7" t="s">
        <v>158</v>
      </c>
      <c r="J287" s="7" t="s">
        <v>2</v>
      </c>
      <c r="K287" s="7"/>
      <c r="L287" s="7" t="s">
        <v>167</v>
      </c>
      <c r="M287" s="7" t="s">
        <v>4417</v>
      </c>
      <c r="N287" s="7" t="s">
        <v>170</v>
      </c>
      <c r="O287" s="7" t="s">
        <v>162</v>
      </c>
      <c r="P287" s="7" t="s">
        <v>6459</v>
      </c>
      <c r="Q287" s="129">
        <v>46199</v>
      </c>
      <c r="R287" s="130">
        <f t="shared" si="33"/>
        <v>46211</v>
      </c>
      <c r="S287" s="131">
        <f t="shared" si="38"/>
        <v>12</v>
      </c>
      <c r="T287" s="7" t="s">
        <v>180</v>
      </c>
      <c r="U287" s="7" t="s">
        <v>307</v>
      </c>
      <c r="V287" s="7"/>
      <c r="W287" s="7">
        <v>120.7</v>
      </c>
      <c r="X287" s="132">
        <f t="shared" si="36"/>
        <v>10</v>
      </c>
      <c r="Y287" s="133"/>
      <c r="Z287" s="133"/>
      <c r="AA287" s="133"/>
    </row>
    <row r="288" spans="1:27" x14ac:dyDescent="0.25">
      <c r="A288" s="127">
        <v>299</v>
      </c>
      <c r="B288" s="128" t="str">
        <f t="shared" si="37"/>
        <v>NAMT</v>
      </c>
      <c r="C288" s="128" t="str">
        <f>+VLOOKUP(U288,Ходим!A:B,2,0)</f>
        <v>31702942090041</v>
      </c>
      <c r="D288" s="128" t="str">
        <f>IFERROR(VLOOKUP($B:$B,[20]свод!$A:$AB,3,0)," ")</f>
        <v>Наманган тумани</v>
      </c>
      <c r="E288" s="7" t="s">
        <v>1432</v>
      </c>
      <c r="F288" s="7" t="s">
        <v>7835</v>
      </c>
      <c r="G288" s="134">
        <f t="shared" si="34"/>
        <v>1</v>
      </c>
      <c r="H288" s="134" t="str">
        <f t="shared" si="35"/>
        <v/>
      </c>
      <c r="I288" s="7" t="s">
        <v>158</v>
      </c>
      <c r="J288" s="7" t="s">
        <v>2</v>
      </c>
      <c r="K288" s="7"/>
      <c r="L288" s="7" t="s">
        <v>169</v>
      </c>
      <c r="M288" s="7" t="s">
        <v>1139</v>
      </c>
      <c r="N288" s="7" t="s">
        <v>170</v>
      </c>
      <c r="O288" s="7" t="s">
        <v>162</v>
      </c>
      <c r="P288" s="7" t="s">
        <v>6328</v>
      </c>
      <c r="Q288" s="129">
        <v>46199</v>
      </c>
      <c r="R288" s="130">
        <f t="shared" si="33"/>
        <v>46199</v>
      </c>
      <c r="S288" s="131">
        <f t="shared" si="38"/>
        <v>0</v>
      </c>
      <c r="T288" s="7" t="s">
        <v>193</v>
      </c>
      <c r="U288" s="7" t="s">
        <v>194</v>
      </c>
      <c r="V288" s="7"/>
      <c r="W288" s="7">
        <v>0</v>
      </c>
      <c r="X288" s="132">
        <f t="shared" si="36"/>
        <v>7</v>
      </c>
      <c r="Y288" s="133"/>
      <c r="Z288" s="133"/>
      <c r="AA288" s="133"/>
    </row>
    <row r="289" spans="1:27" hidden="1" x14ac:dyDescent="0.25">
      <c r="A289" s="127">
        <v>300</v>
      </c>
      <c r="B289" s="128" t="str">
        <f t="shared" si="37"/>
        <v>NAMS</v>
      </c>
      <c r="C289" s="128" t="str">
        <f>+VLOOKUP(U289,Ходим!A:B,2,0)</f>
        <v>31309942170160</v>
      </c>
      <c r="D289" s="128" t="str">
        <f>IFERROR(VLOOKUP($B:$B,[20]свод!$A:$AB,3,0)," ")</f>
        <v>Наманган шаҳар</v>
      </c>
      <c r="E289" s="7" t="s">
        <v>1433</v>
      </c>
      <c r="F289" s="7" t="s">
        <v>7836</v>
      </c>
      <c r="G289" s="134" t="str">
        <f t="shared" si="34"/>
        <v/>
      </c>
      <c r="H289" s="134">
        <f t="shared" si="35"/>
        <v>1</v>
      </c>
      <c r="I289" s="7" t="s">
        <v>157</v>
      </c>
      <c r="J289" s="7" t="s">
        <v>172</v>
      </c>
      <c r="K289" s="7"/>
      <c r="L289" s="7"/>
      <c r="M289" s="7"/>
      <c r="N289" s="7" t="s">
        <v>170</v>
      </c>
      <c r="O289" s="7" t="s">
        <v>161</v>
      </c>
      <c r="P289" s="7" t="s">
        <v>6382</v>
      </c>
      <c r="Q289" s="129">
        <v>46199</v>
      </c>
      <c r="R289" s="130">
        <f t="shared" si="33"/>
        <v>46211</v>
      </c>
      <c r="S289" s="131">
        <f t="shared" si="38"/>
        <v>12</v>
      </c>
      <c r="T289" s="7" t="s">
        <v>173</v>
      </c>
      <c r="U289" s="7" t="s">
        <v>333</v>
      </c>
      <c r="V289" s="7"/>
      <c r="W289" s="7"/>
      <c r="X289" s="132">
        <f t="shared" si="36"/>
        <v>10</v>
      </c>
      <c r="Y289" s="133"/>
      <c r="Z289" s="133"/>
      <c r="AA289" s="133"/>
    </row>
    <row r="290" spans="1:27" hidden="1" x14ac:dyDescent="0.25">
      <c r="A290" s="127">
        <v>301</v>
      </c>
      <c r="B290" s="128" t="str">
        <f t="shared" si="37"/>
        <v>CHUT</v>
      </c>
      <c r="C290" s="128" t="str">
        <f>+VLOOKUP(U290,Ходим!A:B,2,0)</f>
        <v>31910975970049</v>
      </c>
      <c r="D290" s="128" t="str">
        <f>IFERROR(VLOOKUP($B:$B,[20]свод!$A:$AB,3,0)," ")</f>
        <v>Чуст тумани</v>
      </c>
      <c r="E290" s="7" t="s">
        <v>1434</v>
      </c>
      <c r="F290" s="7" t="s">
        <v>7837</v>
      </c>
      <c r="G290" s="134">
        <f t="shared" si="34"/>
        <v>1</v>
      </c>
      <c r="H290" s="134" t="str">
        <f t="shared" si="35"/>
        <v/>
      </c>
      <c r="I290" s="7" t="s">
        <v>158</v>
      </c>
      <c r="J290" s="7" t="s">
        <v>2</v>
      </c>
      <c r="K290" s="7"/>
      <c r="L290" s="7" t="s">
        <v>167</v>
      </c>
      <c r="M290" s="7" t="s">
        <v>4418</v>
      </c>
      <c r="N290" s="7" t="s">
        <v>170</v>
      </c>
      <c r="O290" s="7" t="s">
        <v>162</v>
      </c>
      <c r="P290" s="7" t="s">
        <v>6460</v>
      </c>
      <c r="Q290" s="129">
        <v>46199</v>
      </c>
      <c r="R290" s="130">
        <f t="shared" si="33"/>
        <v>46205</v>
      </c>
      <c r="S290" s="131">
        <f t="shared" si="38"/>
        <v>6</v>
      </c>
      <c r="T290" s="7" t="s">
        <v>178</v>
      </c>
      <c r="U290" s="7" t="s">
        <v>352</v>
      </c>
      <c r="V290" s="7"/>
      <c r="W290" s="7">
        <v>101.64</v>
      </c>
      <c r="X290" s="132">
        <f t="shared" si="36"/>
        <v>10</v>
      </c>
      <c r="Y290" s="133"/>
      <c r="Z290" s="133"/>
      <c r="AA290" s="133"/>
    </row>
    <row r="291" spans="1:27" hidden="1" x14ac:dyDescent="0.25">
      <c r="A291" s="127">
        <v>302</v>
      </c>
      <c r="B291" s="128" t="str">
        <f t="shared" si="37"/>
        <v>NAMT</v>
      </c>
      <c r="C291" s="128">
        <f>+VLOOKUP(U291,Ходим!A:B,2,0)</f>
        <v>52908045880018</v>
      </c>
      <c r="D291" s="128" t="str">
        <f>IFERROR(VLOOKUP($B:$B,[20]свод!$A:$AB,3,0)," ")</f>
        <v>Наманган тумани</v>
      </c>
      <c r="E291" s="7" t="s">
        <v>1435</v>
      </c>
      <c r="F291" s="7" t="s">
        <v>7838</v>
      </c>
      <c r="G291" s="134">
        <f t="shared" si="34"/>
        <v>1</v>
      </c>
      <c r="H291" s="134" t="str">
        <f t="shared" si="35"/>
        <v/>
      </c>
      <c r="I291" s="7" t="s">
        <v>158</v>
      </c>
      <c r="J291" s="7" t="s">
        <v>2</v>
      </c>
      <c r="K291" s="7"/>
      <c r="L291" s="7" t="s">
        <v>167</v>
      </c>
      <c r="M291" s="7" t="s">
        <v>4419</v>
      </c>
      <c r="N291" s="7" t="s">
        <v>170</v>
      </c>
      <c r="O291" s="7" t="s">
        <v>162</v>
      </c>
      <c r="P291" s="7" t="s">
        <v>6461</v>
      </c>
      <c r="Q291" s="129">
        <v>46199</v>
      </c>
      <c r="R291" s="130">
        <f t="shared" si="33"/>
        <v>46205</v>
      </c>
      <c r="S291" s="131">
        <f t="shared" si="38"/>
        <v>6</v>
      </c>
      <c r="T291" s="7" t="s">
        <v>193</v>
      </c>
      <c r="U291" s="7" t="s">
        <v>982</v>
      </c>
      <c r="V291" s="7"/>
      <c r="W291" s="7">
        <v>301.95</v>
      </c>
      <c r="X291" s="132">
        <f t="shared" si="36"/>
        <v>10</v>
      </c>
      <c r="Y291" s="133"/>
      <c r="Z291" s="133"/>
      <c r="AA291" s="133"/>
    </row>
    <row r="292" spans="1:27" hidden="1" x14ac:dyDescent="0.25">
      <c r="A292" s="127">
        <v>303</v>
      </c>
      <c r="B292" s="128" t="str">
        <f t="shared" si="37"/>
        <v>MINT</v>
      </c>
      <c r="C292" s="128" t="e">
        <f>+VLOOKUP(U292,Ходим!A:B,2,0)</f>
        <v>#N/A</v>
      </c>
      <c r="D292" s="128" t="str">
        <f>IFERROR(VLOOKUP($B:$B,[20]свод!$A:$AB,3,0)," ")</f>
        <v>Мингбулоқ тумани</v>
      </c>
      <c r="E292" s="7" t="s">
        <v>1436</v>
      </c>
      <c r="F292" s="7" t="s">
        <v>7839</v>
      </c>
      <c r="G292" s="134" t="str">
        <f t="shared" si="34"/>
        <v/>
      </c>
      <c r="H292" s="134">
        <f t="shared" si="35"/>
        <v>1</v>
      </c>
      <c r="I292" s="7" t="s">
        <v>155</v>
      </c>
      <c r="J292" s="7" t="s">
        <v>11</v>
      </c>
      <c r="K292" s="7"/>
      <c r="L292" s="7" t="s">
        <v>166</v>
      </c>
      <c r="M292" s="7" t="s">
        <v>4420</v>
      </c>
      <c r="N292" s="7" t="s">
        <v>410</v>
      </c>
      <c r="O292" s="7" t="s">
        <v>161</v>
      </c>
      <c r="P292" s="7" t="s">
        <v>6404</v>
      </c>
      <c r="Q292" s="129">
        <v>46199</v>
      </c>
      <c r="R292" s="130">
        <f t="shared" si="33"/>
        <v>46213</v>
      </c>
      <c r="S292" s="131">
        <f t="shared" si="38"/>
        <v>14</v>
      </c>
      <c r="T292" s="7" t="s">
        <v>220</v>
      </c>
      <c r="U292" s="7"/>
      <c r="V292" s="7"/>
      <c r="W292" s="7">
        <v>240.3</v>
      </c>
      <c r="X292" s="132">
        <f t="shared" si="36"/>
        <v>12</v>
      </c>
      <c r="Y292" s="133"/>
      <c r="Z292" s="133"/>
      <c r="AA292" s="133"/>
    </row>
    <row r="293" spans="1:27" hidden="1" x14ac:dyDescent="0.25">
      <c r="A293" s="127">
        <v>304</v>
      </c>
      <c r="B293" s="128" t="str">
        <f t="shared" si="37"/>
        <v>NAMS</v>
      </c>
      <c r="C293" s="128" t="str">
        <f>+VLOOKUP(U293,Ходим!A:B,2,0)</f>
        <v>31312985950011</v>
      </c>
      <c r="D293" s="128" t="str">
        <f>IFERROR(VLOOKUP($B:$B,[20]свод!$A:$AB,3,0)," ")</f>
        <v>Наманган шаҳар</v>
      </c>
      <c r="E293" s="7" t="s">
        <v>1437</v>
      </c>
      <c r="F293" s="7" t="s">
        <v>7840</v>
      </c>
      <c r="G293" s="134" t="str">
        <f t="shared" si="34"/>
        <v/>
      </c>
      <c r="H293" s="134">
        <f t="shared" si="35"/>
        <v>1</v>
      </c>
      <c r="I293" s="7" t="s">
        <v>157</v>
      </c>
      <c r="J293" s="7" t="s">
        <v>29</v>
      </c>
      <c r="K293" s="7"/>
      <c r="L293" s="7" t="s">
        <v>168</v>
      </c>
      <c r="M293" s="7" t="s">
        <v>381</v>
      </c>
      <c r="N293" s="7" t="s">
        <v>410</v>
      </c>
      <c r="O293" s="7" t="s">
        <v>161</v>
      </c>
      <c r="P293" s="7" t="s">
        <v>6389</v>
      </c>
      <c r="Q293" s="129">
        <v>46199</v>
      </c>
      <c r="R293" s="130">
        <f t="shared" si="33"/>
        <v>46206</v>
      </c>
      <c r="S293" s="131">
        <f t="shared" si="38"/>
        <v>7</v>
      </c>
      <c r="T293" s="7" t="s">
        <v>173</v>
      </c>
      <c r="U293" s="7" t="s">
        <v>303</v>
      </c>
      <c r="V293" s="7"/>
      <c r="W293" s="7">
        <v>0</v>
      </c>
      <c r="X293" s="132">
        <f t="shared" si="36"/>
        <v>7</v>
      </c>
      <c r="Y293" s="133"/>
      <c r="Z293" s="133"/>
      <c r="AA293" s="133"/>
    </row>
    <row r="294" spans="1:27" hidden="1" x14ac:dyDescent="0.25">
      <c r="A294" s="127">
        <v>305</v>
      </c>
      <c r="B294" s="128" t="str">
        <f t="shared" si="37"/>
        <v>POPT</v>
      </c>
      <c r="C294" s="128" t="str">
        <f>+VLOOKUP(U294,Ходим!A:B,2,0)</f>
        <v>31103842180041</v>
      </c>
      <c r="D294" s="128" t="str">
        <f>IFERROR(VLOOKUP($B:$B,[20]свод!$A:$AB,3,0)," ")</f>
        <v>Поп тумани</v>
      </c>
      <c r="E294" s="7" t="s">
        <v>1438</v>
      </c>
      <c r="F294" s="7" t="s">
        <v>7841</v>
      </c>
      <c r="G294" s="134">
        <f t="shared" si="34"/>
        <v>1</v>
      </c>
      <c r="H294" s="134" t="str">
        <f t="shared" si="35"/>
        <v/>
      </c>
      <c r="I294" s="7" t="s">
        <v>158</v>
      </c>
      <c r="J294" s="7" t="s">
        <v>13</v>
      </c>
      <c r="K294" s="7"/>
      <c r="L294" s="7" t="s">
        <v>167</v>
      </c>
      <c r="M294" s="7" t="s">
        <v>4421</v>
      </c>
      <c r="N294" s="7" t="s">
        <v>170</v>
      </c>
      <c r="O294" s="7" t="s">
        <v>162</v>
      </c>
      <c r="P294" s="7" t="s">
        <v>6462</v>
      </c>
      <c r="Q294" s="129">
        <v>46199</v>
      </c>
      <c r="R294" s="130">
        <f t="shared" si="33"/>
        <v>46204</v>
      </c>
      <c r="S294" s="131">
        <f t="shared" si="38"/>
        <v>5</v>
      </c>
      <c r="T294" s="7" t="s">
        <v>214</v>
      </c>
      <c r="U294" s="7" t="s">
        <v>337</v>
      </c>
      <c r="V294" s="7"/>
      <c r="W294" s="7">
        <v>0</v>
      </c>
      <c r="X294" s="132">
        <f t="shared" si="36"/>
        <v>10</v>
      </c>
      <c r="Y294" s="133"/>
      <c r="Z294" s="133"/>
      <c r="AA294" s="133"/>
    </row>
    <row r="295" spans="1:27" hidden="1" x14ac:dyDescent="0.25">
      <c r="A295" s="127">
        <v>306</v>
      </c>
      <c r="B295" s="128" t="str">
        <f t="shared" si="37"/>
        <v>CHUT</v>
      </c>
      <c r="C295" s="128" t="str">
        <f>+VLOOKUP(U295,Ходим!A:B,2,0)</f>
        <v>30901882180031</v>
      </c>
      <c r="D295" s="128" t="str">
        <f>IFERROR(VLOOKUP($B:$B,[20]свод!$A:$AB,3,0)," ")</f>
        <v>Чуст тумани</v>
      </c>
      <c r="E295" s="7" t="s">
        <v>1439</v>
      </c>
      <c r="F295" s="7" t="s">
        <v>7842</v>
      </c>
      <c r="G295" s="134" t="str">
        <f t="shared" si="34"/>
        <v/>
      </c>
      <c r="H295" s="134">
        <f t="shared" si="35"/>
        <v>1</v>
      </c>
      <c r="I295" s="7" t="s">
        <v>157</v>
      </c>
      <c r="J295" s="7" t="s">
        <v>172</v>
      </c>
      <c r="K295" s="7"/>
      <c r="L295" s="7" t="s">
        <v>166</v>
      </c>
      <c r="M295" s="7" t="s">
        <v>4422</v>
      </c>
      <c r="N295" s="7" t="s">
        <v>410</v>
      </c>
      <c r="O295" s="7" t="s">
        <v>161</v>
      </c>
      <c r="P295" s="7" t="s">
        <v>6463</v>
      </c>
      <c r="Q295" s="129">
        <v>46199</v>
      </c>
      <c r="R295" s="130">
        <f t="shared" si="33"/>
        <v>46211</v>
      </c>
      <c r="S295" s="131">
        <f t="shared" si="38"/>
        <v>12</v>
      </c>
      <c r="T295" s="7" t="s">
        <v>178</v>
      </c>
      <c r="U295" s="7" t="s">
        <v>238</v>
      </c>
      <c r="V295" s="7"/>
      <c r="W295" s="7">
        <v>0</v>
      </c>
      <c r="X295" s="132">
        <f t="shared" si="36"/>
        <v>10</v>
      </c>
      <c r="Y295" s="133"/>
      <c r="Z295" s="133"/>
      <c r="AA295" s="133"/>
    </row>
    <row r="296" spans="1:27" hidden="1" x14ac:dyDescent="0.25">
      <c r="A296" s="127">
        <v>307</v>
      </c>
      <c r="B296" s="128" t="str">
        <f t="shared" si="37"/>
        <v>YGQT</v>
      </c>
      <c r="C296" s="128" t="str">
        <f>+VLOOKUP(U296,Ходим!A:B,2,0)</f>
        <v>32105902160025</v>
      </c>
      <c r="D296" s="128" t="str">
        <f>IFERROR(VLOOKUP($B:$B,[20]свод!$A:$AB,3,0)," ")</f>
        <v>Янгиқўрғон тумани</v>
      </c>
      <c r="E296" s="7" t="s">
        <v>1440</v>
      </c>
      <c r="F296" s="7" t="s">
        <v>7843</v>
      </c>
      <c r="G296" s="134">
        <f t="shared" si="34"/>
        <v>1</v>
      </c>
      <c r="H296" s="134" t="str">
        <f t="shared" si="35"/>
        <v/>
      </c>
      <c r="I296" s="7" t="s">
        <v>158</v>
      </c>
      <c r="J296" s="7" t="s">
        <v>2</v>
      </c>
      <c r="K296" s="7"/>
      <c r="L296" s="7" t="s">
        <v>167</v>
      </c>
      <c r="M296" s="7" t="s">
        <v>4423</v>
      </c>
      <c r="N296" s="7" t="s">
        <v>170</v>
      </c>
      <c r="O296" s="7" t="s">
        <v>162</v>
      </c>
      <c r="P296" s="7" t="s">
        <v>6463</v>
      </c>
      <c r="Q296" s="129">
        <v>46199</v>
      </c>
      <c r="R296" s="130">
        <f t="shared" si="33"/>
        <v>46211</v>
      </c>
      <c r="S296" s="131">
        <f t="shared" si="38"/>
        <v>12</v>
      </c>
      <c r="T296" s="7" t="s">
        <v>255</v>
      </c>
      <c r="U296" s="7" t="s">
        <v>308</v>
      </c>
      <c r="V296" s="7"/>
      <c r="W296" s="7">
        <v>564.34</v>
      </c>
      <c r="X296" s="132">
        <f t="shared" si="36"/>
        <v>10</v>
      </c>
      <c r="Y296" s="133"/>
      <c r="Z296" s="133"/>
      <c r="AA296" s="133"/>
    </row>
    <row r="297" spans="1:27" hidden="1" x14ac:dyDescent="0.25">
      <c r="A297" s="127">
        <v>309</v>
      </c>
      <c r="B297" s="128" t="str">
        <f t="shared" si="37"/>
        <v>UCQT</v>
      </c>
      <c r="C297" s="128" t="str">
        <f>+VLOOKUP(U297,Ходим!A:B,2,0)</f>
        <v>52405005940019</v>
      </c>
      <c r="D297" s="128" t="str">
        <f>IFERROR(VLOOKUP($B:$B,[20]свод!$A:$AB,3,0)," ")</f>
        <v>Учқўрғон тумани</v>
      </c>
      <c r="E297" s="7" t="s">
        <v>1441</v>
      </c>
      <c r="F297" s="7" t="s">
        <v>7844</v>
      </c>
      <c r="G297" s="134">
        <f t="shared" si="34"/>
        <v>1</v>
      </c>
      <c r="H297" s="134" t="str">
        <f t="shared" si="35"/>
        <v/>
      </c>
      <c r="I297" s="7" t="s">
        <v>158</v>
      </c>
      <c r="J297" s="7" t="s">
        <v>12</v>
      </c>
      <c r="K297" s="7"/>
      <c r="L297" s="7" t="s">
        <v>167</v>
      </c>
      <c r="M297" s="7" t="s">
        <v>4424</v>
      </c>
      <c r="N297" s="7" t="s">
        <v>170</v>
      </c>
      <c r="O297" s="7" t="s">
        <v>162</v>
      </c>
      <c r="P297" s="7" t="s">
        <v>6464</v>
      </c>
      <c r="Q297" s="129">
        <v>46199</v>
      </c>
      <c r="R297" s="130">
        <f t="shared" si="33"/>
        <v>46205</v>
      </c>
      <c r="S297" s="131">
        <f t="shared" si="38"/>
        <v>6</v>
      </c>
      <c r="T297" s="7" t="s">
        <v>175</v>
      </c>
      <c r="U297" s="7" t="s">
        <v>209</v>
      </c>
      <c r="V297" s="7"/>
      <c r="W297" s="7">
        <v>28.8</v>
      </c>
      <c r="X297" s="132">
        <f t="shared" si="36"/>
        <v>10</v>
      </c>
      <c r="Y297" s="133"/>
      <c r="Z297" s="133"/>
      <c r="AA297" s="133"/>
    </row>
    <row r="298" spans="1:27" hidden="1" x14ac:dyDescent="0.25">
      <c r="A298" s="127">
        <v>310</v>
      </c>
      <c r="B298" s="128" t="str">
        <f t="shared" si="37"/>
        <v>NAMS</v>
      </c>
      <c r="C298" s="128" t="str">
        <f>+VLOOKUP(U298,Ходим!A:B,2,0)</f>
        <v>31608732170178</v>
      </c>
      <c r="D298" s="128" t="str">
        <f>IFERROR(VLOOKUP($B:$B,[20]свод!$A:$AB,3,0)," ")</f>
        <v>Наманган шаҳар</v>
      </c>
      <c r="E298" s="7" t="s">
        <v>1442</v>
      </c>
      <c r="F298" s="7" t="s">
        <v>7845</v>
      </c>
      <c r="G298" s="134">
        <f t="shared" si="34"/>
        <v>1</v>
      </c>
      <c r="H298" s="134" t="str">
        <f t="shared" si="35"/>
        <v/>
      </c>
      <c r="I298" s="7" t="s">
        <v>156</v>
      </c>
      <c r="J298" s="7" t="s">
        <v>22</v>
      </c>
      <c r="K298" s="7"/>
      <c r="L298" s="7" t="s">
        <v>167</v>
      </c>
      <c r="M298" s="7" t="s">
        <v>4425</v>
      </c>
      <c r="N298" s="7" t="s">
        <v>170</v>
      </c>
      <c r="O298" s="7" t="s">
        <v>162</v>
      </c>
      <c r="P298" s="7" t="s">
        <v>6465</v>
      </c>
      <c r="Q298" s="129">
        <v>46199</v>
      </c>
      <c r="R298" s="130">
        <f t="shared" si="33"/>
        <v>46205</v>
      </c>
      <c r="S298" s="131">
        <f t="shared" si="38"/>
        <v>6</v>
      </c>
      <c r="T298" s="7" t="s">
        <v>173</v>
      </c>
      <c r="U298" s="7" t="s">
        <v>267</v>
      </c>
      <c r="V298" s="7"/>
      <c r="W298" s="7">
        <v>65.88</v>
      </c>
      <c r="X298" s="132">
        <f t="shared" si="36"/>
        <v>10</v>
      </c>
      <c r="Y298" s="133"/>
      <c r="Z298" s="133"/>
      <c r="AA298" s="133"/>
    </row>
    <row r="299" spans="1:27" hidden="1" x14ac:dyDescent="0.25">
      <c r="A299" s="127">
        <v>311</v>
      </c>
      <c r="B299" s="128" t="str">
        <f t="shared" si="37"/>
        <v>NORT</v>
      </c>
      <c r="C299" s="128" t="str">
        <f>+VLOOKUP(U299,Ходим!A:B,2,0)</f>
        <v>40601902150077</v>
      </c>
      <c r="D299" s="128" t="str">
        <f>IFERROR(VLOOKUP($B:$B,[20]свод!$A:$AB,3,0)," ")</f>
        <v>Норин тумани</v>
      </c>
      <c r="E299" s="7" t="s">
        <v>1443</v>
      </c>
      <c r="F299" s="7" t="s">
        <v>7846</v>
      </c>
      <c r="G299" s="134">
        <f t="shared" si="34"/>
        <v>1</v>
      </c>
      <c r="H299" s="134" t="str">
        <f t="shared" si="35"/>
        <v/>
      </c>
      <c r="I299" s="7" t="s">
        <v>156</v>
      </c>
      <c r="J299" s="7" t="s">
        <v>25</v>
      </c>
      <c r="K299" s="7"/>
      <c r="L299" s="7" t="s">
        <v>167</v>
      </c>
      <c r="M299" s="7" t="s">
        <v>4426</v>
      </c>
      <c r="N299" s="7" t="s">
        <v>410</v>
      </c>
      <c r="O299" s="7" t="s">
        <v>162</v>
      </c>
      <c r="P299" s="7" t="s">
        <v>6466</v>
      </c>
      <c r="Q299" s="129">
        <v>46199</v>
      </c>
      <c r="R299" s="130">
        <f t="shared" si="33"/>
        <v>46211</v>
      </c>
      <c r="S299" s="131">
        <f t="shared" si="38"/>
        <v>12</v>
      </c>
      <c r="T299" s="7" t="s">
        <v>210</v>
      </c>
      <c r="U299" s="7" t="s">
        <v>249</v>
      </c>
      <c r="V299" s="7"/>
      <c r="W299" s="7">
        <v>199.3</v>
      </c>
      <c r="X299" s="132">
        <f t="shared" si="36"/>
        <v>10</v>
      </c>
      <c r="Y299" s="133"/>
      <c r="Z299" s="133"/>
      <c r="AA299" s="133"/>
    </row>
    <row r="300" spans="1:27" hidden="1" x14ac:dyDescent="0.25">
      <c r="A300" s="127">
        <v>313</v>
      </c>
      <c r="B300" s="128" t="str">
        <f t="shared" si="37"/>
        <v>YGQT</v>
      </c>
      <c r="C300" s="128" t="str">
        <f>+VLOOKUP(U300,Ходим!A:B,2,0)</f>
        <v>33103892160125</v>
      </c>
      <c r="D300" s="128" t="str">
        <f>IFERROR(VLOOKUP($B:$B,[20]свод!$A:$AB,3,0)," ")</f>
        <v>Янгиқўрғон тумани</v>
      </c>
      <c r="E300" s="7" t="s">
        <v>1444</v>
      </c>
      <c r="F300" s="7" t="s">
        <v>7847</v>
      </c>
      <c r="G300" s="134">
        <f t="shared" si="34"/>
        <v>1</v>
      </c>
      <c r="H300" s="134" t="str">
        <f t="shared" si="35"/>
        <v/>
      </c>
      <c r="I300" s="7" t="s">
        <v>158</v>
      </c>
      <c r="J300" s="7" t="s">
        <v>2</v>
      </c>
      <c r="K300" s="7"/>
      <c r="L300" s="7"/>
      <c r="M300" s="7"/>
      <c r="N300" s="7" t="s">
        <v>170</v>
      </c>
      <c r="O300" s="7" t="s">
        <v>162</v>
      </c>
      <c r="P300" s="7" t="s">
        <v>6371</v>
      </c>
      <c r="Q300" s="129">
        <v>46199</v>
      </c>
      <c r="R300" s="130">
        <f t="shared" si="33"/>
        <v>46204</v>
      </c>
      <c r="S300" s="131">
        <f t="shared" si="38"/>
        <v>5</v>
      </c>
      <c r="T300" s="7" t="s">
        <v>255</v>
      </c>
      <c r="U300" s="7" t="s">
        <v>183</v>
      </c>
      <c r="V300" s="7"/>
      <c r="W300" s="7"/>
      <c r="X300" s="132">
        <f t="shared" si="36"/>
        <v>10</v>
      </c>
      <c r="Y300" s="133"/>
      <c r="Z300" s="133"/>
      <c r="AA300" s="133"/>
    </row>
    <row r="301" spans="1:27" hidden="1" x14ac:dyDescent="0.25">
      <c r="A301" s="127">
        <v>314</v>
      </c>
      <c r="B301" s="128" t="str">
        <f t="shared" si="37"/>
        <v>YGQT</v>
      </c>
      <c r="C301" s="128" t="str">
        <f>+VLOOKUP(U301,Ходим!A:B,2,0)</f>
        <v>30107965950010</v>
      </c>
      <c r="D301" s="128" t="str">
        <f>IFERROR(VLOOKUP($B:$B,[20]свод!$A:$AB,3,0)," ")</f>
        <v>Янгиқўрғон тумани</v>
      </c>
      <c r="E301" s="7" t="s">
        <v>1445</v>
      </c>
      <c r="F301" s="7" t="s">
        <v>7848</v>
      </c>
      <c r="G301" s="134">
        <f t="shared" si="34"/>
        <v>1</v>
      </c>
      <c r="H301" s="134" t="str">
        <f t="shared" si="35"/>
        <v/>
      </c>
      <c r="I301" s="7" t="s">
        <v>158</v>
      </c>
      <c r="J301" s="7" t="s">
        <v>2</v>
      </c>
      <c r="K301" s="7"/>
      <c r="L301" s="7" t="s">
        <v>167</v>
      </c>
      <c r="M301" s="7" t="s">
        <v>4427</v>
      </c>
      <c r="N301" s="7" t="s">
        <v>170</v>
      </c>
      <c r="O301" s="7" t="s">
        <v>162</v>
      </c>
      <c r="P301" s="7" t="s">
        <v>6467</v>
      </c>
      <c r="Q301" s="129">
        <v>46199</v>
      </c>
      <c r="R301" s="130">
        <f t="shared" si="33"/>
        <v>46204</v>
      </c>
      <c r="S301" s="131">
        <f t="shared" si="38"/>
        <v>5</v>
      </c>
      <c r="T301" s="7" t="s">
        <v>255</v>
      </c>
      <c r="U301" s="7" t="s">
        <v>244</v>
      </c>
      <c r="V301" s="7"/>
      <c r="W301" s="7">
        <v>337.31</v>
      </c>
      <c r="X301" s="132">
        <f t="shared" si="36"/>
        <v>10</v>
      </c>
      <c r="Y301" s="133"/>
      <c r="Z301" s="133"/>
      <c r="AA301" s="133"/>
    </row>
    <row r="302" spans="1:27" hidden="1" x14ac:dyDescent="0.25">
      <c r="A302" s="127">
        <v>315</v>
      </c>
      <c r="B302" s="128" t="str">
        <f t="shared" si="37"/>
        <v>NAMS</v>
      </c>
      <c r="C302" s="128">
        <f>+VLOOKUP(U302,Ходим!A:B,2,0)</f>
        <v>50703045960050</v>
      </c>
      <c r="D302" s="128" t="str">
        <f>IFERROR(VLOOKUP($B:$B,[20]свод!$A:$AB,3,0)," ")</f>
        <v>Наманган шаҳар</v>
      </c>
      <c r="E302" s="7" t="s">
        <v>1446</v>
      </c>
      <c r="F302" s="7" t="s">
        <v>7849</v>
      </c>
      <c r="G302" s="134">
        <f t="shared" si="34"/>
        <v>1</v>
      </c>
      <c r="H302" s="134" t="str">
        <f t="shared" si="35"/>
        <v/>
      </c>
      <c r="I302" s="7" t="s">
        <v>156</v>
      </c>
      <c r="J302" s="7" t="s">
        <v>25</v>
      </c>
      <c r="K302" s="7"/>
      <c r="L302" s="7" t="s">
        <v>167</v>
      </c>
      <c r="M302" s="7" t="s">
        <v>4428</v>
      </c>
      <c r="N302" s="7" t="s">
        <v>170</v>
      </c>
      <c r="O302" s="7" t="s">
        <v>162</v>
      </c>
      <c r="P302" s="7" t="s">
        <v>6468</v>
      </c>
      <c r="Q302" s="129">
        <v>46199</v>
      </c>
      <c r="R302" s="130">
        <f t="shared" si="33"/>
        <v>46211</v>
      </c>
      <c r="S302" s="131">
        <f t="shared" si="38"/>
        <v>12</v>
      </c>
      <c r="T302" s="7" t="s">
        <v>173</v>
      </c>
      <c r="U302" s="7" t="s">
        <v>948</v>
      </c>
      <c r="V302" s="7"/>
      <c r="W302" s="7">
        <v>0</v>
      </c>
      <c r="X302" s="132">
        <f t="shared" si="36"/>
        <v>10</v>
      </c>
      <c r="Y302" s="133"/>
      <c r="Z302" s="133"/>
      <c r="AA302" s="133"/>
    </row>
    <row r="303" spans="1:27" hidden="1" x14ac:dyDescent="0.25">
      <c r="A303" s="127">
        <v>316</v>
      </c>
      <c r="B303" s="128" t="str">
        <f t="shared" si="37"/>
        <v>YGQT</v>
      </c>
      <c r="C303" s="128" t="str">
        <f>+VLOOKUP(U303,Ходим!A:B,2,0)</f>
        <v>31108942160081</v>
      </c>
      <c r="D303" s="128" t="str">
        <f>IFERROR(VLOOKUP($B:$B,[20]свод!$A:$AB,3,0)," ")</f>
        <v>Янгиқўрғон тумани</v>
      </c>
      <c r="E303" s="7" t="s">
        <v>1447</v>
      </c>
      <c r="F303" s="7" t="s">
        <v>7850</v>
      </c>
      <c r="G303" s="134">
        <f t="shared" si="34"/>
        <v>1</v>
      </c>
      <c r="H303" s="134" t="str">
        <f t="shared" si="35"/>
        <v/>
      </c>
      <c r="I303" s="7" t="s">
        <v>158</v>
      </c>
      <c r="J303" s="7" t="s">
        <v>36</v>
      </c>
      <c r="K303" s="7"/>
      <c r="L303" s="7" t="s">
        <v>167</v>
      </c>
      <c r="M303" s="7" t="s">
        <v>4429</v>
      </c>
      <c r="N303" s="7" t="s">
        <v>170</v>
      </c>
      <c r="O303" s="7" t="s">
        <v>162</v>
      </c>
      <c r="P303" s="7" t="s">
        <v>6469</v>
      </c>
      <c r="Q303" s="129">
        <v>46199</v>
      </c>
      <c r="R303" s="130">
        <f t="shared" si="33"/>
        <v>46204</v>
      </c>
      <c r="S303" s="131">
        <f t="shared" si="38"/>
        <v>5</v>
      </c>
      <c r="T303" s="7" t="s">
        <v>255</v>
      </c>
      <c r="U303" s="7" t="s">
        <v>228</v>
      </c>
      <c r="V303" s="7"/>
      <c r="W303" s="7">
        <v>808.1</v>
      </c>
      <c r="X303" s="132">
        <f t="shared" si="36"/>
        <v>10</v>
      </c>
      <c r="Y303" s="133"/>
      <c r="Z303" s="133"/>
      <c r="AA303" s="133"/>
    </row>
    <row r="304" spans="1:27" x14ac:dyDescent="0.25">
      <c r="A304" s="127">
        <v>317</v>
      </c>
      <c r="B304" s="128" t="str">
        <f t="shared" si="37"/>
        <v>YGQT</v>
      </c>
      <c r="C304" s="128" t="str">
        <f>+VLOOKUP(U304,Ходим!A:B,2,0)</f>
        <v>30809995950021</v>
      </c>
      <c r="D304" s="128" t="str">
        <f>IFERROR(VLOOKUP($B:$B,[20]свод!$A:$AB,3,0)," ")</f>
        <v>Янгиқўрғон тумани</v>
      </c>
      <c r="E304" s="7" t="s">
        <v>1448</v>
      </c>
      <c r="F304" s="7" t="s">
        <v>7851</v>
      </c>
      <c r="G304" s="134">
        <f t="shared" si="34"/>
        <v>1</v>
      </c>
      <c r="H304" s="134" t="str">
        <f t="shared" si="35"/>
        <v/>
      </c>
      <c r="I304" s="7" t="s">
        <v>158</v>
      </c>
      <c r="J304" s="7" t="s">
        <v>172</v>
      </c>
      <c r="K304" s="7"/>
      <c r="L304" s="7" t="s">
        <v>169</v>
      </c>
      <c r="M304" s="7" t="s">
        <v>4430</v>
      </c>
      <c r="N304" s="7" t="s">
        <v>410</v>
      </c>
      <c r="O304" s="7" t="s">
        <v>162</v>
      </c>
      <c r="P304" s="7" t="s">
        <v>6470</v>
      </c>
      <c r="Q304" s="129">
        <v>46199</v>
      </c>
      <c r="R304" s="130">
        <f t="shared" si="33"/>
        <v>46199</v>
      </c>
      <c r="S304" s="131">
        <f t="shared" si="38"/>
        <v>0</v>
      </c>
      <c r="T304" s="7" t="s">
        <v>255</v>
      </c>
      <c r="U304" s="7" t="s">
        <v>223</v>
      </c>
      <c r="V304" s="7"/>
      <c r="W304" s="7">
        <v>0</v>
      </c>
      <c r="X304" s="132">
        <f t="shared" si="36"/>
        <v>7</v>
      </c>
      <c r="Y304" s="133"/>
      <c r="Z304" s="133"/>
      <c r="AA304" s="133"/>
    </row>
    <row r="305" spans="1:27" hidden="1" x14ac:dyDescent="0.25">
      <c r="A305" s="127">
        <v>318</v>
      </c>
      <c r="B305" s="128" t="str">
        <f t="shared" si="37"/>
        <v>YGQT</v>
      </c>
      <c r="C305" s="128" t="str">
        <f>+VLOOKUP(U305,Ходим!A:B,2,0)</f>
        <v>30809995950021</v>
      </c>
      <c r="D305" s="128" t="str">
        <f>IFERROR(VLOOKUP($B:$B,[20]свод!$A:$AB,3,0)," ")</f>
        <v>Янгиқўрғон тумани</v>
      </c>
      <c r="E305" s="7" t="s">
        <v>1449</v>
      </c>
      <c r="F305" s="7" t="s">
        <v>7852</v>
      </c>
      <c r="G305" s="134">
        <f t="shared" si="34"/>
        <v>1</v>
      </c>
      <c r="H305" s="134" t="str">
        <f t="shared" si="35"/>
        <v/>
      </c>
      <c r="I305" s="7" t="s">
        <v>154</v>
      </c>
      <c r="J305" s="7" t="s">
        <v>100</v>
      </c>
      <c r="K305" s="7"/>
      <c r="L305" s="7" t="s">
        <v>167</v>
      </c>
      <c r="M305" s="7" t="s">
        <v>4431</v>
      </c>
      <c r="N305" s="7" t="s">
        <v>170</v>
      </c>
      <c r="O305" s="7" t="s">
        <v>162</v>
      </c>
      <c r="P305" s="7" t="s">
        <v>6326</v>
      </c>
      <c r="Q305" s="129">
        <v>46199</v>
      </c>
      <c r="R305" s="130">
        <f t="shared" si="33"/>
        <v>46204</v>
      </c>
      <c r="S305" s="131">
        <f t="shared" si="38"/>
        <v>5</v>
      </c>
      <c r="T305" s="7" t="s">
        <v>255</v>
      </c>
      <c r="U305" s="7" t="s">
        <v>223</v>
      </c>
      <c r="V305" s="7"/>
      <c r="W305" s="7">
        <v>68.239999999999995</v>
      </c>
      <c r="X305" s="132">
        <f t="shared" si="36"/>
        <v>10</v>
      </c>
      <c r="Y305" s="133"/>
      <c r="Z305" s="133"/>
      <c r="AA305" s="133"/>
    </row>
    <row r="306" spans="1:27" hidden="1" x14ac:dyDescent="0.25">
      <c r="A306" s="127">
        <v>319</v>
      </c>
      <c r="B306" s="128" t="str">
        <f t="shared" si="37"/>
        <v>NAMS</v>
      </c>
      <c r="C306" s="128" t="str">
        <f>+VLOOKUP(U306,Ходим!A:B,2,0)</f>
        <v>32602902170105</v>
      </c>
      <c r="D306" s="128" t="str">
        <f>IFERROR(VLOOKUP($B:$B,[20]свод!$A:$AB,3,0)," ")</f>
        <v>Наманган шаҳар</v>
      </c>
      <c r="E306" s="7" t="s">
        <v>1450</v>
      </c>
      <c r="F306" s="7" t="s">
        <v>7853</v>
      </c>
      <c r="G306" s="134">
        <f t="shared" si="34"/>
        <v>1</v>
      </c>
      <c r="H306" s="134" t="str">
        <f t="shared" si="35"/>
        <v/>
      </c>
      <c r="I306" s="7" t="s">
        <v>158</v>
      </c>
      <c r="J306" s="7" t="s">
        <v>1</v>
      </c>
      <c r="K306" s="7"/>
      <c r="L306" s="7" t="s">
        <v>169</v>
      </c>
      <c r="M306" s="7" t="s">
        <v>4432</v>
      </c>
      <c r="N306" s="7" t="s">
        <v>410</v>
      </c>
      <c r="O306" s="7" t="s">
        <v>162</v>
      </c>
      <c r="P306" s="7" t="s">
        <v>6471</v>
      </c>
      <c r="Q306" s="129">
        <v>46199</v>
      </c>
      <c r="R306" s="130">
        <f t="shared" si="33"/>
        <v>46204</v>
      </c>
      <c r="S306" s="131">
        <f t="shared" si="38"/>
        <v>5</v>
      </c>
      <c r="T306" s="7" t="s">
        <v>185</v>
      </c>
      <c r="U306" s="7" t="s">
        <v>247</v>
      </c>
      <c r="V306" s="7"/>
      <c r="W306" s="7">
        <v>0</v>
      </c>
      <c r="X306" s="132">
        <f t="shared" si="36"/>
        <v>7</v>
      </c>
      <c r="Y306" s="133"/>
      <c r="Z306" s="133"/>
      <c r="AA306" s="133"/>
    </row>
    <row r="307" spans="1:27" hidden="1" x14ac:dyDescent="0.25">
      <c r="A307" s="127">
        <v>320</v>
      </c>
      <c r="B307" s="128" t="str">
        <f t="shared" si="37"/>
        <v>CHUT</v>
      </c>
      <c r="C307" s="128" t="str">
        <f>+VLOOKUP(U307,Ходим!A:B,2,0)</f>
        <v>31312912180061</v>
      </c>
      <c r="D307" s="128" t="str">
        <f>IFERROR(VLOOKUP($B:$B,[20]свод!$A:$AB,3,0)," ")</f>
        <v>Чуст тумани</v>
      </c>
      <c r="E307" s="7" t="s">
        <v>1451</v>
      </c>
      <c r="F307" s="7" t="s">
        <v>7854</v>
      </c>
      <c r="G307" s="134" t="str">
        <f t="shared" si="34"/>
        <v/>
      </c>
      <c r="H307" s="134">
        <f t="shared" si="35"/>
        <v>1</v>
      </c>
      <c r="I307" s="7" t="s">
        <v>155</v>
      </c>
      <c r="J307" s="7" t="s">
        <v>25</v>
      </c>
      <c r="K307" s="7"/>
      <c r="L307" s="7" t="s">
        <v>168</v>
      </c>
      <c r="M307" s="7" t="s">
        <v>4433</v>
      </c>
      <c r="N307" s="7" t="s">
        <v>410</v>
      </c>
      <c r="O307" s="7" t="s">
        <v>161</v>
      </c>
      <c r="P307" s="7" t="s">
        <v>6472</v>
      </c>
      <c r="Q307" s="129">
        <v>46199</v>
      </c>
      <c r="R307" s="130">
        <f t="shared" si="33"/>
        <v>46206</v>
      </c>
      <c r="S307" s="131">
        <f t="shared" si="38"/>
        <v>7</v>
      </c>
      <c r="T307" s="7" t="s">
        <v>178</v>
      </c>
      <c r="U307" s="7" t="s">
        <v>202</v>
      </c>
      <c r="V307" s="7"/>
      <c r="W307" s="7">
        <v>0</v>
      </c>
      <c r="X307" s="132">
        <f t="shared" si="36"/>
        <v>7</v>
      </c>
      <c r="Y307" s="133"/>
      <c r="Z307" s="133"/>
      <c r="AA307" s="133"/>
    </row>
    <row r="308" spans="1:27" hidden="1" x14ac:dyDescent="0.25">
      <c r="A308" s="127">
        <v>321</v>
      </c>
      <c r="B308" s="128" t="str">
        <f t="shared" si="37"/>
        <v>CHUT</v>
      </c>
      <c r="C308" s="128" t="str">
        <f>+VLOOKUP(U308,Ходим!A:B,2,0)</f>
        <v>31312912180061</v>
      </c>
      <c r="D308" s="128" t="str">
        <f>IFERROR(VLOOKUP($B:$B,[20]свод!$A:$AB,3,0)," ")</f>
        <v>Чуст тумани</v>
      </c>
      <c r="E308" s="7" t="s">
        <v>1452</v>
      </c>
      <c r="F308" s="7" t="s">
        <v>7855</v>
      </c>
      <c r="G308" s="134" t="str">
        <f t="shared" si="34"/>
        <v/>
      </c>
      <c r="H308" s="134">
        <f t="shared" si="35"/>
        <v>1</v>
      </c>
      <c r="I308" s="7" t="s">
        <v>155</v>
      </c>
      <c r="J308" s="7" t="s">
        <v>25</v>
      </c>
      <c r="K308" s="7"/>
      <c r="L308" s="7" t="s">
        <v>168</v>
      </c>
      <c r="M308" s="7" t="s">
        <v>4434</v>
      </c>
      <c r="N308" s="7" t="s">
        <v>410</v>
      </c>
      <c r="O308" s="7" t="s">
        <v>161</v>
      </c>
      <c r="P308" s="7" t="s">
        <v>6472</v>
      </c>
      <c r="Q308" s="129">
        <v>46199</v>
      </c>
      <c r="R308" s="130">
        <f t="shared" ref="R308:R348" si="39">WORKDAY(P308,X308,$Y$1:$AA$1)</f>
        <v>46206</v>
      </c>
      <c r="S308" s="131">
        <f t="shared" si="38"/>
        <v>7</v>
      </c>
      <c r="T308" s="7" t="s">
        <v>178</v>
      </c>
      <c r="U308" s="7" t="s">
        <v>202</v>
      </c>
      <c r="V308" s="7"/>
      <c r="W308" s="7">
        <v>0</v>
      </c>
      <c r="X308" s="132">
        <f t="shared" si="36"/>
        <v>7</v>
      </c>
      <c r="Y308" s="133"/>
      <c r="Z308" s="133"/>
      <c r="AA308" s="133"/>
    </row>
    <row r="309" spans="1:27" hidden="1" x14ac:dyDescent="0.25">
      <c r="A309" s="127">
        <v>322</v>
      </c>
      <c r="B309" s="128" t="str">
        <f t="shared" si="37"/>
        <v>CHUT</v>
      </c>
      <c r="C309" s="128" t="str">
        <f>+VLOOKUP(U309,Ходим!A:B,2,0)</f>
        <v>30901882180031</v>
      </c>
      <c r="D309" s="128" t="str">
        <f>IFERROR(VLOOKUP($B:$B,[20]свод!$A:$AB,3,0)," ")</f>
        <v>Чуст тумани</v>
      </c>
      <c r="E309" s="7" t="s">
        <v>1453</v>
      </c>
      <c r="F309" s="7" t="s">
        <v>7856</v>
      </c>
      <c r="G309" s="134" t="str">
        <f t="shared" si="34"/>
        <v/>
      </c>
      <c r="H309" s="134">
        <f t="shared" si="35"/>
        <v>1</v>
      </c>
      <c r="I309" s="7" t="s">
        <v>157</v>
      </c>
      <c r="J309" s="7" t="s">
        <v>172</v>
      </c>
      <c r="K309" s="7"/>
      <c r="L309" s="7" t="s">
        <v>166</v>
      </c>
      <c r="M309" s="7" t="s">
        <v>4435</v>
      </c>
      <c r="N309" s="7" t="s">
        <v>410</v>
      </c>
      <c r="O309" s="7" t="s">
        <v>161</v>
      </c>
      <c r="P309" s="7" t="s">
        <v>6466</v>
      </c>
      <c r="Q309" s="129">
        <v>46199</v>
      </c>
      <c r="R309" s="130">
        <f t="shared" si="39"/>
        <v>46211</v>
      </c>
      <c r="S309" s="131">
        <f t="shared" si="38"/>
        <v>12</v>
      </c>
      <c r="T309" s="7" t="s">
        <v>178</v>
      </c>
      <c r="U309" s="7" t="s">
        <v>238</v>
      </c>
      <c r="V309" s="7"/>
      <c r="W309" s="7">
        <v>0</v>
      </c>
      <c r="X309" s="132">
        <f t="shared" si="36"/>
        <v>10</v>
      </c>
      <c r="Y309" s="133"/>
      <c r="Z309" s="133"/>
      <c r="AA309" s="133"/>
    </row>
    <row r="310" spans="1:27" hidden="1" x14ac:dyDescent="0.25">
      <c r="A310" s="127">
        <v>325</v>
      </c>
      <c r="B310" s="128" t="str">
        <f t="shared" si="37"/>
        <v>MINT</v>
      </c>
      <c r="C310" s="128" t="str">
        <f>+VLOOKUP(U310,Ходим!A:B,2,0)</f>
        <v>31802912200033</v>
      </c>
      <c r="D310" s="128" t="str">
        <f>IFERROR(VLOOKUP($B:$B,[20]свод!$A:$AB,3,0)," ")</f>
        <v>Мингбулоқ тумани</v>
      </c>
      <c r="E310" s="7" t="s">
        <v>1454</v>
      </c>
      <c r="F310" s="7" t="s">
        <v>7857</v>
      </c>
      <c r="G310" s="134">
        <f t="shared" ref="G310:G351" si="40">IF(OR(
I310="Turar joy obyektning kadastr pasportini shakllantirish va davlat ro'yxatidan o'tkazish",
I310="Turar kompozit"
),
1,
IF(OR(
I310="Noturar kompozit",
I310="Avtoyo'l va suv xo'jaligi obyektining kadastr pasportini shakllantirish va ro'yxatga olish",
I310="Noturar obyektning kadastr pasportining kadastr pasportini shakllantirish va davlat ro'yxatidan o'tkazish"
),
"",
IF(OR(
I310="Notarius uchun ma'lumotnoma (uz)",
I310="Qurilishi tugallangan ko'chmas mulkni foydalanishga qabul qilish",
I310="Umumiy foydalanishdagi ko'chmas mulk qismini yaratish",
I310="Registratsiya (tashqi - UZKAD da bor)"
),
IF(OR(L310="Turar yer maydoni",L310="Yakka tartibdagi turar joy"),1,
IF(L310="Noturar bino","",
IF(L310="Noturar yer maydoni","",
IF(L310="",IF(OR(O310="Turar joy xizmati",O310="Foydalanishga ruxsatnoma berish xizmati"),1,""),"")
))),
"")))</f>
        <v>1</v>
      </c>
      <c r="H310" s="134" t="str">
        <f t="shared" ref="H310:H351" si="41">IF(OR(
I310="Turar joy obyektning kadastr pasportini shakllantirish va davlat ro'yxatidan o'tkazish",
I310="Turar kompozit"
),
"",
IF(OR(
I310="Noturar kompozit",
I310="Avtoyo'l va suv xo'jaligi obyektining kadastr pasportini shakllantirish va ro'yxatga olish",
I310="Noturar obyektning kadastr pasportini shakllantirish va davlat ro'yxatidan o'tkazish"
),
1,
IF(OR(
I310="Notarius uchun ma'lumotnoma (uz)",
I310="Qurilishi tugallangan ko'chmas mulkni foydalanishga qabul qilish",
I310="Umumiy foydalanishdagi ko'chmas mulk qismini yaratish",
I310="Registratsiya (tashqi - UZKAD da bor)"
),
IF(OR(L310="Turar yer maydoni",L310="Yakka tartibdagi turar joy"),"",
IF(L310="Noturar bino",1,
IF(L310="Noturar yer maydoni",1,
IF(L310="",IF(OR(O310="Turar joy xizmati",O310="Foydalanishga ruxsatnoma berish xizmati"),"",1),"")
))),
"")))</f>
        <v/>
      </c>
      <c r="I310" s="7" t="s">
        <v>158</v>
      </c>
      <c r="J310" s="7" t="s">
        <v>2</v>
      </c>
      <c r="K310" s="7"/>
      <c r="L310" s="7"/>
      <c r="M310" s="7"/>
      <c r="N310" s="7" t="s">
        <v>170</v>
      </c>
      <c r="O310" s="7" t="s">
        <v>162</v>
      </c>
      <c r="P310" s="7" t="s">
        <v>6473</v>
      </c>
      <c r="Q310" s="129">
        <v>46199</v>
      </c>
      <c r="R310" s="130">
        <f t="shared" si="39"/>
        <v>46205</v>
      </c>
      <c r="S310" s="131">
        <f t="shared" si="38"/>
        <v>6</v>
      </c>
      <c r="T310" s="7" t="s">
        <v>220</v>
      </c>
      <c r="U310" s="7" t="s">
        <v>225</v>
      </c>
      <c r="V310" s="7"/>
      <c r="W310" s="7"/>
      <c r="X310" s="132">
        <f t="shared" si="36"/>
        <v>10</v>
      </c>
      <c r="Y310" s="133"/>
      <c r="Z310" s="133"/>
      <c r="AA310" s="133"/>
    </row>
    <row r="311" spans="1:27" hidden="1" x14ac:dyDescent="0.25">
      <c r="A311" s="127">
        <v>326</v>
      </c>
      <c r="B311" s="128" t="str">
        <f t="shared" si="37"/>
        <v>UCQT</v>
      </c>
      <c r="C311" s="128" t="str">
        <f>+VLOOKUP(U311,Ходим!A:B,2,0)</f>
        <v>32805962150027</v>
      </c>
      <c r="D311" s="128" t="str">
        <f>IFERROR(VLOOKUP($B:$B,[20]свод!$A:$AB,3,0)," ")</f>
        <v>Учқўрғон тумани</v>
      </c>
      <c r="E311" s="7" t="s">
        <v>1455</v>
      </c>
      <c r="F311" s="7" t="s">
        <v>7858</v>
      </c>
      <c r="G311" s="134">
        <f t="shared" si="40"/>
        <v>1</v>
      </c>
      <c r="H311" s="134" t="str">
        <f t="shared" si="41"/>
        <v/>
      </c>
      <c r="I311" s="7" t="s">
        <v>158</v>
      </c>
      <c r="J311" s="7" t="s">
        <v>2</v>
      </c>
      <c r="K311" s="7"/>
      <c r="L311" s="7" t="s">
        <v>167</v>
      </c>
      <c r="M311" s="7" t="s">
        <v>4436</v>
      </c>
      <c r="N311" s="7" t="s">
        <v>410</v>
      </c>
      <c r="O311" s="7" t="s">
        <v>162</v>
      </c>
      <c r="P311" s="7" t="s">
        <v>6473</v>
      </c>
      <c r="Q311" s="129">
        <v>46199</v>
      </c>
      <c r="R311" s="130">
        <f t="shared" si="39"/>
        <v>46205</v>
      </c>
      <c r="S311" s="131">
        <f t="shared" si="38"/>
        <v>6</v>
      </c>
      <c r="T311" s="7" t="s">
        <v>175</v>
      </c>
      <c r="U311" s="7" t="s">
        <v>369</v>
      </c>
      <c r="V311" s="7"/>
      <c r="W311" s="7">
        <v>171.26</v>
      </c>
      <c r="X311" s="132">
        <f t="shared" si="36"/>
        <v>10</v>
      </c>
      <c r="Y311" s="133"/>
      <c r="Z311" s="133"/>
      <c r="AA311" s="133"/>
    </row>
    <row r="312" spans="1:27" hidden="1" x14ac:dyDescent="0.25">
      <c r="A312" s="127">
        <v>327</v>
      </c>
      <c r="B312" s="128" t="str">
        <f t="shared" si="37"/>
        <v>CHOT</v>
      </c>
      <c r="C312" s="128" t="str">
        <f>+VLOOKUP(U312,Ходим!A:B,2,0)</f>
        <v>31904922100113</v>
      </c>
      <c r="D312" s="128" t="str">
        <f>IFERROR(VLOOKUP($B:$B,[20]свод!$A:$AB,3,0)," ")</f>
        <v>Чортоқ тумани</v>
      </c>
      <c r="E312" s="7" t="s">
        <v>1456</v>
      </c>
      <c r="F312" s="7" t="s">
        <v>7859</v>
      </c>
      <c r="G312" s="134">
        <f t="shared" si="40"/>
        <v>1</v>
      </c>
      <c r="H312" s="134" t="str">
        <f t="shared" si="41"/>
        <v/>
      </c>
      <c r="I312" s="7" t="s">
        <v>158</v>
      </c>
      <c r="J312" s="7" t="s">
        <v>172</v>
      </c>
      <c r="K312" s="7"/>
      <c r="L312" s="7" t="s">
        <v>167</v>
      </c>
      <c r="M312" s="7" t="s">
        <v>4437</v>
      </c>
      <c r="N312" s="7" t="s">
        <v>170</v>
      </c>
      <c r="O312" s="7" t="s">
        <v>162</v>
      </c>
      <c r="P312" s="7" t="s">
        <v>6414</v>
      </c>
      <c r="Q312" s="129">
        <v>46199</v>
      </c>
      <c r="R312" s="130">
        <f t="shared" si="39"/>
        <v>46211</v>
      </c>
      <c r="S312" s="131">
        <f t="shared" si="38"/>
        <v>12</v>
      </c>
      <c r="T312" s="7" t="s">
        <v>184</v>
      </c>
      <c r="U312" s="7" t="s">
        <v>310</v>
      </c>
      <c r="V312" s="7"/>
      <c r="W312" s="7">
        <v>365.15</v>
      </c>
      <c r="X312" s="132">
        <f t="shared" si="36"/>
        <v>10</v>
      </c>
      <c r="Y312" s="133"/>
      <c r="Z312" s="133"/>
      <c r="AA312" s="133"/>
    </row>
    <row r="313" spans="1:27" hidden="1" x14ac:dyDescent="0.25">
      <c r="A313" s="127">
        <v>328</v>
      </c>
      <c r="B313" s="128" t="str">
        <f t="shared" si="37"/>
        <v>CHOT</v>
      </c>
      <c r="C313" s="128" t="str">
        <f>+VLOOKUP(U313,Ходим!A:B,2,0)</f>
        <v>31904922100113</v>
      </c>
      <c r="D313" s="128" t="str">
        <f>IFERROR(VLOOKUP($B:$B,[20]свод!$A:$AB,3,0)," ")</f>
        <v>Чортоқ тумани</v>
      </c>
      <c r="E313" s="7" t="s">
        <v>1457</v>
      </c>
      <c r="F313" s="7" t="s">
        <v>7860</v>
      </c>
      <c r="G313" s="134">
        <f t="shared" si="40"/>
        <v>1</v>
      </c>
      <c r="H313" s="134" t="str">
        <f t="shared" si="41"/>
        <v/>
      </c>
      <c r="I313" s="7" t="s">
        <v>158</v>
      </c>
      <c r="J313" s="7" t="s">
        <v>172</v>
      </c>
      <c r="K313" s="7"/>
      <c r="L313" s="7" t="s">
        <v>167</v>
      </c>
      <c r="M313" s="7" t="s">
        <v>4438</v>
      </c>
      <c r="N313" s="7" t="s">
        <v>170</v>
      </c>
      <c r="O313" s="7" t="s">
        <v>162</v>
      </c>
      <c r="P313" s="7" t="s">
        <v>6447</v>
      </c>
      <c r="Q313" s="129">
        <v>46199</v>
      </c>
      <c r="R313" s="130">
        <f t="shared" si="39"/>
        <v>46210</v>
      </c>
      <c r="S313" s="131">
        <f t="shared" si="38"/>
        <v>11</v>
      </c>
      <c r="T313" s="7" t="s">
        <v>184</v>
      </c>
      <c r="U313" s="7" t="s">
        <v>310</v>
      </c>
      <c r="V313" s="7"/>
      <c r="W313" s="7">
        <v>0</v>
      </c>
      <c r="X313" s="132">
        <f t="shared" si="36"/>
        <v>10</v>
      </c>
      <c r="Y313" s="133"/>
      <c r="Z313" s="133"/>
      <c r="AA313" s="133"/>
    </row>
    <row r="314" spans="1:27" hidden="1" x14ac:dyDescent="0.25">
      <c r="A314" s="127">
        <v>330</v>
      </c>
      <c r="B314" s="128" t="str">
        <f t="shared" si="37"/>
        <v>YGQT</v>
      </c>
      <c r="C314" s="128" t="str">
        <f>+VLOOKUP(U314,Ходим!A:B,2,0)</f>
        <v>52010015950028</v>
      </c>
      <c r="D314" s="128" t="str">
        <f>IFERROR(VLOOKUP($B:$B,[20]свод!$A:$AB,3,0)," ")</f>
        <v>Янгиқўрғон тумани</v>
      </c>
      <c r="E314" s="7" t="s">
        <v>1458</v>
      </c>
      <c r="F314" s="7" t="s">
        <v>7861</v>
      </c>
      <c r="G314" s="134">
        <f t="shared" si="40"/>
        <v>1</v>
      </c>
      <c r="H314" s="134" t="str">
        <f t="shared" si="41"/>
        <v/>
      </c>
      <c r="I314" s="7" t="s">
        <v>158</v>
      </c>
      <c r="J314" s="7" t="s">
        <v>134</v>
      </c>
      <c r="K314" s="7"/>
      <c r="L314" s="7"/>
      <c r="M314" s="7"/>
      <c r="N314" s="7" t="s">
        <v>170</v>
      </c>
      <c r="O314" s="7" t="s">
        <v>162</v>
      </c>
      <c r="P314" s="7" t="s">
        <v>6473</v>
      </c>
      <c r="Q314" s="129">
        <v>46199</v>
      </c>
      <c r="R314" s="130">
        <f t="shared" si="39"/>
        <v>46205</v>
      </c>
      <c r="S314" s="131">
        <f t="shared" si="38"/>
        <v>6</v>
      </c>
      <c r="T314" s="7" t="s">
        <v>255</v>
      </c>
      <c r="U314" s="7" t="s">
        <v>391</v>
      </c>
      <c r="V314" s="7"/>
      <c r="W314" s="7"/>
      <c r="X314" s="132">
        <f t="shared" si="36"/>
        <v>10</v>
      </c>
      <c r="Y314" s="133"/>
      <c r="Z314" s="133"/>
      <c r="AA314" s="133"/>
    </row>
    <row r="315" spans="1:27" hidden="1" x14ac:dyDescent="0.25">
      <c r="A315" s="127">
        <v>331</v>
      </c>
      <c r="B315" s="128" t="str">
        <f t="shared" si="37"/>
        <v>CHOT</v>
      </c>
      <c r="C315" s="128" t="str">
        <f>+VLOOKUP(U315,Ходим!A:B,2,0)</f>
        <v>30608892100030</v>
      </c>
      <c r="D315" s="128" t="str">
        <f>IFERROR(VLOOKUP($B:$B,[20]свод!$A:$AB,3,0)," ")</f>
        <v>Чортоқ тумани</v>
      </c>
      <c r="E315" s="7" t="s">
        <v>1459</v>
      </c>
      <c r="F315" s="7" t="s">
        <v>7862</v>
      </c>
      <c r="G315" s="134">
        <f t="shared" si="40"/>
        <v>1</v>
      </c>
      <c r="H315" s="134" t="str">
        <f t="shared" si="41"/>
        <v/>
      </c>
      <c r="I315" s="7" t="s">
        <v>158</v>
      </c>
      <c r="J315" s="7" t="s">
        <v>2</v>
      </c>
      <c r="K315" s="7"/>
      <c r="L315" s="7" t="s">
        <v>167</v>
      </c>
      <c r="M315" s="7" t="s">
        <v>1058</v>
      </c>
      <c r="N315" s="7" t="s">
        <v>170</v>
      </c>
      <c r="O315" s="7" t="s">
        <v>163</v>
      </c>
      <c r="P315" s="7" t="s">
        <v>6417</v>
      </c>
      <c r="Q315" s="129">
        <v>46199</v>
      </c>
      <c r="R315" s="130">
        <f t="shared" si="39"/>
        <v>46210</v>
      </c>
      <c r="S315" s="131">
        <f t="shared" si="38"/>
        <v>11</v>
      </c>
      <c r="T315" s="7" t="s">
        <v>10635</v>
      </c>
      <c r="U315" s="7" t="s">
        <v>266</v>
      </c>
      <c r="V315" s="7"/>
      <c r="W315" s="7">
        <v>0</v>
      </c>
      <c r="X315" s="132">
        <f t="shared" si="36"/>
        <v>10</v>
      </c>
      <c r="Y315" s="133"/>
      <c r="Z315" s="133"/>
      <c r="AA315" s="133"/>
    </row>
    <row r="316" spans="1:27" hidden="1" x14ac:dyDescent="0.25">
      <c r="A316" s="127">
        <v>333</v>
      </c>
      <c r="B316" s="128" t="str">
        <f t="shared" si="37"/>
        <v>UYCT</v>
      </c>
      <c r="C316" s="128" t="str">
        <f>+VLOOKUP(U316,Ходим!A:B,2,0)</f>
        <v>31004952140036</v>
      </c>
      <c r="D316" s="128" t="str">
        <f>IFERROR(VLOOKUP($B:$B,[20]свод!$A:$AB,3,0)," ")</f>
        <v>Уйчи тумани</v>
      </c>
      <c r="E316" s="7" t="s">
        <v>1460</v>
      </c>
      <c r="F316" s="7" t="s">
        <v>7863</v>
      </c>
      <c r="G316" s="134">
        <f t="shared" si="40"/>
        <v>1</v>
      </c>
      <c r="H316" s="134" t="str">
        <f t="shared" si="41"/>
        <v/>
      </c>
      <c r="I316" s="7" t="s">
        <v>158</v>
      </c>
      <c r="J316" s="7" t="s">
        <v>1</v>
      </c>
      <c r="K316" s="7"/>
      <c r="L316" s="7" t="s">
        <v>167</v>
      </c>
      <c r="M316" s="7" t="s">
        <v>4439</v>
      </c>
      <c r="N316" s="7" t="s">
        <v>170</v>
      </c>
      <c r="O316" s="7" t="s">
        <v>162</v>
      </c>
      <c r="P316" s="7" t="s">
        <v>6326</v>
      </c>
      <c r="Q316" s="129">
        <v>46199</v>
      </c>
      <c r="R316" s="130">
        <f t="shared" si="39"/>
        <v>46204</v>
      </c>
      <c r="S316" s="131">
        <f t="shared" si="38"/>
        <v>5</v>
      </c>
      <c r="T316" s="7" t="s">
        <v>947</v>
      </c>
      <c r="U316" s="7" t="s">
        <v>331</v>
      </c>
      <c r="V316" s="7"/>
      <c r="W316" s="7">
        <v>205.55</v>
      </c>
      <c r="X316" s="132">
        <f t="shared" si="36"/>
        <v>10</v>
      </c>
      <c r="Y316" s="133"/>
      <c r="Z316" s="133"/>
      <c r="AA316" s="133"/>
    </row>
    <row r="317" spans="1:27" hidden="1" x14ac:dyDescent="0.25">
      <c r="A317" s="127">
        <v>334</v>
      </c>
      <c r="B317" s="128" t="str">
        <f t="shared" si="37"/>
        <v>YGQT</v>
      </c>
      <c r="C317" s="128" t="str">
        <f>+VLOOKUP(U317,Ходим!A:B,2,0)</f>
        <v>52410005950025</v>
      </c>
      <c r="D317" s="128" t="str">
        <f>IFERROR(VLOOKUP($B:$B,[20]свод!$A:$AB,3,0)," ")</f>
        <v>Янгиқўрғон тумани</v>
      </c>
      <c r="E317" s="7" t="s">
        <v>1461</v>
      </c>
      <c r="F317" s="7" t="s">
        <v>7864</v>
      </c>
      <c r="G317" s="134">
        <f t="shared" si="40"/>
        <v>1</v>
      </c>
      <c r="H317" s="134" t="str">
        <f t="shared" si="41"/>
        <v/>
      </c>
      <c r="I317" s="7" t="s">
        <v>158</v>
      </c>
      <c r="J317" s="7" t="s">
        <v>2</v>
      </c>
      <c r="K317" s="7"/>
      <c r="L317" s="7" t="s">
        <v>167</v>
      </c>
      <c r="M317" s="7" t="s">
        <v>4440</v>
      </c>
      <c r="N317" s="7" t="s">
        <v>170</v>
      </c>
      <c r="O317" s="7" t="s">
        <v>162</v>
      </c>
      <c r="P317" s="7" t="s">
        <v>6410</v>
      </c>
      <c r="Q317" s="129">
        <v>46199</v>
      </c>
      <c r="R317" s="130">
        <f t="shared" si="39"/>
        <v>46204</v>
      </c>
      <c r="S317" s="131">
        <f t="shared" si="38"/>
        <v>5</v>
      </c>
      <c r="T317" s="7" t="s">
        <v>255</v>
      </c>
      <c r="U317" s="7" t="s">
        <v>256</v>
      </c>
      <c r="V317" s="7"/>
      <c r="W317" s="7">
        <v>156.38</v>
      </c>
      <c r="X317" s="132">
        <f t="shared" si="36"/>
        <v>10</v>
      </c>
      <c r="Y317" s="133"/>
      <c r="Z317" s="133"/>
      <c r="AA317" s="133"/>
    </row>
    <row r="318" spans="1:27" x14ac:dyDescent="0.25">
      <c r="A318" s="127">
        <v>336</v>
      </c>
      <c r="B318" s="128" t="str">
        <f t="shared" si="37"/>
        <v>TORT</v>
      </c>
      <c r="C318" s="128" t="str">
        <f>+VLOOKUP(U318,Ходим!A:B,2,0)</f>
        <v>31704782130035</v>
      </c>
      <c r="D318" s="128" t="str">
        <f>IFERROR(VLOOKUP($B:$B,[20]свод!$A:$AB,3,0)," ")</f>
        <v>Тўрақўрғон тумани</v>
      </c>
      <c r="E318" s="7" t="s">
        <v>1462</v>
      </c>
      <c r="F318" s="7" t="s">
        <v>7865</v>
      </c>
      <c r="G318" s="134">
        <f t="shared" si="40"/>
        <v>1</v>
      </c>
      <c r="H318" s="134" t="str">
        <f t="shared" si="41"/>
        <v/>
      </c>
      <c r="I318" s="7" t="s">
        <v>158</v>
      </c>
      <c r="J318" s="7" t="s">
        <v>1</v>
      </c>
      <c r="K318" s="7"/>
      <c r="L318" s="7" t="s">
        <v>167</v>
      </c>
      <c r="M318" s="7" t="s">
        <v>4441</v>
      </c>
      <c r="N318" s="7" t="s">
        <v>170</v>
      </c>
      <c r="O318" s="7" t="s">
        <v>162</v>
      </c>
      <c r="P318" s="7" t="s">
        <v>6474</v>
      </c>
      <c r="Q318" s="129">
        <v>46199</v>
      </c>
      <c r="R318" s="130">
        <f t="shared" si="39"/>
        <v>46199</v>
      </c>
      <c r="S318" s="131">
        <f t="shared" si="38"/>
        <v>0</v>
      </c>
      <c r="T318" s="7" t="s">
        <v>203</v>
      </c>
      <c r="U318" s="7" t="s">
        <v>344</v>
      </c>
      <c r="V318" s="7"/>
      <c r="W318" s="7">
        <v>249.71</v>
      </c>
      <c r="X318" s="132">
        <f t="shared" si="36"/>
        <v>10</v>
      </c>
      <c r="Y318" s="133"/>
      <c r="Z318" s="133"/>
      <c r="AA318" s="133"/>
    </row>
    <row r="319" spans="1:27" hidden="1" x14ac:dyDescent="0.25">
      <c r="A319" s="127">
        <v>337</v>
      </c>
      <c r="B319" s="128" t="str">
        <f t="shared" si="37"/>
        <v>CHUT</v>
      </c>
      <c r="C319" s="128" t="str">
        <f>+VLOOKUP(U319,Ходим!A:B,2,0)</f>
        <v>30202885970013</v>
      </c>
      <c r="D319" s="128" t="str">
        <f>IFERROR(VLOOKUP($B:$B,[20]свод!$A:$AB,3,0)," ")</f>
        <v>Чуст тумани</v>
      </c>
      <c r="E319" s="7" t="s">
        <v>1463</v>
      </c>
      <c r="F319" s="7" t="s">
        <v>7866</v>
      </c>
      <c r="G319" s="134" t="str">
        <f t="shared" si="40"/>
        <v/>
      </c>
      <c r="H319" s="134">
        <f t="shared" si="41"/>
        <v>1</v>
      </c>
      <c r="I319" s="7" t="s">
        <v>157</v>
      </c>
      <c r="J319" s="7" t="s">
        <v>2</v>
      </c>
      <c r="K319" s="7"/>
      <c r="L319" s="7" t="s">
        <v>168</v>
      </c>
      <c r="M319" s="7" t="s">
        <v>4442</v>
      </c>
      <c r="N319" s="7" t="s">
        <v>410</v>
      </c>
      <c r="O319" s="7" t="s">
        <v>161</v>
      </c>
      <c r="P319" s="7" t="s">
        <v>6475</v>
      </c>
      <c r="Q319" s="129">
        <v>46199</v>
      </c>
      <c r="R319" s="130">
        <f t="shared" si="39"/>
        <v>46206</v>
      </c>
      <c r="S319" s="131">
        <f t="shared" si="38"/>
        <v>7</v>
      </c>
      <c r="T319" s="7" t="s">
        <v>178</v>
      </c>
      <c r="U319" s="7" t="s">
        <v>289</v>
      </c>
      <c r="V319" s="7"/>
      <c r="W319" s="7">
        <v>0</v>
      </c>
      <c r="X319" s="132">
        <f t="shared" si="36"/>
        <v>7</v>
      </c>
      <c r="Y319" s="133"/>
      <c r="Z319" s="133"/>
      <c r="AA319" s="133"/>
    </row>
    <row r="320" spans="1:27" hidden="1" x14ac:dyDescent="0.25">
      <c r="A320" s="127">
        <v>339</v>
      </c>
      <c r="B320" s="128" t="str">
        <f t="shared" si="37"/>
        <v>MINT</v>
      </c>
      <c r="C320" s="128" t="e">
        <f>+VLOOKUP(U320,Ходим!A:B,2,0)</f>
        <v>#N/A</v>
      </c>
      <c r="D320" s="128" t="str">
        <f>IFERROR(VLOOKUP($B:$B,[20]свод!$A:$AB,3,0)," ")</f>
        <v>Мингбулоқ тумани</v>
      </c>
      <c r="E320" s="7" t="s">
        <v>1464</v>
      </c>
      <c r="F320" s="7" t="s">
        <v>7867</v>
      </c>
      <c r="G320" s="134">
        <f t="shared" si="40"/>
        <v>1</v>
      </c>
      <c r="H320" s="134" t="str">
        <f t="shared" si="41"/>
        <v/>
      </c>
      <c r="I320" s="7" t="s">
        <v>156</v>
      </c>
      <c r="J320" s="7" t="s">
        <v>11</v>
      </c>
      <c r="K320" s="7"/>
      <c r="L320" s="7"/>
      <c r="M320" s="7"/>
      <c r="N320" s="7" t="s">
        <v>410</v>
      </c>
      <c r="O320" s="7" t="s">
        <v>162</v>
      </c>
      <c r="P320" s="7" t="s">
        <v>6475</v>
      </c>
      <c r="Q320" s="129">
        <v>46199</v>
      </c>
      <c r="R320" s="130">
        <f t="shared" si="39"/>
        <v>46211</v>
      </c>
      <c r="S320" s="131">
        <f t="shared" si="38"/>
        <v>12</v>
      </c>
      <c r="T320" s="7"/>
      <c r="U320" s="7"/>
      <c r="V320" s="7"/>
      <c r="W320" s="7"/>
      <c r="X320" s="132">
        <f t="shared" si="36"/>
        <v>10</v>
      </c>
      <c r="Y320" s="133"/>
      <c r="Z320" s="133"/>
      <c r="AA320" s="133"/>
    </row>
    <row r="321" spans="1:27" hidden="1" x14ac:dyDescent="0.25">
      <c r="A321" s="127">
        <v>341</v>
      </c>
      <c r="B321" s="128" t="str">
        <f t="shared" si="37"/>
        <v>YGQT</v>
      </c>
      <c r="C321" s="128" t="str">
        <f>+VLOOKUP(U321,Ходим!A:B,2,0)</f>
        <v>52010015950028</v>
      </c>
      <c r="D321" s="128" t="str">
        <f>IFERROR(VLOOKUP($B:$B,[20]свод!$A:$AB,3,0)," ")</f>
        <v>Янгиқўрғон тумани</v>
      </c>
      <c r="E321" s="7" t="s">
        <v>1465</v>
      </c>
      <c r="F321" s="7" t="s">
        <v>7868</v>
      </c>
      <c r="G321" s="134">
        <f t="shared" si="40"/>
        <v>1</v>
      </c>
      <c r="H321" s="134" t="str">
        <f t="shared" si="41"/>
        <v/>
      </c>
      <c r="I321" s="7" t="s">
        <v>158</v>
      </c>
      <c r="J321" s="7" t="s">
        <v>2</v>
      </c>
      <c r="K321" s="7"/>
      <c r="L321" s="7"/>
      <c r="M321" s="7"/>
      <c r="N321" s="7" t="s">
        <v>170</v>
      </c>
      <c r="O321" s="7" t="s">
        <v>162</v>
      </c>
      <c r="P321" s="7" t="s">
        <v>6425</v>
      </c>
      <c r="Q321" s="129">
        <v>46199</v>
      </c>
      <c r="R321" s="130">
        <f t="shared" si="39"/>
        <v>46204</v>
      </c>
      <c r="S321" s="131">
        <f t="shared" si="38"/>
        <v>5</v>
      </c>
      <c r="T321" s="7" t="s">
        <v>255</v>
      </c>
      <c r="U321" s="7" t="s">
        <v>391</v>
      </c>
      <c r="V321" s="7"/>
      <c r="W321" s="7"/>
      <c r="X321" s="132">
        <f t="shared" si="36"/>
        <v>10</v>
      </c>
      <c r="Y321" s="133"/>
      <c r="Z321" s="133"/>
      <c r="AA321" s="133"/>
    </row>
    <row r="322" spans="1:27" hidden="1" x14ac:dyDescent="0.25">
      <c r="A322" s="127">
        <v>342</v>
      </c>
      <c r="B322" s="128" t="str">
        <f t="shared" si="37"/>
        <v>NAMS</v>
      </c>
      <c r="C322" s="128" t="str">
        <f>+VLOOKUP(U322,Ходим!A:B,2,0)</f>
        <v>33012942170121</v>
      </c>
      <c r="D322" s="128" t="str">
        <f>IFERROR(VLOOKUP($B:$B,[20]свод!$A:$AB,3,0)," ")</f>
        <v>Наманган шаҳар</v>
      </c>
      <c r="E322" s="7" t="s">
        <v>1466</v>
      </c>
      <c r="F322" s="7" t="s">
        <v>7869</v>
      </c>
      <c r="G322" s="134">
        <f t="shared" si="40"/>
        <v>1</v>
      </c>
      <c r="H322" s="134" t="str">
        <f t="shared" si="41"/>
        <v/>
      </c>
      <c r="I322" s="7" t="s">
        <v>156</v>
      </c>
      <c r="J322" s="7" t="s">
        <v>25</v>
      </c>
      <c r="K322" s="7"/>
      <c r="L322" s="7" t="s">
        <v>167</v>
      </c>
      <c r="M322" s="7" t="s">
        <v>4443</v>
      </c>
      <c r="N322" s="7" t="s">
        <v>170</v>
      </c>
      <c r="O322" s="7" t="s">
        <v>162</v>
      </c>
      <c r="P322" s="7" t="s">
        <v>6476</v>
      </c>
      <c r="Q322" s="129">
        <v>46199</v>
      </c>
      <c r="R322" s="130">
        <f t="shared" si="39"/>
        <v>46205</v>
      </c>
      <c r="S322" s="131">
        <f t="shared" si="38"/>
        <v>6</v>
      </c>
      <c r="T322" s="7" t="s">
        <v>173</v>
      </c>
      <c r="U322" s="7" t="s">
        <v>259</v>
      </c>
      <c r="V322" s="7"/>
      <c r="W322" s="7">
        <v>185</v>
      </c>
      <c r="X322" s="132">
        <f t="shared" si="36"/>
        <v>10</v>
      </c>
      <c r="Y322" s="133"/>
      <c r="Z322" s="133"/>
      <c r="AA322" s="133"/>
    </row>
    <row r="323" spans="1:27" hidden="1" x14ac:dyDescent="0.25">
      <c r="A323" s="127">
        <v>343</v>
      </c>
      <c r="B323" s="128" t="str">
        <f t="shared" si="37"/>
        <v>CHUT</v>
      </c>
      <c r="C323" s="128" t="str">
        <f>+VLOOKUP(U323,Ходим!A:B,2,0)</f>
        <v>31312912180061</v>
      </c>
      <c r="D323" s="128" t="str">
        <f>IFERROR(VLOOKUP($B:$B,[20]свод!$A:$AB,3,0)," ")</f>
        <v>Чуст тумани</v>
      </c>
      <c r="E323" s="7" t="s">
        <v>1467</v>
      </c>
      <c r="F323" s="7" t="s">
        <v>7870</v>
      </c>
      <c r="G323" s="134" t="str">
        <f t="shared" si="40"/>
        <v/>
      </c>
      <c r="H323" s="134">
        <f t="shared" si="41"/>
        <v>1</v>
      </c>
      <c r="I323" s="7" t="s">
        <v>155</v>
      </c>
      <c r="J323" s="7" t="s">
        <v>25</v>
      </c>
      <c r="K323" s="7"/>
      <c r="L323" s="7" t="s">
        <v>168</v>
      </c>
      <c r="M323" s="7" t="s">
        <v>4444</v>
      </c>
      <c r="N323" s="7" t="s">
        <v>410</v>
      </c>
      <c r="O323" s="7" t="s">
        <v>161</v>
      </c>
      <c r="P323" s="7" t="s">
        <v>6477</v>
      </c>
      <c r="Q323" s="129">
        <v>46199</v>
      </c>
      <c r="R323" s="130">
        <f t="shared" si="39"/>
        <v>46206</v>
      </c>
      <c r="S323" s="131">
        <f t="shared" si="38"/>
        <v>7</v>
      </c>
      <c r="T323" s="7" t="s">
        <v>178</v>
      </c>
      <c r="U323" s="7" t="s">
        <v>202</v>
      </c>
      <c r="V323" s="7"/>
      <c r="W323" s="7">
        <v>0</v>
      </c>
      <c r="X323" s="132">
        <f t="shared" si="36"/>
        <v>7</v>
      </c>
      <c r="Y323" s="133"/>
      <c r="Z323" s="133"/>
      <c r="AA323" s="133"/>
    </row>
    <row r="324" spans="1:27" hidden="1" x14ac:dyDescent="0.25">
      <c r="A324" s="127">
        <v>344</v>
      </c>
      <c r="B324" s="128" t="str">
        <f t="shared" si="37"/>
        <v>CHUT</v>
      </c>
      <c r="C324" s="128" t="str">
        <f>+VLOOKUP(U324,Ходим!A:B,2,0)</f>
        <v>52508015970048</v>
      </c>
      <c r="D324" s="128" t="str">
        <f>IFERROR(VLOOKUP($B:$B,[20]свод!$A:$AB,3,0)," ")</f>
        <v>Чуст тумани</v>
      </c>
      <c r="E324" s="7" t="s">
        <v>1468</v>
      </c>
      <c r="F324" s="7" t="s">
        <v>7871</v>
      </c>
      <c r="G324" s="134">
        <f t="shared" si="40"/>
        <v>1</v>
      </c>
      <c r="H324" s="134" t="str">
        <f t="shared" si="41"/>
        <v/>
      </c>
      <c r="I324" s="7" t="s">
        <v>158</v>
      </c>
      <c r="J324" s="7" t="s">
        <v>172</v>
      </c>
      <c r="K324" s="7"/>
      <c r="L324" s="7" t="s">
        <v>167</v>
      </c>
      <c r="M324" s="7" t="s">
        <v>4445</v>
      </c>
      <c r="N324" s="7" t="s">
        <v>170</v>
      </c>
      <c r="O324" s="7" t="s">
        <v>162</v>
      </c>
      <c r="P324" s="7" t="s">
        <v>6320</v>
      </c>
      <c r="Q324" s="129">
        <v>46199</v>
      </c>
      <c r="R324" s="130">
        <f t="shared" si="39"/>
        <v>46204</v>
      </c>
      <c r="S324" s="131">
        <f t="shared" si="38"/>
        <v>5</v>
      </c>
      <c r="T324" s="7" t="s">
        <v>178</v>
      </c>
      <c r="U324" s="7" t="s">
        <v>350</v>
      </c>
      <c r="V324" s="7"/>
      <c r="W324" s="7">
        <v>277.66000000000003</v>
      </c>
      <c r="X324" s="132">
        <f t="shared" si="36"/>
        <v>10</v>
      </c>
      <c r="Y324" s="133"/>
      <c r="Z324" s="133"/>
      <c r="AA324" s="133"/>
    </row>
    <row r="325" spans="1:27" hidden="1" x14ac:dyDescent="0.25">
      <c r="A325" s="127">
        <v>345</v>
      </c>
      <c r="B325" s="128" t="str">
        <f t="shared" si="37"/>
        <v>POPT</v>
      </c>
      <c r="C325" s="128" t="str">
        <f>+VLOOKUP(U325,Ходим!A:B,2,0)</f>
        <v>30809922120031</v>
      </c>
      <c r="D325" s="128" t="str">
        <f>IFERROR(VLOOKUP($B:$B,[20]свод!$A:$AB,3,0)," ")</f>
        <v>Поп тумани</v>
      </c>
      <c r="E325" s="7" t="s">
        <v>1469</v>
      </c>
      <c r="F325" s="7" t="s">
        <v>7872</v>
      </c>
      <c r="G325" s="134" t="str">
        <f t="shared" si="40"/>
        <v/>
      </c>
      <c r="H325" s="134">
        <f t="shared" si="41"/>
        <v>1</v>
      </c>
      <c r="I325" s="7" t="s">
        <v>157</v>
      </c>
      <c r="J325" s="7" t="s">
        <v>2</v>
      </c>
      <c r="K325" s="7"/>
      <c r="L325" s="7"/>
      <c r="M325" s="7"/>
      <c r="N325" s="7" t="s">
        <v>170</v>
      </c>
      <c r="O325" s="7" t="s">
        <v>161</v>
      </c>
      <c r="P325" s="7" t="s">
        <v>6307</v>
      </c>
      <c r="Q325" s="129">
        <v>46199</v>
      </c>
      <c r="R325" s="130">
        <f t="shared" si="39"/>
        <v>46210</v>
      </c>
      <c r="S325" s="131">
        <f t="shared" si="38"/>
        <v>11</v>
      </c>
      <c r="T325" s="7" t="s">
        <v>240</v>
      </c>
      <c r="U325" s="7" t="s">
        <v>339</v>
      </c>
      <c r="V325" s="7"/>
      <c r="W325" s="7"/>
      <c r="X325" s="132">
        <f t="shared" ref="X325:X363" si="42">IF(N325="Kadastr muhandisi",3,
IF(N325="UZKAD",5,
IF(V325="FREE",5,
IF(I325="Registratsiya (tashqi - UZKAD da bor)",1,
IF(I325="Avtoyo'l va suv xo'jaligi obyektining kadastr pasportini shakllantirish va ro'yxatga olish",7,
IF(I325="Notarius uchun ma'lumotnoma (uz)",1,
IF(I325="Qurilishi tugallangan ko'chmas mulkni foydalanishga qabul qilish",10,
IF(OR(I325="Turar joy obyektning kadastr pasportini shakllantirish va davlat ro'yxatidan o'tkazish",I325="Turar kompozit"),
IF(L325="Turar yer maydoni",7,10),
IF(OR(I325="Noturar obyektning kadastr pasportini shakllantirish va davlat ro'yxatidan o'tkazish",I325="Noturar kompozit"),
IF(O325="Ko‘p yillik daraxtlar xizmati",15,
IF(OR(L325="Noturar yer maydoni",L325="Davlat tashkilotlaridan ijaraga olingan yer uchastkasi"),7,
IF(W325&lt;100,10,IF(W325&lt;=1000,12,IF(W325&lt;=5000,17,IF(W325&lt;=15000,22,IF(W325&lt;=50000,28,37))))))),
IF(I325="Umumiy foydalanishdagi ko'chmas mulk qismini yaratish",
IF(IF(TRIM(L325)="",IF(OR(O325="Turar joy xizmati",O325="Yakka tartibdagi turar joy"),"Turar","Noturar"),IF(OR(L325="Yakka tartibdagi turar joy",L325="Turar joy xizmati"),"Turar","Noturar"))="Turar",
10,IF(W325&lt;100,10,IF(W325&lt;=1000,12,IF(W325&lt;=5000,17,IF(W325&lt;=15000,22,IF(W325&lt;=50000,28,37)))))),
0))))))))))</f>
        <v>10</v>
      </c>
      <c r="Y325" s="133"/>
      <c r="Z325" s="133"/>
      <c r="AA325" s="133"/>
    </row>
    <row r="326" spans="1:27" hidden="1" x14ac:dyDescent="0.25">
      <c r="A326" s="127">
        <v>346</v>
      </c>
      <c r="B326" s="128" t="str">
        <f t="shared" ref="B326:B364" si="43">LEFT(E326,4)</f>
        <v>UCQT</v>
      </c>
      <c r="C326" s="128">
        <f>+VLOOKUP(U326,Ходим!A:B,2,0)</f>
        <v>52107015940019</v>
      </c>
      <c r="D326" s="128" t="str">
        <f>IFERROR(VLOOKUP($B:$B,[20]свод!$A:$AB,3,0)," ")</f>
        <v>Учқўрғон тумани</v>
      </c>
      <c r="E326" s="7" t="s">
        <v>1470</v>
      </c>
      <c r="F326" s="7" t="s">
        <v>7873</v>
      </c>
      <c r="G326" s="134">
        <f t="shared" si="40"/>
        <v>1</v>
      </c>
      <c r="H326" s="134" t="str">
        <f t="shared" si="41"/>
        <v/>
      </c>
      <c r="I326" s="7" t="s">
        <v>158</v>
      </c>
      <c r="J326" s="7" t="s">
        <v>2</v>
      </c>
      <c r="K326" s="7"/>
      <c r="L326" s="7" t="s">
        <v>167</v>
      </c>
      <c r="M326" s="7" t="s">
        <v>4446</v>
      </c>
      <c r="N326" s="7" t="s">
        <v>410</v>
      </c>
      <c r="O326" s="7" t="s">
        <v>162</v>
      </c>
      <c r="P326" s="7" t="s">
        <v>6478</v>
      </c>
      <c r="Q326" s="129">
        <v>46199</v>
      </c>
      <c r="R326" s="130">
        <f t="shared" si="39"/>
        <v>46205</v>
      </c>
      <c r="S326" s="131">
        <f t="shared" ref="S326:S364" si="44">R326-Q326</f>
        <v>6</v>
      </c>
      <c r="T326" s="7" t="s">
        <v>175</v>
      </c>
      <c r="U326" s="7" t="s">
        <v>361</v>
      </c>
      <c r="V326" s="7"/>
      <c r="W326" s="7">
        <v>147</v>
      </c>
      <c r="X326" s="132">
        <f t="shared" si="42"/>
        <v>10</v>
      </c>
      <c r="Y326" s="133"/>
      <c r="Z326" s="133"/>
      <c r="AA326" s="133"/>
    </row>
    <row r="327" spans="1:27" hidden="1" x14ac:dyDescent="0.25">
      <c r="A327" s="127">
        <v>347</v>
      </c>
      <c r="B327" s="128" t="str">
        <f t="shared" si="43"/>
        <v>CHUT</v>
      </c>
      <c r="C327" s="128" t="str">
        <f>+VLOOKUP(U327,Ходим!A:B,2,0)</f>
        <v>31312912180061</v>
      </c>
      <c r="D327" s="128" t="str">
        <f>IFERROR(VLOOKUP($B:$B,[20]свод!$A:$AB,3,0)," ")</f>
        <v>Чуст тумани</v>
      </c>
      <c r="E327" s="7" t="s">
        <v>1471</v>
      </c>
      <c r="F327" s="7" t="s">
        <v>7874</v>
      </c>
      <c r="G327" s="134" t="str">
        <f t="shared" si="40"/>
        <v/>
      </c>
      <c r="H327" s="134">
        <f t="shared" si="41"/>
        <v>1</v>
      </c>
      <c r="I327" s="7" t="s">
        <v>155</v>
      </c>
      <c r="J327" s="7" t="s">
        <v>25</v>
      </c>
      <c r="K327" s="7"/>
      <c r="L327" s="7" t="s">
        <v>168</v>
      </c>
      <c r="M327" s="7" t="s">
        <v>4447</v>
      </c>
      <c r="N327" s="7" t="s">
        <v>410</v>
      </c>
      <c r="O327" s="7" t="s">
        <v>161</v>
      </c>
      <c r="P327" s="7" t="s">
        <v>6479</v>
      </c>
      <c r="Q327" s="129">
        <v>46199</v>
      </c>
      <c r="R327" s="130">
        <f t="shared" si="39"/>
        <v>46206</v>
      </c>
      <c r="S327" s="131">
        <f t="shared" si="44"/>
        <v>7</v>
      </c>
      <c r="T327" s="7" t="s">
        <v>178</v>
      </c>
      <c r="U327" s="7" t="s">
        <v>202</v>
      </c>
      <c r="V327" s="7"/>
      <c r="W327" s="7">
        <v>0</v>
      </c>
      <c r="X327" s="132">
        <f t="shared" si="42"/>
        <v>7</v>
      </c>
      <c r="Y327" s="133"/>
      <c r="Z327" s="133"/>
      <c r="AA327" s="133"/>
    </row>
    <row r="328" spans="1:27" hidden="1" x14ac:dyDescent="0.25">
      <c r="A328" s="127">
        <v>350</v>
      </c>
      <c r="B328" s="128" t="str">
        <f t="shared" si="43"/>
        <v>TORT</v>
      </c>
      <c r="C328" s="128" t="str">
        <f>+VLOOKUP(U328,Ходим!A:B,2,0)</f>
        <v>52603025920015</v>
      </c>
      <c r="D328" s="128" t="str">
        <f>IFERROR(VLOOKUP($B:$B,[20]свод!$A:$AB,3,0)," ")</f>
        <v>Тўрақўрғон тумани</v>
      </c>
      <c r="E328" s="7" t="s">
        <v>1472</v>
      </c>
      <c r="F328" s="7" t="s">
        <v>7875</v>
      </c>
      <c r="G328" s="134">
        <f t="shared" si="40"/>
        <v>1</v>
      </c>
      <c r="H328" s="134" t="str">
        <f t="shared" si="41"/>
        <v/>
      </c>
      <c r="I328" s="7" t="s">
        <v>158</v>
      </c>
      <c r="J328" s="7" t="s">
        <v>172</v>
      </c>
      <c r="K328" s="7"/>
      <c r="L328" s="7"/>
      <c r="M328" s="7"/>
      <c r="N328" s="7" t="s">
        <v>170</v>
      </c>
      <c r="O328" s="7" t="s">
        <v>162</v>
      </c>
      <c r="P328" s="7" t="s">
        <v>6480</v>
      </c>
      <c r="Q328" s="129">
        <v>46199</v>
      </c>
      <c r="R328" s="130">
        <f t="shared" si="39"/>
        <v>46205</v>
      </c>
      <c r="S328" s="131">
        <f t="shared" si="44"/>
        <v>6</v>
      </c>
      <c r="T328" s="7" t="s">
        <v>203</v>
      </c>
      <c r="U328" s="7" t="s">
        <v>374</v>
      </c>
      <c r="V328" s="7"/>
      <c r="W328" s="7"/>
      <c r="X328" s="132">
        <f t="shared" si="42"/>
        <v>10</v>
      </c>
      <c r="Y328" s="133"/>
      <c r="Z328" s="133"/>
      <c r="AA328" s="133"/>
    </row>
    <row r="329" spans="1:27" hidden="1" x14ac:dyDescent="0.25">
      <c r="A329" s="127">
        <v>351</v>
      </c>
      <c r="B329" s="128" t="str">
        <f t="shared" si="43"/>
        <v>NAMS</v>
      </c>
      <c r="C329" s="128" t="str">
        <f>+VLOOKUP(U329,Ходим!A:B,2,0)</f>
        <v>33012942170121</v>
      </c>
      <c r="D329" s="128" t="str">
        <f>IFERROR(VLOOKUP($B:$B,[20]свод!$A:$AB,3,0)," ")</f>
        <v>Наманган шаҳар</v>
      </c>
      <c r="E329" s="7" t="s">
        <v>1473</v>
      </c>
      <c r="F329" s="7" t="s">
        <v>7876</v>
      </c>
      <c r="G329" s="134">
        <f t="shared" si="40"/>
        <v>1</v>
      </c>
      <c r="H329" s="134" t="str">
        <f t="shared" si="41"/>
        <v/>
      </c>
      <c r="I329" s="7" t="s">
        <v>156</v>
      </c>
      <c r="J329" s="7" t="s">
        <v>25</v>
      </c>
      <c r="K329" s="7"/>
      <c r="L329" s="7"/>
      <c r="M329" s="7"/>
      <c r="N329" s="7" t="s">
        <v>170</v>
      </c>
      <c r="O329" s="7" t="s">
        <v>162</v>
      </c>
      <c r="P329" s="7" t="s">
        <v>6480</v>
      </c>
      <c r="Q329" s="129">
        <v>46199</v>
      </c>
      <c r="R329" s="130">
        <f t="shared" si="39"/>
        <v>46205</v>
      </c>
      <c r="S329" s="131">
        <f t="shared" si="44"/>
        <v>6</v>
      </c>
      <c r="T329" s="7" t="s">
        <v>173</v>
      </c>
      <c r="U329" s="7" t="s">
        <v>259</v>
      </c>
      <c r="V329" s="7"/>
      <c r="W329" s="7"/>
      <c r="X329" s="132">
        <f t="shared" si="42"/>
        <v>10</v>
      </c>
      <c r="Y329" s="133"/>
      <c r="Z329" s="133"/>
      <c r="AA329" s="133"/>
    </row>
    <row r="330" spans="1:27" hidden="1" x14ac:dyDescent="0.25">
      <c r="A330" s="127">
        <v>353</v>
      </c>
      <c r="B330" s="128" t="str">
        <f t="shared" si="43"/>
        <v>NAMS</v>
      </c>
      <c r="C330" s="128" t="str">
        <f>+VLOOKUP(U330,Ходим!A:B,2,0)</f>
        <v>52601025870013</v>
      </c>
      <c r="D330" s="128" t="str">
        <f>IFERROR(VLOOKUP($B:$B,[20]свод!$A:$AB,3,0)," ")</f>
        <v>Наманган шаҳар</v>
      </c>
      <c r="E330" s="7" t="s">
        <v>1474</v>
      </c>
      <c r="F330" s="7" t="s">
        <v>7877</v>
      </c>
      <c r="G330" s="134">
        <f t="shared" si="40"/>
        <v>1</v>
      </c>
      <c r="H330" s="134" t="str">
        <f t="shared" si="41"/>
        <v/>
      </c>
      <c r="I330" s="7" t="s">
        <v>158</v>
      </c>
      <c r="J330" s="7" t="s">
        <v>2</v>
      </c>
      <c r="K330" s="7"/>
      <c r="L330" s="7" t="s">
        <v>167</v>
      </c>
      <c r="M330" s="7" t="s">
        <v>4448</v>
      </c>
      <c r="N330" s="7" t="s">
        <v>170</v>
      </c>
      <c r="O330" s="7" t="s">
        <v>162</v>
      </c>
      <c r="P330" s="7" t="s">
        <v>6480</v>
      </c>
      <c r="Q330" s="129">
        <v>46199</v>
      </c>
      <c r="R330" s="130">
        <f t="shared" si="39"/>
        <v>46205</v>
      </c>
      <c r="S330" s="131">
        <f t="shared" si="44"/>
        <v>6</v>
      </c>
      <c r="T330" s="7" t="s">
        <v>173</v>
      </c>
      <c r="U330" s="7" t="s">
        <v>405</v>
      </c>
      <c r="V330" s="7"/>
      <c r="W330" s="7">
        <v>180.19</v>
      </c>
      <c r="X330" s="132">
        <f t="shared" si="42"/>
        <v>10</v>
      </c>
      <c r="Y330" s="133"/>
      <c r="Z330" s="133"/>
      <c r="AA330" s="133"/>
    </row>
    <row r="331" spans="1:27" hidden="1" x14ac:dyDescent="0.25">
      <c r="A331" s="127">
        <v>354</v>
      </c>
      <c r="B331" s="128" t="str">
        <f t="shared" si="43"/>
        <v>MINT</v>
      </c>
      <c r="C331" s="128" t="e">
        <f>+VLOOKUP(U331,Ходим!A:B,2,0)</f>
        <v>#N/A</v>
      </c>
      <c r="D331" s="128" t="str">
        <f>IFERROR(VLOOKUP($B:$B,[20]свод!$A:$AB,3,0)," ")</f>
        <v>Мингбулоқ тумани</v>
      </c>
      <c r="E331" s="7" t="s">
        <v>1475</v>
      </c>
      <c r="F331" s="7" t="s">
        <v>7878</v>
      </c>
      <c r="G331" s="134">
        <f t="shared" si="40"/>
        <v>1</v>
      </c>
      <c r="H331" s="134" t="str">
        <f t="shared" si="41"/>
        <v/>
      </c>
      <c r="I331" s="7" t="s">
        <v>156</v>
      </c>
      <c r="J331" s="7" t="s">
        <v>11</v>
      </c>
      <c r="K331" s="7"/>
      <c r="L331" s="7"/>
      <c r="M331" s="7"/>
      <c r="N331" s="7" t="s">
        <v>170</v>
      </c>
      <c r="O331" s="7" t="s">
        <v>162</v>
      </c>
      <c r="P331" s="7" t="s">
        <v>6481</v>
      </c>
      <c r="Q331" s="129">
        <v>46199</v>
      </c>
      <c r="R331" s="130">
        <f t="shared" si="39"/>
        <v>46211</v>
      </c>
      <c r="S331" s="131">
        <f t="shared" si="44"/>
        <v>12</v>
      </c>
      <c r="T331" s="7"/>
      <c r="U331" s="7"/>
      <c r="V331" s="7"/>
      <c r="W331" s="7"/>
      <c r="X331" s="132">
        <f t="shared" si="42"/>
        <v>10</v>
      </c>
      <c r="Y331" s="133"/>
      <c r="Z331" s="133"/>
      <c r="AA331" s="133"/>
    </row>
    <row r="332" spans="1:27" hidden="1" x14ac:dyDescent="0.25">
      <c r="A332" s="127">
        <v>356</v>
      </c>
      <c r="B332" s="128" t="str">
        <f t="shared" si="43"/>
        <v>MINT</v>
      </c>
      <c r="C332" s="128" t="str">
        <f>+VLOOKUP(U332,Ходим!A:B,2,0)</f>
        <v>30703975990033</v>
      </c>
      <c r="D332" s="128" t="str">
        <f>IFERROR(VLOOKUP($B:$B,[20]свод!$A:$AB,3,0)," ")</f>
        <v>Мингбулоқ тумани</v>
      </c>
      <c r="E332" s="7" t="s">
        <v>1476</v>
      </c>
      <c r="F332" s="7" t="s">
        <v>7879</v>
      </c>
      <c r="G332" s="134">
        <f t="shared" si="40"/>
        <v>1</v>
      </c>
      <c r="H332" s="134" t="str">
        <f t="shared" si="41"/>
        <v/>
      </c>
      <c r="I332" s="7" t="s">
        <v>158</v>
      </c>
      <c r="J332" s="7" t="s">
        <v>2</v>
      </c>
      <c r="K332" s="7"/>
      <c r="L332" s="7" t="s">
        <v>167</v>
      </c>
      <c r="M332" s="7" t="s">
        <v>4449</v>
      </c>
      <c r="N332" s="7" t="s">
        <v>170</v>
      </c>
      <c r="O332" s="7" t="s">
        <v>162</v>
      </c>
      <c r="P332" s="7" t="s">
        <v>6482</v>
      </c>
      <c r="Q332" s="129">
        <v>46199</v>
      </c>
      <c r="R332" s="130">
        <f t="shared" si="39"/>
        <v>46205</v>
      </c>
      <c r="S332" s="131">
        <f t="shared" si="44"/>
        <v>6</v>
      </c>
      <c r="T332" s="7" t="s">
        <v>220</v>
      </c>
      <c r="U332" s="7" t="s">
        <v>291</v>
      </c>
      <c r="V332" s="7"/>
      <c r="W332" s="7">
        <v>67.5</v>
      </c>
      <c r="X332" s="132">
        <f t="shared" si="42"/>
        <v>10</v>
      </c>
      <c r="Y332" s="133"/>
      <c r="Z332" s="133"/>
      <c r="AA332" s="133"/>
    </row>
    <row r="333" spans="1:27" hidden="1" x14ac:dyDescent="0.25">
      <c r="A333" s="127">
        <v>358</v>
      </c>
      <c r="B333" s="128" t="str">
        <f t="shared" si="43"/>
        <v>NAMS</v>
      </c>
      <c r="C333" s="128" t="str">
        <f>+VLOOKUP(U333,Ходим!A:B,2,0)</f>
        <v>52601025870013</v>
      </c>
      <c r="D333" s="128" t="str">
        <f>IFERROR(VLOOKUP($B:$B,[20]свод!$A:$AB,3,0)," ")</f>
        <v>Наманган шаҳар</v>
      </c>
      <c r="E333" s="7" t="s">
        <v>1477</v>
      </c>
      <c r="F333" s="7" t="s">
        <v>7880</v>
      </c>
      <c r="G333" s="134">
        <f t="shared" si="40"/>
        <v>1</v>
      </c>
      <c r="H333" s="134" t="str">
        <f t="shared" si="41"/>
        <v/>
      </c>
      <c r="I333" s="7" t="s">
        <v>158</v>
      </c>
      <c r="J333" s="7" t="s">
        <v>12</v>
      </c>
      <c r="K333" s="7"/>
      <c r="L333" s="7" t="s">
        <v>167</v>
      </c>
      <c r="M333" s="7" t="s">
        <v>4450</v>
      </c>
      <c r="N333" s="7" t="s">
        <v>170</v>
      </c>
      <c r="O333" s="7" t="s">
        <v>162</v>
      </c>
      <c r="P333" s="7" t="s">
        <v>6397</v>
      </c>
      <c r="Q333" s="129">
        <v>46199</v>
      </c>
      <c r="R333" s="130">
        <f t="shared" si="39"/>
        <v>46211</v>
      </c>
      <c r="S333" s="131">
        <f t="shared" si="44"/>
        <v>12</v>
      </c>
      <c r="T333" s="7" t="s">
        <v>185</v>
      </c>
      <c r="U333" s="7" t="s">
        <v>405</v>
      </c>
      <c r="V333" s="7"/>
      <c r="W333" s="7">
        <v>413.3</v>
      </c>
      <c r="X333" s="132">
        <f t="shared" si="42"/>
        <v>10</v>
      </c>
      <c r="Y333" s="133"/>
      <c r="Z333" s="133"/>
      <c r="AA333" s="133"/>
    </row>
    <row r="334" spans="1:27" hidden="1" x14ac:dyDescent="0.25">
      <c r="A334" s="127">
        <v>359</v>
      </c>
      <c r="B334" s="128" t="str">
        <f t="shared" si="43"/>
        <v>NAMS</v>
      </c>
      <c r="C334" s="128" t="str">
        <f>+VLOOKUP(U334,Ходим!A:B,2,0)</f>
        <v>31312985950011</v>
      </c>
      <c r="D334" s="128" t="str">
        <f>IFERROR(VLOOKUP($B:$B,[20]свод!$A:$AB,3,0)," ")</f>
        <v>Наманган шаҳар</v>
      </c>
      <c r="E334" s="7" t="s">
        <v>1478</v>
      </c>
      <c r="F334" s="7" t="s">
        <v>7881</v>
      </c>
      <c r="G334" s="134" t="str">
        <f t="shared" si="40"/>
        <v/>
      </c>
      <c r="H334" s="134">
        <f t="shared" si="41"/>
        <v>1</v>
      </c>
      <c r="I334" s="7" t="s">
        <v>155</v>
      </c>
      <c r="J334" s="7" t="s">
        <v>11</v>
      </c>
      <c r="K334" s="7"/>
      <c r="L334" s="7" t="s">
        <v>166</v>
      </c>
      <c r="M334" s="7" t="s">
        <v>4451</v>
      </c>
      <c r="N334" s="7" t="s">
        <v>410</v>
      </c>
      <c r="O334" s="7" t="s">
        <v>161</v>
      </c>
      <c r="P334" s="7" t="s">
        <v>6483</v>
      </c>
      <c r="Q334" s="129">
        <v>46199</v>
      </c>
      <c r="R334" s="130">
        <f t="shared" si="39"/>
        <v>46220</v>
      </c>
      <c r="S334" s="131">
        <f t="shared" si="44"/>
        <v>21</v>
      </c>
      <c r="T334" s="7" t="s">
        <v>227</v>
      </c>
      <c r="U334" s="7" t="s">
        <v>303</v>
      </c>
      <c r="V334" s="7"/>
      <c r="W334" s="7">
        <v>1848.17</v>
      </c>
      <c r="X334" s="132">
        <f t="shared" si="42"/>
        <v>17</v>
      </c>
      <c r="Y334" s="133"/>
      <c r="Z334" s="133"/>
      <c r="AA334" s="133"/>
    </row>
    <row r="335" spans="1:27" hidden="1" x14ac:dyDescent="0.25">
      <c r="A335" s="127">
        <v>363</v>
      </c>
      <c r="B335" s="128" t="str">
        <f t="shared" si="43"/>
        <v>YGQT</v>
      </c>
      <c r="C335" s="128" t="str">
        <f>+VLOOKUP(U335,Ходим!A:B,2,0)</f>
        <v>30809995950021</v>
      </c>
      <c r="D335" s="128" t="str">
        <f>IFERROR(VLOOKUP($B:$B,[20]свод!$A:$AB,3,0)," ")</f>
        <v>Янгиқўрғон тумани</v>
      </c>
      <c r="E335" s="7" t="s">
        <v>1479</v>
      </c>
      <c r="F335" s="7" t="s">
        <v>7882</v>
      </c>
      <c r="G335" s="134">
        <f t="shared" si="40"/>
        <v>1</v>
      </c>
      <c r="H335" s="134" t="str">
        <f t="shared" si="41"/>
        <v/>
      </c>
      <c r="I335" s="7" t="s">
        <v>158</v>
      </c>
      <c r="J335" s="7" t="s">
        <v>2</v>
      </c>
      <c r="K335" s="7"/>
      <c r="L335" s="7" t="s">
        <v>167</v>
      </c>
      <c r="M335" s="7" t="s">
        <v>382</v>
      </c>
      <c r="N335" s="7" t="s">
        <v>170</v>
      </c>
      <c r="O335" s="7" t="s">
        <v>162</v>
      </c>
      <c r="P335" s="7" t="s">
        <v>6476</v>
      </c>
      <c r="Q335" s="129">
        <v>46199</v>
      </c>
      <c r="R335" s="130">
        <f t="shared" si="39"/>
        <v>46205</v>
      </c>
      <c r="S335" s="131">
        <f t="shared" si="44"/>
        <v>6</v>
      </c>
      <c r="T335" s="7" t="s">
        <v>255</v>
      </c>
      <c r="U335" s="7" t="s">
        <v>223</v>
      </c>
      <c r="V335" s="7"/>
      <c r="W335" s="7">
        <v>0</v>
      </c>
      <c r="X335" s="132">
        <f t="shared" si="42"/>
        <v>10</v>
      </c>
      <c r="Y335" s="133"/>
      <c r="Z335" s="133"/>
      <c r="AA335" s="133"/>
    </row>
    <row r="336" spans="1:27" hidden="1" x14ac:dyDescent="0.25">
      <c r="A336" s="127">
        <v>365</v>
      </c>
      <c r="B336" s="128" t="str">
        <f t="shared" si="43"/>
        <v>YGQT</v>
      </c>
      <c r="C336" s="128" t="str">
        <f>+VLOOKUP(U336,Ходим!A:B,2,0)</f>
        <v>32806922160043</v>
      </c>
      <c r="D336" s="128" t="str">
        <f>IFERROR(VLOOKUP($B:$B,[20]свод!$A:$AB,3,0)," ")</f>
        <v>Янгиқўрғон тумани</v>
      </c>
      <c r="E336" s="7" t="s">
        <v>1480</v>
      </c>
      <c r="F336" s="7" t="s">
        <v>7883</v>
      </c>
      <c r="G336" s="134">
        <f t="shared" si="40"/>
        <v>1</v>
      </c>
      <c r="H336" s="134" t="str">
        <f t="shared" si="41"/>
        <v/>
      </c>
      <c r="I336" s="7" t="s">
        <v>158</v>
      </c>
      <c r="J336" s="7" t="s">
        <v>2</v>
      </c>
      <c r="K336" s="7"/>
      <c r="L336" s="7"/>
      <c r="M336" s="7"/>
      <c r="N336" s="7" t="s">
        <v>410</v>
      </c>
      <c r="O336" s="7" t="s">
        <v>162</v>
      </c>
      <c r="P336" s="7" t="s">
        <v>6484</v>
      </c>
      <c r="Q336" s="129">
        <v>46199</v>
      </c>
      <c r="R336" s="130">
        <f t="shared" si="39"/>
        <v>46204</v>
      </c>
      <c r="S336" s="131">
        <f t="shared" si="44"/>
        <v>5</v>
      </c>
      <c r="T336" s="7" t="s">
        <v>255</v>
      </c>
      <c r="U336" s="7" t="s">
        <v>186</v>
      </c>
      <c r="V336" s="7"/>
      <c r="W336" s="7"/>
      <c r="X336" s="132">
        <f t="shared" si="42"/>
        <v>10</v>
      </c>
      <c r="Y336" s="133"/>
      <c r="Z336" s="133"/>
      <c r="AA336" s="133"/>
    </row>
    <row r="337" spans="1:27" hidden="1" x14ac:dyDescent="0.25">
      <c r="A337" s="127">
        <v>368</v>
      </c>
      <c r="B337" s="128" t="str">
        <f t="shared" si="43"/>
        <v>CHOT</v>
      </c>
      <c r="C337" s="128" t="str">
        <f>+VLOOKUP(U337,Ходим!A:B,2,0)</f>
        <v>31904922100113</v>
      </c>
      <c r="D337" s="128" t="str">
        <f>IFERROR(VLOOKUP($B:$B,[20]свод!$A:$AB,3,0)," ")</f>
        <v>Чортоқ тумани</v>
      </c>
      <c r="E337" s="7" t="s">
        <v>1481</v>
      </c>
      <c r="F337" s="7" t="s">
        <v>7884</v>
      </c>
      <c r="G337" s="134">
        <f t="shared" si="40"/>
        <v>1</v>
      </c>
      <c r="H337" s="134" t="str">
        <f t="shared" si="41"/>
        <v/>
      </c>
      <c r="I337" s="7" t="s">
        <v>158</v>
      </c>
      <c r="J337" s="7" t="s">
        <v>172</v>
      </c>
      <c r="K337" s="7"/>
      <c r="L337" s="7" t="s">
        <v>167</v>
      </c>
      <c r="M337" s="7" t="s">
        <v>4452</v>
      </c>
      <c r="N337" s="7" t="s">
        <v>170</v>
      </c>
      <c r="O337" s="7" t="s">
        <v>162</v>
      </c>
      <c r="P337" s="7" t="s">
        <v>6481</v>
      </c>
      <c r="Q337" s="129">
        <v>46199</v>
      </c>
      <c r="R337" s="130">
        <f t="shared" si="39"/>
        <v>46211</v>
      </c>
      <c r="S337" s="131">
        <f t="shared" si="44"/>
        <v>12</v>
      </c>
      <c r="T337" s="7" t="s">
        <v>184</v>
      </c>
      <c r="U337" s="7" t="s">
        <v>310</v>
      </c>
      <c r="V337" s="7"/>
      <c r="W337" s="7">
        <v>497.95</v>
      </c>
      <c r="X337" s="132">
        <f t="shared" si="42"/>
        <v>10</v>
      </c>
      <c r="Y337" s="133"/>
      <c r="Z337" s="133"/>
      <c r="AA337" s="133"/>
    </row>
    <row r="338" spans="1:27" hidden="1" x14ac:dyDescent="0.25">
      <c r="A338" s="127">
        <v>369</v>
      </c>
      <c r="B338" s="128" t="str">
        <f t="shared" si="43"/>
        <v>NAMS</v>
      </c>
      <c r="C338" s="128" t="str">
        <f>+VLOOKUP(U338,Ходим!A:B,2,0)</f>
        <v>30910985930021</v>
      </c>
      <c r="D338" s="128" t="str">
        <f>IFERROR(VLOOKUP($B:$B,[20]свод!$A:$AB,3,0)," ")</f>
        <v>Наманган шаҳар</v>
      </c>
      <c r="E338" s="7" t="s">
        <v>1482</v>
      </c>
      <c r="F338" s="7" t="s">
        <v>7885</v>
      </c>
      <c r="G338" s="134" t="str">
        <f t="shared" si="40"/>
        <v/>
      </c>
      <c r="H338" s="134">
        <f t="shared" si="41"/>
        <v>1</v>
      </c>
      <c r="I338" s="7" t="s">
        <v>155</v>
      </c>
      <c r="J338" s="7" t="s">
        <v>25</v>
      </c>
      <c r="K338" s="7"/>
      <c r="L338" s="7"/>
      <c r="M338" s="7"/>
      <c r="N338" s="7" t="s">
        <v>170</v>
      </c>
      <c r="O338" s="7" t="s">
        <v>161</v>
      </c>
      <c r="P338" s="7" t="s">
        <v>6485</v>
      </c>
      <c r="Q338" s="129">
        <v>46199</v>
      </c>
      <c r="R338" s="130">
        <f t="shared" si="39"/>
        <v>46205</v>
      </c>
      <c r="S338" s="131">
        <f t="shared" si="44"/>
        <v>6</v>
      </c>
      <c r="T338" s="7" t="s">
        <v>227</v>
      </c>
      <c r="U338" s="7" t="s">
        <v>963</v>
      </c>
      <c r="V338" s="7"/>
      <c r="W338" s="7"/>
      <c r="X338" s="132">
        <f t="shared" si="42"/>
        <v>10</v>
      </c>
      <c r="Y338" s="133"/>
      <c r="Z338" s="133"/>
      <c r="AA338" s="133"/>
    </row>
    <row r="339" spans="1:27" hidden="1" x14ac:dyDescent="0.25">
      <c r="A339" s="127">
        <v>371</v>
      </c>
      <c r="B339" s="128" t="str">
        <f t="shared" si="43"/>
        <v>CHOT</v>
      </c>
      <c r="C339" s="128" t="str">
        <f>+VLOOKUP(U339,Ходим!A:B,2,0)</f>
        <v>30610995890040</v>
      </c>
      <c r="D339" s="128" t="str">
        <f>IFERROR(VLOOKUP($B:$B,[20]свод!$A:$AB,3,0)," ")</f>
        <v>Чортоқ тумани</v>
      </c>
      <c r="E339" s="7" t="s">
        <v>1483</v>
      </c>
      <c r="F339" s="7" t="s">
        <v>7886</v>
      </c>
      <c r="G339" s="134">
        <f t="shared" si="40"/>
        <v>1</v>
      </c>
      <c r="H339" s="134" t="str">
        <f t="shared" si="41"/>
        <v/>
      </c>
      <c r="I339" s="7" t="s">
        <v>158</v>
      </c>
      <c r="J339" s="7" t="s">
        <v>2</v>
      </c>
      <c r="K339" s="7"/>
      <c r="L339" s="7" t="s">
        <v>167</v>
      </c>
      <c r="M339" s="7" t="s">
        <v>4453</v>
      </c>
      <c r="N339" s="7" t="s">
        <v>170</v>
      </c>
      <c r="O339" s="7" t="s">
        <v>162</v>
      </c>
      <c r="P339" s="7" t="s">
        <v>6486</v>
      </c>
      <c r="Q339" s="129">
        <v>46199</v>
      </c>
      <c r="R339" s="130">
        <f t="shared" si="39"/>
        <v>46211</v>
      </c>
      <c r="S339" s="131">
        <f t="shared" si="44"/>
        <v>12</v>
      </c>
      <c r="T339" s="7" t="s">
        <v>184</v>
      </c>
      <c r="U339" s="7" t="s">
        <v>322</v>
      </c>
      <c r="V339" s="7"/>
      <c r="W339" s="7">
        <v>22.83</v>
      </c>
      <c r="X339" s="132">
        <f t="shared" si="42"/>
        <v>10</v>
      </c>
      <c r="Y339" s="133"/>
      <c r="Z339" s="133"/>
      <c r="AA339" s="133"/>
    </row>
    <row r="340" spans="1:27" hidden="1" x14ac:dyDescent="0.25">
      <c r="A340" s="127">
        <v>372</v>
      </c>
      <c r="B340" s="128" t="str">
        <f t="shared" si="43"/>
        <v>YGQT</v>
      </c>
      <c r="C340" s="128" t="str">
        <f>+VLOOKUP(U340,Ходим!A:B,2,0)</f>
        <v>52010015950028</v>
      </c>
      <c r="D340" s="128" t="str">
        <f>IFERROR(VLOOKUP($B:$B,[20]свод!$A:$AB,3,0)," ")</f>
        <v>Янгиқўрғон тумани</v>
      </c>
      <c r="E340" s="7" t="s">
        <v>1484</v>
      </c>
      <c r="F340" s="7" t="s">
        <v>7887</v>
      </c>
      <c r="G340" s="134">
        <f t="shared" si="40"/>
        <v>1</v>
      </c>
      <c r="H340" s="134" t="str">
        <f t="shared" si="41"/>
        <v/>
      </c>
      <c r="I340" s="7" t="s">
        <v>158</v>
      </c>
      <c r="J340" s="7" t="s">
        <v>134</v>
      </c>
      <c r="K340" s="7"/>
      <c r="L340" s="7"/>
      <c r="M340" s="7"/>
      <c r="N340" s="7" t="s">
        <v>410</v>
      </c>
      <c r="O340" s="7" t="s">
        <v>162</v>
      </c>
      <c r="P340" s="7" t="s">
        <v>6440</v>
      </c>
      <c r="Q340" s="129">
        <v>46199</v>
      </c>
      <c r="R340" s="130">
        <f t="shared" si="39"/>
        <v>46211</v>
      </c>
      <c r="S340" s="131">
        <f t="shared" si="44"/>
        <v>12</v>
      </c>
      <c r="T340" s="7" t="s">
        <v>182</v>
      </c>
      <c r="U340" s="7" t="s">
        <v>391</v>
      </c>
      <c r="V340" s="7"/>
      <c r="W340" s="7"/>
      <c r="X340" s="132">
        <f t="shared" si="42"/>
        <v>10</v>
      </c>
      <c r="Y340" s="133"/>
      <c r="Z340" s="133"/>
      <c r="AA340" s="133"/>
    </row>
    <row r="341" spans="1:27" hidden="1" x14ac:dyDescent="0.25">
      <c r="A341" s="127">
        <v>374</v>
      </c>
      <c r="B341" s="128" t="str">
        <f t="shared" si="43"/>
        <v>KSST</v>
      </c>
      <c r="C341" s="128" t="e">
        <f>+VLOOKUP(U341,Ходим!A:B,2,0)</f>
        <v>#N/A</v>
      </c>
      <c r="D341" s="128" t="str">
        <f>IFERROR(VLOOKUP($B:$B,[20]свод!$A:$AB,3,0)," ")</f>
        <v>Косонсой тумани</v>
      </c>
      <c r="E341" s="7" t="s">
        <v>1485</v>
      </c>
      <c r="F341" s="7" t="s">
        <v>7888</v>
      </c>
      <c r="G341" s="134">
        <f t="shared" si="40"/>
        <v>1</v>
      </c>
      <c r="H341" s="134" t="str">
        <f t="shared" si="41"/>
        <v/>
      </c>
      <c r="I341" s="7" t="s">
        <v>156</v>
      </c>
      <c r="J341" s="7" t="s">
        <v>25</v>
      </c>
      <c r="K341" s="7"/>
      <c r="L341" s="7" t="s">
        <v>167</v>
      </c>
      <c r="M341" s="7" t="s">
        <v>4454</v>
      </c>
      <c r="N341" s="7" t="s">
        <v>170</v>
      </c>
      <c r="O341" s="7" t="s">
        <v>162</v>
      </c>
      <c r="P341" s="7" t="s">
        <v>6448</v>
      </c>
      <c r="Q341" s="129">
        <v>46199</v>
      </c>
      <c r="R341" s="130">
        <f t="shared" si="39"/>
        <v>46210</v>
      </c>
      <c r="S341" s="131">
        <f t="shared" si="44"/>
        <v>11</v>
      </c>
      <c r="T341" s="7" t="s">
        <v>180</v>
      </c>
      <c r="U341" s="7" t="s">
        <v>10634</v>
      </c>
      <c r="V341" s="7"/>
      <c r="W341" s="7">
        <v>316.45</v>
      </c>
      <c r="X341" s="132">
        <f t="shared" si="42"/>
        <v>10</v>
      </c>
      <c r="Y341" s="133"/>
      <c r="Z341" s="133"/>
      <c r="AA341" s="133"/>
    </row>
    <row r="342" spans="1:27" hidden="1" x14ac:dyDescent="0.25">
      <c r="A342" s="127">
        <v>375</v>
      </c>
      <c r="B342" s="128" t="str">
        <f t="shared" si="43"/>
        <v>NAMS</v>
      </c>
      <c r="C342" s="128" t="str">
        <f>+VLOOKUP(U342,Ходим!A:B,2,0)</f>
        <v>32207925880019</v>
      </c>
      <c r="D342" s="128" t="str">
        <f>IFERROR(VLOOKUP($B:$B,[20]свод!$A:$AB,3,0)," ")</f>
        <v>Наманган шаҳар</v>
      </c>
      <c r="E342" s="7" t="s">
        <v>1486</v>
      </c>
      <c r="F342" s="7" t="s">
        <v>7889</v>
      </c>
      <c r="G342" s="134">
        <f t="shared" si="40"/>
        <v>1</v>
      </c>
      <c r="H342" s="134" t="str">
        <f t="shared" si="41"/>
        <v/>
      </c>
      <c r="I342" s="7" t="s">
        <v>158</v>
      </c>
      <c r="J342" s="7" t="s">
        <v>29</v>
      </c>
      <c r="K342" s="7"/>
      <c r="L342" s="7" t="s">
        <v>169</v>
      </c>
      <c r="M342" s="7" t="s">
        <v>381</v>
      </c>
      <c r="N342" s="7" t="s">
        <v>170</v>
      </c>
      <c r="O342" s="7" t="s">
        <v>162</v>
      </c>
      <c r="P342" s="7" t="s">
        <v>6487</v>
      </c>
      <c r="Q342" s="129">
        <v>46199</v>
      </c>
      <c r="R342" s="130">
        <f t="shared" si="39"/>
        <v>46202</v>
      </c>
      <c r="S342" s="131">
        <f t="shared" si="44"/>
        <v>3</v>
      </c>
      <c r="T342" s="7" t="s">
        <v>173</v>
      </c>
      <c r="U342" s="7" t="s">
        <v>174</v>
      </c>
      <c r="V342" s="7"/>
      <c r="W342" s="7">
        <v>0</v>
      </c>
      <c r="X342" s="132">
        <f t="shared" si="42"/>
        <v>7</v>
      </c>
      <c r="Y342" s="133"/>
      <c r="Z342" s="133"/>
      <c r="AA342" s="133"/>
    </row>
    <row r="343" spans="1:27" hidden="1" x14ac:dyDescent="0.25">
      <c r="A343" s="127">
        <v>376</v>
      </c>
      <c r="B343" s="128" t="str">
        <f t="shared" si="43"/>
        <v>NAMT</v>
      </c>
      <c r="C343" s="128" t="str">
        <f>+VLOOKUP(U343,Ходим!A:B,2,0)</f>
        <v>31702942090041</v>
      </c>
      <c r="D343" s="128" t="str">
        <f>IFERROR(VLOOKUP($B:$B,[20]свод!$A:$AB,3,0)," ")</f>
        <v>Наманган тумани</v>
      </c>
      <c r="E343" s="7" t="s">
        <v>1487</v>
      </c>
      <c r="F343" s="7" t="s">
        <v>7890</v>
      </c>
      <c r="G343" s="134">
        <f t="shared" si="40"/>
        <v>1</v>
      </c>
      <c r="H343" s="134" t="str">
        <f t="shared" si="41"/>
        <v/>
      </c>
      <c r="I343" s="7" t="s">
        <v>158</v>
      </c>
      <c r="J343" s="7" t="s">
        <v>2</v>
      </c>
      <c r="K343" s="7"/>
      <c r="L343" s="7"/>
      <c r="M343" s="7"/>
      <c r="N343" s="7" t="s">
        <v>170</v>
      </c>
      <c r="O343" s="7" t="s">
        <v>162</v>
      </c>
      <c r="P343" s="7" t="s">
        <v>6328</v>
      </c>
      <c r="Q343" s="129">
        <v>46199</v>
      </c>
      <c r="R343" s="130">
        <f t="shared" si="39"/>
        <v>46204</v>
      </c>
      <c r="S343" s="131">
        <f t="shared" si="44"/>
        <v>5</v>
      </c>
      <c r="T343" s="7" t="s">
        <v>193</v>
      </c>
      <c r="U343" s="7" t="s">
        <v>194</v>
      </c>
      <c r="V343" s="7"/>
      <c r="W343" s="7"/>
      <c r="X343" s="132">
        <f t="shared" si="42"/>
        <v>10</v>
      </c>
      <c r="Y343" s="133"/>
      <c r="Z343" s="133"/>
      <c r="AA343" s="133"/>
    </row>
    <row r="344" spans="1:27" hidden="1" x14ac:dyDescent="0.25">
      <c r="A344" s="127">
        <v>377</v>
      </c>
      <c r="B344" s="128" t="str">
        <f t="shared" si="43"/>
        <v>YGQT</v>
      </c>
      <c r="C344" s="128" t="str">
        <f>+VLOOKUP(U344,Ходим!A:B,2,0)</f>
        <v>52010015950028</v>
      </c>
      <c r="D344" s="128" t="str">
        <f>IFERROR(VLOOKUP($B:$B,[20]свод!$A:$AB,3,0)," ")</f>
        <v>Янгиқўрғон тумани</v>
      </c>
      <c r="E344" s="7" t="s">
        <v>1488</v>
      </c>
      <c r="F344" s="7" t="s">
        <v>7891</v>
      </c>
      <c r="G344" s="134">
        <f t="shared" si="40"/>
        <v>1</v>
      </c>
      <c r="H344" s="134" t="str">
        <f t="shared" si="41"/>
        <v/>
      </c>
      <c r="I344" s="7" t="s">
        <v>158</v>
      </c>
      <c r="J344" s="7" t="s">
        <v>134</v>
      </c>
      <c r="K344" s="7"/>
      <c r="L344" s="7" t="s">
        <v>167</v>
      </c>
      <c r="M344" s="7" t="s">
        <v>4455</v>
      </c>
      <c r="N344" s="7" t="s">
        <v>170</v>
      </c>
      <c r="O344" s="7" t="s">
        <v>162</v>
      </c>
      <c r="P344" s="7" t="s">
        <v>6488</v>
      </c>
      <c r="Q344" s="129">
        <v>46199</v>
      </c>
      <c r="R344" s="130">
        <f t="shared" si="39"/>
        <v>46204</v>
      </c>
      <c r="S344" s="131">
        <f t="shared" si="44"/>
        <v>5</v>
      </c>
      <c r="T344" s="7" t="s">
        <v>255</v>
      </c>
      <c r="U344" s="7" t="s">
        <v>391</v>
      </c>
      <c r="V344" s="7"/>
      <c r="W344" s="7">
        <v>293.8</v>
      </c>
      <c r="X344" s="132">
        <f t="shared" si="42"/>
        <v>10</v>
      </c>
      <c r="Y344" s="133"/>
      <c r="Z344" s="133"/>
      <c r="AA344" s="133"/>
    </row>
    <row r="345" spans="1:27" hidden="1" x14ac:dyDescent="0.25">
      <c r="A345" s="127">
        <v>379</v>
      </c>
      <c r="B345" s="128" t="str">
        <f t="shared" si="43"/>
        <v>CHUT</v>
      </c>
      <c r="C345" s="128" t="str">
        <f>+VLOOKUP(U345,Ходим!A:B,2,0)</f>
        <v>32304995970021</v>
      </c>
      <c r="D345" s="128" t="str">
        <f>IFERROR(VLOOKUP($B:$B,[20]свод!$A:$AB,3,0)," ")</f>
        <v>Чуст тумани</v>
      </c>
      <c r="E345" s="7" t="s">
        <v>1489</v>
      </c>
      <c r="F345" s="7" t="s">
        <v>7892</v>
      </c>
      <c r="G345" s="134">
        <f t="shared" si="40"/>
        <v>1</v>
      </c>
      <c r="H345" s="134" t="str">
        <f t="shared" si="41"/>
        <v/>
      </c>
      <c r="I345" s="7" t="s">
        <v>156</v>
      </c>
      <c r="J345" s="7" t="s">
        <v>25</v>
      </c>
      <c r="K345" s="7"/>
      <c r="L345" s="7"/>
      <c r="M345" s="7"/>
      <c r="N345" s="7" t="s">
        <v>170</v>
      </c>
      <c r="O345" s="7" t="s">
        <v>162</v>
      </c>
      <c r="P345" s="7" t="s">
        <v>6489</v>
      </c>
      <c r="Q345" s="129">
        <v>46199</v>
      </c>
      <c r="R345" s="130">
        <f t="shared" si="39"/>
        <v>46211</v>
      </c>
      <c r="S345" s="131">
        <f t="shared" si="44"/>
        <v>12</v>
      </c>
      <c r="T345" s="7" t="s">
        <v>178</v>
      </c>
      <c r="U345" s="7" t="s">
        <v>938</v>
      </c>
      <c r="V345" s="7"/>
      <c r="W345" s="7"/>
      <c r="X345" s="132">
        <f t="shared" si="42"/>
        <v>10</v>
      </c>
      <c r="Y345" s="133"/>
      <c r="Z345" s="133"/>
      <c r="AA345" s="133"/>
    </row>
    <row r="346" spans="1:27" hidden="1" x14ac:dyDescent="0.25">
      <c r="A346" s="127">
        <v>380</v>
      </c>
      <c r="B346" s="128" t="str">
        <f t="shared" si="43"/>
        <v>CHUT</v>
      </c>
      <c r="C346" s="128" t="str">
        <f>+VLOOKUP(U346,Ходим!A:B,2,0)</f>
        <v>30202885970013</v>
      </c>
      <c r="D346" s="128" t="str">
        <f>IFERROR(VLOOKUP($B:$B,[20]свод!$A:$AB,3,0)," ")</f>
        <v>Чуст тумани</v>
      </c>
      <c r="E346" s="7" t="s">
        <v>1490</v>
      </c>
      <c r="F346" s="7" t="s">
        <v>7893</v>
      </c>
      <c r="G346" s="134">
        <f t="shared" si="40"/>
        <v>1</v>
      </c>
      <c r="H346" s="134" t="str">
        <f t="shared" si="41"/>
        <v/>
      </c>
      <c r="I346" s="7" t="s">
        <v>156</v>
      </c>
      <c r="J346" s="7" t="s">
        <v>22</v>
      </c>
      <c r="K346" s="7"/>
      <c r="L346" s="7"/>
      <c r="M346" s="7"/>
      <c r="N346" s="7" t="s">
        <v>170</v>
      </c>
      <c r="O346" s="7" t="s">
        <v>162</v>
      </c>
      <c r="P346" s="7" t="s">
        <v>6489</v>
      </c>
      <c r="Q346" s="129">
        <v>46199</v>
      </c>
      <c r="R346" s="130">
        <f t="shared" si="39"/>
        <v>46211</v>
      </c>
      <c r="S346" s="131">
        <f t="shared" si="44"/>
        <v>12</v>
      </c>
      <c r="T346" s="7" t="s">
        <v>178</v>
      </c>
      <c r="U346" s="7" t="s">
        <v>289</v>
      </c>
      <c r="V346" s="7"/>
      <c r="W346" s="7"/>
      <c r="X346" s="132">
        <f t="shared" si="42"/>
        <v>10</v>
      </c>
      <c r="Y346" s="133"/>
      <c r="Z346" s="133"/>
      <c r="AA346" s="133"/>
    </row>
    <row r="347" spans="1:27" hidden="1" x14ac:dyDescent="0.25">
      <c r="A347" s="127">
        <v>383</v>
      </c>
      <c r="B347" s="128" t="str">
        <f t="shared" si="43"/>
        <v>NAMS</v>
      </c>
      <c r="C347" s="128">
        <f>+VLOOKUP(U347,Ходим!A:B,2,0)</f>
        <v>52004005950071</v>
      </c>
      <c r="D347" s="128" t="str">
        <f>IFERROR(VLOOKUP($B:$B,[20]свод!$A:$AB,3,0)," ")</f>
        <v>Наманган шаҳар</v>
      </c>
      <c r="E347" s="7" t="s">
        <v>1491</v>
      </c>
      <c r="F347" s="7" t="s">
        <v>7894</v>
      </c>
      <c r="G347" s="134">
        <f t="shared" si="40"/>
        <v>1</v>
      </c>
      <c r="H347" s="134" t="str">
        <f t="shared" si="41"/>
        <v/>
      </c>
      <c r="I347" s="7" t="s">
        <v>158</v>
      </c>
      <c r="J347" s="7" t="s">
        <v>2</v>
      </c>
      <c r="K347" s="7"/>
      <c r="L347" s="7"/>
      <c r="M347" s="7"/>
      <c r="N347" s="7" t="s">
        <v>170</v>
      </c>
      <c r="O347" s="7" t="s">
        <v>162</v>
      </c>
      <c r="P347" s="7" t="s">
        <v>6291</v>
      </c>
      <c r="Q347" s="129">
        <v>46199</v>
      </c>
      <c r="R347" s="130">
        <f t="shared" si="39"/>
        <v>46205</v>
      </c>
      <c r="S347" s="131">
        <f t="shared" si="44"/>
        <v>6</v>
      </c>
      <c r="T347" s="7" t="s">
        <v>173</v>
      </c>
      <c r="U347" s="7" t="s">
        <v>1015</v>
      </c>
      <c r="V347" s="7"/>
      <c r="W347" s="7"/>
      <c r="X347" s="132">
        <f t="shared" si="42"/>
        <v>10</v>
      </c>
      <c r="Y347" s="133"/>
      <c r="Z347" s="133"/>
      <c r="AA347" s="133"/>
    </row>
    <row r="348" spans="1:27" hidden="1" x14ac:dyDescent="0.25">
      <c r="A348" s="127">
        <v>384</v>
      </c>
      <c r="B348" s="128" t="str">
        <f t="shared" si="43"/>
        <v>KSST</v>
      </c>
      <c r="C348" s="128" t="str">
        <f>+VLOOKUP(U348,Ходим!A:B,2,0)</f>
        <v>50709025980034</v>
      </c>
      <c r="D348" s="128" t="str">
        <f>IFERROR(VLOOKUP($B:$B,[20]свод!$A:$AB,3,0)," ")</f>
        <v>Косонсой тумани</v>
      </c>
      <c r="E348" s="7" t="s">
        <v>1492</v>
      </c>
      <c r="F348" s="7" t="s">
        <v>7895</v>
      </c>
      <c r="G348" s="134">
        <f t="shared" si="40"/>
        <v>1</v>
      </c>
      <c r="H348" s="134" t="str">
        <f t="shared" si="41"/>
        <v/>
      </c>
      <c r="I348" s="7" t="s">
        <v>158</v>
      </c>
      <c r="J348" s="7" t="s">
        <v>2</v>
      </c>
      <c r="K348" s="7"/>
      <c r="L348" s="7" t="s">
        <v>167</v>
      </c>
      <c r="M348" s="7" t="s">
        <v>4456</v>
      </c>
      <c r="N348" s="7" t="s">
        <v>170</v>
      </c>
      <c r="O348" s="7" t="s">
        <v>162</v>
      </c>
      <c r="P348" s="7" t="s">
        <v>6291</v>
      </c>
      <c r="Q348" s="129">
        <v>46199</v>
      </c>
      <c r="R348" s="130">
        <f t="shared" si="39"/>
        <v>46205</v>
      </c>
      <c r="S348" s="131">
        <f t="shared" si="44"/>
        <v>6</v>
      </c>
      <c r="T348" s="7" t="s">
        <v>180</v>
      </c>
      <c r="U348" s="7" t="s">
        <v>286</v>
      </c>
      <c r="V348" s="7"/>
      <c r="W348" s="7">
        <v>77</v>
      </c>
      <c r="X348" s="132">
        <f t="shared" si="42"/>
        <v>10</v>
      </c>
      <c r="Y348" s="133"/>
      <c r="Z348" s="133"/>
      <c r="AA348" s="133"/>
    </row>
    <row r="349" spans="1:27" hidden="1" x14ac:dyDescent="0.25">
      <c r="A349" s="127">
        <v>385</v>
      </c>
      <c r="B349" s="128" t="str">
        <f t="shared" si="43"/>
        <v>NORT</v>
      </c>
      <c r="C349" s="128" t="str">
        <f>+VLOOKUP(U349,Ходим!A:B,2,0)</f>
        <v>40601902150077</v>
      </c>
      <c r="D349" s="128" t="str">
        <f>IFERROR(VLOOKUP($B:$B,[20]свод!$A:$AB,3,0)," ")</f>
        <v>Норин тумани</v>
      </c>
      <c r="E349" s="7" t="s">
        <v>1493</v>
      </c>
      <c r="F349" s="7" t="s">
        <v>7896</v>
      </c>
      <c r="G349" s="134">
        <f t="shared" si="40"/>
        <v>1</v>
      </c>
      <c r="H349" s="134" t="str">
        <f t="shared" si="41"/>
        <v/>
      </c>
      <c r="I349" s="7" t="s">
        <v>156</v>
      </c>
      <c r="J349" s="7" t="s">
        <v>25</v>
      </c>
      <c r="K349" s="7"/>
      <c r="L349" s="7" t="s">
        <v>167</v>
      </c>
      <c r="M349" s="7" t="s">
        <v>4457</v>
      </c>
      <c r="N349" s="7" t="s">
        <v>410</v>
      </c>
      <c r="O349" s="7" t="s">
        <v>162</v>
      </c>
      <c r="P349" s="7" t="s">
        <v>6472</v>
      </c>
      <c r="Q349" s="129">
        <v>46199</v>
      </c>
      <c r="R349" s="130">
        <f t="shared" ref="R349:R402" si="45">WORKDAY(P349,X349,$Y$1:$AA$1)</f>
        <v>46211</v>
      </c>
      <c r="S349" s="131">
        <f t="shared" si="44"/>
        <v>12</v>
      </c>
      <c r="T349" s="7" t="s">
        <v>210</v>
      </c>
      <c r="U349" s="7" t="s">
        <v>249</v>
      </c>
      <c r="V349" s="7"/>
      <c r="W349" s="7">
        <v>152.66</v>
      </c>
      <c r="X349" s="132">
        <f t="shared" si="42"/>
        <v>10</v>
      </c>
      <c r="Y349" s="133"/>
      <c r="Z349" s="133"/>
      <c r="AA349" s="133"/>
    </row>
    <row r="350" spans="1:27" hidden="1" x14ac:dyDescent="0.25">
      <c r="A350" s="127">
        <v>386</v>
      </c>
      <c r="B350" s="128" t="str">
        <f t="shared" si="43"/>
        <v>NAMS</v>
      </c>
      <c r="C350" s="128" t="str">
        <f>+VLOOKUP(U350,Ходим!A:B,2,0)</f>
        <v>51110025960044</v>
      </c>
      <c r="D350" s="128" t="str">
        <f>IFERROR(VLOOKUP($B:$B,[20]свод!$A:$AB,3,0)," ")</f>
        <v>Наманган шаҳар</v>
      </c>
      <c r="E350" s="7" t="s">
        <v>1494</v>
      </c>
      <c r="F350" s="7" t="s">
        <v>7897</v>
      </c>
      <c r="G350" s="134">
        <f t="shared" si="40"/>
        <v>1</v>
      </c>
      <c r="H350" s="134" t="str">
        <f t="shared" si="41"/>
        <v/>
      </c>
      <c r="I350" s="7" t="s">
        <v>156</v>
      </c>
      <c r="J350" s="7" t="s">
        <v>25</v>
      </c>
      <c r="K350" s="7"/>
      <c r="L350" s="7"/>
      <c r="M350" s="7"/>
      <c r="N350" s="7" t="s">
        <v>170</v>
      </c>
      <c r="O350" s="7" t="s">
        <v>162</v>
      </c>
      <c r="P350" s="7" t="s">
        <v>6490</v>
      </c>
      <c r="Q350" s="129">
        <v>46199</v>
      </c>
      <c r="R350" s="130">
        <f t="shared" si="45"/>
        <v>46211</v>
      </c>
      <c r="S350" s="131">
        <f t="shared" si="44"/>
        <v>12</v>
      </c>
      <c r="T350" s="7" t="s">
        <v>173</v>
      </c>
      <c r="U350" s="7" t="s">
        <v>294</v>
      </c>
      <c r="V350" s="7"/>
      <c r="W350" s="7"/>
      <c r="X350" s="132">
        <f t="shared" si="42"/>
        <v>10</v>
      </c>
      <c r="Y350" s="133"/>
      <c r="Z350" s="133"/>
      <c r="AA350" s="133"/>
    </row>
    <row r="351" spans="1:27" hidden="1" x14ac:dyDescent="0.25">
      <c r="A351" s="127">
        <v>388</v>
      </c>
      <c r="B351" s="128" t="str">
        <f t="shared" si="43"/>
        <v>YGQT</v>
      </c>
      <c r="C351" s="128" t="str">
        <f>+VLOOKUP(U351,Ходим!A:B,2,0)</f>
        <v>30101922100050</v>
      </c>
      <c r="D351" s="128" t="str">
        <f>IFERROR(VLOOKUP($B:$B,[20]свод!$A:$AB,3,0)," ")</f>
        <v>Янгиқўрғон тумани</v>
      </c>
      <c r="E351" s="7" t="s">
        <v>1495</v>
      </c>
      <c r="F351" s="7" t="s">
        <v>7898</v>
      </c>
      <c r="G351" s="134" t="str">
        <f t="shared" si="40"/>
        <v/>
      </c>
      <c r="H351" s="134">
        <f t="shared" si="41"/>
        <v>1</v>
      </c>
      <c r="I351" s="7" t="s">
        <v>157</v>
      </c>
      <c r="J351" s="7" t="s">
        <v>2</v>
      </c>
      <c r="K351" s="7"/>
      <c r="L351" s="7"/>
      <c r="M351" s="7"/>
      <c r="N351" s="7" t="s">
        <v>170</v>
      </c>
      <c r="O351" s="7" t="s">
        <v>161</v>
      </c>
      <c r="P351" s="7" t="s">
        <v>6490</v>
      </c>
      <c r="Q351" s="129">
        <v>46199</v>
      </c>
      <c r="R351" s="130">
        <f t="shared" si="45"/>
        <v>46211</v>
      </c>
      <c r="S351" s="131">
        <f t="shared" si="44"/>
        <v>12</v>
      </c>
      <c r="T351" s="7" t="s">
        <v>255</v>
      </c>
      <c r="U351" s="7" t="s">
        <v>265</v>
      </c>
      <c r="V351" s="7"/>
      <c r="W351" s="7"/>
      <c r="X351" s="132">
        <f t="shared" si="42"/>
        <v>10</v>
      </c>
      <c r="Y351" s="133"/>
      <c r="Z351" s="133"/>
      <c r="AA351" s="133"/>
    </row>
    <row r="352" spans="1:27" hidden="1" x14ac:dyDescent="0.25">
      <c r="A352" s="127">
        <v>389</v>
      </c>
      <c r="B352" s="128" t="str">
        <f t="shared" si="43"/>
        <v>TORT</v>
      </c>
      <c r="C352" s="128" t="str">
        <f>+VLOOKUP(U352,Ходим!A:B,2,0)</f>
        <v>30702995920011</v>
      </c>
      <c r="D352" s="128" t="str">
        <f>IFERROR(VLOOKUP($B:$B,[20]свод!$A:$AB,3,0)," ")</f>
        <v>Тўрақўрғон тумани</v>
      </c>
      <c r="E352" s="7" t="s">
        <v>1496</v>
      </c>
      <c r="F352" s="7" t="s">
        <v>7899</v>
      </c>
      <c r="G352" s="134">
        <f t="shared" ref="G352:G405" si="46">IF(OR(
I352="Turar joy obyektning kadastr pasportini shakllantirish va davlat ro'yxatidan o'tkazish",
I352="Turar kompozit"
),
1,
IF(OR(
I352="Noturar kompozit",
I352="Avtoyo'l va suv xo'jaligi obyektining kadastr pasportini shakllantirish va ro'yxatga olish",
I352="Noturar obyektning kadastr pasportining kadastr pasportini shakllantirish va davlat ro'yxatidan o'tkazish"
),
"",
IF(OR(
I352="Notarius uchun ma'lumotnoma (uz)",
I352="Qurilishi tugallangan ko'chmas mulkni foydalanishga qabul qilish",
I352="Umumiy foydalanishdagi ko'chmas mulk qismini yaratish",
I352="Registratsiya (tashqi - UZKAD da bor)"
),
IF(OR(L352="Turar yer maydoni",L352="Yakka tartibdagi turar joy"),1,
IF(L352="Noturar bino","",
IF(L352="Noturar yer maydoni","",
IF(L352="",IF(OR(O352="Turar joy xizmati",O352="Foydalanishga ruxsatnoma berish xizmati"),1,""),"")
))),
"")))</f>
        <v>1</v>
      </c>
      <c r="H352" s="134" t="str">
        <f t="shared" ref="H352:H405" si="47">IF(OR(
I352="Turar joy obyektning kadastr pasportini shakllantirish va davlat ro'yxatidan o'tkazish",
I352="Turar kompozit"
),
"",
IF(OR(
I352="Noturar kompozit",
I352="Avtoyo'l va suv xo'jaligi obyektining kadastr pasportini shakllantirish va ro'yxatga olish",
I352="Noturar obyektning kadastr pasportini shakllantirish va davlat ro'yxatidan o'tkazish"
),
1,
IF(OR(
I352="Notarius uchun ma'lumotnoma (uz)",
I352="Qurilishi tugallangan ko'chmas mulkni foydalanishga qabul qilish",
I352="Umumiy foydalanishdagi ko'chmas mulk qismini yaratish",
I352="Registratsiya (tashqi - UZKAD da bor)"
),
IF(OR(L352="Turar yer maydoni",L352="Yakka tartibdagi turar joy"),"",
IF(L352="Noturar bino",1,
IF(L352="Noturar yer maydoni",1,
IF(L352="",IF(OR(O352="Turar joy xizmati",O352="Foydalanishga ruxsatnoma berish xizmati"),"",1),"")
))),
"")))</f>
        <v/>
      </c>
      <c r="I352" s="7" t="s">
        <v>156</v>
      </c>
      <c r="J352" s="7" t="s">
        <v>25</v>
      </c>
      <c r="K352" s="7"/>
      <c r="L352" s="7"/>
      <c r="M352" s="7"/>
      <c r="N352" s="7" t="s">
        <v>170</v>
      </c>
      <c r="O352" s="7" t="s">
        <v>162</v>
      </c>
      <c r="P352" s="7" t="s">
        <v>6490</v>
      </c>
      <c r="Q352" s="129">
        <v>46199</v>
      </c>
      <c r="R352" s="130">
        <f t="shared" si="45"/>
        <v>46211</v>
      </c>
      <c r="S352" s="131">
        <f t="shared" si="44"/>
        <v>12</v>
      </c>
      <c r="T352" s="7" t="s">
        <v>203</v>
      </c>
      <c r="U352" s="7" t="s">
        <v>341</v>
      </c>
      <c r="V352" s="7"/>
      <c r="W352" s="7"/>
      <c r="X352" s="132">
        <f t="shared" si="42"/>
        <v>10</v>
      </c>
      <c r="Y352" s="133"/>
      <c r="Z352" s="133"/>
      <c r="AA352" s="133"/>
    </row>
    <row r="353" spans="1:27" hidden="1" x14ac:dyDescent="0.25">
      <c r="A353" s="127">
        <v>393</v>
      </c>
      <c r="B353" s="128" t="str">
        <f t="shared" si="43"/>
        <v>YGQT</v>
      </c>
      <c r="C353" s="128" t="str">
        <f>+VLOOKUP(U353,Ходим!A:B,2,0)</f>
        <v>31501762160017</v>
      </c>
      <c r="D353" s="128" t="str">
        <f>IFERROR(VLOOKUP($B:$B,[20]свод!$A:$AB,3,0)," ")</f>
        <v>Янгиқўрғон тумани</v>
      </c>
      <c r="E353" s="7" t="s">
        <v>1497</v>
      </c>
      <c r="F353" s="7" t="s">
        <v>7900</v>
      </c>
      <c r="G353" s="134" t="str">
        <f t="shared" si="46"/>
        <v/>
      </c>
      <c r="H353" s="134">
        <f t="shared" si="47"/>
        <v>1</v>
      </c>
      <c r="I353" s="7" t="s">
        <v>157</v>
      </c>
      <c r="J353" s="7" t="s">
        <v>2</v>
      </c>
      <c r="K353" s="7"/>
      <c r="L353" s="7" t="s">
        <v>168</v>
      </c>
      <c r="M353" s="7" t="s">
        <v>4458</v>
      </c>
      <c r="N353" s="7" t="s">
        <v>170</v>
      </c>
      <c r="O353" s="7" t="s">
        <v>161</v>
      </c>
      <c r="P353" s="7" t="s">
        <v>6490</v>
      </c>
      <c r="Q353" s="129">
        <v>46199</v>
      </c>
      <c r="R353" s="130">
        <f t="shared" si="45"/>
        <v>46206</v>
      </c>
      <c r="S353" s="131">
        <f t="shared" si="44"/>
        <v>7</v>
      </c>
      <c r="T353" s="7" t="s">
        <v>255</v>
      </c>
      <c r="U353" s="7" t="s">
        <v>275</v>
      </c>
      <c r="V353" s="7"/>
      <c r="W353" s="7"/>
      <c r="X353" s="132">
        <f t="shared" si="42"/>
        <v>7</v>
      </c>
      <c r="Y353" s="133"/>
      <c r="Z353" s="133"/>
      <c r="AA353" s="133"/>
    </row>
    <row r="354" spans="1:27" hidden="1" x14ac:dyDescent="0.25">
      <c r="A354" s="127">
        <v>394</v>
      </c>
      <c r="B354" s="128" t="str">
        <f t="shared" si="43"/>
        <v>NAMS</v>
      </c>
      <c r="C354" s="128" t="str">
        <f>+VLOOKUP(U354,Ходим!A:B,2,0)</f>
        <v>51705025890024</v>
      </c>
      <c r="D354" s="128" t="str">
        <f>IFERROR(VLOOKUP($B:$B,[20]свод!$A:$AB,3,0)," ")</f>
        <v>Наманган шаҳар</v>
      </c>
      <c r="E354" s="7" t="s">
        <v>1498</v>
      </c>
      <c r="F354" s="7" t="s">
        <v>7901</v>
      </c>
      <c r="G354" s="134">
        <f t="shared" si="46"/>
        <v>1</v>
      </c>
      <c r="H354" s="134" t="str">
        <f t="shared" si="47"/>
        <v/>
      </c>
      <c r="I354" s="7" t="s">
        <v>158</v>
      </c>
      <c r="J354" s="7" t="s">
        <v>2</v>
      </c>
      <c r="K354" s="7"/>
      <c r="L354" s="7"/>
      <c r="M354" s="7"/>
      <c r="N354" s="7" t="s">
        <v>170</v>
      </c>
      <c r="O354" s="7" t="s">
        <v>162</v>
      </c>
      <c r="P354" s="7" t="s">
        <v>6491</v>
      </c>
      <c r="Q354" s="129">
        <v>46199</v>
      </c>
      <c r="R354" s="130">
        <f t="shared" si="45"/>
        <v>46205</v>
      </c>
      <c r="S354" s="131">
        <f t="shared" si="44"/>
        <v>6</v>
      </c>
      <c r="T354" s="7" t="s">
        <v>173</v>
      </c>
      <c r="U354" s="7" t="s">
        <v>189</v>
      </c>
      <c r="V354" s="7"/>
      <c r="W354" s="7"/>
      <c r="X354" s="132">
        <f t="shared" si="42"/>
        <v>10</v>
      </c>
      <c r="Y354" s="133"/>
      <c r="Z354" s="133"/>
      <c r="AA354" s="133"/>
    </row>
    <row r="355" spans="1:27" hidden="1" x14ac:dyDescent="0.25">
      <c r="A355" s="127">
        <v>395</v>
      </c>
      <c r="B355" s="128" t="str">
        <f t="shared" si="43"/>
        <v>NORT</v>
      </c>
      <c r="C355" s="128" t="str">
        <f>+VLOOKUP(U355,Ходим!A:B,2,0)</f>
        <v>32103985900068</v>
      </c>
      <c r="D355" s="128" t="str">
        <f>IFERROR(VLOOKUP($B:$B,[20]свод!$A:$AB,3,0)," ")</f>
        <v>Норин тумани</v>
      </c>
      <c r="E355" s="7" t="s">
        <v>1499</v>
      </c>
      <c r="F355" s="7" t="s">
        <v>7902</v>
      </c>
      <c r="G355" s="134">
        <f t="shared" si="46"/>
        <v>1</v>
      </c>
      <c r="H355" s="134" t="str">
        <f t="shared" si="47"/>
        <v/>
      </c>
      <c r="I355" s="7" t="s">
        <v>158</v>
      </c>
      <c r="J355" s="7" t="s">
        <v>2</v>
      </c>
      <c r="K355" s="7"/>
      <c r="L355" s="7" t="s">
        <v>167</v>
      </c>
      <c r="M355" s="7" t="s">
        <v>4459</v>
      </c>
      <c r="N355" s="7" t="s">
        <v>170</v>
      </c>
      <c r="O355" s="7" t="s">
        <v>162</v>
      </c>
      <c r="P355" s="7" t="s">
        <v>6492</v>
      </c>
      <c r="Q355" s="129">
        <v>46199</v>
      </c>
      <c r="R355" s="130">
        <f t="shared" si="45"/>
        <v>46205</v>
      </c>
      <c r="S355" s="131">
        <f t="shared" si="44"/>
        <v>6</v>
      </c>
      <c r="T355" s="7" t="s">
        <v>210</v>
      </c>
      <c r="U355" s="7" t="s">
        <v>327</v>
      </c>
      <c r="V355" s="7"/>
      <c r="W355" s="7">
        <v>0</v>
      </c>
      <c r="X355" s="132">
        <f t="shared" si="42"/>
        <v>10</v>
      </c>
      <c r="Y355" s="133"/>
      <c r="Z355" s="133"/>
      <c r="AA355" s="133"/>
    </row>
    <row r="356" spans="1:27" hidden="1" x14ac:dyDescent="0.25">
      <c r="A356" s="127">
        <v>396</v>
      </c>
      <c r="B356" s="128" t="str">
        <f t="shared" si="43"/>
        <v>POPT</v>
      </c>
      <c r="C356" s="128" t="str">
        <f>+VLOOKUP(U356,Ходим!A:B,2,0)</f>
        <v>31103842180041</v>
      </c>
      <c r="D356" s="128" t="str">
        <f>IFERROR(VLOOKUP($B:$B,[20]свод!$A:$AB,3,0)," ")</f>
        <v>Поп тумани</v>
      </c>
      <c r="E356" s="7" t="s">
        <v>1500</v>
      </c>
      <c r="F356" s="7" t="s">
        <v>7903</v>
      </c>
      <c r="G356" s="134" t="str">
        <f t="shared" si="46"/>
        <v/>
      </c>
      <c r="H356" s="134">
        <f t="shared" si="47"/>
        <v>1</v>
      </c>
      <c r="I356" s="7" t="s">
        <v>157</v>
      </c>
      <c r="J356" s="7" t="s">
        <v>2</v>
      </c>
      <c r="K356" s="7"/>
      <c r="L356" s="7" t="s">
        <v>166</v>
      </c>
      <c r="M356" s="7" t="s">
        <v>4460</v>
      </c>
      <c r="N356" s="7" t="s">
        <v>410</v>
      </c>
      <c r="O356" s="7" t="s">
        <v>161</v>
      </c>
      <c r="P356" s="7" t="s">
        <v>6493</v>
      </c>
      <c r="Q356" s="129">
        <v>46199</v>
      </c>
      <c r="R356" s="130">
        <f t="shared" si="45"/>
        <v>46205</v>
      </c>
      <c r="S356" s="131">
        <f t="shared" si="44"/>
        <v>6</v>
      </c>
      <c r="T356" s="7" t="s">
        <v>214</v>
      </c>
      <c r="U356" s="7" t="s">
        <v>337</v>
      </c>
      <c r="V356" s="7"/>
      <c r="W356" s="7">
        <v>0</v>
      </c>
      <c r="X356" s="132">
        <f t="shared" si="42"/>
        <v>10</v>
      </c>
      <c r="Y356" s="133"/>
      <c r="Z356" s="133"/>
      <c r="AA356" s="133"/>
    </row>
    <row r="357" spans="1:27" hidden="1" x14ac:dyDescent="0.25">
      <c r="A357" s="127">
        <v>397</v>
      </c>
      <c r="B357" s="128" t="str">
        <f t="shared" si="43"/>
        <v>CHUT</v>
      </c>
      <c r="C357" s="128" t="str">
        <f>+VLOOKUP(U357,Ходим!A:B,2,0)</f>
        <v>50309005970046</v>
      </c>
      <c r="D357" s="128" t="str">
        <f>IFERROR(VLOOKUP($B:$B,[20]свод!$A:$AB,3,0)," ")</f>
        <v>Чуст тумани</v>
      </c>
      <c r="E357" s="7" t="s">
        <v>1501</v>
      </c>
      <c r="F357" s="7" t="s">
        <v>7904</v>
      </c>
      <c r="G357" s="134">
        <f t="shared" si="46"/>
        <v>1</v>
      </c>
      <c r="H357" s="134" t="str">
        <f t="shared" si="47"/>
        <v/>
      </c>
      <c r="I357" s="7" t="s">
        <v>158</v>
      </c>
      <c r="J357" s="7" t="s">
        <v>1</v>
      </c>
      <c r="K357" s="7"/>
      <c r="L357" s="7" t="s">
        <v>167</v>
      </c>
      <c r="M357" s="7" t="s">
        <v>4461</v>
      </c>
      <c r="N357" s="7" t="s">
        <v>170</v>
      </c>
      <c r="O357" s="7" t="s">
        <v>162</v>
      </c>
      <c r="P357" s="7" t="s">
        <v>6433</v>
      </c>
      <c r="Q357" s="129">
        <v>46199</v>
      </c>
      <c r="R357" s="130">
        <f t="shared" si="45"/>
        <v>46205</v>
      </c>
      <c r="S357" s="131">
        <f t="shared" si="44"/>
        <v>6</v>
      </c>
      <c r="T357" s="7" t="s">
        <v>178</v>
      </c>
      <c r="U357" s="7" t="s">
        <v>290</v>
      </c>
      <c r="V357" s="7"/>
      <c r="W357" s="7">
        <v>269.45</v>
      </c>
      <c r="X357" s="132">
        <f t="shared" si="42"/>
        <v>10</v>
      </c>
      <c r="Y357" s="133"/>
      <c r="Z357" s="133"/>
      <c r="AA357" s="133"/>
    </row>
    <row r="358" spans="1:27" hidden="1" x14ac:dyDescent="0.25">
      <c r="A358" s="127">
        <v>398</v>
      </c>
      <c r="B358" s="128" t="str">
        <f t="shared" si="43"/>
        <v>CHUT</v>
      </c>
      <c r="C358" s="128" t="str">
        <f>+VLOOKUP(U358,Ходим!A:B,2,0)</f>
        <v>32003822180063</v>
      </c>
      <c r="D358" s="128" t="str">
        <f>IFERROR(VLOOKUP($B:$B,[20]свод!$A:$AB,3,0)," ")</f>
        <v>Чуст тумани</v>
      </c>
      <c r="E358" s="7" t="s">
        <v>1502</v>
      </c>
      <c r="F358" s="7" t="s">
        <v>7905</v>
      </c>
      <c r="G358" s="134" t="str">
        <f t="shared" si="46"/>
        <v/>
      </c>
      <c r="H358" s="134">
        <f t="shared" si="47"/>
        <v>1</v>
      </c>
      <c r="I358" s="7" t="s">
        <v>155</v>
      </c>
      <c r="J358" s="7" t="s">
        <v>22</v>
      </c>
      <c r="K358" s="7"/>
      <c r="L358" s="7" t="s">
        <v>166</v>
      </c>
      <c r="M358" s="7" t="s">
        <v>4462</v>
      </c>
      <c r="N358" s="7" t="s">
        <v>170</v>
      </c>
      <c r="O358" s="7" t="s">
        <v>161</v>
      </c>
      <c r="P358" s="7" t="s">
        <v>6494</v>
      </c>
      <c r="Q358" s="129">
        <v>46199</v>
      </c>
      <c r="R358" s="130">
        <f t="shared" si="45"/>
        <v>46211</v>
      </c>
      <c r="S358" s="131">
        <f t="shared" si="44"/>
        <v>12</v>
      </c>
      <c r="T358" s="7" t="s">
        <v>178</v>
      </c>
      <c r="U358" s="7" t="s">
        <v>200</v>
      </c>
      <c r="V358" s="7"/>
      <c r="W358" s="7">
        <v>0</v>
      </c>
      <c r="X358" s="132">
        <f t="shared" si="42"/>
        <v>10</v>
      </c>
      <c r="Y358" s="133"/>
      <c r="Z358" s="133"/>
      <c r="AA358" s="133"/>
    </row>
    <row r="359" spans="1:27" hidden="1" x14ac:dyDescent="0.25">
      <c r="A359" s="127">
        <v>399</v>
      </c>
      <c r="B359" s="128" t="str">
        <f t="shared" si="43"/>
        <v>MINT</v>
      </c>
      <c r="C359" s="128" t="str">
        <f>+VLOOKUP(U359,Ходим!A:B,2,0)</f>
        <v>31802912200033</v>
      </c>
      <c r="D359" s="128" t="str">
        <f>IFERROR(VLOOKUP($B:$B,[20]свод!$A:$AB,3,0)," ")</f>
        <v>Мингбулоқ тумани</v>
      </c>
      <c r="E359" s="7" t="s">
        <v>1503</v>
      </c>
      <c r="F359" s="7" t="s">
        <v>7906</v>
      </c>
      <c r="G359" s="134">
        <f t="shared" si="46"/>
        <v>1</v>
      </c>
      <c r="H359" s="134" t="str">
        <f t="shared" si="47"/>
        <v/>
      </c>
      <c r="I359" s="7" t="s">
        <v>158</v>
      </c>
      <c r="J359" s="7" t="s">
        <v>2</v>
      </c>
      <c r="K359" s="7"/>
      <c r="L359" s="7" t="s">
        <v>167</v>
      </c>
      <c r="M359" s="7" t="s">
        <v>4463</v>
      </c>
      <c r="N359" s="7" t="s">
        <v>410</v>
      </c>
      <c r="O359" s="7" t="s">
        <v>162</v>
      </c>
      <c r="P359" s="7" t="s">
        <v>6493</v>
      </c>
      <c r="Q359" s="129">
        <v>46199</v>
      </c>
      <c r="R359" s="130">
        <f t="shared" si="45"/>
        <v>46205</v>
      </c>
      <c r="S359" s="131">
        <f t="shared" si="44"/>
        <v>6</v>
      </c>
      <c r="T359" s="7" t="s">
        <v>220</v>
      </c>
      <c r="U359" s="7" t="s">
        <v>225</v>
      </c>
      <c r="V359" s="7"/>
      <c r="W359" s="7">
        <v>106.4</v>
      </c>
      <c r="X359" s="132">
        <f t="shared" si="42"/>
        <v>10</v>
      </c>
      <c r="Y359" s="133"/>
      <c r="Z359" s="133"/>
      <c r="AA359" s="133"/>
    </row>
    <row r="360" spans="1:27" hidden="1" x14ac:dyDescent="0.25">
      <c r="A360" s="127">
        <v>400</v>
      </c>
      <c r="B360" s="128" t="str">
        <f t="shared" si="43"/>
        <v>UYCT</v>
      </c>
      <c r="C360" s="128" t="str">
        <f>+VLOOKUP(U360,Ходим!A:B,2,0)</f>
        <v>31703985930055</v>
      </c>
      <c r="D360" s="128" t="str">
        <f>IFERROR(VLOOKUP($B:$B,[20]свод!$A:$AB,3,0)," ")</f>
        <v>Уйчи тумани</v>
      </c>
      <c r="E360" s="7" t="s">
        <v>1504</v>
      </c>
      <c r="F360" s="7" t="s">
        <v>7907</v>
      </c>
      <c r="G360" s="134" t="str">
        <f t="shared" si="46"/>
        <v/>
      </c>
      <c r="H360" s="134">
        <f t="shared" si="47"/>
        <v>1</v>
      </c>
      <c r="I360" s="7" t="s">
        <v>157</v>
      </c>
      <c r="J360" s="7" t="s">
        <v>2</v>
      </c>
      <c r="K360" s="7"/>
      <c r="L360" s="7"/>
      <c r="M360" s="7"/>
      <c r="N360" s="7" t="s">
        <v>170</v>
      </c>
      <c r="O360" s="7" t="s">
        <v>161</v>
      </c>
      <c r="P360" s="7" t="s">
        <v>6493</v>
      </c>
      <c r="Q360" s="129">
        <v>46199</v>
      </c>
      <c r="R360" s="130">
        <f t="shared" si="45"/>
        <v>46205</v>
      </c>
      <c r="S360" s="131">
        <f t="shared" si="44"/>
        <v>6</v>
      </c>
      <c r="T360" s="7" t="s">
        <v>947</v>
      </c>
      <c r="U360" s="7" t="s">
        <v>276</v>
      </c>
      <c r="V360" s="7"/>
      <c r="W360" s="7"/>
      <c r="X360" s="132">
        <f t="shared" si="42"/>
        <v>10</v>
      </c>
      <c r="Y360" s="133"/>
      <c r="Z360" s="133"/>
      <c r="AA360" s="133"/>
    </row>
    <row r="361" spans="1:27" hidden="1" x14ac:dyDescent="0.25">
      <c r="A361" s="127">
        <v>401</v>
      </c>
      <c r="B361" s="128" t="str">
        <f t="shared" si="43"/>
        <v>UYCT</v>
      </c>
      <c r="C361" s="128" t="str">
        <f>+VLOOKUP(U361,Ходим!A:B,2,0)</f>
        <v>52811025930077</v>
      </c>
      <c r="D361" s="128" t="str">
        <f>IFERROR(VLOOKUP($B:$B,[20]свод!$A:$AB,3,0)," ")</f>
        <v>Уйчи тумани</v>
      </c>
      <c r="E361" s="7" t="s">
        <v>1505</v>
      </c>
      <c r="F361" s="7" t="s">
        <v>7908</v>
      </c>
      <c r="G361" s="134" t="str">
        <f t="shared" si="46"/>
        <v/>
      </c>
      <c r="H361" s="134">
        <f t="shared" si="47"/>
        <v>1</v>
      </c>
      <c r="I361" s="7" t="s">
        <v>157</v>
      </c>
      <c r="J361" s="7" t="s">
        <v>35</v>
      </c>
      <c r="K361" s="7"/>
      <c r="L361" s="7" t="s">
        <v>166</v>
      </c>
      <c r="M361" s="7" t="s">
        <v>4464</v>
      </c>
      <c r="N361" s="7" t="s">
        <v>170</v>
      </c>
      <c r="O361" s="7" t="s">
        <v>163</v>
      </c>
      <c r="P361" s="7" t="s">
        <v>6493</v>
      </c>
      <c r="Q361" s="129">
        <v>46199</v>
      </c>
      <c r="R361" s="130">
        <f t="shared" si="45"/>
        <v>46216</v>
      </c>
      <c r="S361" s="131">
        <f t="shared" si="44"/>
        <v>17</v>
      </c>
      <c r="T361" s="7" t="s">
        <v>947</v>
      </c>
      <c r="U361" s="7" t="s">
        <v>356</v>
      </c>
      <c r="V361" s="7"/>
      <c r="W361" s="7">
        <v>1149.8399999999999</v>
      </c>
      <c r="X361" s="132">
        <f t="shared" si="42"/>
        <v>17</v>
      </c>
      <c r="Y361" s="133"/>
      <c r="Z361" s="133"/>
      <c r="AA361" s="133"/>
    </row>
    <row r="362" spans="1:27" hidden="1" x14ac:dyDescent="0.25">
      <c r="A362" s="127">
        <v>402</v>
      </c>
      <c r="B362" s="128" t="str">
        <f t="shared" si="43"/>
        <v>KSST</v>
      </c>
      <c r="C362" s="128" t="str">
        <f>+VLOOKUP(U362,Ходим!A:B,2,0)</f>
        <v>50709025980034</v>
      </c>
      <c r="D362" s="128" t="str">
        <f>IFERROR(VLOOKUP($B:$B,[20]свод!$A:$AB,3,0)," ")</f>
        <v>Косонсой тумани</v>
      </c>
      <c r="E362" s="7" t="s">
        <v>1506</v>
      </c>
      <c r="F362" s="7" t="s">
        <v>7909</v>
      </c>
      <c r="G362" s="134" t="str">
        <f t="shared" si="46"/>
        <v/>
      </c>
      <c r="H362" s="134">
        <f t="shared" si="47"/>
        <v>1</v>
      </c>
      <c r="I362" s="7" t="s">
        <v>157</v>
      </c>
      <c r="J362" s="7" t="s">
        <v>2</v>
      </c>
      <c r="K362" s="7"/>
      <c r="L362" s="7" t="s">
        <v>166</v>
      </c>
      <c r="M362" s="7" t="s">
        <v>1028</v>
      </c>
      <c r="N362" s="7" t="s">
        <v>170</v>
      </c>
      <c r="O362" s="7" t="s">
        <v>161</v>
      </c>
      <c r="P362" s="7" t="s">
        <v>6493</v>
      </c>
      <c r="Q362" s="129">
        <v>46199</v>
      </c>
      <c r="R362" s="130">
        <f t="shared" si="45"/>
        <v>46205</v>
      </c>
      <c r="S362" s="131">
        <f t="shared" si="44"/>
        <v>6</v>
      </c>
      <c r="T362" s="7" t="s">
        <v>180</v>
      </c>
      <c r="U362" s="7" t="s">
        <v>286</v>
      </c>
      <c r="V362" s="7"/>
      <c r="W362" s="7">
        <v>0</v>
      </c>
      <c r="X362" s="132">
        <f t="shared" si="42"/>
        <v>10</v>
      </c>
      <c r="Y362" s="133"/>
      <c r="Z362" s="133"/>
      <c r="AA362" s="133"/>
    </row>
    <row r="363" spans="1:27" hidden="1" x14ac:dyDescent="0.25">
      <c r="A363" s="127">
        <v>403</v>
      </c>
      <c r="B363" s="128" t="str">
        <f t="shared" si="43"/>
        <v>POPT</v>
      </c>
      <c r="C363" s="128" t="str">
        <f>+VLOOKUP(U363,Ходим!A:B,2,0)</f>
        <v>32901912210017</v>
      </c>
      <c r="D363" s="128" t="str">
        <f>IFERROR(VLOOKUP($B:$B,[20]свод!$A:$AB,3,0)," ")</f>
        <v>Поп тумани</v>
      </c>
      <c r="E363" s="7" t="s">
        <v>1507</v>
      </c>
      <c r="F363" s="7" t="s">
        <v>7910</v>
      </c>
      <c r="G363" s="134">
        <f t="shared" si="46"/>
        <v>1</v>
      </c>
      <c r="H363" s="134" t="str">
        <f t="shared" si="47"/>
        <v/>
      </c>
      <c r="I363" s="7" t="s">
        <v>158</v>
      </c>
      <c r="J363" s="7" t="s">
        <v>2</v>
      </c>
      <c r="K363" s="7"/>
      <c r="L363" s="7" t="s">
        <v>167</v>
      </c>
      <c r="M363" s="7" t="s">
        <v>1085</v>
      </c>
      <c r="N363" s="7" t="s">
        <v>170</v>
      </c>
      <c r="O363" s="7" t="s">
        <v>162</v>
      </c>
      <c r="P363" s="7" t="s">
        <v>6493</v>
      </c>
      <c r="Q363" s="129">
        <v>46199</v>
      </c>
      <c r="R363" s="130">
        <f t="shared" si="45"/>
        <v>46205</v>
      </c>
      <c r="S363" s="131">
        <f t="shared" si="44"/>
        <v>6</v>
      </c>
      <c r="T363" s="7" t="s">
        <v>240</v>
      </c>
      <c r="U363" s="7" t="s">
        <v>215</v>
      </c>
      <c r="V363" s="7"/>
      <c r="W363" s="7">
        <v>0</v>
      </c>
      <c r="X363" s="132">
        <f t="shared" si="42"/>
        <v>10</v>
      </c>
      <c r="Y363" s="133"/>
      <c r="Z363" s="133"/>
      <c r="AA363" s="133"/>
    </row>
    <row r="364" spans="1:27" hidden="1" x14ac:dyDescent="0.25">
      <c r="A364" s="127">
        <v>404</v>
      </c>
      <c r="B364" s="128" t="str">
        <f t="shared" si="43"/>
        <v>YGQT</v>
      </c>
      <c r="C364" s="128" t="str">
        <f>+VLOOKUP(U364,Ходим!A:B,2,0)</f>
        <v>52410005950025</v>
      </c>
      <c r="D364" s="128" t="str">
        <f>IFERROR(VLOOKUP($B:$B,[20]свод!$A:$AB,3,0)," ")</f>
        <v>Янгиқўрғон тумани</v>
      </c>
      <c r="E364" s="7" t="s">
        <v>1508</v>
      </c>
      <c r="F364" s="7" t="s">
        <v>7911</v>
      </c>
      <c r="G364" s="134">
        <f t="shared" si="46"/>
        <v>1</v>
      </c>
      <c r="H364" s="134" t="str">
        <f t="shared" si="47"/>
        <v/>
      </c>
      <c r="I364" s="7" t="s">
        <v>158</v>
      </c>
      <c r="J364" s="7" t="s">
        <v>2</v>
      </c>
      <c r="K364" s="7"/>
      <c r="L364" s="7" t="s">
        <v>167</v>
      </c>
      <c r="M364" s="7" t="s">
        <v>4465</v>
      </c>
      <c r="N364" s="7" t="s">
        <v>170</v>
      </c>
      <c r="O364" s="7" t="s">
        <v>162</v>
      </c>
      <c r="P364" s="7" t="s">
        <v>6495</v>
      </c>
      <c r="Q364" s="129">
        <v>46199</v>
      </c>
      <c r="R364" s="130">
        <f t="shared" si="45"/>
        <v>46211</v>
      </c>
      <c r="S364" s="131">
        <f t="shared" si="44"/>
        <v>12</v>
      </c>
      <c r="T364" s="7" t="s">
        <v>255</v>
      </c>
      <c r="U364" s="7" t="s">
        <v>256</v>
      </c>
      <c r="V364" s="7"/>
      <c r="W364" s="7">
        <v>210.84</v>
      </c>
      <c r="X364" s="132">
        <f t="shared" ref="X364:X410" si="48">IF(N364="Kadastr muhandisi",3,
IF(N364="UZKAD",5,
IF(V364="FREE",5,
IF(I364="Registratsiya (tashqi - UZKAD da bor)",1,
IF(I364="Avtoyo'l va suv xo'jaligi obyektining kadastr pasportini shakllantirish va ro'yxatga olish",7,
IF(I364="Notarius uchun ma'lumotnoma (uz)",1,
IF(I364="Qurilishi tugallangan ko'chmas mulkni foydalanishga qabul qilish",10,
IF(OR(I364="Turar joy obyektning kadastr pasportini shakllantirish va davlat ro'yxatidan o'tkazish",I364="Turar kompozit"),
IF(L364="Turar yer maydoni",7,10),
IF(OR(I364="Noturar obyektning kadastr pasportini shakllantirish va davlat ro'yxatidan o'tkazish",I364="Noturar kompozit"),
IF(O364="Ko‘p yillik daraxtlar xizmati",15,
IF(OR(L364="Noturar yer maydoni",L364="Davlat tashkilotlaridan ijaraga olingan yer uchastkasi"),7,
IF(W364&lt;100,10,IF(W364&lt;=1000,12,IF(W364&lt;=5000,17,IF(W364&lt;=15000,22,IF(W364&lt;=50000,28,37))))))),
IF(I364="Umumiy foydalanishdagi ko'chmas mulk qismini yaratish",
IF(IF(TRIM(L364)="",IF(OR(O364="Turar joy xizmati",O364="Yakka tartibdagi turar joy"),"Turar","Noturar"),IF(OR(L364="Yakka tartibdagi turar joy",L364="Turar joy xizmati"),"Turar","Noturar"))="Turar",
10,IF(W364&lt;100,10,IF(W364&lt;=1000,12,IF(W364&lt;=5000,17,IF(W364&lt;=15000,22,IF(W364&lt;=50000,28,37)))))),
0))))))))))</f>
        <v>10</v>
      </c>
      <c r="Y364" s="133"/>
      <c r="Z364" s="133"/>
      <c r="AA364" s="133"/>
    </row>
    <row r="365" spans="1:27" hidden="1" x14ac:dyDescent="0.25">
      <c r="A365" s="127">
        <v>405</v>
      </c>
      <c r="B365" s="128" t="str">
        <f t="shared" ref="B365:B411" si="49">LEFT(E365,4)</f>
        <v>YGQT</v>
      </c>
      <c r="C365" s="128" t="str">
        <f>+VLOOKUP(U365,Ходим!A:B,2,0)</f>
        <v>52009035950022</v>
      </c>
      <c r="D365" s="128" t="str">
        <f>IFERROR(VLOOKUP($B:$B,[20]свод!$A:$AB,3,0)," ")</f>
        <v>Янгиқўрғон тумани</v>
      </c>
      <c r="E365" s="7" t="s">
        <v>1509</v>
      </c>
      <c r="F365" s="7" t="s">
        <v>7912</v>
      </c>
      <c r="G365" s="134">
        <f t="shared" si="46"/>
        <v>1</v>
      </c>
      <c r="H365" s="134" t="str">
        <f t="shared" si="47"/>
        <v/>
      </c>
      <c r="I365" s="7" t="s">
        <v>156</v>
      </c>
      <c r="J365" s="7" t="s">
        <v>25</v>
      </c>
      <c r="K365" s="7"/>
      <c r="L365" s="7" t="s">
        <v>167</v>
      </c>
      <c r="M365" s="7" t="s">
        <v>4466</v>
      </c>
      <c r="N365" s="7" t="s">
        <v>170</v>
      </c>
      <c r="O365" s="7" t="s">
        <v>162</v>
      </c>
      <c r="P365" s="7" t="s">
        <v>6475</v>
      </c>
      <c r="Q365" s="129">
        <v>46199</v>
      </c>
      <c r="R365" s="130">
        <f t="shared" si="45"/>
        <v>46211</v>
      </c>
      <c r="S365" s="131">
        <f t="shared" ref="S365:S411" si="50">R365-Q365</f>
        <v>12</v>
      </c>
      <c r="T365" s="7" t="s">
        <v>182</v>
      </c>
      <c r="U365" s="7" t="s">
        <v>272</v>
      </c>
      <c r="V365" s="7"/>
      <c r="W365" s="7">
        <v>148.06</v>
      </c>
      <c r="X365" s="132">
        <f t="shared" si="48"/>
        <v>10</v>
      </c>
      <c r="Y365" s="133"/>
      <c r="Z365" s="133"/>
      <c r="AA365" s="133"/>
    </row>
    <row r="366" spans="1:27" hidden="1" x14ac:dyDescent="0.25">
      <c r="A366" s="127">
        <v>407</v>
      </c>
      <c r="B366" s="128" t="str">
        <f t="shared" si="49"/>
        <v>YGQT</v>
      </c>
      <c r="C366" s="128" t="str">
        <f>+VLOOKUP(U366,Ходим!A:B,2,0)</f>
        <v>52010015950028</v>
      </c>
      <c r="D366" s="128" t="str">
        <f>IFERROR(VLOOKUP($B:$B,[20]свод!$A:$AB,3,0)," ")</f>
        <v>Янгиқўрғон тумани</v>
      </c>
      <c r="E366" s="7" t="s">
        <v>1510</v>
      </c>
      <c r="F366" s="7" t="s">
        <v>7913</v>
      </c>
      <c r="G366" s="134">
        <f t="shared" si="46"/>
        <v>1</v>
      </c>
      <c r="H366" s="134" t="str">
        <f t="shared" si="47"/>
        <v/>
      </c>
      <c r="I366" s="7" t="s">
        <v>156</v>
      </c>
      <c r="J366" s="7" t="s">
        <v>22</v>
      </c>
      <c r="K366" s="7"/>
      <c r="L366" s="7"/>
      <c r="M366" s="7"/>
      <c r="N366" s="7" t="s">
        <v>410</v>
      </c>
      <c r="O366" s="7" t="s">
        <v>162</v>
      </c>
      <c r="P366" s="7" t="s">
        <v>6428</v>
      </c>
      <c r="Q366" s="129">
        <v>46199</v>
      </c>
      <c r="R366" s="130">
        <f t="shared" si="45"/>
        <v>46211</v>
      </c>
      <c r="S366" s="131">
        <f t="shared" si="50"/>
        <v>12</v>
      </c>
      <c r="T366" s="7" t="s">
        <v>182</v>
      </c>
      <c r="U366" s="7" t="s">
        <v>391</v>
      </c>
      <c r="V366" s="7"/>
      <c r="W366" s="7"/>
      <c r="X366" s="132">
        <f t="shared" si="48"/>
        <v>10</v>
      </c>
      <c r="Y366" s="133"/>
      <c r="Z366" s="133"/>
      <c r="AA366" s="133"/>
    </row>
    <row r="367" spans="1:27" hidden="1" x14ac:dyDescent="0.25">
      <c r="A367" s="127">
        <v>409</v>
      </c>
      <c r="B367" s="128" t="str">
        <f t="shared" si="49"/>
        <v>YGQT</v>
      </c>
      <c r="C367" s="128" t="str">
        <f>+VLOOKUP(U367,Ходим!A:B,2,0)</f>
        <v>52010015950028</v>
      </c>
      <c r="D367" s="128" t="str">
        <f>IFERROR(VLOOKUP($B:$B,[20]свод!$A:$AB,3,0)," ")</f>
        <v>Янгиқўрғон тумани</v>
      </c>
      <c r="E367" s="7" t="s">
        <v>1511</v>
      </c>
      <c r="F367" s="7" t="s">
        <v>7914</v>
      </c>
      <c r="G367" s="134" t="str">
        <f t="shared" si="46"/>
        <v/>
      </c>
      <c r="H367" s="134">
        <f t="shared" si="47"/>
        <v>1</v>
      </c>
      <c r="I367" s="7" t="s">
        <v>157</v>
      </c>
      <c r="J367" s="7" t="s">
        <v>172</v>
      </c>
      <c r="K367" s="7"/>
      <c r="L367" s="7"/>
      <c r="M367" s="7"/>
      <c r="N367" s="7" t="s">
        <v>170</v>
      </c>
      <c r="O367" s="7" t="s">
        <v>161</v>
      </c>
      <c r="P367" s="7" t="s">
        <v>6404</v>
      </c>
      <c r="Q367" s="129">
        <v>46199</v>
      </c>
      <c r="R367" s="130">
        <f t="shared" si="45"/>
        <v>46211</v>
      </c>
      <c r="S367" s="131">
        <f t="shared" si="50"/>
        <v>12</v>
      </c>
      <c r="T367" s="7" t="s">
        <v>255</v>
      </c>
      <c r="U367" s="7" t="s">
        <v>391</v>
      </c>
      <c r="V367" s="7"/>
      <c r="W367" s="7"/>
      <c r="X367" s="132">
        <f t="shared" si="48"/>
        <v>10</v>
      </c>
      <c r="Y367" s="133"/>
      <c r="Z367" s="133"/>
      <c r="AA367" s="133"/>
    </row>
    <row r="368" spans="1:27" hidden="1" x14ac:dyDescent="0.25">
      <c r="A368" s="127">
        <v>410</v>
      </c>
      <c r="B368" s="128" t="str">
        <f t="shared" si="49"/>
        <v>YGQT</v>
      </c>
      <c r="C368" s="128" t="str">
        <f>+VLOOKUP(U368,Ходим!A:B,2,0)</f>
        <v>52010015950028</v>
      </c>
      <c r="D368" s="128" t="str">
        <f>IFERROR(VLOOKUP($B:$B,[20]свод!$A:$AB,3,0)," ")</f>
        <v>Янгиқўрғон тумани</v>
      </c>
      <c r="E368" s="7" t="s">
        <v>1512</v>
      </c>
      <c r="F368" s="7" t="s">
        <v>7915</v>
      </c>
      <c r="G368" s="134">
        <f t="shared" si="46"/>
        <v>1</v>
      </c>
      <c r="H368" s="134" t="str">
        <f t="shared" si="47"/>
        <v/>
      </c>
      <c r="I368" s="7" t="s">
        <v>156</v>
      </c>
      <c r="J368" s="7" t="s">
        <v>25</v>
      </c>
      <c r="K368" s="7"/>
      <c r="L368" s="7"/>
      <c r="M368" s="7"/>
      <c r="N368" s="7" t="s">
        <v>170</v>
      </c>
      <c r="O368" s="7" t="s">
        <v>162</v>
      </c>
      <c r="P368" s="7" t="s">
        <v>6404</v>
      </c>
      <c r="Q368" s="129">
        <v>46199</v>
      </c>
      <c r="R368" s="130">
        <f t="shared" si="45"/>
        <v>46211</v>
      </c>
      <c r="S368" s="131">
        <f t="shared" si="50"/>
        <v>12</v>
      </c>
      <c r="T368" s="7" t="s">
        <v>182</v>
      </c>
      <c r="U368" s="7" t="s">
        <v>391</v>
      </c>
      <c r="V368" s="7"/>
      <c r="W368" s="7"/>
      <c r="X368" s="132">
        <f t="shared" si="48"/>
        <v>10</v>
      </c>
      <c r="Y368" s="133"/>
      <c r="Z368" s="133"/>
      <c r="AA368" s="133"/>
    </row>
    <row r="369" spans="1:27" hidden="1" x14ac:dyDescent="0.25">
      <c r="A369" s="127">
        <v>411</v>
      </c>
      <c r="B369" s="128" t="str">
        <f t="shared" si="49"/>
        <v>YGQT</v>
      </c>
      <c r="C369" s="128" t="str">
        <f>+VLOOKUP(U369,Ходим!A:B,2,0)</f>
        <v>31501762160017</v>
      </c>
      <c r="D369" s="128" t="str">
        <f>IFERROR(VLOOKUP($B:$B,[20]свод!$A:$AB,3,0)," ")</f>
        <v>Янгиқўрғон тумани</v>
      </c>
      <c r="E369" s="7" t="s">
        <v>1513</v>
      </c>
      <c r="F369" s="7" t="s">
        <v>7916</v>
      </c>
      <c r="G369" s="134" t="str">
        <f t="shared" si="46"/>
        <v/>
      </c>
      <c r="H369" s="134">
        <f t="shared" si="47"/>
        <v>1</v>
      </c>
      <c r="I369" s="7" t="s">
        <v>155</v>
      </c>
      <c r="J369" s="7" t="s">
        <v>21</v>
      </c>
      <c r="K369" s="7"/>
      <c r="L369" s="7" t="s">
        <v>166</v>
      </c>
      <c r="M369" s="7" t="s">
        <v>4467</v>
      </c>
      <c r="N369" s="7" t="s">
        <v>170</v>
      </c>
      <c r="O369" s="7" t="s">
        <v>161</v>
      </c>
      <c r="P369" s="7" t="s">
        <v>6404</v>
      </c>
      <c r="Q369" s="129">
        <v>46199</v>
      </c>
      <c r="R369" s="130">
        <f t="shared" si="45"/>
        <v>46211</v>
      </c>
      <c r="S369" s="131">
        <f t="shared" si="50"/>
        <v>12</v>
      </c>
      <c r="T369" s="7" t="s">
        <v>182</v>
      </c>
      <c r="U369" s="7" t="s">
        <v>275</v>
      </c>
      <c r="V369" s="7"/>
      <c r="W369" s="7">
        <v>0</v>
      </c>
      <c r="X369" s="132">
        <f t="shared" si="48"/>
        <v>10</v>
      </c>
      <c r="Y369" s="133"/>
      <c r="Z369" s="133"/>
      <c r="AA369" s="133"/>
    </row>
    <row r="370" spans="1:27" hidden="1" x14ac:dyDescent="0.25">
      <c r="A370" s="127">
        <v>412</v>
      </c>
      <c r="B370" s="128" t="str">
        <f t="shared" si="49"/>
        <v>YGQT</v>
      </c>
      <c r="C370" s="128" t="str">
        <f>+VLOOKUP(U370,Ходим!A:B,2,0)</f>
        <v>30903902160122</v>
      </c>
      <c r="D370" s="128" t="str">
        <f>IFERROR(VLOOKUP($B:$B,[20]свод!$A:$AB,3,0)," ")</f>
        <v>Янгиқўрғон тумани</v>
      </c>
      <c r="E370" s="7" t="s">
        <v>1514</v>
      </c>
      <c r="F370" s="7" t="s">
        <v>7917</v>
      </c>
      <c r="G370" s="134" t="str">
        <f t="shared" si="46"/>
        <v/>
      </c>
      <c r="H370" s="134">
        <f t="shared" si="47"/>
        <v>1</v>
      </c>
      <c r="I370" s="7" t="s">
        <v>157</v>
      </c>
      <c r="J370" s="7" t="s">
        <v>172</v>
      </c>
      <c r="K370" s="7"/>
      <c r="L370" s="7"/>
      <c r="M370" s="7"/>
      <c r="N370" s="7" t="s">
        <v>170</v>
      </c>
      <c r="O370" s="7" t="s">
        <v>161</v>
      </c>
      <c r="P370" s="7" t="s">
        <v>6401</v>
      </c>
      <c r="Q370" s="129">
        <v>46199</v>
      </c>
      <c r="R370" s="130">
        <f t="shared" si="45"/>
        <v>46211</v>
      </c>
      <c r="S370" s="131">
        <f t="shared" si="50"/>
        <v>12</v>
      </c>
      <c r="T370" s="7" t="s">
        <v>255</v>
      </c>
      <c r="U370" s="7" t="s">
        <v>230</v>
      </c>
      <c r="V370" s="7"/>
      <c r="W370" s="7"/>
      <c r="X370" s="132">
        <f t="shared" si="48"/>
        <v>10</v>
      </c>
      <c r="Y370" s="133"/>
      <c r="Z370" s="133"/>
      <c r="AA370" s="133"/>
    </row>
    <row r="371" spans="1:27" hidden="1" x14ac:dyDescent="0.25">
      <c r="A371" s="127">
        <v>413</v>
      </c>
      <c r="B371" s="128" t="str">
        <f t="shared" si="49"/>
        <v>CHOT</v>
      </c>
      <c r="C371" s="128" t="str">
        <f>+VLOOKUP(U371,Ходим!A:B,2,0)</f>
        <v>32906975890046</v>
      </c>
      <c r="D371" s="128" t="str">
        <f>IFERROR(VLOOKUP($B:$B,[20]свод!$A:$AB,3,0)," ")</f>
        <v>Чортоқ тумани</v>
      </c>
      <c r="E371" s="7" t="s">
        <v>1515</v>
      </c>
      <c r="F371" s="7" t="s">
        <v>7918</v>
      </c>
      <c r="G371" s="134">
        <f t="shared" si="46"/>
        <v>1</v>
      </c>
      <c r="H371" s="134" t="str">
        <f t="shared" si="47"/>
        <v/>
      </c>
      <c r="I371" s="7" t="s">
        <v>158</v>
      </c>
      <c r="J371" s="7" t="s">
        <v>2</v>
      </c>
      <c r="K371" s="7"/>
      <c r="L371" s="7"/>
      <c r="M371" s="7"/>
      <c r="N371" s="7" t="s">
        <v>170</v>
      </c>
      <c r="O371" s="7" t="s">
        <v>162</v>
      </c>
      <c r="P371" s="7" t="s">
        <v>6496</v>
      </c>
      <c r="Q371" s="129">
        <v>46199</v>
      </c>
      <c r="R371" s="130">
        <f t="shared" si="45"/>
        <v>46206</v>
      </c>
      <c r="S371" s="131">
        <f t="shared" si="50"/>
        <v>7</v>
      </c>
      <c r="T371" s="7" t="s">
        <v>10635</v>
      </c>
      <c r="U371" s="7" t="s">
        <v>335</v>
      </c>
      <c r="V371" s="7"/>
      <c r="W371" s="7"/>
      <c r="X371" s="132">
        <f t="shared" si="48"/>
        <v>10</v>
      </c>
      <c r="Y371" s="133"/>
      <c r="Z371" s="133"/>
      <c r="AA371" s="133"/>
    </row>
    <row r="372" spans="1:27" hidden="1" x14ac:dyDescent="0.25">
      <c r="A372" s="127">
        <v>414</v>
      </c>
      <c r="B372" s="128" t="str">
        <f t="shared" si="49"/>
        <v>YGQT</v>
      </c>
      <c r="C372" s="128" t="str">
        <f>+VLOOKUP(U372,Ходим!A:B,2,0)</f>
        <v>32806922160043</v>
      </c>
      <c r="D372" s="128" t="str">
        <f>IFERROR(VLOOKUP($B:$B,[20]свод!$A:$AB,3,0)," ")</f>
        <v>Янгиқўрғон тумани</v>
      </c>
      <c r="E372" s="7" t="s">
        <v>1516</v>
      </c>
      <c r="F372" s="7" t="s">
        <v>7919</v>
      </c>
      <c r="G372" s="134">
        <f t="shared" si="46"/>
        <v>1</v>
      </c>
      <c r="H372" s="134" t="str">
        <f t="shared" si="47"/>
        <v/>
      </c>
      <c r="I372" s="7" t="s">
        <v>156</v>
      </c>
      <c r="J372" s="7" t="s">
        <v>22</v>
      </c>
      <c r="K372" s="7"/>
      <c r="L372" s="7" t="s">
        <v>167</v>
      </c>
      <c r="M372" s="7" t="s">
        <v>4468</v>
      </c>
      <c r="N372" s="7" t="s">
        <v>170</v>
      </c>
      <c r="O372" s="7" t="s">
        <v>162</v>
      </c>
      <c r="P372" s="7" t="s">
        <v>6380</v>
      </c>
      <c r="Q372" s="129">
        <v>46199</v>
      </c>
      <c r="R372" s="130">
        <f t="shared" si="45"/>
        <v>46211</v>
      </c>
      <c r="S372" s="131">
        <f t="shared" si="50"/>
        <v>12</v>
      </c>
      <c r="T372" s="7" t="s">
        <v>182</v>
      </c>
      <c r="U372" s="7" t="s">
        <v>186</v>
      </c>
      <c r="V372" s="7"/>
      <c r="W372" s="7">
        <v>106.1</v>
      </c>
      <c r="X372" s="132">
        <f t="shared" si="48"/>
        <v>10</v>
      </c>
      <c r="Y372" s="133"/>
      <c r="Z372" s="133"/>
      <c r="AA372" s="133"/>
    </row>
    <row r="373" spans="1:27" hidden="1" x14ac:dyDescent="0.25">
      <c r="A373" s="127">
        <v>415</v>
      </c>
      <c r="B373" s="128" t="str">
        <f t="shared" si="49"/>
        <v>TORT</v>
      </c>
      <c r="C373" s="128" t="str">
        <f>+VLOOKUP(U373,Ходим!A:B,2,0)</f>
        <v>50908015920034</v>
      </c>
      <c r="D373" s="128" t="str">
        <f>IFERROR(VLOOKUP($B:$B,[20]свод!$A:$AB,3,0)," ")</f>
        <v>Тўрақўрғон тумани</v>
      </c>
      <c r="E373" s="7" t="s">
        <v>1517</v>
      </c>
      <c r="F373" s="7" t="s">
        <v>7920</v>
      </c>
      <c r="G373" s="134">
        <f t="shared" si="46"/>
        <v>1</v>
      </c>
      <c r="H373" s="134" t="str">
        <f t="shared" si="47"/>
        <v/>
      </c>
      <c r="I373" s="7" t="s">
        <v>158</v>
      </c>
      <c r="J373" s="7" t="s">
        <v>1</v>
      </c>
      <c r="K373" s="7"/>
      <c r="L373" s="7" t="s">
        <v>167</v>
      </c>
      <c r="M373" s="7" t="s">
        <v>4469</v>
      </c>
      <c r="N373" s="7" t="s">
        <v>170</v>
      </c>
      <c r="O373" s="7" t="s">
        <v>163</v>
      </c>
      <c r="P373" s="7" t="s">
        <v>6497</v>
      </c>
      <c r="Q373" s="129">
        <v>46199</v>
      </c>
      <c r="R373" s="130">
        <f t="shared" si="45"/>
        <v>46205</v>
      </c>
      <c r="S373" s="131">
        <f t="shared" si="50"/>
        <v>6</v>
      </c>
      <c r="T373" s="7" t="s">
        <v>203</v>
      </c>
      <c r="U373" s="7" t="s">
        <v>205</v>
      </c>
      <c r="V373" s="7"/>
      <c r="W373" s="7">
        <v>223.9</v>
      </c>
      <c r="X373" s="132">
        <f t="shared" si="48"/>
        <v>10</v>
      </c>
      <c r="Y373" s="133"/>
      <c r="Z373" s="133"/>
      <c r="AA373" s="133"/>
    </row>
    <row r="374" spans="1:27" hidden="1" x14ac:dyDescent="0.25">
      <c r="A374" s="127">
        <v>416</v>
      </c>
      <c r="B374" s="128" t="str">
        <f t="shared" si="49"/>
        <v>NAMS</v>
      </c>
      <c r="C374" s="128" t="str">
        <f>+VLOOKUP(U374,Ходим!A:B,2,0)</f>
        <v>33012942170121</v>
      </c>
      <c r="D374" s="128" t="str">
        <f>IFERROR(VLOOKUP($B:$B,[20]свод!$A:$AB,3,0)," ")</f>
        <v>Наманган шаҳар</v>
      </c>
      <c r="E374" s="7" t="s">
        <v>1518</v>
      </c>
      <c r="F374" s="7"/>
      <c r="G374" s="134">
        <f t="shared" si="46"/>
        <v>1</v>
      </c>
      <c r="H374" s="134" t="str">
        <f t="shared" si="47"/>
        <v/>
      </c>
      <c r="I374" s="7" t="s">
        <v>154</v>
      </c>
      <c r="J374" s="7" t="s">
        <v>145</v>
      </c>
      <c r="K374" s="7"/>
      <c r="L374" s="7" t="s">
        <v>167</v>
      </c>
      <c r="M374" s="7" t="s">
        <v>4470</v>
      </c>
      <c r="N374" s="7" t="s">
        <v>368</v>
      </c>
      <c r="O374" s="7"/>
      <c r="P374" s="7" t="s">
        <v>6498</v>
      </c>
      <c r="Q374" s="129">
        <v>46199</v>
      </c>
      <c r="R374" s="130">
        <f t="shared" si="45"/>
        <v>46202</v>
      </c>
      <c r="S374" s="131">
        <f t="shared" si="50"/>
        <v>3</v>
      </c>
      <c r="T374" s="7" t="s">
        <v>983</v>
      </c>
      <c r="U374" s="7" t="s">
        <v>259</v>
      </c>
      <c r="V374" s="7" t="s">
        <v>965</v>
      </c>
      <c r="W374" s="7">
        <v>2240.39</v>
      </c>
      <c r="X374" s="132">
        <f t="shared" si="48"/>
        <v>5</v>
      </c>
      <c r="Y374" s="133"/>
      <c r="Z374" s="133"/>
      <c r="AA374" s="133"/>
    </row>
    <row r="375" spans="1:27" hidden="1" x14ac:dyDescent="0.25">
      <c r="A375" s="127">
        <v>417</v>
      </c>
      <c r="B375" s="128" t="str">
        <f t="shared" si="49"/>
        <v>UYCT</v>
      </c>
      <c r="C375" s="128" t="str">
        <f>+VLOOKUP(U375,Ходим!A:B,2,0)</f>
        <v>31101985930022</v>
      </c>
      <c r="D375" s="128" t="str">
        <f>IFERROR(VLOOKUP($B:$B,[20]свод!$A:$AB,3,0)," ")</f>
        <v>Уйчи тумани</v>
      </c>
      <c r="E375" s="7" t="s">
        <v>1519</v>
      </c>
      <c r="F375" s="7" t="s">
        <v>7921</v>
      </c>
      <c r="G375" s="134">
        <f t="shared" si="46"/>
        <v>1</v>
      </c>
      <c r="H375" s="134" t="str">
        <f t="shared" si="47"/>
        <v/>
      </c>
      <c r="I375" s="7" t="s">
        <v>156</v>
      </c>
      <c r="J375" s="7" t="s">
        <v>22</v>
      </c>
      <c r="K375" s="7"/>
      <c r="L375" s="7" t="s">
        <v>167</v>
      </c>
      <c r="M375" s="7" t="s">
        <v>4471</v>
      </c>
      <c r="N375" s="7" t="s">
        <v>170</v>
      </c>
      <c r="O375" s="7" t="s">
        <v>162</v>
      </c>
      <c r="P375" s="7" t="s">
        <v>6383</v>
      </c>
      <c r="Q375" s="129">
        <v>46199</v>
      </c>
      <c r="R375" s="130">
        <f t="shared" si="45"/>
        <v>46211</v>
      </c>
      <c r="S375" s="131">
        <f t="shared" si="50"/>
        <v>12</v>
      </c>
      <c r="T375" s="7" t="s">
        <v>379</v>
      </c>
      <c r="U375" s="7" t="s">
        <v>299</v>
      </c>
      <c r="V375" s="7"/>
      <c r="W375" s="7">
        <v>317.39999999999998</v>
      </c>
      <c r="X375" s="132">
        <f t="shared" si="48"/>
        <v>10</v>
      </c>
      <c r="Y375" s="133"/>
      <c r="Z375" s="133"/>
      <c r="AA375" s="133"/>
    </row>
    <row r="376" spans="1:27" hidden="1" x14ac:dyDescent="0.25">
      <c r="A376" s="127">
        <v>419</v>
      </c>
      <c r="B376" s="128" t="str">
        <f t="shared" si="49"/>
        <v>NAMS</v>
      </c>
      <c r="C376" s="128">
        <f>+VLOOKUP(U376,Ходим!A:B,2,0)</f>
        <v>50510025960139</v>
      </c>
      <c r="D376" s="128" t="str">
        <f>IFERROR(VLOOKUP($B:$B,[20]свод!$A:$AB,3,0)," ")</f>
        <v>Наманган шаҳар</v>
      </c>
      <c r="E376" s="7" t="s">
        <v>1520</v>
      </c>
      <c r="F376" s="7" t="s">
        <v>7922</v>
      </c>
      <c r="G376" s="134">
        <f t="shared" si="46"/>
        <v>1</v>
      </c>
      <c r="H376" s="134" t="str">
        <f t="shared" si="47"/>
        <v/>
      </c>
      <c r="I376" s="7" t="s">
        <v>156</v>
      </c>
      <c r="J376" s="7" t="s">
        <v>25</v>
      </c>
      <c r="K376" s="7"/>
      <c r="L376" s="7"/>
      <c r="M376" s="7"/>
      <c r="N376" s="7" t="s">
        <v>170</v>
      </c>
      <c r="O376" s="7" t="s">
        <v>162</v>
      </c>
      <c r="P376" s="7" t="s">
        <v>6499</v>
      </c>
      <c r="Q376" s="129">
        <v>46199</v>
      </c>
      <c r="R376" s="130">
        <f t="shared" si="45"/>
        <v>46211</v>
      </c>
      <c r="S376" s="131">
        <f t="shared" si="50"/>
        <v>12</v>
      </c>
      <c r="T376" s="7" t="s">
        <v>173</v>
      </c>
      <c r="U376" s="7" t="s">
        <v>955</v>
      </c>
      <c r="V376" s="7"/>
      <c r="W376" s="7"/>
      <c r="X376" s="132">
        <f t="shared" si="48"/>
        <v>10</v>
      </c>
      <c r="Y376" s="133"/>
      <c r="Z376" s="133"/>
      <c r="AA376" s="133"/>
    </row>
    <row r="377" spans="1:27" hidden="1" x14ac:dyDescent="0.25">
      <c r="A377" s="127">
        <v>420</v>
      </c>
      <c r="B377" s="128" t="str">
        <f t="shared" si="49"/>
        <v>NAMS</v>
      </c>
      <c r="C377" s="128">
        <f>+VLOOKUP(U377,Ходим!A:B,2,0)</f>
        <v>52004005950071</v>
      </c>
      <c r="D377" s="128" t="str">
        <f>IFERROR(VLOOKUP($B:$B,[20]свод!$A:$AB,3,0)," ")</f>
        <v>Наманган шаҳар</v>
      </c>
      <c r="E377" s="7" t="s">
        <v>1521</v>
      </c>
      <c r="F377" s="7" t="s">
        <v>7923</v>
      </c>
      <c r="G377" s="134">
        <f t="shared" si="46"/>
        <v>1</v>
      </c>
      <c r="H377" s="134" t="str">
        <f t="shared" si="47"/>
        <v/>
      </c>
      <c r="I377" s="7" t="s">
        <v>156</v>
      </c>
      <c r="J377" s="7" t="s">
        <v>25</v>
      </c>
      <c r="K377" s="7"/>
      <c r="L377" s="7"/>
      <c r="M377" s="7"/>
      <c r="N377" s="7" t="s">
        <v>170</v>
      </c>
      <c r="O377" s="7" t="s">
        <v>162</v>
      </c>
      <c r="P377" s="7" t="s">
        <v>6499</v>
      </c>
      <c r="Q377" s="129">
        <v>46199</v>
      </c>
      <c r="R377" s="130">
        <f t="shared" si="45"/>
        <v>46211</v>
      </c>
      <c r="S377" s="131">
        <f t="shared" si="50"/>
        <v>12</v>
      </c>
      <c r="T377" s="7" t="s">
        <v>173</v>
      </c>
      <c r="U377" s="7" t="s">
        <v>1015</v>
      </c>
      <c r="V377" s="7"/>
      <c r="W377" s="7"/>
      <c r="X377" s="132">
        <f t="shared" si="48"/>
        <v>10</v>
      </c>
      <c r="Y377" s="133"/>
      <c r="Z377" s="133"/>
      <c r="AA377" s="133"/>
    </row>
    <row r="378" spans="1:27" hidden="1" x14ac:dyDescent="0.25">
      <c r="A378" s="127">
        <v>421</v>
      </c>
      <c r="B378" s="128" t="str">
        <f t="shared" si="49"/>
        <v>UYCT</v>
      </c>
      <c r="C378" s="128" t="str">
        <f>+VLOOKUP(U378,Ходим!A:B,2,0)</f>
        <v>51501005930032</v>
      </c>
      <c r="D378" s="128" t="str">
        <f>IFERROR(VLOOKUP($B:$B,[20]свод!$A:$AB,3,0)," ")</f>
        <v>Уйчи тумани</v>
      </c>
      <c r="E378" s="7" t="s">
        <v>1522</v>
      </c>
      <c r="F378" s="7" t="s">
        <v>7924</v>
      </c>
      <c r="G378" s="134">
        <f t="shared" si="46"/>
        <v>1</v>
      </c>
      <c r="H378" s="134" t="str">
        <f t="shared" si="47"/>
        <v/>
      </c>
      <c r="I378" s="7" t="s">
        <v>158</v>
      </c>
      <c r="J378" s="7" t="s">
        <v>2</v>
      </c>
      <c r="K378" s="7"/>
      <c r="L378" s="7"/>
      <c r="M378" s="7"/>
      <c r="N378" s="7" t="s">
        <v>170</v>
      </c>
      <c r="O378" s="7" t="s">
        <v>162</v>
      </c>
      <c r="P378" s="7" t="s">
        <v>6499</v>
      </c>
      <c r="Q378" s="129">
        <v>46199</v>
      </c>
      <c r="R378" s="130">
        <f t="shared" si="45"/>
        <v>46211</v>
      </c>
      <c r="S378" s="131">
        <f t="shared" si="50"/>
        <v>12</v>
      </c>
      <c r="T378" s="7" t="s">
        <v>947</v>
      </c>
      <c r="U378" s="7" t="s">
        <v>326</v>
      </c>
      <c r="V378" s="7"/>
      <c r="W378" s="7"/>
      <c r="X378" s="132">
        <f t="shared" si="48"/>
        <v>10</v>
      </c>
      <c r="Y378" s="133"/>
      <c r="Z378" s="133"/>
      <c r="AA378" s="133"/>
    </row>
    <row r="379" spans="1:27" hidden="1" x14ac:dyDescent="0.25">
      <c r="A379" s="127">
        <v>422</v>
      </c>
      <c r="B379" s="128" t="str">
        <f t="shared" si="49"/>
        <v>KSST</v>
      </c>
      <c r="C379" s="128" t="str">
        <f>+VLOOKUP(U379,Ходим!A:B,2,0)</f>
        <v>50709025980034</v>
      </c>
      <c r="D379" s="128" t="str">
        <f>IFERROR(VLOOKUP($B:$B,[20]свод!$A:$AB,3,0)," ")</f>
        <v>Косонсой тумани</v>
      </c>
      <c r="E379" s="7" t="s">
        <v>1523</v>
      </c>
      <c r="F379" s="7"/>
      <c r="G379" s="134">
        <f t="shared" si="46"/>
        <v>1</v>
      </c>
      <c r="H379" s="134" t="str">
        <f t="shared" si="47"/>
        <v/>
      </c>
      <c r="I379" s="7" t="s">
        <v>154</v>
      </c>
      <c r="J379" s="7" t="s">
        <v>1</v>
      </c>
      <c r="K379" s="7"/>
      <c r="L379" s="7" t="s">
        <v>167</v>
      </c>
      <c r="M379" s="7" t="s">
        <v>4472</v>
      </c>
      <c r="N379" s="7" t="s">
        <v>368</v>
      </c>
      <c r="O379" s="7"/>
      <c r="P379" s="7" t="s">
        <v>6500</v>
      </c>
      <c r="Q379" s="129">
        <v>46199</v>
      </c>
      <c r="R379" s="130">
        <f t="shared" si="45"/>
        <v>46204</v>
      </c>
      <c r="S379" s="131">
        <f t="shared" si="50"/>
        <v>5</v>
      </c>
      <c r="T379" s="7" t="s">
        <v>180</v>
      </c>
      <c r="U379" s="7" t="s">
        <v>286</v>
      </c>
      <c r="V379" s="7"/>
      <c r="W379" s="7">
        <v>206.3</v>
      </c>
      <c r="X379" s="132">
        <f t="shared" si="48"/>
        <v>5</v>
      </c>
      <c r="Y379" s="133"/>
      <c r="Z379" s="133"/>
      <c r="AA379" s="133"/>
    </row>
    <row r="380" spans="1:27" hidden="1" x14ac:dyDescent="0.25">
      <c r="A380" s="127">
        <v>423</v>
      </c>
      <c r="B380" s="128" t="str">
        <f t="shared" si="49"/>
        <v>CHUT</v>
      </c>
      <c r="C380" s="128" t="str">
        <f>+VLOOKUP(U380,Ходим!A:B,2,0)</f>
        <v>52508015970048</v>
      </c>
      <c r="D380" s="128" t="str">
        <f>IFERROR(VLOOKUP($B:$B,[20]свод!$A:$AB,3,0)," ")</f>
        <v>Чуст тумани</v>
      </c>
      <c r="E380" s="7" t="s">
        <v>1524</v>
      </c>
      <c r="F380" s="7" t="s">
        <v>7925</v>
      </c>
      <c r="G380" s="134">
        <f t="shared" si="46"/>
        <v>1</v>
      </c>
      <c r="H380" s="134" t="str">
        <f t="shared" si="47"/>
        <v/>
      </c>
      <c r="I380" s="7" t="s">
        <v>158</v>
      </c>
      <c r="J380" s="7" t="s">
        <v>172</v>
      </c>
      <c r="K380" s="7"/>
      <c r="L380" s="7" t="s">
        <v>167</v>
      </c>
      <c r="M380" s="7" t="s">
        <v>4473</v>
      </c>
      <c r="N380" s="7" t="s">
        <v>170</v>
      </c>
      <c r="O380" s="7" t="s">
        <v>162</v>
      </c>
      <c r="P380" s="7" t="s">
        <v>6501</v>
      </c>
      <c r="Q380" s="129">
        <v>46199</v>
      </c>
      <c r="R380" s="130">
        <f t="shared" si="45"/>
        <v>46205</v>
      </c>
      <c r="S380" s="131">
        <f t="shared" si="50"/>
        <v>6</v>
      </c>
      <c r="T380" s="7" t="s">
        <v>178</v>
      </c>
      <c r="U380" s="7" t="s">
        <v>350</v>
      </c>
      <c r="V380" s="7"/>
      <c r="W380" s="7">
        <v>399.94</v>
      </c>
      <c r="X380" s="132">
        <f t="shared" si="48"/>
        <v>10</v>
      </c>
      <c r="Y380" s="133"/>
      <c r="Z380" s="133"/>
      <c r="AA380" s="133"/>
    </row>
    <row r="381" spans="1:27" hidden="1" x14ac:dyDescent="0.25">
      <c r="A381" s="127">
        <v>424</v>
      </c>
      <c r="B381" s="128" t="str">
        <f t="shared" si="49"/>
        <v>NAMS</v>
      </c>
      <c r="C381" s="128" t="str">
        <f>+VLOOKUP(U381,Ходим!A:B,2,0)</f>
        <v>52601025870013</v>
      </c>
      <c r="D381" s="128" t="str">
        <f>IFERROR(VLOOKUP($B:$B,[20]свод!$A:$AB,3,0)," ")</f>
        <v>Наманган шаҳар</v>
      </c>
      <c r="E381" s="7" t="s">
        <v>1525</v>
      </c>
      <c r="F381" s="7" t="s">
        <v>7926</v>
      </c>
      <c r="G381" s="134">
        <f t="shared" si="46"/>
        <v>1</v>
      </c>
      <c r="H381" s="134" t="str">
        <f t="shared" si="47"/>
        <v/>
      </c>
      <c r="I381" s="7" t="s">
        <v>158</v>
      </c>
      <c r="J381" s="7" t="s">
        <v>2</v>
      </c>
      <c r="K381" s="7"/>
      <c r="L381" s="7"/>
      <c r="M381" s="7"/>
      <c r="N381" s="7" t="s">
        <v>170</v>
      </c>
      <c r="O381" s="7" t="s">
        <v>162</v>
      </c>
      <c r="P381" s="7" t="s">
        <v>6501</v>
      </c>
      <c r="Q381" s="129">
        <v>46199</v>
      </c>
      <c r="R381" s="130">
        <f t="shared" si="45"/>
        <v>46205</v>
      </c>
      <c r="S381" s="131">
        <f t="shared" si="50"/>
        <v>6</v>
      </c>
      <c r="T381" s="7" t="s">
        <v>173</v>
      </c>
      <c r="U381" s="7" t="s">
        <v>405</v>
      </c>
      <c r="V381" s="7"/>
      <c r="W381" s="7"/>
      <c r="X381" s="132">
        <f t="shared" si="48"/>
        <v>10</v>
      </c>
      <c r="Y381" s="133"/>
      <c r="Z381" s="133"/>
      <c r="AA381" s="133"/>
    </row>
    <row r="382" spans="1:27" hidden="1" x14ac:dyDescent="0.25">
      <c r="A382" s="127">
        <v>425</v>
      </c>
      <c r="B382" s="128" t="str">
        <f t="shared" si="49"/>
        <v>MINT</v>
      </c>
      <c r="C382" s="128" t="str">
        <f>+VLOOKUP(U382,Ходим!A:B,2,0)</f>
        <v>31802912200033</v>
      </c>
      <c r="D382" s="128" t="str">
        <f>IFERROR(VLOOKUP($B:$B,[20]свод!$A:$AB,3,0)," ")</f>
        <v>Мингбулоқ тумани</v>
      </c>
      <c r="E382" s="7" t="s">
        <v>1526</v>
      </c>
      <c r="F382" s="7" t="s">
        <v>7927</v>
      </c>
      <c r="G382" s="134">
        <f t="shared" si="46"/>
        <v>1</v>
      </c>
      <c r="H382" s="134" t="str">
        <f t="shared" si="47"/>
        <v/>
      </c>
      <c r="I382" s="7" t="s">
        <v>156</v>
      </c>
      <c r="J382" s="7" t="s">
        <v>11</v>
      </c>
      <c r="K382" s="7"/>
      <c r="L382" s="7"/>
      <c r="M382" s="7"/>
      <c r="N382" s="7" t="s">
        <v>410</v>
      </c>
      <c r="O382" s="7" t="s">
        <v>162</v>
      </c>
      <c r="P382" s="7" t="s">
        <v>6502</v>
      </c>
      <c r="Q382" s="129">
        <v>46199</v>
      </c>
      <c r="R382" s="130">
        <f t="shared" si="45"/>
        <v>46205</v>
      </c>
      <c r="S382" s="131">
        <f t="shared" si="50"/>
        <v>6</v>
      </c>
      <c r="T382" s="7" t="s">
        <v>220</v>
      </c>
      <c r="U382" s="7" t="s">
        <v>225</v>
      </c>
      <c r="V382" s="7"/>
      <c r="W382" s="7"/>
      <c r="X382" s="132">
        <f t="shared" si="48"/>
        <v>10</v>
      </c>
      <c r="Y382" s="133"/>
      <c r="Z382" s="133"/>
      <c r="AA382" s="133"/>
    </row>
    <row r="383" spans="1:27" hidden="1" x14ac:dyDescent="0.25">
      <c r="A383" s="127">
        <v>426</v>
      </c>
      <c r="B383" s="128" t="str">
        <f t="shared" si="49"/>
        <v>NAMS</v>
      </c>
      <c r="C383" s="128" t="str">
        <f>+VLOOKUP(U383,Ходим!A:B,2,0)</f>
        <v>51911035960011</v>
      </c>
      <c r="D383" s="128" t="str">
        <f>IFERROR(VLOOKUP($B:$B,[20]свод!$A:$AB,3,0)," ")</f>
        <v>Наманган шаҳар</v>
      </c>
      <c r="E383" s="7" t="s">
        <v>1527</v>
      </c>
      <c r="F383" s="7" t="s">
        <v>7928</v>
      </c>
      <c r="G383" s="134">
        <f t="shared" si="46"/>
        <v>1</v>
      </c>
      <c r="H383" s="134" t="str">
        <f t="shared" si="47"/>
        <v/>
      </c>
      <c r="I383" s="7" t="s">
        <v>158</v>
      </c>
      <c r="J383" s="7" t="s">
        <v>2</v>
      </c>
      <c r="K383" s="7"/>
      <c r="L383" s="7" t="s">
        <v>167</v>
      </c>
      <c r="M383" s="7" t="s">
        <v>4474</v>
      </c>
      <c r="N383" s="7" t="s">
        <v>170</v>
      </c>
      <c r="O383" s="7" t="s">
        <v>162</v>
      </c>
      <c r="P383" s="7" t="s">
        <v>6502</v>
      </c>
      <c r="Q383" s="129">
        <v>46199</v>
      </c>
      <c r="R383" s="130">
        <f t="shared" si="45"/>
        <v>46205</v>
      </c>
      <c r="S383" s="131">
        <f t="shared" si="50"/>
        <v>6</v>
      </c>
      <c r="T383" s="7" t="s">
        <v>173</v>
      </c>
      <c r="U383" s="7" t="s">
        <v>371</v>
      </c>
      <c r="V383" s="7"/>
      <c r="W383" s="7">
        <v>80.459999999999994</v>
      </c>
      <c r="X383" s="132">
        <f t="shared" si="48"/>
        <v>10</v>
      </c>
      <c r="Y383" s="133"/>
      <c r="Z383" s="133"/>
      <c r="AA383" s="133"/>
    </row>
    <row r="384" spans="1:27" hidden="1" x14ac:dyDescent="0.25">
      <c r="A384" s="127">
        <v>427</v>
      </c>
      <c r="B384" s="128" t="str">
        <f t="shared" si="49"/>
        <v>YGQT</v>
      </c>
      <c r="C384" s="128" t="str">
        <f>+VLOOKUP(U384,Ходим!A:B,2,0)</f>
        <v>33103892160125</v>
      </c>
      <c r="D384" s="128" t="str">
        <f>IFERROR(VLOOKUP($B:$B,[20]свод!$A:$AB,3,0)," ")</f>
        <v>Янгиқўрғон тумани</v>
      </c>
      <c r="E384" s="7" t="s">
        <v>1528</v>
      </c>
      <c r="F384" s="7" t="s">
        <v>7929</v>
      </c>
      <c r="G384" s="134">
        <f t="shared" si="46"/>
        <v>1</v>
      </c>
      <c r="H384" s="134" t="str">
        <f t="shared" si="47"/>
        <v/>
      </c>
      <c r="I384" s="7" t="s">
        <v>158</v>
      </c>
      <c r="J384" s="7" t="s">
        <v>1</v>
      </c>
      <c r="K384" s="7"/>
      <c r="L384" s="7" t="s">
        <v>167</v>
      </c>
      <c r="M384" s="7" t="s">
        <v>4475</v>
      </c>
      <c r="N384" s="7" t="s">
        <v>170</v>
      </c>
      <c r="O384" s="7" t="s">
        <v>162</v>
      </c>
      <c r="P384" s="7" t="s">
        <v>6503</v>
      </c>
      <c r="Q384" s="129">
        <v>46199</v>
      </c>
      <c r="R384" s="130">
        <f t="shared" si="45"/>
        <v>46204</v>
      </c>
      <c r="S384" s="131">
        <f t="shared" si="50"/>
        <v>5</v>
      </c>
      <c r="T384" s="7" t="s">
        <v>182</v>
      </c>
      <c r="U384" s="7" t="s">
        <v>183</v>
      </c>
      <c r="V384" s="7"/>
      <c r="W384" s="7">
        <v>62.89</v>
      </c>
      <c r="X384" s="132">
        <f t="shared" si="48"/>
        <v>10</v>
      </c>
      <c r="Y384" s="133"/>
      <c r="Z384" s="133"/>
      <c r="AA384" s="133"/>
    </row>
    <row r="385" spans="1:27" hidden="1" x14ac:dyDescent="0.25">
      <c r="A385" s="127">
        <v>428</v>
      </c>
      <c r="B385" s="128" t="str">
        <f t="shared" si="49"/>
        <v>UYCT</v>
      </c>
      <c r="C385" s="128" t="str">
        <f>+VLOOKUP(U385,Ходим!A:B,2,0)</f>
        <v>31007985930029</v>
      </c>
      <c r="D385" s="128" t="str">
        <f>IFERROR(VLOOKUP($B:$B,[20]свод!$A:$AB,3,0)," ")</f>
        <v>Уйчи тумани</v>
      </c>
      <c r="E385" s="7" t="s">
        <v>1529</v>
      </c>
      <c r="F385" s="7" t="s">
        <v>7930</v>
      </c>
      <c r="G385" s="134" t="str">
        <f t="shared" si="46"/>
        <v/>
      </c>
      <c r="H385" s="134">
        <f t="shared" si="47"/>
        <v>1</v>
      </c>
      <c r="I385" s="7" t="s">
        <v>157</v>
      </c>
      <c r="J385" s="7" t="s">
        <v>172</v>
      </c>
      <c r="K385" s="7"/>
      <c r="L385" s="7"/>
      <c r="M385" s="7"/>
      <c r="N385" s="7" t="s">
        <v>170</v>
      </c>
      <c r="O385" s="7" t="s">
        <v>161</v>
      </c>
      <c r="P385" s="7" t="s">
        <v>6483</v>
      </c>
      <c r="Q385" s="129">
        <v>46199</v>
      </c>
      <c r="R385" s="130">
        <f t="shared" si="45"/>
        <v>46211</v>
      </c>
      <c r="S385" s="131">
        <f t="shared" si="50"/>
        <v>12</v>
      </c>
      <c r="T385" s="7" t="s">
        <v>947</v>
      </c>
      <c r="U385" s="7" t="s">
        <v>389</v>
      </c>
      <c r="V385" s="7"/>
      <c r="W385" s="7"/>
      <c r="X385" s="132">
        <f t="shared" si="48"/>
        <v>10</v>
      </c>
      <c r="Y385" s="133"/>
      <c r="Z385" s="133"/>
      <c r="AA385" s="133"/>
    </row>
    <row r="386" spans="1:27" hidden="1" x14ac:dyDescent="0.25">
      <c r="A386" s="127">
        <v>429</v>
      </c>
      <c r="B386" s="128" t="str">
        <f t="shared" si="49"/>
        <v>NAMS</v>
      </c>
      <c r="C386" s="128" t="str">
        <f>+VLOOKUP(U386,Ходим!A:B,2,0)</f>
        <v>32207925880019</v>
      </c>
      <c r="D386" s="128" t="str">
        <f>IFERROR(VLOOKUP($B:$B,[20]свод!$A:$AB,3,0)," ")</f>
        <v>Наманган шаҳар</v>
      </c>
      <c r="E386" s="7" t="s">
        <v>1530</v>
      </c>
      <c r="F386" s="7" t="s">
        <v>7931</v>
      </c>
      <c r="G386" s="134" t="str">
        <f t="shared" si="46"/>
        <v/>
      </c>
      <c r="H386" s="134">
        <f t="shared" si="47"/>
        <v>1</v>
      </c>
      <c r="I386" s="7" t="s">
        <v>157</v>
      </c>
      <c r="J386" s="7" t="s">
        <v>2</v>
      </c>
      <c r="K386" s="7"/>
      <c r="L386" s="7" t="s">
        <v>166</v>
      </c>
      <c r="M386" s="7" t="s">
        <v>4476</v>
      </c>
      <c r="N386" s="7" t="s">
        <v>170</v>
      </c>
      <c r="O386" s="7" t="s">
        <v>161</v>
      </c>
      <c r="P386" s="7" t="s">
        <v>6347</v>
      </c>
      <c r="Q386" s="129">
        <v>46199</v>
      </c>
      <c r="R386" s="130">
        <f t="shared" si="45"/>
        <v>46204</v>
      </c>
      <c r="S386" s="131">
        <f t="shared" si="50"/>
        <v>5</v>
      </c>
      <c r="T386" s="7" t="s">
        <v>173</v>
      </c>
      <c r="U386" s="7" t="s">
        <v>174</v>
      </c>
      <c r="V386" s="7"/>
      <c r="W386" s="7">
        <v>0</v>
      </c>
      <c r="X386" s="132">
        <f t="shared" si="48"/>
        <v>10</v>
      </c>
      <c r="Y386" s="133"/>
      <c r="Z386" s="133"/>
      <c r="AA386" s="133"/>
    </row>
    <row r="387" spans="1:27" hidden="1" x14ac:dyDescent="0.25">
      <c r="A387" s="127">
        <v>430</v>
      </c>
      <c r="B387" s="128" t="str">
        <f t="shared" si="49"/>
        <v>KSST</v>
      </c>
      <c r="C387" s="128" t="str">
        <f>+VLOOKUP(U387,Ходим!A:B,2,0)</f>
        <v>50709025980034</v>
      </c>
      <c r="D387" s="128" t="str">
        <f>IFERROR(VLOOKUP($B:$B,[20]свод!$A:$AB,3,0)," ")</f>
        <v>Косонсой тумани</v>
      </c>
      <c r="E387" s="7" t="s">
        <v>1531</v>
      </c>
      <c r="F387" s="7" t="s">
        <v>7932</v>
      </c>
      <c r="G387" s="134">
        <f t="shared" si="46"/>
        <v>1</v>
      </c>
      <c r="H387" s="134" t="str">
        <f t="shared" si="47"/>
        <v/>
      </c>
      <c r="I387" s="7" t="s">
        <v>158</v>
      </c>
      <c r="J387" s="7" t="s">
        <v>2</v>
      </c>
      <c r="K387" s="7"/>
      <c r="L387" s="7" t="s">
        <v>167</v>
      </c>
      <c r="M387" s="7" t="s">
        <v>4477</v>
      </c>
      <c r="N387" s="7" t="s">
        <v>170</v>
      </c>
      <c r="O387" s="7" t="s">
        <v>162</v>
      </c>
      <c r="P387" s="7" t="s">
        <v>6504</v>
      </c>
      <c r="Q387" s="129">
        <v>46199</v>
      </c>
      <c r="R387" s="130">
        <f t="shared" si="45"/>
        <v>46205</v>
      </c>
      <c r="S387" s="131">
        <f t="shared" si="50"/>
        <v>6</v>
      </c>
      <c r="T387" s="7" t="s">
        <v>180</v>
      </c>
      <c r="U387" s="7" t="s">
        <v>286</v>
      </c>
      <c r="V387" s="7"/>
      <c r="W387" s="7">
        <v>143.59</v>
      </c>
      <c r="X387" s="132">
        <f t="shared" si="48"/>
        <v>10</v>
      </c>
      <c r="Y387" s="133"/>
      <c r="Z387" s="133"/>
      <c r="AA387" s="133"/>
    </row>
    <row r="388" spans="1:27" hidden="1" x14ac:dyDescent="0.25">
      <c r="A388" s="127">
        <v>431</v>
      </c>
      <c r="B388" s="128" t="str">
        <f t="shared" si="49"/>
        <v>UCQT</v>
      </c>
      <c r="C388" s="128" t="str">
        <f>+VLOOKUP(U388,Ходим!A:B,2,0)</f>
        <v>52405005940019</v>
      </c>
      <c r="D388" s="128" t="str">
        <f>IFERROR(VLOOKUP($B:$B,[20]свод!$A:$AB,3,0)," ")</f>
        <v>Учқўрғон тумани</v>
      </c>
      <c r="E388" s="7" t="s">
        <v>1532</v>
      </c>
      <c r="F388" s="7" t="s">
        <v>7933</v>
      </c>
      <c r="G388" s="134" t="str">
        <f t="shared" si="46"/>
        <v/>
      </c>
      <c r="H388" s="134">
        <f t="shared" si="47"/>
        <v>1</v>
      </c>
      <c r="I388" s="7" t="s">
        <v>157</v>
      </c>
      <c r="J388" s="7" t="s">
        <v>2</v>
      </c>
      <c r="K388" s="7"/>
      <c r="L388" s="7" t="s">
        <v>168</v>
      </c>
      <c r="M388" s="7" t="s">
        <v>4478</v>
      </c>
      <c r="N388" s="7" t="s">
        <v>170</v>
      </c>
      <c r="O388" s="7" t="s">
        <v>161</v>
      </c>
      <c r="P388" s="7" t="s">
        <v>6504</v>
      </c>
      <c r="Q388" s="129">
        <v>46199</v>
      </c>
      <c r="R388" s="130">
        <f t="shared" si="45"/>
        <v>46202</v>
      </c>
      <c r="S388" s="131">
        <f t="shared" si="50"/>
        <v>3</v>
      </c>
      <c r="T388" s="7" t="s">
        <v>175</v>
      </c>
      <c r="U388" s="7" t="s">
        <v>209</v>
      </c>
      <c r="V388" s="7"/>
      <c r="W388" s="7">
        <v>0</v>
      </c>
      <c r="X388" s="132">
        <f t="shared" si="48"/>
        <v>7</v>
      </c>
      <c r="Y388" s="133"/>
      <c r="Z388" s="133"/>
      <c r="AA388" s="133"/>
    </row>
    <row r="389" spans="1:27" hidden="1" x14ac:dyDescent="0.25">
      <c r="A389" s="127">
        <v>432</v>
      </c>
      <c r="B389" s="128" t="str">
        <f t="shared" si="49"/>
        <v>NAMS</v>
      </c>
      <c r="C389" s="128" t="str">
        <f>+VLOOKUP(U389,Ходим!A:B,2,0)</f>
        <v>53008015960094</v>
      </c>
      <c r="D389" s="128" t="str">
        <f>IFERROR(VLOOKUP($B:$B,[20]свод!$A:$AB,3,0)," ")</f>
        <v>Наманган шаҳар</v>
      </c>
      <c r="E389" s="7" t="s">
        <v>1533</v>
      </c>
      <c r="F389" s="7" t="s">
        <v>7934</v>
      </c>
      <c r="G389" s="134">
        <f t="shared" si="46"/>
        <v>1</v>
      </c>
      <c r="H389" s="134" t="str">
        <f t="shared" si="47"/>
        <v/>
      </c>
      <c r="I389" s="7" t="s">
        <v>156</v>
      </c>
      <c r="J389" s="7" t="s">
        <v>25</v>
      </c>
      <c r="K389" s="7"/>
      <c r="L389" s="7"/>
      <c r="M389" s="7"/>
      <c r="N389" s="7" t="s">
        <v>170</v>
      </c>
      <c r="O389" s="7" t="s">
        <v>162</v>
      </c>
      <c r="P389" s="7" t="s">
        <v>6504</v>
      </c>
      <c r="Q389" s="129">
        <v>46199</v>
      </c>
      <c r="R389" s="130">
        <f t="shared" si="45"/>
        <v>46205</v>
      </c>
      <c r="S389" s="131">
        <f t="shared" si="50"/>
        <v>6</v>
      </c>
      <c r="T389" s="7" t="s">
        <v>173</v>
      </c>
      <c r="U389" s="7" t="s">
        <v>403</v>
      </c>
      <c r="V389" s="7"/>
      <c r="W389" s="7"/>
      <c r="X389" s="132">
        <f t="shared" si="48"/>
        <v>10</v>
      </c>
      <c r="Y389" s="133"/>
      <c r="Z389" s="133"/>
      <c r="AA389" s="133"/>
    </row>
    <row r="390" spans="1:27" hidden="1" x14ac:dyDescent="0.25">
      <c r="A390" s="127">
        <v>433</v>
      </c>
      <c r="B390" s="128" t="str">
        <f t="shared" si="49"/>
        <v>NAMS</v>
      </c>
      <c r="C390" s="128" t="str">
        <f>+VLOOKUP(U390,Ходим!A:B,2,0)</f>
        <v>51110025960044</v>
      </c>
      <c r="D390" s="128" t="str">
        <f>IFERROR(VLOOKUP($B:$B,[20]свод!$A:$AB,3,0)," ")</f>
        <v>Наманган шаҳар</v>
      </c>
      <c r="E390" s="7" t="s">
        <v>1534</v>
      </c>
      <c r="F390" s="7"/>
      <c r="G390" s="134">
        <f t="shared" si="46"/>
        <v>1</v>
      </c>
      <c r="H390" s="134" t="str">
        <f t="shared" si="47"/>
        <v/>
      </c>
      <c r="I390" s="7" t="s">
        <v>154</v>
      </c>
      <c r="J390" s="7" t="s">
        <v>17</v>
      </c>
      <c r="K390" s="7"/>
      <c r="L390" s="7" t="s">
        <v>167</v>
      </c>
      <c r="M390" s="7" t="s">
        <v>4479</v>
      </c>
      <c r="N390" s="7" t="s">
        <v>368</v>
      </c>
      <c r="O390" s="7"/>
      <c r="P390" s="7" t="s">
        <v>6505</v>
      </c>
      <c r="Q390" s="129">
        <v>46199</v>
      </c>
      <c r="R390" s="130">
        <f t="shared" si="45"/>
        <v>46204</v>
      </c>
      <c r="S390" s="131">
        <f t="shared" si="50"/>
        <v>5</v>
      </c>
      <c r="T390" s="7" t="s">
        <v>185</v>
      </c>
      <c r="U390" s="7" t="s">
        <v>294</v>
      </c>
      <c r="V390" s="7"/>
      <c r="W390" s="7">
        <v>209.08</v>
      </c>
      <c r="X390" s="132">
        <f t="shared" si="48"/>
        <v>5</v>
      </c>
      <c r="Y390" s="133"/>
      <c r="Z390" s="133"/>
      <c r="AA390" s="133"/>
    </row>
    <row r="391" spans="1:27" hidden="1" x14ac:dyDescent="0.25">
      <c r="A391" s="127">
        <v>434</v>
      </c>
      <c r="B391" s="128" t="str">
        <f t="shared" si="49"/>
        <v>NAMS</v>
      </c>
      <c r="C391" s="128" t="str">
        <f>+VLOOKUP(U391,Ходим!A:B,2,0)</f>
        <v>30302965960014</v>
      </c>
      <c r="D391" s="128" t="str">
        <f>IFERROR(VLOOKUP($B:$B,[20]свод!$A:$AB,3,0)," ")</f>
        <v>Наманган шаҳар</v>
      </c>
      <c r="E391" s="7" t="s">
        <v>1535</v>
      </c>
      <c r="F391" s="7" t="s">
        <v>7935</v>
      </c>
      <c r="G391" s="134">
        <f t="shared" si="46"/>
        <v>1</v>
      </c>
      <c r="H391" s="134" t="str">
        <f t="shared" si="47"/>
        <v/>
      </c>
      <c r="I391" s="7" t="s">
        <v>158</v>
      </c>
      <c r="J391" s="7" t="s">
        <v>134</v>
      </c>
      <c r="K391" s="7"/>
      <c r="L391" s="7" t="s">
        <v>167</v>
      </c>
      <c r="M391" s="7" t="s">
        <v>381</v>
      </c>
      <c r="N391" s="7" t="s">
        <v>170</v>
      </c>
      <c r="O391" s="7" t="s">
        <v>162</v>
      </c>
      <c r="P391" s="7" t="s">
        <v>6506</v>
      </c>
      <c r="Q391" s="129">
        <v>46199</v>
      </c>
      <c r="R391" s="130">
        <f t="shared" si="45"/>
        <v>46210</v>
      </c>
      <c r="S391" s="131">
        <f t="shared" si="50"/>
        <v>11</v>
      </c>
      <c r="T391" s="7" t="s">
        <v>185</v>
      </c>
      <c r="U391" s="7" t="s">
        <v>304</v>
      </c>
      <c r="V391" s="7"/>
      <c r="W391" s="7">
        <v>0</v>
      </c>
      <c r="X391" s="132">
        <f t="shared" si="48"/>
        <v>10</v>
      </c>
      <c r="Y391" s="133"/>
      <c r="Z391" s="133"/>
      <c r="AA391" s="133"/>
    </row>
    <row r="392" spans="1:27" hidden="1" x14ac:dyDescent="0.25">
      <c r="A392" s="127">
        <v>435</v>
      </c>
      <c r="B392" s="128" t="str">
        <f t="shared" si="49"/>
        <v>NAMS</v>
      </c>
      <c r="C392" s="128" t="str">
        <f>+VLOOKUP(U392,Ходим!A:B,2,0)</f>
        <v>53008015960094</v>
      </c>
      <c r="D392" s="128" t="str">
        <f>IFERROR(VLOOKUP($B:$B,[20]свод!$A:$AB,3,0)," ")</f>
        <v>Наманган шаҳар</v>
      </c>
      <c r="E392" s="7" t="s">
        <v>1536</v>
      </c>
      <c r="F392" s="7" t="s">
        <v>7936</v>
      </c>
      <c r="G392" s="134">
        <f t="shared" si="46"/>
        <v>1</v>
      </c>
      <c r="H392" s="134" t="str">
        <f t="shared" si="47"/>
        <v/>
      </c>
      <c r="I392" s="7" t="s">
        <v>156</v>
      </c>
      <c r="J392" s="7" t="s">
        <v>25</v>
      </c>
      <c r="K392" s="7"/>
      <c r="L392" s="7"/>
      <c r="M392" s="7"/>
      <c r="N392" s="7" t="s">
        <v>170</v>
      </c>
      <c r="O392" s="7" t="s">
        <v>162</v>
      </c>
      <c r="P392" s="7" t="s">
        <v>6507</v>
      </c>
      <c r="Q392" s="129">
        <v>46199</v>
      </c>
      <c r="R392" s="130">
        <f t="shared" si="45"/>
        <v>46211</v>
      </c>
      <c r="S392" s="131">
        <f t="shared" si="50"/>
        <v>12</v>
      </c>
      <c r="T392" s="7" t="s">
        <v>173</v>
      </c>
      <c r="U392" s="7" t="s">
        <v>403</v>
      </c>
      <c r="V392" s="7"/>
      <c r="W392" s="7"/>
      <c r="X392" s="132">
        <f t="shared" si="48"/>
        <v>10</v>
      </c>
      <c r="Y392" s="133"/>
      <c r="Z392" s="133"/>
      <c r="AA392" s="133"/>
    </row>
    <row r="393" spans="1:27" hidden="1" x14ac:dyDescent="0.25">
      <c r="A393" s="127">
        <v>436</v>
      </c>
      <c r="B393" s="128" t="str">
        <f t="shared" si="49"/>
        <v>POPT</v>
      </c>
      <c r="C393" s="128" t="str">
        <f>+VLOOKUP(U393,Ходим!A:B,2,0)</f>
        <v>50902005910032</v>
      </c>
      <c r="D393" s="128" t="str">
        <f>IFERROR(VLOOKUP($B:$B,[20]свод!$A:$AB,3,0)," ")</f>
        <v>Поп тумани</v>
      </c>
      <c r="E393" s="7" t="s">
        <v>1537</v>
      </c>
      <c r="F393" s="7" t="s">
        <v>7937</v>
      </c>
      <c r="G393" s="134">
        <f t="shared" si="46"/>
        <v>1</v>
      </c>
      <c r="H393" s="134" t="str">
        <f t="shared" si="47"/>
        <v/>
      </c>
      <c r="I393" s="7" t="s">
        <v>156</v>
      </c>
      <c r="J393" s="7" t="s">
        <v>11</v>
      </c>
      <c r="K393" s="7"/>
      <c r="L393" s="7"/>
      <c r="M393" s="7"/>
      <c r="N393" s="7" t="s">
        <v>170</v>
      </c>
      <c r="O393" s="7" t="s">
        <v>162</v>
      </c>
      <c r="P393" s="7" t="s">
        <v>6507</v>
      </c>
      <c r="Q393" s="129">
        <v>46199</v>
      </c>
      <c r="R393" s="130">
        <f t="shared" si="45"/>
        <v>46211</v>
      </c>
      <c r="S393" s="131">
        <f t="shared" si="50"/>
        <v>12</v>
      </c>
      <c r="T393" s="7" t="s">
        <v>240</v>
      </c>
      <c r="U393" s="7" t="s">
        <v>278</v>
      </c>
      <c r="V393" s="7"/>
      <c r="W393" s="7"/>
      <c r="X393" s="132">
        <f t="shared" si="48"/>
        <v>10</v>
      </c>
      <c r="Y393" s="133"/>
      <c r="Z393" s="133"/>
      <c r="AA393" s="133"/>
    </row>
    <row r="394" spans="1:27" hidden="1" x14ac:dyDescent="0.25">
      <c r="A394" s="127">
        <v>437</v>
      </c>
      <c r="B394" s="128" t="str">
        <f t="shared" si="49"/>
        <v>MINT</v>
      </c>
      <c r="C394" s="128" t="str">
        <f>+VLOOKUP(U394,Ходим!A:B,2,0)</f>
        <v>30906922130016</v>
      </c>
      <c r="D394" s="128" t="str">
        <f>IFERROR(VLOOKUP($B:$B,[20]свод!$A:$AB,3,0)," ")</f>
        <v>Мингбулоқ тумани</v>
      </c>
      <c r="E394" s="7" t="s">
        <v>1538</v>
      </c>
      <c r="F394" s="7" t="s">
        <v>7938</v>
      </c>
      <c r="G394" s="134">
        <f t="shared" si="46"/>
        <v>1</v>
      </c>
      <c r="H394" s="134" t="str">
        <f t="shared" si="47"/>
        <v/>
      </c>
      <c r="I394" s="7" t="s">
        <v>156</v>
      </c>
      <c r="J394" s="7" t="s">
        <v>11</v>
      </c>
      <c r="K394" s="7"/>
      <c r="L394" s="7"/>
      <c r="M394" s="7"/>
      <c r="N394" s="7" t="s">
        <v>170</v>
      </c>
      <c r="O394" s="7" t="s">
        <v>162</v>
      </c>
      <c r="P394" s="7" t="s">
        <v>6508</v>
      </c>
      <c r="Q394" s="129">
        <v>46199</v>
      </c>
      <c r="R394" s="130">
        <f t="shared" si="45"/>
        <v>46205</v>
      </c>
      <c r="S394" s="131">
        <f t="shared" si="50"/>
        <v>6</v>
      </c>
      <c r="T394" s="7" t="s">
        <v>220</v>
      </c>
      <c r="U394" s="7" t="s">
        <v>178</v>
      </c>
      <c r="V394" s="7"/>
      <c r="W394" s="7"/>
      <c r="X394" s="132">
        <f t="shared" si="48"/>
        <v>10</v>
      </c>
      <c r="Y394" s="133"/>
      <c r="Z394" s="133"/>
      <c r="AA394" s="133"/>
    </row>
    <row r="395" spans="1:27" x14ac:dyDescent="0.25">
      <c r="A395" s="127">
        <v>438</v>
      </c>
      <c r="B395" s="128" t="str">
        <f t="shared" si="49"/>
        <v>CHUT</v>
      </c>
      <c r="C395" s="128" t="str">
        <f>+VLOOKUP(U395,Ходим!A:B,2,0)</f>
        <v>31608922180118</v>
      </c>
      <c r="D395" s="128" t="str">
        <f>IFERROR(VLOOKUP($B:$B,[20]свод!$A:$AB,3,0)," ")</f>
        <v>Чуст тумани</v>
      </c>
      <c r="E395" s="7" t="s">
        <v>1539</v>
      </c>
      <c r="F395" s="7" t="s">
        <v>7939</v>
      </c>
      <c r="G395" s="134">
        <f t="shared" si="46"/>
        <v>1</v>
      </c>
      <c r="H395" s="134" t="str">
        <f t="shared" si="47"/>
        <v/>
      </c>
      <c r="I395" s="7" t="s">
        <v>156</v>
      </c>
      <c r="J395" s="7" t="s">
        <v>25</v>
      </c>
      <c r="K395" s="7"/>
      <c r="L395" s="7"/>
      <c r="M395" s="7"/>
      <c r="N395" s="7" t="s">
        <v>170</v>
      </c>
      <c r="O395" s="7" t="s">
        <v>162</v>
      </c>
      <c r="P395" s="7" t="s">
        <v>6509</v>
      </c>
      <c r="Q395" s="129">
        <v>46199</v>
      </c>
      <c r="R395" s="130">
        <f t="shared" si="45"/>
        <v>46198</v>
      </c>
      <c r="S395" s="131">
        <f t="shared" si="50"/>
        <v>-1</v>
      </c>
      <c r="T395" s="7" t="s">
        <v>178</v>
      </c>
      <c r="U395" s="7" t="s">
        <v>284</v>
      </c>
      <c r="V395" s="7"/>
      <c r="W395" s="7"/>
      <c r="X395" s="132">
        <f t="shared" si="48"/>
        <v>10</v>
      </c>
      <c r="Y395" s="133"/>
      <c r="Z395" s="133"/>
      <c r="AA395" s="133"/>
    </row>
    <row r="396" spans="1:27" hidden="1" x14ac:dyDescent="0.25">
      <c r="A396" s="127">
        <v>439</v>
      </c>
      <c r="B396" s="128" t="str">
        <f t="shared" si="49"/>
        <v>KSST</v>
      </c>
      <c r="C396" s="128" t="str">
        <f>+VLOOKUP(U396,Ходим!A:B,2,0)</f>
        <v>31810912190036</v>
      </c>
      <c r="D396" s="128" t="str">
        <f>IFERROR(VLOOKUP($B:$B,[20]свод!$A:$AB,3,0)," ")</f>
        <v>Косонсой тумани</v>
      </c>
      <c r="E396" s="7" t="s">
        <v>1540</v>
      </c>
      <c r="F396" s="7" t="s">
        <v>7940</v>
      </c>
      <c r="G396" s="134">
        <f t="shared" si="46"/>
        <v>1</v>
      </c>
      <c r="H396" s="134" t="str">
        <f t="shared" si="47"/>
        <v/>
      </c>
      <c r="I396" s="7" t="s">
        <v>158</v>
      </c>
      <c r="J396" s="7" t="s">
        <v>2</v>
      </c>
      <c r="K396" s="7"/>
      <c r="L396" s="7" t="s">
        <v>167</v>
      </c>
      <c r="M396" s="7" t="s">
        <v>4480</v>
      </c>
      <c r="N396" s="7" t="s">
        <v>170</v>
      </c>
      <c r="O396" s="7" t="s">
        <v>162</v>
      </c>
      <c r="P396" s="7" t="s">
        <v>6508</v>
      </c>
      <c r="Q396" s="129">
        <v>46199</v>
      </c>
      <c r="R396" s="130">
        <f t="shared" si="45"/>
        <v>46205</v>
      </c>
      <c r="S396" s="131">
        <f t="shared" si="50"/>
        <v>6</v>
      </c>
      <c r="T396" s="7" t="s">
        <v>180</v>
      </c>
      <c r="U396" s="7" t="s">
        <v>196</v>
      </c>
      <c r="V396" s="7"/>
      <c r="W396" s="7">
        <v>139.5</v>
      </c>
      <c r="X396" s="132">
        <f t="shared" si="48"/>
        <v>10</v>
      </c>
      <c r="Y396" s="133"/>
      <c r="Z396" s="133"/>
      <c r="AA396" s="133"/>
    </row>
    <row r="397" spans="1:27" hidden="1" x14ac:dyDescent="0.25">
      <c r="A397" s="127">
        <v>440</v>
      </c>
      <c r="B397" s="128" t="str">
        <f t="shared" si="49"/>
        <v>TORT</v>
      </c>
      <c r="C397" s="128" t="str">
        <f>+VLOOKUP(U397,Ходим!A:B,2,0)</f>
        <v>50908015920034</v>
      </c>
      <c r="D397" s="128" t="str">
        <f>IFERROR(VLOOKUP($B:$B,[20]свод!$A:$AB,3,0)," ")</f>
        <v>Тўрақўрғон тумани</v>
      </c>
      <c r="E397" s="7" t="s">
        <v>1541</v>
      </c>
      <c r="F397" s="7" t="s">
        <v>7941</v>
      </c>
      <c r="G397" s="134">
        <f t="shared" si="46"/>
        <v>1</v>
      </c>
      <c r="H397" s="134" t="str">
        <f t="shared" si="47"/>
        <v/>
      </c>
      <c r="I397" s="7" t="s">
        <v>158</v>
      </c>
      <c r="J397" s="7" t="s">
        <v>2</v>
      </c>
      <c r="K397" s="7"/>
      <c r="L397" s="7"/>
      <c r="M397" s="7"/>
      <c r="N397" s="7" t="s">
        <v>170</v>
      </c>
      <c r="O397" s="7" t="s">
        <v>162</v>
      </c>
      <c r="P397" s="7" t="s">
        <v>6508</v>
      </c>
      <c r="Q397" s="129">
        <v>46199</v>
      </c>
      <c r="R397" s="130">
        <f t="shared" si="45"/>
        <v>46205</v>
      </c>
      <c r="S397" s="131">
        <f t="shared" si="50"/>
        <v>6</v>
      </c>
      <c r="T397" s="7" t="s">
        <v>203</v>
      </c>
      <c r="U397" s="7" t="s">
        <v>205</v>
      </c>
      <c r="V397" s="7"/>
      <c r="W397" s="7"/>
      <c r="X397" s="132">
        <f t="shared" si="48"/>
        <v>10</v>
      </c>
      <c r="Y397" s="133"/>
      <c r="Z397" s="133"/>
      <c r="AA397" s="133"/>
    </row>
    <row r="398" spans="1:27" hidden="1" x14ac:dyDescent="0.25">
      <c r="A398" s="127">
        <v>441</v>
      </c>
      <c r="B398" s="128" t="str">
        <f t="shared" si="49"/>
        <v>NAMS</v>
      </c>
      <c r="C398" s="128" t="str">
        <f>+VLOOKUP(U398,Ходим!A:B,2,0)</f>
        <v>33012942170121</v>
      </c>
      <c r="D398" s="128" t="str">
        <f>IFERROR(VLOOKUP($B:$B,[20]свод!$A:$AB,3,0)," ")</f>
        <v>Наманган шаҳар</v>
      </c>
      <c r="E398" s="7" t="s">
        <v>1542</v>
      </c>
      <c r="F398" s="7" t="s">
        <v>7942</v>
      </c>
      <c r="G398" s="134">
        <f t="shared" si="46"/>
        <v>1</v>
      </c>
      <c r="H398" s="134" t="str">
        <f t="shared" si="47"/>
        <v/>
      </c>
      <c r="I398" s="7" t="s">
        <v>158</v>
      </c>
      <c r="J398" s="7" t="s">
        <v>172</v>
      </c>
      <c r="K398" s="7"/>
      <c r="L398" s="7" t="s">
        <v>167</v>
      </c>
      <c r="M398" s="7" t="s">
        <v>4481</v>
      </c>
      <c r="N398" s="7" t="s">
        <v>170</v>
      </c>
      <c r="O398" s="7" t="s">
        <v>162</v>
      </c>
      <c r="P398" s="7" t="s">
        <v>6292</v>
      </c>
      <c r="Q398" s="129">
        <v>46199</v>
      </c>
      <c r="R398" s="130">
        <f t="shared" si="45"/>
        <v>46210</v>
      </c>
      <c r="S398" s="131">
        <f t="shared" si="50"/>
        <v>11</v>
      </c>
      <c r="T398" s="7" t="s">
        <v>173</v>
      </c>
      <c r="U398" s="7" t="s">
        <v>259</v>
      </c>
      <c r="V398" s="7"/>
      <c r="W398" s="7">
        <v>569.52</v>
      </c>
      <c r="X398" s="132">
        <f t="shared" si="48"/>
        <v>10</v>
      </c>
      <c r="Y398" s="133"/>
      <c r="Z398" s="133"/>
      <c r="AA398" s="133"/>
    </row>
    <row r="399" spans="1:27" hidden="1" x14ac:dyDescent="0.25">
      <c r="A399" s="127">
        <v>442</v>
      </c>
      <c r="B399" s="128" t="str">
        <f t="shared" si="49"/>
        <v>UCQT</v>
      </c>
      <c r="C399" s="128" t="str">
        <f>+VLOOKUP(U399,Ходим!A:B,2,0)</f>
        <v>32911835940021</v>
      </c>
      <c r="D399" s="128" t="str">
        <f>IFERROR(VLOOKUP($B:$B,[20]свод!$A:$AB,3,0)," ")</f>
        <v>Учқўрғон тумани</v>
      </c>
      <c r="E399" s="7" t="s">
        <v>1543</v>
      </c>
      <c r="F399" s="7" t="s">
        <v>7943</v>
      </c>
      <c r="G399" s="134">
        <f t="shared" si="46"/>
        <v>1</v>
      </c>
      <c r="H399" s="134" t="str">
        <f t="shared" si="47"/>
        <v/>
      </c>
      <c r="I399" s="7" t="s">
        <v>158</v>
      </c>
      <c r="J399" s="7" t="s">
        <v>2</v>
      </c>
      <c r="K399" s="7"/>
      <c r="L399" s="7" t="s">
        <v>167</v>
      </c>
      <c r="M399" s="7" t="s">
        <v>4482</v>
      </c>
      <c r="N399" s="7" t="s">
        <v>170</v>
      </c>
      <c r="O399" s="7" t="s">
        <v>162</v>
      </c>
      <c r="P399" s="7" t="s">
        <v>6510</v>
      </c>
      <c r="Q399" s="129">
        <v>46199</v>
      </c>
      <c r="R399" s="130">
        <f t="shared" si="45"/>
        <v>46205</v>
      </c>
      <c r="S399" s="131">
        <f t="shared" si="50"/>
        <v>6</v>
      </c>
      <c r="T399" s="7" t="s">
        <v>175</v>
      </c>
      <c r="U399" s="7" t="s">
        <v>321</v>
      </c>
      <c r="V399" s="7"/>
      <c r="W399" s="7">
        <v>320.42</v>
      </c>
      <c r="X399" s="132">
        <f t="shared" si="48"/>
        <v>10</v>
      </c>
      <c r="Y399" s="133"/>
      <c r="Z399" s="133"/>
      <c r="AA399" s="133"/>
    </row>
    <row r="400" spans="1:27" hidden="1" x14ac:dyDescent="0.25">
      <c r="A400" s="127">
        <v>445</v>
      </c>
      <c r="B400" s="128" t="str">
        <f t="shared" si="49"/>
        <v>YGQT</v>
      </c>
      <c r="C400" s="128" t="str">
        <f>+VLOOKUP(U400,Ходим!A:B,2,0)</f>
        <v>30107965950010</v>
      </c>
      <c r="D400" s="128" t="str">
        <f>IFERROR(VLOOKUP($B:$B,[20]свод!$A:$AB,3,0)," ")</f>
        <v>Янгиқўрғон тумани</v>
      </c>
      <c r="E400" s="7" t="s">
        <v>1544</v>
      </c>
      <c r="F400" s="7" t="s">
        <v>7944</v>
      </c>
      <c r="G400" s="134">
        <f t="shared" si="46"/>
        <v>1</v>
      </c>
      <c r="H400" s="134" t="str">
        <f t="shared" si="47"/>
        <v/>
      </c>
      <c r="I400" s="7" t="s">
        <v>156</v>
      </c>
      <c r="J400" s="7" t="s">
        <v>25</v>
      </c>
      <c r="K400" s="7"/>
      <c r="L400" s="7"/>
      <c r="M400" s="7"/>
      <c r="N400" s="7" t="s">
        <v>170</v>
      </c>
      <c r="O400" s="7" t="s">
        <v>162</v>
      </c>
      <c r="P400" s="7" t="s">
        <v>6511</v>
      </c>
      <c r="Q400" s="129">
        <v>46199</v>
      </c>
      <c r="R400" s="130">
        <f t="shared" si="45"/>
        <v>46211</v>
      </c>
      <c r="S400" s="131">
        <f t="shared" si="50"/>
        <v>12</v>
      </c>
      <c r="T400" s="7" t="s">
        <v>182</v>
      </c>
      <c r="U400" s="7" t="s">
        <v>244</v>
      </c>
      <c r="V400" s="7"/>
      <c r="W400" s="7"/>
      <c r="X400" s="132">
        <f t="shared" si="48"/>
        <v>10</v>
      </c>
      <c r="Y400" s="133"/>
      <c r="Z400" s="133"/>
      <c r="AA400" s="133"/>
    </row>
    <row r="401" spans="1:27" hidden="1" x14ac:dyDescent="0.25">
      <c r="A401" s="127">
        <v>447</v>
      </c>
      <c r="B401" s="128" t="str">
        <f t="shared" si="49"/>
        <v>YGQT</v>
      </c>
      <c r="C401" s="128" t="str">
        <f>+VLOOKUP(U401,Ходим!A:B,2,0)</f>
        <v>30107965950010</v>
      </c>
      <c r="D401" s="128" t="str">
        <f>IFERROR(VLOOKUP($B:$B,[20]свод!$A:$AB,3,0)," ")</f>
        <v>Янгиқўрғон тумани</v>
      </c>
      <c r="E401" s="7" t="s">
        <v>1545</v>
      </c>
      <c r="F401" s="7" t="s">
        <v>7945</v>
      </c>
      <c r="G401" s="134">
        <f t="shared" si="46"/>
        <v>1</v>
      </c>
      <c r="H401" s="134" t="str">
        <f t="shared" si="47"/>
        <v/>
      </c>
      <c r="I401" s="7" t="s">
        <v>156</v>
      </c>
      <c r="J401" s="7" t="s">
        <v>25</v>
      </c>
      <c r="K401" s="7"/>
      <c r="L401" s="7"/>
      <c r="M401" s="7"/>
      <c r="N401" s="7" t="s">
        <v>170</v>
      </c>
      <c r="O401" s="7" t="s">
        <v>162</v>
      </c>
      <c r="P401" s="7" t="s">
        <v>6511</v>
      </c>
      <c r="Q401" s="129">
        <v>46199</v>
      </c>
      <c r="R401" s="130">
        <f t="shared" si="45"/>
        <v>46211</v>
      </c>
      <c r="S401" s="131">
        <f t="shared" si="50"/>
        <v>12</v>
      </c>
      <c r="T401" s="7" t="s">
        <v>182</v>
      </c>
      <c r="U401" s="7" t="s">
        <v>244</v>
      </c>
      <c r="V401" s="7"/>
      <c r="W401" s="7"/>
      <c r="X401" s="132">
        <f t="shared" si="48"/>
        <v>10</v>
      </c>
      <c r="Y401" s="133"/>
      <c r="Z401" s="133"/>
      <c r="AA401" s="133"/>
    </row>
    <row r="402" spans="1:27" hidden="1" x14ac:dyDescent="0.25">
      <c r="A402" s="127">
        <v>448</v>
      </c>
      <c r="B402" s="128" t="str">
        <f t="shared" si="49"/>
        <v>UCQT</v>
      </c>
      <c r="C402" s="128" t="e">
        <f>+VLOOKUP(U402,Ходим!A:B,2,0)</f>
        <v>#N/A</v>
      </c>
      <c r="D402" s="128" t="str">
        <f>IFERROR(VLOOKUP($B:$B,[20]свод!$A:$AB,3,0)," ")</f>
        <v>Учқўрғон тумани</v>
      </c>
      <c r="E402" s="7" t="s">
        <v>1546</v>
      </c>
      <c r="F402" s="7" t="s">
        <v>7946</v>
      </c>
      <c r="G402" s="134">
        <f t="shared" si="46"/>
        <v>1</v>
      </c>
      <c r="H402" s="134" t="str">
        <f t="shared" si="47"/>
        <v/>
      </c>
      <c r="I402" s="7" t="s">
        <v>156</v>
      </c>
      <c r="J402" s="7" t="s">
        <v>11</v>
      </c>
      <c r="K402" s="7"/>
      <c r="L402" s="7"/>
      <c r="M402" s="7"/>
      <c r="N402" s="7" t="s">
        <v>170</v>
      </c>
      <c r="O402" s="7" t="s">
        <v>162</v>
      </c>
      <c r="P402" s="7" t="s">
        <v>6511</v>
      </c>
      <c r="Q402" s="129">
        <v>46199</v>
      </c>
      <c r="R402" s="130">
        <f t="shared" si="45"/>
        <v>46211</v>
      </c>
      <c r="S402" s="131">
        <f t="shared" si="50"/>
        <v>12</v>
      </c>
      <c r="T402" s="7"/>
      <c r="U402" s="7"/>
      <c r="V402" s="7"/>
      <c r="W402" s="7"/>
      <c r="X402" s="132">
        <f t="shared" si="48"/>
        <v>10</v>
      </c>
      <c r="Y402" s="133"/>
      <c r="Z402" s="133"/>
      <c r="AA402" s="133"/>
    </row>
    <row r="403" spans="1:27" hidden="1" x14ac:dyDescent="0.25">
      <c r="A403" s="127">
        <v>449</v>
      </c>
      <c r="B403" s="128" t="str">
        <f t="shared" si="49"/>
        <v>TORT</v>
      </c>
      <c r="C403" s="128" t="str">
        <f>+VLOOKUP(U403,Ходим!A:B,2,0)</f>
        <v>31110892130070</v>
      </c>
      <c r="D403" s="128" t="str">
        <f>IFERROR(VLOOKUP($B:$B,[20]свод!$A:$AB,3,0)," ")</f>
        <v>Тўрақўрғон тумани</v>
      </c>
      <c r="E403" s="7" t="s">
        <v>1547</v>
      </c>
      <c r="F403" s="7" t="s">
        <v>7947</v>
      </c>
      <c r="G403" s="134">
        <f t="shared" si="46"/>
        <v>1</v>
      </c>
      <c r="H403" s="134" t="str">
        <f t="shared" si="47"/>
        <v/>
      </c>
      <c r="I403" s="7" t="s">
        <v>156</v>
      </c>
      <c r="J403" s="7" t="s">
        <v>25</v>
      </c>
      <c r="K403" s="7"/>
      <c r="L403" s="7"/>
      <c r="M403" s="7"/>
      <c r="N403" s="7" t="s">
        <v>170</v>
      </c>
      <c r="O403" s="7" t="s">
        <v>162</v>
      </c>
      <c r="P403" s="7" t="s">
        <v>6511</v>
      </c>
      <c r="Q403" s="129">
        <v>46199</v>
      </c>
      <c r="R403" s="130">
        <f t="shared" ref="R403:R451" si="51">WORKDAY(P403,X403,$Y$1:$AA$1)</f>
        <v>46211</v>
      </c>
      <c r="S403" s="131">
        <f t="shared" si="50"/>
        <v>12</v>
      </c>
      <c r="T403" s="7" t="s">
        <v>203</v>
      </c>
      <c r="U403" s="7" t="s">
        <v>297</v>
      </c>
      <c r="V403" s="7"/>
      <c r="W403" s="7"/>
      <c r="X403" s="132">
        <f t="shared" si="48"/>
        <v>10</v>
      </c>
      <c r="Y403" s="133"/>
      <c r="Z403" s="133"/>
      <c r="AA403" s="133"/>
    </row>
    <row r="404" spans="1:27" hidden="1" x14ac:dyDescent="0.25">
      <c r="A404" s="127">
        <v>450</v>
      </c>
      <c r="B404" s="128" t="str">
        <f t="shared" si="49"/>
        <v>NAMT</v>
      </c>
      <c r="C404" s="128">
        <f>+VLOOKUP(U404,Ходим!A:B,2,0)</f>
        <v>32712932090068</v>
      </c>
      <c r="D404" s="128" t="str">
        <f>IFERROR(VLOOKUP($B:$B,[20]свод!$A:$AB,3,0)," ")</f>
        <v>Наманган тумани</v>
      </c>
      <c r="E404" s="7" t="s">
        <v>1548</v>
      </c>
      <c r="F404" s="7" t="s">
        <v>7948</v>
      </c>
      <c r="G404" s="134">
        <f t="shared" si="46"/>
        <v>1</v>
      </c>
      <c r="H404" s="134" t="str">
        <f t="shared" si="47"/>
        <v/>
      </c>
      <c r="I404" s="7" t="s">
        <v>158</v>
      </c>
      <c r="J404" s="7" t="s">
        <v>2</v>
      </c>
      <c r="K404" s="7"/>
      <c r="L404" s="7" t="s">
        <v>167</v>
      </c>
      <c r="M404" s="7" t="s">
        <v>4483</v>
      </c>
      <c r="N404" s="7" t="s">
        <v>170</v>
      </c>
      <c r="O404" s="7" t="s">
        <v>162</v>
      </c>
      <c r="P404" s="7" t="s">
        <v>6458</v>
      </c>
      <c r="Q404" s="129">
        <v>46199</v>
      </c>
      <c r="R404" s="130">
        <f t="shared" si="51"/>
        <v>46204</v>
      </c>
      <c r="S404" s="131">
        <f t="shared" si="50"/>
        <v>5</v>
      </c>
      <c r="T404" s="7" t="s">
        <v>197</v>
      </c>
      <c r="U404" s="7" t="s">
        <v>1016</v>
      </c>
      <c r="V404" s="7"/>
      <c r="W404" s="7">
        <v>245.27</v>
      </c>
      <c r="X404" s="132">
        <f t="shared" si="48"/>
        <v>10</v>
      </c>
      <c r="Y404" s="133"/>
      <c r="Z404" s="133"/>
      <c r="AA404" s="133"/>
    </row>
    <row r="405" spans="1:27" hidden="1" x14ac:dyDescent="0.25">
      <c r="A405" s="127">
        <v>452</v>
      </c>
      <c r="B405" s="128" t="str">
        <f t="shared" si="49"/>
        <v>YGQT</v>
      </c>
      <c r="C405" s="128" t="str">
        <f>+VLOOKUP(U405,Ходим!A:B,2,0)</f>
        <v>30107965950010</v>
      </c>
      <c r="D405" s="128" t="str">
        <f>IFERROR(VLOOKUP($B:$B,[20]свод!$A:$AB,3,0)," ")</f>
        <v>Янгиқўрғон тумани</v>
      </c>
      <c r="E405" s="7" t="s">
        <v>1549</v>
      </c>
      <c r="F405" s="7" t="s">
        <v>7949</v>
      </c>
      <c r="G405" s="134">
        <f t="shared" si="46"/>
        <v>1</v>
      </c>
      <c r="H405" s="134" t="str">
        <f t="shared" si="47"/>
        <v/>
      </c>
      <c r="I405" s="7" t="s">
        <v>156</v>
      </c>
      <c r="J405" s="7" t="s">
        <v>25</v>
      </c>
      <c r="K405" s="7"/>
      <c r="L405" s="7"/>
      <c r="M405" s="7"/>
      <c r="N405" s="7" t="s">
        <v>170</v>
      </c>
      <c r="O405" s="7" t="s">
        <v>162</v>
      </c>
      <c r="P405" s="7" t="s">
        <v>6511</v>
      </c>
      <c r="Q405" s="129">
        <v>46199</v>
      </c>
      <c r="R405" s="130">
        <f t="shared" si="51"/>
        <v>46211</v>
      </c>
      <c r="S405" s="131">
        <f t="shared" si="50"/>
        <v>12</v>
      </c>
      <c r="T405" s="7" t="s">
        <v>182</v>
      </c>
      <c r="U405" s="7" t="s">
        <v>244</v>
      </c>
      <c r="V405" s="7"/>
      <c r="W405" s="7"/>
      <c r="X405" s="132">
        <f t="shared" si="48"/>
        <v>10</v>
      </c>
      <c r="Y405" s="133"/>
      <c r="Z405" s="133"/>
      <c r="AA405" s="133"/>
    </row>
    <row r="406" spans="1:27" hidden="1" x14ac:dyDescent="0.25">
      <c r="A406" s="127">
        <v>454</v>
      </c>
      <c r="B406" s="128" t="str">
        <f t="shared" si="49"/>
        <v>YGQT</v>
      </c>
      <c r="C406" s="128" t="str">
        <f>+VLOOKUP(U406,Ходим!A:B,2,0)</f>
        <v>30107965950010</v>
      </c>
      <c r="D406" s="128" t="str">
        <f>IFERROR(VLOOKUP($B:$B,[20]свод!$A:$AB,3,0)," ")</f>
        <v>Янгиқўрғон тумани</v>
      </c>
      <c r="E406" s="7" t="s">
        <v>1550</v>
      </c>
      <c r="F406" s="7" t="s">
        <v>7950</v>
      </c>
      <c r="G406" s="134">
        <f t="shared" ref="G406:G452" si="52">IF(OR(
I406="Turar joy obyektning kadastr pasportini shakllantirish va davlat ro'yxatidan o'tkazish",
I406="Turar kompozit"
),
1,
IF(OR(
I406="Noturar kompozit",
I406="Avtoyo'l va suv xo'jaligi obyektining kadastr pasportini shakllantirish va ro'yxatga olish",
I406="Noturar obyektning kadastr pasportining kadastr pasportini shakllantirish va davlat ro'yxatidan o'tkazish"
),
"",
IF(OR(
I406="Notarius uchun ma'lumotnoma (uz)",
I406="Qurilishi tugallangan ko'chmas mulkni foydalanishga qabul qilish",
I406="Umumiy foydalanishdagi ko'chmas mulk qismini yaratish",
I406="Registratsiya (tashqi - UZKAD da bor)"
),
IF(OR(L406="Turar yer maydoni",L406="Yakka tartibdagi turar joy"),1,
IF(L406="Noturar bino","",
IF(L406="Noturar yer maydoni","",
IF(L406="",IF(OR(O406="Turar joy xizmati",O406="Foydalanishga ruxsatnoma berish xizmati"),1,""),"")
))),
"")))</f>
        <v>1</v>
      </c>
      <c r="H406" s="134" t="str">
        <f t="shared" ref="H406:H452" si="53">IF(OR(
I406="Turar joy obyektning kadastr pasportini shakllantirish va davlat ro'yxatidan o'tkazish",
I406="Turar kompozit"
),
"",
IF(OR(
I406="Noturar kompozit",
I406="Avtoyo'l va suv xo'jaligi obyektining kadastr pasportini shakllantirish va ro'yxatga olish",
I406="Noturar obyektning kadastr pasportini shakllantirish va davlat ro'yxatidan o'tkazish"
),
1,
IF(OR(
I406="Notarius uchun ma'lumotnoma (uz)",
I406="Qurilishi tugallangan ko'chmas mulkni foydalanishga qabul qilish",
I406="Umumiy foydalanishdagi ko'chmas mulk qismini yaratish",
I406="Registratsiya (tashqi - UZKAD da bor)"
),
IF(OR(L406="Turar yer maydoni",L406="Yakka tartibdagi turar joy"),"",
IF(L406="Noturar bino",1,
IF(L406="Noturar yer maydoni",1,
IF(L406="",IF(OR(O406="Turar joy xizmati",O406="Foydalanishga ruxsatnoma berish xizmati"),"",1),"")
))),
"")))</f>
        <v/>
      </c>
      <c r="I406" s="7" t="s">
        <v>156</v>
      </c>
      <c r="J406" s="7" t="s">
        <v>25</v>
      </c>
      <c r="K406" s="7"/>
      <c r="L406" s="7"/>
      <c r="M406" s="7"/>
      <c r="N406" s="7" t="s">
        <v>170</v>
      </c>
      <c r="O406" s="7" t="s">
        <v>162</v>
      </c>
      <c r="P406" s="7" t="s">
        <v>6511</v>
      </c>
      <c r="Q406" s="129">
        <v>46199</v>
      </c>
      <c r="R406" s="130">
        <f t="shared" si="51"/>
        <v>46211</v>
      </c>
      <c r="S406" s="131">
        <f t="shared" si="50"/>
        <v>12</v>
      </c>
      <c r="T406" s="7" t="s">
        <v>182</v>
      </c>
      <c r="U406" s="7" t="s">
        <v>244</v>
      </c>
      <c r="V406" s="7"/>
      <c r="W406" s="7"/>
      <c r="X406" s="132">
        <f t="shared" si="48"/>
        <v>10</v>
      </c>
      <c r="Y406" s="133"/>
      <c r="Z406" s="133"/>
      <c r="AA406" s="133"/>
    </row>
    <row r="407" spans="1:27" hidden="1" x14ac:dyDescent="0.25">
      <c r="A407" s="127">
        <v>458</v>
      </c>
      <c r="B407" s="128" t="str">
        <f t="shared" si="49"/>
        <v>YGQT</v>
      </c>
      <c r="C407" s="128" t="str">
        <f>+VLOOKUP(U407,Ходим!A:B,2,0)</f>
        <v>31108942160081</v>
      </c>
      <c r="D407" s="128" t="str">
        <f>IFERROR(VLOOKUP($B:$B,[20]свод!$A:$AB,3,0)," ")</f>
        <v>Янгиқўрғон тумани</v>
      </c>
      <c r="E407" s="7" t="s">
        <v>1551</v>
      </c>
      <c r="F407" s="7" t="s">
        <v>7951</v>
      </c>
      <c r="G407" s="134" t="str">
        <f t="shared" si="52"/>
        <v/>
      </c>
      <c r="H407" s="134">
        <f t="shared" si="53"/>
        <v>1</v>
      </c>
      <c r="I407" s="7" t="s">
        <v>157</v>
      </c>
      <c r="J407" s="7" t="s">
        <v>172</v>
      </c>
      <c r="K407" s="7"/>
      <c r="L407" s="7" t="s">
        <v>166</v>
      </c>
      <c r="M407" s="7" t="s">
        <v>4484</v>
      </c>
      <c r="N407" s="7" t="s">
        <v>170</v>
      </c>
      <c r="O407" s="7" t="s">
        <v>161</v>
      </c>
      <c r="P407" s="7" t="s">
        <v>6512</v>
      </c>
      <c r="Q407" s="129">
        <v>46199</v>
      </c>
      <c r="R407" s="130">
        <f t="shared" si="51"/>
        <v>46205</v>
      </c>
      <c r="S407" s="131">
        <f t="shared" si="50"/>
        <v>6</v>
      </c>
      <c r="T407" s="7" t="s">
        <v>255</v>
      </c>
      <c r="U407" s="7" t="s">
        <v>228</v>
      </c>
      <c r="V407" s="7"/>
      <c r="W407" s="7">
        <v>0</v>
      </c>
      <c r="X407" s="132">
        <f t="shared" si="48"/>
        <v>10</v>
      </c>
      <c r="Y407" s="133"/>
      <c r="Z407" s="133"/>
      <c r="AA407" s="133"/>
    </row>
    <row r="408" spans="1:27" hidden="1" x14ac:dyDescent="0.25">
      <c r="A408" s="127">
        <v>459</v>
      </c>
      <c r="B408" s="128" t="str">
        <f t="shared" si="49"/>
        <v>UCQT</v>
      </c>
      <c r="C408" s="128" t="e">
        <f>+VLOOKUP(U408,Ходим!A:B,2,0)</f>
        <v>#N/A</v>
      </c>
      <c r="D408" s="128" t="str">
        <f>IFERROR(VLOOKUP($B:$B,[20]свод!$A:$AB,3,0)," ")</f>
        <v>Учқўрғон тумани</v>
      </c>
      <c r="E408" s="7" t="s">
        <v>1552</v>
      </c>
      <c r="F408" s="7" t="s">
        <v>7952</v>
      </c>
      <c r="G408" s="134">
        <f t="shared" si="52"/>
        <v>1</v>
      </c>
      <c r="H408" s="134" t="str">
        <f t="shared" si="53"/>
        <v/>
      </c>
      <c r="I408" s="7" t="s">
        <v>156</v>
      </c>
      <c r="J408" s="7" t="s">
        <v>11</v>
      </c>
      <c r="K408" s="7"/>
      <c r="L408" s="7"/>
      <c r="M408" s="7"/>
      <c r="N408" s="7" t="s">
        <v>170</v>
      </c>
      <c r="O408" s="7" t="s">
        <v>162</v>
      </c>
      <c r="P408" s="7" t="s">
        <v>6513</v>
      </c>
      <c r="Q408" s="129">
        <v>46199</v>
      </c>
      <c r="R408" s="130">
        <f t="shared" si="51"/>
        <v>46211</v>
      </c>
      <c r="S408" s="131">
        <f t="shared" si="50"/>
        <v>12</v>
      </c>
      <c r="T408" s="7"/>
      <c r="U408" s="7"/>
      <c r="V408" s="7"/>
      <c r="W408" s="7"/>
      <c r="X408" s="132">
        <f t="shared" si="48"/>
        <v>10</v>
      </c>
      <c r="Y408" s="133"/>
      <c r="Z408" s="133"/>
      <c r="AA408" s="133"/>
    </row>
    <row r="409" spans="1:27" hidden="1" x14ac:dyDescent="0.25">
      <c r="A409" s="127">
        <v>460</v>
      </c>
      <c r="B409" s="128" t="str">
        <f t="shared" si="49"/>
        <v>CHUT</v>
      </c>
      <c r="C409" s="128" t="str">
        <f>+VLOOKUP(U409,Ходим!A:B,2,0)</f>
        <v>30202885970013</v>
      </c>
      <c r="D409" s="128" t="str">
        <f>IFERROR(VLOOKUP($B:$B,[20]свод!$A:$AB,3,0)," ")</f>
        <v>Чуст тумани</v>
      </c>
      <c r="E409" s="7" t="s">
        <v>1553</v>
      </c>
      <c r="F409" s="7" t="s">
        <v>7953</v>
      </c>
      <c r="G409" s="134">
        <f t="shared" si="52"/>
        <v>1</v>
      </c>
      <c r="H409" s="134" t="str">
        <f t="shared" si="53"/>
        <v/>
      </c>
      <c r="I409" s="7" t="s">
        <v>156</v>
      </c>
      <c r="J409" s="7" t="s">
        <v>22</v>
      </c>
      <c r="K409" s="7"/>
      <c r="L409" s="7" t="s">
        <v>167</v>
      </c>
      <c r="M409" s="7" t="s">
        <v>4485</v>
      </c>
      <c r="N409" s="7" t="s">
        <v>170</v>
      </c>
      <c r="O409" s="7" t="s">
        <v>162</v>
      </c>
      <c r="P409" s="7" t="s">
        <v>6513</v>
      </c>
      <c r="Q409" s="129">
        <v>46199</v>
      </c>
      <c r="R409" s="130">
        <f t="shared" si="51"/>
        <v>46211</v>
      </c>
      <c r="S409" s="131">
        <f t="shared" si="50"/>
        <v>12</v>
      </c>
      <c r="T409" s="7" t="s">
        <v>178</v>
      </c>
      <c r="U409" s="7" t="s">
        <v>289</v>
      </c>
      <c r="V409" s="7"/>
      <c r="W409" s="7">
        <v>389.81</v>
      </c>
      <c r="X409" s="132">
        <f t="shared" si="48"/>
        <v>10</v>
      </c>
      <c r="Y409" s="133"/>
      <c r="Z409" s="133"/>
      <c r="AA409" s="133"/>
    </row>
    <row r="410" spans="1:27" x14ac:dyDescent="0.25">
      <c r="A410" s="127">
        <v>461</v>
      </c>
      <c r="B410" s="128" t="str">
        <f t="shared" si="49"/>
        <v>NAMS</v>
      </c>
      <c r="C410" s="128" t="str">
        <f>+VLOOKUP(U410,Ходим!A:B,2,0)</f>
        <v>51110025960044</v>
      </c>
      <c r="D410" s="128" t="str">
        <f>IFERROR(VLOOKUP($B:$B,[20]свод!$A:$AB,3,0)," ")</f>
        <v>Наманган шаҳар</v>
      </c>
      <c r="E410" s="7" t="s">
        <v>1554</v>
      </c>
      <c r="F410" s="7" t="s">
        <v>7954</v>
      </c>
      <c r="G410" s="134">
        <f t="shared" si="52"/>
        <v>1</v>
      </c>
      <c r="H410" s="134" t="str">
        <f t="shared" si="53"/>
        <v/>
      </c>
      <c r="I410" s="7" t="s">
        <v>158</v>
      </c>
      <c r="J410" s="7" t="s">
        <v>2</v>
      </c>
      <c r="K410" s="7"/>
      <c r="L410" s="7" t="s">
        <v>167</v>
      </c>
      <c r="M410" s="7" t="s">
        <v>1003</v>
      </c>
      <c r="N410" s="7" t="s">
        <v>170</v>
      </c>
      <c r="O410" s="7" t="s">
        <v>162</v>
      </c>
      <c r="P410" s="7" t="s">
        <v>6514</v>
      </c>
      <c r="Q410" s="129">
        <v>46199</v>
      </c>
      <c r="R410" s="130">
        <f t="shared" si="51"/>
        <v>46198</v>
      </c>
      <c r="S410" s="131">
        <f t="shared" si="50"/>
        <v>-1</v>
      </c>
      <c r="T410" s="7" t="s">
        <v>328</v>
      </c>
      <c r="U410" s="7" t="s">
        <v>294</v>
      </c>
      <c r="V410" s="7"/>
      <c r="W410" s="7">
        <v>0</v>
      </c>
      <c r="X410" s="132">
        <f t="shared" si="48"/>
        <v>10</v>
      </c>
      <c r="Y410" s="133"/>
      <c r="Z410" s="133"/>
      <c r="AA410" s="133"/>
    </row>
    <row r="411" spans="1:27" hidden="1" x14ac:dyDescent="0.25">
      <c r="A411" s="127">
        <v>462</v>
      </c>
      <c r="B411" s="128" t="str">
        <f t="shared" si="49"/>
        <v>YGQT</v>
      </c>
      <c r="C411" s="128" t="str">
        <f>+VLOOKUP(U411,Ходим!A:B,2,0)</f>
        <v>32806922160043</v>
      </c>
      <c r="D411" s="128" t="str">
        <f>IFERROR(VLOOKUP($B:$B,[20]свод!$A:$AB,3,0)," ")</f>
        <v>Янгиқўрғон тумани</v>
      </c>
      <c r="E411" s="7" t="s">
        <v>1555</v>
      </c>
      <c r="F411" s="7" t="s">
        <v>7955</v>
      </c>
      <c r="G411" s="134" t="str">
        <f t="shared" si="52"/>
        <v/>
      </c>
      <c r="H411" s="134">
        <f t="shared" si="53"/>
        <v>1</v>
      </c>
      <c r="I411" s="7" t="s">
        <v>157</v>
      </c>
      <c r="J411" s="7" t="s">
        <v>2</v>
      </c>
      <c r="K411" s="7"/>
      <c r="L411" s="7" t="s">
        <v>166</v>
      </c>
      <c r="M411" s="7" t="s">
        <v>4486</v>
      </c>
      <c r="N411" s="7" t="s">
        <v>170</v>
      </c>
      <c r="O411" s="7" t="s">
        <v>161</v>
      </c>
      <c r="P411" s="7" t="s">
        <v>6515</v>
      </c>
      <c r="Q411" s="129">
        <v>46199</v>
      </c>
      <c r="R411" s="130">
        <f t="shared" si="51"/>
        <v>46209</v>
      </c>
      <c r="S411" s="131">
        <f t="shared" si="50"/>
        <v>10</v>
      </c>
      <c r="T411" s="7" t="s">
        <v>255</v>
      </c>
      <c r="U411" s="7" t="s">
        <v>186</v>
      </c>
      <c r="V411" s="7"/>
      <c r="W411" s="7">
        <v>844.97</v>
      </c>
      <c r="X411" s="132">
        <f t="shared" ref="X411:X457" si="54">IF(N411="Kadastr muhandisi",3,
IF(N411="UZKAD",5,
IF(V411="FREE",5,
IF(I411="Registratsiya (tashqi - UZKAD da bor)",1,
IF(I411="Avtoyo'l va suv xo'jaligi obyektining kadastr pasportini shakllantirish va ro'yxatga olish",7,
IF(I411="Notarius uchun ma'lumotnoma (uz)",1,
IF(I411="Qurilishi tugallangan ko'chmas mulkni foydalanishga qabul qilish",10,
IF(OR(I411="Turar joy obyektning kadastr pasportini shakllantirish va davlat ro'yxatidan o'tkazish",I411="Turar kompozit"),
IF(L411="Turar yer maydoni",7,10),
IF(OR(I411="Noturar obyektning kadastr pasportini shakllantirish va davlat ro'yxatidan o'tkazish",I411="Noturar kompozit"),
IF(O411="Ko‘p yillik daraxtlar xizmati",15,
IF(OR(L411="Noturar yer maydoni",L411="Davlat tashkilotlaridan ijaraga olingan yer uchastkasi"),7,
IF(W411&lt;100,10,IF(W411&lt;=1000,12,IF(W411&lt;=5000,17,IF(W411&lt;=15000,22,IF(W411&lt;=50000,28,37))))))),
IF(I411="Umumiy foydalanishdagi ko'chmas mulk qismini yaratish",
IF(IF(TRIM(L411)="",IF(OR(O411="Turar joy xizmati",O411="Yakka tartibdagi turar joy"),"Turar","Noturar"),IF(OR(L411="Yakka tartibdagi turar joy",L411="Turar joy xizmati"),"Turar","Noturar"))="Turar",
10,IF(W411&lt;100,10,IF(W411&lt;=1000,12,IF(W411&lt;=5000,17,IF(W411&lt;=15000,22,IF(W411&lt;=50000,28,37)))))),
0))))))))))</f>
        <v>12</v>
      </c>
      <c r="Y411" s="133"/>
      <c r="Z411" s="133"/>
      <c r="AA411" s="133"/>
    </row>
    <row r="412" spans="1:27" hidden="1" x14ac:dyDescent="0.25">
      <c r="A412" s="127">
        <v>467</v>
      </c>
      <c r="B412" s="128" t="str">
        <f t="shared" ref="B412:B457" si="55">LEFT(E412,4)</f>
        <v>UYCT</v>
      </c>
      <c r="C412" s="128" t="str">
        <f>+VLOOKUP(U412,Ходим!A:B,2,0)</f>
        <v>31310995930032</v>
      </c>
      <c r="D412" s="128" t="str">
        <f>IFERROR(VLOOKUP($B:$B,[20]свод!$A:$AB,3,0)," ")</f>
        <v>Уйчи тумани</v>
      </c>
      <c r="E412" s="7" t="s">
        <v>1556</v>
      </c>
      <c r="F412" s="7" t="s">
        <v>7956</v>
      </c>
      <c r="G412" s="134">
        <f t="shared" si="52"/>
        <v>1</v>
      </c>
      <c r="H412" s="134" t="str">
        <f t="shared" si="53"/>
        <v/>
      </c>
      <c r="I412" s="7" t="s">
        <v>158</v>
      </c>
      <c r="J412" s="7" t="s">
        <v>2</v>
      </c>
      <c r="K412" s="7"/>
      <c r="L412" s="7" t="s">
        <v>167</v>
      </c>
      <c r="M412" s="7" t="s">
        <v>4487</v>
      </c>
      <c r="N412" s="7" t="s">
        <v>170</v>
      </c>
      <c r="O412" s="7" t="s">
        <v>162</v>
      </c>
      <c r="P412" s="7" t="s">
        <v>6515</v>
      </c>
      <c r="Q412" s="129">
        <v>46199</v>
      </c>
      <c r="R412" s="130">
        <f t="shared" si="51"/>
        <v>46205</v>
      </c>
      <c r="S412" s="131">
        <f t="shared" ref="S412:S457" si="56">R412-Q412</f>
        <v>6</v>
      </c>
      <c r="T412" s="7" t="s">
        <v>947</v>
      </c>
      <c r="U412" s="7" t="s">
        <v>399</v>
      </c>
      <c r="V412" s="7"/>
      <c r="W412" s="7">
        <v>0</v>
      </c>
      <c r="X412" s="132">
        <f t="shared" si="54"/>
        <v>10</v>
      </c>
      <c r="Y412" s="133"/>
      <c r="Z412" s="133"/>
      <c r="AA412" s="133"/>
    </row>
    <row r="413" spans="1:27" hidden="1" x14ac:dyDescent="0.25">
      <c r="A413" s="127">
        <v>468</v>
      </c>
      <c r="B413" s="128" t="str">
        <f t="shared" si="55"/>
        <v>UCQT</v>
      </c>
      <c r="C413" s="128" t="e">
        <f>+VLOOKUP(U413,Ходим!A:B,2,0)</f>
        <v>#N/A</v>
      </c>
      <c r="D413" s="128" t="str">
        <f>IFERROR(VLOOKUP($B:$B,[20]свод!$A:$AB,3,0)," ")</f>
        <v>Учқўрғон тумани</v>
      </c>
      <c r="E413" s="7" t="s">
        <v>1557</v>
      </c>
      <c r="F413" s="7" t="s">
        <v>7957</v>
      </c>
      <c r="G413" s="134">
        <f t="shared" si="52"/>
        <v>1</v>
      </c>
      <c r="H413" s="134" t="str">
        <f t="shared" si="53"/>
        <v/>
      </c>
      <c r="I413" s="7" t="s">
        <v>156</v>
      </c>
      <c r="J413" s="7" t="s">
        <v>11</v>
      </c>
      <c r="K413" s="7"/>
      <c r="L413" s="7"/>
      <c r="M413" s="7"/>
      <c r="N413" s="7" t="s">
        <v>410</v>
      </c>
      <c r="O413" s="7" t="s">
        <v>162</v>
      </c>
      <c r="P413" s="7" t="s">
        <v>6516</v>
      </c>
      <c r="Q413" s="129">
        <v>46199</v>
      </c>
      <c r="R413" s="130">
        <f t="shared" si="51"/>
        <v>46211</v>
      </c>
      <c r="S413" s="131">
        <f t="shared" si="56"/>
        <v>12</v>
      </c>
      <c r="T413" s="7"/>
      <c r="U413" s="7"/>
      <c r="V413" s="7"/>
      <c r="W413" s="7"/>
      <c r="X413" s="132">
        <f t="shared" si="54"/>
        <v>10</v>
      </c>
      <c r="Y413" s="133"/>
      <c r="Z413" s="133"/>
      <c r="AA413" s="133"/>
    </row>
    <row r="414" spans="1:27" hidden="1" x14ac:dyDescent="0.25">
      <c r="A414" s="127">
        <v>469</v>
      </c>
      <c r="B414" s="128" t="str">
        <f t="shared" si="55"/>
        <v>YGQT</v>
      </c>
      <c r="C414" s="128" t="str">
        <f>+VLOOKUP(U414,Ходим!A:B,2,0)</f>
        <v>31108942160081</v>
      </c>
      <c r="D414" s="128" t="str">
        <f>IFERROR(VLOOKUP($B:$B,[20]свод!$A:$AB,3,0)," ")</f>
        <v>Янгиқўрғон тумани</v>
      </c>
      <c r="E414" s="7" t="s">
        <v>1558</v>
      </c>
      <c r="F414" s="7" t="s">
        <v>7958</v>
      </c>
      <c r="G414" s="134">
        <f t="shared" si="52"/>
        <v>1</v>
      </c>
      <c r="H414" s="134" t="str">
        <f t="shared" si="53"/>
        <v/>
      </c>
      <c r="I414" s="7" t="s">
        <v>156</v>
      </c>
      <c r="J414" s="7" t="s">
        <v>22</v>
      </c>
      <c r="K414" s="7"/>
      <c r="L414" s="7" t="s">
        <v>169</v>
      </c>
      <c r="M414" s="7" t="s">
        <v>1093</v>
      </c>
      <c r="N414" s="7" t="s">
        <v>410</v>
      </c>
      <c r="O414" s="7" t="s">
        <v>162</v>
      </c>
      <c r="P414" s="7" t="s">
        <v>6516</v>
      </c>
      <c r="Q414" s="129">
        <v>46199</v>
      </c>
      <c r="R414" s="130">
        <f t="shared" si="51"/>
        <v>46206</v>
      </c>
      <c r="S414" s="131">
        <f t="shared" si="56"/>
        <v>7</v>
      </c>
      <c r="T414" s="7" t="s">
        <v>182</v>
      </c>
      <c r="U414" s="7" t="s">
        <v>228</v>
      </c>
      <c r="V414" s="7"/>
      <c r="W414" s="7">
        <v>0</v>
      </c>
      <c r="X414" s="132">
        <f t="shared" si="54"/>
        <v>7</v>
      </c>
      <c r="Y414" s="133"/>
      <c r="Z414" s="133"/>
      <c r="AA414" s="133"/>
    </row>
    <row r="415" spans="1:27" hidden="1" x14ac:dyDescent="0.25">
      <c r="A415" s="127">
        <v>470</v>
      </c>
      <c r="B415" s="128" t="str">
        <f t="shared" si="55"/>
        <v>NORT</v>
      </c>
      <c r="C415" s="128" t="str">
        <f>+VLOOKUP(U415,Ходим!A:B,2,0)</f>
        <v>32609882110022</v>
      </c>
      <c r="D415" s="128" t="str">
        <f>IFERROR(VLOOKUP($B:$B,[20]свод!$A:$AB,3,0)," ")</f>
        <v>Норин тумани</v>
      </c>
      <c r="E415" s="7" t="s">
        <v>1559</v>
      </c>
      <c r="F415" s="7" t="s">
        <v>7959</v>
      </c>
      <c r="G415" s="134">
        <f t="shared" si="52"/>
        <v>1</v>
      </c>
      <c r="H415" s="134" t="str">
        <f t="shared" si="53"/>
        <v/>
      </c>
      <c r="I415" s="7" t="s">
        <v>158</v>
      </c>
      <c r="J415" s="7" t="s">
        <v>1</v>
      </c>
      <c r="K415" s="7"/>
      <c r="L415" s="7" t="s">
        <v>167</v>
      </c>
      <c r="M415" s="7" t="s">
        <v>4488</v>
      </c>
      <c r="N415" s="7" t="s">
        <v>170</v>
      </c>
      <c r="O415" s="7" t="s">
        <v>162</v>
      </c>
      <c r="P415" s="7" t="s">
        <v>6517</v>
      </c>
      <c r="Q415" s="129">
        <v>46199</v>
      </c>
      <c r="R415" s="130">
        <f t="shared" si="51"/>
        <v>46205</v>
      </c>
      <c r="S415" s="131">
        <f t="shared" si="56"/>
        <v>6</v>
      </c>
      <c r="T415" s="7" t="s">
        <v>210</v>
      </c>
      <c r="U415" s="7" t="s">
        <v>300</v>
      </c>
      <c r="V415" s="7"/>
      <c r="W415" s="7">
        <v>205</v>
      </c>
      <c r="X415" s="132">
        <f t="shared" si="54"/>
        <v>10</v>
      </c>
      <c r="Y415" s="133"/>
      <c r="Z415" s="133"/>
      <c r="AA415" s="133"/>
    </row>
    <row r="416" spans="1:27" hidden="1" x14ac:dyDescent="0.25">
      <c r="A416" s="127">
        <v>471</v>
      </c>
      <c r="B416" s="128" t="str">
        <f t="shared" si="55"/>
        <v>NAMS</v>
      </c>
      <c r="C416" s="128" t="str">
        <f>+VLOOKUP(U416,Ходим!A:B,2,0)</f>
        <v>52107015960107</v>
      </c>
      <c r="D416" s="128" t="str">
        <f>IFERROR(VLOOKUP($B:$B,[20]свод!$A:$AB,3,0)," ")</f>
        <v>Наманган шаҳар</v>
      </c>
      <c r="E416" s="7" t="s">
        <v>1560</v>
      </c>
      <c r="F416" s="7" t="s">
        <v>7960</v>
      </c>
      <c r="G416" s="134">
        <f t="shared" si="52"/>
        <v>1</v>
      </c>
      <c r="H416" s="134" t="str">
        <f t="shared" si="53"/>
        <v/>
      </c>
      <c r="I416" s="7" t="s">
        <v>156</v>
      </c>
      <c r="J416" s="7" t="s">
        <v>25</v>
      </c>
      <c r="K416" s="7"/>
      <c r="L416" s="7" t="s">
        <v>167</v>
      </c>
      <c r="M416" s="7" t="s">
        <v>4489</v>
      </c>
      <c r="N416" s="7" t="s">
        <v>170</v>
      </c>
      <c r="O416" s="7" t="s">
        <v>162</v>
      </c>
      <c r="P416" s="7" t="s">
        <v>6518</v>
      </c>
      <c r="Q416" s="129">
        <v>46199</v>
      </c>
      <c r="R416" s="130">
        <f t="shared" si="51"/>
        <v>46211</v>
      </c>
      <c r="S416" s="131">
        <f t="shared" si="56"/>
        <v>12</v>
      </c>
      <c r="T416" s="7" t="s">
        <v>173</v>
      </c>
      <c r="U416" s="7" t="s">
        <v>348</v>
      </c>
      <c r="V416" s="7"/>
      <c r="W416" s="7">
        <v>499.91</v>
      </c>
      <c r="X416" s="132">
        <f t="shared" si="54"/>
        <v>10</v>
      </c>
      <c r="Y416" s="133"/>
      <c r="Z416" s="133"/>
      <c r="AA416" s="133"/>
    </row>
    <row r="417" spans="1:27" hidden="1" x14ac:dyDescent="0.25">
      <c r="A417" s="127">
        <v>472</v>
      </c>
      <c r="B417" s="128" t="str">
        <f t="shared" si="55"/>
        <v>NAMT</v>
      </c>
      <c r="C417" s="128" t="str">
        <f>+VLOOKUP(U417,Ходим!A:B,2,0)</f>
        <v>31205812090050</v>
      </c>
      <c r="D417" s="128" t="str">
        <f>IFERROR(VLOOKUP($B:$B,[20]свод!$A:$AB,3,0)," ")</f>
        <v>Наманган тумани</v>
      </c>
      <c r="E417" s="7" t="s">
        <v>1561</v>
      </c>
      <c r="F417" s="7" t="s">
        <v>7961</v>
      </c>
      <c r="G417" s="134">
        <f t="shared" si="52"/>
        <v>1</v>
      </c>
      <c r="H417" s="134" t="str">
        <f t="shared" si="53"/>
        <v/>
      </c>
      <c r="I417" s="7" t="s">
        <v>158</v>
      </c>
      <c r="J417" s="7" t="s">
        <v>2</v>
      </c>
      <c r="K417" s="7"/>
      <c r="L417" s="7" t="s">
        <v>167</v>
      </c>
      <c r="M417" s="7" t="s">
        <v>4490</v>
      </c>
      <c r="N417" s="7" t="s">
        <v>170</v>
      </c>
      <c r="O417" s="7" t="s">
        <v>162</v>
      </c>
      <c r="P417" s="7" t="s">
        <v>6517</v>
      </c>
      <c r="Q417" s="129">
        <v>46199</v>
      </c>
      <c r="R417" s="130">
        <f t="shared" si="51"/>
        <v>46205</v>
      </c>
      <c r="S417" s="131">
        <f t="shared" si="56"/>
        <v>6</v>
      </c>
      <c r="T417" s="7" t="s">
        <v>197</v>
      </c>
      <c r="U417" s="7" t="s">
        <v>346</v>
      </c>
      <c r="V417" s="7"/>
      <c r="W417" s="7">
        <v>408.35</v>
      </c>
      <c r="X417" s="132">
        <f t="shared" si="54"/>
        <v>10</v>
      </c>
      <c r="Y417" s="133"/>
      <c r="Z417" s="133"/>
      <c r="AA417" s="133"/>
    </row>
    <row r="418" spans="1:27" hidden="1" x14ac:dyDescent="0.25">
      <c r="A418" s="127">
        <v>473</v>
      </c>
      <c r="B418" s="128" t="str">
        <f t="shared" si="55"/>
        <v>NORT</v>
      </c>
      <c r="C418" s="128" t="str">
        <f>+VLOOKUP(U418,Ходим!A:B,2,0)</f>
        <v>40601902150077</v>
      </c>
      <c r="D418" s="128" t="str">
        <f>IFERROR(VLOOKUP($B:$B,[20]свод!$A:$AB,3,0)," ")</f>
        <v>Норин тумани</v>
      </c>
      <c r="E418" s="7" t="s">
        <v>1562</v>
      </c>
      <c r="F418" s="7" t="s">
        <v>7962</v>
      </c>
      <c r="G418" s="134">
        <f t="shared" si="52"/>
        <v>1</v>
      </c>
      <c r="H418" s="134" t="str">
        <f t="shared" si="53"/>
        <v/>
      </c>
      <c r="I418" s="7" t="s">
        <v>158</v>
      </c>
      <c r="J418" s="7" t="s">
        <v>85</v>
      </c>
      <c r="K418" s="7"/>
      <c r="L418" s="7" t="s">
        <v>167</v>
      </c>
      <c r="M418" s="7" t="s">
        <v>4491</v>
      </c>
      <c r="N418" s="7" t="s">
        <v>170</v>
      </c>
      <c r="O418" s="7" t="s">
        <v>162</v>
      </c>
      <c r="P418" s="7" t="s">
        <v>6334</v>
      </c>
      <c r="Q418" s="129">
        <v>46199</v>
      </c>
      <c r="R418" s="130">
        <f t="shared" si="51"/>
        <v>46204</v>
      </c>
      <c r="S418" s="131">
        <f t="shared" si="56"/>
        <v>5</v>
      </c>
      <c r="T418" s="7" t="s">
        <v>210</v>
      </c>
      <c r="U418" s="7" t="s">
        <v>249</v>
      </c>
      <c r="V418" s="7"/>
      <c r="W418" s="7">
        <v>56.87</v>
      </c>
      <c r="X418" s="132">
        <f t="shared" si="54"/>
        <v>10</v>
      </c>
      <c r="Y418" s="133"/>
      <c r="Z418" s="133"/>
      <c r="AA418" s="133"/>
    </row>
    <row r="419" spans="1:27" x14ac:dyDescent="0.25">
      <c r="A419" s="127">
        <v>474</v>
      </c>
      <c r="B419" s="128" t="str">
        <f t="shared" si="55"/>
        <v>POPT</v>
      </c>
      <c r="C419" s="128" t="str">
        <f>+VLOOKUP(U419,Ходим!A:B,2,0)</f>
        <v>30809922120031</v>
      </c>
      <c r="D419" s="128" t="str">
        <f>IFERROR(VLOOKUP($B:$B,[20]свод!$A:$AB,3,0)," ")</f>
        <v>Поп тумани</v>
      </c>
      <c r="E419" s="7" t="s">
        <v>1067</v>
      </c>
      <c r="F419" s="7" t="s">
        <v>987</v>
      </c>
      <c r="G419" s="134">
        <f t="shared" si="52"/>
        <v>1</v>
      </c>
      <c r="H419" s="134" t="str">
        <f t="shared" si="53"/>
        <v/>
      </c>
      <c r="I419" s="7" t="s">
        <v>154</v>
      </c>
      <c r="J419" s="7" t="s">
        <v>16</v>
      </c>
      <c r="K419" s="7"/>
      <c r="L419" s="7" t="s">
        <v>167</v>
      </c>
      <c r="M419" s="7" t="s">
        <v>986</v>
      </c>
      <c r="N419" s="7" t="s">
        <v>410</v>
      </c>
      <c r="O419" s="7" t="s">
        <v>162</v>
      </c>
      <c r="P419" s="7" t="s">
        <v>1080</v>
      </c>
      <c r="Q419" s="129">
        <v>46199</v>
      </c>
      <c r="R419" s="130">
        <f t="shared" si="51"/>
        <v>46190</v>
      </c>
      <c r="S419" s="131">
        <f t="shared" si="56"/>
        <v>-9</v>
      </c>
      <c r="T419" s="7" t="s">
        <v>214</v>
      </c>
      <c r="U419" s="7" t="s">
        <v>339</v>
      </c>
      <c r="V419" s="7"/>
      <c r="W419" s="7">
        <v>589.21</v>
      </c>
      <c r="X419" s="132">
        <f t="shared" si="54"/>
        <v>10</v>
      </c>
      <c r="Y419" s="133"/>
      <c r="Z419" s="133"/>
      <c r="AA419" s="133"/>
    </row>
    <row r="420" spans="1:27" hidden="1" x14ac:dyDescent="0.25">
      <c r="A420" s="127">
        <v>475</v>
      </c>
      <c r="B420" s="128" t="str">
        <f t="shared" si="55"/>
        <v>TORT</v>
      </c>
      <c r="C420" s="128" t="str">
        <f>+VLOOKUP(U420,Ходим!A:B,2,0)</f>
        <v>50908015920034</v>
      </c>
      <c r="D420" s="128" t="str">
        <f>IFERROR(VLOOKUP($B:$B,[20]свод!$A:$AB,3,0)," ")</f>
        <v>Тўрақўрғон тумани</v>
      </c>
      <c r="E420" s="7" t="s">
        <v>1563</v>
      </c>
      <c r="F420" s="7" t="s">
        <v>7963</v>
      </c>
      <c r="G420" s="134">
        <f t="shared" si="52"/>
        <v>1</v>
      </c>
      <c r="H420" s="134" t="str">
        <f t="shared" si="53"/>
        <v/>
      </c>
      <c r="I420" s="7" t="s">
        <v>158</v>
      </c>
      <c r="J420" s="7" t="s">
        <v>172</v>
      </c>
      <c r="K420" s="7"/>
      <c r="L420" s="7" t="s">
        <v>167</v>
      </c>
      <c r="M420" s="7" t="s">
        <v>4492</v>
      </c>
      <c r="N420" s="7" t="s">
        <v>170</v>
      </c>
      <c r="O420" s="7" t="s">
        <v>162</v>
      </c>
      <c r="P420" s="7" t="s">
        <v>6379</v>
      </c>
      <c r="Q420" s="129">
        <v>46199</v>
      </c>
      <c r="R420" s="130">
        <f t="shared" si="51"/>
        <v>46211</v>
      </c>
      <c r="S420" s="131">
        <f t="shared" si="56"/>
        <v>12</v>
      </c>
      <c r="T420" s="7" t="s">
        <v>203</v>
      </c>
      <c r="U420" s="7" t="s">
        <v>205</v>
      </c>
      <c r="V420" s="7"/>
      <c r="W420" s="7">
        <v>324.5</v>
      </c>
      <c r="X420" s="132">
        <f t="shared" si="54"/>
        <v>10</v>
      </c>
      <c r="Y420" s="133"/>
      <c r="Z420" s="133"/>
      <c r="AA420" s="133"/>
    </row>
    <row r="421" spans="1:27" hidden="1" x14ac:dyDescent="0.25">
      <c r="A421" s="127">
        <v>476</v>
      </c>
      <c r="B421" s="128" t="str">
        <f t="shared" si="55"/>
        <v>CHUT</v>
      </c>
      <c r="C421" s="128" t="str">
        <f>+VLOOKUP(U421,Ходим!A:B,2,0)</f>
        <v>32304995970021</v>
      </c>
      <c r="D421" s="128" t="str">
        <f>IFERROR(VLOOKUP($B:$B,[20]свод!$A:$AB,3,0)," ")</f>
        <v>Чуст тумани</v>
      </c>
      <c r="E421" s="7" t="s">
        <v>1564</v>
      </c>
      <c r="F421" s="7" t="s">
        <v>7964</v>
      </c>
      <c r="G421" s="134">
        <f t="shared" si="52"/>
        <v>1</v>
      </c>
      <c r="H421" s="134" t="str">
        <f t="shared" si="53"/>
        <v/>
      </c>
      <c r="I421" s="7" t="s">
        <v>158</v>
      </c>
      <c r="J421" s="7" t="s">
        <v>2</v>
      </c>
      <c r="K421" s="7"/>
      <c r="L421" s="7" t="s">
        <v>167</v>
      </c>
      <c r="M421" s="7" t="s">
        <v>4493</v>
      </c>
      <c r="N421" s="7" t="s">
        <v>170</v>
      </c>
      <c r="O421" s="7" t="s">
        <v>162</v>
      </c>
      <c r="P421" s="7" t="s">
        <v>6519</v>
      </c>
      <c r="Q421" s="129">
        <v>46199</v>
      </c>
      <c r="R421" s="130">
        <f t="shared" si="51"/>
        <v>46205</v>
      </c>
      <c r="S421" s="131">
        <f t="shared" si="56"/>
        <v>6</v>
      </c>
      <c r="T421" s="7" t="s">
        <v>178</v>
      </c>
      <c r="U421" s="7" t="s">
        <v>938</v>
      </c>
      <c r="V421" s="7"/>
      <c r="W421" s="7">
        <v>266.63</v>
      </c>
      <c r="X421" s="132">
        <f t="shared" si="54"/>
        <v>10</v>
      </c>
      <c r="Y421" s="133"/>
      <c r="Z421" s="133"/>
      <c r="AA421" s="133"/>
    </row>
    <row r="422" spans="1:27" hidden="1" x14ac:dyDescent="0.25">
      <c r="A422" s="127">
        <v>477</v>
      </c>
      <c r="B422" s="128" t="str">
        <f t="shared" si="55"/>
        <v>YGQT</v>
      </c>
      <c r="C422" s="128" t="str">
        <f>+VLOOKUP(U422,Ходим!A:B,2,0)</f>
        <v>52010015950028</v>
      </c>
      <c r="D422" s="128" t="str">
        <f>IFERROR(VLOOKUP($B:$B,[20]свод!$A:$AB,3,0)," ")</f>
        <v>Янгиқўрғон тумани</v>
      </c>
      <c r="E422" s="7" t="s">
        <v>1565</v>
      </c>
      <c r="F422" s="7" t="s">
        <v>7965</v>
      </c>
      <c r="G422" s="134">
        <f t="shared" si="52"/>
        <v>1</v>
      </c>
      <c r="H422" s="134" t="str">
        <f t="shared" si="53"/>
        <v/>
      </c>
      <c r="I422" s="7" t="s">
        <v>158</v>
      </c>
      <c r="J422" s="7" t="s">
        <v>172</v>
      </c>
      <c r="K422" s="7"/>
      <c r="L422" s="7"/>
      <c r="M422" s="7"/>
      <c r="N422" s="7" t="s">
        <v>170</v>
      </c>
      <c r="O422" s="7" t="s">
        <v>162</v>
      </c>
      <c r="P422" s="7" t="s">
        <v>6520</v>
      </c>
      <c r="Q422" s="129">
        <v>46199</v>
      </c>
      <c r="R422" s="130">
        <f t="shared" si="51"/>
        <v>46211</v>
      </c>
      <c r="S422" s="131">
        <f t="shared" si="56"/>
        <v>12</v>
      </c>
      <c r="T422" s="7" t="s">
        <v>255</v>
      </c>
      <c r="U422" s="7" t="s">
        <v>391</v>
      </c>
      <c r="V422" s="7"/>
      <c r="W422" s="7"/>
      <c r="X422" s="132">
        <f t="shared" si="54"/>
        <v>10</v>
      </c>
      <c r="Y422" s="133"/>
      <c r="Z422" s="133"/>
      <c r="AA422" s="133"/>
    </row>
    <row r="423" spans="1:27" hidden="1" x14ac:dyDescent="0.25">
      <c r="A423" s="127">
        <v>478</v>
      </c>
      <c r="B423" s="128" t="str">
        <f t="shared" si="55"/>
        <v>KSST</v>
      </c>
      <c r="C423" s="128" t="str">
        <f>+VLOOKUP(U423,Ходим!A:B,2,0)</f>
        <v>31810912190036</v>
      </c>
      <c r="D423" s="128" t="str">
        <f>IFERROR(VLOOKUP($B:$B,[20]свод!$A:$AB,3,0)," ")</f>
        <v>Косонсой тумани</v>
      </c>
      <c r="E423" s="7" t="s">
        <v>1566</v>
      </c>
      <c r="F423" s="7" t="s">
        <v>7966</v>
      </c>
      <c r="G423" s="134">
        <f t="shared" si="52"/>
        <v>1</v>
      </c>
      <c r="H423" s="134" t="str">
        <f t="shared" si="53"/>
        <v/>
      </c>
      <c r="I423" s="7" t="s">
        <v>158</v>
      </c>
      <c r="J423" s="7" t="s">
        <v>1</v>
      </c>
      <c r="K423" s="7"/>
      <c r="L423" s="7" t="s">
        <v>167</v>
      </c>
      <c r="M423" s="7" t="s">
        <v>4494</v>
      </c>
      <c r="N423" s="7" t="s">
        <v>170</v>
      </c>
      <c r="O423" s="7" t="s">
        <v>162</v>
      </c>
      <c r="P423" s="7" t="s">
        <v>6460</v>
      </c>
      <c r="Q423" s="129">
        <v>46199</v>
      </c>
      <c r="R423" s="130">
        <f t="shared" si="51"/>
        <v>46205</v>
      </c>
      <c r="S423" s="131">
        <f t="shared" si="56"/>
        <v>6</v>
      </c>
      <c r="T423" s="7" t="s">
        <v>180</v>
      </c>
      <c r="U423" s="7" t="s">
        <v>196</v>
      </c>
      <c r="V423" s="7"/>
      <c r="W423" s="7">
        <v>224.59</v>
      </c>
      <c r="X423" s="132">
        <f t="shared" si="54"/>
        <v>10</v>
      </c>
      <c r="Y423" s="133"/>
      <c r="Z423" s="133"/>
      <c r="AA423" s="133"/>
    </row>
    <row r="424" spans="1:27" hidden="1" x14ac:dyDescent="0.25">
      <c r="A424" s="127">
        <v>479</v>
      </c>
      <c r="B424" s="128" t="str">
        <f t="shared" si="55"/>
        <v>NAMS</v>
      </c>
      <c r="C424" s="128" t="str">
        <f>+VLOOKUP(U424,Ходим!A:B,2,0)</f>
        <v>52710005960025</v>
      </c>
      <c r="D424" s="128" t="str">
        <f>IFERROR(VLOOKUP($B:$B,[20]свод!$A:$AB,3,0)," ")</f>
        <v>Наманган шаҳар</v>
      </c>
      <c r="E424" s="7" t="s">
        <v>1567</v>
      </c>
      <c r="F424" s="7" t="s">
        <v>7967</v>
      </c>
      <c r="G424" s="134">
        <f t="shared" si="52"/>
        <v>1</v>
      </c>
      <c r="H424" s="134" t="str">
        <f t="shared" si="53"/>
        <v/>
      </c>
      <c r="I424" s="7" t="s">
        <v>158</v>
      </c>
      <c r="J424" s="7" t="s">
        <v>2</v>
      </c>
      <c r="K424" s="7"/>
      <c r="L424" s="7" t="s">
        <v>167</v>
      </c>
      <c r="M424" s="7" t="s">
        <v>4495</v>
      </c>
      <c r="N424" s="7" t="s">
        <v>170</v>
      </c>
      <c r="O424" s="7" t="s">
        <v>162</v>
      </c>
      <c r="P424" s="7" t="s">
        <v>6336</v>
      </c>
      <c r="Q424" s="129">
        <v>46199</v>
      </c>
      <c r="R424" s="130">
        <f t="shared" si="51"/>
        <v>46204</v>
      </c>
      <c r="S424" s="131">
        <f t="shared" si="56"/>
        <v>5</v>
      </c>
      <c r="T424" s="7" t="s">
        <v>173</v>
      </c>
      <c r="U424" s="7" t="s">
        <v>274</v>
      </c>
      <c r="V424" s="7"/>
      <c r="W424" s="7">
        <v>0</v>
      </c>
      <c r="X424" s="132">
        <f t="shared" si="54"/>
        <v>10</v>
      </c>
      <c r="Y424" s="133"/>
      <c r="Z424" s="133"/>
      <c r="AA424" s="133"/>
    </row>
    <row r="425" spans="1:27" hidden="1" x14ac:dyDescent="0.25">
      <c r="A425" s="127">
        <v>480</v>
      </c>
      <c r="B425" s="128" t="str">
        <f t="shared" si="55"/>
        <v>KSST</v>
      </c>
      <c r="C425" s="128" t="e">
        <f>+VLOOKUP(U425,Ходим!A:B,2,0)</f>
        <v>#N/A</v>
      </c>
      <c r="D425" s="128" t="str">
        <f>IFERROR(VLOOKUP($B:$B,[20]свод!$A:$AB,3,0)," ")</f>
        <v>Косонсой тумани</v>
      </c>
      <c r="E425" s="7" t="s">
        <v>1568</v>
      </c>
      <c r="F425" s="7" t="s">
        <v>7968</v>
      </c>
      <c r="G425" s="134">
        <f t="shared" si="52"/>
        <v>1</v>
      </c>
      <c r="H425" s="134" t="str">
        <f t="shared" si="53"/>
        <v/>
      </c>
      <c r="I425" s="7" t="s">
        <v>156</v>
      </c>
      <c r="J425" s="7" t="s">
        <v>25</v>
      </c>
      <c r="K425" s="7"/>
      <c r="L425" s="7"/>
      <c r="M425" s="7"/>
      <c r="N425" s="7" t="s">
        <v>170</v>
      </c>
      <c r="O425" s="7" t="s">
        <v>162</v>
      </c>
      <c r="P425" s="7" t="s">
        <v>6376</v>
      </c>
      <c r="Q425" s="129">
        <v>46199</v>
      </c>
      <c r="R425" s="130">
        <f t="shared" si="51"/>
        <v>46204</v>
      </c>
      <c r="S425" s="131">
        <f t="shared" si="56"/>
        <v>5</v>
      </c>
      <c r="T425" s="7" t="s">
        <v>180</v>
      </c>
      <c r="U425" s="7" t="s">
        <v>10634</v>
      </c>
      <c r="V425" s="7"/>
      <c r="W425" s="7"/>
      <c r="X425" s="132">
        <f t="shared" si="54"/>
        <v>10</v>
      </c>
      <c r="Y425" s="133"/>
      <c r="Z425" s="133"/>
      <c r="AA425" s="133"/>
    </row>
    <row r="426" spans="1:27" hidden="1" x14ac:dyDescent="0.25">
      <c r="A426" s="127">
        <v>481</v>
      </c>
      <c r="B426" s="128" t="str">
        <f t="shared" si="55"/>
        <v>NAMS</v>
      </c>
      <c r="C426" s="128" t="str">
        <f>+VLOOKUP(U426,Ходим!A:B,2,0)</f>
        <v>30108932170088</v>
      </c>
      <c r="D426" s="128" t="str">
        <f>IFERROR(VLOOKUP($B:$B,[20]свод!$A:$AB,3,0)," ")</f>
        <v>Наманган шаҳар</v>
      </c>
      <c r="E426" s="7" t="s">
        <v>1569</v>
      </c>
      <c r="F426" s="7" t="s">
        <v>7969</v>
      </c>
      <c r="G426" s="134">
        <f t="shared" si="52"/>
        <v>1</v>
      </c>
      <c r="H426" s="134" t="str">
        <f t="shared" si="53"/>
        <v/>
      </c>
      <c r="I426" s="7" t="s">
        <v>158</v>
      </c>
      <c r="J426" s="7" t="s">
        <v>1</v>
      </c>
      <c r="K426" s="7"/>
      <c r="L426" s="7" t="s">
        <v>167</v>
      </c>
      <c r="M426" s="7" t="s">
        <v>4496</v>
      </c>
      <c r="N426" s="7" t="s">
        <v>170</v>
      </c>
      <c r="O426" s="7" t="s">
        <v>162</v>
      </c>
      <c r="P426" s="7" t="s">
        <v>6357</v>
      </c>
      <c r="Q426" s="129">
        <v>46199</v>
      </c>
      <c r="R426" s="130">
        <f t="shared" si="51"/>
        <v>46204</v>
      </c>
      <c r="S426" s="131">
        <f t="shared" si="56"/>
        <v>5</v>
      </c>
      <c r="T426" s="7" t="s">
        <v>185</v>
      </c>
      <c r="U426" s="7" t="s">
        <v>329</v>
      </c>
      <c r="V426" s="7"/>
      <c r="W426" s="7">
        <v>136.13</v>
      </c>
      <c r="X426" s="132">
        <f t="shared" si="54"/>
        <v>10</v>
      </c>
      <c r="Y426" s="133"/>
      <c r="Z426" s="133"/>
      <c r="AA426" s="133"/>
    </row>
    <row r="427" spans="1:27" hidden="1" x14ac:dyDescent="0.25">
      <c r="A427" s="127">
        <v>482</v>
      </c>
      <c r="B427" s="128" t="str">
        <f t="shared" si="55"/>
        <v>NORT</v>
      </c>
      <c r="C427" s="128" t="str">
        <f>+VLOOKUP(U427,Ходим!A:B,2,0)</f>
        <v>40601902150077</v>
      </c>
      <c r="D427" s="128" t="str">
        <f>IFERROR(VLOOKUP($B:$B,[20]свод!$A:$AB,3,0)," ")</f>
        <v>Норин тумани</v>
      </c>
      <c r="E427" s="7" t="s">
        <v>1570</v>
      </c>
      <c r="F427" s="7" t="s">
        <v>7970</v>
      </c>
      <c r="G427" s="134">
        <f t="shared" si="52"/>
        <v>1</v>
      </c>
      <c r="H427" s="134" t="str">
        <f t="shared" si="53"/>
        <v/>
      </c>
      <c r="I427" s="7" t="s">
        <v>158</v>
      </c>
      <c r="J427" s="7" t="s">
        <v>2</v>
      </c>
      <c r="K427" s="7"/>
      <c r="L427" s="7" t="s">
        <v>167</v>
      </c>
      <c r="M427" s="7" t="s">
        <v>1004</v>
      </c>
      <c r="N427" s="7" t="s">
        <v>170</v>
      </c>
      <c r="O427" s="7" t="s">
        <v>162</v>
      </c>
      <c r="P427" s="7" t="s">
        <v>6521</v>
      </c>
      <c r="Q427" s="129">
        <v>46199</v>
      </c>
      <c r="R427" s="130">
        <f t="shared" si="51"/>
        <v>46205</v>
      </c>
      <c r="S427" s="131">
        <f t="shared" si="56"/>
        <v>6</v>
      </c>
      <c r="T427" s="7" t="s">
        <v>210</v>
      </c>
      <c r="U427" s="7" t="s">
        <v>249</v>
      </c>
      <c r="V427" s="7"/>
      <c r="W427" s="7">
        <v>0</v>
      </c>
      <c r="X427" s="132">
        <f t="shared" si="54"/>
        <v>10</v>
      </c>
      <c r="Y427" s="133"/>
      <c r="Z427" s="133"/>
      <c r="AA427" s="133"/>
    </row>
    <row r="428" spans="1:27" hidden="1" x14ac:dyDescent="0.25">
      <c r="A428" s="127">
        <v>483</v>
      </c>
      <c r="B428" s="128" t="str">
        <f t="shared" si="55"/>
        <v>CHOT</v>
      </c>
      <c r="C428" s="128" t="str">
        <f>+VLOOKUP(U428,Ходим!A:B,2,0)</f>
        <v>30608892100030</v>
      </c>
      <c r="D428" s="128" t="str">
        <f>IFERROR(VLOOKUP($B:$B,[20]свод!$A:$AB,3,0)," ")</f>
        <v>Чортоқ тумани</v>
      </c>
      <c r="E428" s="7" t="s">
        <v>1571</v>
      </c>
      <c r="F428" s="7" t="s">
        <v>7971</v>
      </c>
      <c r="G428" s="134">
        <f t="shared" si="52"/>
        <v>1</v>
      </c>
      <c r="H428" s="134" t="str">
        <f t="shared" si="53"/>
        <v/>
      </c>
      <c r="I428" s="7" t="s">
        <v>158</v>
      </c>
      <c r="J428" s="7" t="s">
        <v>2</v>
      </c>
      <c r="K428" s="7"/>
      <c r="L428" s="7"/>
      <c r="M428" s="7"/>
      <c r="N428" s="7" t="s">
        <v>170</v>
      </c>
      <c r="O428" s="7" t="s">
        <v>162</v>
      </c>
      <c r="P428" s="7" t="s">
        <v>6522</v>
      </c>
      <c r="Q428" s="129">
        <v>46199</v>
      </c>
      <c r="R428" s="130">
        <f t="shared" si="51"/>
        <v>46205</v>
      </c>
      <c r="S428" s="131">
        <f t="shared" si="56"/>
        <v>6</v>
      </c>
      <c r="T428" s="7" t="s">
        <v>184</v>
      </c>
      <c r="U428" s="7" t="s">
        <v>266</v>
      </c>
      <c r="V428" s="7"/>
      <c r="W428" s="7"/>
      <c r="X428" s="132">
        <f t="shared" si="54"/>
        <v>10</v>
      </c>
      <c r="Y428" s="133"/>
      <c r="Z428" s="133"/>
      <c r="AA428" s="133"/>
    </row>
    <row r="429" spans="1:27" hidden="1" x14ac:dyDescent="0.25">
      <c r="A429" s="127">
        <v>484</v>
      </c>
      <c r="B429" s="128" t="str">
        <f t="shared" si="55"/>
        <v>NAMS</v>
      </c>
      <c r="C429" s="128">
        <f>+VLOOKUP(U429,Ходим!A:B,2,0)</f>
        <v>50703045960050</v>
      </c>
      <c r="D429" s="128" t="str">
        <f>IFERROR(VLOOKUP($B:$B,[20]свод!$A:$AB,3,0)," ")</f>
        <v>Наманган шаҳар</v>
      </c>
      <c r="E429" s="7" t="s">
        <v>1572</v>
      </c>
      <c r="F429" s="7" t="s">
        <v>7972</v>
      </c>
      <c r="G429" s="134">
        <f t="shared" si="52"/>
        <v>1</v>
      </c>
      <c r="H429" s="134" t="str">
        <f t="shared" si="53"/>
        <v/>
      </c>
      <c r="I429" s="7" t="s">
        <v>158</v>
      </c>
      <c r="J429" s="7" t="s">
        <v>1</v>
      </c>
      <c r="K429" s="7"/>
      <c r="L429" s="7" t="s">
        <v>167</v>
      </c>
      <c r="M429" s="7" t="s">
        <v>4497</v>
      </c>
      <c r="N429" s="7" t="s">
        <v>170</v>
      </c>
      <c r="O429" s="7" t="s">
        <v>162</v>
      </c>
      <c r="P429" s="7" t="s">
        <v>6320</v>
      </c>
      <c r="Q429" s="129">
        <v>46199</v>
      </c>
      <c r="R429" s="130">
        <f t="shared" si="51"/>
        <v>46204</v>
      </c>
      <c r="S429" s="131">
        <f t="shared" si="56"/>
        <v>5</v>
      </c>
      <c r="T429" s="7" t="s">
        <v>185</v>
      </c>
      <c r="U429" s="7" t="s">
        <v>948</v>
      </c>
      <c r="V429" s="7"/>
      <c r="W429" s="7">
        <v>220.06</v>
      </c>
      <c r="X429" s="132">
        <f t="shared" si="54"/>
        <v>10</v>
      </c>
      <c r="Y429" s="133"/>
      <c r="Z429" s="133"/>
      <c r="AA429" s="133"/>
    </row>
    <row r="430" spans="1:27" hidden="1" x14ac:dyDescent="0.25">
      <c r="A430" s="127">
        <v>486</v>
      </c>
      <c r="B430" s="128" t="str">
        <f t="shared" si="55"/>
        <v>CHUT</v>
      </c>
      <c r="C430" s="128" t="str">
        <f>+VLOOKUP(U430,Ходим!A:B,2,0)</f>
        <v>30202885970013</v>
      </c>
      <c r="D430" s="128" t="str">
        <f>IFERROR(VLOOKUP($B:$B,[20]свод!$A:$AB,3,0)," ")</f>
        <v>Чуст тумани</v>
      </c>
      <c r="E430" s="7" t="s">
        <v>1573</v>
      </c>
      <c r="F430" s="7" t="s">
        <v>7973</v>
      </c>
      <c r="G430" s="134" t="str">
        <f t="shared" si="52"/>
        <v/>
      </c>
      <c r="H430" s="134">
        <f t="shared" si="53"/>
        <v>1</v>
      </c>
      <c r="I430" s="7" t="s">
        <v>155</v>
      </c>
      <c r="J430" s="7" t="s">
        <v>22</v>
      </c>
      <c r="K430" s="7"/>
      <c r="L430" s="7" t="s">
        <v>166</v>
      </c>
      <c r="M430" s="7" t="s">
        <v>4498</v>
      </c>
      <c r="N430" s="7" t="s">
        <v>170</v>
      </c>
      <c r="O430" s="7" t="s">
        <v>161</v>
      </c>
      <c r="P430" s="7" t="s">
        <v>6523</v>
      </c>
      <c r="Q430" s="129">
        <v>46199</v>
      </c>
      <c r="R430" s="130">
        <f t="shared" si="51"/>
        <v>46211</v>
      </c>
      <c r="S430" s="131">
        <f t="shared" si="56"/>
        <v>12</v>
      </c>
      <c r="T430" s="7" t="s">
        <v>178</v>
      </c>
      <c r="U430" s="7" t="s">
        <v>289</v>
      </c>
      <c r="V430" s="7"/>
      <c r="W430" s="7">
        <v>0</v>
      </c>
      <c r="X430" s="132">
        <f t="shared" si="54"/>
        <v>10</v>
      </c>
      <c r="Y430" s="133"/>
      <c r="Z430" s="133"/>
      <c r="AA430" s="133"/>
    </row>
    <row r="431" spans="1:27" hidden="1" x14ac:dyDescent="0.25">
      <c r="A431" s="127">
        <v>487</v>
      </c>
      <c r="B431" s="128" t="str">
        <f t="shared" si="55"/>
        <v>NAMS</v>
      </c>
      <c r="C431" s="128" t="str">
        <f>+VLOOKUP(U431,Ходим!A:B,2,0)</f>
        <v>51110025960044</v>
      </c>
      <c r="D431" s="128" t="str">
        <f>IFERROR(VLOOKUP($B:$B,[20]свод!$A:$AB,3,0)," ")</f>
        <v>Наманган шаҳар</v>
      </c>
      <c r="E431" s="7" t="s">
        <v>1574</v>
      </c>
      <c r="F431" s="7" t="s">
        <v>7974</v>
      </c>
      <c r="G431" s="134">
        <f t="shared" si="52"/>
        <v>1</v>
      </c>
      <c r="H431" s="134" t="str">
        <f t="shared" si="53"/>
        <v/>
      </c>
      <c r="I431" s="7" t="s">
        <v>156</v>
      </c>
      <c r="J431" s="7" t="s">
        <v>25</v>
      </c>
      <c r="K431" s="7"/>
      <c r="L431" s="7"/>
      <c r="M431" s="7"/>
      <c r="N431" s="7" t="s">
        <v>170</v>
      </c>
      <c r="O431" s="7" t="s">
        <v>162</v>
      </c>
      <c r="P431" s="7" t="s">
        <v>6523</v>
      </c>
      <c r="Q431" s="129">
        <v>46199</v>
      </c>
      <c r="R431" s="130">
        <f t="shared" si="51"/>
        <v>46211</v>
      </c>
      <c r="S431" s="131">
        <f t="shared" si="56"/>
        <v>12</v>
      </c>
      <c r="T431" s="7" t="s">
        <v>173</v>
      </c>
      <c r="U431" s="7" t="s">
        <v>294</v>
      </c>
      <c r="V431" s="7"/>
      <c r="W431" s="7"/>
      <c r="X431" s="132">
        <f t="shared" si="54"/>
        <v>10</v>
      </c>
      <c r="Y431" s="133"/>
      <c r="Z431" s="133"/>
      <c r="AA431" s="133"/>
    </row>
    <row r="432" spans="1:27" hidden="1" x14ac:dyDescent="0.25">
      <c r="A432" s="127">
        <v>490</v>
      </c>
      <c r="B432" s="128" t="str">
        <f t="shared" si="55"/>
        <v>TORT</v>
      </c>
      <c r="C432" s="128" t="str">
        <f>+VLOOKUP(U432,Ходим!A:B,2,0)</f>
        <v>31110892130070</v>
      </c>
      <c r="D432" s="128" t="str">
        <f>IFERROR(VLOOKUP($B:$B,[20]свод!$A:$AB,3,0)," ")</f>
        <v>Тўрақўрғон тумани</v>
      </c>
      <c r="E432" s="7" t="s">
        <v>1575</v>
      </c>
      <c r="F432" s="7" t="s">
        <v>7975</v>
      </c>
      <c r="G432" s="134">
        <f t="shared" si="52"/>
        <v>1</v>
      </c>
      <c r="H432" s="134" t="str">
        <f t="shared" si="53"/>
        <v/>
      </c>
      <c r="I432" s="7" t="s">
        <v>158</v>
      </c>
      <c r="J432" s="7" t="s">
        <v>172</v>
      </c>
      <c r="K432" s="7"/>
      <c r="L432" s="7" t="s">
        <v>167</v>
      </c>
      <c r="M432" s="7" t="s">
        <v>4499</v>
      </c>
      <c r="N432" s="7" t="s">
        <v>170</v>
      </c>
      <c r="O432" s="7" t="s">
        <v>163</v>
      </c>
      <c r="P432" s="7" t="s">
        <v>6524</v>
      </c>
      <c r="Q432" s="129">
        <v>46199</v>
      </c>
      <c r="R432" s="130">
        <f t="shared" si="51"/>
        <v>46205</v>
      </c>
      <c r="S432" s="131">
        <f t="shared" si="56"/>
        <v>6</v>
      </c>
      <c r="T432" s="7" t="s">
        <v>203</v>
      </c>
      <c r="U432" s="7" t="s">
        <v>297</v>
      </c>
      <c r="V432" s="7"/>
      <c r="W432" s="7">
        <v>191.79</v>
      </c>
      <c r="X432" s="132">
        <f t="shared" si="54"/>
        <v>10</v>
      </c>
      <c r="Y432" s="133"/>
      <c r="Z432" s="133"/>
      <c r="AA432" s="133"/>
    </row>
    <row r="433" spans="1:27" hidden="1" x14ac:dyDescent="0.25">
      <c r="A433" s="127">
        <v>491</v>
      </c>
      <c r="B433" s="128" t="str">
        <f t="shared" si="55"/>
        <v>TORT</v>
      </c>
      <c r="C433" s="128">
        <f>+VLOOKUP(U433,Ходим!A:B,2,0)</f>
        <v>30603862130011</v>
      </c>
      <c r="D433" s="128" t="str">
        <f>IFERROR(VLOOKUP($B:$B,[20]свод!$A:$AB,3,0)," ")</f>
        <v>Тўрақўрғон тумани</v>
      </c>
      <c r="E433" s="7" t="s">
        <v>1576</v>
      </c>
      <c r="F433" s="7" t="s">
        <v>7976</v>
      </c>
      <c r="G433" s="134">
        <f t="shared" si="52"/>
        <v>1</v>
      </c>
      <c r="H433" s="134" t="str">
        <f t="shared" si="53"/>
        <v/>
      </c>
      <c r="I433" s="7" t="s">
        <v>158</v>
      </c>
      <c r="J433" s="7" t="s">
        <v>2</v>
      </c>
      <c r="K433" s="7"/>
      <c r="L433" s="7" t="s">
        <v>167</v>
      </c>
      <c r="M433" s="7" t="s">
        <v>4500</v>
      </c>
      <c r="N433" s="7" t="s">
        <v>170</v>
      </c>
      <c r="O433" s="7" t="s">
        <v>162</v>
      </c>
      <c r="P433" s="7" t="s">
        <v>6383</v>
      </c>
      <c r="Q433" s="129">
        <v>46199</v>
      </c>
      <c r="R433" s="130">
        <f t="shared" si="51"/>
        <v>46211</v>
      </c>
      <c r="S433" s="131">
        <f t="shared" si="56"/>
        <v>12</v>
      </c>
      <c r="T433" s="7" t="s">
        <v>203</v>
      </c>
      <c r="U433" s="7" t="s">
        <v>950</v>
      </c>
      <c r="V433" s="7"/>
      <c r="W433" s="7">
        <v>375.16</v>
      </c>
      <c r="X433" s="132">
        <f t="shared" si="54"/>
        <v>10</v>
      </c>
      <c r="Y433" s="133"/>
      <c r="Z433" s="133"/>
      <c r="AA433" s="133"/>
    </row>
    <row r="434" spans="1:27" hidden="1" x14ac:dyDescent="0.25">
      <c r="A434" s="127">
        <v>492</v>
      </c>
      <c r="B434" s="128" t="str">
        <f t="shared" si="55"/>
        <v>CHUT</v>
      </c>
      <c r="C434" s="128" t="str">
        <f>+VLOOKUP(U434,Ходим!A:B,2,0)</f>
        <v>32304995970021</v>
      </c>
      <c r="D434" s="128" t="str">
        <f>IFERROR(VLOOKUP($B:$B,[20]свод!$A:$AB,3,0)," ")</f>
        <v>Чуст тумани</v>
      </c>
      <c r="E434" s="7" t="s">
        <v>1577</v>
      </c>
      <c r="F434" s="7" t="s">
        <v>7977</v>
      </c>
      <c r="G434" s="134">
        <f t="shared" si="52"/>
        <v>1</v>
      </c>
      <c r="H434" s="134" t="str">
        <f t="shared" si="53"/>
        <v/>
      </c>
      <c r="I434" s="7" t="s">
        <v>158</v>
      </c>
      <c r="J434" s="7" t="s">
        <v>172</v>
      </c>
      <c r="K434" s="7"/>
      <c r="L434" s="7" t="s">
        <v>167</v>
      </c>
      <c r="M434" s="7" t="s">
        <v>1101</v>
      </c>
      <c r="N434" s="7" t="s">
        <v>410</v>
      </c>
      <c r="O434" s="7" t="s">
        <v>162</v>
      </c>
      <c r="P434" s="7" t="s">
        <v>6488</v>
      </c>
      <c r="Q434" s="129">
        <v>46199</v>
      </c>
      <c r="R434" s="130">
        <f t="shared" si="51"/>
        <v>46204</v>
      </c>
      <c r="S434" s="131">
        <f t="shared" si="56"/>
        <v>5</v>
      </c>
      <c r="T434" s="7" t="s">
        <v>178</v>
      </c>
      <c r="U434" s="7" t="s">
        <v>938</v>
      </c>
      <c r="V434" s="7"/>
      <c r="W434" s="7">
        <v>0</v>
      </c>
      <c r="X434" s="132">
        <f t="shared" si="54"/>
        <v>10</v>
      </c>
      <c r="Y434" s="133"/>
      <c r="Z434" s="133"/>
      <c r="AA434" s="133"/>
    </row>
    <row r="435" spans="1:27" hidden="1" x14ac:dyDescent="0.25">
      <c r="A435" s="127">
        <v>493</v>
      </c>
      <c r="B435" s="128" t="str">
        <f t="shared" si="55"/>
        <v>NAMS</v>
      </c>
      <c r="C435" s="128" t="str">
        <f>+VLOOKUP(U435,Ходим!A:B,2,0)</f>
        <v>51110025960044</v>
      </c>
      <c r="D435" s="128" t="str">
        <f>IFERROR(VLOOKUP($B:$B,[20]свод!$A:$AB,3,0)," ")</f>
        <v>Наманган шаҳар</v>
      </c>
      <c r="E435" s="7" t="s">
        <v>1578</v>
      </c>
      <c r="F435" s="7" t="s">
        <v>7978</v>
      </c>
      <c r="G435" s="134">
        <f t="shared" si="52"/>
        <v>1</v>
      </c>
      <c r="H435" s="134" t="str">
        <f t="shared" si="53"/>
        <v/>
      </c>
      <c r="I435" s="7" t="s">
        <v>158</v>
      </c>
      <c r="J435" s="7" t="s">
        <v>2</v>
      </c>
      <c r="K435" s="7"/>
      <c r="L435" s="7" t="s">
        <v>167</v>
      </c>
      <c r="M435" s="7" t="s">
        <v>1111</v>
      </c>
      <c r="N435" s="7" t="s">
        <v>170</v>
      </c>
      <c r="O435" s="7" t="s">
        <v>162</v>
      </c>
      <c r="P435" s="7" t="s">
        <v>6524</v>
      </c>
      <c r="Q435" s="129">
        <v>46199</v>
      </c>
      <c r="R435" s="130">
        <f t="shared" si="51"/>
        <v>46205</v>
      </c>
      <c r="S435" s="131">
        <f t="shared" si="56"/>
        <v>6</v>
      </c>
      <c r="T435" s="7" t="s">
        <v>173</v>
      </c>
      <c r="U435" s="7" t="s">
        <v>294</v>
      </c>
      <c r="V435" s="7"/>
      <c r="W435" s="7">
        <v>0</v>
      </c>
      <c r="X435" s="132">
        <f t="shared" si="54"/>
        <v>10</v>
      </c>
      <c r="Y435" s="133"/>
      <c r="Z435" s="133"/>
      <c r="AA435" s="133"/>
    </row>
    <row r="436" spans="1:27" hidden="1" x14ac:dyDescent="0.25">
      <c r="A436" s="127">
        <v>494</v>
      </c>
      <c r="B436" s="128" t="str">
        <f t="shared" si="55"/>
        <v>NAMT</v>
      </c>
      <c r="C436" s="128" t="str">
        <f>+VLOOKUP(U436,Ходим!A:B,2,0)</f>
        <v>31702942090041</v>
      </c>
      <c r="D436" s="128" t="str">
        <f>IFERROR(VLOOKUP($B:$B,[20]свод!$A:$AB,3,0)," ")</f>
        <v>Наманган тумани</v>
      </c>
      <c r="E436" s="7" t="s">
        <v>1579</v>
      </c>
      <c r="F436" s="7" t="s">
        <v>7979</v>
      </c>
      <c r="G436" s="134">
        <f t="shared" si="52"/>
        <v>1</v>
      </c>
      <c r="H436" s="134" t="str">
        <f t="shared" si="53"/>
        <v/>
      </c>
      <c r="I436" s="7" t="s">
        <v>158</v>
      </c>
      <c r="J436" s="7" t="s">
        <v>16</v>
      </c>
      <c r="K436" s="7"/>
      <c r="L436" s="7" t="s">
        <v>167</v>
      </c>
      <c r="M436" s="7" t="s">
        <v>4501</v>
      </c>
      <c r="N436" s="7" t="s">
        <v>170</v>
      </c>
      <c r="O436" s="7" t="s">
        <v>162</v>
      </c>
      <c r="P436" s="7" t="s">
        <v>6525</v>
      </c>
      <c r="Q436" s="129">
        <v>46199</v>
      </c>
      <c r="R436" s="130">
        <f t="shared" si="51"/>
        <v>46205</v>
      </c>
      <c r="S436" s="131">
        <f t="shared" si="56"/>
        <v>6</v>
      </c>
      <c r="T436" s="7" t="s">
        <v>193</v>
      </c>
      <c r="U436" s="7" t="s">
        <v>194</v>
      </c>
      <c r="V436" s="7"/>
      <c r="W436" s="7">
        <v>214.37</v>
      </c>
      <c r="X436" s="132">
        <f t="shared" si="54"/>
        <v>10</v>
      </c>
      <c r="Y436" s="133"/>
      <c r="Z436" s="133"/>
      <c r="AA436" s="133"/>
    </row>
    <row r="437" spans="1:27" hidden="1" x14ac:dyDescent="0.25">
      <c r="A437" s="127">
        <v>495</v>
      </c>
      <c r="B437" s="128" t="str">
        <f t="shared" si="55"/>
        <v>KSST</v>
      </c>
      <c r="C437" s="128" t="str">
        <f>+VLOOKUP(U437,Ходим!A:B,2,0)</f>
        <v>31611995980026</v>
      </c>
      <c r="D437" s="128" t="str">
        <f>IFERROR(VLOOKUP($B:$B,[20]свод!$A:$AB,3,0)," ")</f>
        <v>Косонсой тумани</v>
      </c>
      <c r="E437" s="7" t="s">
        <v>1580</v>
      </c>
      <c r="F437" s="7" t="s">
        <v>7980</v>
      </c>
      <c r="G437" s="134">
        <f t="shared" si="52"/>
        <v>1</v>
      </c>
      <c r="H437" s="134" t="str">
        <f t="shared" si="53"/>
        <v/>
      </c>
      <c r="I437" s="7" t="s">
        <v>158</v>
      </c>
      <c r="J437" s="7" t="s">
        <v>2</v>
      </c>
      <c r="K437" s="7"/>
      <c r="L437" s="7" t="s">
        <v>167</v>
      </c>
      <c r="M437" s="7" t="s">
        <v>4502</v>
      </c>
      <c r="N437" s="7" t="s">
        <v>170</v>
      </c>
      <c r="O437" s="7" t="s">
        <v>162</v>
      </c>
      <c r="P437" s="7" t="s">
        <v>6526</v>
      </c>
      <c r="Q437" s="129">
        <v>46199</v>
      </c>
      <c r="R437" s="130">
        <f t="shared" si="51"/>
        <v>46205</v>
      </c>
      <c r="S437" s="131">
        <f t="shared" si="56"/>
        <v>6</v>
      </c>
      <c r="T437" s="7" t="s">
        <v>180</v>
      </c>
      <c r="U437" s="7" t="s">
        <v>181</v>
      </c>
      <c r="V437" s="7"/>
      <c r="W437" s="7">
        <v>203.84</v>
      </c>
      <c r="X437" s="132">
        <f t="shared" si="54"/>
        <v>10</v>
      </c>
      <c r="Y437" s="133"/>
      <c r="Z437" s="133"/>
      <c r="AA437" s="133"/>
    </row>
    <row r="438" spans="1:27" hidden="1" x14ac:dyDescent="0.25">
      <c r="A438" s="127">
        <v>496</v>
      </c>
      <c r="B438" s="128" t="str">
        <f t="shared" si="55"/>
        <v>CHUT</v>
      </c>
      <c r="C438" s="128" t="str">
        <f>+VLOOKUP(U438,Ходим!A:B,2,0)</f>
        <v>33112995970023</v>
      </c>
      <c r="D438" s="128" t="str">
        <f>IFERROR(VLOOKUP($B:$B,[20]свод!$A:$AB,3,0)," ")</f>
        <v>Чуст тумани</v>
      </c>
      <c r="E438" s="7" t="s">
        <v>1581</v>
      </c>
      <c r="F438" s="7" t="s">
        <v>7981</v>
      </c>
      <c r="G438" s="134" t="str">
        <f t="shared" si="52"/>
        <v/>
      </c>
      <c r="H438" s="134">
        <f t="shared" si="53"/>
        <v>1</v>
      </c>
      <c r="I438" s="7" t="s">
        <v>155</v>
      </c>
      <c r="J438" s="7" t="s">
        <v>25</v>
      </c>
      <c r="K438" s="7"/>
      <c r="L438" s="7" t="s">
        <v>166</v>
      </c>
      <c r="M438" s="7" t="s">
        <v>4503</v>
      </c>
      <c r="N438" s="7" t="s">
        <v>170</v>
      </c>
      <c r="O438" s="7" t="s">
        <v>161</v>
      </c>
      <c r="P438" s="7" t="s">
        <v>6458</v>
      </c>
      <c r="Q438" s="129">
        <v>46199</v>
      </c>
      <c r="R438" s="130">
        <f t="shared" si="51"/>
        <v>46204</v>
      </c>
      <c r="S438" s="131">
        <f t="shared" si="56"/>
        <v>5</v>
      </c>
      <c r="T438" s="7" t="s">
        <v>178</v>
      </c>
      <c r="U438" s="7" t="s">
        <v>179</v>
      </c>
      <c r="V438" s="7"/>
      <c r="W438" s="7">
        <v>0</v>
      </c>
      <c r="X438" s="132">
        <f t="shared" si="54"/>
        <v>10</v>
      </c>
      <c r="Y438" s="133"/>
      <c r="Z438" s="133"/>
      <c r="AA438" s="133"/>
    </row>
    <row r="439" spans="1:27" hidden="1" x14ac:dyDescent="0.25">
      <c r="A439" s="127">
        <v>497</v>
      </c>
      <c r="B439" s="128" t="str">
        <f t="shared" si="55"/>
        <v>CHOT</v>
      </c>
      <c r="C439" s="128" t="str">
        <f>+VLOOKUP(U439,Ходим!A:B,2,0)</f>
        <v>30608892100030</v>
      </c>
      <c r="D439" s="128" t="str">
        <f>IFERROR(VLOOKUP($B:$B,[20]свод!$A:$AB,3,0)," ")</f>
        <v>Чортоқ тумани</v>
      </c>
      <c r="E439" s="7" t="s">
        <v>1582</v>
      </c>
      <c r="F439" s="7" t="s">
        <v>7982</v>
      </c>
      <c r="G439" s="134" t="str">
        <f t="shared" si="52"/>
        <v/>
      </c>
      <c r="H439" s="134">
        <f t="shared" si="53"/>
        <v>1</v>
      </c>
      <c r="I439" s="7" t="s">
        <v>154</v>
      </c>
      <c r="J439" s="7" t="s">
        <v>1</v>
      </c>
      <c r="K439" s="7"/>
      <c r="L439" s="7" t="s">
        <v>166</v>
      </c>
      <c r="M439" s="7" t="s">
        <v>4504</v>
      </c>
      <c r="N439" s="7" t="s">
        <v>170</v>
      </c>
      <c r="O439" s="7" t="s">
        <v>161</v>
      </c>
      <c r="P439" s="7" t="s">
        <v>6393</v>
      </c>
      <c r="Q439" s="129">
        <v>46199</v>
      </c>
      <c r="R439" s="130">
        <f t="shared" si="51"/>
        <v>46206</v>
      </c>
      <c r="S439" s="131">
        <f t="shared" si="56"/>
        <v>7</v>
      </c>
      <c r="T439" s="7" t="s">
        <v>10635</v>
      </c>
      <c r="U439" s="7" t="s">
        <v>266</v>
      </c>
      <c r="V439" s="7"/>
      <c r="W439" s="7">
        <v>365.13</v>
      </c>
      <c r="X439" s="132">
        <f t="shared" si="54"/>
        <v>12</v>
      </c>
      <c r="Y439" s="133"/>
      <c r="Z439" s="133"/>
      <c r="AA439" s="133"/>
    </row>
    <row r="440" spans="1:27" hidden="1" x14ac:dyDescent="0.25">
      <c r="A440" s="127">
        <v>498</v>
      </c>
      <c r="B440" s="128" t="str">
        <f t="shared" si="55"/>
        <v>KSST</v>
      </c>
      <c r="C440" s="128" t="str">
        <f>+VLOOKUP(U440,Ходим!A:B,2,0)</f>
        <v>30205975980020</v>
      </c>
      <c r="D440" s="128" t="str">
        <f>IFERROR(VLOOKUP($B:$B,[20]свод!$A:$AB,3,0)," ")</f>
        <v>Косонсой тумани</v>
      </c>
      <c r="E440" s="7" t="s">
        <v>1583</v>
      </c>
      <c r="F440" s="7" t="s">
        <v>7983</v>
      </c>
      <c r="G440" s="134">
        <f t="shared" si="52"/>
        <v>1</v>
      </c>
      <c r="H440" s="134" t="str">
        <f t="shared" si="53"/>
        <v/>
      </c>
      <c r="I440" s="7" t="s">
        <v>156</v>
      </c>
      <c r="J440" s="7" t="s">
        <v>25</v>
      </c>
      <c r="K440" s="7"/>
      <c r="L440" s="7"/>
      <c r="M440" s="7"/>
      <c r="N440" s="7" t="s">
        <v>170</v>
      </c>
      <c r="O440" s="7" t="s">
        <v>162</v>
      </c>
      <c r="P440" s="7" t="s">
        <v>6527</v>
      </c>
      <c r="Q440" s="129">
        <v>46199</v>
      </c>
      <c r="R440" s="130">
        <f t="shared" si="51"/>
        <v>46205</v>
      </c>
      <c r="S440" s="131">
        <f t="shared" si="56"/>
        <v>6</v>
      </c>
      <c r="T440" s="7" t="s">
        <v>180</v>
      </c>
      <c r="U440" s="7" t="s">
        <v>370</v>
      </c>
      <c r="V440" s="7"/>
      <c r="W440" s="7"/>
      <c r="X440" s="132">
        <f t="shared" si="54"/>
        <v>10</v>
      </c>
      <c r="Y440" s="133"/>
      <c r="Z440" s="133"/>
      <c r="AA440" s="133"/>
    </row>
    <row r="441" spans="1:27" hidden="1" x14ac:dyDescent="0.25">
      <c r="A441" s="127">
        <v>499</v>
      </c>
      <c r="B441" s="128" t="str">
        <f t="shared" si="55"/>
        <v>CHUT</v>
      </c>
      <c r="C441" s="128" t="e">
        <f>+VLOOKUP(U441,Ходим!A:B,2,0)</f>
        <v>#N/A</v>
      </c>
      <c r="D441" s="128" t="str">
        <f>IFERROR(VLOOKUP($B:$B,[20]свод!$A:$AB,3,0)," ")</f>
        <v>Чуст тумани</v>
      </c>
      <c r="E441" s="7" t="s">
        <v>1584</v>
      </c>
      <c r="F441" s="7" t="s">
        <v>7984</v>
      </c>
      <c r="G441" s="134">
        <f t="shared" si="52"/>
        <v>1</v>
      </c>
      <c r="H441" s="134" t="str">
        <f t="shared" si="53"/>
        <v/>
      </c>
      <c r="I441" s="7" t="s">
        <v>156</v>
      </c>
      <c r="J441" s="7" t="s">
        <v>11</v>
      </c>
      <c r="K441" s="7"/>
      <c r="L441" s="7"/>
      <c r="M441" s="7"/>
      <c r="N441" s="7" t="s">
        <v>170</v>
      </c>
      <c r="O441" s="7" t="s">
        <v>162</v>
      </c>
      <c r="P441" s="7" t="s">
        <v>6528</v>
      </c>
      <c r="Q441" s="129">
        <v>46199</v>
      </c>
      <c r="R441" s="130">
        <f t="shared" si="51"/>
        <v>46211</v>
      </c>
      <c r="S441" s="131">
        <f t="shared" si="56"/>
        <v>12</v>
      </c>
      <c r="T441" s="7"/>
      <c r="U441" s="7"/>
      <c r="V441" s="7"/>
      <c r="W441" s="7"/>
      <c r="X441" s="132">
        <f t="shared" si="54"/>
        <v>10</v>
      </c>
      <c r="Y441" s="133"/>
      <c r="Z441" s="133"/>
      <c r="AA441" s="133"/>
    </row>
    <row r="442" spans="1:27" hidden="1" x14ac:dyDescent="0.25">
      <c r="A442" s="127">
        <v>500</v>
      </c>
      <c r="B442" s="128" t="str">
        <f t="shared" si="55"/>
        <v>YGQT</v>
      </c>
      <c r="C442" s="128" t="e">
        <f>+VLOOKUP(U442,Ходим!A:B,2,0)</f>
        <v>#N/A</v>
      </c>
      <c r="D442" s="128" t="str">
        <f>IFERROR(VLOOKUP($B:$B,[20]свод!$A:$AB,3,0)," ")</f>
        <v>Янгиқўрғон тумани</v>
      </c>
      <c r="E442" s="7" t="s">
        <v>1585</v>
      </c>
      <c r="F442" s="7" t="s">
        <v>7985</v>
      </c>
      <c r="G442" s="134">
        <f t="shared" si="52"/>
        <v>1</v>
      </c>
      <c r="H442" s="134" t="str">
        <f t="shared" si="53"/>
        <v/>
      </c>
      <c r="I442" s="7" t="s">
        <v>156</v>
      </c>
      <c r="J442" s="7" t="s">
        <v>21</v>
      </c>
      <c r="K442" s="7"/>
      <c r="L442" s="7"/>
      <c r="M442" s="7"/>
      <c r="N442" s="7" t="s">
        <v>170</v>
      </c>
      <c r="O442" s="7" t="s">
        <v>162</v>
      </c>
      <c r="P442" s="7" t="s">
        <v>6528</v>
      </c>
      <c r="Q442" s="129">
        <v>46199</v>
      </c>
      <c r="R442" s="130">
        <f t="shared" si="51"/>
        <v>46211</v>
      </c>
      <c r="S442" s="131">
        <f t="shared" si="56"/>
        <v>12</v>
      </c>
      <c r="T442" s="7" t="s">
        <v>182</v>
      </c>
      <c r="U442" s="7"/>
      <c r="V442" s="7"/>
      <c r="W442" s="7"/>
      <c r="X442" s="132">
        <f t="shared" si="54"/>
        <v>10</v>
      </c>
      <c r="Y442" s="133"/>
      <c r="Z442" s="133"/>
      <c r="AA442" s="133"/>
    </row>
    <row r="443" spans="1:27" hidden="1" x14ac:dyDescent="0.25">
      <c r="A443" s="127">
        <v>501</v>
      </c>
      <c r="B443" s="128" t="str">
        <f t="shared" si="55"/>
        <v>KSST</v>
      </c>
      <c r="C443" s="128" t="str">
        <f>+VLOOKUP(U443,Ходим!A:B,2,0)</f>
        <v>30703792190108</v>
      </c>
      <c r="D443" s="128" t="str">
        <f>IFERROR(VLOOKUP($B:$B,[20]свод!$A:$AB,3,0)," ")</f>
        <v>Косонсой тумани</v>
      </c>
      <c r="E443" s="7" t="s">
        <v>1586</v>
      </c>
      <c r="F443" s="7" t="s">
        <v>7986</v>
      </c>
      <c r="G443" s="134">
        <f t="shared" si="52"/>
        <v>1</v>
      </c>
      <c r="H443" s="134" t="str">
        <f t="shared" si="53"/>
        <v/>
      </c>
      <c r="I443" s="7" t="s">
        <v>158</v>
      </c>
      <c r="J443" s="7" t="s">
        <v>1</v>
      </c>
      <c r="K443" s="7"/>
      <c r="L443" s="7" t="s">
        <v>167</v>
      </c>
      <c r="M443" s="7" t="s">
        <v>4505</v>
      </c>
      <c r="N443" s="7" t="s">
        <v>170</v>
      </c>
      <c r="O443" s="7" t="s">
        <v>163</v>
      </c>
      <c r="P443" s="7" t="s">
        <v>6529</v>
      </c>
      <c r="Q443" s="129">
        <v>46199</v>
      </c>
      <c r="R443" s="130">
        <f t="shared" si="51"/>
        <v>46210</v>
      </c>
      <c r="S443" s="131">
        <f t="shared" si="56"/>
        <v>11</v>
      </c>
      <c r="T443" s="7" t="s">
        <v>180</v>
      </c>
      <c r="U443" s="7" t="s">
        <v>231</v>
      </c>
      <c r="V443" s="7"/>
      <c r="W443" s="7">
        <v>166.53</v>
      </c>
      <c r="X443" s="132">
        <f t="shared" si="54"/>
        <v>10</v>
      </c>
      <c r="Y443" s="133"/>
      <c r="Z443" s="133"/>
      <c r="AA443" s="133"/>
    </row>
    <row r="444" spans="1:27" hidden="1" x14ac:dyDescent="0.25">
      <c r="A444" s="127">
        <v>502</v>
      </c>
      <c r="B444" s="128" t="str">
        <f t="shared" si="55"/>
        <v>TORT</v>
      </c>
      <c r="C444" s="128" t="str">
        <f>+VLOOKUP(U444,Ходим!A:B,2,0)</f>
        <v>31704782130035</v>
      </c>
      <c r="D444" s="128" t="str">
        <f>IFERROR(VLOOKUP($B:$B,[20]свод!$A:$AB,3,0)," ")</f>
        <v>Тўрақўрғон тумани</v>
      </c>
      <c r="E444" s="7" t="s">
        <v>1587</v>
      </c>
      <c r="F444" s="7" t="s">
        <v>7987</v>
      </c>
      <c r="G444" s="134">
        <f t="shared" si="52"/>
        <v>1</v>
      </c>
      <c r="H444" s="134" t="str">
        <f t="shared" si="53"/>
        <v/>
      </c>
      <c r="I444" s="7" t="s">
        <v>158</v>
      </c>
      <c r="J444" s="7" t="s">
        <v>2</v>
      </c>
      <c r="K444" s="7"/>
      <c r="L444" s="7" t="s">
        <v>167</v>
      </c>
      <c r="M444" s="7" t="s">
        <v>4506</v>
      </c>
      <c r="N444" s="7" t="s">
        <v>410</v>
      </c>
      <c r="O444" s="7" t="s">
        <v>162</v>
      </c>
      <c r="P444" s="7" t="s">
        <v>6327</v>
      </c>
      <c r="Q444" s="129">
        <v>46199</v>
      </c>
      <c r="R444" s="130">
        <f t="shared" si="51"/>
        <v>46204</v>
      </c>
      <c r="S444" s="131">
        <f t="shared" si="56"/>
        <v>5</v>
      </c>
      <c r="T444" s="7" t="s">
        <v>203</v>
      </c>
      <c r="U444" s="7" t="s">
        <v>344</v>
      </c>
      <c r="V444" s="7"/>
      <c r="W444" s="7">
        <v>136.41999999999999</v>
      </c>
      <c r="X444" s="132">
        <f t="shared" si="54"/>
        <v>10</v>
      </c>
      <c r="Y444" s="133"/>
      <c r="Z444" s="133"/>
      <c r="AA444" s="133"/>
    </row>
    <row r="445" spans="1:27" hidden="1" x14ac:dyDescent="0.25">
      <c r="A445" s="127">
        <v>503</v>
      </c>
      <c r="B445" s="128" t="str">
        <f t="shared" si="55"/>
        <v>MINT</v>
      </c>
      <c r="C445" s="128" t="str">
        <f>+VLOOKUP(U445,Ходим!A:B,2,0)</f>
        <v>30703975990033</v>
      </c>
      <c r="D445" s="128" t="str">
        <f>IFERROR(VLOOKUP($B:$B,[20]свод!$A:$AB,3,0)," ")</f>
        <v>Мингбулоқ тумани</v>
      </c>
      <c r="E445" s="7" t="s">
        <v>1588</v>
      </c>
      <c r="F445" s="7" t="s">
        <v>7988</v>
      </c>
      <c r="G445" s="134">
        <f t="shared" si="52"/>
        <v>1</v>
      </c>
      <c r="H445" s="134" t="str">
        <f t="shared" si="53"/>
        <v/>
      </c>
      <c r="I445" s="7" t="s">
        <v>158</v>
      </c>
      <c r="J445" s="7" t="s">
        <v>2</v>
      </c>
      <c r="K445" s="7"/>
      <c r="L445" s="7"/>
      <c r="M445" s="7"/>
      <c r="N445" s="7" t="s">
        <v>170</v>
      </c>
      <c r="O445" s="7" t="s">
        <v>162</v>
      </c>
      <c r="P445" s="7" t="s">
        <v>6530</v>
      </c>
      <c r="Q445" s="129">
        <v>46199</v>
      </c>
      <c r="R445" s="130">
        <f t="shared" si="51"/>
        <v>46205</v>
      </c>
      <c r="S445" s="131">
        <f t="shared" si="56"/>
        <v>6</v>
      </c>
      <c r="T445" s="7" t="s">
        <v>220</v>
      </c>
      <c r="U445" s="7" t="s">
        <v>291</v>
      </c>
      <c r="V445" s="7"/>
      <c r="W445" s="7"/>
      <c r="X445" s="132">
        <f t="shared" si="54"/>
        <v>10</v>
      </c>
      <c r="Y445" s="133"/>
      <c r="Z445" s="133"/>
      <c r="AA445" s="133"/>
    </row>
    <row r="446" spans="1:27" hidden="1" x14ac:dyDescent="0.25">
      <c r="A446" s="127">
        <v>504</v>
      </c>
      <c r="B446" s="128" t="str">
        <f t="shared" si="55"/>
        <v>TORT</v>
      </c>
      <c r="C446" s="128" t="str">
        <f>+VLOOKUP(U446,Ходим!A:B,2,0)</f>
        <v>31306842130078</v>
      </c>
      <c r="D446" s="128" t="str">
        <f>IFERROR(VLOOKUP($B:$B,[20]свод!$A:$AB,3,0)," ")</f>
        <v>Тўрақўрғон тумани</v>
      </c>
      <c r="E446" s="7" t="s">
        <v>1589</v>
      </c>
      <c r="F446" s="7" t="s">
        <v>7989</v>
      </c>
      <c r="G446" s="134">
        <f t="shared" si="52"/>
        <v>1</v>
      </c>
      <c r="H446" s="134" t="str">
        <f t="shared" si="53"/>
        <v/>
      </c>
      <c r="I446" s="7" t="s">
        <v>158</v>
      </c>
      <c r="J446" s="7" t="s">
        <v>1</v>
      </c>
      <c r="K446" s="7"/>
      <c r="L446" s="7" t="s">
        <v>167</v>
      </c>
      <c r="M446" s="7" t="s">
        <v>1023</v>
      </c>
      <c r="N446" s="7" t="s">
        <v>410</v>
      </c>
      <c r="O446" s="7" t="s">
        <v>163</v>
      </c>
      <c r="P446" s="7" t="s">
        <v>6348</v>
      </c>
      <c r="Q446" s="129">
        <v>46199</v>
      </c>
      <c r="R446" s="130">
        <f t="shared" si="51"/>
        <v>46204</v>
      </c>
      <c r="S446" s="131">
        <f t="shared" si="56"/>
        <v>5</v>
      </c>
      <c r="T446" s="7" t="s">
        <v>203</v>
      </c>
      <c r="U446" s="7" t="s">
        <v>219</v>
      </c>
      <c r="V446" s="7"/>
      <c r="W446" s="7">
        <v>398.88</v>
      </c>
      <c r="X446" s="132">
        <f t="shared" si="54"/>
        <v>10</v>
      </c>
      <c r="Y446" s="133"/>
      <c r="Z446" s="133"/>
      <c r="AA446" s="133"/>
    </row>
    <row r="447" spans="1:27" hidden="1" x14ac:dyDescent="0.25">
      <c r="A447" s="127">
        <v>505</v>
      </c>
      <c r="B447" s="128" t="str">
        <f t="shared" si="55"/>
        <v>NAMS</v>
      </c>
      <c r="C447" s="128" t="str">
        <f>+VLOOKUP(U447,Ходим!A:B,2,0)</f>
        <v>31007955980023</v>
      </c>
      <c r="D447" s="128" t="str">
        <f>IFERROR(VLOOKUP($B:$B,[20]свод!$A:$AB,3,0)," ")</f>
        <v>Наманган шаҳар</v>
      </c>
      <c r="E447" s="7" t="s">
        <v>1590</v>
      </c>
      <c r="F447" s="7" t="s">
        <v>7990</v>
      </c>
      <c r="G447" s="134">
        <f t="shared" si="52"/>
        <v>1</v>
      </c>
      <c r="H447" s="134" t="str">
        <f t="shared" si="53"/>
        <v/>
      </c>
      <c r="I447" s="7" t="s">
        <v>156</v>
      </c>
      <c r="J447" s="7" t="s">
        <v>25</v>
      </c>
      <c r="K447" s="7"/>
      <c r="L447" s="7"/>
      <c r="M447" s="7"/>
      <c r="N447" s="7" t="s">
        <v>170</v>
      </c>
      <c r="O447" s="7" t="s">
        <v>162</v>
      </c>
      <c r="P447" s="7" t="s">
        <v>6531</v>
      </c>
      <c r="Q447" s="129">
        <v>46199</v>
      </c>
      <c r="R447" s="130">
        <f t="shared" si="51"/>
        <v>46205</v>
      </c>
      <c r="S447" s="131">
        <f t="shared" si="56"/>
        <v>6</v>
      </c>
      <c r="T447" s="7" t="s">
        <v>173</v>
      </c>
      <c r="U447" s="7" t="s">
        <v>207</v>
      </c>
      <c r="V447" s="7"/>
      <c r="W447" s="7"/>
      <c r="X447" s="132">
        <f t="shared" si="54"/>
        <v>10</v>
      </c>
      <c r="Y447" s="133"/>
      <c r="Z447" s="133"/>
      <c r="AA447" s="133"/>
    </row>
    <row r="448" spans="1:27" hidden="1" x14ac:dyDescent="0.25">
      <c r="A448" s="127">
        <v>506</v>
      </c>
      <c r="B448" s="128" t="str">
        <f t="shared" si="55"/>
        <v>KSST</v>
      </c>
      <c r="C448" s="128" t="str">
        <f>+VLOOKUP(U448,Ходим!A:B,2,0)</f>
        <v>30205975980020</v>
      </c>
      <c r="D448" s="128" t="str">
        <f>IFERROR(VLOOKUP($B:$B,[20]свод!$A:$AB,3,0)," ")</f>
        <v>Косонсой тумани</v>
      </c>
      <c r="E448" s="7" t="s">
        <v>1591</v>
      </c>
      <c r="F448" s="7" t="s">
        <v>7991</v>
      </c>
      <c r="G448" s="134">
        <f t="shared" si="52"/>
        <v>1</v>
      </c>
      <c r="H448" s="134" t="str">
        <f t="shared" si="53"/>
        <v/>
      </c>
      <c r="I448" s="7" t="s">
        <v>158</v>
      </c>
      <c r="J448" s="7" t="s">
        <v>1</v>
      </c>
      <c r="K448" s="7"/>
      <c r="L448" s="7" t="s">
        <v>167</v>
      </c>
      <c r="M448" s="7" t="s">
        <v>4507</v>
      </c>
      <c r="N448" s="7" t="s">
        <v>170</v>
      </c>
      <c r="O448" s="7" t="s">
        <v>162</v>
      </c>
      <c r="P448" s="7" t="s">
        <v>6532</v>
      </c>
      <c r="Q448" s="129">
        <v>46199</v>
      </c>
      <c r="R448" s="130">
        <f t="shared" si="51"/>
        <v>46206</v>
      </c>
      <c r="S448" s="131">
        <f t="shared" si="56"/>
        <v>7</v>
      </c>
      <c r="T448" s="7" t="s">
        <v>180</v>
      </c>
      <c r="U448" s="7" t="s">
        <v>370</v>
      </c>
      <c r="V448" s="7"/>
      <c r="W448" s="7">
        <v>206.73</v>
      </c>
      <c r="X448" s="132">
        <f t="shared" si="54"/>
        <v>10</v>
      </c>
      <c r="Y448" s="133"/>
      <c r="Z448" s="133"/>
      <c r="AA448" s="133"/>
    </row>
    <row r="449" spans="1:27" hidden="1" x14ac:dyDescent="0.25">
      <c r="A449" s="127">
        <v>507</v>
      </c>
      <c r="B449" s="128" t="str">
        <f t="shared" si="55"/>
        <v>NAMS</v>
      </c>
      <c r="C449" s="128">
        <f>+VLOOKUP(U449,Ходим!A:B,2,0)</f>
        <v>50510025960139</v>
      </c>
      <c r="D449" s="128" t="str">
        <f>IFERROR(VLOOKUP($B:$B,[20]свод!$A:$AB,3,0)," ")</f>
        <v>Наманган шаҳар</v>
      </c>
      <c r="E449" s="7" t="s">
        <v>1592</v>
      </c>
      <c r="F449" s="7" t="s">
        <v>7992</v>
      </c>
      <c r="G449" s="134">
        <f t="shared" si="52"/>
        <v>1</v>
      </c>
      <c r="H449" s="134" t="str">
        <f t="shared" si="53"/>
        <v/>
      </c>
      <c r="I449" s="7" t="s">
        <v>156</v>
      </c>
      <c r="J449" s="7" t="s">
        <v>25</v>
      </c>
      <c r="K449" s="7"/>
      <c r="L449" s="7"/>
      <c r="M449" s="7"/>
      <c r="N449" s="7" t="s">
        <v>170</v>
      </c>
      <c r="O449" s="7" t="s">
        <v>162</v>
      </c>
      <c r="P449" s="7" t="s">
        <v>6533</v>
      </c>
      <c r="Q449" s="129">
        <v>46199</v>
      </c>
      <c r="R449" s="130">
        <f t="shared" si="51"/>
        <v>46211</v>
      </c>
      <c r="S449" s="131">
        <f t="shared" si="56"/>
        <v>12</v>
      </c>
      <c r="T449" s="7" t="s">
        <v>173</v>
      </c>
      <c r="U449" s="7" t="s">
        <v>955</v>
      </c>
      <c r="V449" s="7"/>
      <c r="W449" s="7"/>
      <c r="X449" s="132">
        <f t="shared" si="54"/>
        <v>10</v>
      </c>
      <c r="Y449" s="133"/>
      <c r="Z449" s="133"/>
      <c r="AA449" s="133"/>
    </row>
    <row r="450" spans="1:27" hidden="1" x14ac:dyDescent="0.25">
      <c r="A450" s="127">
        <v>510</v>
      </c>
      <c r="B450" s="128" t="str">
        <f t="shared" si="55"/>
        <v>TORT</v>
      </c>
      <c r="C450" s="128" t="str">
        <f>+VLOOKUP(U450,Ходим!A:B,2,0)</f>
        <v>50908015920034</v>
      </c>
      <c r="D450" s="128" t="str">
        <f>IFERROR(VLOOKUP($B:$B,[20]свод!$A:$AB,3,0)," ")</f>
        <v>Тўрақўрғон тумани</v>
      </c>
      <c r="E450" s="7" t="s">
        <v>1593</v>
      </c>
      <c r="F450" s="7" t="s">
        <v>7993</v>
      </c>
      <c r="G450" s="134">
        <f t="shared" si="52"/>
        <v>1</v>
      </c>
      <c r="H450" s="134" t="str">
        <f t="shared" si="53"/>
        <v/>
      </c>
      <c r="I450" s="7" t="s">
        <v>154</v>
      </c>
      <c r="J450" s="7" t="s">
        <v>2</v>
      </c>
      <c r="K450" s="7"/>
      <c r="L450" s="7"/>
      <c r="M450" s="7"/>
      <c r="N450" s="7" t="s">
        <v>170</v>
      </c>
      <c r="O450" s="7" t="s">
        <v>162</v>
      </c>
      <c r="P450" s="7" t="s">
        <v>6533</v>
      </c>
      <c r="Q450" s="129">
        <v>46199</v>
      </c>
      <c r="R450" s="130">
        <f t="shared" si="51"/>
        <v>46211</v>
      </c>
      <c r="S450" s="131">
        <f t="shared" si="56"/>
        <v>12</v>
      </c>
      <c r="T450" s="7" t="s">
        <v>203</v>
      </c>
      <c r="U450" s="7" t="s">
        <v>205</v>
      </c>
      <c r="V450" s="7"/>
      <c r="W450" s="7"/>
      <c r="X450" s="132">
        <f t="shared" si="54"/>
        <v>10</v>
      </c>
      <c r="Y450" s="133"/>
      <c r="Z450" s="133"/>
      <c r="AA450" s="133"/>
    </row>
    <row r="451" spans="1:27" hidden="1" x14ac:dyDescent="0.25">
      <c r="A451" s="127">
        <v>511</v>
      </c>
      <c r="B451" s="128" t="str">
        <f t="shared" si="55"/>
        <v>NAMS</v>
      </c>
      <c r="C451" s="128">
        <f>+VLOOKUP(U451,Ходим!A:B,2,0)</f>
        <v>50703045960050</v>
      </c>
      <c r="D451" s="128" t="str">
        <f>IFERROR(VLOOKUP($B:$B,[20]свод!$A:$AB,3,0)," ")</f>
        <v>Наманган шаҳар</v>
      </c>
      <c r="E451" s="7" t="s">
        <v>1594</v>
      </c>
      <c r="F451" s="7" t="s">
        <v>7994</v>
      </c>
      <c r="G451" s="134" t="str">
        <f t="shared" si="52"/>
        <v/>
      </c>
      <c r="H451" s="134">
        <f t="shared" si="53"/>
        <v>1</v>
      </c>
      <c r="I451" s="7" t="s">
        <v>155</v>
      </c>
      <c r="J451" s="7" t="s">
        <v>25</v>
      </c>
      <c r="K451" s="7"/>
      <c r="L451" s="7" t="s">
        <v>166</v>
      </c>
      <c r="M451" s="7" t="s">
        <v>4508</v>
      </c>
      <c r="N451" s="7" t="s">
        <v>170</v>
      </c>
      <c r="O451" s="7" t="s">
        <v>161</v>
      </c>
      <c r="P451" s="7" t="s">
        <v>6521</v>
      </c>
      <c r="Q451" s="129">
        <v>46199</v>
      </c>
      <c r="R451" s="130">
        <f t="shared" si="51"/>
        <v>46205</v>
      </c>
      <c r="S451" s="131">
        <f t="shared" si="56"/>
        <v>6</v>
      </c>
      <c r="T451" s="7" t="s">
        <v>227</v>
      </c>
      <c r="U451" s="7" t="s">
        <v>948</v>
      </c>
      <c r="V451" s="7"/>
      <c r="W451" s="7">
        <v>0</v>
      </c>
      <c r="X451" s="132">
        <f t="shared" si="54"/>
        <v>10</v>
      </c>
      <c r="Y451" s="133"/>
      <c r="Z451" s="133"/>
      <c r="AA451" s="133"/>
    </row>
    <row r="452" spans="1:27" x14ac:dyDescent="0.25">
      <c r="A452" s="127">
        <v>514</v>
      </c>
      <c r="B452" s="128" t="str">
        <f t="shared" si="55"/>
        <v>MINT</v>
      </c>
      <c r="C452" s="128" t="str">
        <f>+VLOOKUP(U452,Ходим!A:B,2,0)</f>
        <v>30910905990010</v>
      </c>
      <c r="D452" s="128" t="str">
        <f>IFERROR(VLOOKUP($B:$B,[20]свод!$A:$AB,3,0)," ")</f>
        <v>Мингбулоқ тумани</v>
      </c>
      <c r="E452" s="7" t="s">
        <v>1595</v>
      </c>
      <c r="F452" s="7" t="s">
        <v>7995</v>
      </c>
      <c r="G452" s="134">
        <f t="shared" si="52"/>
        <v>1</v>
      </c>
      <c r="H452" s="134" t="str">
        <f t="shared" si="53"/>
        <v/>
      </c>
      <c r="I452" s="7" t="s">
        <v>158</v>
      </c>
      <c r="J452" s="7" t="s">
        <v>10</v>
      </c>
      <c r="K452" s="7"/>
      <c r="L452" s="7" t="s">
        <v>167</v>
      </c>
      <c r="M452" s="7" t="s">
        <v>4509</v>
      </c>
      <c r="N452" s="7" t="s">
        <v>410</v>
      </c>
      <c r="O452" s="7" t="s">
        <v>162</v>
      </c>
      <c r="P452" s="7" t="s">
        <v>6534</v>
      </c>
      <c r="Q452" s="129">
        <v>46199</v>
      </c>
      <c r="R452" s="130">
        <f t="shared" ref="R452:R491" si="57">WORKDAY(P452,X452,$Y$1:$AA$1)</f>
        <v>46199</v>
      </c>
      <c r="S452" s="131">
        <f t="shared" si="56"/>
        <v>0</v>
      </c>
      <c r="T452" s="7" t="s">
        <v>220</v>
      </c>
      <c r="U452" s="7" t="s">
        <v>221</v>
      </c>
      <c r="V452" s="7"/>
      <c r="W452" s="7">
        <v>311.10000000000002</v>
      </c>
      <c r="X452" s="132">
        <f t="shared" si="54"/>
        <v>10</v>
      </c>
      <c r="Y452" s="133"/>
      <c r="Z452" s="133"/>
      <c r="AA452" s="133"/>
    </row>
    <row r="453" spans="1:27" hidden="1" x14ac:dyDescent="0.25">
      <c r="A453" s="127">
        <v>519</v>
      </c>
      <c r="B453" s="128" t="str">
        <f t="shared" si="55"/>
        <v>CHUT</v>
      </c>
      <c r="C453" s="128" t="str">
        <f>+VLOOKUP(U453,Ходим!A:B,2,0)</f>
        <v>33112995970023</v>
      </c>
      <c r="D453" s="128" t="str">
        <f>IFERROR(VLOOKUP($B:$B,[20]свод!$A:$AB,3,0)," ")</f>
        <v>Чуст тумани</v>
      </c>
      <c r="E453" s="7" t="s">
        <v>1596</v>
      </c>
      <c r="F453" s="7" t="s">
        <v>7996</v>
      </c>
      <c r="G453" s="134" t="str">
        <f t="shared" ref="G453:G495" si="58">IF(OR(
I453="Turar joy obyektning kadastr pasportini shakllantirish va davlat ro'yxatidan o'tkazish",
I453="Turar kompozit"
),
1,
IF(OR(
I453="Noturar kompozit",
I453="Avtoyo'l va suv xo'jaligi obyektining kadastr pasportini shakllantirish va ro'yxatga olish",
I453="Noturar obyektning kadastr pasportining kadastr pasportini shakllantirish va davlat ro'yxatidan o'tkazish"
),
"",
IF(OR(
I453="Notarius uchun ma'lumotnoma (uz)",
I453="Qurilishi tugallangan ko'chmas mulkni foydalanishga qabul qilish",
I453="Umumiy foydalanishdagi ko'chmas mulk qismini yaratish",
I453="Registratsiya (tashqi - UZKAD da bor)"
),
IF(OR(L453="Turar yer maydoni",L453="Yakka tartibdagi turar joy"),1,
IF(L453="Noturar bino","",
IF(L453="Noturar yer maydoni","",
IF(L453="",IF(OR(O453="Turar joy xizmati",O453="Foydalanishga ruxsatnoma berish xizmati"),1,""),"")
))),
"")))</f>
        <v/>
      </c>
      <c r="H453" s="134">
        <f t="shared" ref="H453:H495" si="59">IF(OR(
I453="Turar joy obyektning kadastr pasportini shakllantirish va davlat ro'yxatidan o'tkazish",
I453="Turar kompozit"
),
"",
IF(OR(
I453="Noturar kompozit",
I453="Avtoyo'l va suv xo'jaligi obyektining kadastr pasportini shakllantirish va ro'yxatga olish",
I453="Noturar obyektning kadastr pasportini shakllantirish va davlat ro'yxatidan o'tkazish"
),
1,
IF(OR(
I453="Notarius uchun ma'lumotnoma (uz)",
I453="Qurilishi tugallangan ko'chmas mulkni foydalanishga qabul qilish",
I453="Umumiy foydalanishdagi ko'chmas mulk qismini yaratish",
I453="Registratsiya (tashqi - UZKAD da bor)"
),
IF(OR(L453="Turar yer maydoni",L453="Yakka tartibdagi turar joy"),"",
IF(L453="Noturar bino",1,
IF(L453="Noturar yer maydoni",1,
IF(L453="",IF(OR(O453="Turar joy xizmati",O453="Foydalanishga ruxsatnoma berish xizmati"),"",1),"")
))),
"")))</f>
        <v>1</v>
      </c>
      <c r="I453" s="7" t="s">
        <v>157</v>
      </c>
      <c r="J453" s="7" t="s">
        <v>12</v>
      </c>
      <c r="K453" s="7"/>
      <c r="L453" s="7" t="s">
        <v>166</v>
      </c>
      <c r="M453" s="7" t="s">
        <v>997</v>
      </c>
      <c r="N453" s="7" t="s">
        <v>410</v>
      </c>
      <c r="O453" s="7" t="s">
        <v>161</v>
      </c>
      <c r="P453" s="7" t="s">
        <v>6535</v>
      </c>
      <c r="Q453" s="129">
        <v>46199</v>
      </c>
      <c r="R453" s="130">
        <f t="shared" si="57"/>
        <v>46209</v>
      </c>
      <c r="S453" s="131">
        <f t="shared" si="56"/>
        <v>10</v>
      </c>
      <c r="T453" s="7" t="s">
        <v>178</v>
      </c>
      <c r="U453" s="7" t="s">
        <v>179</v>
      </c>
      <c r="V453" s="7"/>
      <c r="W453" s="7">
        <v>858.04</v>
      </c>
      <c r="X453" s="132">
        <f t="shared" si="54"/>
        <v>12</v>
      </c>
      <c r="Y453" s="133"/>
      <c r="Z453" s="133"/>
      <c r="AA453" s="133"/>
    </row>
    <row r="454" spans="1:27" hidden="1" x14ac:dyDescent="0.25">
      <c r="A454" s="127">
        <v>520</v>
      </c>
      <c r="B454" s="128" t="str">
        <f t="shared" si="55"/>
        <v>NAMS</v>
      </c>
      <c r="C454" s="128" t="str">
        <f>+VLOOKUP(U454,Ходим!A:B,2,0)</f>
        <v>32207925880019</v>
      </c>
      <c r="D454" s="128" t="str">
        <f>IFERROR(VLOOKUP($B:$B,[20]свод!$A:$AB,3,0)," ")</f>
        <v>Наманган шаҳар</v>
      </c>
      <c r="E454" s="7" t="s">
        <v>1597</v>
      </c>
      <c r="F454" s="7" t="s">
        <v>7997</v>
      </c>
      <c r="G454" s="134">
        <f t="shared" si="58"/>
        <v>1</v>
      </c>
      <c r="H454" s="134" t="str">
        <f t="shared" si="59"/>
        <v/>
      </c>
      <c r="I454" s="7" t="s">
        <v>156</v>
      </c>
      <c r="J454" s="7" t="s">
        <v>11</v>
      </c>
      <c r="K454" s="7"/>
      <c r="L454" s="7"/>
      <c r="M454" s="7"/>
      <c r="N454" s="7" t="s">
        <v>170</v>
      </c>
      <c r="O454" s="7" t="s">
        <v>162</v>
      </c>
      <c r="P454" s="7" t="s">
        <v>6535</v>
      </c>
      <c r="Q454" s="129">
        <v>46199</v>
      </c>
      <c r="R454" s="130">
        <f t="shared" si="57"/>
        <v>46205</v>
      </c>
      <c r="S454" s="131">
        <f t="shared" si="56"/>
        <v>6</v>
      </c>
      <c r="T454" s="7" t="s">
        <v>185</v>
      </c>
      <c r="U454" s="7" t="s">
        <v>174</v>
      </c>
      <c r="V454" s="7"/>
      <c r="W454" s="7"/>
      <c r="X454" s="132">
        <f t="shared" si="54"/>
        <v>10</v>
      </c>
      <c r="Y454" s="133"/>
      <c r="Z454" s="133"/>
      <c r="AA454" s="133"/>
    </row>
    <row r="455" spans="1:27" hidden="1" x14ac:dyDescent="0.25">
      <c r="A455" s="127">
        <v>521</v>
      </c>
      <c r="B455" s="128" t="str">
        <f t="shared" si="55"/>
        <v>UYCT</v>
      </c>
      <c r="C455" s="128" t="str">
        <f>+VLOOKUP(U455,Ходим!A:B,2,0)</f>
        <v>32002975930037</v>
      </c>
      <c r="D455" s="128" t="str">
        <f>IFERROR(VLOOKUP($B:$B,[20]свод!$A:$AB,3,0)," ")</f>
        <v>Уйчи тумани</v>
      </c>
      <c r="E455" s="7" t="s">
        <v>1598</v>
      </c>
      <c r="F455" s="7" t="s">
        <v>7998</v>
      </c>
      <c r="G455" s="134">
        <f t="shared" si="58"/>
        <v>1</v>
      </c>
      <c r="H455" s="134" t="str">
        <f t="shared" si="59"/>
        <v/>
      </c>
      <c r="I455" s="7" t="s">
        <v>158</v>
      </c>
      <c r="J455" s="7" t="s">
        <v>2</v>
      </c>
      <c r="K455" s="7"/>
      <c r="L455" s="7" t="s">
        <v>167</v>
      </c>
      <c r="M455" s="7" t="s">
        <v>1099</v>
      </c>
      <c r="N455" s="7" t="s">
        <v>410</v>
      </c>
      <c r="O455" s="7" t="s">
        <v>162</v>
      </c>
      <c r="P455" s="7" t="s">
        <v>6306</v>
      </c>
      <c r="Q455" s="129">
        <v>46199</v>
      </c>
      <c r="R455" s="130">
        <f t="shared" si="57"/>
        <v>46204</v>
      </c>
      <c r="S455" s="131">
        <f t="shared" si="56"/>
        <v>5</v>
      </c>
      <c r="T455" s="7" t="s">
        <v>947</v>
      </c>
      <c r="U455" s="7" t="s">
        <v>260</v>
      </c>
      <c r="V455" s="7"/>
      <c r="W455" s="7">
        <v>0</v>
      </c>
      <c r="X455" s="132">
        <f t="shared" si="54"/>
        <v>10</v>
      </c>
      <c r="Y455" s="133"/>
      <c r="Z455" s="133"/>
      <c r="AA455" s="133"/>
    </row>
    <row r="456" spans="1:27" hidden="1" x14ac:dyDescent="0.25">
      <c r="A456" s="127">
        <v>522</v>
      </c>
      <c r="B456" s="128" t="str">
        <f t="shared" si="55"/>
        <v>YGQT</v>
      </c>
      <c r="C456" s="128" t="str">
        <f>+VLOOKUP(U456,Ходим!A:B,2,0)</f>
        <v>52010015950028</v>
      </c>
      <c r="D456" s="128" t="str">
        <f>IFERROR(VLOOKUP($B:$B,[20]свод!$A:$AB,3,0)," ")</f>
        <v>Янгиқўрғон тумани</v>
      </c>
      <c r="E456" s="7" t="s">
        <v>1599</v>
      </c>
      <c r="F456" s="7" t="s">
        <v>7999</v>
      </c>
      <c r="G456" s="134">
        <f t="shared" si="58"/>
        <v>1</v>
      </c>
      <c r="H456" s="134" t="str">
        <f t="shared" si="59"/>
        <v/>
      </c>
      <c r="I456" s="7" t="s">
        <v>158</v>
      </c>
      <c r="J456" s="7" t="s">
        <v>2</v>
      </c>
      <c r="K456" s="7"/>
      <c r="L456" s="7"/>
      <c r="M456" s="7"/>
      <c r="N456" s="7" t="s">
        <v>170</v>
      </c>
      <c r="O456" s="7" t="s">
        <v>162</v>
      </c>
      <c r="P456" s="7" t="s">
        <v>6453</v>
      </c>
      <c r="Q456" s="129">
        <v>46199</v>
      </c>
      <c r="R456" s="130">
        <f t="shared" si="57"/>
        <v>46205</v>
      </c>
      <c r="S456" s="131">
        <f t="shared" si="56"/>
        <v>6</v>
      </c>
      <c r="T456" s="7" t="s">
        <v>255</v>
      </c>
      <c r="U456" s="7" t="s">
        <v>391</v>
      </c>
      <c r="V456" s="7"/>
      <c r="W456" s="7"/>
      <c r="X456" s="132">
        <f t="shared" si="54"/>
        <v>10</v>
      </c>
      <c r="Y456" s="133"/>
      <c r="Z456" s="133"/>
      <c r="AA456" s="133"/>
    </row>
    <row r="457" spans="1:27" hidden="1" x14ac:dyDescent="0.25">
      <c r="A457" s="127">
        <v>523</v>
      </c>
      <c r="B457" s="128" t="str">
        <f t="shared" si="55"/>
        <v>YGQT</v>
      </c>
      <c r="C457" s="128" t="str">
        <f>+VLOOKUP(U457,Ходим!A:B,2,0)</f>
        <v>50710015950029</v>
      </c>
      <c r="D457" s="128" t="str">
        <f>IFERROR(VLOOKUP($B:$B,[20]свод!$A:$AB,3,0)," ")</f>
        <v>Янгиқўрғон тумани</v>
      </c>
      <c r="E457" s="7" t="s">
        <v>1600</v>
      </c>
      <c r="F457" s="7" t="s">
        <v>8000</v>
      </c>
      <c r="G457" s="134">
        <f t="shared" si="58"/>
        <v>1</v>
      </c>
      <c r="H457" s="134" t="str">
        <f t="shared" si="59"/>
        <v/>
      </c>
      <c r="I457" s="7" t="s">
        <v>158</v>
      </c>
      <c r="J457" s="7" t="s">
        <v>1</v>
      </c>
      <c r="K457" s="7"/>
      <c r="L457" s="7" t="s">
        <v>167</v>
      </c>
      <c r="M457" s="7" t="s">
        <v>4510</v>
      </c>
      <c r="N457" s="7" t="s">
        <v>170</v>
      </c>
      <c r="O457" s="7" t="s">
        <v>162</v>
      </c>
      <c r="P457" s="7" t="s">
        <v>6536</v>
      </c>
      <c r="Q457" s="129">
        <v>46199</v>
      </c>
      <c r="R457" s="130">
        <f t="shared" si="57"/>
        <v>46209</v>
      </c>
      <c r="S457" s="131">
        <f t="shared" si="56"/>
        <v>10</v>
      </c>
      <c r="T457" s="7" t="s">
        <v>182</v>
      </c>
      <c r="U457" s="7" t="s">
        <v>312</v>
      </c>
      <c r="V457" s="7"/>
      <c r="W457" s="7">
        <v>417.38</v>
      </c>
      <c r="X457" s="132">
        <f t="shared" si="54"/>
        <v>10</v>
      </c>
      <c r="Y457" s="133"/>
      <c r="Z457" s="133"/>
      <c r="AA457" s="133"/>
    </row>
    <row r="458" spans="1:27" hidden="1" x14ac:dyDescent="0.25">
      <c r="A458" s="127">
        <v>530</v>
      </c>
      <c r="B458" s="128" t="str">
        <f t="shared" ref="B458:B492" si="60">LEFT(E458,4)</f>
        <v>TORT</v>
      </c>
      <c r="C458" s="128" t="str">
        <f>+VLOOKUP(U458,Ходим!A:B,2,0)</f>
        <v>32801762130050</v>
      </c>
      <c r="D458" s="128" t="str">
        <f>IFERROR(VLOOKUP($B:$B,[20]свод!$A:$AB,3,0)," ")</f>
        <v>Тўрақўрғон тумани</v>
      </c>
      <c r="E458" s="7" t="s">
        <v>1601</v>
      </c>
      <c r="F458" s="7" t="s">
        <v>8001</v>
      </c>
      <c r="G458" s="134" t="str">
        <f t="shared" si="58"/>
        <v/>
      </c>
      <c r="H458" s="134">
        <f t="shared" si="59"/>
        <v>1</v>
      </c>
      <c r="I458" s="7" t="s">
        <v>157</v>
      </c>
      <c r="J458" s="7" t="s">
        <v>2</v>
      </c>
      <c r="K458" s="7"/>
      <c r="L458" s="7" t="s">
        <v>166</v>
      </c>
      <c r="M458" s="7" t="s">
        <v>4511</v>
      </c>
      <c r="N458" s="7" t="s">
        <v>170</v>
      </c>
      <c r="O458" s="7" t="s">
        <v>161</v>
      </c>
      <c r="P458" s="7" t="s">
        <v>6537</v>
      </c>
      <c r="Q458" s="129">
        <v>46199</v>
      </c>
      <c r="R458" s="130">
        <f t="shared" si="57"/>
        <v>46213</v>
      </c>
      <c r="S458" s="131">
        <f t="shared" ref="S458:S492" si="61">R458-Q458</f>
        <v>14</v>
      </c>
      <c r="T458" s="7" t="s">
        <v>203</v>
      </c>
      <c r="U458" s="7" t="s">
        <v>206</v>
      </c>
      <c r="V458" s="7"/>
      <c r="W458" s="7">
        <v>404.6</v>
      </c>
      <c r="X458" s="132">
        <f t="shared" ref="X458:X491" si="62">IF(N458="Kadastr muhandisi",3,
IF(N458="UZKAD",5,
IF(V458="FREE",5,
IF(I458="Registratsiya (tashqi - UZKAD da bor)",1,
IF(I458="Avtoyo'l va suv xo'jaligi obyektining kadastr pasportini shakllantirish va ro'yxatga olish",7,
IF(I458="Notarius uchun ma'lumotnoma (uz)",1,
IF(I458="Qurilishi tugallangan ko'chmas mulkni foydalanishga qabul qilish",10,
IF(OR(I458="Turar joy obyektning kadastr pasportini shakllantirish va davlat ro'yxatidan o'tkazish",I458="Turar kompozit"),
IF(L458="Turar yer maydoni",7,10),
IF(OR(I458="Noturar obyektning kadastr pasportini shakllantirish va davlat ro'yxatidan o'tkazish",I458="Noturar kompozit"),
IF(O458="Ko‘p yillik daraxtlar xizmati",15,
IF(OR(L458="Noturar yer maydoni",L458="Davlat tashkilotlaridan ijaraga olingan yer uchastkasi"),7,
IF(W458&lt;100,10,IF(W458&lt;=1000,12,IF(W458&lt;=5000,17,IF(W458&lt;=15000,22,IF(W458&lt;=50000,28,37))))))),
IF(I458="Umumiy foydalanishdagi ko'chmas mulk qismini yaratish",
IF(IF(TRIM(L458)="",IF(OR(O458="Turar joy xizmati",O458="Yakka tartibdagi turar joy"),"Turar","Noturar"),IF(OR(L458="Yakka tartibdagi turar joy",L458="Turar joy xizmati"),"Turar","Noturar"))="Turar",
10,IF(W458&lt;100,10,IF(W458&lt;=1000,12,IF(W458&lt;=5000,17,IF(W458&lt;=15000,22,IF(W458&lt;=50000,28,37)))))),
0))))))))))</f>
        <v>12</v>
      </c>
      <c r="Y458" s="133"/>
      <c r="Z458" s="133"/>
      <c r="AA458" s="133"/>
    </row>
    <row r="459" spans="1:27" hidden="1" x14ac:dyDescent="0.25">
      <c r="A459" s="127">
        <v>534</v>
      </c>
      <c r="B459" s="128" t="str">
        <f t="shared" si="60"/>
        <v>CHOT</v>
      </c>
      <c r="C459" s="128" t="str">
        <f>+VLOOKUP(U459,Ходим!A:B,2,0)</f>
        <v>30608892100030</v>
      </c>
      <c r="D459" s="128" t="str">
        <f>IFERROR(VLOOKUP($B:$B,[20]свод!$A:$AB,3,0)," ")</f>
        <v>Чортоқ тумани</v>
      </c>
      <c r="E459" s="7" t="s">
        <v>1602</v>
      </c>
      <c r="F459" s="7" t="s">
        <v>8002</v>
      </c>
      <c r="G459" s="134">
        <f t="shared" si="58"/>
        <v>1</v>
      </c>
      <c r="H459" s="134" t="str">
        <f t="shared" si="59"/>
        <v/>
      </c>
      <c r="I459" s="7" t="s">
        <v>158</v>
      </c>
      <c r="J459" s="7" t="s">
        <v>172</v>
      </c>
      <c r="K459" s="7"/>
      <c r="L459" s="7" t="s">
        <v>167</v>
      </c>
      <c r="M459" s="7" t="s">
        <v>4512</v>
      </c>
      <c r="N459" s="7" t="s">
        <v>170</v>
      </c>
      <c r="O459" s="7" t="s">
        <v>163</v>
      </c>
      <c r="P459" s="7" t="s">
        <v>6350</v>
      </c>
      <c r="Q459" s="129">
        <v>46199</v>
      </c>
      <c r="R459" s="130">
        <f t="shared" si="57"/>
        <v>46204</v>
      </c>
      <c r="S459" s="131">
        <f t="shared" si="61"/>
        <v>5</v>
      </c>
      <c r="T459" s="7" t="s">
        <v>184</v>
      </c>
      <c r="U459" s="7" t="s">
        <v>266</v>
      </c>
      <c r="V459" s="7"/>
      <c r="W459" s="7">
        <v>235.1</v>
      </c>
      <c r="X459" s="132">
        <f t="shared" si="62"/>
        <v>10</v>
      </c>
      <c r="Y459" s="133"/>
      <c r="Z459" s="133"/>
      <c r="AA459" s="133"/>
    </row>
    <row r="460" spans="1:27" hidden="1" x14ac:dyDescent="0.25">
      <c r="A460" s="127">
        <v>535</v>
      </c>
      <c r="B460" s="128" t="str">
        <f t="shared" si="60"/>
        <v>KSST</v>
      </c>
      <c r="C460" s="128" t="str">
        <f>+VLOOKUP(U460,Ходим!A:B,2,0)</f>
        <v>32910975980025</v>
      </c>
      <c r="D460" s="128" t="str">
        <f>IFERROR(VLOOKUP($B:$B,[20]свод!$A:$AB,3,0)," ")</f>
        <v>Косонсой тумани</v>
      </c>
      <c r="E460" s="7" t="s">
        <v>1603</v>
      </c>
      <c r="F460" s="7" t="s">
        <v>8003</v>
      </c>
      <c r="G460" s="134">
        <f t="shared" si="58"/>
        <v>1</v>
      </c>
      <c r="H460" s="134" t="str">
        <f t="shared" si="59"/>
        <v/>
      </c>
      <c r="I460" s="7" t="s">
        <v>156</v>
      </c>
      <c r="J460" s="7" t="s">
        <v>25</v>
      </c>
      <c r="K460" s="7"/>
      <c r="L460" s="7"/>
      <c r="M460" s="7"/>
      <c r="N460" s="7" t="s">
        <v>170</v>
      </c>
      <c r="O460" s="7" t="s">
        <v>163</v>
      </c>
      <c r="P460" s="7" t="s">
        <v>6518</v>
      </c>
      <c r="Q460" s="129">
        <v>46199</v>
      </c>
      <c r="R460" s="130">
        <f t="shared" si="57"/>
        <v>46211</v>
      </c>
      <c r="S460" s="131">
        <f t="shared" si="61"/>
        <v>12</v>
      </c>
      <c r="T460" s="7" t="s">
        <v>180</v>
      </c>
      <c r="U460" s="7" t="s">
        <v>187</v>
      </c>
      <c r="V460" s="7"/>
      <c r="W460" s="7"/>
      <c r="X460" s="132">
        <f t="shared" si="62"/>
        <v>10</v>
      </c>
      <c r="Y460" s="133"/>
      <c r="Z460" s="133"/>
      <c r="AA460" s="133"/>
    </row>
    <row r="461" spans="1:27" hidden="1" x14ac:dyDescent="0.25">
      <c r="A461" s="127">
        <v>536</v>
      </c>
      <c r="B461" s="128" t="str">
        <f t="shared" si="60"/>
        <v>KSST</v>
      </c>
      <c r="C461" s="128" t="str">
        <f>+VLOOKUP(U461,Ходим!A:B,2,0)</f>
        <v>52812015980061</v>
      </c>
      <c r="D461" s="128" t="str">
        <f>IFERROR(VLOOKUP($B:$B,[20]свод!$A:$AB,3,0)," ")</f>
        <v>Косонсой тумани</v>
      </c>
      <c r="E461" s="7" t="s">
        <v>1604</v>
      </c>
      <c r="F461" s="7" t="s">
        <v>8004</v>
      </c>
      <c r="G461" s="134">
        <f t="shared" si="58"/>
        <v>1</v>
      </c>
      <c r="H461" s="134" t="str">
        <f t="shared" si="59"/>
        <v/>
      </c>
      <c r="I461" s="7" t="s">
        <v>158</v>
      </c>
      <c r="J461" s="7" t="s">
        <v>2</v>
      </c>
      <c r="K461" s="7"/>
      <c r="L461" s="7"/>
      <c r="M461" s="7"/>
      <c r="N461" s="7" t="s">
        <v>170</v>
      </c>
      <c r="O461" s="7" t="s">
        <v>162</v>
      </c>
      <c r="P461" s="7" t="s">
        <v>6538</v>
      </c>
      <c r="Q461" s="129">
        <v>46199</v>
      </c>
      <c r="R461" s="130">
        <f t="shared" si="57"/>
        <v>46205</v>
      </c>
      <c r="S461" s="131">
        <f t="shared" si="61"/>
        <v>6</v>
      </c>
      <c r="T461" s="7" t="s">
        <v>180</v>
      </c>
      <c r="U461" s="7" t="s">
        <v>307</v>
      </c>
      <c r="V461" s="7"/>
      <c r="W461" s="7"/>
      <c r="X461" s="132">
        <f t="shared" si="62"/>
        <v>10</v>
      </c>
      <c r="Y461" s="133"/>
      <c r="Z461" s="133"/>
      <c r="AA461" s="133"/>
    </row>
    <row r="462" spans="1:27" hidden="1" x14ac:dyDescent="0.25">
      <c r="A462" s="127">
        <v>537</v>
      </c>
      <c r="B462" s="128" t="str">
        <f t="shared" si="60"/>
        <v>NAMS</v>
      </c>
      <c r="C462" s="128" t="str">
        <f>+VLOOKUP(U462,Ходим!A:B,2,0)</f>
        <v>51110025960044</v>
      </c>
      <c r="D462" s="128" t="str">
        <f>IFERROR(VLOOKUP($B:$B,[20]свод!$A:$AB,3,0)," ")</f>
        <v>Наманган шаҳар</v>
      </c>
      <c r="E462" s="7" t="s">
        <v>1605</v>
      </c>
      <c r="F462" s="7" t="s">
        <v>8005</v>
      </c>
      <c r="G462" s="134">
        <f t="shared" si="58"/>
        <v>1</v>
      </c>
      <c r="H462" s="134" t="str">
        <f t="shared" si="59"/>
        <v/>
      </c>
      <c r="I462" s="7" t="s">
        <v>158</v>
      </c>
      <c r="J462" s="7" t="s">
        <v>2</v>
      </c>
      <c r="K462" s="7"/>
      <c r="L462" s="7"/>
      <c r="M462" s="7"/>
      <c r="N462" s="7" t="s">
        <v>170</v>
      </c>
      <c r="O462" s="7" t="s">
        <v>162</v>
      </c>
      <c r="P462" s="7" t="s">
        <v>6537</v>
      </c>
      <c r="Q462" s="129">
        <v>46199</v>
      </c>
      <c r="R462" s="130">
        <f t="shared" si="57"/>
        <v>46211</v>
      </c>
      <c r="S462" s="131">
        <f t="shared" si="61"/>
        <v>12</v>
      </c>
      <c r="T462" s="7" t="s">
        <v>227</v>
      </c>
      <c r="U462" s="7" t="s">
        <v>294</v>
      </c>
      <c r="V462" s="7"/>
      <c r="W462" s="7"/>
      <c r="X462" s="132">
        <f t="shared" si="62"/>
        <v>10</v>
      </c>
      <c r="Y462" s="133"/>
      <c r="Z462" s="133"/>
      <c r="AA462" s="133"/>
    </row>
    <row r="463" spans="1:27" hidden="1" x14ac:dyDescent="0.25">
      <c r="A463" s="127">
        <v>540</v>
      </c>
      <c r="B463" s="128" t="str">
        <f t="shared" si="60"/>
        <v>UCQT</v>
      </c>
      <c r="C463" s="128" t="e">
        <f>+VLOOKUP(U463,Ходим!A:B,2,0)</f>
        <v>#N/A</v>
      </c>
      <c r="D463" s="128" t="str">
        <f>IFERROR(VLOOKUP($B:$B,[20]свод!$A:$AB,3,0)," ")</f>
        <v>Учқўрғон тумани</v>
      </c>
      <c r="E463" s="7" t="s">
        <v>1606</v>
      </c>
      <c r="F463" s="7" t="s">
        <v>8006</v>
      </c>
      <c r="G463" s="134" t="str">
        <f t="shared" si="58"/>
        <v/>
      </c>
      <c r="H463" s="134">
        <f t="shared" si="59"/>
        <v>1</v>
      </c>
      <c r="I463" s="7" t="s">
        <v>155</v>
      </c>
      <c r="J463" s="7" t="s">
        <v>11</v>
      </c>
      <c r="K463" s="7"/>
      <c r="L463" s="7"/>
      <c r="M463" s="7"/>
      <c r="N463" s="7" t="s">
        <v>170</v>
      </c>
      <c r="O463" s="7" t="s">
        <v>161</v>
      </c>
      <c r="P463" s="7" t="s">
        <v>6539</v>
      </c>
      <c r="Q463" s="129">
        <v>46199</v>
      </c>
      <c r="R463" s="130">
        <f t="shared" si="57"/>
        <v>46211</v>
      </c>
      <c r="S463" s="131">
        <f t="shared" si="61"/>
        <v>12</v>
      </c>
      <c r="T463" s="7"/>
      <c r="U463" s="7"/>
      <c r="V463" s="7"/>
      <c r="W463" s="7"/>
      <c r="X463" s="132">
        <f t="shared" si="62"/>
        <v>10</v>
      </c>
      <c r="Y463" s="133"/>
      <c r="Z463" s="133"/>
      <c r="AA463" s="133"/>
    </row>
    <row r="464" spans="1:27" hidden="1" x14ac:dyDescent="0.25">
      <c r="A464" s="127">
        <v>541</v>
      </c>
      <c r="B464" s="128" t="str">
        <f t="shared" si="60"/>
        <v>NAMS</v>
      </c>
      <c r="C464" s="128">
        <f>+VLOOKUP(U464,Ходим!A:B,2,0)</f>
        <v>50510025960139</v>
      </c>
      <c r="D464" s="128" t="str">
        <f>IFERROR(VLOOKUP($B:$B,[20]свод!$A:$AB,3,0)," ")</f>
        <v>Наманган шаҳар</v>
      </c>
      <c r="E464" s="7" t="s">
        <v>1607</v>
      </c>
      <c r="F464" s="7" t="s">
        <v>8007</v>
      </c>
      <c r="G464" s="134">
        <f t="shared" si="58"/>
        <v>1</v>
      </c>
      <c r="H464" s="134" t="str">
        <f t="shared" si="59"/>
        <v/>
      </c>
      <c r="I464" s="7" t="s">
        <v>156</v>
      </c>
      <c r="J464" s="7" t="s">
        <v>25</v>
      </c>
      <c r="K464" s="7"/>
      <c r="L464" s="7"/>
      <c r="M464" s="7"/>
      <c r="N464" s="7" t="s">
        <v>410</v>
      </c>
      <c r="O464" s="7" t="s">
        <v>162</v>
      </c>
      <c r="P464" s="7" t="s">
        <v>6539</v>
      </c>
      <c r="Q464" s="129">
        <v>46199</v>
      </c>
      <c r="R464" s="130">
        <f t="shared" si="57"/>
        <v>46211</v>
      </c>
      <c r="S464" s="131">
        <f t="shared" si="61"/>
        <v>12</v>
      </c>
      <c r="T464" s="7" t="s">
        <v>173</v>
      </c>
      <c r="U464" s="7" t="s">
        <v>955</v>
      </c>
      <c r="V464" s="7"/>
      <c r="W464" s="7"/>
      <c r="X464" s="132">
        <f t="shared" si="62"/>
        <v>10</v>
      </c>
      <c r="Y464" s="133"/>
      <c r="Z464" s="133"/>
      <c r="AA464" s="133"/>
    </row>
    <row r="465" spans="1:27" hidden="1" x14ac:dyDescent="0.25">
      <c r="A465" s="127">
        <v>542</v>
      </c>
      <c r="B465" s="128" t="str">
        <f t="shared" si="60"/>
        <v>KSST</v>
      </c>
      <c r="C465" s="128" t="str">
        <f>+VLOOKUP(U465,Ходим!A:B,2,0)</f>
        <v>30411985980017</v>
      </c>
      <c r="D465" s="128" t="str">
        <f>IFERROR(VLOOKUP($B:$B,[20]свод!$A:$AB,3,0)," ")</f>
        <v>Косонсой тумани</v>
      </c>
      <c r="E465" s="7" t="s">
        <v>1608</v>
      </c>
      <c r="F465" s="7" t="s">
        <v>8008</v>
      </c>
      <c r="G465" s="134">
        <f t="shared" si="58"/>
        <v>1</v>
      </c>
      <c r="H465" s="134" t="str">
        <f t="shared" si="59"/>
        <v/>
      </c>
      <c r="I465" s="7" t="s">
        <v>156</v>
      </c>
      <c r="J465" s="7" t="s">
        <v>25</v>
      </c>
      <c r="K465" s="7"/>
      <c r="L465" s="7"/>
      <c r="M465" s="7"/>
      <c r="N465" s="7" t="s">
        <v>170</v>
      </c>
      <c r="O465" s="7" t="s">
        <v>162</v>
      </c>
      <c r="P465" s="7" t="s">
        <v>6466</v>
      </c>
      <c r="Q465" s="129">
        <v>46199</v>
      </c>
      <c r="R465" s="130">
        <f t="shared" si="57"/>
        <v>46211</v>
      </c>
      <c r="S465" s="131">
        <f t="shared" si="61"/>
        <v>12</v>
      </c>
      <c r="T465" s="7" t="s">
        <v>180</v>
      </c>
      <c r="U465" s="7" t="s">
        <v>360</v>
      </c>
      <c r="V465" s="7"/>
      <c r="W465" s="7"/>
      <c r="X465" s="132">
        <f t="shared" si="62"/>
        <v>10</v>
      </c>
      <c r="Y465" s="133"/>
      <c r="Z465" s="133"/>
      <c r="AA465" s="133"/>
    </row>
    <row r="466" spans="1:27" hidden="1" x14ac:dyDescent="0.25">
      <c r="A466" s="127">
        <v>544</v>
      </c>
      <c r="B466" s="128" t="str">
        <f t="shared" si="60"/>
        <v>NAMT</v>
      </c>
      <c r="C466" s="128" t="str">
        <f>+VLOOKUP(U466,Ходим!A:B,2,0)</f>
        <v>32204892090133</v>
      </c>
      <c r="D466" s="128" t="str">
        <f>IFERROR(VLOOKUP($B:$B,[20]свод!$A:$AB,3,0)," ")</f>
        <v>Наманган тумани</v>
      </c>
      <c r="E466" s="7" t="s">
        <v>1609</v>
      </c>
      <c r="F466" s="7" t="s">
        <v>8009</v>
      </c>
      <c r="G466" s="134">
        <f t="shared" si="58"/>
        <v>1</v>
      </c>
      <c r="H466" s="134" t="str">
        <f t="shared" si="59"/>
        <v/>
      </c>
      <c r="I466" s="7" t="s">
        <v>158</v>
      </c>
      <c r="J466" s="7" t="s">
        <v>2</v>
      </c>
      <c r="K466" s="7"/>
      <c r="L466" s="7" t="s">
        <v>167</v>
      </c>
      <c r="M466" s="7" t="s">
        <v>4513</v>
      </c>
      <c r="N466" s="7" t="s">
        <v>170</v>
      </c>
      <c r="O466" s="7" t="s">
        <v>162</v>
      </c>
      <c r="P466" s="7" t="s">
        <v>6540</v>
      </c>
      <c r="Q466" s="129">
        <v>46199</v>
      </c>
      <c r="R466" s="130">
        <f t="shared" si="57"/>
        <v>46205</v>
      </c>
      <c r="S466" s="131">
        <f t="shared" si="61"/>
        <v>6</v>
      </c>
      <c r="T466" s="7" t="s">
        <v>197</v>
      </c>
      <c r="U466" s="7" t="s">
        <v>198</v>
      </c>
      <c r="V466" s="7"/>
      <c r="W466" s="7">
        <v>345.62</v>
      </c>
      <c r="X466" s="132">
        <f t="shared" si="62"/>
        <v>10</v>
      </c>
      <c r="Y466" s="133"/>
      <c r="Z466" s="133"/>
      <c r="AA466" s="133"/>
    </row>
    <row r="467" spans="1:27" hidden="1" x14ac:dyDescent="0.25">
      <c r="A467" s="127">
        <v>545</v>
      </c>
      <c r="B467" s="128" t="str">
        <f t="shared" si="60"/>
        <v>NAMT</v>
      </c>
      <c r="C467" s="128">
        <f>+VLOOKUP(U467,Ходим!A:B,2,0)</f>
        <v>52908045880018</v>
      </c>
      <c r="D467" s="128" t="str">
        <f>IFERROR(VLOOKUP($B:$B,[20]свод!$A:$AB,3,0)," ")</f>
        <v>Наманган тумани</v>
      </c>
      <c r="E467" s="7" t="s">
        <v>1610</v>
      </c>
      <c r="F467" s="7" t="s">
        <v>8010</v>
      </c>
      <c r="G467" s="134">
        <f t="shared" si="58"/>
        <v>1</v>
      </c>
      <c r="H467" s="134" t="str">
        <f t="shared" si="59"/>
        <v/>
      </c>
      <c r="I467" s="7" t="s">
        <v>158</v>
      </c>
      <c r="J467" s="7" t="s">
        <v>2</v>
      </c>
      <c r="K467" s="7"/>
      <c r="L467" s="7" t="s">
        <v>167</v>
      </c>
      <c r="M467" s="7" t="s">
        <v>4514</v>
      </c>
      <c r="N467" s="7" t="s">
        <v>410</v>
      </c>
      <c r="O467" s="7" t="s">
        <v>162</v>
      </c>
      <c r="P467" s="7" t="s">
        <v>6540</v>
      </c>
      <c r="Q467" s="129">
        <v>46199</v>
      </c>
      <c r="R467" s="130">
        <f t="shared" si="57"/>
        <v>46205</v>
      </c>
      <c r="S467" s="131">
        <f t="shared" si="61"/>
        <v>6</v>
      </c>
      <c r="T467" s="7" t="s">
        <v>193</v>
      </c>
      <c r="U467" s="7" t="s">
        <v>982</v>
      </c>
      <c r="V467" s="7"/>
      <c r="W467" s="7">
        <v>329.63</v>
      </c>
      <c r="X467" s="132">
        <f t="shared" si="62"/>
        <v>10</v>
      </c>
      <c r="Y467" s="133"/>
      <c r="Z467" s="133"/>
      <c r="AA467" s="133"/>
    </row>
    <row r="468" spans="1:27" hidden="1" x14ac:dyDescent="0.25">
      <c r="A468" s="127">
        <v>547</v>
      </c>
      <c r="B468" s="128" t="str">
        <f t="shared" si="60"/>
        <v>UCQT</v>
      </c>
      <c r="C468" s="128" t="str">
        <f>+VLOOKUP(U468,Ходим!A:B,2,0)</f>
        <v>42005872150022</v>
      </c>
      <c r="D468" s="128" t="str">
        <f>IFERROR(VLOOKUP($B:$B,[20]свод!$A:$AB,3,0)," ")</f>
        <v>Учқўрғон тумани</v>
      </c>
      <c r="E468" s="7" t="s">
        <v>1611</v>
      </c>
      <c r="F468" s="7" t="s">
        <v>8011</v>
      </c>
      <c r="G468" s="134">
        <f t="shared" si="58"/>
        <v>1</v>
      </c>
      <c r="H468" s="134" t="str">
        <f t="shared" si="59"/>
        <v/>
      </c>
      <c r="I468" s="7" t="s">
        <v>156</v>
      </c>
      <c r="J468" s="7" t="s">
        <v>22</v>
      </c>
      <c r="K468" s="7"/>
      <c r="L468" s="7" t="s">
        <v>167</v>
      </c>
      <c r="M468" s="7" t="s">
        <v>4515</v>
      </c>
      <c r="N468" s="7" t="s">
        <v>170</v>
      </c>
      <c r="O468" s="7" t="s">
        <v>162</v>
      </c>
      <c r="P468" s="7" t="s">
        <v>6540</v>
      </c>
      <c r="Q468" s="129">
        <v>46199</v>
      </c>
      <c r="R468" s="130">
        <f t="shared" si="57"/>
        <v>46205</v>
      </c>
      <c r="S468" s="131">
        <f t="shared" si="61"/>
        <v>6</v>
      </c>
      <c r="T468" s="7" t="s">
        <v>390</v>
      </c>
      <c r="U468" s="7" t="s">
        <v>176</v>
      </c>
      <c r="V468" s="7"/>
      <c r="W468" s="7">
        <v>146.66</v>
      </c>
      <c r="X468" s="132">
        <f t="shared" si="62"/>
        <v>10</v>
      </c>
      <c r="Y468" s="133"/>
      <c r="Z468" s="133"/>
      <c r="AA468" s="133"/>
    </row>
    <row r="469" spans="1:27" hidden="1" x14ac:dyDescent="0.25">
      <c r="A469" s="127">
        <v>549</v>
      </c>
      <c r="B469" s="128" t="str">
        <f t="shared" si="60"/>
        <v>KSST</v>
      </c>
      <c r="C469" s="128" t="str">
        <f>+VLOOKUP(U469,Ходим!A:B,2,0)</f>
        <v>31611995980026</v>
      </c>
      <c r="D469" s="128" t="str">
        <f>IFERROR(VLOOKUP($B:$B,[20]свод!$A:$AB,3,0)," ")</f>
        <v>Косонсой тумани</v>
      </c>
      <c r="E469" s="7" t="s">
        <v>1612</v>
      </c>
      <c r="F469" s="7" t="s">
        <v>8012</v>
      </c>
      <c r="G469" s="134">
        <f t="shared" si="58"/>
        <v>1</v>
      </c>
      <c r="H469" s="134" t="str">
        <f t="shared" si="59"/>
        <v/>
      </c>
      <c r="I469" s="7" t="s">
        <v>158</v>
      </c>
      <c r="J469" s="7" t="s">
        <v>2</v>
      </c>
      <c r="K469" s="7"/>
      <c r="L469" s="7"/>
      <c r="M469" s="7"/>
      <c r="N469" s="7" t="s">
        <v>410</v>
      </c>
      <c r="O469" s="7" t="s">
        <v>162</v>
      </c>
      <c r="P469" s="7" t="s">
        <v>6463</v>
      </c>
      <c r="Q469" s="129">
        <v>46199</v>
      </c>
      <c r="R469" s="130">
        <f t="shared" si="57"/>
        <v>46211</v>
      </c>
      <c r="S469" s="131">
        <f t="shared" si="61"/>
        <v>12</v>
      </c>
      <c r="T469" s="7" t="s">
        <v>180</v>
      </c>
      <c r="U469" s="7" t="s">
        <v>181</v>
      </c>
      <c r="V469" s="7"/>
      <c r="W469" s="7"/>
      <c r="X469" s="132">
        <f t="shared" si="62"/>
        <v>10</v>
      </c>
      <c r="Y469" s="133"/>
      <c r="Z469" s="133"/>
      <c r="AA469" s="133"/>
    </row>
    <row r="470" spans="1:27" hidden="1" x14ac:dyDescent="0.25">
      <c r="A470" s="127">
        <v>551</v>
      </c>
      <c r="B470" s="128" t="str">
        <f t="shared" si="60"/>
        <v>NAMS</v>
      </c>
      <c r="C470" s="128" t="str">
        <f>+VLOOKUP(U470,Ходим!A:B,2,0)</f>
        <v>33012942170121</v>
      </c>
      <c r="D470" s="128" t="str">
        <f>IFERROR(VLOOKUP($B:$B,[20]свод!$A:$AB,3,0)," ")</f>
        <v>Наманган шаҳар</v>
      </c>
      <c r="E470" s="7" t="s">
        <v>1613</v>
      </c>
      <c r="F470" s="7" t="s">
        <v>8013</v>
      </c>
      <c r="G470" s="134">
        <f t="shared" si="58"/>
        <v>1</v>
      </c>
      <c r="H470" s="134" t="str">
        <f t="shared" si="59"/>
        <v/>
      </c>
      <c r="I470" s="7" t="s">
        <v>156</v>
      </c>
      <c r="J470" s="7" t="s">
        <v>25</v>
      </c>
      <c r="K470" s="7"/>
      <c r="L470" s="7" t="s">
        <v>167</v>
      </c>
      <c r="M470" s="7" t="s">
        <v>4516</v>
      </c>
      <c r="N470" s="7" t="s">
        <v>170</v>
      </c>
      <c r="O470" s="7" t="s">
        <v>162</v>
      </c>
      <c r="P470" s="7" t="s">
        <v>6541</v>
      </c>
      <c r="Q470" s="129">
        <v>46199</v>
      </c>
      <c r="R470" s="130">
        <f t="shared" si="57"/>
        <v>46205</v>
      </c>
      <c r="S470" s="131">
        <f t="shared" si="61"/>
        <v>6</v>
      </c>
      <c r="T470" s="7" t="s">
        <v>173</v>
      </c>
      <c r="U470" s="7" t="s">
        <v>259</v>
      </c>
      <c r="V470" s="7"/>
      <c r="W470" s="7">
        <v>0</v>
      </c>
      <c r="X470" s="132">
        <f t="shared" si="62"/>
        <v>10</v>
      </c>
      <c r="Y470" s="133"/>
      <c r="Z470" s="133"/>
      <c r="AA470" s="133"/>
    </row>
    <row r="471" spans="1:27" hidden="1" x14ac:dyDescent="0.25">
      <c r="A471" s="127">
        <v>553</v>
      </c>
      <c r="B471" s="128" t="str">
        <f t="shared" si="60"/>
        <v>YGQT</v>
      </c>
      <c r="C471" s="128" t="str">
        <f>+VLOOKUP(U471,Ходим!A:B,2,0)</f>
        <v>52410005950025</v>
      </c>
      <c r="D471" s="128" t="str">
        <f>IFERROR(VLOOKUP($B:$B,[20]свод!$A:$AB,3,0)," ")</f>
        <v>Янгиқўрғон тумани</v>
      </c>
      <c r="E471" s="7" t="s">
        <v>1614</v>
      </c>
      <c r="F471" s="7" t="s">
        <v>8014</v>
      </c>
      <c r="G471" s="134">
        <f t="shared" si="58"/>
        <v>1</v>
      </c>
      <c r="H471" s="134" t="str">
        <f t="shared" si="59"/>
        <v/>
      </c>
      <c r="I471" s="7" t="s">
        <v>156</v>
      </c>
      <c r="J471" s="7" t="s">
        <v>22</v>
      </c>
      <c r="K471" s="7"/>
      <c r="L471" s="7" t="s">
        <v>167</v>
      </c>
      <c r="M471" s="7" t="s">
        <v>4517</v>
      </c>
      <c r="N471" s="7" t="s">
        <v>170</v>
      </c>
      <c r="O471" s="7" t="s">
        <v>162</v>
      </c>
      <c r="P471" s="7" t="s">
        <v>6542</v>
      </c>
      <c r="Q471" s="129">
        <v>46199</v>
      </c>
      <c r="R471" s="130">
        <f t="shared" si="57"/>
        <v>46211</v>
      </c>
      <c r="S471" s="131">
        <f t="shared" si="61"/>
        <v>12</v>
      </c>
      <c r="T471" s="7" t="s">
        <v>182</v>
      </c>
      <c r="U471" s="7" t="s">
        <v>256</v>
      </c>
      <c r="V471" s="7"/>
      <c r="W471" s="7">
        <v>325.67</v>
      </c>
      <c r="X471" s="132">
        <f t="shared" si="62"/>
        <v>10</v>
      </c>
      <c r="Y471" s="133"/>
      <c r="Z471" s="133"/>
      <c r="AA471" s="133"/>
    </row>
    <row r="472" spans="1:27" hidden="1" x14ac:dyDescent="0.25">
      <c r="A472" s="127">
        <v>554</v>
      </c>
      <c r="B472" s="128" t="str">
        <f t="shared" si="60"/>
        <v>NORT</v>
      </c>
      <c r="C472" s="128" t="str">
        <f>+VLOOKUP(U472,Ходим!A:B,2,0)</f>
        <v>40601902150077</v>
      </c>
      <c r="D472" s="128" t="str">
        <f>IFERROR(VLOOKUP($B:$B,[20]свод!$A:$AB,3,0)," ")</f>
        <v>Норин тумани</v>
      </c>
      <c r="E472" s="7" t="s">
        <v>1615</v>
      </c>
      <c r="F472" s="7" t="s">
        <v>8015</v>
      </c>
      <c r="G472" s="134">
        <f t="shared" si="58"/>
        <v>1</v>
      </c>
      <c r="H472" s="134" t="str">
        <f t="shared" si="59"/>
        <v/>
      </c>
      <c r="I472" s="7" t="s">
        <v>158</v>
      </c>
      <c r="J472" s="7" t="s">
        <v>1</v>
      </c>
      <c r="K472" s="7"/>
      <c r="L472" s="7" t="s">
        <v>167</v>
      </c>
      <c r="M472" s="7" t="s">
        <v>4518</v>
      </c>
      <c r="N472" s="7" t="s">
        <v>170</v>
      </c>
      <c r="O472" s="7" t="s">
        <v>162</v>
      </c>
      <c r="P472" s="7" t="s">
        <v>6462</v>
      </c>
      <c r="Q472" s="129">
        <v>46199</v>
      </c>
      <c r="R472" s="130">
        <f t="shared" si="57"/>
        <v>46204</v>
      </c>
      <c r="S472" s="131">
        <f t="shared" si="61"/>
        <v>5</v>
      </c>
      <c r="T472" s="7" t="s">
        <v>210</v>
      </c>
      <c r="U472" s="7" t="s">
        <v>249</v>
      </c>
      <c r="V472" s="7"/>
      <c r="W472" s="7">
        <v>340.41</v>
      </c>
      <c r="X472" s="132">
        <f t="shared" si="62"/>
        <v>10</v>
      </c>
      <c r="Y472" s="133"/>
      <c r="Z472" s="133"/>
      <c r="AA472" s="133"/>
    </row>
    <row r="473" spans="1:27" hidden="1" x14ac:dyDescent="0.25">
      <c r="A473" s="127">
        <v>555</v>
      </c>
      <c r="B473" s="128" t="str">
        <f t="shared" si="60"/>
        <v>YGQT</v>
      </c>
      <c r="C473" s="128" t="e">
        <f>+VLOOKUP(U473,Ходим!A:B,2,0)</f>
        <v>#N/A</v>
      </c>
      <c r="D473" s="128" t="str">
        <f>IFERROR(VLOOKUP($B:$B,[20]свод!$A:$AB,3,0)," ")</f>
        <v>Янгиқўрғон тумани</v>
      </c>
      <c r="E473" s="7" t="s">
        <v>1616</v>
      </c>
      <c r="F473" s="7" t="s">
        <v>8016</v>
      </c>
      <c r="G473" s="134">
        <f t="shared" si="58"/>
        <v>1</v>
      </c>
      <c r="H473" s="134" t="str">
        <f t="shared" si="59"/>
        <v/>
      </c>
      <c r="I473" s="7" t="s">
        <v>156</v>
      </c>
      <c r="J473" s="7" t="s">
        <v>21</v>
      </c>
      <c r="K473" s="7"/>
      <c r="L473" s="7"/>
      <c r="M473" s="7"/>
      <c r="N473" s="7" t="s">
        <v>170</v>
      </c>
      <c r="O473" s="7" t="s">
        <v>162</v>
      </c>
      <c r="P473" s="7" t="s">
        <v>6542</v>
      </c>
      <c r="Q473" s="129">
        <v>46199</v>
      </c>
      <c r="R473" s="130">
        <f t="shared" si="57"/>
        <v>46211</v>
      </c>
      <c r="S473" s="131">
        <f t="shared" si="61"/>
        <v>12</v>
      </c>
      <c r="T473" s="7" t="s">
        <v>182</v>
      </c>
      <c r="U473" s="7"/>
      <c r="V473" s="7"/>
      <c r="W473" s="7"/>
      <c r="X473" s="132">
        <f t="shared" si="62"/>
        <v>10</v>
      </c>
      <c r="Y473" s="133"/>
      <c r="Z473" s="133"/>
      <c r="AA473" s="133"/>
    </row>
    <row r="474" spans="1:27" hidden="1" x14ac:dyDescent="0.25">
      <c r="A474" s="127">
        <v>557</v>
      </c>
      <c r="B474" s="128" t="str">
        <f t="shared" si="60"/>
        <v>NAMS</v>
      </c>
      <c r="C474" s="128" t="str">
        <f>+VLOOKUP(U474,Ходим!A:B,2,0)</f>
        <v>33012942170121</v>
      </c>
      <c r="D474" s="128" t="str">
        <f>IFERROR(VLOOKUP($B:$B,[20]свод!$A:$AB,3,0)," ")</f>
        <v>Наманган шаҳар</v>
      </c>
      <c r="E474" s="7" t="s">
        <v>1617</v>
      </c>
      <c r="F474" s="7" t="s">
        <v>8017</v>
      </c>
      <c r="G474" s="134">
        <f t="shared" si="58"/>
        <v>1</v>
      </c>
      <c r="H474" s="134" t="str">
        <f t="shared" si="59"/>
        <v/>
      </c>
      <c r="I474" s="7" t="s">
        <v>156</v>
      </c>
      <c r="J474" s="7" t="s">
        <v>25</v>
      </c>
      <c r="K474" s="7"/>
      <c r="L474" s="7"/>
      <c r="M474" s="7"/>
      <c r="N474" s="7" t="s">
        <v>170</v>
      </c>
      <c r="O474" s="7" t="s">
        <v>162</v>
      </c>
      <c r="P474" s="7" t="s">
        <v>6542</v>
      </c>
      <c r="Q474" s="129">
        <v>46199</v>
      </c>
      <c r="R474" s="130">
        <f t="shared" si="57"/>
        <v>46211</v>
      </c>
      <c r="S474" s="131">
        <f t="shared" si="61"/>
        <v>12</v>
      </c>
      <c r="T474" s="7" t="s">
        <v>173</v>
      </c>
      <c r="U474" s="7" t="s">
        <v>259</v>
      </c>
      <c r="V474" s="7"/>
      <c r="W474" s="7"/>
      <c r="X474" s="132">
        <f t="shared" si="62"/>
        <v>10</v>
      </c>
      <c r="Y474" s="133"/>
      <c r="Z474" s="133"/>
      <c r="AA474" s="133"/>
    </row>
    <row r="475" spans="1:27" hidden="1" x14ac:dyDescent="0.25">
      <c r="A475" s="127">
        <v>558</v>
      </c>
      <c r="B475" s="128" t="str">
        <f t="shared" si="60"/>
        <v>YGQT</v>
      </c>
      <c r="C475" s="128" t="str">
        <f>+VLOOKUP(U475,Ходим!A:B,2,0)</f>
        <v>50710015950029</v>
      </c>
      <c r="D475" s="128" t="str">
        <f>IFERROR(VLOOKUP($B:$B,[20]свод!$A:$AB,3,0)," ")</f>
        <v>Янгиқўрғон тумани</v>
      </c>
      <c r="E475" s="7" t="s">
        <v>1618</v>
      </c>
      <c r="F475" s="7" t="s">
        <v>8018</v>
      </c>
      <c r="G475" s="134">
        <f t="shared" si="58"/>
        <v>1</v>
      </c>
      <c r="H475" s="134" t="str">
        <f t="shared" si="59"/>
        <v/>
      </c>
      <c r="I475" s="7" t="s">
        <v>156</v>
      </c>
      <c r="J475" s="7" t="s">
        <v>22</v>
      </c>
      <c r="K475" s="7"/>
      <c r="L475" s="7" t="s">
        <v>167</v>
      </c>
      <c r="M475" s="7" t="s">
        <v>4519</v>
      </c>
      <c r="N475" s="7" t="s">
        <v>170</v>
      </c>
      <c r="O475" s="7" t="s">
        <v>162</v>
      </c>
      <c r="P475" s="7" t="s">
        <v>6542</v>
      </c>
      <c r="Q475" s="129">
        <v>46199</v>
      </c>
      <c r="R475" s="130">
        <f t="shared" si="57"/>
        <v>46211</v>
      </c>
      <c r="S475" s="131">
        <f t="shared" si="61"/>
        <v>12</v>
      </c>
      <c r="T475" s="7" t="s">
        <v>182</v>
      </c>
      <c r="U475" s="7" t="s">
        <v>312</v>
      </c>
      <c r="V475" s="7"/>
      <c r="W475" s="7">
        <v>61.1</v>
      </c>
      <c r="X475" s="132">
        <f t="shared" si="62"/>
        <v>10</v>
      </c>
      <c r="Y475" s="133"/>
      <c r="Z475" s="133"/>
      <c r="AA475" s="133"/>
    </row>
    <row r="476" spans="1:27" hidden="1" x14ac:dyDescent="0.25">
      <c r="A476" s="127">
        <v>559</v>
      </c>
      <c r="B476" s="128" t="str">
        <f t="shared" si="60"/>
        <v>UYCT</v>
      </c>
      <c r="C476" s="128" t="str">
        <f>+VLOOKUP(U476,Ходим!A:B,2,0)</f>
        <v>31004952140036</v>
      </c>
      <c r="D476" s="128" t="str">
        <f>IFERROR(VLOOKUP($B:$B,[20]свод!$A:$AB,3,0)," ")</f>
        <v>Уйчи тумани</v>
      </c>
      <c r="E476" s="7" t="s">
        <v>1619</v>
      </c>
      <c r="F476" s="7" t="s">
        <v>8019</v>
      </c>
      <c r="G476" s="134">
        <f t="shared" si="58"/>
        <v>1</v>
      </c>
      <c r="H476" s="134" t="str">
        <f t="shared" si="59"/>
        <v/>
      </c>
      <c r="I476" s="7" t="s">
        <v>158</v>
      </c>
      <c r="J476" s="7" t="s">
        <v>2</v>
      </c>
      <c r="K476" s="7"/>
      <c r="L476" s="7" t="s">
        <v>167</v>
      </c>
      <c r="M476" s="7" t="s">
        <v>4520</v>
      </c>
      <c r="N476" s="7" t="s">
        <v>170</v>
      </c>
      <c r="O476" s="7" t="s">
        <v>162</v>
      </c>
      <c r="P476" s="7" t="s">
        <v>6543</v>
      </c>
      <c r="Q476" s="129">
        <v>46199</v>
      </c>
      <c r="R476" s="130">
        <f t="shared" si="57"/>
        <v>46205</v>
      </c>
      <c r="S476" s="131">
        <f t="shared" si="61"/>
        <v>6</v>
      </c>
      <c r="T476" s="7" t="s">
        <v>379</v>
      </c>
      <c r="U476" s="7" t="s">
        <v>331</v>
      </c>
      <c r="V476" s="7"/>
      <c r="W476" s="7">
        <v>0</v>
      </c>
      <c r="X476" s="132">
        <f t="shared" si="62"/>
        <v>10</v>
      </c>
      <c r="Y476" s="133"/>
      <c r="Z476" s="133"/>
      <c r="AA476" s="133"/>
    </row>
    <row r="477" spans="1:27" hidden="1" x14ac:dyDescent="0.25">
      <c r="A477" s="127">
        <v>560</v>
      </c>
      <c r="B477" s="128" t="str">
        <f t="shared" si="60"/>
        <v>UYCT</v>
      </c>
      <c r="C477" s="128" t="str">
        <f>+VLOOKUP(U477,Ходим!A:B,2,0)</f>
        <v>31310995930032</v>
      </c>
      <c r="D477" s="128" t="str">
        <f>IFERROR(VLOOKUP($B:$B,[20]свод!$A:$AB,3,0)," ")</f>
        <v>Уйчи тумани</v>
      </c>
      <c r="E477" s="7" t="s">
        <v>1620</v>
      </c>
      <c r="F477" s="7" t="s">
        <v>8020</v>
      </c>
      <c r="G477" s="134">
        <f t="shared" si="58"/>
        <v>1</v>
      </c>
      <c r="H477" s="134" t="str">
        <f t="shared" si="59"/>
        <v/>
      </c>
      <c r="I477" s="7" t="s">
        <v>158</v>
      </c>
      <c r="J477" s="7" t="s">
        <v>2</v>
      </c>
      <c r="K477" s="7"/>
      <c r="L477" s="7" t="s">
        <v>167</v>
      </c>
      <c r="M477" s="7" t="s">
        <v>4521</v>
      </c>
      <c r="N477" s="7" t="s">
        <v>170</v>
      </c>
      <c r="O477" s="7" t="s">
        <v>162</v>
      </c>
      <c r="P477" s="7" t="s">
        <v>6544</v>
      </c>
      <c r="Q477" s="129">
        <v>46199</v>
      </c>
      <c r="R477" s="130">
        <f t="shared" si="57"/>
        <v>46205</v>
      </c>
      <c r="S477" s="131">
        <f t="shared" si="61"/>
        <v>6</v>
      </c>
      <c r="T477" s="7" t="s">
        <v>947</v>
      </c>
      <c r="U477" s="7" t="s">
        <v>399</v>
      </c>
      <c r="V477" s="7"/>
      <c r="W477" s="7">
        <v>20.3</v>
      </c>
      <c r="X477" s="132">
        <f t="shared" si="62"/>
        <v>10</v>
      </c>
      <c r="Y477" s="133"/>
      <c r="Z477" s="133"/>
      <c r="AA477" s="133"/>
    </row>
    <row r="478" spans="1:27" hidden="1" x14ac:dyDescent="0.25">
      <c r="A478" s="127">
        <v>561</v>
      </c>
      <c r="B478" s="128" t="str">
        <f t="shared" si="60"/>
        <v>NORT</v>
      </c>
      <c r="C478" s="128" t="str">
        <f>+VLOOKUP(U478,Ходим!A:B,2,0)</f>
        <v>51304005900090</v>
      </c>
      <c r="D478" s="128" t="str">
        <f>IFERROR(VLOOKUP($B:$B,[20]свод!$A:$AB,3,0)," ")</f>
        <v>Норин тумани</v>
      </c>
      <c r="E478" s="7" t="s">
        <v>1621</v>
      </c>
      <c r="F478" s="7" t="s">
        <v>8021</v>
      </c>
      <c r="G478" s="134">
        <f t="shared" si="58"/>
        <v>1</v>
      </c>
      <c r="H478" s="134" t="str">
        <f t="shared" si="59"/>
        <v/>
      </c>
      <c r="I478" s="7" t="s">
        <v>158</v>
      </c>
      <c r="J478" s="7" t="s">
        <v>1</v>
      </c>
      <c r="K478" s="7"/>
      <c r="L478" s="7" t="s">
        <v>167</v>
      </c>
      <c r="M478" s="7" t="s">
        <v>4522</v>
      </c>
      <c r="N478" s="7" t="s">
        <v>170</v>
      </c>
      <c r="O478" s="7" t="s">
        <v>162</v>
      </c>
      <c r="P478" s="7" t="s">
        <v>6544</v>
      </c>
      <c r="Q478" s="129">
        <v>46199</v>
      </c>
      <c r="R478" s="130">
        <f t="shared" si="57"/>
        <v>46205</v>
      </c>
      <c r="S478" s="131">
        <f t="shared" si="61"/>
        <v>6</v>
      </c>
      <c r="T478" s="7" t="s">
        <v>210</v>
      </c>
      <c r="U478" s="7" t="s">
        <v>336</v>
      </c>
      <c r="V478" s="7"/>
      <c r="W478" s="7">
        <v>371.8</v>
      </c>
      <c r="X478" s="132">
        <f t="shared" si="62"/>
        <v>10</v>
      </c>
      <c r="Y478" s="133"/>
      <c r="Z478" s="133"/>
      <c r="AA478" s="133"/>
    </row>
    <row r="479" spans="1:27" hidden="1" x14ac:dyDescent="0.25">
      <c r="A479" s="127">
        <v>562</v>
      </c>
      <c r="B479" s="128" t="str">
        <f t="shared" si="60"/>
        <v>KSST</v>
      </c>
      <c r="C479" s="128" t="str">
        <f>+VLOOKUP(U479,Ходим!A:B,2,0)</f>
        <v>31611995980026</v>
      </c>
      <c r="D479" s="128" t="str">
        <f>IFERROR(VLOOKUP($B:$B,[20]свод!$A:$AB,3,0)," ")</f>
        <v>Косонсой тумани</v>
      </c>
      <c r="E479" s="7" t="s">
        <v>1622</v>
      </c>
      <c r="F479" s="7" t="s">
        <v>8022</v>
      </c>
      <c r="G479" s="134">
        <f t="shared" si="58"/>
        <v>1</v>
      </c>
      <c r="H479" s="134" t="str">
        <f t="shared" si="59"/>
        <v/>
      </c>
      <c r="I479" s="7" t="s">
        <v>158</v>
      </c>
      <c r="J479" s="7" t="s">
        <v>2</v>
      </c>
      <c r="K479" s="7"/>
      <c r="L479" s="7"/>
      <c r="M479" s="7"/>
      <c r="N479" s="7" t="s">
        <v>170</v>
      </c>
      <c r="O479" s="7" t="s">
        <v>162</v>
      </c>
      <c r="P479" s="7" t="s">
        <v>6545</v>
      </c>
      <c r="Q479" s="129">
        <v>46199</v>
      </c>
      <c r="R479" s="130">
        <f t="shared" si="57"/>
        <v>46211</v>
      </c>
      <c r="S479" s="131">
        <f t="shared" si="61"/>
        <v>12</v>
      </c>
      <c r="T479" s="7" t="s">
        <v>180</v>
      </c>
      <c r="U479" s="7" t="s">
        <v>181</v>
      </c>
      <c r="V479" s="7"/>
      <c r="W479" s="7"/>
      <c r="X479" s="132">
        <f t="shared" si="62"/>
        <v>10</v>
      </c>
      <c r="Y479" s="133"/>
      <c r="Z479" s="133"/>
      <c r="AA479" s="133"/>
    </row>
    <row r="480" spans="1:27" hidden="1" x14ac:dyDescent="0.25">
      <c r="A480" s="127">
        <v>564</v>
      </c>
      <c r="B480" s="128" t="str">
        <f t="shared" si="60"/>
        <v>NAMS</v>
      </c>
      <c r="C480" s="128" t="str">
        <f>+VLOOKUP(U480,Ходим!A:B,2,0)</f>
        <v>51705025890024</v>
      </c>
      <c r="D480" s="128" t="str">
        <f>IFERROR(VLOOKUP($B:$B,[20]свод!$A:$AB,3,0)," ")</f>
        <v>Наманган шаҳар</v>
      </c>
      <c r="E480" s="7" t="s">
        <v>1623</v>
      </c>
      <c r="F480" s="7" t="s">
        <v>8023</v>
      </c>
      <c r="G480" s="134">
        <f t="shared" si="58"/>
        <v>1</v>
      </c>
      <c r="H480" s="134" t="str">
        <f t="shared" si="59"/>
        <v/>
      </c>
      <c r="I480" s="7" t="s">
        <v>158</v>
      </c>
      <c r="J480" s="7" t="s">
        <v>2</v>
      </c>
      <c r="K480" s="7"/>
      <c r="L480" s="7" t="s">
        <v>167</v>
      </c>
      <c r="M480" s="7" t="s">
        <v>4523</v>
      </c>
      <c r="N480" s="7" t="s">
        <v>170</v>
      </c>
      <c r="O480" s="7" t="s">
        <v>163</v>
      </c>
      <c r="P480" s="7" t="s">
        <v>6476</v>
      </c>
      <c r="Q480" s="129">
        <v>46199</v>
      </c>
      <c r="R480" s="130">
        <f t="shared" si="57"/>
        <v>46205</v>
      </c>
      <c r="S480" s="131">
        <f t="shared" si="61"/>
        <v>6</v>
      </c>
      <c r="T480" s="7" t="s">
        <v>173</v>
      </c>
      <c r="U480" s="7" t="s">
        <v>189</v>
      </c>
      <c r="V480" s="7"/>
      <c r="W480" s="7">
        <v>0</v>
      </c>
      <c r="X480" s="132">
        <f t="shared" si="62"/>
        <v>10</v>
      </c>
      <c r="Y480" s="133"/>
      <c r="Z480" s="133"/>
      <c r="AA480" s="133"/>
    </row>
    <row r="481" spans="1:27" hidden="1" x14ac:dyDescent="0.25">
      <c r="A481" s="127">
        <v>565</v>
      </c>
      <c r="B481" s="128" t="str">
        <f t="shared" si="60"/>
        <v>YGQT</v>
      </c>
      <c r="C481" s="128" t="str">
        <f>+VLOOKUP(U481,Ходим!A:B,2,0)</f>
        <v>30502995950058</v>
      </c>
      <c r="D481" s="128" t="str">
        <f>IFERROR(VLOOKUP($B:$B,[20]свод!$A:$AB,3,0)," ")</f>
        <v>Янгиқўрғон тумани</v>
      </c>
      <c r="E481" s="7" t="s">
        <v>1624</v>
      </c>
      <c r="F481" s="7" t="s">
        <v>8024</v>
      </c>
      <c r="G481" s="134">
        <f t="shared" si="58"/>
        <v>1</v>
      </c>
      <c r="H481" s="134" t="str">
        <f t="shared" si="59"/>
        <v/>
      </c>
      <c r="I481" s="7" t="s">
        <v>158</v>
      </c>
      <c r="J481" s="7" t="s">
        <v>2</v>
      </c>
      <c r="K481" s="7"/>
      <c r="L481" s="7" t="s">
        <v>167</v>
      </c>
      <c r="M481" s="7" t="s">
        <v>4524</v>
      </c>
      <c r="N481" s="7" t="s">
        <v>170</v>
      </c>
      <c r="O481" s="7" t="s">
        <v>162</v>
      </c>
      <c r="P481" s="7" t="s">
        <v>6546</v>
      </c>
      <c r="Q481" s="129">
        <v>46199</v>
      </c>
      <c r="R481" s="130">
        <f t="shared" si="57"/>
        <v>46205</v>
      </c>
      <c r="S481" s="131">
        <f t="shared" si="61"/>
        <v>6</v>
      </c>
      <c r="T481" s="7" t="s">
        <v>255</v>
      </c>
      <c r="U481" s="7" t="s">
        <v>340</v>
      </c>
      <c r="V481" s="7"/>
      <c r="W481" s="7">
        <v>874.69</v>
      </c>
      <c r="X481" s="132">
        <f t="shared" si="62"/>
        <v>10</v>
      </c>
      <c r="Y481" s="133"/>
      <c r="Z481" s="133"/>
      <c r="AA481" s="133"/>
    </row>
    <row r="482" spans="1:27" hidden="1" x14ac:dyDescent="0.25">
      <c r="A482" s="127">
        <v>567</v>
      </c>
      <c r="B482" s="128" t="str">
        <f t="shared" si="60"/>
        <v>UYCT</v>
      </c>
      <c r="C482" s="128" t="str">
        <f>+VLOOKUP(U482,Ходим!A:B,2,0)</f>
        <v>52811025930077</v>
      </c>
      <c r="D482" s="128" t="str">
        <f>IFERROR(VLOOKUP($B:$B,[20]свод!$A:$AB,3,0)," ")</f>
        <v>Уйчи тумани</v>
      </c>
      <c r="E482" s="7" t="s">
        <v>1625</v>
      </c>
      <c r="F482" s="7" t="s">
        <v>8025</v>
      </c>
      <c r="G482" s="134" t="str">
        <f t="shared" si="58"/>
        <v/>
      </c>
      <c r="H482" s="134">
        <f t="shared" si="59"/>
        <v>1</v>
      </c>
      <c r="I482" s="7" t="s">
        <v>157</v>
      </c>
      <c r="J482" s="7" t="s">
        <v>134</v>
      </c>
      <c r="K482" s="7"/>
      <c r="L482" s="7" t="s">
        <v>166</v>
      </c>
      <c r="M482" s="7" t="s">
        <v>4525</v>
      </c>
      <c r="N482" s="7" t="s">
        <v>170</v>
      </c>
      <c r="O482" s="7" t="s">
        <v>161</v>
      </c>
      <c r="P482" s="7" t="s">
        <v>6502</v>
      </c>
      <c r="Q482" s="129">
        <v>46199</v>
      </c>
      <c r="R482" s="130">
        <f t="shared" si="57"/>
        <v>46205</v>
      </c>
      <c r="S482" s="131">
        <f t="shared" si="61"/>
        <v>6</v>
      </c>
      <c r="T482" s="7" t="s">
        <v>379</v>
      </c>
      <c r="U482" s="7" t="s">
        <v>356</v>
      </c>
      <c r="V482" s="7"/>
      <c r="W482" s="7">
        <v>0</v>
      </c>
      <c r="X482" s="132">
        <f t="shared" si="62"/>
        <v>10</v>
      </c>
      <c r="Y482" s="133"/>
      <c r="Z482" s="133"/>
      <c r="AA482" s="133"/>
    </row>
    <row r="483" spans="1:27" hidden="1" x14ac:dyDescent="0.25">
      <c r="A483" s="127">
        <v>568</v>
      </c>
      <c r="B483" s="128" t="str">
        <f t="shared" si="60"/>
        <v>POPT</v>
      </c>
      <c r="C483" s="128" t="str">
        <f>+VLOOKUP(U483,Ходим!A:B,2,0)</f>
        <v>30608945910016</v>
      </c>
      <c r="D483" s="128" t="str">
        <f>IFERROR(VLOOKUP($B:$B,[20]свод!$A:$AB,3,0)," ")</f>
        <v>Поп тумани</v>
      </c>
      <c r="E483" s="7" t="s">
        <v>1626</v>
      </c>
      <c r="F483" s="7" t="s">
        <v>8026</v>
      </c>
      <c r="G483" s="134">
        <f t="shared" si="58"/>
        <v>1</v>
      </c>
      <c r="H483" s="134" t="str">
        <f t="shared" si="59"/>
        <v/>
      </c>
      <c r="I483" s="7" t="s">
        <v>158</v>
      </c>
      <c r="J483" s="7" t="s">
        <v>2</v>
      </c>
      <c r="K483" s="7"/>
      <c r="L483" s="7"/>
      <c r="M483" s="7"/>
      <c r="N483" s="7" t="s">
        <v>170</v>
      </c>
      <c r="O483" s="7" t="s">
        <v>162</v>
      </c>
      <c r="P483" s="7" t="s">
        <v>6546</v>
      </c>
      <c r="Q483" s="129">
        <v>46199</v>
      </c>
      <c r="R483" s="130">
        <f t="shared" si="57"/>
        <v>46205</v>
      </c>
      <c r="S483" s="131">
        <f t="shared" si="61"/>
        <v>6</v>
      </c>
      <c r="T483" s="7" t="s">
        <v>214</v>
      </c>
      <c r="U483" s="7" t="s">
        <v>295</v>
      </c>
      <c r="V483" s="7"/>
      <c r="W483" s="7"/>
      <c r="X483" s="132">
        <f t="shared" si="62"/>
        <v>10</v>
      </c>
      <c r="Y483" s="133"/>
      <c r="Z483" s="133"/>
      <c r="AA483" s="133"/>
    </row>
    <row r="484" spans="1:27" hidden="1" x14ac:dyDescent="0.25">
      <c r="A484" s="127">
        <v>569</v>
      </c>
      <c r="B484" s="128" t="str">
        <f t="shared" si="60"/>
        <v>TORT</v>
      </c>
      <c r="C484" s="128" t="str">
        <f>+VLOOKUP(U484,Ходим!A:B,2,0)</f>
        <v>31110892130070</v>
      </c>
      <c r="D484" s="128" t="str">
        <f>IFERROR(VLOOKUP($B:$B,[20]свод!$A:$AB,3,0)," ")</f>
        <v>Тўрақўрғон тумани</v>
      </c>
      <c r="E484" s="7" t="s">
        <v>1627</v>
      </c>
      <c r="F484" s="7" t="s">
        <v>8027</v>
      </c>
      <c r="G484" s="134" t="str">
        <f t="shared" si="58"/>
        <v/>
      </c>
      <c r="H484" s="134">
        <f t="shared" si="59"/>
        <v>1</v>
      </c>
      <c r="I484" s="7" t="s">
        <v>155</v>
      </c>
      <c r="J484" s="7" t="s">
        <v>25</v>
      </c>
      <c r="K484" s="7"/>
      <c r="L484" s="7"/>
      <c r="M484" s="7"/>
      <c r="N484" s="7" t="s">
        <v>170</v>
      </c>
      <c r="O484" s="7" t="s">
        <v>161</v>
      </c>
      <c r="P484" s="7" t="s">
        <v>6327</v>
      </c>
      <c r="Q484" s="129">
        <v>46199</v>
      </c>
      <c r="R484" s="130">
        <f t="shared" si="57"/>
        <v>46204</v>
      </c>
      <c r="S484" s="131">
        <f t="shared" si="61"/>
        <v>5</v>
      </c>
      <c r="T484" s="7" t="s">
        <v>203</v>
      </c>
      <c r="U484" s="7" t="s">
        <v>297</v>
      </c>
      <c r="V484" s="7"/>
      <c r="W484" s="7"/>
      <c r="X484" s="132">
        <f t="shared" si="62"/>
        <v>10</v>
      </c>
      <c r="Y484" s="133"/>
      <c r="Z484" s="133"/>
      <c r="AA484" s="133"/>
    </row>
    <row r="485" spans="1:27" hidden="1" x14ac:dyDescent="0.25">
      <c r="A485" s="127">
        <v>570</v>
      </c>
      <c r="B485" s="128" t="str">
        <f t="shared" si="60"/>
        <v>TORT</v>
      </c>
      <c r="C485" s="128" t="str">
        <f>+VLOOKUP(U485,Ходим!A:B,2,0)</f>
        <v>31306842130078</v>
      </c>
      <c r="D485" s="128" t="str">
        <f>IFERROR(VLOOKUP($B:$B,[20]свод!$A:$AB,3,0)," ")</f>
        <v>Тўрақўрғон тумани</v>
      </c>
      <c r="E485" s="7" t="s">
        <v>1628</v>
      </c>
      <c r="F485" s="7" t="s">
        <v>8028</v>
      </c>
      <c r="G485" s="134">
        <f t="shared" si="58"/>
        <v>1</v>
      </c>
      <c r="H485" s="134" t="str">
        <f t="shared" si="59"/>
        <v/>
      </c>
      <c r="I485" s="7" t="s">
        <v>158</v>
      </c>
      <c r="J485" s="7" t="s">
        <v>2</v>
      </c>
      <c r="K485" s="7"/>
      <c r="L485" s="7" t="s">
        <v>167</v>
      </c>
      <c r="M485" s="7" t="s">
        <v>4526</v>
      </c>
      <c r="N485" s="7" t="s">
        <v>170</v>
      </c>
      <c r="O485" s="7" t="s">
        <v>162</v>
      </c>
      <c r="P485" s="7" t="s">
        <v>6326</v>
      </c>
      <c r="Q485" s="129">
        <v>46199</v>
      </c>
      <c r="R485" s="130">
        <f t="shared" si="57"/>
        <v>46204</v>
      </c>
      <c r="S485" s="131">
        <f t="shared" si="61"/>
        <v>5</v>
      </c>
      <c r="T485" s="7" t="s">
        <v>203</v>
      </c>
      <c r="U485" s="7" t="s">
        <v>219</v>
      </c>
      <c r="V485" s="7"/>
      <c r="W485" s="7">
        <v>201.3</v>
      </c>
      <c r="X485" s="132">
        <f t="shared" si="62"/>
        <v>10</v>
      </c>
      <c r="Y485" s="133"/>
      <c r="Z485" s="133"/>
      <c r="AA485" s="133"/>
    </row>
    <row r="486" spans="1:27" hidden="1" x14ac:dyDescent="0.25">
      <c r="A486" s="127">
        <v>571</v>
      </c>
      <c r="B486" s="128" t="str">
        <f t="shared" si="60"/>
        <v>UYCT</v>
      </c>
      <c r="C486" s="128" t="str">
        <f>+VLOOKUP(U486,Ходим!A:B,2,0)</f>
        <v>31310995930032</v>
      </c>
      <c r="D486" s="128" t="str">
        <f>IFERROR(VLOOKUP($B:$B,[20]свод!$A:$AB,3,0)," ")</f>
        <v>Уйчи тумани</v>
      </c>
      <c r="E486" s="7" t="s">
        <v>1629</v>
      </c>
      <c r="F486" s="7" t="s">
        <v>8029</v>
      </c>
      <c r="G486" s="134">
        <f t="shared" si="58"/>
        <v>1</v>
      </c>
      <c r="H486" s="134" t="str">
        <f t="shared" si="59"/>
        <v/>
      </c>
      <c r="I486" s="7" t="s">
        <v>158</v>
      </c>
      <c r="J486" s="7" t="s">
        <v>2</v>
      </c>
      <c r="K486" s="7"/>
      <c r="L486" s="7" t="s">
        <v>167</v>
      </c>
      <c r="M486" s="7" t="s">
        <v>4527</v>
      </c>
      <c r="N486" s="7" t="s">
        <v>170</v>
      </c>
      <c r="O486" s="7" t="s">
        <v>162</v>
      </c>
      <c r="P486" s="7" t="s">
        <v>6445</v>
      </c>
      <c r="Q486" s="129">
        <v>46199</v>
      </c>
      <c r="R486" s="130">
        <f t="shared" si="57"/>
        <v>46205</v>
      </c>
      <c r="S486" s="131">
        <f t="shared" si="61"/>
        <v>6</v>
      </c>
      <c r="T486" s="7" t="s">
        <v>947</v>
      </c>
      <c r="U486" s="7" t="s">
        <v>399</v>
      </c>
      <c r="V486" s="7"/>
      <c r="W486" s="7">
        <v>169.17</v>
      </c>
      <c r="X486" s="132">
        <f t="shared" si="62"/>
        <v>10</v>
      </c>
      <c r="Y486" s="133"/>
      <c r="Z486" s="133"/>
      <c r="AA486" s="133"/>
    </row>
    <row r="487" spans="1:27" hidden="1" x14ac:dyDescent="0.25">
      <c r="A487" s="127">
        <v>572</v>
      </c>
      <c r="B487" s="128" t="str">
        <f t="shared" si="60"/>
        <v>TORT</v>
      </c>
      <c r="C487" s="128" t="str">
        <f>+VLOOKUP(U487,Ходим!A:B,2,0)</f>
        <v>52603025920015</v>
      </c>
      <c r="D487" s="128" t="str">
        <f>IFERROR(VLOOKUP($B:$B,[20]свод!$A:$AB,3,0)," ")</f>
        <v>Тўрақўрғон тумани</v>
      </c>
      <c r="E487" s="7" t="s">
        <v>1630</v>
      </c>
      <c r="F487" s="7" t="s">
        <v>8030</v>
      </c>
      <c r="G487" s="134">
        <f t="shared" si="58"/>
        <v>1</v>
      </c>
      <c r="H487" s="134" t="str">
        <f t="shared" si="59"/>
        <v/>
      </c>
      <c r="I487" s="7" t="s">
        <v>158</v>
      </c>
      <c r="J487" s="7" t="s">
        <v>2</v>
      </c>
      <c r="K487" s="7"/>
      <c r="L487" s="7" t="s">
        <v>167</v>
      </c>
      <c r="M487" s="7" t="s">
        <v>4528</v>
      </c>
      <c r="N487" s="7" t="s">
        <v>170</v>
      </c>
      <c r="O487" s="7" t="s">
        <v>163</v>
      </c>
      <c r="P487" s="7" t="s">
        <v>6333</v>
      </c>
      <c r="Q487" s="129">
        <v>46199</v>
      </c>
      <c r="R487" s="130">
        <f t="shared" si="57"/>
        <v>46204</v>
      </c>
      <c r="S487" s="131">
        <f t="shared" si="61"/>
        <v>5</v>
      </c>
      <c r="T487" s="7" t="s">
        <v>203</v>
      </c>
      <c r="U487" s="7" t="s">
        <v>374</v>
      </c>
      <c r="V487" s="7"/>
      <c r="W487" s="7">
        <v>220.42</v>
      </c>
      <c r="X487" s="132">
        <f t="shared" si="62"/>
        <v>10</v>
      </c>
      <c r="Y487" s="133"/>
      <c r="Z487" s="133"/>
      <c r="AA487" s="133"/>
    </row>
    <row r="488" spans="1:27" hidden="1" x14ac:dyDescent="0.25">
      <c r="A488" s="127">
        <v>573</v>
      </c>
      <c r="B488" s="128" t="str">
        <f t="shared" si="60"/>
        <v>NAMS</v>
      </c>
      <c r="C488" s="128" t="str">
        <f>+VLOOKUP(U488,Ходим!A:B,2,0)</f>
        <v>51911035960011</v>
      </c>
      <c r="D488" s="128" t="str">
        <f>IFERROR(VLOOKUP($B:$B,[20]свод!$A:$AB,3,0)," ")</f>
        <v>Наманган шаҳар</v>
      </c>
      <c r="E488" s="7" t="s">
        <v>1631</v>
      </c>
      <c r="F488" s="7" t="s">
        <v>8031</v>
      </c>
      <c r="G488" s="134">
        <f t="shared" si="58"/>
        <v>1</v>
      </c>
      <c r="H488" s="134" t="str">
        <f t="shared" si="59"/>
        <v/>
      </c>
      <c r="I488" s="7" t="s">
        <v>158</v>
      </c>
      <c r="J488" s="7" t="s">
        <v>2</v>
      </c>
      <c r="K488" s="7"/>
      <c r="L488" s="7"/>
      <c r="M488" s="7"/>
      <c r="N488" s="7" t="s">
        <v>170</v>
      </c>
      <c r="O488" s="7" t="s">
        <v>162</v>
      </c>
      <c r="P488" s="7" t="s">
        <v>6547</v>
      </c>
      <c r="Q488" s="129">
        <v>46199</v>
      </c>
      <c r="R488" s="130">
        <f t="shared" si="57"/>
        <v>46205</v>
      </c>
      <c r="S488" s="131">
        <f t="shared" si="61"/>
        <v>6</v>
      </c>
      <c r="T488" s="7" t="s">
        <v>173</v>
      </c>
      <c r="U488" s="7" t="s">
        <v>371</v>
      </c>
      <c r="V488" s="7"/>
      <c r="W488" s="7"/>
      <c r="X488" s="132">
        <f t="shared" si="62"/>
        <v>10</v>
      </c>
      <c r="Y488" s="133"/>
      <c r="Z488" s="133"/>
      <c r="AA488" s="133"/>
    </row>
    <row r="489" spans="1:27" hidden="1" x14ac:dyDescent="0.25">
      <c r="A489" s="127">
        <v>574</v>
      </c>
      <c r="B489" s="128" t="str">
        <f t="shared" si="60"/>
        <v>NAMS</v>
      </c>
      <c r="C489" s="128" t="str">
        <f>+VLOOKUP(U489,Ходим!A:B,2,0)</f>
        <v>30302942170072</v>
      </c>
      <c r="D489" s="128" t="str">
        <f>IFERROR(VLOOKUP($B:$B,[20]свод!$A:$AB,3,0)," ")</f>
        <v>Наманган шаҳар</v>
      </c>
      <c r="E489" s="7" t="s">
        <v>1632</v>
      </c>
      <c r="F489" s="7" t="s">
        <v>8032</v>
      </c>
      <c r="G489" s="134" t="str">
        <f t="shared" si="58"/>
        <v/>
      </c>
      <c r="H489" s="134">
        <f t="shared" si="59"/>
        <v>1</v>
      </c>
      <c r="I489" s="7" t="s">
        <v>157</v>
      </c>
      <c r="J489" s="7" t="s">
        <v>2</v>
      </c>
      <c r="K489" s="7"/>
      <c r="L489" s="7" t="s">
        <v>166</v>
      </c>
      <c r="M489" s="7" t="s">
        <v>1027</v>
      </c>
      <c r="N489" s="7" t="s">
        <v>170</v>
      </c>
      <c r="O489" s="7" t="s">
        <v>161</v>
      </c>
      <c r="P489" s="7" t="s">
        <v>6407</v>
      </c>
      <c r="Q489" s="129">
        <v>46199</v>
      </c>
      <c r="R489" s="130">
        <f t="shared" si="57"/>
        <v>46213</v>
      </c>
      <c r="S489" s="131">
        <f t="shared" si="61"/>
        <v>14</v>
      </c>
      <c r="T489" s="7" t="s">
        <v>173</v>
      </c>
      <c r="U489" s="7" t="s">
        <v>325</v>
      </c>
      <c r="V489" s="7"/>
      <c r="W489" s="7">
        <v>813.44</v>
      </c>
      <c r="X489" s="132">
        <f t="shared" si="62"/>
        <v>12</v>
      </c>
      <c r="Y489" s="133"/>
      <c r="Z489" s="133"/>
      <c r="AA489" s="133"/>
    </row>
    <row r="490" spans="1:27" hidden="1" x14ac:dyDescent="0.25">
      <c r="A490" s="127">
        <v>575</v>
      </c>
      <c r="B490" s="128" t="str">
        <f t="shared" si="60"/>
        <v>MINT</v>
      </c>
      <c r="C490" s="128" t="str">
        <f>+VLOOKUP(U490,Ходим!A:B,2,0)</f>
        <v>31205995920018</v>
      </c>
      <c r="D490" s="128" t="str">
        <f>IFERROR(VLOOKUP($B:$B,[20]свод!$A:$AB,3,0)," ")</f>
        <v>Мингбулоқ тумани</v>
      </c>
      <c r="E490" s="7" t="s">
        <v>1633</v>
      </c>
      <c r="F490" s="7" t="s">
        <v>8033</v>
      </c>
      <c r="G490" s="134">
        <f t="shared" si="58"/>
        <v>1</v>
      </c>
      <c r="H490" s="134" t="str">
        <f t="shared" si="59"/>
        <v/>
      </c>
      <c r="I490" s="7" t="s">
        <v>158</v>
      </c>
      <c r="J490" s="7" t="s">
        <v>1</v>
      </c>
      <c r="K490" s="7"/>
      <c r="L490" s="7" t="s">
        <v>167</v>
      </c>
      <c r="M490" s="7" t="s">
        <v>4529</v>
      </c>
      <c r="N490" s="7" t="s">
        <v>170</v>
      </c>
      <c r="O490" s="7" t="s">
        <v>162</v>
      </c>
      <c r="P490" s="7" t="s">
        <v>6315</v>
      </c>
      <c r="Q490" s="129">
        <v>46199</v>
      </c>
      <c r="R490" s="130">
        <f t="shared" si="57"/>
        <v>46204</v>
      </c>
      <c r="S490" s="131">
        <f t="shared" si="61"/>
        <v>5</v>
      </c>
      <c r="T490" s="7" t="s">
        <v>220</v>
      </c>
      <c r="U490" s="7" t="s">
        <v>271</v>
      </c>
      <c r="V490" s="7"/>
      <c r="W490" s="7">
        <v>301.89999999999998</v>
      </c>
      <c r="X490" s="132">
        <f t="shared" si="62"/>
        <v>10</v>
      </c>
      <c r="Y490" s="133"/>
      <c r="Z490" s="133"/>
      <c r="AA490" s="133"/>
    </row>
    <row r="491" spans="1:27" hidden="1" x14ac:dyDescent="0.25">
      <c r="A491" s="127">
        <v>576</v>
      </c>
      <c r="B491" s="128" t="str">
        <f t="shared" si="60"/>
        <v>TORT</v>
      </c>
      <c r="C491" s="128" t="str">
        <f>+VLOOKUP(U491,Ходим!A:B,2,0)</f>
        <v>31609912130025</v>
      </c>
      <c r="D491" s="128" t="str">
        <f>IFERROR(VLOOKUP($B:$B,[20]свод!$A:$AB,3,0)," ")</f>
        <v>Тўрақўрғон тумани</v>
      </c>
      <c r="E491" s="7" t="s">
        <v>1634</v>
      </c>
      <c r="F491" s="7" t="s">
        <v>8034</v>
      </c>
      <c r="G491" s="134">
        <f t="shared" si="58"/>
        <v>1</v>
      </c>
      <c r="H491" s="134" t="str">
        <f t="shared" si="59"/>
        <v/>
      </c>
      <c r="I491" s="7" t="s">
        <v>154</v>
      </c>
      <c r="J491" s="7" t="s">
        <v>2</v>
      </c>
      <c r="K491" s="7"/>
      <c r="L491" s="7" t="s">
        <v>167</v>
      </c>
      <c r="M491" s="7" t="s">
        <v>4530</v>
      </c>
      <c r="N491" s="7" t="s">
        <v>170</v>
      </c>
      <c r="O491" s="7" t="s">
        <v>162</v>
      </c>
      <c r="P491" s="7" t="s">
        <v>6548</v>
      </c>
      <c r="Q491" s="129">
        <v>46199</v>
      </c>
      <c r="R491" s="130">
        <f t="shared" si="57"/>
        <v>46205</v>
      </c>
      <c r="S491" s="131">
        <f t="shared" si="61"/>
        <v>6</v>
      </c>
      <c r="T491" s="7" t="s">
        <v>203</v>
      </c>
      <c r="U491" s="7" t="s">
        <v>280</v>
      </c>
      <c r="V491" s="7"/>
      <c r="W491" s="7">
        <v>24.08</v>
      </c>
      <c r="X491" s="132">
        <f t="shared" si="62"/>
        <v>10</v>
      </c>
      <c r="Y491" s="133"/>
      <c r="Z491" s="133"/>
      <c r="AA491" s="133"/>
    </row>
    <row r="492" spans="1:27" hidden="1" x14ac:dyDescent="0.25">
      <c r="A492" s="127">
        <v>577</v>
      </c>
      <c r="B492" s="128" t="str">
        <f t="shared" si="60"/>
        <v>UCQT</v>
      </c>
      <c r="C492" s="128" t="str">
        <f>+VLOOKUP(U492,Ходим!A:B,2,0)</f>
        <v>40906955940018</v>
      </c>
      <c r="D492" s="128" t="str">
        <f>IFERROR(VLOOKUP($B:$B,[20]свод!$A:$AB,3,0)," ")</f>
        <v>Учқўрғон тумани</v>
      </c>
      <c r="E492" s="7" t="s">
        <v>1635</v>
      </c>
      <c r="F492" s="7" t="s">
        <v>8035</v>
      </c>
      <c r="G492" s="134">
        <f t="shared" si="58"/>
        <v>1</v>
      </c>
      <c r="H492" s="134" t="str">
        <f t="shared" si="59"/>
        <v/>
      </c>
      <c r="I492" s="7" t="s">
        <v>158</v>
      </c>
      <c r="J492" s="7" t="s">
        <v>172</v>
      </c>
      <c r="K492" s="7"/>
      <c r="L492" s="7" t="s">
        <v>167</v>
      </c>
      <c r="M492" s="7" t="s">
        <v>4531</v>
      </c>
      <c r="N492" s="7" t="s">
        <v>170</v>
      </c>
      <c r="O492" s="7" t="s">
        <v>162</v>
      </c>
      <c r="P492" s="7" t="s">
        <v>6547</v>
      </c>
      <c r="Q492" s="129">
        <v>46199</v>
      </c>
      <c r="R492" s="130">
        <f t="shared" ref="R492:R554" si="63">WORKDAY(P492,X492,$Y$1:$AA$1)</f>
        <v>46205</v>
      </c>
      <c r="S492" s="131">
        <f t="shared" si="61"/>
        <v>6</v>
      </c>
      <c r="T492" s="7" t="s">
        <v>175</v>
      </c>
      <c r="U492" s="7" t="s">
        <v>330</v>
      </c>
      <c r="V492" s="7"/>
      <c r="W492" s="7">
        <v>93.88</v>
      </c>
      <c r="X492" s="132">
        <f t="shared" ref="X492:X546" si="64">IF(N492="Kadastr muhandisi",3,
IF(N492="UZKAD",5,
IF(V492="FREE",5,
IF(I492="Registratsiya (tashqi - UZKAD da bor)",1,
IF(I492="Avtoyo'l va suv xo'jaligi obyektining kadastr pasportini shakllantirish va ro'yxatga olish",7,
IF(I492="Notarius uchun ma'lumotnoma (uz)",1,
IF(I492="Qurilishi tugallangan ko'chmas mulkni foydalanishga qabul qilish",10,
IF(OR(I492="Turar joy obyektning kadastr pasportini shakllantirish va davlat ro'yxatidan o'tkazish",I492="Turar kompozit"),
IF(L492="Turar yer maydoni",7,10),
IF(OR(I492="Noturar obyektning kadastr pasportini shakllantirish va davlat ro'yxatidan o'tkazish",I492="Noturar kompozit"),
IF(O492="Ko‘p yillik daraxtlar xizmati",15,
IF(OR(L492="Noturar yer maydoni",L492="Davlat tashkilotlaridan ijaraga olingan yer uchastkasi"),7,
IF(W492&lt;100,10,IF(W492&lt;=1000,12,IF(W492&lt;=5000,17,IF(W492&lt;=15000,22,IF(W492&lt;=50000,28,37))))))),
IF(I492="Umumiy foydalanishdagi ko'chmas mulk qismini yaratish",
IF(IF(TRIM(L492)="",IF(OR(O492="Turar joy xizmati",O492="Yakka tartibdagi turar joy"),"Turar","Noturar"),IF(OR(L492="Yakka tartibdagi turar joy",L492="Turar joy xizmati"),"Turar","Noturar"))="Turar",
10,IF(W492&lt;100,10,IF(W492&lt;=1000,12,IF(W492&lt;=5000,17,IF(W492&lt;=15000,22,IF(W492&lt;=50000,28,37)))))),
0))))))))))</f>
        <v>10</v>
      </c>
      <c r="Y492" s="133"/>
      <c r="Z492" s="133"/>
      <c r="AA492" s="133"/>
    </row>
    <row r="493" spans="1:27" hidden="1" x14ac:dyDescent="0.25">
      <c r="A493" s="127">
        <v>578</v>
      </c>
      <c r="B493" s="128" t="str">
        <f t="shared" ref="B493:B547" si="65">LEFT(E493,4)</f>
        <v>TORT</v>
      </c>
      <c r="C493" s="128" t="str">
        <f>+VLOOKUP(U493,Ходим!A:B,2,0)</f>
        <v>31306842130078</v>
      </c>
      <c r="D493" s="128" t="str">
        <f>IFERROR(VLOOKUP($B:$B,[20]свод!$A:$AB,3,0)," ")</f>
        <v>Тўрақўрғон тумани</v>
      </c>
      <c r="E493" s="7" t="s">
        <v>1636</v>
      </c>
      <c r="F493" s="7" t="s">
        <v>8036</v>
      </c>
      <c r="G493" s="134">
        <f t="shared" si="58"/>
        <v>1</v>
      </c>
      <c r="H493" s="134" t="str">
        <f t="shared" si="59"/>
        <v/>
      </c>
      <c r="I493" s="7" t="s">
        <v>158</v>
      </c>
      <c r="J493" s="7" t="s">
        <v>1</v>
      </c>
      <c r="K493" s="7"/>
      <c r="L493" s="7" t="s">
        <v>167</v>
      </c>
      <c r="M493" s="7" t="s">
        <v>4532</v>
      </c>
      <c r="N493" s="7" t="s">
        <v>170</v>
      </c>
      <c r="O493" s="7" t="s">
        <v>163</v>
      </c>
      <c r="P493" s="7" t="s">
        <v>6467</v>
      </c>
      <c r="Q493" s="129">
        <v>46199</v>
      </c>
      <c r="R493" s="130">
        <f t="shared" si="63"/>
        <v>46204</v>
      </c>
      <c r="S493" s="131">
        <f t="shared" ref="S493:S547" si="66">R493-Q493</f>
        <v>5</v>
      </c>
      <c r="T493" s="7" t="s">
        <v>203</v>
      </c>
      <c r="U493" s="7" t="s">
        <v>219</v>
      </c>
      <c r="V493" s="7"/>
      <c r="W493" s="7">
        <v>426.03</v>
      </c>
      <c r="X493" s="132">
        <f t="shared" si="64"/>
        <v>10</v>
      </c>
      <c r="Y493" s="133"/>
      <c r="Z493" s="133"/>
      <c r="AA493" s="133"/>
    </row>
    <row r="494" spans="1:27" hidden="1" x14ac:dyDescent="0.25">
      <c r="A494" s="127">
        <v>579</v>
      </c>
      <c r="B494" s="128" t="str">
        <f t="shared" si="65"/>
        <v>CHOT</v>
      </c>
      <c r="C494" s="128" t="str">
        <f>+VLOOKUP(U494,Ходим!A:B,2,0)</f>
        <v>50310015890046</v>
      </c>
      <c r="D494" s="128" t="str">
        <f>IFERROR(VLOOKUP($B:$B,[20]свод!$A:$AB,3,0)," ")</f>
        <v>Чортоқ тумани</v>
      </c>
      <c r="E494" s="7" t="s">
        <v>1637</v>
      </c>
      <c r="F494" s="7" t="s">
        <v>8037</v>
      </c>
      <c r="G494" s="134">
        <f t="shared" si="58"/>
        <v>1</v>
      </c>
      <c r="H494" s="134" t="str">
        <f t="shared" si="59"/>
        <v/>
      </c>
      <c r="I494" s="7" t="s">
        <v>158</v>
      </c>
      <c r="J494" s="7" t="s">
        <v>2</v>
      </c>
      <c r="K494" s="7"/>
      <c r="L494" s="7"/>
      <c r="M494" s="7"/>
      <c r="N494" s="7" t="s">
        <v>170</v>
      </c>
      <c r="O494" s="7" t="s">
        <v>162</v>
      </c>
      <c r="P494" s="7" t="s">
        <v>6549</v>
      </c>
      <c r="Q494" s="129">
        <v>46199</v>
      </c>
      <c r="R494" s="130">
        <f t="shared" si="63"/>
        <v>46211</v>
      </c>
      <c r="S494" s="131">
        <f t="shared" si="66"/>
        <v>12</v>
      </c>
      <c r="T494" s="7" t="s">
        <v>184</v>
      </c>
      <c r="U494" s="7" t="s">
        <v>404</v>
      </c>
      <c r="V494" s="7"/>
      <c r="W494" s="7"/>
      <c r="X494" s="132">
        <f t="shared" si="64"/>
        <v>10</v>
      </c>
      <c r="Y494" s="133"/>
      <c r="Z494" s="133"/>
      <c r="AA494" s="133"/>
    </row>
    <row r="495" spans="1:27" hidden="1" x14ac:dyDescent="0.25">
      <c r="A495" s="127">
        <v>580</v>
      </c>
      <c r="B495" s="128" t="str">
        <f t="shared" si="65"/>
        <v>MINT</v>
      </c>
      <c r="C495" s="128" t="e">
        <f>+VLOOKUP(U495,Ходим!A:B,2,0)</f>
        <v>#N/A</v>
      </c>
      <c r="D495" s="128" t="str">
        <f>IFERROR(VLOOKUP($B:$B,[20]свод!$A:$AB,3,0)," ")</f>
        <v>Мингбулоқ тумани</v>
      </c>
      <c r="E495" s="7" t="s">
        <v>1638</v>
      </c>
      <c r="F495" s="7" t="s">
        <v>8038</v>
      </c>
      <c r="G495" s="134">
        <f t="shared" si="58"/>
        <v>1</v>
      </c>
      <c r="H495" s="134" t="str">
        <f t="shared" si="59"/>
        <v/>
      </c>
      <c r="I495" s="7" t="s">
        <v>156</v>
      </c>
      <c r="J495" s="7" t="s">
        <v>11</v>
      </c>
      <c r="K495" s="7"/>
      <c r="L495" s="7" t="s">
        <v>167</v>
      </c>
      <c r="M495" s="7" t="s">
        <v>4533</v>
      </c>
      <c r="N495" s="7" t="s">
        <v>170</v>
      </c>
      <c r="O495" s="7" t="s">
        <v>162</v>
      </c>
      <c r="P495" s="7" t="s">
        <v>6549</v>
      </c>
      <c r="Q495" s="129">
        <v>46199</v>
      </c>
      <c r="R495" s="130">
        <f t="shared" si="63"/>
        <v>46211</v>
      </c>
      <c r="S495" s="131">
        <f t="shared" si="66"/>
        <v>12</v>
      </c>
      <c r="T495" s="7"/>
      <c r="U495" s="7"/>
      <c r="V495" s="7"/>
      <c r="W495" s="7">
        <v>401.91</v>
      </c>
      <c r="X495" s="132">
        <f t="shared" si="64"/>
        <v>10</v>
      </c>
      <c r="Y495" s="133"/>
      <c r="Z495" s="133"/>
      <c r="AA495" s="133"/>
    </row>
    <row r="496" spans="1:27" hidden="1" x14ac:dyDescent="0.25">
      <c r="A496" s="127">
        <v>581</v>
      </c>
      <c r="B496" s="128" t="str">
        <f t="shared" si="65"/>
        <v>UYCT</v>
      </c>
      <c r="C496" s="128" t="str">
        <f>+VLOOKUP(U496,Ходим!A:B,2,0)</f>
        <v>31101985930022</v>
      </c>
      <c r="D496" s="128" t="str">
        <f>IFERROR(VLOOKUP($B:$B,[20]свод!$A:$AB,3,0)," ")</f>
        <v>Уйчи тумани</v>
      </c>
      <c r="E496" s="7" t="s">
        <v>1639</v>
      </c>
      <c r="F496" s="7" t="s">
        <v>8039</v>
      </c>
      <c r="G496" s="134">
        <f t="shared" ref="G496:G558" si="67">IF(OR(
I496="Turar joy obyektning kadastr pasportini shakllantirish va davlat ro'yxatidan o'tkazish",
I496="Turar kompozit"
),
1,
IF(OR(
I496="Noturar kompozit",
I496="Avtoyo'l va suv xo'jaligi obyektining kadastr pasportini shakllantirish va ro'yxatga olish",
I496="Noturar obyektning kadastr pasportining kadastr pasportini shakllantirish va davlat ro'yxatidan o'tkazish"
),
"",
IF(OR(
I496="Notarius uchun ma'lumotnoma (uz)",
I496="Qurilishi tugallangan ko'chmas mulkni foydalanishga qabul qilish",
I496="Umumiy foydalanishdagi ko'chmas mulk qismini yaratish",
I496="Registratsiya (tashqi - UZKAD da bor)"
),
IF(OR(L496="Turar yer maydoni",L496="Yakka tartibdagi turar joy"),1,
IF(L496="Noturar bino","",
IF(L496="Noturar yer maydoni","",
IF(L496="",IF(OR(O496="Turar joy xizmati",O496="Foydalanishga ruxsatnoma berish xizmati"),1,""),"")
))),
"")))</f>
        <v>1</v>
      </c>
      <c r="H496" s="134" t="str">
        <f t="shared" ref="H496:H558" si="68">IF(OR(
I496="Turar joy obyektning kadastr pasportini shakllantirish va davlat ro'yxatidan o'tkazish",
I496="Turar kompozit"
),
"",
IF(OR(
I496="Noturar kompozit",
I496="Avtoyo'l va suv xo'jaligi obyektining kadastr pasportini shakllantirish va ro'yxatga olish",
I496="Noturar obyektning kadastr pasportini shakllantirish va davlat ro'yxatidan o'tkazish"
),
1,
IF(OR(
I496="Notarius uchun ma'lumotnoma (uz)",
I496="Qurilishi tugallangan ko'chmas mulkni foydalanishga qabul qilish",
I496="Umumiy foydalanishdagi ko'chmas mulk qismini yaratish",
I496="Registratsiya (tashqi - UZKAD da bor)"
),
IF(OR(L496="Turar yer maydoni",L496="Yakka tartibdagi turar joy"),"",
IF(L496="Noturar bino",1,
IF(L496="Noturar yer maydoni",1,
IF(L496="",IF(OR(O496="Turar joy xizmati",O496="Foydalanishga ruxsatnoma berish xizmati"),"",1),"")
))),
"")))</f>
        <v/>
      </c>
      <c r="I496" s="7" t="s">
        <v>156</v>
      </c>
      <c r="J496" s="7" t="s">
        <v>25</v>
      </c>
      <c r="K496" s="7"/>
      <c r="L496" s="7"/>
      <c r="M496" s="7"/>
      <c r="N496" s="7" t="s">
        <v>410</v>
      </c>
      <c r="O496" s="7" t="s">
        <v>162</v>
      </c>
      <c r="P496" s="7" t="s">
        <v>6549</v>
      </c>
      <c r="Q496" s="129">
        <v>46199</v>
      </c>
      <c r="R496" s="130">
        <f t="shared" si="63"/>
        <v>46211</v>
      </c>
      <c r="S496" s="131">
        <f t="shared" si="66"/>
        <v>12</v>
      </c>
      <c r="T496" s="7" t="s">
        <v>947</v>
      </c>
      <c r="U496" s="7" t="s">
        <v>299</v>
      </c>
      <c r="V496" s="7"/>
      <c r="W496" s="7"/>
      <c r="X496" s="132">
        <f t="shared" si="64"/>
        <v>10</v>
      </c>
      <c r="Y496" s="133"/>
      <c r="Z496" s="133"/>
      <c r="AA496" s="133"/>
    </row>
    <row r="497" spans="1:27" hidden="1" x14ac:dyDescent="0.25">
      <c r="A497" s="127">
        <v>582</v>
      </c>
      <c r="B497" s="128" t="str">
        <f t="shared" si="65"/>
        <v>YGQT</v>
      </c>
      <c r="C497" s="128" t="str">
        <f>+VLOOKUP(U497,Ходим!A:B,2,0)</f>
        <v>32105902160025</v>
      </c>
      <c r="D497" s="128" t="str">
        <f>IFERROR(VLOOKUP($B:$B,[20]свод!$A:$AB,3,0)," ")</f>
        <v>Янгиқўрғон тумани</v>
      </c>
      <c r="E497" s="7" t="s">
        <v>1640</v>
      </c>
      <c r="F497" s="7" t="s">
        <v>8040</v>
      </c>
      <c r="G497" s="134" t="str">
        <f t="shared" si="67"/>
        <v/>
      </c>
      <c r="H497" s="134">
        <f t="shared" si="68"/>
        <v>1</v>
      </c>
      <c r="I497" s="7" t="s">
        <v>157</v>
      </c>
      <c r="J497" s="7" t="s">
        <v>2</v>
      </c>
      <c r="K497" s="7"/>
      <c r="L497" s="7" t="s">
        <v>168</v>
      </c>
      <c r="M497" s="7" t="s">
        <v>382</v>
      </c>
      <c r="N497" s="7" t="s">
        <v>410</v>
      </c>
      <c r="O497" s="7" t="s">
        <v>161</v>
      </c>
      <c r="P497" s="7" t="s">
        <v>6547</v>
      </c>
      <c r="Q497" s="129">
        <v>46199</v>
      </c>
      <c r="R497" s="130">
        <f t="shared" si="63"/>
        <v>46202</v>
      </c>
      <c r="S497" s="131">
        <f t="shared" si="66"/>
        <v>3</v>
      </c>
      <c r="T497" s="7" t="s">
        <v>255</v>
      </c>
      <c r="U497" s="7" t="s">
        <v>308</v>
      </c>
      <c r="V497" s="7"/>
      <c r="W497" s="7">
        <v>0</v>
      </c>
      <c r="X497" s="132">
        <f t="shared" si="64"/>
        <v>7</v>
      </c>
      <c r="Y497" s="133"/>
      <c r="Z497" s="133"/>
      <c r="AA497" s="133"/>
    </row>
    <row r="498" spans="1:27" hidden="1" x14ac:dyDescent="0.25">
      <c r="A498" s="127">
        <v>583</v>
      </c>
      <c r="B498" s="128" t="str">
        <f t="shared" si="65"/>
        <v>UYCT</v>
      </c>
      <c r="C498" s="128" t="str">
        <f>+VLOOKUP(U498,Ходим!A:B,2,0)</f>
        <v>30510922140032</v>
      </c>
      <c r="D498" s="128" t="str">
        <f>IFERROR(VLOOKUP($B:$B,[20]свод!$A:$AB,3,0)," ")</f>
        <v>Уйчи тумани</v>
      </c>
      <c r="E498" s="7" t="s">
        <v>1641</v>
      </c>
      <c r="F498" s="7" t="s">
        <v>8041</v>
      </c>
      <c r="G498" s="134">
        <f t="shared" si="67"/>
        <v>1</v>
      </c>
      <c r="H498" s="134" t="str">
        <f t="shared" si="68"/>
        <v/>
      </c>
      <c r="I498" s="7" t="s">
        <v>158</v>
      </c>
      <c r="J498" s="7" t="s">
        <v>2</v>
      </c>
      <c r="K498" s="7"/>
      <c r="L498" s="7" t="s">
        <v>167</v>
      </c>
      <c r="M498" s="7" t="s">
        <v>4534</v>
      </c>
      <c r="N498" s="7" t="s">
        <v>170</v>
      </c>
      <c r="O498" s="7" t="s">
        <v>162</v>
      </c>
      <c r="P498" s="7" t="s">
        <v>6422</v>
      </c>
      <c r="Q498" s="129">
        <v>46199</v>
      </c>
      <c r="R498" s="130">
        <f t="shared" si="63"/>
        <v>46211</v>
      </c>
      <c r="S498" s="131">
        <f t="shared" si="66"/>
        <v>12</v>
      </c>
      <c r="T498" s="7" t="s">
        <v>947</v>
      </c>
      <c r="U498" s="7" t="s">
        <v>199</v>
      </c>
      <c r="V498" s="7"/>
      <c r="W498" s="7">
        <v>328.36</v>
      </c>
      <c r="X498" s="132">
        <f t="shared" si="64"/>
        <v>10</v>
      </c>
      <c r="Y498" s="133"/>
      <c r="Z498" s="133"/>
      <c r="AA498" s="133"/>
    </row>
    <row r="499" spans="1:27" hidden="1" x14ac:dyDescent="0.25">
      <c r="A499" s="127">
        <v>584</v>
      </c>
      <c r="B499" s="128" t="str">
        <f t="shared" si="65"/>
        <v>UYCT</v>
      </c>
      <c r="C499" s="128" t="str">
        <f>+VLOOKUP(U499,Ходим!A:B,2,0)</f>
        <v>52811025930077</v>
      </c>
      <c r="D499" s="128" t="str">
        <f>IFERROR(VLOOKUP($B:$B,[20]свод!$A:$AB,3,0)," ")</f>
        <v>Уйчи тумани</v>
      </c>
      <c r="E499" s="7" t="s">
        <v>1642</v>
      </c>
      <c r="F499" s="7" t="s">
        <v>8042</v>
      </c>
      <c r="G499" s="134">
        <f t="shared" si="67"/>
        <v>1</v>
      </c>
      <c r="H499" s="134" t="str">
        <f t="shared" si="68"/>
        <v/>
      </c>
      <c r="I499" s="7" t="s">
        <v>158</v>
      </c>
      <c r="J499" s="7" t="s">
        <v>2</v>
      </c>
      <c r="K499" s="7"/>
      <c r="L499" s="7"/>
      <c r="M499" s="7"/>
      <c r="N499" s="7" t="s">
        <v>170</v>
      </c>
      <c r="O499" s="7" t="s">
        <v>162</v>
      </c>
      <c r="P499" s="7" t="s">
        <v>6550</v>
      </c>
      <c r="Q499" s="129">
        <v>46199</v>
      </c>
      <c r="R499" s="130">
        <f t="shared" si="63"/>
        <v>46211</v>
      </c>
      <c r="S499" s="131">
        <f t="shared" si="66"/>
        <v>12</v>
      </c>
      <c r="T499" s="7" t="s">
        <v>947</v>
      </c>
      <c r="U499" s="7" t="s">
        <v>356</v>
      </c>
      <c r="V499" s="7"/>
      <c r="W499" s="7"/>
      <c r="X499" s="132">
        <f t="shared" si="64"/>
        <v>10</v>
      </c>
      <c r="Y499" s="133"/>
      <c r="Z499" s="133"/>
      <c r="AA499" s="133"/>
    </row>
    <row r="500" spans="1:27" hidden="1" x14ac:dyDescent="0.25">
      <c r="A500" s="127">
        <v>585</v>
      </c>
      <c r="B500" s="128" t="str">
        <f t="shared" si="65"/>
        <v>NAMS</v>
      </c>
      <c r="C500" s="128" t="str">
        <f>+VLOOKUP(U500,Ходим!A:B,2,0)</f>
        <v>52107015960107</v>
      </c>
      <c r="D500" s="128" t="str">
        <f>IFERROR(VLOOKUP($B:$B,[20]свод!$A:$AB,3,0)," ")</f>
        <v>Наманган шаҳар</v>
      </c>
      <c r="E500" s="7" t="s">
        <v>1643</v>
      </c>
      <c r="F500" s="7" t="s">
        <v>8043</v>
      </c>
      <c r="G500" s="134">
        <f t="shared" si="67"/>
        <v>1</v>
      </c>
      <c r="H500" s="134" t="str">
        <f t="shared" si="68"/>
        <v/>
      </c>
      <c r="I500" s="7" t="s">
        <v>156</v>
      </c>
      <c r="J500" s="7" t="s">
        <v>25</v>
      </c>
      <c r="K500" s="7"/>
      <c r="L500" s="7" t="s">
        <v>167</v>
      </c>
      <c r="M500" s="7" t="s">
        <v>4535</v>
      </c>
      <c r="N500" s="7" t="s">
        <v>170</v>
      </c>
      <c r="O500" s="7" t="s">
        <v>162</v>
      </c>
      <c r="P500" s="7" t="s">
        <v>6550</v>
      </c>
      <c r="Q500" s="129">
        <v>46199</v>
      </c>
      <c r="R500" s="130">
        <f t="shared" si="63"/>
        <v>46211</v>
      </c>
      <c r="S500" s="131">
        <f t="shared" si="66"/>
        <v>12</v>
      </c>
      <c r="T500" s="7" t="s">
        <v>173</v>
      </c>
      <c r="U500" s="7" t="s">
        <v>348</v>
      </c>
      <c r="V500" s="7"/>
      <c r="W500" s="7">
        <v>212.25</v>
      </c>
      <c r="X500" s="132">
        <f t="shared" si="64"/>
        <v>10</v>
      </c>
      <c r="Y500" s="133"/>
      <c r="Z500" s="133"/>
      <c r="AA500" s="133"/>
    </row>
    <row r="501" spans="1:27" hidden="1" x14ac:dyDescent="0.25">
      <c r="A501" s="127">
        <v>586</v>
      </c>
      <c r="B501" s="128" t="str">
        <f t="shared" si="65"/>
        <v>NAMT</v>
      </c>
      <c r="C501" s="128" t="str">
        <f>+VLOOKUP(U501,Ходим!A:B,2,0)</f>
        <v>31303965880044</v>
      </c>
      <c r="D501" s="128" t="str">
        <f>IFERROR(VLOOKUP($B:$B,[20]свод!$A:$AB,3,0)," ")</f>
        <v>Наманган тумани</v>
      </c>
      <c r="E501" s="7" t="s">
        <v>1644</v>
      </c>
      <c r="F501" s="7" t="s">
        <v>8044</v>
      </c>
      <c r="G501" s="134" t="str">
        <f t="shared" si="67"/>
        <v/>
      </c>
      <c r="H501" s="134">
        <f t="shared" si="68"/>
        <v>1</v>
      </c>
      <c r="I501" s="7" t="s">
        <v>157</v>
      </c>
      <c r="J501" s="7" t="s">
        <v>13</v>
      </c>
      <c r="K501" s="7"/>
      <c r="L501" s="7" t="s">
        <v>166</v>
      </c>
      <c r="M501" s="7" t="s">
        <v>4536</v>
      </c>
      <c r="N501" s="7" t="s">
        <v>170</v>
      </c>
      <c r="O501" s="7" t="s">
        <v>161</v>
      </c>
      <c r="P501" s="7" t="s">
        <v>6551</v>
      </c>
      <c r="Q501" s="129">
        <v>46199</v>
      </c>
      <c r="R501" s="130">
        <f t="shared" si="63"/>
        <v>46209</v>
      </c>
      <c r="S501" s="131">
        <f t="shared" si="66"/>
        <v>10</v>
      </c>
      <c r="T501" s="7" t="s">
        <v>193</v>
      </c>
      <c r="U501" s="7" t="s">
        <v>217</v>
      </c>
      <c r="V501" s="7"/>
      <c r="W501" s="7">
        <v>748.8</v>
      </c>
      <c r="X501" s="132">
        <f t="shared" si="64"/>
        <v>12</v>
      </c>
      <c r="Y501" s="133"/>
      <c r="Z501" s="133"/>
      <c r="AA501" s="133"/>
    </row>
    <row r="502" spans="1:27" hidden="1" x14ac:dyDescent="0.25">
      <c r="A502" s="127">
        <v>587</v>
      </c>
      <c r="B502" s="128" t="str">
        <f t="shared" si="65"/>
        <v>YGQT</v>
      </c>
      <c r="C502" s="128" t="e">
        <f>+VLOOKUP(U502,Ходим!A:B,2,0)</f>
        <v>#N/A</v>
      </c>
      <c r="D502" s="128" t="str">
        <f>IFERROR(VLOOKUP($B:$B,[20]свод!$A:$AB,3,0)," ")</f>
        <v>Янгиқўрғон тумани</v>
      </c>
      <c r="E502" s="7" t="s">
        <v>1645</v>
      </c>
      <c r="F502" s="7" t="s">
        <v>8045</v>
      </c>
      <c r="G502" s="134" t="str">
        <f t="shared" si="67"/>
        <v/>
      </c>
      <c r="H502" s="134">
        <f t="shared" si="68"/>
        <v>1</v>
      </c>
      <c r="I502" s="7" t="s">
        <v>157</v>
      </c>
      <c r="J502" s="7" t="s">
        <v>2</v>
      </c>
      <c r="K502" s="7"/>
      <c r="L502" s="7"/>
      <c r="M502" s="7"/>
      <c r="N502" s="7" t="s">
        <v>410</v>
      </c>
      <c r="O502" s="7" t="s">
        <v>161</v>
      </c>
      <c r="P502" s="7" t="s">
        <v>6552</v>
      </c>
      <c r="Q502" s="129">
        <v>46199</v>
      </c>
      <c r="R502" s="130">
        <f t="shared" si="63"/>
        <v>46205</v>
      </c>
      <c r="S502" s="131">
        <f t="shared" si="66"/>
        <v>6</v>
      </c>
      <c r="T502" s="7" t="s">
        <v>182</v>
      </c>
      <c r="U502" s="7" t="s">
        <v>1105</v>
      </c>
      <c r="V502" s="7"/>
      <c r="W502" s="7"/>
      <c r="X502" s="132">
        <f t="shared" si="64"/>
        <v>10</v>
      </c>
      <c r="Y502" s="133"/>
      <c r="Z502" s="133"/>
      <c r="AA502" s="133"/>
    </row>
    <row r="503" spans="1:27" hidden="1" x14ac:dyDescent="0.25">
      <c r="A503" s="127">
        <v>588</v>
      </c>
      <c r="B503" s="128" t="str">
        <f t="shared" si="65"/>
        <v>KSST</v>
      </c>
      <c r="C503" s="128" t="e">
        <f>+VLOOKUP(U503,Ходим!A:B,2,0)</f>
        <v>#N/A</v>
      </c>
      <c r="D503" s="128" t="str">
        <f>IFERROR(VLOOKUP($B:$B,[20]свод!$A:$AB,3,0)," ")</f>
        <v>Косонсой тумани</v>
      </c>
      <c r="E503" s="7" t="s">
        <v>1646</v>
      </c>
      <c r="F503" s="7" t="s">
        <v>8046</v>
      </c>
      <c r="G503" s="134">
        <f t="shared" si="67"/>
        <v>1</v>
      </c>
      <c r="H503" s="134" t="str">
        <f t="shared" si="68"/>
        <v/>
      </c>
      <c r="I503" s="7" t="s">
        <v>158</v>
      </c>
      <c r="J503" s="7" t="s">
        <v>2</v>
      </c>
      <c r="K503" s="7"/>
      <c r="L503" s="7" t="s">
        <v>167</v>
      </c>
      <c r="M503" s="7" t="s">
        <v>4537</v>
      </c>
      <c r="N503" s="7" t="s">
        <v>170</v>
      </c>
      <c r="O503" s="7" t="s">
        <v>162</v>
      </c>
      <c r="P503" s="7" t="s">
        <v>6397</v>
      </c>
      <c r="Q503" s="129">
        <v>46199</v>
      </c>
      <c r="R503" s="130">
        <f t="shared" si="63"/>
        <v>46211</v>
      </c>
      <c r="S503" s="131">
        <f t="shared" si="66"/>
        <v>12</v>
      </c>
      <c r="T503" s="7" t="s">
        <v>180</v>
      </c>
      <c r="U503" s="7" t="s">
        <v>10634</v>
      </c>
      <c r="V503" s="7"/>
      <c r="W503" s="7">
        <v>57.2</v>
      </c>
      <c r="X503" s="132">
        <f t="shared" si="64"/>
        <v>10</v>
      </c>
      <c r="Y503" s="133"/>
      <c r="Z503" s="133"/>
      <c r="AA503" s="133"/>
    </row>
    <row r="504" spans="1:27" hidden="1" x14ac:dyDescent="0.25">
      <c r="A504" s="127">
        <v>589</v>
      </c>
      <c r="B504" s="128" t="str">
        <f t="shared" si="65"/>
        <v>NAMS</v>
      </c>
      <c r="C504" s="128" t="str">
        <f>+VLOOKUP(U504,Ходим!A:B,2,0)</f>
        <v>31608732170178</v>
      </c>
      <c r="D504" s="128" t="str">
        <f>IFERROR(VLOOKUP($B:$B,[20]свод!$A:$AB,3,0)," ")</f>
        <v>Наманган шаҳар</v>
      </c>
      <c r="E504" s="7" t="s">
        <v>1647</v>
      </c>
      <c r="F504" s="7" t="s">
        <v>8047</v>
      </c>
      <c r="G504" s="134">
        <f t="shared" si="67"/>
        <v>1</v>
      </c>
      <c r="H504" s="134" t="str">
        <f t="shared" si="68"/>
        <v/>
      </c>
      <c r="I504" s="7" t="s">
        <v>156</v>
      </c>
      <c r="J504" s="7" t="s">
        <v>22</v>
      </c>
      <c r="K504" s="7"/>
      <c r="L504" s="7"/>
      <c r="M504" s="7"/>
      <c r="N504" s="7" t="s">
        <v>410</v>
      </c>
      <c r="O504" s="7" t="s">
        <v>162</v>
      </c>
      <c r="P504" s="7" t="s">
        <v>6552</v>
      </c>
      <c r="Q504" s="129">
        <v>46199</v>
      </c>
      <c r="R504" s="130">
        <f t="shared" si="63"/>
        <v>46205</v>
      </c>
      <c r="S504" s="131">
        <f t="shared" si="66"/>
        <v>6</v>
      </c>
      <c r="T504" s="7" t="s">
        <v>173</v>
      </c>
      <c r="U504" s="7" t="s">
        <v>267</v>
      </c>
      <c r="V504" s="7"/>
      <c r="W504" s="7"/>
      <c r="X504" s="132">
        <f t="shared" si="64"/>
        <v>10</v>
      </c>
      <c r="Y504" s="133"/>
      <c r="Z504" s="133"/>
      <c r="AA504" s="133"/>
    </row>
    <row r="505" spans="1:27" hidden="1" x14ac:dyDescent="0.25">
      <c r="A505" s="127">
        <v>590</v>
      </c>
      <c r="B505" s="128" t="str">
        <f t="shared" si="65"/>
        <v>CHUT</v>
      </c>
      <c r="C505" s="128" t="str">
        <f>+VLOOKUP(U505,Ходим!A:B,2,0)</f>
        <v>50309005970046</v>
      </c>
      <c r="D505" s="128" t="str">
        <f>IFERROR(VLOOKUP($B:$B,[20]свод!$A:$AB,3,0)," ")</f>
        <v>Чуст тумани</v>
      </c>
      <c r="E505" s="7" t="s">
        <v>1648</v>
      </c>
      <c r="F505" s="7" t="s">
        <v>8048</v>
      </c>
      <c r="G505" s="134">
        <f t="shared" si="67"/>
        <v>1</v>
      </c>
      <c r="H505" s="134" t="str">
        <f t="shared" si="68"/>
        <v/>
      </c>
      <c r="I505" s="7" t="s">
        <v>158</v>
      </c>
      <c r="J505" s="7" t="s">
        <v>172</v>
      </c>
      <c r="K505" s="7"/>
      <c r="L505" s="7" t="s">
        <v>167</v>
      </c>
      <c r="M505" s="7" t="s">
        <v>4538</v>
      </c>
      <c r="N505" s="7" t="s">
        <v>170</v>
      </c>
      <c r="O505" s="7" t="s">
        <v>162</v>
      </c>
      <c r="P505" s="7" t="s">
        <v>6553</v>
      </c>
      <c r="Q505" s="129">
        <v>46199</v>
      </c>
      <c r="R505" s="130">
        <f t="shared" si="63"/>
        <v>46205</v>
      </c>
      <c r="S505" s="131">
        <f t="shared" si="66"/>
        <v>6</v>
      </c>
      <c r="T505" s="7" t="s">
        <v>178</v>
      </c>
      <c r="U505" s="7" t="s">
        <v>290</v>
      </c>
      <c r="V505" s="7"/>
      <c r="W505" s="7">
        <v>429.95</v>
      </c>
      <c r="X505" s="132">
        <f t="shared" si="64"/>
        <v>10</v>
      </c>
      <c r="Y505" s="133"/>
      <c r="Z505" s="133"/>
      <c r="AA505" s="133"/>
    </row>
    <row r="506" spans="1:27" hidden="1" x14ac:dyDescent="0.25">
      <c r="A506" s="127">
        <v>591</v>
      </c>
      <c r="B506" s="128" t="str">
        <f t="shared" si="65"/>
        <v>UYCT</v>
      </c>
      <c r="C506" s="128" t="str">
        <f>+VLOOKUP(U506,Ходим!A:B,2,0)</f>
        <v>30309975930028</v>
      </c>
      <c r="D506" s="128" t="str">
        <f>IFERROR(VLOOKUP($B:$B,[20]свод!$A:$AB,3,0)," ")</f>
        <v>Уйчи тумани</v>
      </c>
      <c r="E506" s="7" t="s">
        <v>1649</v>
      </c>
      <c r="F506" s="7" t="s">
        <v>8049</v>
      </c>
      <c r="G506" s="134">
        <f t="shared" si="67"/>
        <v>1</v>
      </c>
      <c r="H506" s="134" t="str">
        <f t="shared" si="68"/>
        <v/>
      </c>
      <c r="I506" s="7" t="s">
        <v>158</v>
      </c>
      <c r="J506" s="7" t="s">
        <v>2</v>
      </c>
      <c r="K506" s="7"/>
      <c r="L506" s="7" t="s">
        <v>167</v>
      </c>
      <c r="M506" s="7" t="s">
        <v>4539</v>
      </c>
      <c r="N506" s="7" t="s">
        <v>410</v>
      </c>
      <c r="O506" s="7" t="s">
        <v>162</v>
      </c>
      <c r="P506" s="7" t="s">
        <v>6554</v>
      </c>
      <c r="Q506" s="129">
        <v>46199</v>
      </c>
      <c r="R506" s="130">
        <f t="shared" si="63"/>
        <v>46205</v>
      </c>
      <c r="S506" s="131">
        <f t="shared" si="66"/>
        <v>6</v>
      </c>
      <c r="T506" s="7" t="s">
        <v>947</v>
      </c>
      <c r="U506" s="7" t="s">
        <v>261</v>
      </c>
      <c r="V506" s="7"/>
      <c r="W506" s="7">
        <v>25.2</v>
      </c>
      <c r="X506" s="132">
        <f t="shared" si="64"/>
        <v>10</v>
      </c>
      <c r="Y506" s="133"/>
      <c r="Z506" s="133"/>
      <c r="AA506" s="133"/>
    </row>
    <row r="507" spans="1:27" hidden="1" x14ac:dyDescent="0.25">
      <c r="A507" s="127">
        <v>592</v>
      </c>
      <c r="B507" s="128" t="str">
        <f t="shared" si="65"/>
        <v>TORT</v>
      </c>
      <c r="C507" s="128" t="str">
        <f>+VLOOKUP(U507,Ходим!A:B,2,0)</f>
        <v>31609912130025</v>
      </c>
      <c r="D507" s="128" t="str">
        <f>IFERROR(VLOOKUP($B:$B,[20]свод!$A:$AB,3,0)," ")</f>
        <v>Тўрақўрғон тумани</v>
      </c>
      <c r="E507" s="7" t="s">
        <v>1650</v>
      </c>
      <c r="F507" s="7" t="s">
        <v>8050</v>
      </c>
      <c r="G507" s="134">
        <f t="shared" si="67"/>
        <v>1</v>
      </c>
      <c r="H507" s="134" t="str">
        <f t="shared" si="68"/>
        <v/>
      </c>
      <c r="I507" s="7" t="s">
        <v>158</v>
      </c>
      <c r="J507" s="7" t="s">
        <v>2</v>
      </c>
      <c r="K507" s="7"/>
      <c r="L507" s="7" t="s">
        <v>167</v>
      </c>
      <c r="M507" s="7" t="s">
        <v>4540</v>
      </c>
      <c r="N507" s="7" t="s">
        <v>410</v>
      </c>
      <c r="O507" s="7" t="s">
        <v>162</v>
      </c>
      <c r="P507" s="7" t="s">
        <v>6555</v>
      </c>
      <c r="Q507" s="129">
        <v>46199</v>
      </c>
      <c r="R507" s="130">
        <f t="shared" si="63"/>
        <v>46211</v>
      </c>
      <c r="S507" s="131">
        <f t="shared" si="66"/>
        <v>12</v>
      </c>
      <c r="T507" s="7" t="s">
        <v>203</v>
      </c>
      <c r="U507" s="7" t="s">
        <v>280</v>
      </c>
      <c r="V507" s="7"/>
      <c r="W507" s="7">
        <v>44.77</v>
      </c>
      <c r="X507" s="132">
        <f t="shared" si="64"/>
        <v>10</v>
      </c>
      <c r="Y507" s="133"/>
      <c r="Z507" s="133"/>
      <c r="AA507" s="133"/>
    </row>
    <row r="508" spans="1:27" hidden="1" x14ac:dyDescent="0.25">
      <c r="A508" s="127">
        <v>593</v>
      </c>
      <c r="B508" s="128" t="str">
        <f t="shared" si="65"/>
        <v>YGQT</v>
      </c>
      <c r="C508" s="128" t="str">
        <f>+VLOOKUP(U508,Ходим!A:B,2,0)</f>
        <v>30809995950021</v>
      </c>
      <c r="D508" s="128" t="str">
        <f>IFERROR(VLOOKUP($B:$B,[20]свод!$A:$AB,3,0)," ")</f>
        <v>Янгиқўрғон тумани</v>
      </c>
      <c r="E508" s="7" t="s">
        <v>1651</v>
      </c>
      <c r="F508" s="7" t="s">
        <v>8051</v>
      </c>
      <c r="G508" s="134" t="str">
        <f t="shared" si="67"/>
        <v/>
      </c>
      <c r="H508" s="134">
        <f t="shared" si="68"/>
        <v>1</v>
      </c>
      <c r="I508" s="7" t="s">
        <v>157</v>
      </c>
      <c r="J508" s="7" t="s">
        <v>2</v>
      </c>
      <c r="K508" s="7"/>
      <c r="L508" s="7" t="s">
        <v>168</v>
      </c>
      <c r="M508" s="7" t="s">
        <v>382</v>
      </c>
      <c r="N508" s="7" t="s">
        <v>170</v>
      </c>
      <c r="O508" s="7" t="s">
        <v>161</v>
      </c>
      <c r="P508" s="7" t="s">
        <v>6553</v>
      </c>
      <c r="Q508" s="129">
        <v>46199</v>
      </c>
      <c r="R508" s="130">
        <f t="shared" si="63"/>
        <v>46202</v>
      </c>
      <c r="S508" s="131">
        <f t="shared" si="66"/>
        <v>3</v>
      </c>
      <c r="T508" s="7" t="s">
        <v>255</v>
      </c>
      <c r="U508" s="7" t="s">
        <v>223</v>
      </c>
      <c r="V508" s="7"/>
      <c r="W508" s="7">
        <v>0</v>
      </c>
      <c r="X508" s="132">
        <f t="shared" si="64"/>
        <v>7</v>
      </c>
      <c r="Y508" s="133"/>
      <c r="Z508" s="133"/>
      <c r="AA508" s="133"/>
    </row>
    <row r="509" spans="1:27" hidden="1" x14ac:dyDescent="0.25">
      <c r="A509" s="127">
        <v>594</v>
      </c>
      <c r="B509" s="128" t="str">
        <f t="shared" si="65"/>
        <v>NAMT</v>
      </c>
      <c r="C509" s="128" t="str">
        <f>+VLOOKUP(U509,Ходим!A:B,2,0)</f>
        <v>32607902090019</v>
      </c>
      <c r="D509" s="128" t="str">
        <f>IFERROR(VLOOKUP($B:$B,[20]свод!$A:$AB,3,0)," ")</f>
        <v>Наманган тумани</v>
      </c>
      <c r="E509" s="7" t="s">
        <v>1652</v>
      </c>
      <c r="F509" s="7" t="s">
        <v>8052</v>
      </c>
      <c r="G509" s="134">
        <f t="shared" si="67"/>
        <v>1</v>
      </c>
      <c r="H509" s="134" t="str">
        <f t="shared" si="68"/>
        <v/>
      </c>
      <c r="I509" s="7" t="s">
        <v>158</v>
      </c>
      <c r="J509" s="7" t="s">
        <v>2</v>
      </c>
      <c r="K509" s="7"/>
      <c r="L509" s="7" t="s">
        <v>167</v>
      </c>
      <c r="M509" s="7" t="s">
        <v>4541</v>
      </c>
      <c r="N509" s="7" t="s">
        <v>170</v>
      </c>
      <c r="O509" s="7" t="s">
        <v>162</v>
      </c>
      <c r="P509" s="7" t="s">
        <v>6521</v>
      </c>
      <c r="Q509" s="129">
        <v>46199</v>
      </c>
      <c r="R509" s="130">
        <f t="shared" si="63"/>
        <v>46205</v>
      </c>
      <c r="S509" s="131">
        <f t="shared" si="66"/>
        <v>6</v>
      </c>
      <c r="T509" s="7" t="s">
        <v>193</v>
      </c>
      <c r="U509" s="7" t="s">
        <v>243</v>
      </c>
      <c r="V509" s="7"/>
      <c r="W509" s="7">
        <v>216.37</v>
      </c>
      <c r="X509" s="132">
        <f t="shared" si="64"/>
        <v>10</v>
      </c>
      <c r="Y509" s="133"/>
      <c r="Z509" s="133"/>
      <c r="AA509" s="133"/>
    </row>
    <row r="510" spans="1:27" hidden="1" x14ac:dyDescent="0.25">
      <c r="A510" s="127">
        <v>595</v>
      </c>
      <c r="B510" s="128" t="str">
        <f t="shared" si="65"/>
        <v>TORT</v>
      </c>
      <c r="C510" s="128" t="str">
        <f>+VLOOKUP(U510,Ходим!A:B,2,0)</f>
        <v>31609912130025</v>
      </c>
      <c r="D510" s="128" t="str">
        <f>IFERROR(VLOOKUP($B:$B,[20]свод!$A:$AB,3,0)," ")</f>
        <v>Тўрақўрғон тумани</v>
      </c>
      <c r="E510" s="7" t="s">
        <v>1653</v>
      </c>
      <c r="F510" s="7" t="s">
        <v>8053</v>
      </c>
      <c r="G510" s="134">
        <f t="shared" si="67"/>
        <v>1</v>
      </c>
      <c r="H510" s="134" t="str">
        <f t="shared" si="68"/>
        <v/>
      </c>
      <c r="I510" s="7" t="s">
        <v>156</v>
      </c>
      <c r="J510" s="7" t="s">
        <v>25</v>
      </c>
      <c r="K510" s="7"/>
      <c r="L510" s="7"/>
      <c r="M510" s="7"/>
      <c r="N510" s="7" t="s">
        <v>170</v>
      </c>
      <c r="O510" s="7" t="s">
        <v>162</v>
      </c>
      <c r="P510" s="7" t="s">
        <v>6349</v>
      </c>
      <c r="Q510" s="129">
        <v>46199</v>
      </c>
      <c r="R510" s="130">
        <f t="shared" si="63"/>
        <v>46204</v>
      </c>
      <c r="S510" s="131">
        <f t="shared" si="66"/>
        <v>5</v>
      </c>
      <c r="T510" s="7" t="s">
        <v>203</v>
      </c>
      <c r="U510" s="7" t="s">
        <v>280</v>
      </c>
      <c r="V510" s="7"/>
      <c r="W510" s="7"/>
      <c r="X510" s="132">
        <f t="shared" si="64"/>
        <v>10</v>
      </c>
      <c r="Y510" s="133"/>
      <c r="Z510" s="133"/>
      <c r="AA510" s="133"/>
    </row>
    <row r="511" spans="1:27" hidden="1" x14ac:dyDescent="0.25">
      <c r="A511" s="127">
        <v>596</v>
      </c>
      <c r="B511" s="128" t="str">
        <f t="shared" si="65"/>
        <v>TORT</v>
      </c>
      <c r="C511" s="128" t="str">
        <f>+VLOOKUP(U511,Ходим!A:B,2,0)</f>
        <v>31110892130070</v>
      </c>
      <c r="D511" s="128" t="str">
        <f>IFERROR(VLOOKUP($B:$B,[20]свод!$A:$AB,3,0)," ")</f>
        <v>Тўрақўрғон тумани</v>
      </c>
      <c r="E511" s="7" t="s">
        <v>1654</v>
      </c>
      <c r="F511" s="7" t="s">
        <v>8054</v>
      </c>
      <c r="G511" s="134" t="str">
        <f t="shared" si="67"/>
        <v/>
      </c>
      <c r="H511" s="134">
        <f t="shared" si="68"/>
        <v>1</v>
      </c>
      <c r="I511" s="7" t="s">
        <v>157</v>
      </c>
      <c r="J511" s="7" t="s">
        <v>172</v>
      </c>
      <c r="K511" s="7"/>
      <c r="L511" s="7" t="s">
        <v>166</v>
      </c>
      <c r="M511" s="7" t="s">
        <v>4542</v>
      </c>
      <c r="N511" s="7" t="s">
        <v>410</v>
      </c>
      <c r="O511" s="7" t="s">
        <v>161</v>
      </c>
      <c r="P511" s="7" t="s">
        <v>6533</v>
      </c>
      <c r="Q511" s="129">
        <v>46199</v>
      </c>
      <c r="R511" s="130">
        <f t="shared" si="63"/>
        <v>46211</v>
      </c>
      <c r="S511" s="131">
        <f t="shared" si="66"/>
        <v>12</v>
      </c>
      <c r="T511" s="7" t="s">
        <v>203</v>
      </c>
      <c r="U511" s="7" t="s">
        <v>297</v>
      </c>
      <c r="V511" s="7"/>
      <c r="W511" s="7">
        <v>0</v>
      </c>
      <c r="X511" s="132">
        <f t="shared" si="64"/>
        <v>10</v>
      </c>
      <c r="Y511" s="133"/>
      <c r="Z511" s="133"/>
      <c r="AA511" s="133"/>
    </row>
    <row r="512" spans="1:27" hidden="1" x14ac:dyDescent="0.25">
      <c r="A512" s="127">
        <v>597</v>
      </c>
      <c r="B512" s="128" t="str">
        <f t="shared" si="65"/>
        <v>UCQT</v>
      </c>
      <c r="C512" s="128" t="str">
        <f>+VLOOKUP(U512,Ходим!A:B,2,0)</f>
        <v>52405005940019</v>
      </c>
      <c r="D512" s="128" t="str">
        <f>IFERROR(VLOOKUP($B:$B,[20]свод!$A:$AB,3,0)," ")</f>
        <v>Учқўрғон тумани</v>
      </c>
      <c r="E512" s="7" t="s">
        <v>1655</v>
      </c>
      <c r="F512" s="7" t="s">
        <v>8055</v>
      </c>
      <c r="G512" s="134">
        <f t="shared" si="67"/>
        <v>1</v>
      </c>
      <c r="H512" s="134" t="str">
        <f t="shared" si="68"/>
        <v/>
      </c>
      <c r="I512" s="7" t="s">
        <v>158</v>
      </c>
      <c r="J512" s="7" t="s">
        <v>36</v>
      </c>
      <c r="K512" s="7"/>
      <c r="L512" s="7" t="s">
        <v>167</v>
      </c>
      <c r="M512" s="7" t="s">
        <v>4543</v>
      </c>
      <c r="N512" s="7" t="s">
        <v>170</v>
      </c>
      <c r="O512" s="7" t="s">
        <v>162</v>
      </c>
      <c r="P512" s="7" t="s">
        <v>6556</v>
      </c>
      <c r="Q512" s="129">
        <v>46199</v>
      </c>
      <c r="R512" s="130">
        <f t="shared" si="63"/>
        <v>46205</v>
      </c>
      <c r="S512" s="131">
        <f t="shared" si="66"/>
        <v>6</v>
      </c>
      <c r="T512" s="7" t="s">
        <v>175</v>
      </c>
      <c r="U512" s="7" t="s">
        <v>209</v>
      </c>
      <c r="V512" s="7"/>
      <c r="W512" s="7">
        <v>421.19</v>
      </c>
      <c r="X512" s="132">
        <f t="shared" si="64"/>
        <v>10</v>
      </c>
      <c r="Y512" s="133"/>
      <c r="Z512" s="133"/>
      <c r="AA512" s="133"/>
    </row>
    <row r="513" spans="1:27" hidden="1" x14ac:dyDescent="0.25">
      <c r="A513" s="127">
        <v>598</v>
      </c>
      <c r="B513" s="128" t="str">
        <f t="shared" si="65"/>
        <v>NAMS</v>
      </c>
      <c r="C513" s="128" t="str">
        <f>+VLOOKUP(U513,Ходим!A:B,2,0)</f>
        <v>30302942170072</v>
      </c>
      <c r="D513" s="128" t="str">
        <f>IFERROR(VLOOKUP($B:$B,[20]свод!$A:$AB,3,0)," ")</f>
        <v>Наманган шаҳар</v>
      </c>
      <c r="E513" s="7" t="s">
        <v>1656</v>
      </c>
      <c r="F513" s="7" t="s">
        <v>8056</v>
      </c>
      <c r="G513" s="134" t="str">
        <f t="shared" si="67"/>
        <v/>
      </c>
      <c r="H513" s="134">
        <f t="shared" si="68"/>
        <v>1</v>
      </c>
      <c r="I513" s="7" t="s">
        <v>157</v>
      </c>
      <c r="J513" s="7" t="s">
        <v>172</v>
      </c>
      <c r="K513" s="7"/>
      <c r="L513" s="7"/>
      <c r="M513" s="7"/>
      <c r="N513" s="7" t="s">
        <v>170</v>
      </c>
      <c r="O513" s="7" t="s">
        <v>161</v>
      </c>
      <c r="P513" s="7" t="s">
        <v>6556</v>
      </c>
      <c r="Q513" s="129">
        <v>46199</v>
      </c>
      <c r="R513" s="130">
        <f t="shared" si="63"/>
        <v>46205</v>
      </c>
      <c r="S513" s="131">
        <f t="shared" si="66"/>
        <v>6</v>
      </c>
      <c r="T513" s="7" t="s">
        <v>173</v>
      </c>
      <c r="U513" s="7" t="s">
        <v>325</v>
      </c>
      <c r="V513" s="7"/>
      <c r="W513" s="7"/>
      <c r="X513" s="132">
        <f t="shared" si="64"/>
        <v>10</v>
      </c>
      <c r="Y513" s="133"/>
      <c r="Z513" s="133"/>
      <c r="AA513" s="133"/>
    </row>
    <row r="514" spans="1:27" hidden="1" x14ac:dyDescent="0.25">
      <c r="A514" s="127">
        <v>599</v>
      </c>
      <c r="B514" s="128" t="str">
        <f t="shared" si="65"/>
        <v>KSST</v>
      </c>
      <c r="C514" s="128" t="str">
        <f>+VLOOKUP(U514,Ходим!A:B,2,0)</f>
        <v>50709025980034</v>
      </c>
      <c r="D514" s="128" t="str">
        <f>IFERROR(VLOOKUP($B:$B,[20]свод!$A:$AB,3,0)," ")</f>
        <v>Косонсой тумани</v>
      </c>
      <c r="E514" s="7" t="s">
        <v>1657</v>
      </c>
      <c r="F514" s="7" t="s">
        <v>8057</v>
      </c>
      <c r="G514" s="134">
        <f t="shared" si="67"/>
        <v>1</v>
      </c>
      <c r="H514" s="134" t="str">
        <f t="shared" si="68"/>
        <v/>
      </c>
      <c r="I514" s="7" t="s">
        <v>158</v>
      </c>
      <c r="J514" s="7" t="s">
        <v>2</v>
      </c>
      <c r="K514" s="7"/>
      <c r="L514" s="7" t="s">
        <v>167</v>
      </c>
      <c r="M514" s="7" t="s">
        <v>4544</v>
      </c>
      <c r="N514" s="7" t="s">
        <v>170</v>
      </c>
      <c r="O514" s="7" t="s">
        <v>162</v>
      </c>
      <c r="P514" s="7" t="s">
        <v>6557</v>
      </c>
      <c r="Q514" s="129">
        <v>46199</v>
      </c>
      <c r="R514" s="130">
        <f t="shared" si="63"/>
        <v>46211</v>
      </c>
      <c r="S514" s="131">
        <f t="shared" si="66"/>
        <v>12</v>
      </c>
      <c r="T514" s="7" t="s">
        <v>180</v>
      </c>
      <c r="U514" s="7" t="s">
        <v>286</v>
      </c>
      <c r="V514" s="7"/>
      <c r="W514" s="7">
        <v>212.79</v>
      </c>
      <c r="X514" s="132">
        <f t="shared" si="64"/>
        <v>10</v>
      </c>
      <c r="Y514" s="133"/>
      <c r="Z514" s="133"/>
      <c r="AA514" s="133"/>
    </row>
    <row r="515" spans="1:27" hidden="1" x14ac:dyDescent="0.25">
      <c r="A515" s="127">
        <v>600</v>
      </c>
      <c r="B515" s="128" t="str">
        <f t="shared" si="65"/>
        <v>UYCT</v>
      </c>
      <c r="C515" s="128" t="str">
        <f>+VLOOKUP(U515,Ходим!A:B,2,0)</f>
        <v>31007985930029</v>
      </c>
      <c r="D515" s="128" t="str">
        <f>IFERROR(VLOOKUP($B:$B,[20]свод!$A:$AB,3,0)," ")</f>
        <v>Уйчи тумани</v>
      </c>
      <c r="E515" s="7" t="s">
        <v>1658</v>
      </c>
      <c r="F515" s="7" t="s">
        <v>8058</v>
      </c>
      <c r="G515" s="134">
        <f t="shared" si="67"/>
        <v>1</v>
      </c>
      <c r="H515" s="134" t="str">
        <f t="shared" si="68"/>
        <v/>
      </c>
      <c r="I515" s="7" t="s">
        <v>158</v>
      </c>
      <c r="J515" s="7" t="s">
        <v>134</v>
      </c>
      <c r="K515" s="7"/>
      <c r="L515" s="7" t="s">
        <v>167</v>
      </c>
      <c r="M515" s="7" t="s">
        <v>4545</v>
      </c>
      <c r="N515" s="7" t="s">
        <v>170</v>
      </c>
      <c r="O515" s="7" t="s">
        <v>162</v>
      </c>
      <c r="P515" s="7" t="s">
        <v>6558</v>
      </c>
      <c r="Q515" s="129">
        <v>46199</v>
      </c>
      <c r="R515" s="130">
        <f t="shared" si="63"/>
        <v>46202</v>
      </c>
      <c r="S515" s="131">
        <f t="shared" si="66"/>
        <v>3</v>
      </c>
      <c r="T515" s="7" t="s">
        <v>947</v>
      </c>
      <c r="U515" s="7" t="s">
        <v>389</v>
      </c>
      <c r="V515" s="7"/>
      <c r="W515" s="7">
        <v>131.74</v>
      </c>
      <c r="X515" s="132">
        <f t="shared" si="64"/>
        <v>10</v>
      </c>
      <c r="Y515" s="133"/>
      <c r="Z515" s="133"/>
      <c r="AA515" s="133"/>
    </row>
    <row r="516" spans="1:27" x14ac:dyDescent="0.25">
      <c r="A516" s="127">
        <v>601</v>
      </c>
      <c r="B516" s="128" t="str">
        <f t="shared" si="65"/>
        <v>UCQT</v>
      </c>
      <c r="C516" s="128" t="str">
        <f>+VLOOKUP(U516,Ходим!A:B,2,0)</f>
        <v>30307955940049</v>
      </c>
      <c r="D516" s="128" t="str">
        <f>IFERROR(VLOOKUP($B:$B,[20]свод!$A:$AB,3,0)," ")</f>
        <v>Учқўрғон тумани</v>
      </c>
      <c r="E516" s="7" t="s">
        <v>1020</v>
      </c>
      <c r="F516" s="7" t="s">
        <v>1061</v>
      </c>
      <c r="G516" s="134">
        <f t="shared" si="67"/>
        <v>1</v>
      </c>
      <c r="H516" s="134" t="str">
        <f t="shared" si="68"/>
        <v/>
      </c>
      <c r="I516" s="7" t="s">
        <v>158</v>
      </c>
      <c r="J516" s="7" t="s">
        <v>1137</v>
      </c>
      <c r="K516" s="7"/>
      <c r="L516" s="7" t="s">
        <v>167</v>
      </c>
      <c r="M516" s="7" t="s">
        <v>4546</v>
      </c>
      <c r="N516" s="7" t="s">
        <v>170</v>
      </c>
      <c r="O516" s="7" t="s">
        <v>162</v>
      </c>
      <c r="P516" s="7" t="s">
        <v>1064</v>
      </c>
      <c r="Q516" s="129">
        <v>46199</v>
      </c>
      <c r="R516" s="130">
        <f t="shared" si="63"/>
        <v>46178</v>
      </c>
      <c r="S516" s="131">
        <f t="shared" si="66"/>
        <v>-21</v>
      </c>
      <c r="T516" s="7" t="s">
        <v>175</v>
      </c>
      <c r="U516" s="7" t="s">
        <v>306</v>
      </c>
      <c r="V516" s="7" t="s">
        <v>965</v>
      </c>
      <c r="W516" s="7">
        <v>271.91000000000003</v>
      </c>
      <c r="X516" s="132">
        <f t="shared" si="64"/>
        <v>5</v>
      </c>
      <c r="Y516" s="133"/>
      <c r="Z516" s="133"/>
      <c r="AA516" s="133"/>
    </row>
    <row r="517" spans="1:27" hidden="1" x14ac:dyDescent="0.25">
      <c r="A517" s="127">
        <v>602</v>
      </c>
      <c r="B517" s="128" t="str">
        <f t="shared" si="65"/>
        <v>TORT</v>
      </c>
      <c r="C517" s="128" t="str">
        <f>+VLOOKUP(U517,Ходим!A:B,2,0)</f>
        <v>40302922130046</v>
      </c>
      <c r="D517" s="128" t="str">
        <f>IFERROR(VLOOKUP($B:$B,[20]свод!$A:$AB,3,0)," ")</f>
        <v>Тўрақўрғон тумани</v>
      </c>
      <c r="E517" s="7" t="s">
        <v>1659</v>
      </c>
      <c r="F517" s="7"/>
      <c r="G517" s="134" t="str">
        <f t="shared" si="67"/>
        <v/>
      </c>
      <c r="H517" s="134">
        <f t="shared" si="68"/>
        <v>1</v>
      </c>
      <c r="I517" s="7" t="s">
        <v>154</v>
      </c>
      <c r="J517" s="7" t="s">
        <v>145</v>
      </c>
      <c r="K517" s="7"/>
      <c r="L517" s="7" t="s">
        <v>166</v>
      </c>
      <c r="M517" s="7" t="s">
        <v>4547</v>
      </c>
      <c r="N517" s="7" t="s">
        <v>368</v>
      </c>
      <c r="O517" s="7"/>
      <c r="P517" s="7" t="s">
        <v>6559</v>
      </c>
      <c r="Q517" s="129">
        <v>46199</v>
      </c>
      <c r="R517" s="130">
        <f t="shared" si="63"/>
        <v>46202</v>
      </c>
      <c r="S517" s="131">
        <f t="shared" si="66"/>
        <v>3</v>
      </c>
      <c r="T517" s="7" t="s">
        <v>203</v>
      </c>
      <c r="U517" s="7" t="s">
        <v>258</v>
      </c>
      <c r="V517" s="7" t="s">
        <v>965</v>
      </c>
      <c r="W517" s="7">
        <v>999.15</v>
      </c>
      <c r="X517" s="132">
        <f t="shared" si="64"/>
        <v>5</v>
      </c>
      <c r="Y517" s="133"/>
      <c r="Z517" s="133"/>
      <c r="AA517" s="133"/>
    </row>
    <row r="518" spans="1:27" hidden="1" x14ac:dyDescent="0.25">
      <c r="A518" s="127">
        <v>603</v>
      </c>
      <c r="B518" s="128" t="str">
        <f t="shared" si="65"/>
        <v>YGQT</v>
      </c>
      <c r="C518" s="128" t="str">
        <f>+VLOOKUP(U518,Ходим!A:B,2,0)</f>
        <v>50710015950029</v>
      </c>
      <c r="D518" s="128" t="str">
        <f>IFERROR(VLOOKUP($B:$B,[20]свод!$A:$AB,3,0)," ")</f>
        <v>Янгиқўрғон тумани</v>
      </c>
      <c r="E518" s="7" t="s">
        <v>1660</v>
      </c>
      <c r="F518" s="7" t="s">
        <v>8059</v>
      </c>
      <c r="G518" s="134" t="str">
        <f t="shared" si="67"/>
        <v/>
      </c>
      <c r="H518" s="134">
        <f t="shared" si="68"/>
        <v>1</v>
      </c>
      <c r="I518" s="7" t="s">
        <v>157</v>
      </c>
      <c r="J518" s="7" t="s">
        <v>2</v>
      </c>
      <c r="K518" s="7"/>
      <c r="L518" s="7"/>
      <c r="M518" s="7"/>
      <c r="N518" s="7" t="s">
        <v>170</v>
      </c>
      <c r="O518" s="7" t="s">
        <v>161</v>
      </c>
      <c r="P518" s="7" t="s">
        <v>6560</v>
      </c>
      <c r="Q518" s="129">
        <v>46199</v>
      </c>
      <c r="R518" s="130">
        <f t="shared" si="63"/>
        <v>46205</v>
      </c>
      <c r="S518" s="131">
        <f t="shared" si="66"/>
        <v>6</v>
      </c>
      <c r="T518" s="7" t="s">
        <v>255</v>
      </c>
      <c r="U518" s="7" t="s">
        <v>312</v>
      </c>
      <c r="V518" s="7"/>
      <c r="W518" s="7"/>
      <c r="X518" s="132">
        <f t="shared" si="64"/>
        <v>10</v>
      </c>
      <c r="Y518" s="133"/>
      <c r="Z518" s="133"/>
      <c r="AA518" s="133"/>
    </row>
    <row r="519" spans="1:27" hidden="1" x14ac:dyDescent="0.25">
      <c r="A519" s="127">
        <v>604</v>
      </c>
      <c r="B519" s="128" t="str">
        <f t="shared" si="65"/>
        <v>YGQT</v>
      </c>
      <c r="C519" s="128" t="str">
        <f>+VLOOKUP(U519,Ходим!A:B,2,0)</f>
        <v>50710015950029</v>
      </c>
      <c r="D519" s="128" t="str">
        <f>IFERROR(VLOOKUP($B:$B,[20]свод!$A:$AB,3,0)," ")</f>
        <v>Янгиқўрғон тумани</v>
      </c>
      <c r="E519" s="7" t="s">
        <v>1661</v>
      </c>
      <c r="F519" s="7" t="s">
        <v>8060</v>
      </c>
      <c r="G519" s="134" t="str">
        <f t="shared" si="67"/>
        <v/>
      </c>
      <c r="H519" s="134">
        <f t="shared" si="68"/>
        <v>1</v>
      </c>
      <c r="I519" s="7" t="s">
        <v>157</v>
      </c>
      <c r="J519" s="7" t="s">
        <v>2</v>
      </c>
      <c r="K519" s="7"/>
      <c r="L519" s="7"/>
      <c r="M519" s="7"/>
      <c r="N519" s="7" t="s">
        <v>170</v>
      </c>
      <c r="O519" s="7" t="s">
        <v>161</v>
      </c>
      <c r="P519" s="7" t="s">
        <v>6560</v>
      </c>
      <c r="Q519" s="129">
        <v>46199</v>
      </c>
      <c r="R519" s="130">
        <f t="shared" si="63"/>
        <v>46205</v>
      </c>
      <c r="S519" s="131">
        <f t="shared" si="66"/>
        <v>6</v>
      </c>
      <c r="T519" s="7" t="s">
        <v>255</v>
      </c>
      <c r="U519" s="7" t="s">
        <v>312</v>
      </c>
      <c r="V519" s="7"/>
      <c r="W519" s="7"/>
      <c r="X519" s="132">
        <f t="shared" si="64"/>
        <v>10</v>
      </c>
      <c r="Y519" s="133"/>
      <c r="Z519" s="133"/>
      <c r="AA519" s="133"/>
    </row>
    <row r="520" spans="1:27" hidden="1" x14ac:dyDescent="0.25">
      <c r="A520" s="127">
        <v>605</v>
      </c>
      <c r="B520" s="128" t="str">
        <f t="shared" si="65"/>
        <v>NAMT</v>
      </c>
      <c r="C520" s="128">
        <f>+VLOOKUP(U520,Ходим!A:B,2,0)</f>
        <v>52908045880018</v>
      </c>
      <c r="D520" s="128" t="str">
        <f>IFERROR(VLOOKUP($B:$B,[20]свод!$A:$AB,3,0)," ")</f>
        <v>Наманган тумани</v>
      </c>
      <c r="E520" s="7" t="s">
        <v>1662</v>
      </c>
      <c r="F520" s="7" t="s">
        <v>8061</v>
      </c>
      <c r="G520" s="134">
        <f t="shared" si="67"/>
        <v>1</v>
      </c>
      <c r="H520" s="134" t="str">
        <f t="shared" si="68"/>
        <v/>
      </c>
      <c r="I520" s="7" t="s">
        <v>158</v>
      </c>
      <c r="J520" s="7" t="s">
        <v>2</v>
      </c>
      <c r="K520" s="7"/>
      <c r="L520" s="7" t="s">
        <v>167</v>
      </c>
      <c r="M520" s="7" t="s">
        <v>4548</v>
      </c>
      <c r="N520" s="7" t="s">
        <v>170</v>
      </c>
      <c r="O520" s="7" t="s">
        <v>162</v>
      </c>
      <c r="P520" s="7" t="s">
        <v>6542</v>
      </c>
      <c r="Q520" s="129">
        <v>46199</v>
      </c>
      <c r="R520" s="130">
        <f t="shared" si="63"/>
        <v>46211</v>
      </c>
      <c r="S520" s="131">
        <f t="shared" si="66"/>
        <v>12</v>
      </c>
      <c r="T520" s="7" t="s">
        <v>193</v>
      </c>
      <c r="U520" s="7" t="s">
        <v>982</v>
      </c>
      <c r="V520" s="7"/>
      <c r="W520" s="7">
        <v>174.5</v>
      </c>
      <c r="X520" s="132">
        <f t="shared" si="64"/>
        <v>10</v>
      </c>
      <c r="Y520" s="133"/>
      <c r="Z520" s="133"/>
      <c r="AA520" s="133"/>
    </row>
    <row r="521" spans="1:27" hidden="1" x14ac:dyDescent="0.25">
      <c r="A521" s="127">
        <v>606</v>
      </c>
      <c r="B521" s="128" t="str">
        <f t="shared" si="65"/>
        <v>YGQT</v>
      </c>
      <c r="C521" s="128" t="e">
        <f>+VLOOKUP(U521,Ходим!A:B,2,0)</f>
        <v>#N/A</v>
      </c>
      <c r="D521" s="128" t="str">
        <f>IFERROR(VLOOKUP($B:$B,[20]свод!$A:$AB,3,0)," ")</f>
        <v>Янгиқўрғон тумани</v>
      </c>
      <c r="E521" s="7" t="s">
        <v>1663</v>
      </c>
      <c r="F521" s="7" t="s">
        <v>8062</v>
      </c>
      <c r="G521" s="134" t="str">
        <f t="shared" si="67"/>
        <v/>
      </c>
      <c r="H521" s="134">
        <f t="shared" si="68"/>
        <v>1</v>
      </c>
      <c r="I521" s="7" t="s">
        <v>155</v>
      </c>
      <c r="J521" s="7" t="s">
        <v>21</v>
      </c>
      <c r="K521" s="7"/>
      <c r="L521" s="7"/>
      <c r="M521" s="7"/>
      <c r="N521" s="7" t="s">
        <v>170</v>
      </c>
      <c r="O521" s="7" t="s">
        <v>161</v>
      </c>
      <c r="P521" s="7" t="s">
        <v>6561</v>
      </c>
      <c r="Q521" s="129">
        <v>46199</v>
      </c>
      <c r="R521" s="130">
        <f t="shared" si="63"/>
        <v>46211</v>
      </c>
      <c r="S521" s="131">
        <f t="shared" si="66"/>
        <v>12</v>
      </c>
      <c r="T521" s="7" t="s">
        <v>182</v>
      </c>
      <c r="U521" s="7"/>
      <c r="V521" s="7"/>
      <c r="W521" s="7"/>
      <c r="X521" s="132">
        <f t="shared" si="64"/>
        <v>10</v>
      </c>
      <c r="Y521" s="133"/>
      <c r="Z521" s="133"/>
      <c r="AA521" s="133"/>
    </row>
    <row r="522" spans="1:27" hidden="1" x14ac:dyDescent="0.25">
      <c r="A522" s="127">
        <v>607</v>
      </c>
      <c r="B522" s="128" t="str">
        <f t="shared" si="65"/>
        <v>NAMS</v>
      </c>
      <c r="C522" s="128" t="str">
        <f>+VLOOKUP(U522,Ходим!A:B,2,0)</f>
        <v>33012942170121</v>
      </c>
      <c r="D522" s="128" t="str">
        <f>IFERROR(VLOOKUP($B:$B,[20]свод!$A:$AB,3,0)," ")</f>
        <v>Наманган шаҳар</v>
      </c>
      <c r="E522" s="7" t="s">
        <v>1664</v>
      </c>
      <c r="F522" s="7" t="s">
        <v>8063</v>
      </c>
      <c r="G522" s="134">
        <f t="shared" si="67"/>
        <v>1</v>
      </c>
      <c r="H522" s="134" t="str">
        <f t="shared" si="68"/>
        <v/>
      </c>
      <c r="I522" s="7" t="s">
        <v>154</v>
      </c>
      <c r="J522" s="7" t="s">
        <v>1</v>
      </c>
      <c r="K522" s="7"/>
      <c r="L522" s="7" t="s">
        <v>167</v>
      </c>
      <c r="M522" s="7" t="s">
        <v>4549</v>
      </c>
      <c r="N522" s="7" t="s">
        <v>170</v>
      </c>
      <c r="O522" s="7" t="s">
        <v>162</v>
      </c>
      <c r="P522" s="7" t="s">
        <v>6288</v>
      </c>
      <c r="Q522" s="129">
        <v>46199</v>
      </c>
      <c r="R522" s="130">
        <f t="shared" si="63"/>
        <v>46205</v>
      </c>
      <c r="S522" s="131">
        <f t="shared" si="66"/>
        <v>6</v>
      </c>
      <c r="T522" s="7" t="s">
        <v>185</v>
      </c>
      <c r="U522" s="7" t="s">
        <v>259</v>
      </c>
      <c r="V522" s="7"/>
      <c r="W522" s="7">
        <v>213.86</v>
      </c>
      <c r="X522" s="132">
        <f t="shared" si="64"/>
        <v>10</v>
      </c>
      <c r="Y522" s="133"/>
      <c r="Z522" s="133"/>
      <c r="AA522" s="133"/>
    </row>
    <row r="523" spans="1:27" hidden="1" x14ac:dyDescent="0.25">
      <c r="A523" s="127">
        <v>608</v>
      </c>
      <c r="B523" s="128" t="str">
        <f t="shared" si="65"/>
        <v>TORT</v>
      </c>
      <c r="C523" s="128" t="str">
        <f>+VLOOKUP(U523,Ходим!A:B,2,0)</f>
        <v>40302922130046</v>
      </c>
      <c r="D523" s="128" t="str">
        <f>IFERROR(VLOOKUP($B:$B,[20]свод!$A:$AB,3,0)," ")</f>
        <v>Тўрақўрғон тумани</v>
      </c>
      <c r="E523" s="7" t="s">
        <v>1665</v>
      </c>
      <c r="F523" s="7" t="s">
        <v>8064</v>
      </c>
      <c r="G523" s="134" t="str">
        <f t="shared" si="67"/>
        <v/>
      </c>
      <c r="H523" s="134">
        <f t="shared" si="68"/>
        <v>1</v>
      </c>
      <c r="I523" s="7" t="s">
        <v>154</v>
      </c>
      <c r="J523" s="7" t="s">
        <v>13</v>
      </c>
      <c r="K523" s="7"/>
      <c r="L523" s="7" t="s">
        <v>166</v>
      </c>
      <c r="M523" s="7" t="s">
        <v>4550</v>
      </c>
      <c r="N523" s="7" t="s">
        <v>170</v>
      </c>
      <c r="O523" s="7" t="s">
        <v>161</v>
      </c>
      <c r="P523" s="7" t="s">
        <v>6554</v>
      </c>
      <c r="Q523" s="129">
        <v>46199</v>
      </c>
      <c r="R523" s="130">
        <f t="shared" si="63"/>
        <v>46216</v>
      </c>
      <c r="S523" s="131">
        <f t="shared" si="66"/>
        <v>17</v>
      </c>
      <c r="T523" s="7" t="s">
        <v>203</v>
      </c>
      <c r="U523" s="7" t="s">
        <v>258</v>
      </c>
      <c r="V523" s="7"/>
      <c r="W523" s="7">
        <v>1030.48</v>
      </c>
      <c r="X523" s="132">
        <f t="shared" si="64"/>
        <v>17</v>
      </c>
      <c r="Y523" s="133"/>
      <c r="Z523" s="133"/>
      <c r="AA523" s="133"/>
    </row>
    <row r="524" spans="1:27" hidden="1" x14ac:dyDescent="0.25">
      <c r="A524" s="127">
        <v>609</v>
      </c>
      <c r="B524" s="128" t="str">
        <f t="shared" si="65"/>
        <v>NAMS</v>
      </c>
      <c r="C524" s="128" t="str">
        <f>+VLOOKUP(U524,Ходим!A:B,2,0)</f>
        <v>52107015960107</v>
      </c>
      <c r="D524" s="128" t="str">
        <f>IFERROR(VLOOKUP($B:$B,[20]свод!$A:$AB,3,0)," ")</f>
        <v>Наманган шаҳар</v>
      </c>
      <c r="E524" s="7" t="s">
        <v>1666</v>
      </c>
      <c r="F524" s="7" t="s">
        <v>8065</v>
      </c>
      <c r="G524" s="134">
        <f t="shared" si="67"/>
        <v>1</v>
      </c>
      <c r="H524" s="134" t="str">
        <f t="shared" si="68"/>
        <v/>
      </c>
      <c r="I524" s="7" t="s">
        <v>158</v>
      </c>
      <c r="J524" s="7" t="s">
        <v>2</v>
      </c>
      <c r="K524" s="7"/>
      <c r="L524" s="7" t="s">
        <v>167</v>
      </c>
      <c r="M524" s="7" t="s">
        <v>4551</v>
      </c>
      <c r="N524" s="7" t="s">
        <v>170</v>
      </c>
      <c r="O524" s="7" t="s">
        <v>162</v>
      </c>
      <c r="P524" s="7" t="s">
        <v>6562</v>
      </c>
      <c r="Q524" s="129">
        <v>46199</v>
      </c>
      <c r="R524" s="130">
        <f t="shared" si="63"/>
        <v>46205</v>
      </c>
      <c r="S524" s="131">
        <f t="shared" si="66"/>
        <v>6</v>
      </c>
      <c r="T524" s="7" t="s">
        <v>173</v>
      </c>
      <c r="U524" s="7" t="s">
        <v>348</v>
      </c>
      <c r="V524" s="7"/>
      <c r="W524" s="7">
        <v>0</v>
      </c>
      <c r="X524" s="132">
        <f t="shared" si="64"/>
        <v>10</v>
      </c>
      <c r="Y524" s="133"/>
      <c r="Z524" s="133"/>
      <c r="AA524" s="133"/>
    </row>
    <row r="525" spans="1:27" hidden="1" x14ac:dyDescent="0.25">
      <c r="A525" s="127">
        <v>610</v>
      </c>
      <c r="B525" s="128" t="str">
        <f t="shared" si="65"/>
        <v>NAMS</v>
      </c>
      <c r="C525" s="128" t="str">
        <f>+VLOOKUP(U525,Ходим!A:B,2,0)</f>
        <v>32407752170062</v>
      </c>
      <c r="D525" s="128" t="str">
        <f>IFERROR(VLOOKUP($B:$B,[20]свод!$A:$AB,3,0)," ")</f>
        <v>Наманган шаҳар</v>
      </c>
      <c r="E525" s="7" t="s">
        <v>1667</v>
      </c>
      <c r="F525" s="7" t="s">
        <v>8066</v>
      </c>
      <c r="G525" s="134">
        <f t="shared" si="67"/>
        <v>1</v>
      </c>
      <c r="H525" s="134" t="str">
        <f t="shared" si="68"/>
        <v/>
      </c>
      <c r="I525" s="7" t="s">
        <v>158</v>
      </c>
      <c r="J525" s="7" t="s">
        <v>36</v>
      </c>
      <c r="K525" s="7"/>
      <c r="L525" s="7" t="s">
        <v>167</v>
      </c>
      <c r="M525" s="7" t="s">
        <v>1038</v>
      </c>
      <c r="N525" s="7" t="s">
        <v>170</v>
      </c>
      <c r="O525" s="7" t="s">
        <v>163</v>
      </c>
      <c r="P525" s="7" t="s">
        <v>6548</v>
      </c>
      <c r="Q525" s="129">
        <v>46199</v>
      </c>
      <c r="R525" s="130">
        <f t="shared" si="63"/>
        <v>46205</v>
      </c>
      <c r="S525" s="131">
        <f t="shared" si="66"/>
        <v>6</v>
      </c>
      <c r="T525" s="7" t="s">
        <v>173</v>
      </c>
      <c r="U525" s="7" t="s">
        <v>264</v>
      </c>
      <c r="V525" s="7"/>
      <c r="W525" s="7">
        <v>533.44000000000005</v>
      </c>
      <c r="X525" s="132">
        <f t="shared" si="64"/>
        <v>10</v>
      </c>
      <c r="Y525" s="133"/>
      <c r="Z525" s="133"/>
      <c r="AA525" s="133"/>
    </row>
    <row r="526" spans="1:27" hidden="1" x14ac:dyDescent="0.25">
      <c r="A526" s="127">
        <v>611</v>
      </c>
      <c r="B526" s="128" t="str">
        <f t="shared" si="65"/>
        <v>NAMS</v>
      </c>
      <c r="C526" s="128" t="str">
        <f>+VLOOKUP(U526,Ходим!A:B,2,0)</f>
        <v>32207925880019</v>
      </c>
      <c r="D526" s="128" t="str">
        <f>IFERROR(VLOOKUP($B:$B,[20]свод!$A:$AB,3,0)," ")</f>
        <v>Наманган шаҳар</v>
      </c>
      <c r="E526" s="7" t="s">
        <v>1668</v>
      </c>
      <c r="F526" s="7" t="s">
        <v>8067</v>
      </c>
      <c r="G526" s="134">
        <f t="shared" si="67"/>
        <v>1</v>
      </c>
      <c r="H526" s="134" t="str">
        <f t="shared" si="68"/>
        <v/>
      </c>
      <c r="I526" s="7" t="s">
        <v>156</v>
      </c>
      <c r="J526" s="7" t="s">
        <v>25</v>
      </c>
      <c r="K526" s="7"/>
      <c r="L526" s="7" t="s">
        <v>167</v>
      </c>
      <c r="M526" s="7" t="s">
        <v>4552</v>
      </c>
      <c r="N526" s="7" t="s">
        <v>410</v>
      </c>
      <c r="O526" s="7" t="s">
        <v>162</v>
      </c>
      <c r="P526" s="7" t="s">
        <v>6563</v>
      </c>
      <c r="Q526" s="129">
        <v>46199</v>
      </c>
      <c r="R526" s="130">
        <f t="shared" si="63"/>
        <v>46211</v>
      </c>
      <c r="S526" s="131">
        <f t="shared" si="66"/>
        <v>12</v>
      </c>
      <c r="T526" s="7" t="s">
        <v>173</v>
      </c>
      <c r="U526" s="7" t="s">
        <v>174</v>
      </c>
      <c r="V526" s="7"/>
      <c r="W526" s="7">
        <v>164.36</v>
      </c>
      <c r="X526" s="132">
        <f t="shared" si="64"/>
        <v>10</v>
      </c>
      <c r="Y526" s="133"/>
      <c r="Z526" s="133"/>
      <c r="AA526" s="133"/>
    </row>
    <row r="527" spans="1:27" hidden="1" x14ac:dyDescent="0.25">
      <c r="A527" s="127">
        <v>612</v>
      </c>
      <c r="B527" s="128" t="str">
        <f t="shared" si="65"/>
        <v>NAMS</v>
      </c>
      <c r="C527" s="128" t="str">
        <f>+VLOOKUP(U527,Ходим!A:B,2,0)</f>
        <v>30910985930021</v>
      </c>
      <c r="D527" s="128" t="str">
        <f>IFERROR(VLOOKUP($B:$B,[20]свод!$A:$AB,3,0)," ")</f>
        <v>Наманган шаҳар</v>
      </c>
      <c r="E527" s="7" t="s">
        <v>1669</v>
      </c>
      <c r="F527" s="7" t="s">
        <v>8068</v>
      </c>
      <c r="G527" s="134">
        <f t="shared" si="67"/>
        <v>1</v>
      </c>
      <c r="H527" s="134" t="str">
        <f t="shared" si="68"/>
        <v/>
      </c>
      <c r="I527" s="7" t="s">
        <v>156</v>
      </c>
      <c r="J527" s="7" t="s">
        <v>25</v>
      </c>
      <c r="K527" s="7"/>
      <c r="L527" s="7"/>
      <c r="M527" s="7"/>
      <c r="N527" s="7" t="s">
        <v>170</v>
      </c>
      <c r="O527" s="7" t="s">
        <v>162</v>
      </c>
      <c r="P527" s="7" t="s">
        <v>6563</v>
      </c>
      <c r="Q527" s="129">
        <v>46199</v>
      </c>
      <c r="R527" s="130">
        <f t="shared" si="63"/>
        <v>46211</v>
      </c>
      <c r="S527" s="131">
        <f t="shared" si="66"/>
        <v>12</v>
      </c>
      <c r="T527" s="7" t="s">
        <v>173</v>
      </c>
      <c r="U527" s="7" t="s">
        <v>963</v>
      </c>
      <c r="V527" s="7"/>
      <c r="W527" s="7"/>
      <c r="X527" s="132">
        <f t="shared" si="64"/>
        <v>10</v>
      </c>
      <c r="Y527" s="133"/>
      <c r="Z527" s="133"/>
      <c r="AA527" s="133"/>
    </row>
    <row r="528" spans="1:27" hidden="1" x14ac:dyDescent="0.25">
      <c r="A528" s="127">
        <v>613</v>
      </c>
      <c r="B528" s="128" t="str">
        <f t="shared" si="65"/>
        <v>NAMS</v>
      </c>
      <c r="C528" s="128" t="str">
        <f>+VLOOKUP(U528,Ходим!A:B,2,0)</f>
        <v>52601025870013</v>
      </c>
      <c r="D528" s="128" t="str">
        <f>IFERROR(VLOOKUP($B:$B,[20]свод!$A:$AB,3,0)," ")</f>
        <v>Наманган шаҳар</v>
      </c>
      <c r="E528" s="7" t="s">
        <v>1670</v>
      </c>
      <c r="F528" s="7" t="s">
        <v>8069</v>
      </c>
      <c r="G528" s="134">
        <f t="shared" si="67"/>
        <v>1</v>
      </c>
      <c r="H528" s="134" t="str">
        <f t="shared" si="68"/>
        <v/>
      </c>
      <c r="I528" s="7" t="s">
        <v>156</v>
      </c>
      <c r="J528" s="7" t="s">
        <v>25</v>
      </c>
      <c r="K528" s="7"/>
      <c r="L528" s="7"/>
      <c r="M528" s="7"/>
      <c r="N528" s="7" t="s">
        <v>170</v>
      </c>
      <c r="O528" s="7" t="s">
        <v>162</v>
      </c>
      <c r="P528" s="7" t="s">
        <v>6563</v>
      </c>
      <c r="Q528" s="129">
        <v>46199</v>
      </c>
      <c r="R528" s="130">
        <f t="shared" si="63"/>
        <v>46211</v>
      </c>
      <c r="S528" s="131">
        <f t="shared" si="66"/>
        <v>12</v>
      </c>
      <c r="T528" s="7" t="s">
        <v>173</v>
      </c>
      <c r="U528" s="7" t="s">
        <v>405</v>
      </c>
      <c r="V528" s="7"/>
      <c r="W528" s="7"/>
      <c r="X528" s="132">
        <f t="shared" si="64"/>
        <v>10</v>
      </c>
      <c r="Y528" s="133"/>
      <c r="Z528" s="133"/>
      <c r="AA528" s="133"/>
    </row>
    <row r="529" spans="1:27" hidden="1" x14ac:dyDescent="0.25">
      <c r="A529" s="127">
        <v>614</v>
      </c>
      <c r="B529" s="128" t="str">
        <f t="shared" si="65"/>
        <v>NAMT</v>
      </c>
      <c r="C529" s="128" t="str">
        <f>+VLOOKUP(U529,Ходим!A:B,2,0)</f>
        <v>50706025880010</v>
      </c>
      <c r="D529" s="128" t="str">
        <f>IFERROR(VLOOKUP($B:$B,[20]свод!$A:$AB,3,0)," ")</f>
        <v>Наманган тумани</v>
      </c>
      <c r="E529" s="7" t="s">
        <v>1671</v>
      </c>
      <c r="F529" s="7" t="s">
        <v>8070</v>
      </c>
      <c r="G529" s="134" t="str">
        <f t="shared" si="67"/>
        <v/>
      </c>
      <c r="H529" s="134">
        <f t="shared" si="68"/>
        <v>1</v>
      </c>
      <c r="I529" s="7" t="s">
        <v>157</v>
      </c>
      <c r="J529" s="7" t="s">
        <v>2</v>
      </c>
      <c r="K529" s="7"/>
      <c r="L529" s="7" t="s">
        <v>166</v>
      </c>
      <c r="M529" s="7" t="s">
        <v>4553</v>
      </c>
      <c r="N529" s="7" t="s">
        <v>410</v>
      </c>
      <c r="O529" s="7" t="s">
        <v>161</v>
      </c>
      <c r="P529" s="7" t="s">
        <v>6481</v>
      </c>
      <c r="Q529" s="129">
        <v>46199</v>
      </c>
      <c r="R529" s="130">
        <f t="shared" si="63"/>
        <v>46211</v>
      </c>
      <c r="S529" s="131">
        <f t="shared" si="66"/>
        <v>12</v>
      </c>
      <c r="T529" s="7" t="s">
        <v>193</v>
      </c>
      <c r="U529" s="7" t="s">
        <v>397</v>
      </c>
      <c r="V529" s="7"/>
      <c r="W529" s="7">
        <v>0</v>
      </c>
      <c r="X529" s="132">
        <f t="shared" si="64"/>
        <v>10</v>
      </c>
      <c r="Y529" s="133"/>
      <c r="Z529" s="133"/>
      <c r="AA529" s="133"/>
    </row>
    <row r="530" spans="1:27" hidden="1" x14ac:dyDescent="0.25">
      <c r="A530" s="127">
        <v>615</v>
      </c>
      <c r="B530" s="128" t="str">
        <f t="shared" si="65"/>
        <v>NAMT</v>
      </c>
      <c r="C530" s="128" t="str">
        <f>+VLOOKUP(U530,Ходим!A:B,2,0)</f>
        <v>50706025880010</v>
      </c>
      <c r="D530" s="128" t="str">
        <f>IFERROR(VLOOKUP($B:$B,[20]свод!$A:$AB,3,0)," ")</f>
        <v>Наманган тумани</v>
      </c>
      <c r="E530" s="7" t="s">
        <v>1672</v>
      </c>
      <c r="F530" s="7" t="s">
        <v>8071</v>
      </c>
      <c r="G530" s="134">
        <f t="shared" si="67"/>
        <v>1</v>
      </c>
      <c r="H530" s="134" t="str">
        <f t="shared" si="68"/>
        <v/>
      </c>
      <c r="I530" s="7" t="s">
        <v>158</v>
      </c>
      <c r="J530" s="7" t="s">
        <v>2</v>
      </c>
      <c r="K530" s="7"/>
      <c r="L530" s="7" t="s">
        <v>167</v>
      </c>
      <c r="M530" s="7" t="s">
        <v>4554</v>
      </c>
      <c r="N530" s="7" t="s">
        <v>170</v>
      </c>
      <c r="O530" s="7" t="s">
        <v>162</v>
      </c>
      <c r="P530" s="7" t="s">
        <v>6537</v>
      </c>
      <c r="Q530" s="129">
        <v>46199</v>
      </c>
      <c r="R530" s="130">
        <f t="shared" si="63"/>
        <v>46211</v>
      </c>
      <c r="S530" s="131">
        <f t="shared" si="66"/>
        <v>12</v>
      </c>
      <c r="T530" s="7" t="s">
        <v>193</v>
      </c>
      <c r="U530" s="7" t="s">
        <v>397</v>
      </c>
      <c r="V530" s="7"/>
      <c r="W530" s="7">
        <v>415.58</v>
      </c>
      <c r="X530" s="132">
        <f t="shared" si="64"/>
        <v>10</v>
      </c>
      <c r="Y530" s="133"/>
      <c r="Z530" s="133"/>
      <c r="AA530" s="133"/>
    </row>
    <row r="531" spans="1:27" hidden="1" x14ac:dyDescent="0.25">
      <c r="A531" s="127">
        <v>616</v>
      </c>
      <c r="B531" s="128" t="str">
        <f t="shared" si="65"/>
        <v>KSST</v>
      </c>
      <c r="C531" s="128" t="str">
        <f>+VLOOKUP(U531,Ходим!A:B,2,0)</f>
        <v>32910975980025</v>
      </c>
      <c r="D531" s="128" t="str">
        <f>IFERROR(VLOOKUP($B:$B,[20]свод!$A:$AB,3,0)," ")</f>
        <v>Косонсой тумани</v>
      </c>
      <c r="E531" s="7" t="s">
        <v>1673</v>
      </c>
      <c r="F531" s="7" t="s">
        <v>8072</v>
      </c>
      <c r="G531" s="134">
        <f t="shared" si="67"/>
        <v>1</v>
      </c>
      <c r="H531" s="134" t="str">
        <f t="shared" si="68"/>
        <v/>
      </c>
      <c r="I531" s="7" t="s">
        <v>158</v>
      </c>
      <c r="J531" s="7" t="s">
        <v>1</v>
      </c>
      <c r="K531" s="7"/>
      <c r="L531" s="7" t="s">
        <v>167</v>
      </c>
      <c r="M531" s="7" t="s">
        <v>4555</v>
      </c>
      <c r="N531" s="7" t="s">
        <v>170</v>
      </c>
      <c r="O531" s="7" t="s">
        <v>162</v>
      </c>
      <c r="P531" s="7" t="s">
        <v>6293</v>
      </c>
      <c r="Q531" s="129">
        <v>46199</v>
      </c>
      <c r="R531" s="130">
        <f t="shared" si="63"/>
        <v>46204</v>
      </c>
      <c r="S531" s="131">
        <f t="shared" si="66"/>
        <v>5</v>
      </c>
      <c r="T531" s="7" t="s">
        <v>180</v>
      </c>
      <c r="U531" s="7" t="s">
        <v>187</v>
      </c>
      <c r="V531" s="7"/>
      <c r="W531" s="7">
        <v>262.82</v>
      </c>
      <c r="X531" s="132">
        <f t="shared" si="64"/>
        <v>10</v>
      </c>
      <c r="Y531" s="133"/>
      <c r="Z531" s="133"/>
      <c r="AA531" s="133"/>
    </row>
    <row r="532" spans="1:27" hidden="1" x14ac:dyDescent="0.25">
      <c r="A532" s="127">
        <v>617</v>
      </c>
      <c r="B532" s="128" t="str">
        <f t="shared" si="65"/>
        <v>KSST</v>
      </c>
      <c r="C532" s="128" t="str">
        <f>+VLOOKUP(U532,Ходим!A:B,2,0)</f>
        <v>31407932190092</v>
      </c>
      <c r="D532" s="128" t="str">
        <f>IFERROR(VLOOKUP($B:$B,[20]свод!$A:$AB,3,0)," ")</f>
        <v>Косонсой тумани</v>
      </c>
      <c r="E532" s="7" t="s">
        <v>1674</v>
      </c>
      <c r="F532" s="7" t="s">
        <v>8073</v>
      </c>
      <c r="G532" s="134">
        <f t="shared" si="67"/>
        <v>1</v>
      </c>
      <c r="H532" s="134" t="str">
        <f t="shared" si="68"/>
        <v/>
      </c>
      <c r="I532" s="7" t="s">
        <v>158</v>
      </c>
      <c r="J532" s="7" t="s">
        <v>2</v>
      </c>
      <c r="K532" s="7"/>
      <c r="L532" s="7" t="s">
        <v>167</v>
      </c>
      <c r="M532" s="7" t="s">
        <v>4556</v>
      </c>
      <c r="N532" s="7" t="s">
        <v>170</v>
      </c>
      <c r="O532" s="7" t="s">
        <v>162</v>
      </c>
      <c r="P532" s="7" t="s">
        <v>6564</v>
      </c>
      <c r="Q532" s="129">
        <v>46199</v>
      </c>
      <c r="R532" s="130">
        <f t="shared" si="63"/>
        <v>46205</v>
      </c>
      <c r="S532" s="131">
        <f t="shared" si="66"/>
        <v>6</v>
      </c>
      <c r="T532" s="7" t="s">
        <v>180</v>
      </c>
      <c r="U532" s="7" t="s">
        <v>188</v>
      </c>
      <c r="V532" s="7"/>
      <c r="W532" s="7">
        <v>0</v>
      </c>
      <c r="X532" s="132">
        <f t="shared" si="64"/>
        <v>10</v>
      </c>
      <c r="Y532" s="133"/>
      <c r="Z532" s="133"/>
      <c r="AA532" s="133"/>
    </row>
    <row r="533" spans="1:27" hidden="1" x14ac:dyDescent="0.25">
      <c r="A533" s="127">
        <v>618</v>
      </c>
      <c r="B533" s="128" t="str">
        <f t="shared" si="65"/>
        <v>UYCT</v>
      </c>
      <c r="C533" s="128" t="str">
        <f>+VLOOKUP(U533,Ходим!A:B,2,0)</f>
        <v>30510922140032</v>
      </c>
      <c r="D533" s="128" t="str">
        <f>IFERROR(VLOOKUP($B:$B,[20]свод!$A:$AB,3,0)," ")</f>
        <v>Уйчи тумани</v>
      </c>
      <c r="E533" s="7" t="s">
        <v>1675</v>
      </c>
      <c r="F533" s="7" t="s">
        <v>8074</v>
      </c>
      <c r="G533" s="134">
        <f t="shared" si="67"/>
        <v>1</v>
      </c>
      <c r="H533" s="134" t="str">
        <f t="shared" si="68"/>
        <v/>
      </c>
      <c r="I533" s="7" t="s">
        <v>158</v>
      </c>
      <c r="J533" s="7" t="s">
        <v>2</v>
      </c>
      <c r="K533" s="7"/>
      <c r="L533" s="7" t="s">
        <v>167</v>
      </c>
      <c r="M533" s="7" t="s">
        <v>4557</v>
      </c>
      <c r="N533" s="7" t="s">
        <v>170</v>
      </c>
      <c r="O533" s="7" t="s">
        <v>162</v>
      </c>
      <c r="P533" s="7" t="s">
        <v>6537</v>
      </c>
      <c r="Q533" s="129">
        <v>46199</v>
      </c>
      <c r="R533" s="130">
        <f t="shared" si="63"/>
        <v>46211</v>
      </c>
      <c r="S533" s="131">
        <f t="shared" si="66"/>
        <v>12</v>
      </c>
      <c r="T533" s="7" t="s">
        <v>947</v>
      </c>
      <c r="U533" s="7" t="s">
        <v>199</v>
      </c>
      <c r="V533" s="7"/>
      <c r="W533" s="7">
        <v>108.9</v>
      </c>
      <c r="X533" s="132">
        <f t="shared" si="64"/>
        <v>10</v>
      </c>
      <c r="Y533" s="133"/>
      <c r="Z533" s="133"/>
      <c r="AA533" s="133"/>
    </row>
    <row r="534" spans="1:27" hidden="1" x14ac:dyDescent="0.25">
      <c r="A534" s="127">
        <v>619</v>
      </c>
      <c r="B534" s="128" t="str">
        <f t="shared" si="65"/>
        <v>NAMS</v>
      </c>
      <c r="C534" s="128" t="str">
        <f>+VLOOKUP(U534,Ходим!A:B,2,0)</f>
        <v>52107015960107</v>
      </c>
      <c r="D534" s="128" t="str">
        <f>IFERROR(VLOOKUP($B:$B,[20]свод!$A:$AB,3,0)," ")</f>
        <v>Наманган шаҳар</v>
      </c>
      <c r="E534" s="7" t="s">
        <v>1676</v>
      </c>
      <c r="F534" s="7" t="s">
        <v>8075</v>
      </c>
      <c r="G534" s="134">
        <f t="shared" si="67"/>
        <v>1</v>
      </c>
      <c r="H534" s="134" t="str">
        <f t="shared" si="68"/>
        <v/>
      </c>
      <c r="I534" s="7" t="s">
        <v>156</v>
      </c>
      <c r="J534" s="7" t="s">
        <v>25</v>
      </c>
      <c r="K534" s="7"/>
      <c r="L534" s="7"/>
      <c r="M534" s="7"/>
      <c r="N534" s="7" t="s">
        <v>170</v>
      </c>
      <c r="O534" s="7" t="s">
        <v>162</v>
      </c>
      <c r="P534" s="7" t="s">
        <v>6565</v>
      </c>
      <c r="Q534" s="129">
        <v>46199</v>
      </c>
      <c r="R534" s="130">
        <f t="shared" si="63"/>
        <v>46211</v>
      </c>
      <c r="S534" s="131">
        <f t="shared" si="66"/>
        <v>12</v>
      </c>
      <c r="T534" s="7" t="s">
        <v>173</v>
      </c>
      <c r="U534" s="7" t="s">
        <v>348</v>
      </c>
      <c r="V534" s="7"/>
      <c r="W534" s="7"/>
      <c r="X534" s="132">
        <f t="shared" si="64"/>
        <v>10</v>
      </c>
      <c r="Y534" s="133"/>
      <c r="Z534" s="133"/>
      <c r="AA534" s="133"/>
    </row>
    <row r="535" spans="1:27" hidden="1" x14ac:dyDescent="0.25">
      <c r="A535" s="127">
        <v>620</v>
      </c>
      <c r="B535" s="128" t="str">
        <f t="shared" si="65"/>
        <v>NAMT</v>
      </c>
      <c r="C535" s="128" t="str">
        <f>+VLOOKUP(U535,Ходим!A:B,2,0)</f>
        <v>52012025880014</v>
      </c>
      <c r="D535" s="128" t="str">
        <f>IFERROR(VLOOKUP($B:$B,[20]свод!$A:$AB,3,0)," ")</f>
        <v>Наманган тумани</v>
      </c>
      <c r="E535" s="7" t="s">
        <v>1677</v>
      </c>
      <c r="F535" s="7" t="s">
        <v>8076</v>
      </c>
      <c r="G535" s="134">
        <f t="shared" si="67"/>
        <v>1</v>
      </c>
      <c r="H535" s="134" t="str">
        <f t="shared" si="68"/>
        <v/>
      </c>
      <c r="I535" s="7" t="s">
        <v>158</v>
      </c>
      <c r="J535" s="7" t="s">
        <v>2</v>
      </c>
      <c r="K535" s="7"/>
      <c r="L535" s="7" t="s">
        <v>167</v>
      </c>
      <c r="M535" s="7" t="s">
        <v>4558</v>
      </c>
      <c r="N535" s="7" t="s">
        <v>170</v>
      </c>
      <c r="O535" s="7" t="s">
        <v>162</v>
      </c>
      <c r="P535" s="7" t="s">
        <v>6565</v>
      </c>
      <c r="Q535" s="129">
        <v>46199</v>
      </c>
      <c r="R535" s="130">
        <f t="shared" si="63"/>
        <v>46211</v>
      </c>
      <c r="S535" s="131">
        <f t="shared" si="66"/>
        <v>12</v>
      </c>
      <c r="T535" s="7" t="s">
        <v>193</v>
      </c>
      <c r="U535" s="7" t="s">
        <v>216</v>
      </c>
      <c r="V535" s="7"/>
      <c r="W535" s="7">
        <v>373.7</v>
      </c>
      <c r="X535" s="132">
        <f t="shared" si="64"/>
        <v>10</v>
      </c>
      <c r="Y535" s="133"/>
      <c r="Z535" s="133"/>
      <c r="AA535" s="133"/>
    </row>
    <row r="536" spans="1:27" hidden="1" x14ac:dyDescent="0.25">
      <c r="A536" s="127">
        <v>621</v>
      </c>
      <c r="B536" s="128" t="str">
        <f t="shared" si="65"/>
        <v>NAMS</v>
      </c>
      <c r="C536" s="128" t="str">
        <f>+VLOOKUP(U536,Ходим!A:B,2,0)</f>
        <v>51705025890024</v>
      </c>
      <c r="D536" s="128" t="str">
        <f>IFERROR(VLOOKUP($B:$B,[20]свод!$A:$AB,3,0)," ")</f>
        <v>Наманган шаҳар</v>
      </c>
      <c r="E536" s="7" t="s">
        <v>1678</v>
      </c>
      <c r="F536" s="7" t="s">
        <v>8077</v>
      </c>
      <c r="G536" s="134">
        <f t="shared" si="67"/>
        <v>1</v>
      </c>
      <c r="H536" s="134" t="str">
        <f t="shared" si="68"/>
        <v/>
      </c>
      <c r="I536" s="7" t="s">
        <v>158</v>
      </c>
      <c r="J536" s="7" t="s">
        <v>2</v>
      </c>
      <c r="K536" s="7"/>
      <c r="L536" s="7" t="s">
        <v>167</v>
      </c>
      <c r="M536" s="7" t="s">
        <v>4559</v>
      </c>
      <c r="N536" s="7" t="s">
        <v>170</v>
      </c>
      <c r="O536" s="7" t="s">
        <v>162</v>
      </c>
      <c r="P536" s="7" t="s">
        <v>6565</v>
      </c>
      <c r="Q536" s="129">
        <v>46199</v>
      </c>
      <c r="R536" s="130">
        <f t="shared" si="63"/>
        <v>46211</v>
      </c>
      <c r="S536" s="131">
        <f t="shared" si="66"/>
        <v>12</v>
      </c>
      <c r="T536" s="7" t="s">
        <v>173</v>
      </c>
      <c r="U536" s="7" t="s">
        <v>189</v>
      </c>
      <c r="V536" s="7"/>
      <c r="W536" s="7">
        <v>0</v>
      </c>
      <c r="X536" s="132">
        <f t="shared" si="64"/>
        <v>10</v>
      </c>
      <c r="Y536" s="133"/>
      <c r="Z536" s="133"/>
      <c r="AA536" s="133"/>
    </row>
    <row r="537" spans="1:27" hidden="1" x14ac:dyDescent="0.25">
      <c r="A537" s="127">
        <v>622</v>
      </c>
      <c r="B537" s="128" t="str">
        <f t="shared" si="65"/>
        <v>POPT</v>
      </c>
      <c r="C537" s="128" t="str">
        <f>+VLOOKUP(U537,Ходим!A:B,2,0)</f>
        <v>50310025910024</v>
      </c>
      <c r="D537" s="128" t="str">
        <f>IFERROR(VLOOKUP($B:$B,[20]свод!$A:$AB,3,0)," ")</f>
        <v>Поп тумани</v>
      </c>
      <c r="E537" s="7" t="s">
        <v>1679</v>
      </c>
      <c r="F537" s="7" t="s">
        <v>8078</v>
      </c>
      <c r="G537" s="134">
        <f t="shared" si="67"/>
        <v>1</v>
      </c>
      <c r="H537" s="134" t="str">
        <f t="shared" si="68"/>
        <v/>
      </c>
      <c r="I537" s="7" t="s">
        <v>158</v>
      </c>
      <c r="J537" s="7" t="s">
        <v>2</v>
      </c>
      <c r="K537" s="7"/>
      <c r="L537" s="7" t="s">
        <v>167</v>
      </c>
      <c r="M537" s="7" t="s">
        <v>4560</v>
      </c>
      <c r="N537" s="7" t="s">
        <v>170</v>
      </c>
      <c r="O537" s="7" t="s">
        <v>162</v>
      </c>
      <c r="P537" s="7" t="s">
        <v>6566</v>
      </c>
      <c r="Q537" s="129">
        <v>46199</v>
      </c>
      <c r="R537" s="130">
        <f t="shared" si="63"/>
        <v>46205</v>
      </c>
      <c r="S537" s="131">
        <f t="shared" si="66"/>
        <v>6</v>
      </c>
      <c r="T537" s="7" t="s">
        <v>240</v>
      </c>
      <c r="U537" s="7" t="s">
        <v>964</v>
      </c>
      <c r="V537" s="7"/>
      <c r="W537" s="7">
        <v>102</v>
      </c>
      <c r="X537" s="132">
        <f t="shared" si="64"/>
        <v>10</v>
      </c>
      <c r="Y537" s="133"/>
      <c r="Z537" s="133"/>
      <c r="AA537" s="133"/>
    </row>
    <row r="538" spans="1:27" hidden="1" x14ac:dyDescent="0.25">
      <c r="A538" s="127">
        <v>623</v>
      </c>
      <c r="B538" s="128" t="str">
        <f t="shared" si="65"/>
        <v>YGQT</v>
      </c>
      <c r="C538" s="128" t="str">
        <f>+VLOOKUP(U538,Ходим!A:B,2,0)</f>
        <v>30107965950010</v>
      </c>
      <c r="D538" s="128" t="str">
        <f>IFERROR(VLOOKUP($B:$B,[20]свод!$A:$AB,3,0)," ")</f>
        <v>Янгиқўрғон тумани</v>
      </c>
      <c r="E538" s="7" t="s">
        <v>1680</v>
      </c>
      <c r="F538" s="7" t="s">
        <v>8079</v>
      </c>
      <c r="G538" s="134" t="str">
        <f t="shared" si="67"/>
        <v/>
      </c>
      <c r="H538" s="134">
        <f t="shared" si="68"/>
        <v>1</v>
      </c>
      <c r="I538" s="7" t="s">
        <v>157</v>
      </c>
      <c r="J538" s="7" t="s">
        <v>172</v>
      </c>
      <c r="K538" s="7"/>
      <c r="L538" s="7" t="s">
        <v>168</v>
      </c>
      <c r="M538" s="7" t="s">
        <v>4561</v>
      </c>
      <c r="N538" s="7" t="s">
        <v>170</v>
      </c>
      <c r="O538" s="7" t="s">
        <v>161</v>
      </c>
      <c r="P538" s="7" t="s">
        <v>6567</v>
      </c>
      <c r="Q538" s="129">
        <v>46199</v>
      </c>
      <c r="R538" s="130">
        <f t="shared" si="63"/>
        <v>46202</v>
      </c>
      <c r="S538" s="131">
        <f t="shared" si="66"/>
        <v>3</v>
      </c>
      <c r="T538" s="7" t="s">
        <v>255</v>
      </c>
      <c r="U538" s="7" t="s">
        <v>244</v>
      </c>
      <c r="V538" s="7"/>
      <c r="W538" s="7">
        <v>0</v>
      </c>
      <c r="X538" s="132">
        <f t="shared" si="64"/>
        <v>7</v>
      </c>
      <c r="Y538" s="133"/>
      <c r="Z538" s="133"/>
      <c r="AA538" s="133"/>
    </row>
    <row r="539" spans="1:27" hidden="1" x14ac:dyDescent="0.25">
      <c r="A539" s="127">
        <v>624</v>
      </c>
      <c r="B539" s="128" t="str">
        <f t="shared" si="65"/>
        <v>NAMS</v>
      </c>
      <c r="C539" s="128" t="str">
        <f>+VLOOKUP(U539,Ходим!A:B,2,0)</f>
        <v>31601642170089</v>
      </c>
      <c r="D539" s="128" t="str">
        <f>IFERROR(VLOOKUP($B:$B,[20]свод!$A:$AB,3,0)," ")</f>
        <v>Наманган шаҳар</v>
      </c>
      <c r="E539" s="7" t="s">
        <v>1681</v>
      </c>
      <c r="F539" s="7" t="s">
        <v>8080</v>
      </c>
      <c r="G539" s="134">
        <f t="shared" si="67"/>
        <v>1</v>
      </c>
      <c r="H539" s="134" t="str">
        <f t="shared" si="68"/>
        <v/>
      </c>
      <c r="I539" s="7" t="s">
        <v>156</v>
      </c>
      <c r="J539" s="7" t="s">
        <v>25</v>
      </c>
      <c r="K539" s="7"/>
      <c r="L539" s="7" t="s">
        <v>167</v>
      </c>
      <c r="M539" s="7" t="s">
        <v>4562</v>
      </c>
      <c r="N539" s="7" t="s">
        <v>170</v>
      </c>
      <c r="O539" s="7" t="s">
        <v>162</v>
      </c>
      <c r="P539" s="7" t="s">
        <v>6568</v>
      </c>
      <c r="Q539" s="129">
        <v>46199</v>
      </c>
      <c r="R539" s="130">
        <f t="shared" si="63"/>
        <v>46211</v>
      </c>
      <c r="S539" s="131">
        <f t="shared" si="66"/>
        <v>12</v>
      </c>
      <c r="T539" s="7" t="s">
        <v>173</v>
      </c>
      <c r="U539" s="7" t="s">
        <v>201</v>
      </c>
      <c r="V539" s="7"/>
      <c r="W539" s="7">
        <v>22.44</v>
      </c>
      <c r="X539" s="132">
        <f t="shared" si="64"/>
        <v>10</v>
      </c>
      <c r="Y539" s="133"/>
      <c r="Z539" s="133"/>
      <c r="AA539" s="133"/>
    </row>
    <row r="540" spans="1:27" hidden="1" x14ac:dyDescent="0.25">
      <c r="A540" s="127">
        <v>625</v>
      </c>
      <c r="B540" s="128" t="str">
        <f t="shared" si="65"/>
        <v>NAMS</v>
      </c>
      <c r="C540" s="128" t="str">
        <f>+VLOOKUP(U540,Ходим!A:B,2,0)</f>
        <v>31601642170089</v>
      </c>
      <c r="D540" s="128" t="str">
        <f>IFERROR(VLOOKUP($B:$B,[20]свод!$A:$AB,3,0)," ")</f>
        <v>Наманган шаҳар</v>
      </c>
      <c r="E540" s="7" t="s">
        <v>1682</v>
      </c>
      <c r="F540" s="7" t="s">
        <v>8081</v>
      </c>
      <c r="G540" s="134">
        <f t="shared" si="67"/>
        <v>1</v>
      </c>
      <c r="H540" s="134" t="str">
        <f t="shared" si="68"/>
        <v/>
      </c>
      <c r="I540" s="7" t="s">
        <v>156</v>
      </c>
      <c r="J540" s="7" t="s">
        <v>25</v>
      </c>
      <c r="K540" s="7"/>
      <c r="L540" s="7" t="s">
        <v>167</v>
      </c>
      <c r="M540" s="7" t="s">
        <v>4563</v>
      </c>
      <c r="N540" s="7" t="s">
        <v>170</v>
      </c>
      <c r="O540" s="7" t="s">
        <v>162</v>
      </c>
      <c r="P540" s="7" t="s">
        <v>6378</v>
      </c>
      <c r="Q540" s="129">
        <v>46199</v>
      </c>
      <c r="R540" s="130">
        <f t="shared" si="63"/>
        <v>46211</v>
      </c>
      <c r="S540" s="131">
        <f t="shared" si="66"/>
        <v>12</v>
      </c>
      <c r="T540" s="7" t="s">
        <v>173</v>
      </c>
      <c r="U540" s="7" t="s">
        <v>201</v>
      </c>
      <c r="V540" s="7"/>
      <c r="W540" s="7">
        <v>242.38</v>
      </c>
      <c r="X540" s="132">
        <f t="shared" si="64"/>
        <v>10</v>
      </c>
      <c r="Y540" s="133"/>
      <c r="Z540" s="133"/>
      <c r="AA540" s="133"/>
    </row>
    <row r="541" spans="1:27" hidden="1" x14ac:dyDescent="0.25">
      <c r="A541" s="127">
        <v>626</v>
      </c>
      <c r="B541" s="128" t="str">
        <f t="shared" si="65"/>
        <v>NAMS</v>
      </c>
      <c r="C541" s="128" t="str">
        <f>+VLOOKUP(U541,Ходим!A:B,2,0)</f>
        <v>51406015960142</v>
      </c>
      <c r="D541" s="128" t="str">
        <f>IFERROR(VLOOKUP($B:$B,[20]свод!$A:$AB,3,0)," ")</f>
        <v>Наманган шаҳар</v>
      </c>
      <c r="E541" s="7" t="s">
        <v>1683</v>
      </c>
      <c r="F541" s="7" t="s">
        <v>8082</v>
      </c>
      <c r="G541" s="134">
        <f t="shared" si="67"/>
        <v>1</v>
      </c>
      <c r="H541" s="134" t="str">
        <f t="shared" si="68"/>
        <v/>
      </c>
      <c r="I541" s="7" t="s">
        <v>158</v>
      </c>
      <c r="J541" s="7" t="s">
        <v>2</v>
      </c>
      <c r="K541" s="7"/>
      <c r="L541" s="7" t="s">
        <v>169</v>
      </c>
      <c r="M541" s="7" t="s">
        <v>4564</v>
      </c>
      <c r="N541" s="7" t="s">
        <v>170</v>
      </c>
      <c r="O541" s="7" t="s">
        <v>162</v>
      </c>
      <c r="P541" s="7" t="s">
        <v>6382</v>
      </c>
      <c r="Q541" s="129">
        <v>46199</v>
      </c>
      <c r="R541" s="130">
        <f t="shared" si="63"/>
        <v>46206</v>
      </c>
      <c r="S541" s="131">
        <f t="shared" si="66"/>
        <v>7</v>
      </c>
      <c r="T541" s="7" t="s">
        <v>173</v>
      </c>
      <c r="U541" s="7" t="s">
        <v>349</v>
      </c>
      <c r="V541" s="7"/>
      <c r="W541" s="7">
        <v>0</v>
      </c>
      <c r="X541" s="132">
        <f t="shared" si="64"/>
        <v>7</v>
      </c>
      <c r="Y541" s="133"/>
      <c r="Z541" s="133"/>
      <c r="AA541" s="133"/>
    </row>
    <row r="542" spans="1:27" hidden="1" x14ac:dyDescent="0.25">
      <c r="A542" s="127">
        <v>627</v>
      </c>
      <c r="B542" s="128" t="str">
        <f t="shared" si="65"/>
        <v>YGQT</v>
      </c>
      <c r="C542" s="128" t="str">
        <f>+VLOOKUP(U542,Ходим!A:B,2,0)</f>
        <v>30101922100050</v>
      </c>
      <c r="D542" s="128" t="str">
        <f>IFERROR(VLOOKUP($B:$B,[20]свод!$A:$AB,3,0)," ")</f>
        <v>Янгиқўрғон тумани</v>
      </c>
      <c r="E542" s="7" t="s">
        <v>1684</v>
      </c>
      <c r="F542" s="7" t="s">
        <v>8083</v>
      </c>
      <c r="G542" s="134">
        <f t="shared" si="67"/>
        <v>1</v>
      </c>
      <c r="H542" s="134" t="str">
        <f t="shared" si="68"/>
        <v/>
      </c>
      <c r="I542" s="7" t="s">
        <v>158</v>
      </c>
      <c r="J542" s="7" t="s">
        <v>2</v>
      </c>
      <c r="K542" s="7"/>
      <c r="L542" s="7" t="s">
        <v>167</v>
      </c>
      <c r="M542" s="7" t="s">
        <v>4565</v>
      </c>
      <c r="N542" s="7" t="s">
        <v>170</v>
      </c>
      <c r="O542" s="7" t="s">
        <v>162</v>
      </c>
      <c r="P542" s="7" t="s">
        <v>6569</v>
      </c>
      <c r="Q542" s="129">
        <v>46199</v>
      </c>
      <c r="R542" s="130">
        <f t="shared" si="63"/>
        <v>46205</v>
      </c>
      <c r="S542" s="131">
        <f t="shared" si="66"/>
        <v>6</v>
      </c>
      <c r="T542" s="7" t="s">
        <v>255</v>
      </c>
      <c r="U542" s="7" t="s">
        <v>265</v>
      </c>
      <c r="V542" s="7"/>
      <c r="W542" s="7">
        <v>115.62</v>
      </c>
      <c r="X542" s="132">
        <f t="shared" si="64"/>
        <v>10</v>
      </c>
      <c r="Y542" s="133"/>
      <c r="Z542" s="133"/>
      <c r="AA542" s="133"/>
    </row>
    <row r="543" spans="1:27" hidden="1" x14ac:dyDescent="0.25">
      <c r="A543" s="127">
        <v>628</v>
      </c>
      <c r="B543" s="128" t="str">
        <f t="shared" si="65"/>
        <v>NAMS</v>
      </c>
      <c r="C543" s="128" t="str">
        <f>+VLOOKUP(U543,Ходим!A:B,2,0)</f>
        <v>53008015960094</v>
      </c>
      <c r="D543" s="128" t="str">
        <f>IFERROR(VLOOKUP($B:$B,[20]свод!$A:$AB,3,0)," ")</f>
        <v>Наманган шаҳар</v>
      </c>
      <c r="E543" s="7" t="s">
        <v>1685</v>
      </c>
      <c r="F543" s="7" t="s">
        <v>8084</v>
      </c>
      <c r="G543" s="134">
        <f t="shared" si="67"/>
        <v>1</v>
      </c>
      <c r="H543" s="134" t="str">
        <f t="shared" si="68"/>
        <v/>
      </c>
      <c r="I543" s="7" t="s">
        <v>156</v>
      </c>
      <c r="J543" s="7" t="s">
        <v>25</v>
      </c>
      <c r="K543" s="7"/>
      <c r="L543" s="7" t="s">
        <v>167</v>
      </c>
      <c r="M543" s="7" t="s">
        <v>4566</v>
      </c>
      <c r="N543" s="7" t="s">
        <v>170</v>
      </c>
      <c r="O543" s="7" t="s">
        <v>162</v>
      </c>
      <c r="P543" s="7" t="s">
        <v>6382</v>
      </c>
      <c r="Q543" s="129">
        <v>46199</v>
      </c>
      <c r="R543" s="130">
        <f t="shared" si="63"/>
        <v>46211</v>
      </c>
      <c r="S543" s="131">
        <f t="shared" si="66"/>
        <v>12</v>
      </c>
      <c r="T543" s="7" t="s">
        <v>173</v>
      </c>
      <c r="U543" s="7" t="s">
        <v>403</v>
      </c>
      <c r="V543" s="7"/>
      <c r="W543" s="7">
        <v>364.72</v>
      </c>
      <c r="X543" s="132">
        <f t="shared" si="64"/>
        <v>10</v>
      </c>
      <c r="Y543" s="133"/>
      <c r="Z543" s="133"/>
      <c r="AA543" s="133"/>
    </row>
    <row r="544" spans="1:27" hidden="1" x14ac:dyDescent="0.25">
      <c r="A544" s="127">
        <v>629</v>
      </c>
      <c r="B544" s="128" t="str">
        <f t="shared" si="65"/>
        <v>NAMS</v>
      </c>
      <c r="C544" s="128" t="str">
        <f>+VLOOKUP(U544,Ходим!A:B,2,0)</f>
        <v>52601025870013</v>
      </c>
      <c r="D544" s="128" t="str">
        <f>IFERROR(VLOOKUP($B:$B,[20]свод!$A:$AB,3,0)," ")</f>
        <v>Наманган шаҳар</v>
      </c>
      <c r="E544" s="7" t="s">
        <v>1686</v>
      </c>
      <c r="F544" s="7" t="s">
        <v>8085</v>
      </c>
      <c r="G544" s="134">
        <f t="shared" si="67"/>
        <v>1</v>
      </c>
      <c r="H544" s="134" t="str">
        <f t="shared" si="68"/>
        <v/>
      </c>
      <c r="I544" s="7" t="s">
        <v>156</v>
      </c>
      <c r="J544" s="7" t="s">
        <v>25</v>
      </c>
      <c r="K544" s="7"/>
      <c r="L544" s="7"/>
      <c r="M544" s="7"/>
      <c r="N544" s="7" t="s">
        <v>170</v>
      </c>
      <c r="O544" s="7" t="s">
        <v>162</v>
      </c>
      <c r="P544" s="7" t="s">
        <v>6570</v>
      </c>
      <c r="Q544" s="129">
        <v>46199</v>
      </c>
      <c r="R544" s="130">
        <f t="shared" si="63"/>
        <v>46211</v>
      </c>
      <c r="S544" s="131">
        <f t="shared" si="66"/>
        <v>12</v>
      </c>
      <c r="T544" s="7" t="s">
        <v>173</v>
      </c>
      <c r="U544" s="7" t="s">
        <v>405</v>
      </c>
      <c r="V544" s="7"/>
      <c r="W544" s="7"/>
      <c r="X544" s="132">
        <f t="shared" si="64"/>
        <v>10</v>
      </c>
      <c r="Y544" s="133"/>
      <c r="Z544" s="133"/>
      <c r="AA544" s="133"/>
    </row>
    <row r="545" spans="1:27" hidden="1" x14ac:dyDescent="0.25">
      <c r="A545" s="127">
        <v>630</v>
      </c>
      <c r="B545" s="128" t="str">
        <f t="shared" si="65"/>
        <v>MINT</v>
      </c>
      <c r="C545" s="128" t="str">
        <f>+VLOOKUP(U545,Ходим!A:B,2,0)</f>
        <v>51604025990014</v>
      </c>
      <c r="D545" s="128" t="str">
        <f>IFERROR(VLOOKUP($B:$B,[20]свод!$A:$AB,3,0)," ")</f>
        <v>Мингбулоқ тумани</v>
      </c>
      <c r="E545" s="7" t="s">
        <v>1687</v>
      </c>
      <c r="F545" s="7" t="s">
        <v>8086</v>
      </c>
      <c r="G545" s="134">
        <f t="shared" si="67"/>
        <v>1</v>
      </c>
      <c r="H545" s="134" t="str">
        <f t="shared" si="68"/>
        <v/>
      </c>
      <c r="I545" s="7" t="s">
        <v>156</v>
      </c>
      <c r="J545" s="7" t="s">
        <v>11</v>
      </c>
      <c r="K545" s="7"/>
      <c r="L545" s="7"/>
      <c r="M545" s="7"/>
      <c r="N545" s="7" t="s">
        <v>410</v>
      </c>
      <c r="O545" s="7" t="s">
        <v>162</v>
      </c>
      <c r="P545" s="7" t="s">
        <v>6569</v>
      </c>
      <c r="Q545" s="129">
        <v>46199</v>
      </c>
      <c r="R545" s="130">
        <f t="shared" si="63"/>
        <v>46205</v>
      </c>
      <c r="S545" s="131">
        <f t="shared" si="66"/>
        <v>6</v>
      </c>
      <c r="T545" s="7" t="s">
        <v>220</v>
      </c>
      <c r="U545" s="7" t="s">
        <v>252</v>
      </c>
      <c r="V545" s="7"/>
      <c r="W545" s="7"/>
      <c r="X545" s="132">
        <f t="shared" si="64"/>
        <v>10</v>
      </c>
      <c r="Y545" s="133"/>
      <c r="Z545" s="133"/>
      <c r="AA545" s="133"/>
    </row>
    <row r="546" spans="1:27" hidden="1" x14ac:dyDescent="0.25">
      <c r="A546" s="127">
        <v>631</v>
      </c>
      <c r="B546" s="128" t="str">
        <f t="shared" si="65"/>
        <v>NAMS</v>
      </c>
      <c r="C546" s="128">
        <f>+VLOOKUP(U546,Ходим!A:B,2,0)</f>
        <v>50510025960139</v>
      </c>
      <c r="D546" s="128" t="str">
        <f>IFERROR(VLOOKUP($B:$B,[20]свод!$A:$AB,3,0)," ")</f>
        <v>Наманган шаҳар</v>
      </c>
      <c r="E546" s="7" t="s">
        <v>1688</v>
      </c>
      <c r="F546" s="7" t="s">
        <v>8087</v>
      </c>
      <c r="G546" s="134">
        <f t="shared" si="67"/>
        <v>1</v>
      </c>
      <c r="H546" s="134" t="str">
        <f t="shared" si="68"/>
        <v/>
      </c>
      <c r="I546" s="7" t="s">
        <v>156</v>
      </c>
      <c r="J546" s="7" t="s">
        <v>22</v>
      </c>
      <c r="K546" s="7"/>
      <c r="L546" s="7" t="s">
        <v>167</v>
      </c>
      <c r="M546" s="7" t="s">
        <v>4567</v>
      </c>
      <c r="N546" s="7" t="s">
        <v>170</v>
      </c>
      <c r="O546" s="7" t="s">
        <v>162</v>
      </c>
      <c r="P546" s="7" t="s">
        <v>6389</v>
      </c>
      <c r="Q546" s="129">
        <v>46199</v>
      </c>
      <c r="R546" s="130">
        <f t="shared" si="63"/>
        <v>46211</v>
      </c>
      <c r="S546" s="131">
        <f t="shared" si="66"/>
        <v>12</v>
      </c>
      <c r="T546" s="7" t="s">
        <v>173</v>
      </c>
      <c r="U546" s="7" t="s">
        <v>955</v>
      </c>
      <c r="V546" s="7"/>
      <c r="W546" s="7">
        <v>575.72</v>
      </c>
      <c r="X546" s="132">
        <f t="shared" si="64"/>
        <v>10</v>
      </c>
      <c r="Y546" s="133"/>
      <c r="Z546" s="133"/>
      <c r="AA546" s="133"/>
    </row>
    <row r="547" spans="1:27" hidden="1" x14ac:dyDescent="0.25">
      <c r="A547" s="127">
        <v>632</v>
      </c>
      <c r="B547" s="128" t="str">
        <f t="shared" si="65"/>
        <v>UYCT</v>
      </c>
      <c r="C547" s="128" t="e">
        <f>+VLOOKUP(U547,Ходим!A:B,2,0)</f>
        <v>#N/A</v>
      </c>
      <c r="D547" s="128" t="str">
        <f>IFERROR(VLOOKUP($B:$B,[20]свод!$A:$AB,3,0)," ")</f>
        <v>Уйчи тумани</v>
      </c>
      <c r="E547" s="7" t="s">
        <v>1689</v>
      </c>
      <c r="F547" s="7" t="s">
        <v>8088</v>
      </c>
      <c r="G547" s="134" t="str">
        <f t="shared" si="67"/>
        <v/>
      </c>
      <c r="H547" s="134">
        <f t="shared" si="68"/>
        <v>1</v>
      </c>
      <c r="I547" s="7" t="s">
        <v>155</v>
      </c>
      <c r="J547" s="7" t="s">
        <v>23</v>
      </c>
      <c r="K547" s="7"/>
      <c r="L547" s="7" t="s">
        <v>166</v>
      </c>
      <c r="M547" s="7" t="s">
        <v>4568</v>
      </c>
      <c r="N547" s="7" t="s">
        <v>410</v>
      </c>
      <c r="O547" s="7" t="s">
        <v>161</v>
      </c>
      <c r="P547" s="7" t="s">
        <v>6570</v>
      </c>
      <c r="Q547" s="129">
        <v>46199</v>
      </c>
      <c r="R547" s="130">
        <f t="shared" si="63"/>
        <v>46213</v>
      </c>
      <c r="S547" s="131">
        <f t="shared" si="66"/>
        <v>14</v>
      </c>
      <c r="T547" s="7" t="s">
        <v>379</v>
      </c>
      <c r="U547" s="7"/>
      <c r="V547" s="7"/>
      <c r="W547" s="7">
        <v>382</v>
      </c>
      <c r="X547" s="132">
        <f t="shared" ref="X547:X587" si="69">IF(N547="Kadastr muhandisi",3,
IF(N547="UZKAD",5,
IF(V547="FREE",5,
IF(I547="Registratsiya (tashqi - UZKAD da bor)",1,
IF(I547="Avtoyo'l va suv xo'jaligi obyektining kadastr pasportini shakllantirish va ro'yxatga olish",7,
IF(I547="Notarius uchun ma'lumotnoma (uz)",1,
IF(I547="Qurilishi tugallangan ko'chmas mulkni foydalanishga qabul qilish",10,
IF(OR(I547="Turar joy obyektning kadastr pasportini shakllantirish va davlat ro'yxatidan o'tkazish",I547="Turar kompozit"),
IF(L547="Turar yer maydoni",7,10),
IF(OR(I547="Noturar obyektning kadastr pasportini shakllantirish va davlat ro'yxatidan o'tkazish",I547="Noturar kompozit"),
IF(O547="Ko‘p yillik daraxtlar xizmati",15,
IF(OR(L547="Noturar yer maydoni",L547="Davlat tashkilotlaridan ijaraga olingan yer uchastkasi"),7,
IF(W547&lt;100,10,IF(W547&lt;=1000,12,IF(W547&lt;=5000,17,IF(W547&lt;=15000,22,IF(W547&lt;=50000,28,37))))))),
IF(I547="Umumiy foydalanishdagi ko'chmas mulk qismini yaratish",
IF(IF(TRIM(L547)="",IF(OR(O547="Turar joy xizmati",O547="Yakka tartibdagi turar joy"),"Turar","Noturar"),IF(OR(L547="Yakka tartibdagi turar joy",L547="Turar joy xizmati"),"Turar","Noturar"))="Turar",
10,IF(W547&lt;100,10,IF(W547&lt;=1000,12,IF(W547&lt;=5000,17,IF(W547&lt;=15000,22,IF(W547&lt;=50000,28,37)))))),
0))))))))))</f>
        <v>12</v>
      </c>
      <c r="Y547" s="133"/>
      <c r="Z547" s="133"/>
      <c r="AA547" s="133"/>
    </row>
    <row r="548" spans="1:27" hidden="1" x14ac:dyDescent="0.25">
      <c r="A548" s="127">
        <v>634</v>
      </c>
      <c r="B548" s="128" t="str">
        <f t="shared" ref="B548:B588" si="70">LEFT(E548,4)</f>
        <v>NAMS</v>
      </c>
      <c r="C548" s="128" t="str">
        <f>+VLOOKUP(U548,Ходим!A:B,2,0)</f>
        <v>32207925880019</v>
      </c>
      <c r="D548" s="128" t="str">
        <f>IFERROR(VLOOKUP($B:$B,[20]свод!$A:$AB,3,0)," ")</f>
        <v>Наманган шаҳар</v>
      </c>
      <c r="E548" s="7" t="s">
        <v>1690</v>
      </c>
      <c r="F548" s="7" t="s">
        <v>8089</v>
      </c>
      <c r="G548" s="134">
        <f t="shared" si="67"/>
        <v>1</v>
      </c>
      <c r="H548" s="134" t="str">
        <f t="shared" si="68"/>
        <v/>
      </c>
      <c r="I548" s="7" t="s">
        <v>156</v>
      </c>
      <c r="J548" s="7" t="s">
        <v>25</v>
      </c>
      <c r="K548" s="7"/>
      <c r="L548" s="7" t="s">
        <v>167</v>
      </c>
      <c r="M548" s="7" t="s">
        <v>4569</v>
      </c>
      <c r="N548" s="7" t="s">
        <v>410</v>
      </c>
      <c r="O548" s="7" t="s">
        <v>162</v>
      </c>
      <c r="P548" s="7" t="s">
        <v>6399</v>
      </c>
      <c r="Q548" s="129">
        <v>46199</v>
      </c>
      <c r="R548" s="130">
        <f t="shared" si="63"/>
        <v>46211</v>
      </c>
      <c r="S548" s="131">
        <f t="shared" ref="S548:S588" si="71">R548-Q548</f>
        <v>12</v>
      </c>
      <c r="T548" s="7" t="s">
        <v>173</v>
      </c>
      <c r="U548" s="7" t="s">
        <v>174</v>
      </c>
      <c r="V548" s="7"/>
      <c r="W548" s="7">
        <v>79.95</v>
      </c>
      <c r="X548" s="132">
        <f t="shared" si="69"/>
        <v>10</v>
      </c>
      <c r="Y548" s="133"/>
      <c r="Z548" s="133"/>
      <c r="AA548" s="133"/>
    </row>
    <row r="549" spans="1:27" hidden="1" x14ac:dyDescent="0.25">
      <c r="A549" s="127">
        <v>635</v>
      </c>
      <c r="B549" s="128" t="str">
        <f t="shared" si="70"/>
        <v>NAMS</v>
      </c>
      <c r="C549" s="128" t="str">
        <f>+VLOOKUP(U549,Ходим!A:B,2,0)</f>
        <v>30108932170088</v>
      </c>
      <c r="D549" s="128" t="str">
        <f>IFERROR(VLOOKUP($B:$B,[20]свод!$A:$AB,3,0)," ")</f>
        <v>Наманган шаҳар</v>
      </c>
      <c r="E549" s="7" t="s">
        <v>1691</v>
      </c>
      <c r="F549" s="7" t="s">
        <v>8090</v>
      </c>
      <c r="G549" s="134">
        <f t="shared" si="67"/>
        <v>1</v>
      </c>
      <c r="H549" s="134" t="str">
        <f t="shared" si="68"/>
        <v/>
      </c>
      <c r="I549" s="7" t="s">
        <v>158</v>
      </c>
      <c r="J549" s="7" t="s">
        <v>2</v>
      </c>
      <c r="K549" s="7"/>
      <c r="L549" s="7" t="s">
        <v>167</v>
      </c>
      <c r="M549" s="7" t="s">
        <v>4570</v>
      </c>
      <c r="N549" s="7" t="s">
        <v>170</v>
      </c>
      <c r="O549" s="7" t="s">
        <v>162</v>
      </c>
      <c r="P549" s="7" t="s">
        <v>6571</v>
      </c>
      <c r="Q549" s="129">
        <v>46199</v>
      </c>
      <c r="R549" s="130">
        <f t="shared" si="63"/>
        <v>46211</v>
      </c>
      <c r="S549" s="131">
        <f t="shared" si="71"/>
        <v>12</v>
      </c>
      <c r="T549" s="7" t="s">
        <v>173</v>
      </c>
      <c r="U549" s="7" t="s">
        <v>329</v>
      </c>
      <c r="V549" s="7"/>
      <c r="W549" s="7">
        <v>0</v>
      </c>
      <c r="X549" s="132">
        <f t="shared" si="69"/>
        <v>10</v>
      </c>
      <c r="Y549" s="133"/>
      <c r="Z549" s="133"/>
      <c r="AA549" s="133"/>
    </row>
    <row r="550" spans="1:27" hidden="1" x14ac:dyDescent="0.25">
      <c r="A550" s="127">
        <v>636</v>
      </c>
      <c r="B550" s="128" t="str">
        <f t="shared" si="70"/>
        <v>NAMS</v>
      </c>
      <c r="C550" s="128" t="str">
        <f>+VLOOKUP(U550,Ходим!A:B,2,0)</f>
        <v>31007955980023</v>
      </c>
      <c r="D550" s="128" t="str">
        <f>IFERROR(VLOOKUP($B:$B,[20]свод!$A:$AB,3,0)," ")</f>
        <v>Наманган шаҳар</v>
      </c>
      <c r="E550" s="7" t="s">
        <v>1692</v>
      </c>
      <c r="F550" s="7" t="s">
        <v>8091</v>
      </c>
      <c r="G550" s="134">
        <f t="shared" si="67"/>
        <v>1</v>
      </c>
      <c r="H550" s="134" t="str">
        <f t="shared" si="68"/>
        <v/>
      </c>
      <c r="I550" s="7" t="s">
        <v>156</v>
      </c>
      <c r="J550" s="7" t="s">
        <v>25</v>
      </c>
      <c r="K550" s="7"/>
      <c r="L550" s="7" t="s">
        <v>167</v>
      </c>
      <c r="M550" s="7" t="s">
        <v>4571</v>
      </c>
      <c r="N550" s="7" t="s">
        <v>170</v>
      </c>
      <c r="O550" s="7" t="s">
        <v>162</v>
      </c>
      <c r="P550" s="7" t="s">
        <v>6404</v>
      </c>
      <c r="Q550" s="129">
        <v>46199</v>
      </c>
      <c r="R550" s="130">
        <f t="shared" si="63"/>
        <v>46211</v>
      </c>
      <c r="S550" s="131">
        <f t="shared" si="71"/>
        <v>12</v>
      </c>
      <c r="T550" s="7" t="s">
        <v>173</v>
      </c>
      <c r="U550" s="7" t="s">
        <v>207</v>
      </c>
      <c r="V550" s="7"/>
      <c r="W550" s="7">
        <v>267.26</v>
      </c>
      <c r="X550" s="132">
        <f t="shared" si="69"/>
        <v>10</v>
      </c>
      <c r="Y550" s="133"/>
      <c r="Z550" s="133"/>
      <c r="AA550" s="133"/>
    </row>
    <row r="551" spans="1:27" hidden="1" x14ac:dyDescent="0.25">
      <c r="A551" s="127">
        <v>637</v>
      </c>
      <c r="B551" s="128" t="str">
        <f t="shared" si="70"/>
        <v>NAMS</v>
      </c>
      <c r="C551" s="128" t="str">
        <f>+VLOOKUP(U551,Ходим!A:B,2,0)</f>
        <v>31601642170089</v>
      </c>
      <c r="D551" s="128" t="str">
        <f>IFERROR(VLOOKUP($B:$B,[20]свод!$A:$AB,3,0)," ")</f>
        <v>Наманган шаҳар</v>
      </c>
      <c r="E551" s="7" t="s">
        <v>1693</v>
      </c>
      <c r="F551" s="7" t="s">
        <v>8092</v>
      </c>
      <c r="G551" s="134">
        <f t="shared" si="67"/>
        <v>1</v>
      </c>
      <c r="H551" s="134" t="str">
        <f t="shared" si="68"/>
        <v/>
      </c>
      <c r="I551" s="7" t="s">
        <v>158</v>
      </c>
      <c r="J551" s="7" t="s">
        <v>2</v>
      </c>
      <c r="K551" s="7"/>
      <c r="L551" s="7" t="s">
        <v>167</v>
      </c>
      <c r="M551" s="7" t="s">
        <v>4572</v>
      </c>
      <c r="N551" s="7" t="s">
        <v>170</v>
      </c>
      <c r="O551" s="7" t="s">
        <v>162</v>
      </c>
      <c r="P551" s="7" t="s">
        <v>6424</v>
      </c>
      <c r="Q551" s="129">
        <v>46199</v>
      </c>
      <c r="R551" s="130">
        <f t="shared" si="63"/>
        <v>46211</v>
      </c>
      <c r="S551" s="131">
        <f t="shared" si="71"/>
        <v>12</v>
      </c>
      <c r="T551" s="7" t="s">
        <v>185</v>
      </c>
      <c r="U551" s="7" t="s">
        <v>201</v>
      </c>
      <c r="V551" s="7"/>
      <c r="W551" s="7">
        <v>109.46</v>
      </c>
      <c r="X551" s="132">
        <f t="shared" si="69"/>
        <v>10</v>
      </c>
      <c r="Y551" s="133"/>
      <c r="Z551" s="133"/>
      <c r="AA551" s="133"/>
    </row>
    <row r="552" spans="1:27" hidden="1" x14ac:dyDescent="0.25">
      <c r="A552" s="127">
        <v>638</v>
      </c>
      <c r="B552" s="128" t="str">
        <f t="shared" si="70"/>
        <v>NAMS</v>
      </c>
      <c r="C552" s="128" t="str">
        <f>+VLOOKUP(U552,Ходим!A:B,2,0)</f>
        <v>31309932190035</v>
      </c>
      <c r="D552" s="128" t="str">
        <f>IFERROR(VLOOKUP($B:$B,[20]свод!$A:$AB,3,0)," ")</f>
        <v>Наманган шаҳар</v>
      </c>
      <c r="E552" s="7" t="s">
        <v>1694</v>
      </c>
      <c r="F552" s="7" t="s">
        <v>8093</v>
      </c>
      <c r="G552" s="134">
        <f t="shared" si="67"/>
        <v>1</v>
      </c>
      <c r="H552" s="134" t="str">
        <f t="shared" si="68"/>
        <v/>
      </c>
      <c r="I552" s="7" t="s">
        <v>158</v>
      </c>
      <c r="J552" s="7" t="s">
        <v>2</v>
      </c>
      <c r="K552" s="7"/>
      <c r="L552" s="7" t="s">
        <v>167</v>
      </c>
      <c r="M552" s="7" t="s">
        <v>4573</v>
      </c>
      <c r="N552" s="7" t="s">
        <v>170</v>
      </c>
      <c r="O552" s="7" t="s">
        <v>162</v>
      </c>
      <c r="P552" s="7" t="s">
        <v>6472</v>
      </c>
      <c r="Q552" s="129">
        <v>46199</v>
      </c>
      <c r="R552" s="130">
        <f t="shared" si="63"/>
        <v>46211</v>
      </c>
      <c r="S552" s="131">
        <f t="shared" si="71"/>
        <v>12</v>
      </c>
      <c r="T552" s="7" t="s">
        <v>173</v>
      </c>
      <c r="U552" s="7" t="s">
        <v>237</v>
      </c>
      <c r="V552" s="7"/>
      <c r="W552" s="7">
        <v>270.62</v>
      </c>
      <c r="X552" s="132">
        <f t="shared" si="69"/>
        <v>10</v>
      </c>
      <c r="Y552" s="133"/>
      <c r="Z552" s="133"/>
      <c r="AA552" s="133"/>
    </row>
    <row r="553" spans="1:27" hidden="1" x14ac:dyDescent="0.25">
      <c r="A553" s="127">
        <v>639</v>
      </c>
      <c r="B553" s="128" t="str">
        <f t="shared" si="70"/>
        <v>YGQT</v>
      </c>
      <c r="C553" s="128" t="str">
        <f>+VLOOKUP(U553,Ходим!A:B,2,0)</f>
        <v>52410005950025</v>
      </c>
      <c r="D553" s="128" t="str">
        <f>IFERROR(VLOOKUP($B:$B,[20]свод!$A:$AB,3,0)," ")</f>
        <v>Янгиқўрғон тумани</v>
      </c>
      <c r="E553" s="7" t="s">
        <v>1695</v>
      </c>
      <c r="F553" s="7" t="s">
        <v>8094</v>
      </c>
      <c r="G553" s="134">
        <f t="shared" si="67"/>
        <v>1</v>
      </c>
      <c r="H553" s="134" t="str">
        <f t="shared" si="68"/>
        <v/>
      </c>
      <c r="I553" s="7" t="s">
        <v>154</v>
      </c>
      <c r="J553" s="7" t="s">
        <v>100</v>
      </c>
      <c r="K553" s="7"/>
      <c r="L553" s="7" t="s">
        <v>167</v>
      </c>
      <c r="M553" s="7" t="s">
        <v>4574</v>
      </c>
      <c r="N553" s="7" t="s">
        <v>170</v>
      </c>
      <c r="O553" s="7" t="s">
        <v>162</v>
      </c>
      <c r="P553" s="7" t="s">
        <v>6569</v>
      </c>
      <c r="Q553" s="129">
        <v>46199</v>
      </c>
      <c r="R553" s="130">
        <f t="shared" si="63"/>
        <v>46205</v>
      </c>
      <c r="S553" s="131">
        <f t="shared" si="71"/>
        <v>6</v>
      </c>
      <c r="T553" s="7" t="s">
        <v>255</v>
      </c>
      <c r="U553" s="7" t="s">
        <v>256</v>
      </c>
      <c r="V553" s="7"/>
      <c r="W553" s="7">
        <v>23.78</v>
      </c>
      <c r="X553" s="132">
        <f t="shared" si="69"/>
        <v>10</v>
      </c>
      <c r="Y553" s="133"/>
      <c r="Z553" s="133"/>
      <c r="AA553" s="133"/>
    </row>
    <row r="554" spans="1:27" hidden="1" x14ac:dyDescent="0.25">
      <c r="A554" s="127">
        <v>640</v>
      </c>
      <c r="B554" s="128" t="str">
        <f t="shared" si="70"/>
        <v>NAMS</v>
      </c>
      <c r="C554" s="128" t="str">
        <f>+VLOOKUP(U554,Ходим!A:B,2,0)</f>
        <v>32207925880019</v>
      </c>
      <c r="D554" s="128" t="str">
        <f>IFERROR(VLOOKUP($B:$B,[20]свод!$A:$AB,3,0)," ")</f>
        <v>Наманган шаҳар</v>
      </c>
      <c r="E554" s="7" t="s">
        <v>1696</v>
      </c>
      <c r="F554" s="7" t="s">
        <v>8095</v>
      </c>
      <c r="G554" s="134">
        <f t="shared" si="67"/>
        <v>1</v>
      </c>
      <c r="H554" s="134" t="str">
        <f t="shared" si="68"/>
        <v/>
      </c>
      <c r="I554" s="7" t="s">
        <v>156</v>
      </c>
      <c r="J554" s="7" t="s">
        <v>25</v>
      </c>
      <c r="K554" s="7"/>
      <c r="L554" s="7" t="s">
        <v>167</v>
      </c>
      <c r="M554" s="7" t="s">
        <v>1146</v>
      </c>
      <c r="N554" s="7" t="s">
        <v>170</v>
      </c>
      <c r="O554" s="7" t="s">
        <v>162</v>
      </c>
      <c r="P554" s="7" t="s">
        <v>6537</v>
      </c>
      <c r="Q554" s="129">
        <v>46199</v>
      </c>
      <c r="R554" s="130">
        <f t="shared" si="63"/>
        <v>46211</v>
      </c>
      <c r="S554" s="131">
        <f t="shared" si="71"/>
        <v>12</v>
      </c>
      <c r="T554" s="7" t="s">
        <v>173</v>
      </c>
      <c r="U554" s="7" t="s">
        <v>174</v>
      </c>
      <c r="V554" s="7"/>
      <c r="W554" s="7">
        <v>31.96</v>
      </c>
      <c r="X554" s="132">
        <f t="shared" si="69"/>
        <v>10</v>
      </c>
      <c r="Y554" s="133"/>
      <c r="Z554" s="133"/>
      <c r="AA554" s="133"/>
    </row>
    <row r="555" spans="1:27" hidden="1" x14ac:dyDescent="0.25">
      <c r="A555" s="127">
        <v>641</v>
      </c>
      <c r="B555" s="128" t="str">
        <f t="shared" si="70"/>
        <v>NAMT</v>
      </c>
      <c r="C555" s="128" t="str">
        <f>+VLOOKUP(U555,Ходим!A:B,2,0)</f>
        <v>50706025880010</v>
      </c>
      <c r="D555" s="128" t="str">
        <f>IFERROR(VLOOKUP($B:$B,[20]свод!$A:$AB,3,0)," ")</f>
        <v>Наманган тумани</v>
      </c>
      <c r="E555" s="7" t="s">
        <v>1697</v>
      </c>
      <c r="F555" s="7" t="s">
        <v>8096</v>
      </c>
      <c r="G555" s="134">
        <f t="shared" si="67"/>
        <v>1</v>
      </c>
      <c r="H555" s="134" t="str">
        <f t="shared" si="68"/>
        <v/>
      </c>
      <c r="I555" s="7" t="s">
        <v>158</v>
      </c>
      <c r="J555" s="7" t="s">
        <v>2</v>
      </c>
      <c r="K555" s="7"/>
      <c r="L555" s="7" t="s">
        <v>167</v>
      </c>
      <c r="M555" s="7" t="s">
        <v>4575</v>
      </c>
      <c r="N555" s="7" t="s">
        <v>170</v>
      </c>
      <c r="O555" s="7" t="s">
        <v>162</v>
      </c>
      <c r="P555" s="7" t="s">
        <v>6279</v>
      </c>
      <c r="Q555" s="129">
        <v>46199</v>
      </c>
      <c r="R555" s="130">
        <f t="shared" ref="R555:R611" si="72">WORKDAY(P555,X555,$Y$1:$AA$1)</f>
        <v>46210</v>
      </c>
      <c r="S555" s="131">
        <f t="shared" si="71"/>
        <v>11</v>
      </c>
      <c r="T555" s="7" t="s">
        <v>193</v>
      </c>
      <c r="U555" s="7" t="s">
        <v>397</v>
      </c>
      <c r="V555" s="7"/>
      <c r="W555" s="7">
        <v>441.83</v>
      </c>
      <c r="X555" s="132">
        <f t="shared" si="69"/>
        <v>10</v>
      </c>
      <c r="Y555" s="133"/>
      <c r="Z555" s="133"/>
      <c r="AA555" s="133"/>
    </row>
    <row r="556" spans="1:27" hidden="1" x14ac:dyDescent="0.25">
      <c r="A556" s="127">
        <v>642</v>
      </c>
      <c r="B556" s="128" t="str">
        <f t="shared" si="70"/>
        <v>NAMS</v>
      </c>
      <c r="C556" s="128" t="str">
        <f>+VLOOKUP(U556,Ходим!A:B,2,0)</f>
        <v>51911035960011</v>
      </c>
      <c r="D556" s="128" t="str">
        <f>IFERROR(VLOOKUP($B:$B,[20]свод!$A:$AB,3,0)," ")</f>
        <v>Наманган шаҳар</v>
      </c>
      <c r="E556" s="7" t="s">
        <v>1698</v>
      </c>
      <c r="F556" s="7" t="s">
        <v>8097</v>
      </c>
      <c r="G556" s="134">
        <f t="shared" si="67"/>
        <v>1</v>
      </c>
      <c r="H556" s="134" t="str">
        <f t="shared" si="68"/>
        <v/>
      </c>
      <c r="I556" s="7" t="s">
        <v>158</v>
      </c>
      <c r="J556" s="7" t="s">
        <v>2</v>
      </c>
      <c r="K556" s="7"/>
      <c r="L556" s="7"/>
      <c r="M556" s="7"/>
      <c r="N556" s="7" t="s">
        <v>170</v>
      </c>
      <c r="O556" s="7" t="s">
        <v>162</v>
      </c>
      <c r="P556" s="7" t="s">
        <v>6572</v>
      </c>
      <c r="Q556" s="129">
        <v>46199</v>
      </c>
      <c r="R556" s="130">
        <f t="shared" si="72"/>
        <v>46211</v>
      </c>
      <c r="S556" s="131">
        <f t="shared" si="71"/>
        <v>12</v>
      </c>
      <c r="T556" s="7" t="s">
        <v>173</v>
      </c>
      <c r="U556" s="7" t="s">
        <v>371</v>
      </c>
      <c r="V556" s="7"/>
      <c r="W556" s="7"/>
      <c r="X556" s="132">
        <f t="shared" si="69"/>
        <v>10</v>
      </c>
      <c r="Y556" s="133"/>
      <c r="Z556" s="133"/>
      <c r="AA556" s="133"/>
    </row>
    <row r="557" spans="1:27" hidden="1" x14ac:dyDescent="0.25">
      <c r="A557" s="127">
        <v>643</v>
      </c>
      <c r="B557" s="128" t="str">
        <f t="shared" si="70"/>
        <v>UYCT</v>
      </c>
      <c r="C557" s="128" t="e">
        <f>+VLOOKUP(U557,Ходим!A:B,2,0)</f>
        <v>#N/A</v>
      </c>
      <c r="D557" s="128" t="str">
        <f>IFERROR(VLOOKUP($B:$B,[20]свод!$A:$AB,3,0)," ")</f>
        <v>Уйчи тумани</v>
      </c>
      <c r="E557" s="7" t="s">
        <v>1699</v>
      </c>
      <c r="F557" s="7" t="s">
        <v>8098</v>
      </c>
      <c r="G557" s="134" t="str">
        <f t="shared" si="67"/>
        <v/>
      </c>
      <c r="H557" s="134">
        <f t="shared" si="68"/>
        <v>1</v>
      </c>
      <c r="I557" s="7" t="s">
        <v>155</v>
      </c>
      <c r="J557" s="7" t="s">
        <v>11</v>
      </c>
      <c r="K557" s="7"/>
      <c r="L557" s="7" t="s">
        <v>166</v>
      </c>
      <c r="M557" s="7" t="s">
        <v>4568</v>
      </c>
      <c r="N557" s="7" t="s">
        <v>410</v>
      </c>
      <c r="O557" s="7" t="s">
        <v>161</v>
      </c>
      <c r="P557" s="7" t="s">
        <v>6573</v>
      </c>
      <c r="Q557" s="129">
        <v>46199</v>
      </c>
      <c r="R557" s="130">
        <f t="shared" si="72"/>
        <v>46213</v>
      </c>
      <c r="S557" s="131">
        <f t="shared" si="71"/>
        <v>14</v>
      </c>
      <c r="T557" s="7" t="s">
        <v>947</v>
      </c>
      <c r="U557" s="7"/>
      <c r="V557" s="7"/>
      <c r="W557" s="7">
        <v>382</v>
      </c>
      <c r="X557" s="132">
        <f t="shared" si="69"/>
        <v>12</v>
      </c>
      <c r="Y557" s="133"/>
      <c r="Z557" s="133"/>
      <c r="AA557" s="133"/>
    </row>
    <row r="558" spans="1:27" hidden="1" x14ac:dyDescent="0.25">
      <c r="A558" s="127">
        <v>644</v>
      </c>
      <c r="B558" s="128" t="str">
        <f t="shared" si="70"/>
        <v>YGQT</v>
      </c>
      <c r="C558" s="128" t="str">
        <f>+VLOOKUP(U558,Ходим!A:B,2,0)</f>
        <v>32105902160025</v>
      </c>
      <c r="D558" s="128" t="str">
        <f>IFERROR(VLOOKUP($B:$B,[20]свод!$A:$AB,3,0)," ")</f>
        <v>Янгиқўрғон тумани</v>
      </c>
      <c r="E558" s="7" t="s">
        <v>1700</v>
      </c>
      <c r="F558" s="7" t="s">
        <v>8099</v>
      </c>
      <c r="G558" s="134">
        <f t="shared" si="67"/>
        <v>1</v>
      </c>
      <c r="H558" s="134" t="str">
        <f t="shared" si="68"/>
        <v/>
      </c>
      <c r="I558" s="7" t="s">
        <v>158</v>
      </c>
      <c r="J558" s="7" t="s">
        <v>2</v>
      </c>
      <c r="K558" s="7"/>
      <c r="L558" s="7"/>
      <c r="M558" s="7"/>
      <c r="N558" s="7" t="s">
        <v>170</v>
      </c>
      <c r="O558" s="7" t="s">
        <v>162</v>
      </c>
      <c r="P558" s="7" t="s">
        <v>6569</v>
      </c>
      <c r="Q558" s="129">
        <v>46199</v>
      </c>
      <c r="R558" s="130">
        <f t="shared" si="72"/>
        <v>46205</v>
      </c>
      <c r="S558" s="131">
        <f t="shared" si="71"/>
        <v>6</v>
      </c>
      <c r="T558" s="7" t="s">
        <v>255</v>
      </c>
      <c r="U558" s="7" t="s">
        <v>308</v>
      </c>
      <c r="V558" s="7"/>
      <c r="W558" s="7"/>
      <c r="X558" s="132">
        <f t="shared" si="69"/>
        <v>10</v>
      </c>
      <c r="Y558" s="133"/>
      <c r="Z558" s="133"/>
      <c r="AA558" s="133"/>
    </row>
    <row r="559" spans="1:27" hidden="1" x14ac:dyDescent="0.25">
      <c r="A559" s="127">
        <v>645</v>
      </c>
      <c r="B559" s="128" t="str">
        <f t="shared" si="70"/>
        <v>KSST</v>
      </c>
      <c r="C559" s="128" t="e">
        <f>+VLOOKUP(U559,Ходим!A:B,2,0)</f>
        <v>#N/A</v>
      </c>
      <c r="D559" s="128" t="str">
        <f>IFERROR(VLOOKUP($B:$B,[20]свод!$A:$AB,3,0)," ")</f>
        <v>Косонсой тумани</v>
      </c>
      <c r="E559" s="7" t="s">
        <v>1701</v>
      </c>
      <c r="F559" s="7" t="s">
        <v>8100</v>
      </c>
      <c r="G559" s="134">
        <f t="shared" ref="G559:G614" si="73">IF(OR(
I559="Turar joy obyektning kadastr pasportini shakllantirish va davlat ro'yxatidan o'tkazish",
I559="Turar kompozit"
),
1,
IF(OR(
I559="Noturar kompozit",
I559="Avtoyo'l va suv xo'jaligi obyektining kadastr pasportini shakllantirish va ro'yxatga olish",
I559="Noturar obyektning kadastr pasportining kadastr pasportini shakllantirish va davlat ro'yxatidan o'tkazish"
),
"",
IF(OR(
I559="Notarius uchun ma'lumotnoma (uz)",
I559="Qurilishi tugallangan ko'chmas mulkni foydalanishga qabul qilish",
I559="Umumiy foydalanishdagi ko'chmas mulk qismini yaratish",
I559="Registratsiya (tashqi - UZKAD da bor)"
),
IF(OR(L559="Turar yer maydoni",L559="Yakka tartibdagi turar joy"),1,
IF(L559="Noturar bino","",
IF(L559="Noturar yer maydoni","",
IF(L559="",IF(OR(O559="Turar joy xizmati",O559="Foydalanishga ruxsatnoma berish xizmati"),1,""),"")
))),
"")))</f>
        <v>1</v>
      </c>
      <c r="H559" s="134" t="str">
        <f t="shared" ref="H559:H614" si="74">IF(OR(
I559="Turar joy obyektning kadastr pasportini shakllantirish va davlat ro'yxatidan o'tkazish",
I559="Turar kompozit"
),
"",
IF(OR(
I559="Noturar kompozit",
I559="Avtoyo'l va suv xo'jaligi obyektining kadastr pasportini shakllantirish va ro'yxatga olish",
I559="Noturar obyektning kadastr pasportini shakllantirish va davlat ro'yxatidan o'tkazish"
),
1,
IF(OR(
I559="Notarius uchun ma'lumotnoma (uz)",
I559="Qurilishi tugallangan ko'chmas mulkni foydalanishga qabul qilish",
I559="Umumiy foydalanishdagi ko'chmas mulk qismini yaratish",
I559="Registratsiya (tashqi - UZKAD da bor)"
),
IF(OR(L559="Turar yer maydoni",L559="Yakka tartibdagi turar joy"),"",
IF(L559="Noturar bino",1,
IF(L559="Noturar yer maydoni",1,
IF(L559="",IF(OR(O559="Turar joy xizmati",O559="Foydalanishga ruxsatnoma berish xizmati"),"",1),"")
))),
"")))</f>
        <v/>
      </c>
      <c r="I559" s="7" t="s">
        <v>158</v>
      </c>
      <c r="J559" s="7" t="s">
        <v>172</v>
      </c>
      <c r="K559" s="7"/>
      <c r="L559" s="7" t="s">
        <v>167</v>
      </c>
      <c r="M559" s="7" t="s">
        <v>4576</v>
      </c>
      <c r="N559" s="7" t="s">
        <v>170</v>
      </c>
      <c r="O559" s="7" t="s">
        <v>162</v>
      </c>
      <c r="P559" s="7" t="s">
        <v>6574</v>
      </c>
      <c r="Q559" s="129">
        <v>46199</v>
      </c>
      <c r="R559" s="130">
        <f t="shared" si="72"/>
        <v>46205</v>
      </c>
      <c r="S559" s="131">
        <f t="shared" si="71"/>
        <v>6</v>
      </c>
      <c r="T559" s="7" t="s">
        <v>180</v>
      </c>
      <c r="U559" s="7" t="s">
        <v>10634</v>
      </c>
      <c r="V559" s="7"/>
      <c r="W559" s="7">
        <v>530.08000000000004</v>
      </c>
      <c r="X559" s="132">
        <f t="shared" si="69"/>
        <v>10</v>
      </c>
      <c r="Y559" s="133"/>
      <c r="Z559" s="133"/>
      <c r="AA559" s="133"/>
    </row>
    <row r="560" spans="1:27" hidden="1" x14ac:dyDescent="0.25">
      <c r="A560" s="127">
        <v>646</v>
      </c>
      <c r="B560" s="128" t="str">
        <f t="shared" si="70"/>
        <v>NAMS</v>
      </c>
      <c r="C560" s="128" t="str">
        <f>+VLOOKUP(U560,Ходим!A:B,2,0)</f>
        <v>52601025870013</v>
      </c>
      <c r="D560" s="128" t="str">
        <f>IFERROR(VLOOKUP($B:$B,[20]свод!$A:$AB,3,0)," ")</f>
        <v>Наманган шаҳар</v>
      </c>
      <c r="E560" s="7" t="s">
        <v>1702</v>
      </c>
      <c r="F560" s="7" t="s">
        <v>8101</v>
      </c>
      <c r="G560" s="134">
        <f t="shared" si="73"/>
        <v>1</v>
      </c>
      <c r="H560" s="134" t="str">
        <f t="shared" si="74"/>
        <v/>
      </c>
      <c r="I560" s="7" t="s">
        <v>154</v>
      </c>
      <c r="J560" s="7" t="s">
        <v>2</v>
      </c>
      <c r="K560" s="7"/>
      <c r="L560" s="7"/>
      <c r="M560" s="7"/>
      <c r="N560" s="7" t="s">
        <v>170</v>
      </c>
      <c r="O560" s="7" t="s">
        <v>162</v>
      </c>
      <c r="P560" s="7" t="s">
        <v>6575</v>
      </c>
      <c r="Q560" s="129">
        <v>46199</v>
      </c>
      <c r="R560" s="130">
        <f t="shared" si="72"/>
        <v>46205</v>
      </c>
      <c r="S560" s="131">
        <f t="shared" si="71"/>
        <v>6</v>
      </c>
      <c r="T560" s="7" t="s">
        <v>173</v>
      </c>
      <c r="U560" s="7" t="s">
        <v>405</v>
      </c>
      <c r="V560" s="7"/>
      <c r="W560" s="7"/>
      <c r="X560" s="132">
        <f t="shared" si="69"/>
        <v>10</v>
      </c>
      <c r="Y560" s="133"/>
      <c r="Z560" s="133"/>
      <c r="AA560" s="133"/>
    </row>
    <row r="561" spans="1:27" hidden="1" x14ac:dyDescent="0.25">
      <c r="A561" s="127">
        <v>647</v>
      </c>
      <c r="B561" s="128" t="str">
        <f t="shared" si="70"/>
        <v>CHUT</v>
      </c>
      <c r="C561" s="128" t="str">
        <f>+VLOOKUP(U561,Ходим!A:B,2,0)</f>
        <v>32006862180015</v>
      </c>
      <c r="D561" s="128" t="str">
        <f>IFERROR(VLOOKUP($B:$B,[20]свод!$A:$AB,3,0)," ")</f>
        <v>Чуст тумани</v>
      </c>
      <c r="E561" s="7" t="s">
        <v>1703</v>
      </c>
      <c r="F561" s="7" t="s">
        <v>8102</v>
      </c>
      <c r="G561" s="134" t="str">
        <f t="shared" si="73"/>
        <v/>
      </c>
      <c r="H561" s="134">
        <f t="shared" si="74"/>
        <v>1</v>
      </c>
      <c r="I561" s="7" t="s">
        <v>157</v>
      </c>
      <c r="J561" s="7" t="s">
        <v>2</v>
      </c>
      <c r="K561" s="7"/>
      <c r="L561" s="7" t="s">
        <v>168</v>
      </c>
      <c r="M561" s="7" t="s">
        <v>4577</v>
      </c>
      <c r="N561" s="7" t="s">
        <v>410</v>
      </c>
      <c r="O561" s="7" t="s">
        <v>161</v>
      </c>
      <c r="P561" s="7" t="s">
        <v>6575</v>
      </c>
      <c r="Q561" s="129">
        <v>46199</v>
      </c>
      <c r="R561" s="130">
        <f t="shared" si="72"/>
        <v>46202</v>
      </c>
      <c r="S561" s="131">
        <f t="shared" si="71"/>
        <v>3</v>
      </c>
      <c r="T561" s="7" t="s">
        <v>178</v>
      </c>
      <c r="U561" s="7" t="s">
        <v>347</v>
      </c>
      <c r="V561" s="7"/>
      <c r="W561" s="7">
        <v>0</v>
      </c>
      <c r="X561" s="132">
        <f t="shared" si="69"/>
        <v>7</v>
      </c>
      <c r="Y561" s="133"/>
      <c r="Z561" s="133"/>
      <c r="AA561" s="133"/>
    </row>
    <row r="562" spans="1:27" hidden="1" x14ac:dyDescent="0.25">
      <c r="A562" s="127">
        <v>648</v>
      </c>
      <c r="B562" s="128" t="str">
        <f t="shared" si="70"/>
        <v>YGQT</v>
      </c>
      <c r="C562" s="128" t="str">
        <f>+VLOOKUP(U562,Ходим!A:B,2,0)</f>
        <v>33103892160125</v>
      </c>
      <c r="D562" s="128" t="str">
        <f>IFERROR(VLOOKUP($B:$B,[20]свод!$A:$AB,3,0)," ")</f>
        <v>Янгиқўрғон тумани</v>
      </c>
      <c r="E562" s="7" t="s">
        <v>1704</v>
      </c>
      <c r="F562" s="7" t="s">
        <v>8103</v>
      </c>
      <c r="G562" s="134">
        <f t="shared" si="73"/>
        <v>1</v>
      </c>
      <c r="H562" s="134" t="str">
        <f t="shared" si="74"/>
        <v/>
      </c>
      <c r="I562" s="7" t="s">
        <v>158</v>
      </c>
      <c r="J562" s="7" t="s">
        <v>2</v>
      </c>
      <c r="K562" s="7"/>
      <c r="L562" s="7" t="s">
        <v>167</v>
      </c>
      <c r="M562" s="7" t="s">
        <v>4578</v>
      </c>
      <c r="N562" s="7" t="s">
        <v>170</v>
      </c>
      <c r="O562" s="7" t="s">
        <v>163</v>
      </c>
      <c r="P562" s="7" t="s">
        <v>6575</v>
      </c>
      <c r="Q562" s="129">
        <v>46199</v>
      </c>
      <c r="R562" s="130">
        <f t="shared" si="72"/>
        <v>46205</v>
      </c>
      <c r="S562" s="131">
        <f t="shared" si="71"/>
        <v>6</v>
      </c>
      <c r="T562" s="7" t="s">
        <v>255</v>
      </c>
      <c r="U562" s="7" t="s">
        <v>183</v>
      </c>
      <c r="V562" s="7"/>
      <c r="W562" s="7">
        <v>27.78</v>
      </c>
      <c r="X562" s="132">
        <f t="shared" si="69"/>
        <v>10</v>
      </c>
      <c r="Y562" s="133"/>
      <c r="Z562" s="133"/>
      <c r="AA562" s="133"/>
    </row>
    <row r="563" spans="1:27" hidden="1" x14ac:dyDescent="0.25">
      <c r="A563" s="127">
        <v>649</v>
      </c>
      <c r="B563" s="128" t="str">
        <f t="shared" si="70"/>
        <v>NAMS</v>
      </c>
      <c r="C563" s="128" t="str">
        <f>+VLOOKUP(U563,Ходим!A:B,2,0)</f>
        <v>30302942170072</v>
      </c>
      <c r="D563" s="128" t="str">
        <f>IFERROR(VLOOKUP($B:$B,[20]свод!$A:$AB,3,0)," ")</f>
        <v>Наманган шаҳар</v>
      </c>
      <c r="E563" s="7" t="s">
        <v>1705</v>
      </c>
      <c r="F563" s="7" t="s">
        <v>8104</v>
      </c>
      <c r="G563" s="134">
        <f t="shared" si="73"/>
        <v>1</v>
      </c>
      <c r="H563" s="134" t="str">
        <f t="shared" si="74"/>
        <v/>
      </c>
      <c r="I563" s="7" t="s">
        <v>158</v>
      </c>
      <c r="J563" s="7" t="s">
        <v>2</v>
      </c>
      <c r="K563" s="7"/>
      <c r="L563" s="7" t="s">
        <v>167</v>
      </c>
      <c r="M563" s="7" t="s">
        <v>4579</v>
      </c>
      <c r="N563" s="7" t="s">
        <v>170</v>
      </c>
      <c r="O563" s="7" t="s">
        <v>162</v>
      </c>
      <c r="P563" s="7" t="s">
        <v>6573</v>
      </c>
      <c r="Q563" s="129">
        <v>46199</v>
      </c>
      <c r="R563" s="130">
        <f t="shared" si="72"/>
        <v>46211</v>
      </c>
      <c r="S563" s="131">
        <f t="shared" si="71"/>
        <v>12</v>
      </c>
      <c r="T563" s="7" t="s">
        <v>173</v>
      </c>
      <c r="U563" s="7" t="s">
        <v>325</v>
      </c>
      <c r="V563" s="7"/>
      <c r="W563" s="7">
        <v>150.25</v>
      </c>
      <c r="X563" s="132">
        <f t="shared" si="69"/>
        <v>10</v>
      </c>
      <c r="Y563" s="133"/>
      <c r="Z563" s="133"/>
      <c r="AA563" s="133"/>
    </row>
    <row r="564" spans="1:27" hidden="1" x14ac:dyDescent="0.25">
      <c r="A564" s="127">
        <v>650</v>
      </c>
      <c r="B564" s="128" t="str">
        <f t="shared" si="70"/>
        <v>NAMS</v>
      </c>
      <c r="C564" s="128">
        <f>+VLOOKUP(U564,Ходим!A:B,2,0)</f>
        <v>50703045960050</v>
      </c>
      <c r="D564" s="128" t="str">
        <f>IFERROR(VLOOKUP($B:$B,[20]свод!$A:$AB,3,0)," ")</f>
        <v>Наманган шаҳар</v>
      </c>
      <c r="E564" s="7" t="s">
        <v>1706</v>
      </c>
      <c r="F564" s="7" t="s">
        <v>8105</v>
      </c>
      <c r="G564" s="134">
        <f t="shared" si="73"/>
        <v>1</v>
      </c>
      <c r="H564" s="134" t="str">
        <f t="shared" si="74"/>
        <v/>
      </c>
      <c r="I564" s="7" t="s">
        <v>156</v>
      </c>
      <c r="J564" s="7" t="s">
        <v>25</v>
      </c>
      <c r="K564" s="7"/>
      <c r="L564" s="7"/>
      <c r="M564" s="7"/>
      <c r="N564" s="7" t="s">
        <v>410</v>
      </c>
      <c r="O564" s="7" t="s">
        <v>162</v>
      </c>
      <c r="P564" s="7" t="s">
        <v>6573</v>
      </c>
      <c r="Q564" s="129">
        <v>46199</v>
      </c>
      <c r="R564" s="130">
        <f t="shared" si="72"/>
        <v>46211</v>
      </c>
      <c r="S564" s="131">
        <f t="shared" si="71"/>
        <v>12</v>
      </c>
      <c r="T564" s="7" t="s">
        <v>173</v>
      </c>
      <c r="U564" s="7" t="s">
        <v>948</v>
      </c>
      <c r="V564" s="7"/>
      <c r="W564" s="7"/>
      <c r="X564" s="132">
        <f t="shared" si="69"/>
        <v>10</v>
      </c>
      <c r="Y564" s="133"/>
      <c r="Z564" s="133"/>
      <c r="AA564" s="133"/>
    </row>
    <row r="565" spans="1:27" hidden="1" x14ac:dyDescent="0.25">
      <c r="A565" s="127">
        <v>651</v>
      </c>
      <c r="B565" s="128" t="str">
        <f t="shared" si="70"/>
        <v>POPT</v>
      </c>
      <c r="C565" s="128" t="str">
        <f>+VLOOKUP(U565,Ходим!A:B,2,0)</f>
        <v>30608945910016</v>
      </c>
      <c r="D565" s="128" t="str">
        <f>IFERROR(VLOOKUP($B:$B,[20]свод!$A:$AB,3,0)," ")</f>
        <v>Поп тумани</v>
      </c>
      <c r="E565" s="7" t="s">
        <v>1707</v>
      </c>
      <c r="F565" s="7" t="s">
        <v>8106</v>
      </c>
      <c r="G565" s="134">
        <f t="shared" si="73"/>
        <v>1</v>
      </c>
      <c r="H565" s="134" t="str">
        <f t="shared" si="74"/>
        <v/>
      </c>
      <c r="I565" s="7" t="s">
        <v>158</v>
      </c>
      <c r="J565" s="7" t="s">
        <v>1</v>
      </c>
      <c r="K565" s="7"/>
      <c r="L565" s="7" t="s">
        <v>167</v>
      </c>
      <c r="M565" s="7" t="s">
        <v>4580</v>
      </c>
      <c r="N565" s="7" t="s">
        <v>170</v>
      </c>
      <c r="O565" s="7" t="s">
        <v>162</v>
      </c>
      <c r="P565" s="7" t="s">
        <v>6576</v>
      </c>
      <c r="Q565" s="129">
        <v>46199</v>
      </c>
      <c r="R565" s="130">
        <f t="shared" si="72"/>
        <v>46203</v>
      </c>
      <c r="S565" s="131">
        <f t="shared" si="71"/>
        <v>4</v>
      </c>
      <c r="T565" s="7" t="s">
        <v>240</v>
      </c>
      <c r="U565" s="7" t="s">
        <v>295</v>
      </c>
      <c r="V565" s="7"/>
      <c r="W565" s="7">
        <v>83</v>
      </c>
      <c r="X565" s="132">
        <f t="shared" si="69"/>
        <v>10</v>
      </c>
      <c r="Y565" s="133"/>
      <c r="Z565" s="133"/>
      <c r="AA565" s="133"/>
    </row>
    <row r="566" spans="1:27" hidden="1" x14ac:dyDescent="0.25">
      <c r="A566" s="127">
        <v>652</v>
      </c>
      <c r="B566" s="128" t="str">
        <f t="shared" si="70"/>
        <v>UYCT</v>
      </c>
      <c r="C566" s="128" t="str">
        <f>+VLOOKUP(U566,Ходим!A:B,2,0)</f>
        <v>31703985930055</v>
      </c>
      <c r="D566" s="128" t="str">
        <f>IFERROR(VLOOKUP($B:$B,[20]свод!$A:$AB,3,0)," ")</f>
        <v>Уйчи тумани</v>
      </c>
      <c r="E566" s="7" t="s">
        <v>1708</v>
      </c>
      <c r="F566" s="7" t="s">
        <v>8107</v>
      </c>
      <c r="G566" s="134">
        <f t="shared" si="73"/>
        <v>1</v>
      </c>
      <c r="H566" s="134" t="str">
        <f t="shared" si="74"/>
        <v/>
      </c>
      <c r="I566" s="7" t="s">
        <v>158</v>
      </c>
      <c r="J566" s="7" t="s">
        <v>172</v>
      </c>
      <c r="K566" s="7"/>
      <c r="L566" s="7" t="s">
        <v>167</v>
      </c>
      <c r="M566" s="7" t="s">
        <v>4581</v>
      </c>
      <c r="N566" s="7" t="s">
        <v>170</v>
      </c>
      <c r="O566" s="7" t="s">
        <v>163</v>
      </c>
      <c r="P566" s="7" t="s">
        <v>6577</v>
      </c>
      <c r="Q566" s="129">
        <v>46199</v>
      </c>
      <c r="R566" s="130">
        <f t="shared" si="72"/>
        <v>46205</v>
      </c>
      <c r="S566" s="131">
        <f t="shared" si="71"/>
        <v>6</v>
      </c>
      <c r="T566" s="7" t="s">
        <v>379</v>
      </c>
      <c r="U566" s="7" t="s">
        <v>276</v>
      </c>
      <c r="V566" s="7"/>
      <c r="W566" s="7">
        <v>339</v>
      </c>
      <c r="X566" s="132">
        <f t="shared" si="69"/>
        <v>10</v>
      </c>
      <c r="Y566" s="133"/>
      <c r="Z566" s="133"/>
      <c r="AA566" s="133"/>
    </row>
    <row r="567" spans="1:27" hidden="1" x14ac:dyDescent="0.25">
      <c r="A567" s="127">
        <v>653</v>
      </c>
      <c r="B567" s="128" t="str">
        <f t="shared" si="70"/>
        <v>CHUT</v>
      </c>
      <c r="C567" s="128" t="str">
        <f>+VLOOKUP(U567,Ходим!A:B,2,0)</f>
        <v>31509882180058</v>
      </c>
      <c r="D567" s="128" t="str">
        <f>IFERROR(VLOOKUP($B:$B,[20]свод!$A:$AB,3,0)," ")</f>
        <v>Чуст тумани</v>
      </c>
      <c r="E567" s="7" t="s">
        <v>1709</v>
      </c>
      <c r="F567" s="7" t="s">
        <v>8108</v>
      </c>
      <c r="G567" s="134">
        <f t="shared" si="73"/>
        <v>1</v>
      </c>
      <c r="H567" s="134" t="str">
        <f t="shared" si="74"/>
        <v/>
      </c>
      <c r="I567" s="7" t="s">
        <v>158</v>
      </c>
      <c r="J567" s="7" t="s">
        <v>172</v>
      </c>
      <c r="K567" s="7"/>
      <c r="L567" s="7" t="s">
        <v>167</v>
      </c>
      <c r="M567" s="7" t="s">
        <v>4582</v>
      </c>
      <c r="N567" s="7" t="s">
        <v>170</v>
      </c>
      <c r="O567" s="7" t="s">
        <v>162</v>
      </c>
      <c r="P567" s="7" t="s">
        <v>6577</v>
      </c>
      <c r="Q567" s="129">
        <v>46199</v>
      </c>
      <c r="R567" s="130">
        <f t="shared" si="72"/>
        <v>46205</v>
      </c>
      <c r="S567" s="131">
        <f t="shared" si="71"/>
        <v>6</v>
      </c>
      <c r="T567" s="7" t="s">
        <v>178</v>
      </c>
      <c r="U567" s="7" t="s">
        <v>324</v>
      </c>
      <c r="V567" s="7"/>
      <c r="W567" s="7">
        <v>109.4</v>
      </c>
      <c r="X567" s="132">
        <f t="shared" si="69"/>
        <v>10</v>
      </c>
      <c r="Y567" s="133"/>
      <c r="Z567" s="133"/>
      <c r="AA567" s="133"/>
    </row>
    <row r="568" spans="1:27" hidden="1" x14ac:dyDescent="0.25">
      <c r="A568" s="127">
        <v>654</v>
      </c>
      <c r="B568" s="128" t="str">
        <f t="shared" si="70"/>
        <v>CHUT</v>
      </c>
      <c r="C568" s="128" t="e">
        <f>+VLOOKUP(U568,Ходим!A:B,2,0)</f>
        <v>#N/A</v>
      </c>
      <c r="D568" s="128" t="str">
        <f>IFERROR(VLOOKUP($B:$B,[20]свод!$A:$AB,3,0)," ")</f>
        <v>Чуст тумани</v>
      </c>
      <c r="E568" s="7" t="s">
        <v>1710</v>
      </c>
      <c r="F568" s="7" t="s">
        <v>8109</v>
      </c>
      <c r="G568" s="134">
        <f t="shared" si="73"/>
        <v>1</v>
      </c>
      <c r="H568" s="134" t="str">
        <f t="shared" si="74"/>
        <v/>
      </c>
      <c r="I568" s="7" t="s">
        <v>156</v>
      </c>
      <c r="J568" s="7" t="s">
        <v>11</v>
      </c>
      <c r="K568" s="7"/>
      <c r="L568" s="7"/>
      <c r="M568" s="7"/>
      <c r="N568" s="7" t="s">
        <v>170</v>
      </c>
      <c r="O568" s="7" t="s">
        <v>162</v>
      </c>
      <c r="P568" s="7" t="s">
        <v>6578</v>
      </c>
      <c r="Q568" s="129">
        <v>46199</v>
      </c>
      <c r="R568" s="130">
        <f t="shared" si="72"/>
        <v>46211</v>
      </c>
      <c r="S568" s="131">
        <f t="shared" si="71"/>
        <v>12</v>
      </c>
      <c r="T568" s="7"/>
      <c r="U568" s="7"/>
      <c r="V568" s="7"/>
      <c r="W568" s="7"/>
      <c r="X568" s="132">
        <f t="shared" si="69"/>
        <v>10</v>
      </c>
      <c r="Y568" s="133"/>
      <c r="Z568" s="133"/>
      <c r="AA568" s="133"/>
    </row>
    <row r="569" spans="1:27" hidden="1" x14ac:dyDescent="0.25">
      <c r="A569" s="127">
        <v>655</v>
      </c>
      <c r="B569" s="128" t="str">
        <f t="shared" si="70"/>
        <v>POPT</v>
      </c>
      <c r="C569" s="128" t="str">
        <f>+VLOOKUP(U569,Ходим!A:B,2,0)</f>
        <v>50310025910024</v>
      </c>
      <c r="D569" s="128" t="str">
        <f>IFERROR(VLOOKUP($B:$B,[20]свод!$A:$AB,3,0)," ")</f>
        <v>Поп тумани</v>
      </c>
      <c r="E569" s="7" t="s">
        <v>1711</v>
      </c>
      <c r="F569" s="7" t="s">
        <v>8110</v>
      </c>
      <c r="G569" s="134">
        <f t="shared" si="73"/>
        <v>1</v>
      </c>
      <c r="H569" s="134" t="str">
        <f t="shared" si="74"/>
        <v/>
      </c>
      <c r="I569" s="7" t="s">
        <v>158</v>
      </c>
      <c r="J569" s="7" t="s">
        <v>13</v>
      </c>
      <c r="K569" s="7"/>
      <c r="L569" s="7" t="s">
        <v>167</v>
      </c>
      <c r="M569" s="7" t="s">
        <v>4583</v>
      </c>
      <c r="N569" s="7" t="s">
        <v>170</v>
      </c>
      <c r="O569" s="7" t="s">
        <v>162</v>
      </c>
      <c r="P569" s="7" t="s">
        <v>6578</v>
      </c>
      <c r="Q569" s="129">
        <v>46199</v>
      </c>
      <c r="R569" s="130">
        <f t="shared" si="72"/>
        <v>46211</v>
      </c>
      <c r="S569" s="131">
        <f t="shared" si="71"/>
        <v>12</v>
      </c>
      <c r="T569" s="7" t="s">
        <v>214</v>
      </c>
      <c r="U569" s="7" t="s">
        <v>964</v>
      </c>
      <c r="V569" s="7"/>
      <c r="W569" s="7">
        <v>212.1</v>
      </c>
      <c r="X569" s="132">
        <f t="shared" si="69"/>
        <v>10</v>
      </c>
      <c r="Y569" s="133"/>
      <c r="Z569" s="133"/>
      <c r="AA569" s="133"/>
    </row>
    <row r="570" spans="1:27" hidden="1" x14ac:dyDescent="0.25">
      <c r="A570" s="127">
        <v>656</v>
      </c>
      <c r="B570" s="128" t="str">
        <f t="shared" si="70"/>
        <v>UCQT</v>
      </c>
      <c r="C570" s="128" t="e">
        <f>+VLOOKUP(U570,Ходим!A:B,2,0)</f>
        <v>#N/A</v>
      </c>
      <c r="D570" s="128" t="str">
        <f>IFERROR(VLOOKUP($B:$B,[20]свод!$A:$AB,3,0)," ")</f>
        <v>Учқўрғон тумани</v>
      </c>
      <c r="E570" s="7" t="s">
        <v>1712</v>
      </c>
      <c r="F570" s="7" t="s">
        <v>8111</v>
      </c>
      <c r="G570" s="134">
        <f t="shared" si="73"/>
        <v>1</v>
      </c>
      <c r="H570" s="134" t="str">
        <f t="shared" si="74"/>
        <v/>
      </c>
      <c r="I570" s="7" t="s">
        <v>156</v>
      </c>
      <c r="J570" s="7" t="s">
        <v>11</v>
      </c>
      <c r="K570" s="7"/>
      <c r="L570" s="7"/>
      <c r="M570" s="7"/>
      <c r="N570" s="7" t="s">
        <v>170</v>
      </c>
      <c r="O570" s="7" t="s">
        <v>162</v>
      </c>
      <c r="P570" s="7" t="s">
        <v>6578</v>
      </c>
      <c r="Q570" s="129">
        <v>46199</v>
      </c>
      <c r="R570" s="130">
        <f t="shared" si="72"/>
        <v>46211</v>
      </c>
      <c r="S570" s="131">
        <f t="shared" si="71"/>
        <v>12</v>
      </c>
      <c r="T570" s="7"/>
      <c r="U570" s="7"/>
      <c r="V570" s="7"/>
      <c r="W570" s="7"/>
      <c r="X570" s="132">
        <f t="shared" si="69"/>
        <v>10</v>
      </c>
      <c r="Y570" s="133"/>
      <c r="Z570" s="133"/>
      <c r="AA570" s="133"/>
    </row>
    <row r="571" spans="1:27" x14ac:dyDescent="0.25">
      <c r="A571" s="127">
        <v>657</v>
      </c>
      <c r="B571" s="128" t="str">
        <f t="shared" si="70"/>
        <v>UYCT</v>
      </c>
      <c r="C571" s="128" t="str">
        <f>+VLOOKUP(U571,Ходим!A:B,2,0)</f>
        <v>30309975930028</v>
      </c>
      <c r="D571" s="128" t="str">
        <f>IFERROR(VLOOKUP($B:$B,[20]свод!$A:$AB,3,0)," ")</f>
        <v>Уйчи тумани</v>
      </c>
      <c r="E571" s="7" t="s">
        <v>1713</v>
      </c>
      <c r="F571" s="7" t="s">
        <v>8112</v>
      </c>
      <c r="G571" s="134">
        <f t="shared" si="73"/>
        <v>1</v>
      </c>
      <c r="H571" s="134" t="str">
        <f t="shared" si="74"/>
        <v/>
      </c>
      <c r="I571" s="7" t="s">
        <v>158</v>
      </c>
      <c r="J571" s="7" t="s">
        <v>16</v>
      </c>
      <c r="K571" s="7"/>
      <c r="L571" s="7" t="s">
        <v>167</v>
      </c>
      <c r="M571" s="7" t="s">
        <v>4584</v>
      </c>
      <c r="N571" s="7" t="s">
        <v>170</v>
      </c>
      <c r="O571" s="7" t="s">
        <v>162</v>
      </c>
      <c r="P571" s="7" t="s">
        <v>6579</v>
      </c>
      <c r="Q571" s="129">
        <v>46199</v>
      </c>
      <c r="R571" s="130">
        <f t="shared" si="72"/>
        <v>46198</v>
      </c>
      <c r="S571" s="131">
        <f t="shared" si="71"/>
        <v>-1</v>
      </c>
      <c r="T571" s="7" t="s">
        <v>947</v>
      </c>
      <c r="U571" s="7" t="s">
        <v>261</v>
      </c>
      <c r="V571" s="7"/>
      <c r="W571" s="7">
        <v>51.99</v>
      </c>
      <c r="X571" s="132">
        <f t="shared" si="69"/>
        <v>10</v>
      </c>
      <c r="Y571" s="133"/>
      <c r="Z571" s="133"/>
      <c r="AA571" s="133"/>
    </row>
    <row r="572" spans="1:27" hidden="1" x14ac:dyDescent="0.25">
      <c r="A572" s="127">
        <v>658</v>
      </c>
      <c r="B572" s="128" t="str">
        <f t="shared" si="70"/>
        <v>CHUT</v>
      </c>
      <c r="C572" s="128" t="str">
        <f>+VLOOKUP(U572,Ходим!A:B,2,0)</f>
        <v>30202885970013</v>
      </c>
      <c r="D572" s="128" t="str">
        <f>IFERROR(VLOOKUP($B:$B,[20]свод!$A:$AB,3,0)," ")</f>
        <v>Чуст тумани</v>
      </c>
      <c r="E572" s="7" t="s">
        <v>1714</v>
      </c>
      <c r="F572" s="7" t="s">
        <v>8113</v>
      </c>
      <c r="G572" s="134">
        <f t="shared" si="73"/>
        <v>1</v>
      </c>
      <c r="H572" s="134" t="str">
        <f t="shared" si="74"/>
        <v/>
      </c>
      <c r="I572" s="7" t="s">
        <v>158</v>
      </c>
      <c r="J572" s="7" t="s">
        <v>2</v>
      </c>
      <c r="K572" s="7"/>
      <c r="L572" s="7"/>
      <c r="M572" s="7"/>
      <c r="N572" s="7" t="s">
        <v>170</v>
      </c>
      <c r="O572" s="7" t="s">
        <v>162</v>
      </c>
      <c r="P572" s="7" t="s">
        <v>6580</v>
      </c>
      <c r="Q572" s="129">
        <v>46199</v>
      </c>
      <c r="R572" s="130">
        <f t="shared" si="72"/>
        <v>46211</v>
      </c>
      <c r="S572" s="131">
        <f t="shared" si="71"/>
        <v>12</v>
      </c>
      <c r="T572" s="7" t="s">
        <v>178</v>
      </c>
      <c r="U572" s="7" t="s">
        <v>289</v>
      </c>
      <c r="V572" s="7"/>
      <c r="W572" s="7"/>
      <c r="X572" s="132">
        <f t="shared" si="69"/>
        <v>10</v>
      </c>
      <c r="Y572" s="133"/>
      <c r="Z572" s="133"/>
      <c r="AA572" s="133"/>
    </row>
    <row r="573" spans="1:27" hidden="1" x14ac:dyDescent="0.25">
      <c r="A573" s="127">
        <v>659</v>
      </c>
      <c r="B573" s="128" t="str">
        <f t="shared" si="70"/>
        <v>NAMS</v>
      </c>
      <c r="C573" s="128" t="str">
        <f>+VLOOKUP(U573,Ходим!A:B,2,0)</f>
        <v>31408622170123</v>
      </c>
      <c r="D573" s="128" t="str">
        <f>IFERROR(VLOOKUP($B:$B,[20]свод!$A:$AB,3,0)," ")</f>
        <v>Наманган шаҳар</v>
      </c>
      <c r="E573" s="7" t="s">
        <v>1715</v>
      </c>
      <c r="F573" s="7" t="s">
        <v>8114</v>
      </c>
      <c r="G573" s="134">
        <f t="shared" si="73"/>
        <v>1</v>
      </c>
      <c r="H573" s="134" t="str">
        <f t="shared" si="74"/>
        <v/>
      </c>
      <c r="I573" s="7" t="s">
        <v>158</v>
      </c>
      <c r="J573" s="7" t="s">
        <v>2</v>
      </c>
      <c r="K573" s="7"/>
      <c r="L573" s="7" t="s">
        <v>167</v>
      </c>
      <c r="M573" s="7" t="s">
        <v>4585</v>
      </c>
      <c r="N573" s="7" t="s">
        <v>170</v>
      </c>
      <c r="O573" s="7" t="s">
        <v>162</v>
      </c>
      <c r="P573" s="7" t="s">
        <v>6581</v>
      </c>
      <c r="Q573" s="129">
        <v>46199</v>
      </c>
      <c r="R573" s="130">
        <f t="shared" si="72"/>
        <v>46211</v>
      </c>
      <c r="S573" s="131">
        <f t="shared" si="71"/>
        <v>12</v>
      </c>
      <c r="T573" s="7" t="s">
        <v>173</v>
      </c>
      <c r="U573" s="7" t="s">
        <v>402</v>
      </c>
      <c r="V573" s="7"/>
      <c r="W573" s="7">
        <v>252.91</v>
      </c>
      <c r="X573" s="132">
        <f t="shared" si="69"/>
        <v>10</v>
      </c>
      <c r="Y573" s="133"/>
      <c r="Z573" s="133"/>
      <c r="AA573" s="133"/>
    </row>
    <row r="574" spans="1:27" hidden="1" x14ac:dyDescent="0.25">
      <c r="A574" s="127">
        <v>660</v>
      </c>
      <c r="B574" s="128" t="str">
        <f t="shared" si="70"/>
        <v>NAMS</v>
      </c>
      <c r="C574" s="128" t="str">
        <f>+VLOOKUP(U574,Ходим!A:B,2,0)</f>
        <v>33012942170121</v>
      </c>
      <c r="D574" s="128" t="str">
        <f>IFERROR(VLOOKUP($B:$B,[20]свод!$A:$AB,3,0)," ")</f>
        <v>Наманган шаҳар</v>
      </c>
      <c r="E574" s="7" t="s">
        <v>1716</v>
      </c>
      <c r="F574" s="7" t="s">
        <v>8115</v>
      </c>
      <c r="G574" s="134">
        <f t="shared" si="73"/>
        <v>1</v>
      </c>
      <c r="H574" s="134" t="str">
        <f t="shared" si="74"/>
        <v/>
      </c>
      <c r="I574" s="7" t="s">
        <v>156</v>
      </c>
      <c r="J574" s="7" t="s">
        <v>25</v>
      </c>
      <c r="K574" s="7"/>
      <c r="L574" s="7"/>
      <c r="M574" s="7"/>
      <c r="N574" s="7" t="s">
        <v>170</v>
      </c>
      <c r="O574" s="7" t="s">
        <v>162</v>
      </c>
      <c r="P574" s="7" t="s">
        <v>6533</v>
      </c>
      <c r="Q574" s="129">
        <v>46199</v>
      </c>
      <c r="R574" s="130">
        <f t="shared" si="72"/>
        <v>46211</v>
      </c>
      <c r="S574" s="131">
        <f t="shared" si="71"/>
        <v>12</v>
      </c>
      <c r="T574" s="7" t="s">
        <v>173</v>
      </c>
      <c r="U574" s="7" t="s">
        <v>259</v>
      </c>
      <c r="V574" s="7"/>
      <c r="W574" s="7"/>
      <c r="X574" s="132">
        <f t="shared" si="69"/>
        <v>10</v>
      </c>
      <c r="Y574" s="133"/>
      <c r="Z574" s="133"/>
      <c r="AA574" s="133"/>
    </row>
    <row r="575" spans="1:27" hidden="1" x14ac:dyDescent="0.25">
      <c r="A575" s="127">
        <v>661</v>
      </c>
      <c r="B575" s="128" t="str">
        <f t="shared" si="70"/>
        <v>NAMT</v>
      </c>
      <c r="C575" s="128">
        <f>+VLOOKUP(U575,Ходим!A:B,2,0)</f>
        <v>52908045880018</v>
      </c>
      <c r="D575" s="128" t="str">
        <f>IFERROR(VLOOKUP($B:$B,[20]свод!$A:$AB,3,0)," ")</f>
        <v>Наманган тумани</v>
      </c>
      <c r="E575" s="7" t="s">
        <v>1717</v>
      </c>
      <c r="F575" s="7" t="s">
        <v>8116</v>
      </c>
      <c r="G575" s="134">
        <f t="shared" si="73"/>
        <v>1</v>
      </c>
      <c r="H575" s="134" t="str">
        <f t="shared" si="74"/>
        <v/>
      </c>
      <c r="I575" s="7" t="s">
        <v>158</v>
      </c>
      <c r="J575" s="7" t="s">
        <v>13</v>
      </c>
      <c r="K575" s="7"/>
      <c r="L575" s="7" t="s">
        <v>167</v>
      </c>
      <c r="M575" s="7" t="s">
        <v>1139</v>
      </c>
      <c r="N575" s="7" t="s">
        <v>170</v>
      </c>
      <c r="O575" s="7" t="s">
        <v>162</v>
      </c>
      <c r="P575" s="7" t="s">
        <v>6577</v>
      </c>
      <c r="Q575" s="129">
        <v>46199</v>
      </c>
      <c r="R575" s="130">
        <f t="shared" si="72"/>
        <v>46205</v>
      </c>
      <c r="S575" s="131">
        <f t="shared" si="71"/>
        <v>6</v>
      </c>
      <c r="T575" s="7" t="s">
        <v>193</v>
      </c>
      <c r="U575" s="7" t="s">
        <v>982</v>
      </c>
      <c r="V575" s="7"/>
      <c r="W575" s="7">
        <v>0</v>
      </c>
      <c r="X575" s="132">
        <f t="shared" si="69"/>
        <v>10</v>
      </c>
      <c r="Y575" s="133"/>
      <c r="Z575" s="133"/>
      <c r="AA575" s="133"/>
    </row>
    <row r="576" spans="1:27" hidden="1" x14ac:dyDescent="0.25">
      <c r="A576" s="127">
        <v>662</v>
      </c>
      <c r="B576" s="128" t="str">
        <f t="shared" si="70"/>
        <v>CHOT</v>
      </c>
      <c r="C576" s="128" t="str">
        <f>+VLOOKUP(U576,Ходим!A:B,2,0)</f>
        <v>30510945890013</v>
      </c>
      <c r="D576" s="128" t="str">
        <f>IFERROR(VLOOKUP($B:$B,[20]свод!$A:$AB,3,0)," ")</f>
        <v>Чортоқ тумани</v>
      </c>
      <c r="E576" s="7" t="s">
        <v>1718</v>
      </c>
      <c r="F576" s="7" t="s">
        <v>8117</v>
      </c>
      <c r="G576" s="134" t="str">
        <f t="shared" si="73"/>
        <v/>
      </c>
      <c r="H576" s="134">
        <f t="shared" si="74"/>
        <v>1</v>
      </c>
      <c r="I576" s="7" t="s">
        <v>154</v>
      </c>
      <c r="J576" s="7" t="s">
        <v>100</v>
      </c>
      <c r="K576" s="7"/>
      <c r="L576" s="7" t="s">
        <v>166</v>
      </c>
      <c r="M576" s="7" t="s">
        <v>4586</v>
      </c>
      <c r="N576" s="7" t="s">
        <v>170</v>
      </c>
      <c r="O576" s="7" t="s">
        <v>161</v>
      </c>
      <c r="P576" s="7" t="s">
        <v>6368</v>
      </c>
      <c r="Q576" s="129">
        <v>46199</v>
      </c>
      <c r="R576" s="130">
        <f t="shared" si="72"/>
        <v>46211</v>
      </c>
      <c r="S576" s="131">
        <f t="shared" si="71"/>
        <v>12</v>
      </c>
      <c r="T576" s="7" t="s">
        <v>184</v>
      </c>
      <c r="U576" s="7" t="s">
        <v>185</v>
      </c>
      <c r="V576" s="7"/>
      <c r="W576" s="7">
        <v>32</v>
      </c>
      <c r="X576" s="132">
        <f t="shared" si="69"/>
        <v>10</v>
      </c>
      <c r="Y576" s="133"/>
      <c r="Z576" s="133"/>
      <c r="AA576" s="133"/>
    </row>
    <row r="577" spans="1:27" hidden="1" x14ac:dyDescent="0.25">
      <c r="A577" s="127">
        <v>663</v>
      </c>
      <c r="B577" s="128" t="str">
        <f t="shared" si="70"/>
        <v>NAMS</v>
      </c>
      <c r="C577" s="128" t="str">
        <f>+VLOOKUP(U577,Ходим!A:B,2,0)</f>
        <v>30910985930021</v>
      </c>
      <c r="D577" s="128" t="str">
        <f>IFERROR(VLOOKUP($B:$B,[20]свод!$A:$AB,3,0)," ")</f>
        <v>Наманган шаҳар</v>
      </c>
      <c r="E577" s="7" t="s">
        <v>1719</v>
      </c>
      <c r="F577" s="7" t="s">
        <v>8118</v>
      </c>
      <c r="G577" s="134" t="str">
        <f t="shared" si="73"/>
        <v/>
      </c>
      <c r="H577" s="134">
        <f t="shared" si="74"/>
        <v>1</v>
      </c>
      <c r="I577" s="7" t="s">
        <v>155</v>
      </c>
      <c r="J577" s="7" t="s">
        <v>25</v>
      </c>
      <c r="K577" s="7"/>
      <c r="L577" s="7" t="s">
        <v>166</v>
      </c>
      <c r="M577" s="7" t="s">
        <v>4587</v>
      </c>
      <c r="N577" s="7" t="s">
        <v>410</v>
      </c>
      <c r="O577" s="7" t="s">
        <v>161</v>
      </c>
      <c r="P577" s="7" t="s">
        <v>6582</v>
      </c>
      <c r="Q577" s="129">
        <v>46199</v>
      </c>
      <c r="R577" s="130">
        <f t="shared" si="72"/>
        <v>46211</v>
      </c>
      <c r="S577" s="131">
        <f t="shared" si="71"/>
        <v>12</v>
      </c>
      <c r="T577" s="7" t="s">
        <v>227</v>
      </c>
      <c r="U577" s="7" t="s">
        <v>963</v>
      </c>
      <c r="V577" s="7"/>
      <c r="W577" s="7">
        <v>61.11</v>
      </c>
      <c r="X577" s="132">
        <f t="shared" si="69"/>
        <v>10</v>
      </c>
      <c r="Y577" s="133"/>
      <c r="Z577" s="133"/>
      <c r="AA577" s="133"/>
    </row>
    <row r="578" spans="1:27" hidden="1" x14ac:dyDescent="0.25">
      <c r="A578" s="127">
        <v>665</v>
      </c>
      <c r="B578" s="128" t="str">
        <f t="shared" si="70"/>
        <v>NAMS</v>
      </c>
      <c r="C578" s="128" t="str">
        <f>+VLOOKUP(U578,Ходим!A:B,2,0)</f>
        <v>52710005960025</v>
      </c>
      <c r="D578" s="128" t="str">
        <f>IFERROR(VLOOKUP($B:$B,[20]свод!$A:$AB,3,0)," ")</f>
        <v>Наманган шаҳар</v>
      </c>
      <c r="E578" s="7" t="s">
        <v>1720</v>
      </c>
      <c r="F578" s="7" t="s">
        <v>8119</v>
      </c>
      <c r="G578" s="134">
        <f t="shared" si="73"/>
        <v>1</v>
      </c>
      <c r="H578" s="134" t="str">
        <f t="shared" si="74"/>
        <v/>
      </c>
      <c r="I578" s="7" t="s">
        <v>156</v>
      </c>
      <c r="J578" s="7" t="s">
        <v>25</v>
      </c>
      <c r="K578" s="7"/>
      <c r="L578" s="7"/>
      <c r="M578" s="7"/>
      <c r="N578" s="7" t="s">
        <v>410</v>
      </c>
      <c r="O578" s="7" t="s">
        <v>162</v>
      </c>
      <c r="P578" s="7" t="s">
        <v>6582</v>
      </c>
      <c r="Q578" s="129">
        <v>46199</v>
      </c>
      <c r="R578" s="130">
        <f t="shared" si="72"/>
        <v>46211</v>
      </c>
      <c r="S578" s="131">
        <f t="shared" si="71"/>
        <v>12</v>
      </c>
      <c r="T578" s="7" t="s">
        <v>173</v>
      </c>
      <c r="U578" s="7" t="s">
        <v>274</v>
      </c>
      <c r="V578" s="7"/>
      <c r="W578" s="7"/>
      <c r="X578" s="132">
        <f t="shared" si="69"/>
        <v>10</v>
      </c>
      <c r="Y578" s="133"/>
      <c r="Z578" s="133"/>
      <c r="AA578" s="133"/>
    </row>
    <row r="579" spans="1:27" hidden="1" x14ac:dyDescent="0.25">
      <c r="A579" s="127">
        <v>666</v>
      </c>
      <c r="B579" s="128" t="str">
        <f t="shared" si="70"/>
        <v>UCQT</v>
      </c>
      <c r="C579" s="128" t="e">
        <f>+VLOOKUP(U579,Ходим!A:B,2,0)</f>
        <v>#N/A</v>
      </c>
      <c r="D579" s="128" t="str">
        <f>IFERROR(VLOOKUP($B:$B,[20]свод!$A:$AB,3,0)," ")</f>
        <v>Учқўрғон тумани</v>
      </c>
      <c r="E579" s="7" t="s">
        <v>1721</v>
      </c>
      <c r="F579" s="7" t="s">
        <v>8120</v>
      </c>
      <c r="G579" s="134">
        <f t="shared" si="73"/>
        <v>1</v>
      </c>
      <c r="H579" s="134" t="str">
        <f t="shared" si="74"/>
        <v/>
      </c>
      <c r="I579" s="7" t="s">
        <v>156</v>
      </c>
      <c r="J579" s="7" t="s">
        <v>11</v>
      </c>
      <c r="K579" s="7"/>
      <c r="L579" s="7"/>
      <c r="M579" s="7"/>
      <c r="N579" s="7" t="s">
        <v>170</v>
      </c>
      <c r="O579" s="7" t="s">
        <v>162</v>
      </c>
      <c r="P579" s="7" t="s">
        <v>6582</v>
      </c>
      <c r="Q579" s="129">
        <v>46199</v>
      </c>
      <c r="R579" s="130">
        <f t="shared" si="72"/>
        <v>46211</v>
      </c>
      <c r="S579" s="131">
        <f t="shared" si="71"/>
        <v>12</v>
      </c>
      <c r="T579" s="7"/>
      <c r="U579" s="7"/>
      <c r="V579" s="7"/>
      <c r="W579" s="7"/>
      <c r="X579" s="132">
        <f t="shared" si="69"/>
        <v>10</v>
      </c>
      <c r="Y579" s="133"/>
      <c r="Z579" s="133"/>
      <c r="AA579" s="133"/>
    </row>
    <row r="580" spans="1:27" hidden="1" x14ac:dyDescent="0.25">
      <c r="A580" s="127">
        <v>667</v>
      </c>
      <c r="B580" s="128" t="str">
        <f t="shared" si="70"/>
        <v>NAMS</v>
      </c>
      <c r="C580" s="128" t="str">
        <f>+VLOOKUP(U580,Ходим!A:B,2,0)</f>
        <v>52601025870013</v>
      </c>
      <c r="D580" s="128" t="str">
        <f>IFERROR(VLOOKUP($B:$B,[20]свод!$A:$AB,3,0)," ")</f>
        <v>Наманган шаҳар</v>
      </c>
      <c r="E580" s="7" t="s">
        <v>1722</v>
      </c>
      <c r="F580" s="7" t="s">
        <v>8121</v>
      </c>
      <c r="G580" s="134">
        <f t="shared" si="73"/>
        <v>1</v>
      </c>
      <c r="H580" s="134" t="str">
        <f t="shared" si="74"/>
        <v/>
      </c>
      <c r="I580" s="7" t="s">
        <v>156</v>
      </c>
      <c r="J580" s="7" t="s">
        <v>25</v>
      </c>
      <c r="K580" s="7"/>
      <c r="L580" s="7"/>
      <c r="M580" s="7"/>
      <c r="N580" s="7" t="s">
        <v>170</v>
      </c>
      <c r="O580" s="7" t="s">
        <v>162</v>
      </c>
      <c r="P580" s="7" t="s">
        <v>6582</v>
      </c>
      <c r="Q580" s="129">
        <v>46199</v>
      </c>
      <c r="R580" s="130">
        <f t="shared" si="72"/>
        <v>46211</v>
      </c>
      <c r="S580" s="131">
        <f t="shared" si="71"/>
        <v>12</v>
      </c>
      <c r="T580" s="7" t="s">
        <v>173</v>
      </c>
      <c r="U580" s="7" t="s">
        <v>405</v>
      </c>
      <c r="V580" s="7"/>
      <c r="W580" s="7"/>
      <c r="X580" s="132">
        <f t="shared" si="69"/>
        <v>10</v>
      </c>
      <c r="Y580" s="133"/>
      <c r="Z580" s="133"/>
      <c r="AA580" s="133"/>
    </row>
    <row r="581" spans="1:27" hidden="1" x14ac:dyDescent="0.25">
      <c r="A581" s="127">
        <v>668</v>
      </c>
      <c r="B581" s="128" t="str">
        <f t="shared" si="70"/>
        <v>NAMS</v>
      </c>
      <c r="C581" s="128" t="str">
        <f>+VLOOKUP(U581,Ходим!A:B,2,0)</f>
        <v>51911035960011</v>
      </c>
      <c r="D581" s="128" t="str">
        <f>IFERROR(VLOOKUP($B:$B,[20]свод!$A:$AB,3,0)," ")</f>
        <v>Наманган шаҳар</v>
      </c>
      <c r="E581" s="7" t="s">
        <v>1723</v>
      </c>
      <c r="F581" s="7" t="s">
        <v>8122</v>
      </c>
      <c r="G581" s="134">
        <f t="shared" si="73"/>
        <v>1</v>
      </c>
      <c r="H581" s="134" t="str">
        <f t="shared" si="74"/>
        <v/>
      </c>
      <c r="I581" s="7" t="s">
        <v>156</v>
      </c>
      <c r="J581" s="7" t="s">
        <v>25</v>
      </c>
      <c r="K581" s="7"/>
      <c r="L581" s="7"/>
      <c r="M581" s="7"/>
      <c r="N581" s="7" t="s">
        <v>170</v>
      </c>
      <c r="O581" s="7" t="s">
        <v>162</v>
      </c>
      <c r="P581" s="7" t="s">
        <v>6583</v>
      </c>
      <c r="Q581" s="129">
        <v>46199</v>
      </c>
      <c r="R581" s="130">
        <f t="shared" si="72"/>
        <v>46211</v>
      </c>
      <c r="S581" s="131">
        <f t="shared" si="71"/>
        <v>12</v>
      </c>
      <c r="T581" s="7" t="s">
        <v>173</v>
      </c>
      <c r="U581" s="7" t="s">
        <v>371</v>
      </c>
      <c r="V581" s="7"/>
      <c r="W581" s="7"/>
      <c r="X581" s="132">
        <f t="shared" si="69"/>
        <v>10</v>
      </c>
      <c r="Y581" s="133"/>
      <c r="Z581" s="133"/>
      <c r="AA581" s="133"/>
    </row>
    <row r="582" spans="1:27" hidden="1" x14ac:dyDescent="0.25">
      <c r="A582" s="127">
        <v>670</v>
      </c>
      <c r="B582" s="128" t="str">
        <f t="shared" si="70"/>
        <v>NAMS</v>
      </c>
      <c r="C582" s="128" t="str">
        <f>+VLOOKUP(U582,Ходим!A:B,2,0)</f>
        <v>31312985950011</v>
      </c>
      <c r="D582" s="128" t="str">
        <f>IFERROR(VLOOKUP($B:$B,[20]свод!$A:$AB,3,0)," ")</f>
        <v>Наманган шаҳар</v>
      </c>
      <c r="E582" s="7" t="s">
        <v>1724</v>
      </c>
      <c r="F582" s="7" t="s">
        <v>8123</v>
      </c>
      <c r="G582" s="134" t="str">
        <f t="shared" si="73"/>
        <v/>
      </c>
      <c r="H582" s="134">
        <f t="shared" si="74"/>
        <v>1</v>
      </c>
      <c r="I582" s="7" t="s">
        <v>155</v>
      </c>
      <c r="J582" s="7" t="s">
        <v>11</v>
      </c>
      <c r="K582" s="7"/>
      <c r="L582" s="7" t="s">
        <v>166</v>
      </c>
      <c r="M582" s="7" t="s">
        <v>4588</v>
      </c>
      <c r="N582" s="7" t="s">
        <v>410</v>
      </c>
      <c r="O582" s="7" t="s">
        <v>161</v>
      </c>
      <c r="P582" s="7" t="s">
        <v>6582</v>
      </c>
      <c r="Q582" s="129">
        <v>46199</v>
      </c>
      <c r="R582" s="130">
        <f t="shared" si="72"/>
        <v>46213</v>
      </c>
      <c r="S582" s="131">
        <f t="shared" si="71"/>
        <v>14</v>
      </c>
      <c r="T582" s="7" t="s">
        <v>227</v>
      </c>
      <c r="U582" s="7" t="s">
        <v>303</v>
      </c>
      <c r="V582" s="7"/>
      <c r="W582" s="7">
        <v>427.84</v>
      </c>
      <c r="X582" s="132">
        <f t="shared" si="69"/>
        <v>12</v>
      </c>
      <c r="Y582" s="133"/>
      <c r="Z582" s="133"/>
      <c r="AA582" s="133"/>
    </row>
    <row r="583" spans="1:27" hidden="1" x14ac:dyDescent="0.25">
      <c r="A583" s="127">
        <v>671</v>
      </c>
      <c r="B583" s="128" t="str">
        <f t="shared" si="70"/>
        <v>NAMS</v>
      </c>
      <c r="C583" s="128" t="str">
        <f>+VLOOKUP(U583,Ходим!A:B,2,0)</f>
        <v>53008015960094</v>
      </c>
      <c r="D583" s="128" t="str">
        <f>IFERROR(VLOOKUP($B:$B,[20]свод!$A:$AB,3,0)," ")</f>
        <v>Наманган шаҳар</v>
      </c>
      <c r="E583" s="7" t="s">
        <v>1725</v>
      </c>
      <c r="F583" s="7" t="s">
        <v>8124</v>
      </c>
      <c r="G583" s="134">
        <f t="shared" si="73"/>
        <v>1</v>
      </c>
      <c r="H583" s="134" t="str">
        <f t="shared" si="74"/>
        <v/>
      </c>
      <c r="I583" s="7" t="s">
        <v>156</v>
      </c>
      <c r="J583" s="7" t="s">
        <v>25</v>
      </c>
      <c r="K583" s="7"/>
      <c r="L583" s="7"/>
      <c r="M583" s="7"/>
      <c r="N583" s="7" t="s">
        <v>170</v>
      </c>
      <c r="O583" s="7" t="s">
        <v>162</v>
      </c>
      <c r="P583" s="7" t="s">
        <v>6584</v>
      </c>
      <c r="Q583" s="129">
        <v>46199</v>
      </c>
      <c r="R583" s="130">
        <f t="shared" si="72"/>
        <v>46211</v>
      </c>
      <c r="S583" s="131">
        <f t="shared" si="71"/>
        <v>12</v>
      </c>
      <c r="T583" s="7" t="s">
        <v>173</v>
      </c>
      <c r="U583" s="7" t="s">
        <v>403</v>
      </c>
      <c r="V583" s="7"/>
      <c r="W583" s="7"/>
      <c r="X583" s="132">
        <f t="shared" si="69"/>
        <v>10</v>
      </c>
      <c r="Y583" s="133"/>
      <c r="Z583" s="133"/>
      <c r="AA583" s="133"/>
    </row>
    <row r="584" spans="1:27" hidden="1" x14ac:dyDescent="0.25">
      <c r="A584" s="127">
        <v>672</v>
      </c>
      <c r="B584" s="128" t="str">
        <f t="shared" si="70"/>
        <v>CHOT</v>
      </c>
      <c r="C584" s="128" t="str">
        <f>+VLOOKUP(U584,Ходим!A:B,2,0)</f>
        <v>30308922100022</v>
      </c>
      <c r="D584" s="128" t="str">
        <f>IFERROR(VLOOKUP($B:$B,[20]свод!$A:$AB,3,0)," ")</f>
        <v>Чортоқ тумани</v>
      </c>
      <c r="E584" s="7" t="s">
        <v>1726</v>
      </c>
      <c r="F584" s="7" t="s">
        <v>8125</v>
      </c>
      <c r="G584" s="134">
        <f t="shared" si="73"/>
        <v>1</v>
      </c>
      <c r="H584" s="134" t="str">
        <f t="shared" si="74"/>
        <v/>
      </c>
      <c r="I584" s="7" t="s">
        <v>158</v>
      </c>
      <c r="J584" s="7" t="s">
        <v>36</v>
      </c>
      <c r="K584" s="7"/>
      <c r="L584" s="7" t="s">
        <v>167</v>
      </c>
      <c r="M584" s="7" t="s">
        <v>1120</v>
      </c>
      <c r="N584" s="7" t="s">
        <v>170</v>
      </c>
      <c r="O584" s="7" t="s">
        <v>163</v>
      </c>
      <c r="P584" s="7" t="s">
        <v>6585</v>
      </c>
      <c r="Q584" s="129">
        <v>46199</v>
      </c>
      <c r="R584" s="130">
        <f t="shared" si="72"/>
        <v>46210</v>
      </c>
      <c r="S584" s="131">
        <f t="shared" si="71"/>
        <v>11</v>
      </c>
      <c r="T584" s="7" t="s">
        <v>184</v>
      </c>
      <c r="U584" s="7" t="s">
        <v>190</v>
      </c>
      <c r="V584" s="7"/>
      <c r="W584" s="7">
        <v>243.15</v>
      </c>
      <c r="X584" s="132">
        <f t="shared" si="69"/>
        <v>10</v>
      </c>
      <c r="Y584" s="133"/>
      <c r="Z584" s="133"/>
      <c r="AA584" s="133"/>
    </row>
    <row r="585" spans="1:27" hidden="1" x14ac:dyDescent="0.25">
      <c r="A585" s="127">
        <v>673</v>
      </c>
      <c r="B585" s="128" t="str">
        <f t="shared" si="70"/>
        <v>UYCT</v>
      </c>
      <c r="C585" s="128" t="str">
        <f>+VLOOKUP(U585,Ходим!A:B,2,0)</f>
        <v>30510922140032</v>
      </c>
      <c r="D585" s="128" t="str">
        <f>IFERROR(VLOOKUP($B:$B,[20]свод!$A:$AB,3,0)," ")</f>
        <v>Уйчи тумани</v>
      </c>
      <c r="E585" s="7" t="s">
        <v>1727</v>
      </c>
      <c r="F585" s="7" t="s">
        <v>8126</v>
      </c>
      <c r="G585" s="134" t="str">
        <f t="shared" si="73"/>
        <v/>
      </c>
      <c r="H585" s="134">
        <f t="shared" si="74"/>
        <v>1</v>
      </c>
      <c r="I585" s="7" t="s">
        <v>157</v>
      </c>
      <c r="J585" s="7" t="s">
        <v>36</v>
      </c>
      <c r="K585" s="7"/>
      <c r="L585" s="7" t="s">
        <v>166</v>
      </c>
      <c r="M585" s="7" t="s">
        <v>4589</v>
      </c>
      <c r="N585" s="7" t="s">
        <v>170</v>
      </c>
      <c r="O585" s="7" t="s">
        <v>161</v>
      </c>
      <c r="P585" s="7" t="s">
        <v>6586</v>
      </c>
      <c r="Q585" s="129">
        <v>46199</v>
      </c>
      <c r="R585" s="130">
        <f t="shared" si="72"/>
        <v>46210</v>
      </c>
      <c r="S585" s="131">
        <f t="shared" si="71"/>
        <v>11</v>
      </c>
      <c r="T585" s="7" t="s">
        <v>947</v>
      </c>
      <c r="U585" s="7" t="s">
        <v>199</v>
      </c>
      <c r="V585" s="7"/>
      <c r="W585" s="7">
        <v>93.9</v>
      </c>
      <c r="X585" s="132">
        <f t="shared" si="69"/>
        <v>10</v>
      </c>
      <c r="Y585" s="133"/>
      <c r="Z585" s="133"/>
      <c r="AA585" s="133"/>
    </row>
    <row r="586" spans="1:27" hidden="1" x14ac:dyDescent="0.25">
      <c r="A586" s="127">
        <v>674</v>
      </c>
      <c r="B586" s="128" t="str">
        <f t="shared" si="70"/>
        <v>UYCT</v>
      </c>
      <c r="C586" s="128" t="str">
        <f>+VLOOKUP(U586,Ходим!A:B,2,0)</f>
        <v>31101985930022</v>
      </c>
      <c r="D586" s="128" t="str">
        <f>IFERROR(VLOOKUP($B:$B,[20]свод!$A:$AB,3,0)," ")</f>
        <v>Уйчи тумани</v>
      </c>
      <c r="E586" s="7" t="s">
        <v>1728</v>
      </c>
      <c r="F586" s="7" t="s">
        <v>8127</v>
      </c>
      <c r="G586" s="134">
        <f t="shared" si="73"/>
        <v>1</v>
      </c>
      <c r="H586" s="134" t="str">
        <f t="shared" si="74"/>
        <v/>
      </c>
      <c r="I586" s="7" t="s">
        <v>158</v>
      </c>
      <c r="J586" s="7" t="s">
        <v>2</v>
      </c>
      <c r="K586" s="7"/>
      <c r="L586" s="7" t="s">
        <v>167</v>
      </c>
      <c r="M586" s="7" t="s">
        <v>4590</v>
      </c>
      <c r="N586" s="7" t="s">
        <v>170</v>
      </c>
      <c r="O586" s="7" t="s">
        <v>162</v>
      </c>
      <c r="P586" s="7" t="s">
        <v>6542</v>
      </c>
      <c r="Q586" s="129">
        <v>46199</v>
      </c>
      <c r="R586" s="130">
        <f t="shared" si="72"/>
        <v>46211</v>
      </c>
      <c r="S586" s="131">
        <f t="shared" si="71"/>
        <v>12</v>
      </c>
      <c r="T586" s="7" t="s">
        <v>947</v>
      </c>
      <c r="U586" s="7" t="s">
        <v>299</v>
      </c>
      <c r="V586" s="7"/>
      <c r="W586" s="7">
        <v>148.06</v>
      </c>
      <c r="X586" s="132">
        <f t="shared" si="69"/>
        <v>10</v>
      </c>
      <c r="Y586" s="133"/>
      <c r="Z586" s="133"/>
      <c r="AA586" s="133"/>
    </row>
    <row r="587" spans="1:27" hidden="1" x14ac:dyDescent="0.25">
      <c r="A587" s="127">
        <v>675</v>
      </c>
      <c r="B587" s="128" t="str">
        <f t="shared" si="70"/>
        <v>NAMS</v>
      </c>
      <c r="C587" s="128" t="str">
        <f>+VLOOKUP(U587,Ходим!A:B,2,0)</f>
        <v>52107015960107</v>
      </c>
      <c r="D587" s="128" t="str">
        <f>IFERROR(VLOOKUP($B:$B,[20]свод!$A:$AB,3,0)," ")</f>
        <v>Наманган шаҳар</v>
      </c>
      <c r="E587" s="7" t="s">
        <v>1729</v>
      </c>
      <c r="F587" s="7" t="s">
        <v>8128</v>
      </c>
      <c r="G587" s="134" t="str">
        <f t="shared" si="73"/>
        <v/>
      </c>
      <c r="H587" s="134">
        <f t="shared" si="74"/>
        <v>1</v>
      </c>
      <c r="I587" s="7" t="s">
        <v>155</v>
      </c>
      <c r="J587" s="7" t="s">
        <v>25</v>
      </c>
      <c r="K587" s="7"/>
      <c r="L587" s="7" t="s">
        <v>166</v>
      </c>
      <c r="M587" s="7" t="s">
        <v>4591</v>
      </c>
      <c r="N587" s="7" t="s">
        <v>410</v>
      </c>
      <c r="O587" s="7" t="s">
        <v>161</v>
      </c>
      <c r="P587" s="7" t="s">
        <v>6587</v>
      </c>
      <c r="Q587" s="129">
        <v>46199</v>
      </c>
      <c r="R587" s="130">
        <f t="shared" si="72"/>
        <v>46211</v>
      </c>
      <c r="S587" s="131">
        <f t="shared" si="71"/>
        <v>12</v>
      </c>
      <c r="T587" s="7" t="s">
        <v>227</v>
      </c>
      <c r="U587" s="7" t="s">
        <v>348</v>
      </c>
      <c r="V587" s="7"/>
      <c r="W587" s="7">
        <v>0</v>
      </c>
      <c r="X587" s="132">
        <f t="shared" si="69"/>
        <v>10</v>
      </c>
      <c r="Y587" s="133"/>
      <c r="Z587" s="133"/>
      <c r="AA587" s="133"/>
    </row>
    <row r="588" spans="1:27" hidden="1" x14ac:dyDescent="0.25">
      <c r="A588" s="127">
        <v>676</v>
      </c>
      <c r="B588" s="128" t="str">
        <f t="shared" si="70"/>
        <v>TORT</v>
      </c>
      <c r="C588" s="128" t="str">
        <f>+VLOOKUP(U588,Ходим!A:B,2,0)</f>
        <v>31110892130070</v>
      </c>
      <c r="D588" s="128" t="str">
        <f>IFERROR(VLOOKUP($B:$B,[20]свод!$A:$AB,3,0)," ")</f>
        <v>Тўрақўрғон тумани</v>
      </c>
      <c r="E588" s="7" t="s">
        <v>1730</v>
      </c>
      <c r="F588" s="7" t="s">
        <v>8129</v>
      </c>
      <c r="G588" s="134">
        <f t="shared" si="73"/>
        <v>1</v>
      </c>
      <c r="H588" s="134" t="str">
        <f t="shared" si="74"/>
        <v/>
      </c>
      <c r="I588" s="7" t="s">
        <v>156</v>
      </c>
      <c r="J588" s="7" t="s">
        <v>25</v>
      </c>
      <c r="K588" s="7"/>
      <c r="L588" s="7"/>
      <c r="M588" s="7"/>
      <c r="N588" s="7" t="s">
        <v>170</v>
      </c>
      <c r="O588" s="7" t="s">
        <v>162</v>
      </c>
      <c r="P588" s="7" t="s">
        <v>6587</v>
      </c>
      <c r="Q588" s="129">
        <v>46199</v>
      </c>
      <c r="R588" s="130">
        <f t="shared" si="72"/>
        <v>46211</v>
      </c>
      <c r="S588" s="131">
        <f t="shared" si="71"/>
        <v>12</v>
      </c>
      <c r="T588" s="7" t="s">
        <v>203</v>
      </c>
      <c r="U588" s="7" t="s">
        <v>297</v>
      </c>
      <c r="V588" s="7"/>
      <c r="W588" s="7"/>
      <c r="X588" s="132">
        <f t="shared" ref="X588:X629" si="75">IF(N588="Kadastr muhandisi",3,
IF(N588="UZKAD",5,
IF(V588="FREE",5,
IF(I588="Registratsiya (tashqi - UZKAD da bor)",1,
IF(I588="Avtoyo'l va suv xo'jaligi obyektining kadastr pasportini shakllantirish va ro'yxatga olish",7,
IF(I588="Notarius uchun ma'lumotnoma (uz)",1,
IF(I588="Qurilishi tugallangan ko'chmas mulkni foydalanishga qabul qilish",10,
IF(OR(I588="Turar joy obyektning kadastr pasportini shakllantirish va davlat ro'yxatidan o'tkazish",I588="Turar kompozit"),
IF(L588="Turar yer maydoni",7,10),
IF(OR(I588="Noturar obyektning kadastr pasportini shakllantirish va davlat ro'yxatidan o'tkazish",I588="Noturar kompozit"),
IF(O588="Ko‘p yillik daraxtlar xizmati",15,
IF(OR(L588="Noturar yer maydoni",L588="Davlat tashkilotlaridan ijaraga olingan yer uchastkasi"),7,
IF(W588&lt;100,10,IF(W588&lt;=1000,12,IF(W588&lt;=5000,17,IF(W588&lt;=15000,22,IF(W588&lt;=50000,28,37))))))),
IF(I588="Umumiy foydalanishdagi ko'chmas mulk qismini yaratish",
IF(IF(TRIM(L588)="",IF(OR(O588="Turar joy xizmati",O588="Yakka tartibdagi turar joy"),"Turar","Noturar"),IF(OR(L588="Yakka tartibdagi turar joy",L588="Turar joy xizmati"),"Turar","Noturar"))="Turar",
10,IF(W588&lt;100,10,IF(W588&lt;=1000,12,IF(W588&lt;=5000,17,IF(W588&lt;=15000,22,IF(W588&lt;=50000,28,37)))))),
0))))))))))</f>
        <v>10</v>
      </c>
      <c r="Y588" s="133"/>
      <c r="Z588" s="133"/>
      <c r="AA588" s="133"/>
    </row>
    <row r="589" spans="1:27" hidden="1" x14ac:dyDescent="0.25">
      <c r="A589" s="127">
        <v>678</v>
      </c>
      <c r="B589" s="128" t="str">
        <f t="shared" ref="B589:B630" si="76">LEFT(E589,4)</f>
        <v>NAMS</v>
      </c>
      <c r="C589" s="128" t="str">
        <f>+VLOOKUP(U589,Ходим!A:B,2,0)</f>
        <v>51110025960044</v>
      </c>
      <c r="D589" s="128" t="str">
        <f>IFERROR(VLOOKUP($B:$B,[20]свод!$A:$AB,3,0)," ")</f>
        <v>Наманган шаҳар</v>
      </c>
      <c r="E589" s="7" t="s">
        <v>1731</v>
      </c>
      <c r="F589" s="7" t="s">
        <v>8130</v>
      </c>
      <c r="G589" s="134">
        <f t="shared" si="73"/>
        <v>1</v>
      </c>
      <c r="H589" s="134" t="str">
        <f t="shared" si="74"/>
        <v/>
      </c>
      <c r="I589" s="7" t="s">
        <v>156</v>
      </c>
      <c r="J589" s="7" t="s">
        <v>25</v>
      </c>
      <c r="K589" s="7"/>
      <c r="L589" s="7"/>
      <c r="M589" s="7"/>
      <c r="N589" s="7" t="s">
        <v>170</v>
      </c>
      <c r="O589" s="7" t="s">
        <v>162</v>
      </c>
      <c r="P589" s="7" t="s">
        <v>6587</v>
      </c>
      <c r="Q589" s="129">
        <v>46199</v>
      </c>
      <c r="R589" s="130">
        <f t="shared" si="72"/>
        <v>46211</v>
      </c>
      <c r="S589" s="131">
        <f t="shared" ref="S589:S630" si="77">R589-Q589</f>
        <v>12</v>
      </c>
      <c r="T589" s="7" t="s">
        <v>173</v>
      </c>
      <c r="U589" s="7" t="s">
        <v>294</v>
      </c>
      <c r="V589" s="7"/>
      <c r="W589" s="7"/>
      <c r="X589" s="132">
        <f t="shared" si="75"/>
        <v>10</v>
      </c>
      <c r="Y589" s="133"/>
      <c r="Z589" s="133"/>
      <c r="AA589" s="133"/>
    </row>
    <row r="590" spans="1:27" hidden="1" x14ac:dyDescent="0.25">
      <c r="A590" s="127">
        <v>679</v>
      </c>
      <c r="B590" s="128" t="str">
        <f t="shared" si="76"/>
        <v>YGQT</v>
      </c>
      <c r="C590" s="128" t="str">
        <f>+VLOOKUP(U590,Ходим!A:B,2,0)</f>
        <v>33103892160125</v>
      </c>
      <c r="D590" s="128" t="str">
        <f>IFERROR(VLOOKUP($B:$B,[20]свод!$A:$AB,3,0)," ")</f>
        <v>Янгиқўрғон тумани</v>
      </c>
      <c r="E590" s="7" t="s">
        <v>1732</v>
      </c>
      <c r="F590" s="7" t="s">
        <v>8131</v>
      </c>
      <c r="G590" s="134" t="str">
        <f t="shared" si="73"/>
        <v/>
      </c>
      <c r="H590" s="134">
        <f t="shared" si="74"/>
        <v>1</v>
      </c>
      <c r="I590" s="7" t="s">
        <v>157</v>
      </c>
      <c r="J590" s="7" t="s">
        <v>2</v>
      </c>
      <c r="K590" s="7"/>
      <c r="L590" s="7"/>
      <c r="M590" s="7"/>
      <c r="N590" s="7" t="s">
        <v>170</v>
      </c>
      <c r="O590" s="7" t="s">
        <v>161</v>
      </c>
      <c r="P590" s="7" t="s">
        <v>6588</v>
      </c>
      <c r="Q590" s="129">
        <v>46199</v>
      </c>
      <c r="R590" s="130">
        <f t="shared" si="72"/>
        <v>46205</v>
      </c>
      <c r="S590" s="131">
        <f t="shared" si="77"/>
        <v>6</v>
      </c>
      <c r="T590" s="7" t="s">
        <v>255</v>
      </c>
      <c r="U590" s="7" t="s">
        <v>183</v>
      </c>
      <c r="V590" s="7"/>
      <c r="W590" s="7"/>
      <c r="X590" s="132">
        <f t="shared" si="75"/>
        <v>10</v>
      </c>
      <c r="Y590" s="133"/>
      <c r="Z590" s="133"/>
      <c r="AA590" s="133"/>
    </row>
    <row r="591" spans="1:27" hidden="1" x14ac:dyDescent="0.25">
      <c r="A591" s="127">
        <v>680</v>
      </c>
      <c r="B591" s="128" t="str">
        <f t="shared" si="76"/>
        <v>NAMS</v>
      </c>
      <c r="C591" s="128" t="str">
        <f>+VLOOKUP(U591,Ходим!A:B,2,0)</f>
        <v>52503015960039</v>
      </c>
      <c r="D591" s="128" t="str">
        <f>IFERROR(VLOOKUP($B:$B,[20]свод!$A:$AB,3,0)," ")</f>
        <v>Наманган шаҳар</v>
      </c>
      <c r="E591" s="7" t="s">
        <v>1733</v>
      </c>
      <c r="F591" s="7" t="s">
        <v>8132</v>
      </c>
      <c r="G591" s="134">
        <f t="shared" si="73"/>
        <v>1</v>
      </c>
      <c r="H591" s="134" t="str">
        <f t="shared" si="74"/>
        <v/>
      </c>
      <c r="I591" s="7" t="s">
        <v>158</v>
      </c>
      <c r="J591" s="7" t="s">
        <v>2</v>
      </c>
      <c r="K591" s="7"/>
      <c r="L591" s="7" t="s">
        <v>167</v>
      </c>
      <c r="M591" s="7" t="s">
        <v>4592</v>
      </c>
      <c r="N591" s="7" t="s">
        <v>170</v>
      </c>
      <c r="O591" s="7" t="s">
        <v>162</v>
      </c>
      <c r="P591" s="7" t="s">
        <v>6310</v>
      </c>
      <c r="Q591" s="129">
        <v>46199</v>
      </c>
      <c r="R591" s="130">
        <f t="shared" si="72"/>
        <v>46204</v>
      </c>
      <c r="S591" s="131">
        <f t="shared" si="77"/>
        <v>5</v>
      </c>
      <c r="T591" s="7" t="s">
        <v>227</v>
      </c>
      <c r="U591" s="7" t="s">
        <v>246</v>
      </c>
      <c r="V591" s="7"/>
      <c r="W591" s="7">
        <v>142.91</v>
      </c>
      <c r="X591" s="132">
        <f t="shared" si="75"/>
        <v>10</v>
      </c>
      <c r="Y591" s="133"/>
      <c r="Z591" s="133"/>
      <c r="AA591" s="133"/>
    </row>
    <row r="592" spans="1:27" hidden="1" x14ac:dyDescent="0.25">
      <c r="A592" s="127">
        <v>682</v>
      </c>
      <c r="B592" s="128" t="str">
        <f t="shared" si="76"/>
        <v>YGQT</v>
      </c>
      <c r="C592" s="128" t="str">
        <f>+VLOOKUP(U592,Ходим!A:B,2,0)</f>
        <v>52802005950028</v>
      </c>
      <c r="D592" s="128" t="str">
        <f>IFERROR(VLOOKUP($B:$B,[20]свод!$A:$AB,3,0)," ")</f>
        <v>Янгиқўрғон тумани</v>
      </c>
      <c r="E592" s="7" t="s">
        <v>1734</v>
      </c>
      <c r="F592" s="7" t="s">
        <v>8133</v>
      </c>
      <c r="G592" s="134">
        <f t="shared" si="73"/>
        <v>1</v>
      </c>
      <c r="H592" s="134" t="str">
        <f t="shared" si="74"/>
        <v/>
      </c>
      <c r="I592" s="7" t="s">
        <v>158</v>
      </c>
      <c r="J592" s="7" t="s">
        <v>2</v>
      </c>
      <c r="K592" s="7"/>
      <c r="L592" s="7"/>
      <c r="M592" s="7"/>
      <c r="N592" s="7" t="s">
        <v>170</v>
      </c>
      <c r="O592" s="7" t="s">
        <v>162</v>
      </c>
      <c r="P592" s="7" t="s">
        <v>6588</v>
      </c>
      <c r="Q592" s="129">
        <v>46199</v>
      </c>
      <c r="R592" s="130">
        <f t="shared" si="72"/>
        <v>46205</v>
      </c>
      <c r="S592" s="131">
        <f t="shared" si="77"/>
        <v>6</v>
      </c>
      <c r="T592" s="7" t="s">
        <v>182</v>
      </c>
      <c r="U592" s="7" t="s">
        <v>281</v>
      </c>
      <c r="V592" s="7"/>
      <c r="W592" s="7"/>
      <c r="X592" s="132">
        <f t="shared" si="75"/>
        <v>10</v>
      </c>
      <c r="Y592" s="133"/>
      <c r="Z592" s="133"/>
      <c r="AA592" s="133"/>
    </row>
    <row r="593" spans="1:27" hidden="1" x14ac:dyDescent="0.25">
      <c r="A593" s="127">
        <v>683</v>
      </c>
      <c r="B593" s="128" t="str">
        <f t="shared" si="76"/>
        <v>MINT</v>
      </c>
      <c r="C593" s="128" t="str">
        <f>+VLOOKUP(U593,Ходим!A:B,2,0)</f>
        <v>31005942200035</v>
      </c>
      <c r="D593" s="128" t="str">
        <f>IFERROR(VLOOKUP($B:$B,[20]свод!$A:$AB,3,0)," ")</f>
        <v>Мингбулоқ тумани</v>
      </c>
      <c r="E593" s="7" t="s">
        <v>1735</v>
      </c>
      <c r="F593" s="7" t="s">
        <v>8134</v>
      </c>
      <c r="G593" s="134" t="str">
        <f t="shared" si="73"/>
        <v/>
      </c>
      <c r="H593" s="134">
        <f t="shared" si="74"/>
        <v>1</v>
      </c>
      <c r="I593" s="7" t="s">
        <v>157</v>
      </c>
      <c r="J593" s="7" t="s">
        <v>36</v>
      </c>
      <c r="K593" s="7"/>
      <c r="L593" s="7" t="s">
        <v>166</v>
      </c>
      <c r="M593" s="7" t="s">
        <v>4593</v>
      </c>
      <c r="N593" s="7" t="s">
        <v>170</v>
      </c>
      <c r="O593" s="7" t="s">
        <v>161</v>
      </c>
      <c r="P593" s="7" t="s">
        <v>6588</v>
      </c>
      <c r="Q593" s="129">
        <v>46199</v>
      </c>
      <c r="R593" s="130">
        <f t="shared" si="72"/>
        <v>46216</v>
      </c>
      <c r="S593" s="131">
        <f t="shared" si="77"/>
        <v>17</v>
      </c>
      <c r="T593" s="7" t="s">
        <v>220</v>
      </c>
      <c r="U593" s="7" t="s">
        <v>222</v>
      </c>
      <c r="V593" s="7"/>
      <c r="W593" s="7">
        <v>1671</v>
      </c>
      <c r="X593" s="132">
        <f t="shared" si="75"/>
        <v>17</v>
      </c>
      <c r="Y593" s="133"/>
      <c r="Z593" s="133"/>
      <c r="AA593" s="133"/>
    </row>
    <row r="594" spans="1:27" hidden="1" x14ac:dyDescent="0.25">
      <c r="A594" s="127">
        <v>684</v>
      </c>
      <c r="B594" s="128" t="str">
        <f t="shared" si="76"/>
        <v>YGQT</v>
      </c>
      <c r="C594" s="128" t="str">
        <f>+VLOOKUP(U594,Ходим!A:B,2,0)</f>
        <v>30107965950010</v>
      </c>
      <c r="D594" s="128" t="str">
        <f>IFERROR(VLOOKUP($B:$B,[20]свод!$A:$AB,3,0)," ")</f>
        <v>Янгиқўрғон тумани</v>
      </c>
      <c r="E594" s="7" t="s">
        <v>1736</v>
      </c>
      <c r="F594" s="7" t="s">
        <v>8135</v>
      </c>
      <c r="G594" s="134">
        <f t="shared" si="73"/>
        <v>1</v>
      </c>
      <c r="H594" s="134" t="str">
        <f t="shared" si="74"/>
        <v/>
      </c>
      <c r="I594" s="7" t="s">
        <v>158</v>
      </c>
      <c r="J594" s="7" t="s">
        <v>2</v>
      </c>
      <c r="K594" s="7"/>
      <c r="L594" s="7" t="s">
        <v>167</v>
      </c>
      <c r="M594" s="7" t="s">
        <v>4594</v>
      </c>
      <c r="N594" s="7" t="s">
        <v>170</v>
      </c>
      <c r="O594" s="7" t="s">
        <v>162</v>
      </c>
      <c r="P594" s="7" t="s">
        <v>6588</v>
      </c>
      <c r="Q594" s="129">
        <v>46199</v>
      </c>
      <c r="R594" s="130">
        <f t="shared" si="72"/>
        <v>46205</v>
      </c>
      <c r="S594" s="131">
        <f t="shared" si="77"/>
        <v>6</v>
      </c>
      <c r="T594" s="7" t="s">
        <v>255</v>
      </c>
      <c r="U594" s="7" t="s">
        <v>244</v>
      </c>
      <c r="V594" s="7"/>
      <c r="W594" s="7">
        <v>410.47</v>
      </c>
      <c r="X594" s="132">
        <f t="shared" si="75"/>
        <v>10</v>
      </c>
      <c r="Y594" s="133"/>
      <c r="Z594" s="133"/>
      <c r="AA594" s="133"/>
    </row>
    <row r="595" spans="1:27" hidden="1" x14ac:dyDescent="0.25">
      <c r="A595" s="127">
        <v>685</v>
      </c>
      <c r="B595" s="128" t="str">
        <f t="shared" si="76"/>
        <v>YGQT</v>
      </c>
      <c r="C595" s="128" t="str">
        <f>+VLOOKUP(U595,Ходим!A:B,2,0)</f>
        <v>52802005950028</v>
      </c>
      <c r="D595" s="128" t="str">
        <f>IFERROR(VLOOKUP($B:$B,[20]свод!$A:$AB,3,0)," ")</f>
        <v>Янгиқўрғон тумани</v>
      </c>
      <c r="E595" s="7" t="s">
        <v>1737</v>
      </c>
      <c r="F595" s="7" t="s">
        <v>8136</v>
      </c>
      <c r="G595" s="134">
        <f t="shared" si="73"/>
        <v>1</v>
      </c>
      <c r="H595" s="134" t="str">
        <f t="shared" si="74"/>
        <v/>
      </c>
      <c r="I595" s="7" t="s">
        <v>158</v>
      </c>
      <c r="J595" s="7" t="s">
        <v>2</v>
      </c>
      <c r="K595" s="7"/>
      <c r="L595" s="7"/>
      <c r="M595" s="7"/>
      <c r="N595" s="7" t="s">
        <v>170</v>
      </c>
      <c r="O595" s="7" t="s">
        <v>162</v>
      </c>
      <c r="P595" s="7" t="s">
        <v>6588</v>
      </c>
      <c r="Q595" s="129">
        <v>46199</v>
      </c>
      <c r="R595" s="130">
        <f t="shared" si="72"/>
        <v>46205</v>
      </c>
      <c r="S595" s="131">
        <f t="shared" si="77"/>
        <v>6</v>
      </c>
      <c r="T595" s="7" t="s">
        <v>182</v>
      </c>
      <c r="U595" s="7" t="s">
        <v>281</v>
      </c>
      <c r="V595" s="7"/>
      <c r="W595" s="7"/>
      <c r="X595" s="132">
        <f t="shared" si="75"/>
        <v>10</v>
      </c>
      <c r="Y595" s="133"/>
      <c r="Z595" s="133"/>
      <c r="AA595" s="133"/>
    </row>
    <row r="596" spans="1:27" hidden="1" x14ac:dyDescent="0.25">
      <c r="A596" s="127">
        <v>687</v>
      </c>
      <c r="B596" s="128" t="str">
        <f t="shared" si="76"/>
        <v>YGQT</v>
      </c>
      <c r="C596" s="128" t="str">
        <f>+VLOOKUP(U596,Ходим!A:B,2,0)</f>
        <v>31108942160081</v>
      </c>
      <c r="D596" s="128" t="str">
        <f>IFERROR(VLOOKUP($B:$B,[20]свод!$A:$AB,3,0)," ")</f>
        <v>Янгиқўрғон тумани</v>
      </c>
      <c r="E596" s="7" t="s">
        <v>1738</v>
      </c>
      <c r="F596" s="7" t="s">
        <v>8137</v>
      </c>
      <c r="G596" s="134">
        <f t="shared" si="73"/>
        <v>1</v>
      </c>
      <c r="H596" s="134" t="str">
        <f t="shared" si="74"/>
        <v/>
      </c>
      <c r="I596" s="7" t="s">
        <v>158</v>
      </c>
      <c r="J596" s="7" t="s">
        <v>36</v>
      </c>
      <c r="K596" s="7"/>
      <c r="L596" s="7" t="s">
        <v>167</v>
      </c>
      <c r="M596" s="7" t="s">
        <v>4595</v>
      </c>
      <c r="N596" s="7" t="s">
        <v>170</v>
      </c>
      <c r="O596" s="7" t="s">
        <v>162</v>
      </c>
      <c r="P596" s="7" t="s">
        <v>6588</v>
      </c>
      <c r="Q596" s="129">
        <v>46199</v>
      </c>
      <c r="R596" s="130">
        <f t="shared" si="72"/>
        <v>46205</v>
      </c>
      <c r="S596" s="131">
        <f t="shared" si="77"/>
        <v>6</v>
      </c>
      <c r="T596" s="7" t="s">
        <v>182</v>
      </c>
      <c r="U596" s="7" t="s">
        <v>228</v>
      </c>
      <c r="V596" s="7"/>
      <c r="W596" s="7">
        <v>551.41</v>
      </c>
      <c r="X596" s="132">
        <f t="shared" si="75"/>
        <v>10</v>
      </c>
      <c r="Y596" s="133"/>
      <c r="Z596" s="133"/>
      <c r="AA596" s="133"/>
    </row>
    <row r="597" spans="1:27" hidden="1" x14ac:dyDescent="0.25">
      <c r="A597" s="127">
        <v>688</v>
      </c>
      <c r="B597" s="128" t="str">
        <f t="shared" si="76"/>
        <v>YGQT</v>
      </c>
      <c r="C597" s="128" t="str">
        <f>+VLOOKUP(U597,Ходим!A:B,2,0)</f>
        <v>30903902160122</v>
      </c>
      <c r="D597" s="128" t="str">
        <f>IFERROR(VLOOKUP($B:$B,[20]свод!$A:$AB,3,0)," ")</f>
        <v>Янгиқўрғон тумани</v>
      </c>
      <c r="E597" s="7" t="s">
        <v>1739</v>
      </c>
      <c r="F597" s="7" t="s">
        <v>8138</v>
      </c>
      <c r="G597" s="134">
        <f t="shared" si="73"/>
        <v>1</v>
      </c>
      <c r="H597" s="134" t="str">
        <f t="shared" si="74"/>
        <v/>
      </c>
      <c r="I597" s="7" t="s">
        <v>158</v>
      </c>
      <c r="J597" s="7" t="s">
        <v>2</v>
      </c>
      <c r="K597" s="7"/>
      <c r="L597" s="7" t="s">
        <v>167</v>
      </c>
      <c r="M597" s="7" t="s">
        <v>4596</v>
      </c>
      <c r="N597" s="7" t="s">
        <v>170</v>
      </c>
      <c r="O597" s="7" t="s">
        <v>162</v>
      </c>
      <c r="P597" s="7" t="s">
        <v>6588</v>
      </c>
      <c r="Q597" s="129">
        <v>46199</v>
      </c>
      <c r="R597" s="130">
        <f t="shared" si="72"/>
        <v>46205</v>
      </c>
      <c r="S597" s="131">
        <f t="shared" si="77"/>
        <v>6</v>
      </c>
      <c r="T597" s="7" t="s">
        <v>255</v>
      </c>
      <c r="U597" s="7" t="s">
        <v>230</v>
      </c>
      <c r="V597" s="7"/>
      <c r="W597" s="7">
        <v>263.29000000000002</v>
      </c>
      <c r="X597" s="132">
        <f t="shared" si="75"/>
        <v>10</v>
      </c>
      <c r="Y597" s="133"/>
      <c r="Z597" s="133"/>
      <c r="AA597" s="133"/>
    </row>
    <row r="598" spans="1:27" hidden="1" x14ac:dyDescent="0.25">
      <c r="A598" s="127">
        <v>689</v>
      </c>
      <c r="B598" s="128" t="str">
        <f t="shared" si="76"/>
        <v>UYCT</v>
      </c>
      <c r="C598" s="128" t="str">
        <f>+VLOOKUP(U598,Ходим!A:B,2,0)</f>
        <v>52811025930077</v>
      </c>
      <c r="D598" s="128" t="str">
        <f>IFERROR(VLOOKUP($B:$B,[20]свод!$A:$AB,3,0)," ")</f>
        <v>Уйчи тумани</v>
      </c>
      <c r="E598" s="7" t="s">
        <v>1740</v>
      </c>
      <c r="F598" s="7" t="s">
        <v>8139</v>
      </c>
      <c r="G598" s="134">
        <f t="shared" si="73"/>
        <v>1</v>
      </c>
      <c r="H598" s="134" t="str">
        <f t="shared" si="74"/>
        <v/>
      </c>
      <c r="I598" s="7" t="s">
        <v>158</v>
      </c>
      <c r="J598" s="7" t="s">
        <v>2</v>
      </c>
      <c r="K598" s="7"/>
      <c r="L598" s="7" t="s">
        <v>167</v>
      </c>
      <c r="M598" s="7" t="s">
        <v>386</v>
      </c>
      <c r="N598" s="7" t="s">
        <v>170</v>
      </c>
      <c r="O598" s="7" t="s">
        <v>162</v>
      </c>
      <c r="P598" s="7" t="s">
        <v>6589</v>
      </c>
      <c r="Q598" s="129">
        <v>46199</v>
      </c>
      <c r="R598" s="130">
        <f t="shared" si="72"/>
        <v>46211</v>
      </c>
      <c r="S598" s="131">
        <f t="shared" si="77"/>
        <v>12</v>
      </c>
      <c r="T598" s="7" t="s">
        <v>947</v>
      </c>
      <c r="U598" s="7" t="s">
        <v>356</v>
      </c>
      <c r="V598" s="7"/>
      <c r="W598" s="7">
        <v>0</v>
      </c>
      <c r="X598" s="132">
        <f t="shared" si="75"/>
        <v>10</v>
      </c>
      <c r="Y598" s="133"/>
      <c r="Z598" s="133"/>
      <c r="AA598" s="133"/>
    </row>
    <row r="599" spans="1:27" hidden="1" x14ac:dyDescent="0.25">
      <c r="A599" s="127">
        <v>690</v>
      </c>
      <c r="B599" s="128" t="str">
        <f t="shared" si="76"/>
        <v>YGQT</v>
      </c>
      <c r="C599" s="128" t="str">
        <f>+VLOOKUP(U599,Ходим!A:B,2,0)</f>
        <v>52802005950028</v>
      </c>
      <c r="D599" s="128" t="str">
        <f>IFERROR(VLOOKUP($B:$B,[20]свод!$A:$AB,3,0)," ")</f>
        <v>Янгиқўрғон тумани</v>
      </c>
      <c r="E599" s="7" t="s">
        <v>1741</v>
      </c>
      <c r="F599" s="7" t="s">
        <v>8140</v>
      </c>
      <c r="G599" s="134">
        <f t="shared" si="73"/>
        <v>1</v>
      </c>
      <c r="H599" s="134" t="str">
        <f t="shared" si="74"/>
        <v/>
      </c>
      <c r="I599" s="7" t="s">
        <v>158</v>
      </c>
      <c r="J599" s="7" t="s">
        <v>29</v>
      </c>
      <c r="K599" s="7"/>
      <c r="L599" s="7" t="s">
        <v>169</v>
      </c>
      <c r="M599" s="7" t="s">
        <v>382</v>
      </c>
      <c r="N599" s="7" t="s">
        <v>170</v>
      </c>
      <c r="O599" s="7" t="s">
        <v>162</v>
      </c>
      <c r="P599" s="7" t="s">
        <v>6588</v>
      </c>
      <c r="Q599" s="129">
        <v>46199</v>
      </c>
      <c r="R599" s="130">
        <f t="shared" si="72"/>
        <v>46202</v>
      </c>
      <c r="S599" s="131">
        <f t="shared" si="77"/>
        <v>3</v>
      </c>
      <c r="T599" s="7" t="s">
        <v>182</v>
      </c>
      <c r="U599" s="7" t="s">
        <v>281</v>
      </c>
      <c r="V599" s="7"/>
      <c r="W599" s="7">
        <v>0</v>
      </c>
      <c r="X599" s="132">
        <f t="shared" si="75"/>
        <v>7</v>
      </c>
      <c r="Y599" s="133"/>
      <c r="Z599" s="133"/>
      <c r="AA599" s="133"/>
    </row>
    <row r="600" spans="1:27" hidden="1" x14ac:dyDescent="0.25">
      <c r="A600" s="127">
        <v>691</v>
      </c>
      <c r="B600" s="128" t="str">
        <f t="shared" si="76"/>
        <v>YGQT</v>
      </c>
      <c r="C600" s="128" t="str">
        <f>+VLOOKUP(U600,Ходим!A:B,2,0)</f>
        <v>31005985950058</v>
      </c>
      <c r="D600" s="128" t="str">
        <f>IFERROR(VLOOKUP($B:$B,[20]свод!$A:$AB,3,0)," ")</f>
        <v>Янгиқўрғон тумани</v>
      </c>
      <c r="E600" s="7" t="s">
        <v>1742</v>
      </c>
      <c r="F600" s="7" t="s">
        <v>8141</v>
      </c>
      <c r="G600" s="134">
        <f t="shared" si="73"/>
        <v>1</v>
      </c>
      <c r="H600" s="134" t="str">
        <f t="shared" si="74"/>
        <v/>
      </c>
      <c r="I600" s="7" t="s">
        <v>158</v>
      </c>
      <c r="J600" s="7" t="s">
        <v>2</v>
      </c>
      <c r="K600" s="7"/>
      <c r="L600" s="7" t="s">
        <v>167</v>
      </c>
      <c r="M600" s="7" t="s">
        <v>4597</v>
      </c>
      <c r="N600" s="7" t="s">
        <v>170</v>
      </c>
      <c r="O600" s="7" t="s">
        <v>162</v>
      </c>
      <c r="P600" s="7" t="s">
        <v>6588</v>
      </c>
      <c r="Q600" s="129">
        <v>46199</v>
      </c>
      <c r="R600" s="130">
        <f t="shared" si="72"/>
        <v>46205</v>
      </c>
      <c r="S600" s="131">
        <f t="shared" si="77"/>
        <v>6</v>
      </c>
      <c r="T600" s="7" t="s">
        <v>255</v>
      </c>
      <c r="U600" s="7" t="s">
        <v>311</v>
      </c>
      <c r="V600" s="7"/>
      <c r="W600" s="7">
        <v>189.66</v>
      </c>
      <c r="X600" s="132">
        <f t="shared" si="75"/>
        <v>10</v>
      </c>
      <c r="Y600" s="133"/>
      <c r="Z600" s="133"/>
      <c r="AA600" s="133"/>
    </row>
    <row r="601" spans="1:27" hidden="1" x14ac:dyDescent="0.25">
      <c r="A601" s="127">
        <v>692</v>
      </c>
      <c r="B601" s="128" t="str">
        <f t="shared" si="76"/>
        <v>NAMS</v>
      </c>
      <c r="C601" s="128" t="str">
        <f>+VLOOKUP(U601,Ходим!A:B,2,0)</f>
        <v>30809892160183</v>
      </c>
      <c r="D601" s="128" t="str">
        <f>IFERROR(VLOOKUP($B:$B,[20]свод!$A:$AB,3,0)," ")</f>
        <v>Наманган шаҳар</v>
      </c>
      <c r="E601" s="7" t="s">
        <v>1743</v>
      </c>
      <c r="F601" s="7" t="s">
        <v>8142</v>
      </c>
      <c r="G601" s="134">
        <f t="shared" si="73"/>
        <v>1</v>
      </c>
      <c r="H601" s="134" t="str">
        <f t="shared" si="74"/>
        <v/>
      </c>
      <c r="I601" s="7" t="s">
        <v>158</v>
      </c>
      <c r="J601" s="7" t="s">
        <v>172</v>
      </c>
      <c r="K601" s="7"/>
      <c r="L601" s="7" t="s">
        <v>167</v>
      </c>
      <c r="M601" s="7" t="s">
        <v>4598</v>
      </c>
      <c r="N601" s="7" t="s">
        <v>170</v>
      </c>
      <c r="O601" s="7" t="s">
        <v>163</v>
      </c>
      <c r="P601" s="7" t="s">
        <v>6588</v>
      </c>
      <c r="Q601" s="129">
        <v>46199</v>
      </c>
      <c r="R601" s="130">
        <f t="shared" si="72"/>
        <v>46205</v>
      </c>
      <c r="S601" s="131">
        <f t="shared" si="77"/>
        <v>6</v>
      </c>
      <c r="T601" s="7" t="s">
        <v>173</v>
      </c>
      <c r="U601" s="7" t="s">
        <v>192</v>
      </c>
      <c r="V601" s="7"/>
      <c r="W601" s="7">
        <v>196.3</v>
      </c>
      <c r="X601" s="132">
        <f t="shared" si="75"/>
        <v>10</v>
      </c>
      <c r="Y601" s="133"/>
      <c r="Z601" s="133"/>
      <c r="AA601" s="133"/>
    </row>
    <row r="602" spans="1:27" hidden="1" x14ac:dyDescent="0.25">
      <c r="A602" s="127">
        <v>693</v>
      </c>
      <c r="B602" s="128" t="str">
        <f t="shared" si="76"/>
        <v>YGQT</v>
      </c>
      <c r="C602" s="128" t="str">
        <f>+VLOOKUP(U602,Ходим!A:B,2,0)</f>
        <v>50710015950029</v>
      </c>
      <c r="D602" s="128" t="str">
        <f>IFERROR(VLOOKUP($B:$B,[20]свод!$A:$AB,3,0)," ")</f>
        <v>Янгиқўрғон тумани</v>
      </c>
      <c r="E602" s="7" t="s">
        <v>1744</v>
      </c>
      <c r="F602" s="7" t="s">
        <v>8143</v>
      </c>
      <c r="G602" s="134">
        <f t="shared" si="73"/>
        <v>1</v>
      </c>
      <c r="H602" s="134" t="str">
        <f t="shared" si="74"/>
        <v/>
      </c>
      <c r="I602" s="7" t="s">
        <v>158</v>
      </c>
      <c r="J602" s="7" t="s">
        <v>1</v>
      </c>
      <c r="K602" s="7"/>
      <c r="L602" s="7" t="s">
        <v>167</v>
      </c>
      <c r="M602" s="7" t="s">
        <v>4599</v>
      </c>
      <c r="N602" s="7" t="s">
        <v>170</v>
      </c>
      <c r="O602" s="7" t="s">
        <v>162</v>
      </c>
      <c r="P602" s="7" t="s">
        <v>6588</v>
      </c>
      <c r="Q602" s="129">
        <v>46199</v>
      </c>
      <c r="R602" s="130">
        <f t="shared" si="72"/>
        <v>46205</v>
      </c>
      <c r="S602" s="131">
        <f t="shared" si="77"/>
        <v>6</v>
      </c>
      <c r="T602" s="7" t="s">
        <v>255</v>
      </c>
      <c r="U602" s="7" t="s">
        <v>312</v>
      </c>
      <c r="V602" s="7"/>
      <c r="W602" s="7">
        <v>500.21</v>
      </c>
      <c r="X602" s="132">
        <f t="shared" si="75"/>
        <v>10</v>
      </c>
      <c r="Y602" s="133"/>
      <c r="Z602" s="133"/>
      <c r="AA602" s="133"/>
    </row>
    <row r="603" spans="1:27" hidden="1" x14ac:dyDescent="0.25">
      <c r="A603" s="127">
        <v>694</v>
      </c>
      <c r="B603" s="128" t="str">
        <f t="shared" si="76"/>
        <v>KSST</v>
      </c>
      <c r="C603" s="128" t="str">
        <f>+VLOOKUP(U603,Ходим!A:B,2,0)</f>
        <v>50709025980034</v>
      </c>
      <c r="D603" s="128" t="str">
        <f>IFERROR(VLOOKUP($B:$B,[20]свод!$A:$AB,3,0)," ")</f>
        <v>Косонсой тумани</v>
      </c>
      <c r="E603" s="7" t="s">
        <v>1745</v>
      </c>
      <c r="F603" s="7" t="s">
        <v>8144</v>
      </c>
      <c r="G603" s="134">
        <f t="shared" si="73"/>
        <v>1</v>
      </c>
      <c r="H603" s="134" t="str">
        <f t="shared" si="74"/>
        <v/>
      </c>
      <c r="I603" s="7" t="s">
        <v>158</v>
      </c>
      <c r="J603" s="7" t="s">
        <v>172</v>
      </c>
      <c r="K603" s="7"/>
      <c r="L603" s="7" t="s">
        <v>167</v>
      </c>
      <c r="M603" s="7" t="s">
        <v>4600</v>
      </c>
      <c r="N603" s="7" t="s">
        <v>170</v>
      </c>
      <c r="O603" s="7" t="s">
        <v>162</v>
      </c>
      <c r="P603" s="7" t="s">
        <v>6557</v>
      </c>
      <c r="Q603" s="129">
        <v>46199</v>
      </c>
      <c r="R603" s="130">
        <f t="shared" si="72"/>
        <v>46211</v>
      </c>
      <c r="S603" s="131">
        <f t="shared" si="77"/>
        <v>12</v>
      </c>
      <c r="T603" s="7" t="s">
        <v>180</v>
      </c>
      <c r="U603" s="7" t="s">
        <v>286</v>
      </c>
      <c r="V603" s="7"/>
      <c r="W603" s="7">
        <v>206.01</v>
      </c>
      <c r="X603" s="132">
        <f t="shared" si="75"/>
        <v>10</v>
      </c>
      <c r="Y603" s="133"/>
      <c r="Z603" s="133"/>
      <c r="AA603" s="133"/>
    </row>
    <row r="604" spans="1:27" hidden="1" x14ac:dyDescent="0.25">
      <c r="A604" s="127">
        <v>695</v>
      </c>
      <c r="B604" s="128" t="str">
        <f t="shared" si="76"/>
        <v>NAMT</v>
      </c>
      <c r="C604" s="128">
        <f>+VLOOKUP(U604,Ходим!A:B,2,0)</f>
        <v>52908045880018</v>
      </c>
      <c r="D604" s="128" t="str">
        <f>IFERROR(VLOOKUP($B:$B,[20]свод!$A:$AB,3,0)," ")</f>
        <v>Наманган тумани</v>
      </c>
      <c r="E604" s="7" t="s">
        <v>1746</v>
      </c>
      <c r="F604" s="7" t="s">
        <v>8145</v>
      </c>
      <c r="G604" s="134">
        <f t="shared" si="73"/>
        <v>1</v>
      </c>
      <c r="H604" s="134" t="str">
        <f t="shared" si="74"/>
        <v/>
      </c>
      <c r="I604" s="7" t="s">
        <v>158</v>
      </c>
      <c r="J604" s="7" t="s">
        <v>13</v>
      </c>
      <c r="K604" s="7"/>
      <c r="L604" s="7" t="s">
        <v>167</v>
      </c>
      <c r="M604" s="7" t="s">
        <v>1049</v>
      </c>
      <c r="N604" s="7" t="s">
        <v>410</v>
      </c>
      <c r="O604" s="7" t="s">
        <v>162</v>
      </c>
      <c r="P604" s="7" t="s">
        <v>6569</v>
      </c>
      <c r="Q604" s="129">
        <v>46199</v>
      </c>
      <c r="R604" s="130">
        <f t="shared" si="72"/>
        <v>46205</v>
      </c>
      <c r="S604" s="131">
        <f t="shared" si="77"/>
        <v>6</v>
      </c>
      <c r="T604" s="7" t="s">
        <v>193</v>
      </c>
      <c r="U604" s="7" t="s">
        <v>982</v>
      </c>
      <c r="V604" s="7"/>
      <c r="W604" s="7">
        <v>257.33999999999997</v>
      </c>
      <c r="X604" s="132">
        <f t="shared" si="75"/>
        <v>10</v>
      </c>
      <c r="Y604" s="133"/>
      <c r="Z604" s="133"/>
      <c r="AA604" s="133"/>
    </row>
    <row r="605" spans="1:27" hidden="1" x14ac:dyDescent="0.25">
      <c r="A605" s="127">
        <v>697</v>
      </c>
      <c r="B605" s="128" t="str">
        <f t="shared" si="76"/>
        <v>CHUT</v>
      </c>
      <c r="C605" s="128" t="str">
        <f>+VLOOKUP(U605,Ходим!A:B,2,0)</f>
        <v>52801005970043</v>
      </c>
      <c r="D605" s="128" t="str">
        <f>IFERROR(VLOOKUP($B:$B,[20]свод!$A:$AB,3,0)," ")</f>
        <v>Чуст тумани</v>
      </c>
      <c r="E605" s="7" t="s">
        <v>1747</v>
      </c>
      <c r="F605" s="7" t="s">
        <v>8146</v>
      </c>
      <c r="G605" s="134">
        <f t="shared" si="73"/>
        <v>1</v>
      </c>
      <c r="H605" s="134" t="str">
        <f t="shared" si="74"/>
        <v/>
      </c>
      <c r="I605" s="7" t="s">
        <v>156</v>
      </c>
      <c r="J605" s="7" t="s">
        <v>22</v>
      </c>
      <c r="K605" s="7"/>
      <c r="L605" s="7" t="s">
        <v>167</v>
      </c>
      <c r="M605" s="7" t="s">
        <v>4601</v>
      </c>
      <c r="N605" s="7" t="s">
        <v>170</v>
      </c>
      <c r="O605" s="7" t="s">
        <v>162</v>
      </c>
      <c r="P605" s="7" t="s">
        <v>6572</v>
      </c>
      <c r="Q605" s="129">
        <v>46199</v>
      </c>
      <c r="R605" s="130">
        <f t="shared" si="72"/>
        <v>46211</v>
      </c>
      <c r="S605" s="131">
        <f t="shared" si="77"/>
        <v>12</v>
      </c>
      <c r="T605" s="7" t="s">
        <v>178</v>
      </c>
      <c r="U605" s="7" t="s">
        <v>387</v>
      </c>
      <c r="V605" s="7"/>
      <c r="W605" s="7">
        <v>377.89</v>
      </c>
      <c r="X605" s="132">
        <f t="shared" si="75"/>
        <v>10</v>
      </c>
      <c r="Y605" s="133"/>
      <c r="Z605" s="133"/>
      <c r="AA605" s="133"/>
    </row>
    <row r="606" spans="1:27" hidden="1" x14ac:dyDescent="0.25">
      <c r="A606" s="127">
        <v>699</v>
      </c>
      <c r="B606" s="128" t="str">
        <f t="shared" si="76"/>
        <v>NAMS</v>
      </c>
      <c r="C606" s="128" t="str">
        <f>+VLOOKUP(U606,Ходим!A:B,2,0)</f>
        <v>52503015960039</v>
      </c>
      <c r="D606" s="128" t="str">
        <f>IFERROR(VLOOKUP($B:$B,[20]свод!$A:$AB,3,0)," ")</f>
        <v>Наманган шаҳар</v>
      </c>
      <c r="E606" s="7" t="s">
        <v>1748</v>
      </c>
      <c r="F606" s="7" t="s">
        <v>8147</v>
      </c>
      <c r="G606" s="134">
        <f t="shared" si="73"/>
        <v>1</v>
      </c>
      <c r="H606" s="134" t="str">
        <f t="shared" si="74"/>
        <v/>
      </c>
      <c r="I606" s="7" t="s">
        <v>156</v>
      </c>
      <c r="J606" s="7" t="s">
        <v>25</v>
      </c>
      <c r="K606" s="7"/>
      <c r="L606" s="7"/>
      <c r="M606" s="7"/>
      <c r="N606" s="7" t="s">
        <v>170</v>
      </c>
      <c r="O606" s="7" t="s">
        <v>162</v>
      </c>
      <c r="P606" s="7" t="s">
        <v>6572</v>
      </c>
      <c r="Q606" s="129">
        <v>46199</v>
      </c>
      <c r="R606" s="130">
        <f t="shared" si="72"/>
        <v>46211</v>
      </c>
      <c r="S606" s="131">
        <f t="shared" si="77"/>
        <v>12</v>
      </c>
      <c r="T606" s="7" t="s">
        <v>173</v>
      </c>
      <c r="U606" s="7" t="s">
        <v>246</v>
      </c>
      <c r="V606" s="7"/>
      <c r="W606" s="7"/>
      <c r="X606" s="132">
        <f t="shared" si="75"/>
        <v>10</v>
      </c>
      <c r="Y606" s="133"/>
      <c r="Z606" s="133"/>
      <c r="AA606" s="133"/>
    </row>
    <row r="607" spans="1:27" hidden="1" x14ac:dyDescent="0.25">
      <c r="A607" s="127">
        <v>700</v>
      </c>
      <c r="B607" s="128" t="str">
        <f t="shared" si="76"/>
        <v>UYCT</v>
      </c>
      <c r="C607" s="128" t="str">
        <f>+VLOOKUP(U607,Ходим!A:B,2,0)</f>
        <v>31007942140083</v>
      </c>
      <c r="D607" s="128" t="str">
        <f>IFERROR(VLOOKUP($B:$B,[20]свод!$A:$AB,3,0)," ")</f>
        <v>Уйчи тумани</v>
      </c>
      <c r="E607" s="7" t="s">
        <v>1749</v>
      </c>
      <c r="F607" s="7" t="s">
        <v>8148</v>
      </c>
      <c r="G607" s="134">
        <f t="shared" si="73"/>
        <v>1</v>
      </c>
      <c r="H607" s="134" t="str">
        <f t="shared" si="74"/>
        <v/>
      </c>
      <c r="I607" s="7" t="s">
        <v>158</v>
      </c>
      <c r="J607" s="7" t="s">
        <v>2</v>
      </c>
      <c r="K607" s="7"/>
      <c r="L607" s="7" t="s">
        <v>167</v>
      </c>
      <c r="M607" s="7" t="s">
        <v>4602</v>
      </c>
      <c r="N607" s="7" t="s">
        <v>170</v>
      </c>
      <c r="O607" s="7" t="s">
        <v>162</v>
      </c>
      <c r="P607" s="7" t="s">
        <v>6481</v>
      </c>
      <c r="Q607" s="129">
        <v>46199</v>
      </c>
      <c r="R607" s="130">
        <f t="shared" si="72"/>
        <v>46211</v>
      </c>
      <c r="S607" s="131">
        <f t="shared" si="77"/>
        <v>12</v>
      </c>
      <c r="T607" s="7" t="s">
        <v>947</v>
      </c>
      <c r="U607" s="7" t="s">
        <v>263</v>
      </c>
      <c r="V607" s="7"/>
      <c r="W607" s="7">
        <v>16</v>
      </c>
      <c r="X607" s="132">
        <f t="shared" si="75"/>
        <v>10</v>
      </c>
      <c r="Y607" s="133"/>
      <c r="Z607" s="133"/>
      <c r="AA607" s="133"/>
    </row>
    <row r="608" spans="1:27" hidden="1" x14ac:dyDescent="0.25">
      <c r="A608" s="127">
        <v>701</v>
      </c>
      <c r="B608" s="128" t="str">
        <f t="shared" si="76"/>
        <v>NAMS</v>
      </c>
      <c r="C608" s="128" t="str">
        <f>+VLOOKUP(U608,Ходим!A:B,2,0)</f>
        <v>51705025890024</v>
      </c>
      <c r="D608" s="128" t="str">
        <f>IFERROR(VLOOKUP($B:$B,[20]свод!$A:$AB,3,0)," ")</f>
        <v>Наманган шаҳар</v>
      </c>
      <c r="E608" s="7" t="s">
        <v>1750</v>
      </c>
      <c r="F608" s="7" t="s">
        <v>8149</v>
      </c>
      <c r="G608" s="134">
        <f t="shared" si="73"/>
        <v>1</v>
      </c>
      <c r="H608" s="134" t="str">
        <f t="shared" si="74"/>
        <v/>
      </c>
      <c r="I608" s="7" t="s">
        <v>158</v>
      </c>
      <c r="J608" s="7" t="s">
        <v>12</v>
      </c>
      <c r="K608" s="7"/>
      <c r="L608" s="7" t="s">
        <v>167</v>
      </c>
      <c r="M608" s="7" t="s">
        <v>4603</v>
      </c>
      <c r="N608" s="7" t="s">
        <v>170</v>
      </c>
      <c r="O608" s="7" t="s">
        <v>162</v>
      </c>
      <c r="P608" s="7" t="s">
        <v>6590</v>
      </c>
      <c r="Q608" s="129">
        <v>46199</v>
      </c>
      <c r="R608" s="130">
        <f t="shared" si="72"/>
        <v>46206</v>
      </c>
      <c r="S608" s="131">
        <f t="shared" si="77"/>
        <v>7</v>
      </c>
      <c r="T608" s="7" t="s">
        <v>173</v>
      </c>
      <c r="U608" s="7" t="s">
        <v>189</v>
      </c>
      <c r="V608" s="7"/>
      <c r="W608" s="7">
        <v>283.07</v>
      </c>
      <c r="X608" s="132">
        <f t="shared" si="75"/>
        <v>10</v>
      </c>
      <c r="Y608" s="133"/>
      <c r="Z608" s="133"/>
      <c r="AA608" s="133"/>
    </row>
    <row r="609" spans="1:27" hidden="1" x14ac:dyDescent="0.25">
      <c r="A609" s="127">
        <v>702</v>
      </c>
      <c r="B609" s="128" t="str">
        <f t="shared" si="76"/>
        <v>UYCT</v>
      </c>
      <c r="C609" s="128" t="str">
        <f>+VLOOKUP(U609,Ходим!A:B,2,0)</f>
        <v>32002975930037</v>
      </c>
      <c r="D609" s="128" t="str">
        <f>IFERROR(VLOOKUP($B:$B,[20]свод!$A:$AB,3,0)," ")</f>
        <v>Уйчи тумани</v>
      </c>
      <c r="E609" s="7" t="s">
        <v>1751</v>
      </c>
      <c r="F609" s="7" t="s">
        <v>8150</v>
      </c>
      <c r="G609" s="134" t="str">
        <f t="shared" si="73"/>
        <v/>
      </c>
      <c r="H609" s="134">
        <f t="shared" si="74"/>
        <v>1</v>
      </c>
      <c r="I609" s="7" t="s">
        <v>155</v>
      </c>
      <c r="J609" s="7" t="s">
        <v>23</v>
      </c>
      <c r="K609" s="7"/>
      <c r="L609" s="7"/>
      <c r="M609" s="7"/>
      <c r="N609" s="7" t="s">
        <v>170</v>
      </c>
      <c r="O609" s="7" t="s">
        <v>161</v>
      </c>
      <c r="P609" s="7" t="s">
        <v>6575</v>
      </c>
      <c r="Q609" s="129">
        <v>46199</v>
      </c>
      <c r="R609" s="130">
        <f t="shared" si="72"/>
        <v>46205</v>
      </c>
      <c r="S609" s="131">
        <f t="shared" si="77"/>
        <v>6</v>
      </c>
      <c r="T609" s="7" t="s">
        <v>947</v>
      </c>
      <c r="U609" s="7" t="s">
        <v>260</v>
      </c>
      <c r="V609" s="7"/>
      <c r="W609" s="7"/>
      <c r="X609" s="132">
        <f t="shared" si="75"/>
        <v>10</v>
      </c>
      <c r="Y609" s="133"/>
      <c r="Z609" s="133"/>
      <c r="AA609" s="133"/>
    </row>
    <row r="610" spans="1:27" hidden="1" x14ac:dyDescent="0.25">
      <c r="A610" s="127">
        <v>703</v>
      </c>
      <c r="B610" s="128" t="str">
        <f t="shared" si="76"/>
        <v>KSST</v>
      </c>
      <c r="C610" s="128" t="str">
        <f>+VLOOKUP(U610,Ходим!A:B,2,0)</f>
        <v>30703792190108</v>
      </c>
      <c r="D610" s="128" t="str">
        <f>IFERROR(VLOOKUP($B:$B,[20]свод!$A:$AB,3,0)," ")</f>
        <v>Косонсой тумани</v>
      </c>
      <c r="E610" s="7" t="s">
        <v>1752</v>
      </c>
      <c r="F610" s="7" t="s">
        <v>8151</v>
      </c>
      <c r="G610" s="134" t="str">
        <f t="shared" si="73"/>
        <v/>
      </c>
      <c r="H610" s="134">
        <f t="shared" si="74"/>
        <v>1</v>
      </c>
      <c r="I610" s="7" t="s">
        <v>157</v>
      </c>
      <c r="J610" s="7" t="s">
        <v>2</v>
      </c>
      <c r="K610" s="7"/>
      <c r="L610" s="7" t="s">
        <v>166</v>
      </c>
      <c r="M610" s="7" t="s">
        <v>1141</v>
      </c>
      <c r="N610" s="7" t="s">
        <v>170</v>
      </c>
      <c r="O610" s="7" t="s">
        <v>161</v>
      </c>
      <c r="P610" s="7" t="s">
        <v>6591</v>
      </c>
      <c r="Q610" s="129">
        <v>46199</v>
      </c>
      <c r="R610" s="130">
        <f t="shared" si="72"/>
        <v>46205</v>
      </c>
      <c r="S610" s="131">
        <f t="shared" si="77"/>
        <v>6</v>
      </c>
      <c r="T610" s="7" t="s">
        <v>180</v>
      </c>
      <c r="U610" s="7" t="s">
        <v>231</v>
      </c>
      <c r="V610" s="7"/>
      <c r="W610" s="7">
        <v>0</v>
      </c>
      <c r="X610" s="132">
        <f t="shared" si="75"/>
        <v>10</v>
      </c>
      <c r="Y610" s="133"/>
      <c r="Z610" s="133"/>
      <c r="AA610" s="133"/>
    </row>
    <row r="611" spans="1:27" hidden="1" x14ac:dyDescent="0.25">
      <c r="A611" s="127">
        <v>704</v>
      </c>
      <c r="B611" s="128" t="str">
        <f t="shared" si="76"/>
        <v>YGQT</v>
      </c>
      <c r="C611" s="128" t="str">
        <f>+VLOOKUP(U611,Ходим!A:B,2,0)</f>
        <v>52010015950028</v>
      </c>
      <c r="D611" s="128" t="str">
        <f>IFERROR(VLOOKUP($B:$B,[20]свод!$A:$AB,3,0)," ")</f>
        <v>Янгиқўрғон тумани</v>
      </c>
      <c r="E611" s="7" t="s">
        <v>1753</v>
      </c>
      <c r="F611" s="7" t="s">
        <v>8152</v>
      </c>
      <c r="G611" s="134">
        <f t="shared" si="73"/>
        <v>1</v>
      </c>
      <c r="H611" s="134" t="str">
        <f t="shared" si="74"/>
        <v/>
      </c>
      <c r="I611" s="7" t="s">
        <v>158</v>
      </c>
      <c r="J611" s="7" t="s">
        <v>2</v>
      </c>
      <c r="K611" s="7"/>
      <c r="L611" s="7"/>
      <c r="M611" s="7"/>
      <c r="N611" s="7" t="s">
        <v>170</v>
      </c>
      <c r="O611" s="7" t="s">
        <v>162</v>
      </c>
      <c r="P611" s="7" t="s">
        <v>6591</v>
      </c>
      <c r="Q611" s="129">
        <v>46199</v>
      </c>
      <c r="R611" s="130">
        <f t="shared" si="72"/>
        <v>46205</v>
      </c>
      <c r="S611" s="131">
        <f t="shared" si="77"/>
        <v>6</v>
      </c>
      <c r="T611" s="7" t="s">
        <v>255</v>
      </c>
      <c r="U611" s="7" t="s">
        <v>391</v>
      </c>
      <c r="V611" s="7"/>
      <c r="W611" s="7"/>
      <c r="X611" s="132">
        <f t="shared" si="75"/>
        <v>10</v>
      </c>
      <c r="Y611" s="133"/>
      <c r="Z611" s="133"/>
      <c r="AA611" s="133"/>
    </row>
    <row r="612" spans="1:27" hidden="1" x14ac:dyDescent="0.25">
      <c r="A612" s="127">
        <v>705</v>
      </c>
      <c r="B612" s="128" t="str">
        <f t="shared" si="76"/>
        <v>NAMS</v>
      </c>
      <c r="C612" s="128" t="str">
        <f>+VLOOKUP(U612,Ходим!A:B,2,0)</f>
        <v>30108932170088</v>
      </c>
      <c r="D612" s="128" t="str">
        <f>IFERROR(VLOOKUP($B:$B,[20]свод!$A:$AB,3,0)," ")</f>
        <v>Наманган шаҳар</v>
      </c>
      <c r="E612" s="7" t="s">
        <v>1754</v>
      </c>
      <c r="F612" s="7" t="s">
        <v>8153</v>
      </c>
      <c r="G612" s="134">
        <f t="shared" si="73"/>
        <v>1</v>
      </c>
      <c r="H612" s="134" t="str">
        <f t="shared" si="74"/>
        <v/>
      </c>
      <c r="I612" s="7" t="s">
        <v>156</v>
      </c>
      <c r="J612" s="7" t="s">
        <v>25</v>
      </c>
      <c r="K612" s="7"/>
      <c r="L612" s="7"/>
      <c r="M612" s="7"/>
      <c r="N612" s="7" t="s">
        <v>170</v>
      </c>
      <c r="O612" s="7" t="s">
        <v>162</v>
      </c>
      <c r="P612" s="7" t="s">
        <v>6424</v>
      </c>
      <c r="Q612" s="129">
        <v>46199</v>
      </c>
      <c r="R612" s="130">
        <f t="shared" ref="R612:R668" si="78">WORKDAY(P612,X612,$Y$1:$AA$1)</f>
        <v>46211</v>
      </c>
      <c r="S612" s="131">
        <f t="shared" si="77"/>
        <v>12</v>
      </c>
      <c r="T612" s="7" t="s">
        <v>173</v>
      </c>
      <c r="U612" s="7" t="s">
        <v>329</v>
      </c>
      <c r="V612" s="7"/>
      <c r="W612" s="7"/>
      <c r="X612" s="132">
        <f t="shared" si="75"/>
        <v>10</v>
      </c>
      <c r="Y612" s="133"/>
      <c r="Z612" s="133"/>
      <c r="AA612" s="133"/>
    </row>
    <row r="613" spans="1:27" hidden="1" x14ac:dyDescent="0.25">
      <c r="A613" s="127">
        <v>707</v>
      </c>
      <c r="B613" s="128" t="str">
        <f t="shared" si="76"/>
        <v>UYCT</v>
      </c>
      <c r="C613" s="128" t="str">
        <f>+VLOOKUP(U613,Ходим!A:B,2,0)</f>
        <v>31007942140083</v>
      </c>
      <c r="D613" s="128" t="str">
        <f>IFERROR(VLOOKUP($B:$B,[20]свод!$A:$AB,3,0)," ")</f>
        <v>Уйчи тумани</v>
      </c>
      <c r="E613" s="7" t="s">
        <v>1755</v>
      </c>
      <c r="F613" s="7" t="s">
        <v>8154</v>
      </c>
      <c r="G613" s="134">
        <f t="shared" si="73"/>
        <v>1</v>
      </c>
      <c r="H613" s="134" t="str">
        <f t="shared" si="74"/>
        <v/>
      </c>
      <c r="I613" s="7" t="s">
        <v>158</v>
      </c>
      <c r="J613" s="7" t="s">
        <v>2</v>
      </c>
      <c r="K613" s="7"/>
      <c r="L613" s="7" t="s">
        <v>167</v>
      </c>
      <c r="M613" s="7" t="s">
        <v>4604</v>
      </c>
      <c r="N613" s="7" t="s">
        <v>410</v>
      </c>
      <c r="O613" s="7" t="s">
        <v>162</v>
      </c>
      <c r="P613" s="7" t="s">
        <v>6592</v>
      </c>
      <c r="Q613" s="129">
        <v>46199</v>
      </c>
      <c r="R613" s="130">
        <f t="shared" si="78"/>
        <v>46205</v>
      </c>
      <c r="S613" s="131">
        <f t="shared" si="77"/>
        <v>6</v>
      </c>
      <c r="T613" s="7" t="s">
        <v>379</v>
      </c>
      <c r="U613" s="7" t="s">
        <v>263</v>
      </c>
      <c r="V613" s="7"/>
      <c r="W613" s="7">
        <v>146.1</v>
      </c>
      <c r="X613" s="132">
        <f t="shared" si="75"/>
        <v>10</v>
      </c>
      <c r="Y613" s="133"/>
      <c r="Z613" s="133"/>
      <c r="AA613" s="133"/>
    </row>
    <row r="614" spans="1:27" hidden="1" x14ac:dyDescent="0.25">
      <c r="A614" s="127">
        <v>708</v>
      </c>
      <c r="B614" s="128" t="str">
        <f t="shared" si="76"/>
        <v>NAMS</v>
      </c>
      <c r="C614" s="128" t="str">
        <f>+VLOOKUP(U614,Ходим!A:B,2,0)</f>
        <v>32602902170105</v>
      </c>
      <c r="D614" s="128" t="str">
        <f>IFERROR(VLOOKUP($B:$B,[20]свод!$A:$AB,3,0)," ")</f>
        <v>Наманган шаҳар</v>
      </c>
      <c r="E614" s="7" t="s">
        <v>1756</v>
      </c>
      <c r="F614" s="7" t="s">
        <v>8155</v>
      </c>
      <c r="G614" s="134">
        <f t="shared" si="73"/>
        <v>1</v>
      </c>
      <c r="H614" s="134" t="str">
        <f t="shared" si="74"/>
        <v/>
      </c>
      <c r="I614" s="7" t="s">
        <v>156</v>
      </c>
      <c r="J614" s="7" t="s">
        <v>22</v>
      </c>
      <c r="K614" s="7"/>
      <c r="L614" s="7"/>
      <c r="M614" s="7"/>
      <c r="N614" s="7" t="s">
        <v>170</v>
      </c>
      <c r="O614" s="7" t="s">
        <v>162</v>
      </c>
      <c r="P614" s="7" t="s">
        <v>6399</v>
      </c>
      <c r="Q614" s="129">
        <v>46199</v>
      </c>
      <c r="R614" s="130">
        <f t="shared" si="78"/>
        <v>46211</v>
      </c>
      <c r="S614" s="131">
        <f t="shared" si="77"/>
        <v>12</v>
      </c>
      <c r="T614" s="7" t="s">
        <v>173</v>
      </c>
      <c r="U614" s="7" t="s">
        <v>247</v>
      </c>
      <c r="V614" s="7"/>
      <c r="W614" s="7"/>
      <c r="X614" s="132">
        <f t="shared" si="75"/>
        <v>10</v>
      </c>
      <c r="Y614" s="133"/>
      <c r="Z614" s="133"/>
      <c r="AA614" s="133"/>
    </row>
    <row r="615" spans="1:27" hidden="1" x14ac:dyDescent="0.25">
      <c r="A615" s="127">
        <v>709</v>
      </c>
      <c r="B615" s="128" t="str">
        <f t="shared" si="76"/>
        <v>NAMS</v>
      </c>
      <c r="C615" s="128" t="str">
        <f>+VLOOKUP(U615,Ходим!A:B,2,0)</f>
        <v>53008015960094</v>
      </c>
      <c r="D615" s="128" t="str">
        <f>IFERROR(VLOOKUP($B:$B,[20]свод!$A:$AB,3,0)," ")</f>
        <v>Наманган шаҳар</v>
      </c>
      <c r="E615" s="7" t="s">
        <v>1757</v>
      </c>
      <c r="F615" s="7" t="s">
        <v>8156</v>
      </c>
      <c r="G615" s="134">
        <f t="shared" ref="G615:G672" si="79">IF(OR(
I615="Turar joy obyektning kadastr pasportini shakllantirish va davlat ro'yxatidan o'tkazish",
I615="Turar kompozit"
),
1,
IF(OR(
I615="Noturar kompozit",
I615="Avtoyo'l va suv xo'jaligi obyektining kadastr pasportini shakllantirish va ro'yxatga olish",
I615="Noturar obyektning kadastr pasportining kadastr pasportini shakllantirish va davlat ro'yxatidan o'tkazish"
),
"",
IF(OR(
I615="Notarius uchun ma'lumotnoma (uz)",
I615="Qurilishi tugallangan ko'chmas mulkni foydalanishga qabul qilish",
I615="Umumiy foydalanishdagi ko'chmas mulk qismini yaratish",
I615="Registratsiya (tashqi - UZKAD da bor)"
),
IF(OR(L615="Turar yer maydoni",L615="Yakka tartibdagi turar joy"),1,
IF(L615="Noturar bino","",
IF(L615="Noturar yer maydoni","",
IF(L615="",IF(OR(O615="Turar joy xizmati",O615="Foydalanishga ruxsatnoma berish xizmati"),1,""),"")
))),
"")))</f>
        <v>1</v>
      </c>
      <c r="H615" s="134" t="str">
        <f t="shared" ref="H615:H672" si="80">IF(OR(
I615="Turar joy obyektning kadastr pasportini shakllantirish va davlat ro'yxatidan o'tkazish",
I615="Turar kompozit"
),
"",
IF(OR(
I615="Noturar kompozit",
I615="Avtoyo'l va suv xo'jaligi obyektining kadastr pasportini shakllantirish va ro'yxatga olish",
I615="Noturar obyektning kadastr pasportini shakllantirish va davlat ro'yxatidan o'tkazish"
),
1,
IF(OR(
I615="Notarius uchun ma'lumotnoma (uz)",
I615="Qurilishi tugallangan ko'chmas mulkni foydalanishga qabul qilish",
I615="Umumiy foydalanishdagi ko'chmas mulk qismini yaratish",
I615="Registratsiya (tashqi - UZKAD da bor)"
),
IF(OR(L615="Turar yer maydoni",L615="Yakka tartibdagi turar joy"),"",
IF(L615="Noturar bino",1,
IF(L615="Noturar yer maydoni",1,
IF(L615="",IF(OR(O615="Turar joy xizmati",O615="Foydalanishga ruxsatnoma berish xizmati"),"",1),"")
))),
"")))</f>
        <v/>
      </c>
      <c r="I615" s="7" t="s">
        <v>156</v>
      </c>
      <c r="J615" s="7" t="s">
        <v>25</v>
      </c>
      <c r="K615" s="7"/>
      <c r="L615" s="7"/>
      <c r="M615" s="7"/>
      <c r="N615" s="7" t="s">
        <v>170</v>
      </c>
      <c r="O615" s="7" t="s">
        <v>162</v>
      </c>
      <c r="P615" s="7" t="s">
        <v>6414</v>
      </c>
      <c r="Q615" s="129">
        <v>46199</v>
      </c>
      <c r="R615" s="130">
        <f t="shared" si="78"/>
        <v>46211</v>
      </c>
      <c r="S615" s="131">
        <f t="shared" si="77"/>
        <v>12</v>
      </c>
      <c r="T615" s="7" t="s">
        <v>173</v>
      </c>
      <c r="U615" s="7" t="s">
        <v>403</v>
      </c>
      <c r="V615" s="7"/>
      <c r="W615" s="7"/>
      <c r="X615" s="132">
        <f t="shared" si="75"/>
        <v>10</v>
      </c>
      <c r="Y615" s="133"/>
      <c r="Z615" s="133"/>
      <c r="AA615" s="133"/>
    </row>
    <row r="616" spans="1:27" hidden="1" x14ac:dyDescent="0.25">
      <c r="A616" s="127">
        <v>710</v>
      </c>
      <c r="B616" s="128" t="str">
        <f t="shared" si="76"/>
        <v>NAMS</v>
      </c>
      <c r="C616" s="128" t="str">
        <f>+VLOOKUP(U616,Ходим!A:B,2,0)</f>
        <v>31608732170178</v>
      </c>
      <c r="D616" s="128" t="str">
        <f>IFERROR(VLOOKUP($B:$B,[20]свод!$A:$AB,3,0)," ")</f>
        <v>Наманган шаҳар</v>
      </c>
      <c r="E616" s="7" t="s">
        <v>1758</v>
      </c>
      <c r="F616" s="7" t="s">
        <v>8157</v>
      </c>
      <c r="G616" s="134">
        <f t="shared" si="79"/>
        <v>1</v>
      </c>
      <c r="H616" s="134" t="str">
        <f t="shared" si="80"/>
        <v/>
      </c>
      <c r="I616" s="7" t="s">
        <v>156</v>
      </c>
      <c r="J616" s="7" t="s">
        <v>25</v>
      </c>
      <c r="K616" s="7"/>
      <c r="L616" s="7"/>
      <c r="M616" s="7"/>
      <c r="N616" s="7" t="s">
        <v>170</v>
      </c>
      <c r="O616" s="7" t="s">
        <v>162</v>
      </c>
      <c r="P616" s="7" t="s">
        <v>6424</v>
      </c>
      <c r="Q616" s="129">
        <v>46199</v>
      </c>
      <c r="R616" s="130">
        <f t="shared" si="78"/>
        <v>46211</v>
      </c>
      <c r="S616" s="131">
        <f t="shared" si="77"/>
        <v>12</v>
      </c>
      <c r="T616" s="7" t="s">
        <v>173</v>
      </c>
      <c r="U616" s="7" t="s">
        <v>267</v>
      </c>
      <c r="V616" s="7"/>
      <c r="W616" s="7"/>
      <c r="X616" s="132">
        <f t="shared" si="75"/>
        <v>10</v>
      </c>
      <c r="Y616" s="133"/>
      <c r="Z616" s="133"/>
      <c r="AA616" s="133"/>
    </row>
    <row r="617" spans="1:27" hidden="1" x14ac:dyDescent="0.25">
      <c r="A617" s="127">
        <v>711</v>
      </c>
      <c r="B617" s="128" t="str">
        <f t="shared" si="76"/>
        <v>KSST</v>
      </c>
      <c r="C617" s="128" t="e">
        <f>+VLOOKUP(U617,Ходим!A:B,2,0)</f>
        <v>#N/A</v>
      </c>
      <c r="D617" s="128" t="str">
        <f>IFERROR(VLOOKUP($B:$B,[20]свод!$A:$AB,3,0)," ")</f>
        <v>Косонсой тумани</v>
      </c>
      <c r="E617" s="7" t="s">
        <v>1759</v>
      </c>
      <c r="F617" s="7" t="s">
        <v>8158</v>
      </c>
      <c r="G617" s="134" t="str">
        <f t="shared" si="79"/>
        <v/>
      </c>
      <c r="H617" s="134">
        <f t="shared" si="80"/>
        <v>1</v>
      </c>
      <c r="I617" s="7" t="s">
        <v>155</v>
      </c>
      <c r="J617" s="7" t="s">
        <v>25</v>
      </c>
      <c r="K617" s="7"/>
      <c r="L617" s="7"/>
      <c r="M617" s="7"/>
      <c r="N617" s="7" t="s">
        <v>410</v>
      </c>
      <c r="O617" s="7" t="s">
        <v>161</v>
      </c>
      <c r="P617" s="7" t="s">
        <v>6593</v>
      </c>
      <c r="Q617" s="129">
        <v>46199</v>
      </c>
      <c r="R617" s="130">
        <f t="shared" si="78"/>
        <v>46211</v>
      </c>
      <c r="S617" s="131">
        <f t="shared" si="77"/>
        <v>12</v>
      </c>
      <c r="T617" s="7" t="s">
        <v>180</v>
      </c>
      <c r="U617" s="7" t="s">
        <v>10636</v>
      </c>
      <c r="V617" s="7"/>
      <c r="W617" s="7"/>
      <c r="X617" s="132">
        <f t="shared" si="75"/>
        <v>10</v>
      </c>
      <c r="Y617" s="133"/>
      <c r="Z617" s="133"/>
      <c r="AA617" s="133"/>
    </row>
    <row r="618" spans="1:27" hidden="1" x14ac:dyDescent="0.25">
      <c r="A618" s="127">
        <v>712</v>
      </c>
      <c r="B618" s="128" t="str">
        <f t="shared" si="76"/>
        <v>NAMT</v>
      </c>
      <c r="C618" s="128">
        <f>+VLOOKUP(U618,Ходим!A:B,2,0)</f>
        <v>52908045880018</v>
      </c>
      <c r="D618" s="128" t="str">
        <f>IFERROR(VLOOKUP($B:$B,[20]свод!$A:$AB,3,0)," ")</f>
        <v>Наманган тумани</v>
      </c>
      <c r="E618" s="7" t="s">
        <v>1760</v>
      </c>
      <c r="F618" s="7" t="s">
        <v>8159</v>
      </c>
      <c r="G618" s="134">
        <f t="shared" si="79"/>
        <v>1</v>
      </c>
      <c r="H618" s="134" t="str">
        <f t="shared" si="80"/>
        <v/>
      </c>
      <c r="I618" s="7" t="s">
        <v>158</v>
      </c>
      <c r="J618" s="7" t="s">
        <v>13</v>
      </c>
      <c r="K618" s="7"/>
      <c r="L618" s="7" t="s">
        <v>167</v>
      </c>
      <c r="M618" s="7" t="s">
        <v>4605</v>
      </c>
      <c r="N618" s="7" t="s">
        <v>410</v>
      </c>
      <c r="O618" s="7" t="s">
        <v>162</v>
      </c>
      <c r="P618" s="7" t="s">
        <v>6594</v>
      </c>
      <c r="Q618" s="129">
        <v>46199</v>
      </c>
      <c r="R618" s="130">
        <f t="shared" si="78"/>
        <v>46205</v>
      </c>
      <c r="S618" s="131">
        <f t="shared" si="77"/>
        <v>6</v>
      </c>
      <c r="T618" s="7" t="s">
        <v>193</v>
      </c>
      <c r="U618" s="7" t="s">
        <v>982</v>
      </c>
      <c r="V618" s="7"/>
      <c r="W618" s="7">
        <v>107.51</v>
      </c>
      <c r="X618" s="132">
        <f t="shared" si="75"/>
        <v>10</v>
      </c>
      <c r="Y618" s="133"/>
      <c r="Z618" s="133"/>
      <c r="AA618" s="133"/>
    </row>
    <row r="619" spans="1:27" hidden="1" x14ac:dyDescent="0.25">
      <c r="A619" s="127">
        <v>713</v>
      </c>
      <c r="B619" s="128" t="str">
        <f t="shared" si="76"/>
        <v>MINT</v>
      </c>
      <c r="C619" s="128" t="str">
        <f>+VLOOKUP(U619,Ходим!A:B,2,0)</f>
        <v>31205995920018</v>
      </c>
      <c r="D619" s="128" t="str">
        <f>IFERROR(VLOOKUP($B:$B,[20]свод!$A:$AB,3,0)," ")</f>
        <v>Мингбулоқ тумани</v>
      </c>
      <c r="E619" s="7" t="s">
        <v>1761</v>
      </c>
      <c r="F619" s="7" t="s">
        <v>8160</v>
      </c>
      <c r="G619" s="134">
        <f t="shared" si="79"/>
        <v>1</v>
      </c>
      <c r="H619" s="134" t="str">
        <f t="shared" si="80"/>
        <v/>
      </c>
      <c r="I619" s="7" t="s">
        <v>154</v>
      </c>
      <c r="J619" s="7" t="s">
        <v>2</v>
      </c>
      <c r="K619" s="7"/>
      <c r="L619" s="7"/>
      <c r="M619" s="7"/>
      <c r="N619" s="7" t="s">
        <v>170</v>
      </c>
      <c r="O619" s="7" t="s">
        <v>162</v>
      </c>
      <c r="P619" s="7" t="s">
        <v>6594</v>
      </c>
      <c r="Q619" s="129">
        <v>46199</v>
      </c>
      <c r="R619" s="130">
        <f t="shared" si="78"/>
        <v>46205</v>
      </c>
      <c r="S619" s="131">
        <f t="shared" si="77"/>
        <v>6</v>
      </c>
      <c r="T619" s="7" t="s">
        <v>220</v>
      </c>
      <c r="U619" s="7" t="s">
        <v>271</v>
      </c>
      <c r="V619" s="7"/>
      <c r="W619" s="7"/>
      <c r="X619" s="132">
        <f t="shared" si="75"/>
        <v>10</v>
      </c>
      <c r="Y619" s="133"/>
      <c r="Z619" s="133"/>
      <c r="AA619" s="133"/>
    </row>
    <row r="620" spans="1:27" hidden="1" x14ac:dyDescent="0.25">
      <c r="A620" s="127">
        <v>714</v>
      </c>
      <c r="B620" s="128" t="str">
        <f t="shared" si="76"/>
        <v>YGQT</v>
      </c>
      <c r="C620" s="128" t="str">
        <f>+VLOOKUP(U620,Ходим!A:B,2,0)</f>
        <v>31501762160017</v>
      </c>
      <c r="D620" s="128" t="str">
        <f>IFERROR(VLOOKUP($B:$B,[20]свод!$A:$AB,3,0)," ")</f>
        <v>Янгиқўрғон тумани</v>
      </c>
      <c r="E620" s="7" t="s">
        <v>1762</v>
      </c>
      <c r="F620" s="7" t="s">
        <v>8161</v>
      </c>
      <c r="G620" s="134">
        <f t="shared" si="79"/>
        <v>1</v>
      </c>
      <c r="H620" s="134" t="str">
        <f t="shared" si="80"/>
        <v/>
      </c>
      <c r="I620" s="7" t="s">
        <v>158</v>
      </c>
      <c r="J620" s="7" t="s">
        <v>36</v>
      </c>
      <c r="K620" s="7"/>
      <c r="L620" s="7" t="s">
        <v>167</v>
      </c>
      <c r="M620" s="7" t="s">
        <v>4606</v>
      </c>
      <c r="N620" s="7" t="s">
        <v>170</v>
      </c>
      <c r="O620" s="7" t="s">
        <v>162</v>
      </c>
      <c r="P620" s="7" t="s">
        <v>6325</v>
      </c>
      <c r="Q620" s="129">
        <v>46199</v>
      </c>
      <c r="R620" s="130">
        <f t="shared" si="78"/>
        <v>46204</v>
      </c>
      <c r="S620" s="131">
        <f t="shared" si="77"/>
        <v>5</v>
      </c>
      <c r="T620" s="7" t="s">
        <v>255</v>
      </c>
      <c r="U620" s="7" t="s">
        <v>275</v>
      </c>
      <c r="V620" s="7"/>
      <c r="W620" s="7">
        <v>131</v>
      </c>
      <c r="X620" s="132">
        <f t="shared" si="75"/>
        <v>10</v>
      </c>
      <c r="Y620" s="133"/>
      <c r="Z620" s="133"/>
      <c r="AA620" s="133"/>
    </row>
    <row r="621" spans="1:27" hidden="1" x14ac:dyDescent="0.25">
      <c r="A621" s="127">
        <v>715</v>
      </c>
      <c r="B621" s="128" t="str">
        <f t="shared" si="76"/>
        <v>UCQT</v>
      </c>
      <c r="C621" s="128">
        <f>+VLOOKUP(U621,Ходим!A:B,2,0)</f>
        <v>52107015940019</v>
      </c>
      <c r="D621" s="128" t="str">
        <f>IFERROR(VLOOKUP($B:$B,[20]свод!$A:$AB,3,0)," ")</f>
        <v>Учқўрғон тумани</v>
      </c>
      <c r="E621" s="7" t="s">
        <v>1763</v>
      </c>
      <c r="F621" s="7" t="s">
        <v>8162</v>
      </c>
      <c r="G621" s="134">
        <f t="shared" si="79"/>
        <v>1</v>
      </c>
      <c r="H621" s="134" t="str">
        <f t="shared" si="80"/>
        <v/>
      </c>
      <c r="I621" s="7" t="s">
        <v>158</v>
      </c>
      <c r="J621" s="7" t="s">
        <v>2</v>
      </c>
      <c r="K621" s="7"/>
      <c r="L621" s="7" t="s">
        <v>167</v>
      </c>
      <c r="M621" s="7" t="s">
        <v>4607</v>
      </c>
      <c r="N621" s="7" t="s">
        <v>170</v>
      </c>
      <c r="O621" s="7" t="s">
        <v>162</v>
      </c>
      <c r="P621" s="7" t="s">
        <v>6595</v>
      </c>
      <c r="Q621" s="129">
        <v>46199</v>
      </c>
      <c r="R621" s="130">
        <f t="shared" si="78"/>
        <v>46206</v>
      </c>
      <c r="S621" s="131">
        <f t="shared" si="77"/>
        <v>7</v>
      </c>
      <c r="T621" s="7" t="s">
        <v>175</v>
      </c>
      <c r="U621" s="7" t="s">
        <v>361</v>
      </c>
      <c r="V621" s="7"/>
      <c r="W621" s="7">
        <v>233.8</v>
      </c>
      <c r="X621" s="132">
        <f t="shared" si="75"/>
        <v>10</v>
      </c>
      <c r="Y621" s="133"/>
      <c r="Z621" s="133"/>
      <c r="AA621" s="133"/>
    </row>
    <row r="622" spans="1:27" hidden="1" x14ac:dyDescent="0.25">
      <c r="A622" s="127">
        <v>716</v>
      </c>
      <c r="B622" s="128" t="str">
        <f t="shared" si="76"/>
        <v>NAMS</v>
      </c>
      <c r="C622" s="128" t="str">
        <f>+VLOOKUP(U622,Ходим!A:B,2,0)</f>
        <v>31309942170160</v>
      </c>
      <c r="D622" s="128" t="str">
        <f>IFERROR(VLOOKUP($B:$B,[20]свод!$A:$AB,3,0)," ")</f>
        <v>Наманган шаҳар</v>
      </c>
      <c r="E622" s="7" t="s">
        <v>1764</v>
      </c>
      <c r="F622" s="7" t="s">
        <v>8163</v>
      </c>
      <c r="G622" s="134" t="str">
        <f t="shared" si="79"/>
        <v/>
      </c>
      <c r="H622" s="134">
        <f t="shared" si="80"/>
        <v>1</v>
      </c>
      <c r="I622" s="7" t="s">
        <v>157</v>
      </c>
      <c r="J622" s="7" t="s">
        <v>2</v>
      </c>
      <c r="K622" s="7"/>
      <c r="L622" s="7" t="s">
        <v>168</v>
      </c>
      <c r="M622" s="7" t="s">
        <v>4608</v>
      </c>
      <c r="N622" s="7" t="s">
        <v>410</v>
      </c>
      <c r="O622" s="7" t="s">
        <v>163</v>
      </c>
      <c r="P622" s="7" t="s">
        <v>6596</v>
      </c>
      <c r="Q622" s="129">
        <v>46199</v>
      </c>
      <c r="R622" s="130">
        <f t="shared" si="78"/>
        <v>46202</v>
      </c>
      <c r="S622" s="131">
        <f t="shared" si="77"/>
        <v>3</v>
      </c>
      <c r="T622" s="7" t="s">
        <v>173</v>
      </c>
      <c r="U622" s="7" t="s">
        <v>333</v>
      </c>
      <c r="V622" s="7"/>
      <c r="W622" s="7">
        <v>0</v>
      </c>
      <c r="X622" s="132">
        <f t="shared" si="75"/>
        <v>7</v>
      </c>
      <c r="Y622" s="133"/>
      <c r="Z622" s="133"/>
      <c r="AA622" s="133"/>
    </row>
    <row r="623" spans="1:27" hidden="1" x14ac:dyDescent="0.25">
      <c r="A623" s="127">
        <v>717</v>
      </c>
      <c r="B623" s="128" t="str">
        <f t="shared" si="76"/>
        <v>KSST</v>
      </c>
      <c r="C623" s="128" t="str">
        <f>+VLOOKUP(U623,Ходим!A:B,2,0)</f>
        <v>31611995980026</v>
      </c>
      <c r="D623" s="128" t="str">
        <f>IFERROR(VLOOKUP($B:$B,[20]свод!$A:$AB,3,0)," ")</f>
        <v>Косонсой тумани</v>
      </c>
      <c r="E623" s="7" t="s">
        <v>1765</v>
      </c>
      <c r="F623" s="7" t="s">
        <v>8164</v>
      </c>
      <c r="G623" s="134">
        <f t="shared" si="79"/>
        <v>1</v>
      </c>
      <c r="H623" s="134" t="str">
        <f t="shared" si="80"/>
        <v/>
      </c>
      <c r="I623" s="7" t="s">
        <v>158</v>
      </c>
      <c r="J623" s="7" t="s">
        <v>2</v>
      </c>
      <c r="K623" s="7"/>
      <c r="L623" s="7" t="s">
        <v>167</v>
      </c>
      <c r="M623" s="7" t="s">
        <v>4609</v>
      </c>
      <c r="N623" s="7" t="s">
        <v>170</v>
      </c>
      <c r="O623" s="7" t="s">
        <v>162</v>
      </c>
      <c r="P623" s="7" t="s">
        <v>6597</v>
      </c>
      <c r="Q623" s="129">
        <v>46199</v>
      </c>
      <c r="R623" s="130">
        <f t="shared" si="78"/>
        <v>46204</v>
      </c>
      <c r="S623" s="131">
        <f t="shared" si="77"/>
        <v>5</v>
      </c>
      <c r="T623" s="7" t="s">
        <v>180</v>
      </c>
      <c r="U623" s="7" t="s">
        <v>181</v>
      </c>
      <c r="V623" s="7"/>
      <c r="W623" s="7">
        <v>213.97</v>
      </c>
      <c r="X623" s="132">
        <f t="shared" si="75"/>
        <v>10</v>
      </c>
      <c r="Y623" s="133"/>
      <c r="Z623" s="133"/>
      <c r="AA623" s="133"/>
    </row>
    <row r="624" spans="1:27" hidden="1" x14ac:dyDescent="0.25">
      <c r="A624" s="127">
        <v>718</v>
      </c>
      <c r="B624" s="128" t="str">
        <f t="shared" si="76"/>
        <v>CHOT</v>
      </c>
      <c r="C624" s="128" t="str">
        <f>+VLOOKUP(U624,Ходим!A:B,2,0)</f>
        <v>30308922100022</v>
      </c>
      <c r="D624" s="128" t="str">
        <f>IFERROR(VLOOKUP($B:$B,[20]свод!$A:$AB,3,0)," ")</f>
        <v>Чортоқ тумани</v>
      </c>
      <c r="E624" s="7" t="s">
        <v>1766</v>
      </c>
      <c r="F624" s="7" t="s">
        <v>8165</v>
      </c>
      <c r="G624" s="134" t="str">
        <f t="shared" si="79"/>
        <v/>
      </c>
      <c r="H624" s="134">
        <f t="shared" si="80"/>
        <v>1</v>
      </c>
      <c r="I624" s="7" t="s">
        <v>157</v>
      </c>
      <c r="J624" s="7" t="s">
        <v>2</v>
      </c>
      <c r="K624" s="7"/>
      <c r="L624" s="7" t="s">
        <v>166</v>
      </c>
      <c r="M624" s="7" t="s">
        <v>4610</v>
      </c>
      <c r="N624" s="7" t="s">
        <v>170</v>
      </c>
      <c r="O624" s="7" t="s">
        <v>161</v>
      </c>
      <c r="P624" s="7" t="s">
        <v>6562</v>
      </c>
      <c r="Q624" s="129">
        <v>46199</v>
      </c>
      <c r="R624" s="130">
        <f t="shared" si="78"/>
        <v>46205</v>
      </c>
      <c r="S624" s="131">
        <f t="shared" si="77"/>
        <v>6</v>
      </c>
      <c r="T624" s="7" t="s">
        <v>184</v>
      </c>
      <c r="U624" s="7" t="s">
        <v>190</v>
      </c>
      <c r="V624" s="7"/>
      <c r="W624" s="7">
        <v>0</v>
      </c>
      <c r="X624" s="132">
        <f t="shared" si="75"/>
        <v>10</v>
      </c>
      <c r="Y624" s="133"/>
      <c r="Z624" s="133"/>
      <c r="AA624" s="133"/>
    </row>
    <row r="625" spans="1:27" hidden="1" x14ac:dyDescent="0.25">
      <c r="A625" s="127">
        <v>719</v>
      </c>
      <c r="B625" s="128" t="str">
        <f t="shared" si="76"/>
        <v>NAMS</v>
      </c>
      <c r="C625" s="128" t="str">
        <f>+VLOOKUP(U625,Ходим!A:B,2,0)</f>
        <v>52503015960039</v>
      </c>
      <c r="D625" s="128" t="str">
        <f>IFERROR(VLOOKUP($B:$B,[20]свод!$A:$AB,3,0)," ")</f>
        <v>Наманган шаҳар</v>
      </c>
      <c r="E625" s="7" t="s">
        <v>1767</v>
      </c>
      <c r="F625" s="7" t="s">
        <v>8166</v>
      </c>
      <c r="G625" s="134">
        <f t="shared" si="79"/>
        <v>1</v>
      </c>
      <c r="H625" s="134" t="str">
        <f t="shared" si="80"/>
        <v/>
      </c>
      <c r="I625" s="7" t="s">
        <v>156</v>
      </c>
      <c r="J625" s="7" t="s">
        <v>25</v>
      </c>
      <c r="K625" s="7"/>
      <c r="L625" s="7"/>
      <c r="M625" s="7"/>
      <c r="N625" s="7" t="s">
        <v>170</v>
      </c>
      <c r="O625" s="7" t="s">
        <v>162</v>
      </c>
      <c r="P625" s="7" t="s">
        <v>6598</v>
      </c>
      <c r="Q625" s="129">
        <v>46199</v>
      </c>
      <c r="R625" s="130">
        <f t="shared" si="78"/>
        <v>46211</v>
      </c>
      <c r="S625" s="131">
        <f t="shared" si="77"/>
        <v>12</v>
      </c>
      <c r="T625" s="7" t="s">
        <v>185</v>
      </c>
      <c r="U625" s="7" t="s">
        <v>246</v>
      </c>
      <c r="V625" s="7"/>
      <c r="W625" s="7"/>
      <c r="X625" s="132">
        <f t="shared" si="75"/>
        <v>10</v>
      </c>
      <c r="Y625" s="133"/>
      <c r="Z625" s="133"/>
      <c r="AA625" s="133"/>
    </row>
    <row r="626" spans="1:27" hidden="1" x14ac:dyDescent="0.25">
      <c r="A626" s="127">
        <v>720</v>
      </c>
      <c r="B626" s="128" t="str">
        <f t="shared" si="76"/>
        <v>NAMS</v>
      </c>
      <c r="C626" s="128" t="str">
        <f>+VLOOKUP(U626,Ходим!A:B,2,0)</f>
        <v>52503015960039</v>
      </c>
      <c r="D626" s="128" t="str">
        <f>IFERROR(VLOOKUP($B:$B,[20]свод!$A:$AB,3,0)," ")</f>
        <v>Наманган шаҳар</v>
      </c>
      <c r="E626" s="7" t="s">
        <v>1768</v>
      </c>
      <c r="F626" s="7" t="s">
        <v>8167</v>
      </c>
      <c r="G626" s="134">
        <f t="shared" si="79"/>
        <v>1</v>
      </c>
      <c r="H626" s="134" t="str">
        <f t="shared" si="80"/>
        <v/>
      </c>
      <c r="I626" s="7" t="s">
        <v>156</v>
      </c>
      <c r="J626" s="7" t="s">
        <v>25</v>
      </c>
      <c r="K626" s="7"/>
      <c r="L626" s="7"/>
      <c r="M626" s="7"/>
      <c r="N626" s="7" t="s">
        <v>170</v>
      </c>
      <c r="O626" s="7" t="s">
        <v>162</v>
      </c>
      <c r="P626" s="7" t="s">
        <v>6598</v>
      </c>
      <c r="Q626" s="129">
        <v>46199</v>
      </c>
      <c r="R626" s="130">
        <f t="shared" si="78"/>
        <v>46211</v>
      </c>
      <c r="S626" s="131">
        <f t="shared" si="77"/>
        <v>12</v>
      </c>
      <c r="T626" s="7" t="s">
        <v>185</v>
      </c>
      <c r="U626" s="7" t="s">
        <v>246</v>
      </c>
      <c r="V626" s="7"/>
      <c r="W626" s="7"/>
      <c r="X626" s="132">
        <f t="shared" si="75"/>
        <v>10</v>
      </c>
      <c r="Y626" s="133"/>
      <c r="Z626" s="133"/>
      <c r="AA626" s="133"/>
    </row>
    <row r="627" spans="1:27" hidden="1" x14ac:dyDescent="0.25">
      <c r="A627" s="127">
        <v>722</v>
      </c>
      <c r="B627" s="128" t="str">
        <f t="shared" si="76"/>
        <v>UYCT</v>
      </c>
      <c r="C627" s="128" t="str">
        <f>+VLOOKUP(U627,Ходим!A:B,2,0)</f>
        <v>31007942140083</v>
      </c>
      <c r="D627" s="128" t="str">
        <f>IFERROR(VLOOKUP($B:$B,[20]свод!$A:$AB,3,0)," ")</f>
        <v>Уйчи тумани</v>
      </c>
      <c r="E627" s="7" t="s">
        <v>1769</v>
      </c>
      <c r="F627" s="7" t="s">
        <v>8168</v>
      </c>
      <c r="G627" s="134" t="str">
        <f t="shared" si="79"/>
        <v/>
      </c>
      <c r="H627" s="134">
        <f t="shared" si="80"/>
        <v>1</v>
      </c>
      <c r="I627" s="7" t="s">
        <v>157</v>
      </c>
      <c r="J627" s="7" t="s">
        <v>2</v>
      </c>
      <c r="K627" s="7"/>
      <c r="L627" s="7"/>
      <c r="M627" s="7"/>
      <c r="N627" s="7" t="s">
        <v>410</v>
      </c>
      <c r="O627" s="7" t="s">
        <v>161</v>
      </c>
      <c r="P627" s="7" t="s">
        <v>6599</v>
      </c>
      <c r="Q627" s="129">
        <v>46199</v>
      </c>
      <c r="R627" s="130">
        <f t="shared" si="78"/>
        <v>46204</v>
      </c>
      <c r="S627" s="131">
        <f t="shared" si="77"/>
        <v>5</v>
      </c>
      <c r="T627" s="7" t="s">
        <v>947</v>
      </c>
      <c r="U627" s="7" t="s">
        <v>263</v>
      </c>
      <c r="V627" s="7"/>
      <c r="W627" s="7"/>
      <c r="X627" s="132">
        <f t="shared" si="75"/>
        <v>10</v>
      </c>
      <c r="Y627" s="133"/>
      <c r="Z627" s="133"/>
      <c r="AA627" s="133"/>
    </row>
    <row r="628" spans="1:27" hidden="1" x14ac:dyDescent="0.25">
      <c r="A628" s="127">
        <v>723</v>
      </c>
      <c r="B628" s="128" t="str">
        <f t="shared" si="76"/>
        <v>KSST</v>
      </c>
      <c r="C628" s="128" t="str">
        <f>+VLOOKUP(U628,Ходим!A:B,2,0)</f>
        <v>31611995980026</v>
      </c>
      <c r="D628" s="128" t="str">
        <f>IFERROR(VLOOKUP($B:$B,[20]свод!$A:$AB,3,0)," ")</f>
        <v>Косонсой тумани</v>
      </c>
      <c r="E628" s="7" t="s">
        <v>1770</v>
      </c>
      <c r="F628" s="7" t="s">
        <v>8169</v>
      </c>
      <c r="G628" s="134">
        <f t="shared" si="79"/>
        <v>1</v>
      </c>
      <c r="H628" s="134" t="str">
        <f t="shared" si="80"/>
        <v/>
      </c>
      <c r="I628" s="7" t="s">
        <v>158</v>
      </c>
      <c r="J628" s="7" t="s">
        <v>2</v>
      </c>
      <c r="K628" s="7"/>
      <c r="L628" s="7" t="s">
        <v>167</v>
      </c>
      <c r="M628" s="7" t="s">
        <v>4611</v>
      </c>
      <c r="N628" s="7" t="s">
        <v>170</v>
      </c>
      <c r="O628" s="7" t="s">
        <v>162</v>
      </c>
      <c r="P628" s="7" t="s">
        <v>6599</v>
      </c>
      <c r="Q628" s="129">
        <v>46199</v>
      </c>
      <c r="R628" s="130">
        <f t="shared" si="78"/>
        <v>46204</v>
      </c>
      <c r="S628" s="131">
        <f t="shared" si="77"/>
        <v>5</v>
      </c>
      <c r="T628" s="7" t="s">
        <v>180</v>
      </c>
      <c r="U628" s="7" t="s">
        <v>181</v>
      </c>
      <c r="V628" s="7"/>
      <c r="W628" s="7">
        <v>178.85</v>
      </c>
      <c r="X628" s="132">
        <f t="shared" si="75"/>
        <v>10</v>
      </c>
      <c r="Y628" s="133"/>
      <c r="Z628" s="133"/>
      <c r="AA628" s="133"/>
    </row>
    <row r="629" spans="1:27" hidden="1" x14ac:dyDescent="0.25">
      <c r="A629" s="127">
        <v>724</v>
      </c>
      <c r="B629" s="128" t="str">
        <f t="shared" si="76"/>
        <v>UYCT</v>
      </c>
      <c r="C629" s="128" t="str">
        <f>+VLOOKUP(U629,Ходим!A:B,2,0)</f>
        <v>32906985930035</v>
      </c>
      <c r="D629" s="128" t="str">
        <f>IFERROR(VLOOKUP($B:$B,[20]свод!$A:$AB,3,0)," ")</f>
        <v>Уйчи тумани</v>
      </c>
      <c r="E629" s="7" t="s">
        <v>1771</v>
      </c>
      <c r="F629" s="7" t="s">
        <v>8170</v>
      </c>
      <c r="G629" s="134">
        <f t="shared" si="79"/>
        <v>1</v>
      </c>
      <c r="H629" s="134" t="str">
        <f t="shared" si="80"/>
        <v/>
      </c>
      <c r="I629" s="7" t="s">
        <v>156</v>
      </c>
      <c r="J629" s="7" t="s">
        <v>11</v>
      </c>
      <c r="K629" s="7"/>
      <c r="L629" s="7"/>
      <c r="M629" s="7"/>
      <c r="N629" s="7" t="s">
        <v>410</v>
      </c>
      <c r="O629" s="7" t="s">
        <v>162</v>
      </c>
      <c r="P629" s="7" t="s">
        <v>6335</v>
      </c>
      <c r="Q629" s="129">
        <v>46199</v>
      </c>
      <c r="R629" s="130">
        <f t="shared" si="78"/>
        <v>46204</v>
      </c>
      <c r="S629" s="131">
        <f t="shared" si="77"/>
        <v>5</v>
      </c>
      <c r="T629" s="7" t="s">
        <v>947</v>
      </c>
      <c r="U629" s="7" t="s">
        <v>257</v>
      </c>
      <c r="V629" s="7"/>
      <c r="W629" s="7"/>
      <c r="X629" s="132">
        <f t="shared" si="75"/>
        <v>10</v>
      </c>
      <c r="Y629" s="133"/>
      <c r="Z629" s="133"/>
      <c r="AA629" s="133"/>
    </row>
    <row r="630" spans="1:27" hidden="1" x14ac:dyDescent="0.25">
      <c r="A630" s="127">
        <v>725</v>
      </c>
      <c r="B630" s="128" t="str">
        <f t="shared" si="76"/>
        <v>NAMS</v>
      </c>
      <c r="C630" s="128" t="str">
        <f>+VLOOKUP(U630,Ходим!A:B,2,0)</f>
        <v>30302942170072</v>
      </c>
      <c r="D630" s="128" t="str">
        <f>IFERROR(VLOOKUP($B:$B,[20]свод!$A:$AB,3,0)," ")</f>
        <v>Наманган шаҳар</v>
      </c>
      <c r="E630" s="7" t="s">
        <v>1772</v>
      </c>
      <c r="F630" s="7" t="s">
        <v>8171</v>
      </c>
      <c r="G630" s="134" t="str">
        <f t="shared" si="79"/>
        <v/>
      </c>
      <c r="H630" s="134">
        <f t="shared" si="80"/>
        <v>1</v>
      </c>
      <c r="I630" s="7" t="s">
        <v>157</v>
      </c>
      <c r="J630" s="7" t="s">
        <v>172</v>
      </c>
      <c r="K630" s="7"/>
      <c r="L630" s="7"/>
      <c r="M630" s="7"/>
      <c r="N630" s="7" t="s">
        <v>170</v>
      </c>
      <c r="O630" s="7" t="s">
        <v>161</v>
      </c>
      <c r="P630" s="7" t="s">
        <v>6553</v>
      </c>
      <c r="Q630" s="129">
        <v>46199</v>
      </c>
      <c r="R630" s="130">
        <f t="shared" si="78"/>
        <v>46205</v>
      </c>
      <c r="S630" s="131">
        <f t="shared" si="77"/>
        <v>6</v>
      </c>
      <c r="T630" s="7" t="s">
        <v>173</v>
      </c>
      <c r="U630" s="7" t="s">
        <v>325</v>
      </c>
      <c r="V630" s="7"/>
      <c r="W630" s="7"/>
      <c r="X630" s="132">
        <f t="shared" ref="X630:X674" si="81">IF(N630="Kadastr muhandisi",3,
IF(N630="UZKAD",5,
IF(V630="FREE",5,
IF(I630="Registratsiya (tashqi - UZKAD da bor)",1,
IF(I630="Avtoyo'l va suv xo'jaligi obyektining kadastr pasportini shakllantirish va ro'yxatga olish",7,
IF(I630="Notarius uchun ma'lumotnoma (uz)",1,
IF(I630="Qurilishi tugallangan ko'chmas mulkni foydalanishga qabul qilish",10,
IF(OR(I630="Turar joy obyektning kadastr pasportini shakllantirish va davlat ro'yxatidan o'tkazish",I630="Turar kompozit"),
IF(L630="Turar yer maydoni",7,10),
IF(OR(I630="Noturar obyektning kadastr pasportini shakllantirish va davlat ro'yxatidan o'tkazish",I630="Noturar kompozit"),
IF(O630="Ko‘p yillik daraxtlar xizmati",15,
IF(OR(L630="Noturar yer maydoni",L630="Davlat tashkilotlaridan ijaraga olingan yer uchastkasi"),7,
IF(W630&lt;100,10,IF(W630&lt;=1000,12,IF(W630&lt;=5000,17,IF(W630&lt;=15000,22,IF(W630&lt;=50000,28,37))))))),
IF(I630="Umumiy foydalanishdagi ko'chmas mulk qismini yaratish",
IF(IF(TRIM(L630)="",IF(OR(O630="Turar joy xizmati",O630="Yakka tartibdagi turar joy"),"Turar","Noturar"),IF(OR(L630="Yakka tartibdagi turar joy",L630="Turar joy xizmati"),"Turar","Noturar"))="Turar",
10,IF(W630&lt;100,10,IF(W630&lt;=1000,12,IF(W630&lt;=5000,17,IF(W630&lt;=15000,22,IF(W630&lt;=50000,28,37)))))),
0))))))))))</f>
        <v>10</v>
      </c>
      <c r="Y630" s="133"/>
      <c r="Z630" s="133"/>
      <c r="AA630" s="133"/>
    </row>
    <row r="631" spans="1:27" hidden="1" x14ac:dyDescent="0.25">
      <c r="A631" s="127">
        <v>726</v>
      </c>
      <c r="B631" s="128" t="str">
        <f t="shared" ref="B631:B675" si="82">LEFT(E631,4)</f>
        <v>POPT</v>
      </c>
      <c r="C631" s="128" t="str">
        <f>+VLOOKUP(U631,Ходим!A:B,2,0)</f>
        <v>31503892210028</v>
      </c>
      <c r="D631" s="128" t="str">
        <f>IFERROR(VLOOKUP($B:$B,[20]свод!$A:$AB,3,0)," ")</f>
        <v>Поп тумани</v>
      </c>
      <c r="E631" s="7" t="s">
        <v>1773</v>
      </c>
      <c r="F631" s="7" t="s">
        <v>8172</v>
      </c>
      <c r="G631" s="134">
        <f t="shared" si="79"/>
        <v>1</v>
      </c>
      <c r="H631" s="134" t="str">
        <f t="shared" si="80"/>
        <v/>
      </c>
      <c r="I631" s="7" t="s">
        <v>158</v>
      </c>
      <c r="J631" s="7" t="s">
        <v>84</v>
      </c>
      <c r="K631" s="7"/>
      <c r="L631" s="7" t="s">
        <v>167</v>
      </c>
      <c r="M631" s="7" t="s">
        <v>4612</v>
      </c>
      <c r="N631" s="7" t="s">
        <v>410</v>
      </c>
      <c r="O631" s="7" t="s">
        <v>162</v>
      </c>
      <c r="P631" s="7" t="s">
        <v>6451</v>
      </c>
      <c r="Q631" s="129">
        <v>46199</v>
      </c>
      <c r="R631" s="130">
        <f t="shared" si="78"/>
        <v>46204</v>
      </c>
      <c r="S631" s="131">
        <f t="shared" ref="S631:S675" si="83">R631-Q631</f>
        <v>5</v>
      </c>
      <c r="T631" s="7" t="s">
        <v>240</v>
      </c>
      <c r="U631" s="7" t="s">
        <v>285</v>
      </c>
      <c r="V631" s="7"/>
      <c r="W631" s="7">
        <v>491.24</v>
      </c>
      <c r="X631" s="132">
        <f t="shared" si="81"/>
        <v>10</v>
      </c>
      <c r="Y631" s="133"/>
      <c r="Z631" s="133"/>
      <c r="AA631" s="133"/>
    </row>
    <row r="632" spans="1:27" hidden="1" x14ac:dyDescent="0.25">
      <c r="A632" s="127">
        <v>727</v>
      </c>
      <c r="B632" s="128" t="str">
        <f t="shared" si="82"/>
        <v>TORT</v>
      </c>
      <c r="C632" s="128" t="str">
        <f>+VLOOKUP(U632,Ходим!A:B,2,0)</f>
        <v>30702995920011</v>
      </c>
      <c r="D632" s="128" t="str">
        <f>IFERROR(VLOOKUP($B:$B,[20]свод!$A:$AB,3,0)," ")</f>
        <v>Тўрақўрғон тумани</v>
      </c>
      <c r="E632" s="7" t="s">
        <v>1774</v>
      </c>
      <c r="F632" s="7" t="s">
        <v>8173</v>
      </c>
      <c r="G632" s="134">
        <f t="shared" si="79"/>
        <v>1</v>
      </c>
      <c r="H632" s="134" t="str">
        <f t="shared" si="80"/>
        <v/>
      </c>
      <c r="I632" s="7" t="s">
        <v>156</v>
      </c>
      <c r="J632" s="7" t="s">
        <v>25</v>
      </c>
      <c r="K632" s="7"/>
      <c r="L632" s="7" t="s">
        <v>167</v>
      </c>
      <c r="M632" s="7" t="s">
        <v>4613</v>
      </c>
      <c r="N632" s="7" t="s">
        <v>170</v>
      </c>
      <c r="O632" s="7" t="s">
        <v>162</v>
      </c>
      <c r="P632" s="7" t="s">
        <v>6600</v>
      </c>
      <c r="Q632" s="129">
        <v>46199</v>
      </c>
      <c r="R632" s="130">
        <f t="shared" si="78"/>
        <v>46211</v>
      </c>
      <c r="S632" s="131">
        <f t="shared" si="83"/>
        <v>12</v>
      </c>
      <c r="T632" s="7" t="s">
        <v>203</v>
      </c>
      <c r="U632" s="7" t="s">
        <v>341</v>
      </c>
      <c r="V632" s="7"/>
      <c r="W632" s="7">
        <v>176.4</v>
      </c>
      <c r="X632" s="132">
        <f t="shared" si="81"/>
        <v>10</v>
      </c>
      <c r="Y632" s="133"/>
      <c r="Z632" s="133"/>
      <c r="AA632" s="133"/>
    </row>
    <row r="633" spans="1:27" hidden="1" x14ac:dyDescent="0.25">
      <c r="A633" s="127">
        <v>728</v>
      </c>
      <c r="B633" s="128" t="str">
        <f t="shared" si="82"/>
        <v>TORT</v>
      </c>
      <c r="C633" s="128" t="str">
        <f>+VLOOKUP(U633,Ходим!A:B,2,0)</f>
        <v>30702995920011</v>
      </c>
      <c r="D633" s="128" t="str">
        <f>IFERROR(VLOOKUP($B:$B,[20]свод!$A:$AB,3,0)," ")</f>
        <v>Тўрақўрғон тумани</v>
      </c>
      <c r="E633" s="7" t="s">
        <v>1775</v>
      </c>
      <c r="F633" s="7" t="s">
        <v>8174</v>
      </c>
      <c r="G633" s="134">
        <f t="shared" si="79"/>
        <v>1</v>
      </c>
      <c r="H633" s="134" t="str">
        <f t="shared" si="80"/>
        <v/>
      </c>
      <c r="I633" s="7" t="s">
        <v>156</v>
      </c>
      <c r="J633" s="7" t="s">
        <v>25</v>
      </c>
      <c r="K633" s="7"/>
      <c r="L633" s="7" t="s">
        <v>167</v>
      </c>
      <c r="M633" s="7" t="s">
        <v>4614</v>
      </c>
      <c r="N633" s="7" t="s">
        <v>170</v>
      </c>
      <c r="O633" s="7" t="s">
        <v>162</v>
      </c>
      <c r="P633" s="7" t="s">
        <v>6600</v>
      </c>
      <c r="Q633" s="129">
        <v>46199</v>
      </c>
      <c r="R633" s="130">
        <f t="shared" si="78"/>
        <v>46211</v>
      </c>
      <c r="S633" s="131">
        <f t="shared" si="83"/>
        <v>12</v>
      </c>
      <c r="T633" s="7" t="s">
        <v>203</v>
      </c>
      <c r="U633" s="7" t="s">
        <v>341</v>
      </c>
      <c r="V633" s="7"/>
      <c r="W633" s="7">
        <v>524.33000000000004</v>
      </c>
      <c r="X633" s="132">
        <f t="shared" si="81"/>
        <v>10</v>
      </c>
      <c r="Y633" s="133"/>
      <c r="Z633" s="133"/>
      <c r="AA633" s="133"/>
    </row>
    <row r="634" spans="1:27" hidden="1" x14ac:dyDescent="0.25">
      <c r="A634" s="127">
        <v>729</v>
      </c>
      <c r="B634" s="128" t="str">
        <f t="shared" si="82"/>
        <v>YGQT</v>
      </c>
      <c r="C634" s="128" t="str">
        <f>+VLOOKUP(U634,Ходим!A:B,2,0)</f>
        <v>30903902160122</v>
      </c>
      <c r="D634" s="128" t="str">
        <f>IFERROR(VLOOKUP($B:$B,[20]свод!$A:$AB,3,0)," ")</f>
        <v>Янгиқўрғон тумани</v>
      </c>
      <c r="E634" s="7" t="s">
        <v>1776</v>
      </c>
      <c r="F634" s="7" t="s">
        <v>8175</v>
      </c>
      <c r="G634" s="134">
        <f t="shared" si="79"/>
        <v>1</v>
      </c>
      <c r="H634" s="134" t="str">
        <f t="shared" si="80"/>
        <v/>
      </c>
      <c r="I634" s="7" t="s">
        <v>158</v>
      </c>
      <c r="J634" s="7" t="s">
        <v>134</v>
      </c>
      <c r="K634" s="7"/>
      <c r="L634" s="7"/>
      <c r="M634" s="7"/>
      <c r="N634" s="7" t="s">
        <v>170</v>
      </c>
      <c r="O634" s="7" t="s">
        <v>162</v>
      </c>
      <c r="P634" s="7" t="s">
        <v>6601</v>
      </c>
      <c r="Q634" s="129">
        <v>46199</v>
      </c>
      <c r="R634" s="130">
        <f t="shared" si="78"/>
        <v>46205</v>
      </c>
      <c r="S634" s="131">
        <f t="shared" si="83"/>
        <v>6</v>
      </c>
      <c r="T634" s="7" t="s">
        <v>255</v>
      </c>
      <c r="U634" s="7" t="s">
        <v>230</v>
      </c>
      <c r="V634" s="7"/>
      <c r="W634" s="7"/>
      <c r="X634" s="132">
        <f t="shared" si="81"/>
        <v>10</v>
      </c>
      <c r="Y634" s="133"/>
      <c r="Z634" s="133"/>
      <c r="AA634" s="133"/>
    </row>
    <row r="635" spans="1:27" hidden="1" x14ac:dyDescent="0.25">
      <c r="A635" s="127">
        <v>730</v>
      </c>
      <c r="B635" s="128" t="str">
        <f t="shared" si="82"/>
        <v>POPT</v>
      </c>
      <c r="C635" s="128" t="str">
        <f>+VLOOKUP(U635,Ходим!A:B,2,0)</f>
        <v>30609882120085</v>
      </c>
      <c r="D635" s="128" t="str">
        <f>IFERROR(VLOOKUP($B:$B,[20]свод!$A:$AB,3,0)," ")</f>
        <v>Поп тумани</v>
      </c>
      <c r="E635" s="7" t="s">
        <v>1777</v>
      </c>
      <c r="F635" s="7" t="s">
        <v>8176</v>
      </c>
      <c r="G635" s="134" t="str">
        <f t="shared" si="79"/>
        <v/>
      </c>
      <c r="H635" s="134">
        <f t="shared" si="80"/>
        <v>1</v>
      </c>
      <c r="I635" s="7" t="s">
        <v>157</v>
      </c>
      <c r="J635" s="7" t="s">
        <v>2</v>
      </c>
      <c r="K635" s="7"/>
      <c r="L635" s="7" t="s">
        <v>166</v>
      </c>
      <c r="M635" s="7" t="s">
        <v>4615</v>
      </c>
      <c r="N635" s="7" t="s">
        <v>410</v>
      </c>
      <c r="O635" s="7" t="s">
        <v>161</v>
      </c>
      <c r="P635" s="7" t="s">
        <v>6602</v>
      </c>
      <c r="Q635" s="129">
        <v>46199</v>
      </c>
      <c r="R635" s="130">
        <f t="shared" si="78"/>
        <v>46210</v>
      </c>
      <c r="S635" s="131">
        <f t="shared" si="83"/>
        <v>11</v>
      </c>
      <c r="T635" s="7" t="s">
        <v>240</v>
      </c>
      <c r="U635" s="7" t="s">
        <v>248</v>
      </c>
      <c r="V635" s="7"/>
      <c r="W635" s="7">
        <v>0</v>
      </c>
      <c r="X635" s="132">
        <f t="shared" si="81"/>
        <v>10</v>
      </c>
      <c r="Y635" s="133"/>
      <c r="Z635" s="133"/>
      <c r="AA635" s="133"/>
    </row>
    <row r="636" spans="1:27" hidden="1" x14ac:dyDescent="0.25">
      <c r="A636" s="127">
        <v>731</v>
      </c>
      <c r="B636" s="128" t="str">
        <f t="shared" si="82"/>
        <v>NAMS</v>
      </c>
      <c r="C636" s="128">
        <f>+VLOOKUP(U636,Ходим!A:B,2,0)</f>
        <v>51003005980014</v>
      </c>
      <c r="D636" s="128" t="str">
        <f>IFERROR(VLOOKUP($B:$B,[20]свод!$A:$AB,3,0)," ")</f>
        <v>Наманган шаҳар</v>
      </c>
      <c r="E636" s="7" t="s">
        <v>1778</v>
      </c>
      <c r="F636" s="7" t="s">
        <v>8177</v>
      </c>
      <c r="G636" s="134">
        <f t="shared" si="79"/>
        <v>1</v>
      </c>
      <c r="H636" s="134" t="str">
        <f t="shared" si="80"/>
        <v/>
      </c>
      <c r="I636" s="7" t="s">
        <v>158</v>
      </c>
      <c r="J636" s="7" t="s">
        <v>12</v>
      </c>
      <c r="K636" s="7"/>
      <c r="L636" s="7" t="s">
        <v>167</v>
      </c>
      <c r="M636" s="7" t="s">
        <v>4616</v>
      </c>
      <c r="N636" s="7" t="s">
        <v>170</v>
      </c>
      <c r="O636" s="7" t="s">
        <v>162</v>
      </c>
      <c r="P636" s="7" t="s">
        <v>6603</v>
      </c>
      <c r="Q636" s="129">
        <v>46199</v>
      </c>
      <c r="R636" s="130">
        <f t="shared" si="78"/>
        <v>46210</v>
      </c>
      <c r="S636" s="131">
        <f t="shared" si="83"/>
        <v>11</v>
      </c>
      <c r="T636" s="7" t="s">
        <v>173</v>
      </c>
      <c r="U636" s="7" t="s">
        <v>949</v>
      </c>
      <c r="V636" s="7"/>
      <c r="W636" s="7">
        <v>238.17</v>
      </c>
      <c r="X636" s="132">
        <f t="shared" si="81"/>
        <v>10</v>
      </c>
      <c r="Y636" s="133"/>
      <c r="Z636" s="133"/>
      <c r="AA636" s="133"/>
    </row>
    <row r="637" spans="1:27" hidden="1" x14ac:dyDescent="0.25">
      <c r="A637" s="127">
        <v>732</v>
      </c>
      <c r="B637" s="128" t="str">
        <f t="shared" si="82"/>
        <v>NORT</v>
      </c>
      <c r="C637" s="128" t="str">
        <f>+VLOOKUP(U637,Ходим!A:B,2,0)</f>
        <v>32103985900068</v>
      </c>
      <c r="D637" s="128" t="str">
        <f>IFERROR(VLOOKUP($B:$B,[20]свод!$A:$AB,3,0)," ")</f>
        <v>Норин тумани</v>
      </c>
      <c r="E637" s="7" t="s">
        <v>1779</v>
      </c>
      <c r="F637" s="7" t="s">
        <v>8178</v>
      </c>
      <c r="G637" s="134">
        <f t="shared" si="79"/>
        <v>1</v>
      </c>
      <c r="H637" s="134" t="str">
        <f t="shared" si="80"/>
        <v/>
      </c>
      <c r="I637" s="7" t="s">
        <v>158</v>
      </c>
      <c r="J637" s="7" t="s">
        <v>2</v>
      </c>
      <c r="K637" s="7"/>
      <c r="L637" s="7" t="s">
        <v>167</v>
      </c>
      <c r="M637" s="7" t="s">
        <v>4617</v>
      </c>
      <c r="N637" s="7" t="s">
        <v>170</v>
      </c>
      <c r="O637" s="7" t="s">
        <v>162</v>
      </c>
      <c r="P637" s="7" t="s">
        <v>6604</v>
      </c>
      <c r="Q637" s="129">
        <v>46199</v>
      </c>
      <c r="R637" s="130">
        <f t="shared" si="78"/>
        <v>46211</v>
      </c>
      <c r="S637" s="131">
        <f t="shared" si="83"/>
        <v>12</v>
      </c>
      <c r="T637" s="7" t="s">
        <v>210</v>
      </c>
      <c r="U637" s="7" t="s">
        <v>327</v>
      </c>
      <c r="V637" s="7"/>
      <c r="W637" s="7">
        <v>49</v>
      </c>
      <c r="X637" s="132">
        <f t="shared" si="81"/>
        <v>10</v>
      </c>
      <c r="Y637" s="133"/>
      <c r="Z637" s="133"/>
      <c r="AA637" s="133"/>
    </row>
    <row r="638" spans="1:27" hidden="1" x14ac:dyDescent="0.25">
      <c r="A638" s="127">
        <v>733</v>
      </c>
      <c r="B638" s="128" t="str">
        <f t="shared" si="82"/>
        <v>CHUT</v>
      </c>
      <c r="C638" s="128" t="str">
        <f>+VLOOKUP(U638,Ходим!A:B,2,0)</f>
        <v>33112995970023</v>
      </c>
      <c r="D638" s="128" t="str">
        <f>IFERROR(VLOOKUP($B:$B,[20]свод!$A:$AB,3,0)," ")</f>
        <v>Чуст тумани</v>
      </c>
      <c r="E638" s="7" t="s">
        <v>1780</v>
      </c>
      <c r="F638" s="7" t="s">
        <v>8179</v>
      </c>
      <c r="G638" s="134">
        <f t="shared" si="79"/>
        <v>1</v>
      </c>
      <c r="H638" s="134" t="str">
        <f t="shared" si="80"/>
        <v/>
      </c>
      <c r="I638" s="7" t="s">
        <v>158</v>
      </c>
      <c r="J638" s="7" t="s">
        <v>1</v>
      </c>
      <c r="K638" s="7"/>
      <c r="L638" s="7" t="s">
        <v>167</v>
      </c>
      <c r="M638" s="7" t="s">
        <v>4618</v>
      </c>
      <c r="N638" s="7" t="s">
        <v>170</v>
      </c>
      <c r="O638" s="7" t="s">
        <v>162</v>
      </c>
      <c r="P638" s="7" t="s">
        <v>6407</v>
      </c>
      <c r="Q638" s="129">
        <v>46199</v>
      </c>
      <c r="R638" s="130">
        <f t="shared" si="78"/>
        <v>46211</v>
      </c>
      <c r="S638" s="131">
        <f t="shared" si="83"/>
        <v>12</v>
      </c>
      <c r="T638" s="7" t="s">
        <v>178</v>
      </c>
      <c r="U638" s="7" t="s">
        <v>179</v>
      </c>
      <c r="V638" s="7"/>
      <c r="W638" s="7">
        <v>256.97000000000003</v>
      </c>
      <c r="X638" s="132">
        <f t="shared" si="81"/>
        <v>10</v>
      </c>
      <c r="Y638" s="133"/>
      <c r="Z638" s="133"/>
      <c r="AA638" s="133"/>
    </row>
    <row r="639" spans="1:27" hidden="1" x14ac:dyDescent="0.25">
      <c r="A639" s="127">
        <v>734</v>
      </c>
      <c r="B639" s="128" t="str">
        <f t="shared" si="82"/>
        <v>NAMS</v>
      </c>
      <c r="C639" s="128" t="str">
        <f>+VLOOKUP(U639,Ходим!A:B,2,0)</f>
        <v>32207925880019</v>
      </c>
      <c r="D639" s="128" t="str">
        <f>IFERROR(VLOOKUP($B:$B,[20]свод!$A:$AB,3,0)," ")</f>
        <v>Наманган шаҳар</v>
      </c>
      <c r="E639" s="7" t="s">
        <v>1781</v>
      </c>
      <c r="F639" s="7" t="s">
        <v>8180</v>
      </c>
      <c r="G639" s="134" t="str">
        <f t="shared" si="79"/>
        <v/>
      </c>
      <c r="H639" s="134">
        <f t="shared" si="80"/>
        <v>1</v>
      </c>
      <c r="I639" s="7" t="s">
        <v>157</v>
      </c>
      <c r="J639" s="7" t="s">
        <v>13</v>
      </c>
      <c r="K639" s="7"/>
      <c r="L639" s="7" t="s">
        <v>166</v>
      </c>
      <c r="M639" s="7" t="s">
        <v>4619</v>
      </c>
      <c r="N639" s="7" t="s">
        <v>170</v>
      </c>
      <c r="O639" s="7" t="s">
        <v>161</v>
      </c>
      <c r="P639" s="7" t="s">
        <v>6541</v>
      </c>
      <c r="Q639" s="129">
        <v>46199</v>
      </c>
      <c r="R639" s="130">
        <f t="shared" si="78"/>
        <v>46209</v>
      </c>
      <c r="S639" s="131">
        <f t="shared" si="83"/>
        <v>10</v>
      </c>
      <c r="T639" s="7" t="s">
        <v>173</v>
      </c>
      <c r="U639" s="7" t="s">
        <v>174</v>
      </c>
      <c r="V639" s="7"/>
      <c r="W639" s="7">
        <v>174.05</v>
      </c>
      <c r="X639" s="132">
        <f t="shared" si="81"/>
        <v>12</v>
      </c>
      <c r="Y639" s="133"/>
      <c r="Z639" s="133"/>
      <c r="AA639" s="133"/>
    </row>
    <row r="640" spans="1:27" hidden="1" x14ac:dyDescent="0.25">
      <c r="A640" s="127">
        <v>735</v>
      </c>
      <c r="B640" s="128" t="str">
        <f t="shared" si="82"/>
        <v>NAMT</v>
      </c>
      <c r="C640" s="128">
        <f>+VLOOKUP(U640,Ходим!A:B,2,0)</f>
        <v>52908045880018</v>
      </c>
      <c r="D640" s="128" t="str">
        <f>IFERROR(VLOOKUP($B:$B,[20]свод!$A:$AB,3,0)," ")</f>
        <v>Наманган тумани</v>
      </c>
      <c r="E640" s="7" t="s">
        <v>1782</v>
      </c>
      <c r="F640" s="7" t="s">
        <v>8181</v>
      </c>
      <c r="G640" s="134">
        <f t="shared" si="79"/>
        <v>1</v>
      </c>
      <c r="H640" s="134" t="str">
        <f t="shared" si="80"/>
        <v/>
      </c>
      <c r="I640" s="7" t="s">
        <v>158</v>
      </c>
      <c r="J640" s="7" t="s">
        <v>2</v>
      </c>
      <c r="K640" s="7"/>
      <c r="L640" s="7" t="s">
        <v>167</v>
      </c>
      <c r="M640" s="7" t="s">
        <v>4620</v>
      </c>
      <c r="N640" s="7" t="s">
        <v>170</v>
      </c>
      <c r="O640" s="7" t="s">
        <v>162</v>
      </c>
      <c r="P640" s="7" t="s">
        <v>6481</v>
      </c>
      <c r="Q640" s="129">
        <v>46199</v>
      </c>
      <c r="R640" s="130">
        <f t="shared" si="78"/>
        <v>46211</v>
      </c>
      <c r="S640" s="131">
        <f t="shared" si="83"/>
        <v>12</v>
      </c>
      <c r="T640" s="7" t="s">
        <v>193</v>
      </c>
      <c r="U640" s="7" t="s">
        <v>982</v>
      </c>
      <c r="V640" s="7"/>
      <c r="W640" s="7">
        <v>334.98</v>
      </c>
      <c r="X640" s="132">
        <f t="shared" si="81"/>
        <v>10</v>
      </c>
      <c r="Y640" s="133"/>
      <c r="Z640" s="133"/>
      <c r="AA640" s="133"/>
    </row>
    <row r="641" spans="1:27" hidden="1" x14ac:dyDescent="0.25">
      <c r="A641" s="127">
        <v>736</v>
      </c>
      <c r="B641" s="128" t="str">
        <f t="shared" si="82"/>
        <v>CHUT</v>
      </c>
      <c r="C641" s="128" t="str">
        <f>+VLOOKUP(U641,Ходим!A:B,2,0)</f>
        <v>31312912180061</v>
      </c>
      <c r="D641" s="128" t="str">
        <f>IFERROR(VLOOKUP($B:$B,[20]свод!$A:$AB,3,0)," ")</f>
        <v>Чуст тумани</v>
      </c>
      <c r="E641" s="7" t="s">
        <v>1783</v>
      </c>
      <c r="F641" s="7" t="s">
        <v>8182</v>
      </c>
      <c r="G641" s="134">
        <f t="shared" si="79"/>
        <v>1</v>
      </c>
      <c r="H641" s="134" t="str">
        <f t="shared" si="80"/>
        <v/>
      </c>
      <c r="I641" s="7" t="s">
        <v>156</v>
      </c>
      <c r="J641" s="7" t="s">
        <v>25</v>
      </c>
      <c r="K641" s="7"/>
      <c r="L641" s="7"/>
      <c r="M641" s="7"/>
      <c r="N641" s="7" t="s">
        <v>170</v>
      </c>
      <c r="O641" s="7" t="s">
        <v>162</v>
      </c>
      <c r="P641" s="7" t="s">
        <v>6378</v>
      </c>
      <c r="Q641" s="129">
        <v>46199</v>
      </c>
      <c r="R641" s="130">
        <f t="shared" si="78"/>
        <v>46211</v>
      </c>
      <c r="S641" s="131">
        <f t="shared" si="83"/>
        <v>12</v>
      </c>
      <c r="T641" s="7" t="s">
        <v>178</v>
      </c>
      <c r="U641" s="7" t="s">
        <v>202</v>
      </c>
      <c r="V641" s="7"/>
      <c r="W641" s="7"/>
      <c r="X641" s="132">
        <f t="shared" si="81"/>
        <v>10</v>
      </c>
      <c r="Y641" s="133"/>
      <c r="Z641" s="133"/>
      <c r="AA641" s="133"/>
    </row>
    <row r="642" spans="1:27" hidden="1" x14ac:dyDescent="0.25">
      <c r="A642" s="127">
        <v>737</v>
      </c>
      <c r="B642" s="128" t="str">
        <f t="shared" si="82"/>
        <v>CHUT</v>
      </c>
      <c r="C642" s="128" t="str">
        <f>+VLOOKUP(U642,Ходим!A:B,2,0)</f>
        <v>50309005970046</v>
      </c>
      <c r="D642" s="128" t="str">
        <f>IFERROR(VLOOKUP($B:$B,[20]свод!$A:$AB,3,0)," ")</f>
        <v>Чуст тумани</v>
      </c>
      <c r="E642" s="7" t="s">
        <v>1784</v>
      </c>
      <c r="F642" s="7" t="s">
        <v>8183</v>
      </c>
      <c r="G642" s="134">
        <f t="shared" si="79"/>
        <v>1</v>
      </c>
      <c r="H642" s="134" t="str">
        <f t="shared" si="80"/>
        <v/>
      </c>
      <c r="I642" s="7" t="s">
        <v>158</v>
      </c>
      <c r="J642" s="7" t="s">
        <v>172</v>
      </c>
      <c r="K642" s="7"/>
      <c r="L642" s="7" t="s">
        <v>167</v>
      </c>
      <c r="M642" s="7" t="s">
        <v>4621</v>
      </c>
      <c r="N642" s="7" t="s">
        <v>170</v>
      </c>
      <c r="O642" s="7" t="s">
        <v>162</v>
      </c>
      <c r="P642" s="7" t="s">
        <v>6367</v>
      </c>
      <c r="Q642" s="129">
        <v>46199</v>
      </c>
      <c r="R642" s="130">
        <f t="shared" si="78"/>
        <v>46211</v>
      </c>
      <c r="S642" s="131">
        <f t="shared" si="83"/>
        <v>12</v>
      </c>
      <c r="T642" s="7" t="s">
        <v>178</v>
      </c>
      <c r="U642" s="7" t="s">
        <v>290</v>
      </c>
      <c r="V642" s="7"/>
      <c r="W642" s="7">
        <v>356.2</v>
      </c>
      <c r="X642" s="132">
        <f t="shared" si="81"/>
        <v>10</v>
      </c>
      <c r="Y642" s="133"/>
      <c r="Z642" s="133"/>
      <c r="AA642" s="133"/>
    </row>
    <row r="643" spans="1:27" hidden="1" x14ac:dyDescent="0.25">
      <c r="A643" s="127">
        <v>738</v>
      </c>
      <c r="B643" s="128" t="str">
        <f t="shared" si="82"/>
        <v>UYCT</v>
      </c>
      <c r="C643" s="128" t="str">
        <f>+VLOOKUP(U643,Ходим!A:B,2,0)</f>
        <v>53007005930024</v>
      </c>
      <c r="D643" s="128" t="str">
        <f>IFERROR(VLOOKUP($B:$B,[20]свод!$A:$AB,3,0)," ")</f>
        <v>Уйчи тумани</v>
      </c>
      <c r="E643" s="7" t="s">
        <v>1785</v>
      </c>
      <c r="F643" s="7" t="s">
        <v>8184</v>
      </c>
      <c r="G643" s="134">
        <f t="shared" si="79"/>
        <v>1</v>
      </c>
      <c r="H643" s="134" t="str">
        <f t="shared" si="80"/>
        <v/>
      </c>
      <c r="I643" s="7" t="s">
        <v>156</v>
      </c>
      <c r="J643" s="7" t="s">
        <v>22</v>
      </c>
      <c r="K643" s="7"/>
      <c r="L643" s="7" t="s">
        <v>167</v>
      </c>
      <c r="M643" s="7" t="s">
        <v>4622</v>
      </c>
      <c r="N643" s="7" t="s">
        <v>170</v>
      </c>
      <c r="O643" s="7" t="s">
        <v>162</v>
      </c>
      <c r="P643" s="7" t="s">
        <v>6605</v>
      </c>
      <c r="Q643" s="129">
        <v>46199</v>
      </c>
      <c r="R643" s="130">
        <f t="shared" si="78"/>
        <v>46210</v>
      </c>
      <c r="S643" s="131">
        <f t="shared" si="83"/>
        <v>11</v>
      </c>
      <c r="T643" s="7" t="s">
        <v>947</v>
      </c>
      <c r="U643" s="7" t="s">
        <v>378</v>
      </c>
      <c r="V643" s="7"/>
      <c r="W643" s="7">
        <v>0</v>
      </c>
      <c r="X643" s="132">
        <f t="shared" si="81"/>
        <v>10</v>
      </c>
      <c r="Y643" s="133"/>
      <c r="Z643" s="133"/>
      <c r="AA643" s="133"/>
    </row>
    <row r="644" spans="1:27" hidden="1" x14ac:dyDescent="0.25">
      <c r="A644" s="127">
        <v>739</v>
      </c>
      <c r="B644" s="128" t="str">
        <f t="shared" si="82"/>
        <v>NAMS</v>
      </c>
      <c r="C644" s="128">
        <f>+VLOOKUP(U644,Ходим!A:B,2,0)</f>
        <v>50510025960139</v>
      </c>
      <c r="D644" s="128" t="str">
        <f>IFERROR(VLOOKUP($B:$B,[20]свод!$A:$AB,3,0)," ")</f>
        <v>Наманган шаҳар</v>
      </c>
      <c r="E644" s="7" t="s">
        <v>1786</v>
      </c>
      <c r="F644" s="7" t="s">
        <v>8185</v>
      </c>
      <c r="G644" s="134">
        <f t="shared" si="79"/>
        <v>1</v>
      </c>
      <c r="H644" s="134" t="str">
        <f t="shared" si="80"/>
        <v/>
      </c>
      <c r="I644" s="7" t="s">
        <v>156</v>
      </c>
      <c r="J644" s="7" t="s">
        <v>25</v>
      </c>
      <c r="K644" s="7"/>
      <c r="L644" s="7"/>
      <c r="M644" s="7"/>
      <c r="N644" s="7" t="s">
        <v>170</v>
      </c>
      <c r="O644" s="7" t="s">
        <v>162</v>
      </c>
      <c r="P644" s="7" t="s">
        <v>6606</v>
      </c>
      <c r="Q644" s="129">
        <v>46199</v>
      </c>
      <c r="R644" s="130">
        <f t="shared" si="78"/>
        <v>46211</v>
      </c>
      <c r="S644" s="131">
        <f t="shared" si="83"/>
        <v>12</v>
      </c>
      <c r="T644" s="7" t="s">
        <v>173</v>
      </c>
      <c r="U644" s="7" t="s">
        <v>955</v>
      </c>
      <c r="V644" s="7"/>
      <c r="W644" s="7"/>
      <c r="X644" s="132">
        <f t="shared" si="81"/>
        <v>10</v>
      </c>
      <c r="Y644" s="133"/>
      <c r="Z644" s="133"/>
      <c r="AA644" s="133"/>
    </row>
    <row r="645" spans="1:27" hidden="1" x14ac:dyDescent="0.25">
      <c r="A645" s="127">
        <v>743</v>
      </c>
      <c r="B645" s="128" t="str">
        <f t="shared" si="82"/>
        <v>KSST</v>
      </c>
      <c r="C645" s="128" t="str">
        <f>+VLOOKUP(U645,Ходим!A:B,2,0)</f>
        <v>31810912190036</v>
      </c>
      <c r="D645" s="128" t="str">
        <f>IFERROR(VLOOKUP($B:$B,[20]свод!$A:$AB,3,0)," ")</f>
        <v>Косонсой тумани</v>
      </c>
      <c r="E645" s="7" t="s">
        <v>1787</v>
      </c>
      <c r="F645" s="7" t="s">
        <v>8186</v>
      </c>
      <c r="G645" s="134" t="str">
        <f t="shared" si="79"/>
        <v/>
      </c>
      <c r="H645" s="134">
        <f t="shared" si="80"/>
        <v>1</v>
      </c>
      <c r="I645" s="7" t="s">
        <v>157</v>
      </c>
      <c r="J645" s="7" t="s">
        <v>2</v>
      </c>
      <c r="K645" s="7"/>
      <c r="L645" s="7" t="s">
        <v>166</v>
      </c>
      <c r="M645" s="7" t="s">
        <v>4623</v>
      </c>
      <c r="N645" s="7" t="s">
        <v>410</v>
      </c>
      <c r="O645" s="7" t="s">
        <v>163</v>
      </c>
      <c r="P645" s="7" t="s">
        <v>6606</v>
      </c>
      <c r="Q645" s="129">
        <v>46199</v>
      </c>
      <c r="R645" s="130">
        <f t="shared" si="78"/>
        <v>46213</v>
      </c>
      <c r="S645" s="131">
        <f t="shared" si="83"/>
        <v>14</v>
      </c>
      <c r="T645" s="7" t="s">
        <v>180</v>
      </c>
      <c r="U645" s="7" t="s">
        <v>196</v>
      </c>
      <c r="V645" s="7"/>
      <c r="W645" s="7">
        <v>140.41999999999999</v>
      </c>
      <c r="X645" s="132">
        <f t="shared" si="81"/>
        <v>12</v>
      </c>
      <c r="Y645" s="133"/>
      <c r="Z645" s="133"/>
      <c r="AA645" s="133"/>
    </row>
    <row r="646" spans="1:27" hidden="1" x14ac:dyDescent="0.25">
      <c r="A646" s="127">
        <v>744</v>
      </c>
      <c r="B646" s="128" t="str">
        <f t="shared" si="82"/>
        <v>NAMS</v>
      </c>
      <c r="C646" s="128">
        <f>+VLOOKUP(U646,Ходим!A:B,2,0)</f>
        <v>50510025960139</v>
      </c>
      <c r="D646" s="128" t="str">
        <f>IFERROR(VLOOKUP($B:$B,[20]свод!$A:$AB,3,0)," ")</f>
        <v>Наманган шаҳар</v>
      </c>
      <c r="E646" s="7" t="s">
        <v>1788</v>
      </c>
      <c r="F646" s="7" t="s">
        <v>8187</v>
      </c>
      <c r="G646" s="134">
        <f t="shared" si="79"/>
        <v>1</v>
      </c>
      <c r="H646" s="134" t="str">
        <f t="shared" si="80"/>
        <v/>
      </c>
      <c r="I646" s="7" t="s">
        <v>158</v>
      </c>
      <c r="J646" s="7" t="s">
        <v>2</v>
      </c>
      <c r="K646" s="7"/>
      <c r="L646" s="7" t="s">
        <v>167</v>
      </c>
      <c r="M646" s="7" t="s">
        <v>4624</v>
      </c>
      <c r="N646" s="7" t="s">
        <v>170</v>
      </c>
      <c r="O646" s="7" t="s">
        <v>162</v>
      </c>
      <c r="P646" s="7" t="s">
        <v>6607</v>
      </c>
      <c r="Q646" s="129">
        <v>46199</v>
      </c>
      <c r="R646" s="130">
        <f t="shared" si="78"/>
        <v>46205</v>
      </c>
      <c r="S646" s="131">
        <f t="shared" si="83"/>
        <v>6</v>
      </c>
      <c r="T646" s="7" t="s">
        <v>173</v>
      </c>
      <c r="U646" s="7" t="s">
        <v>955</v>
      </c>
      <c r="V646" s="7"/>
      <c r="W646" s="7">
        <v>24.15</v>
      </c>
      <c r="X646" s="132">
        <f t="shared" si="81"/>
        <v>10</v>
      </c>
      <c r="Y646" s="133"/>
      <c r="Z646" s="133"/>
      <c r="AA646" s="133"/>
    </row>
    <row r="647" spans="1:27" hidden="1" x14ac:dyDescent="0.25">
      <c r="A647" s="127">
        <v>746</v>
      </c>
      <c r="B647" s="128" t="str">
        <f t="shared" si="82"/>
        <v>KSST</v>
      </c>
      <c r="C647" s="128" t="str">
        <f>+VLOOKUP(U647,Ходим!A:B,2,0)</f>
        <v>30205975980020</v>
      </c>
      <c r="D647" s="128" t="str">
        <f>IFERROR(VLOOKUP($B:$B,[20]свод!$A:$AB,3,0)," ")</f>
        <v>Косонсой тумани</v>
      </c>
      <c r="E647" s="7" t="s">
        <v>1789</v>
      </c>
      <c r="F647" s="7" t="s">
        <v>8188</v>
      </c>
      <c r="G647" s="134">
        <f t="shared" si="79"/>
        <v>1</v>
      </c>
      <c r="H647" s="134" t="str">
        <f t="shared" si="80"/>
        <v/>
      </c>
      <c r="I647" s="7" t="s">
        <v>158</v>
      </c>
      <c r="J647" s="7" t="s">
        <v>1</v>
      </c>
      <c r="K647" s="7"/>
      <c r="L647" s="7" t="s">
        <v>167</v>
      </c>
      <c r="M647" s="7" t="s">
        <v>4625</v>
      </c>
      <c r="N647" s="7" t="s">
        <v>170</v>
      </c>
      <c r="O647" s="7" t="s">
        <v>162</v>
      </c>
      <c r="P647" s="7" t="s">
        <v>6550</v>
      </c>
      <c r="Q647" s="129">
        <v>46199</v>
      </c>
      <c r="R647" s="130">
        <f t="shared" si="78"/>
        <v>46211</v>
      </c>
      <c r="S647" s="131">
        <f t="shared" si="83"/>
        <v>12</v>
      </c>
      <c r="T647" s="7" t="s">
        <v>180</v>
      </c>
      <c r="U647" s="7" t="s">
        <v>370</v>
      </c>
      <c r="V647" s="7"/>
      <c r="W647" s="7">
        <v>265.13</v>
      </c>
      <c r="X647" s="132">
        <f t="shared" si="81"/>
        <v>10</v>
      </c>
      <c r="Y647" s="133"/>
      <c r="Z647" s="133"/>
      <c r="AA647" s="133"/>
    </row>
    <row r="648" spans="1:27" hidden="1" x14ac:dyDescent="0.25">
      <c r="A648" s="127">
        <v>747</v>
      </c>
      <c r="B648" s="128" t="str">
        <f t="shared" si="82"/>
        <v>KSST</v>
      </c>
      <c r="C648" s="128" t="str">
        <f>+VLOOKUP(U648,Ходим!A:B,2,0)</f>
        <v>30703792190108</v>
      </c>
      <c r="D648" s="128" t="str">
        <f>IFERROR(VLOOKUP($B:$B,[20]свод!$A:$AB,3,0)," ")</f>
        <v>Косонсой тумани</v>
      </c>
      <c r="E648" s="7" t="s">
        <v>1790</v>
      </c>
      <c r="F648" s="7" t="s">
        <v>8189</v>
      </c>
      <c r="G648" s="134">
        <f t="shared" si="79"/>
        <v>1</v>
      </c>
      <c r="H648" s="134" t="str">
        <f t="shared" si="80"/>
        <v/>
      </c>
      <c r="I648" s="7" t="s">
        <v>156</v>
      </c>
      <c r="J648" s="7" t="s">
        <v>25</v>
      </c>
      <c r="K648" s="7"/>
      <c r="L648" s="7"/>
      <c r="M648" s="7"/>
      <c r="N648" s="7" t="s">
        <v>170</v>
      </c>
      <c r="O648" s="7" t="s">
        <v>162</v>
      </c>
      <c r="P648" s="7" t="s">
        <v>6582</v>
      </c>
      <c r="Q648" s="129">
        <v>46199</v>
      </c>
      <c r="R648" s="130">
        <f t="shared" si="78"/>
        <v>46211</v>
      </c>
      <c r="S648" s="131">
        <f t="shared" si="83"/>
        <v>12</v>
      </c>
      <c r="T648" s="7" t="s">
        <v>180</v>
      </c>
      <c r="U648" s="7" t="s">
        <v>231</v>
      </c>
      <c r="V648" s="7"/>
      <c r="W648" s="7"/>
      <c r="X648" s="132">
        <f t="shared" si="81"/>
        <v>10</v>
      </c>
      <c r="Y648" s="133"/>
      <c r="Z648" s="133"/>
      <c r="AA648" s="133"/>
    </row>
    <row r="649" spans="1:27" hidden="1" x14ac:dyDescent="0.25">
      <c r="A649" s="127">
        <v>748</v>
      </c>
      <c r="B649" s="128" t="str">
        <f t="shared" si="82"/>
        <v>UCQT</v>
      </c>
      <c r="C649" s="128" t="e">
        <f>+VLOOKUP(U649,Ходим!A:B,2,0)</f>
        <v>#N/A</v>
      </c>
      <c r="D649" s="128" t="str">
        <f>IFERROR(VLOOKUP($B:$B,[20]свод!$A:$AB,3,0)," ")</f>
        <v>Учқўрғон тумани</v>
      </c>
      <c r="E649" s="7" t="s">
        <v>1791</v>
      </c>
      <c r="F649" s="7" t="s">
        <v>8190</v>
      </c>
      <c r="G649" s="134">
        <f t="shared" si="79"/>
        <v>1</v>
      </c>
      <c r="H649" s="134" t="str">
        <f t="shared" si="80"/>
        <v/>
      </c>
      <c r="I649" s="7" t="s">
        <v>156</v>
      </c>
      <c r="J649" s="7" t="s">
        <v>11</v>
      </c>
      <c r="K649" s="7"/>
      <c r="L649" s="7"/>
      <c r="M649" s="7"/>
      <c r="N649" s="7" t="s">
        <v>170</v>
      </c>
      <c r="O649" s="7" t="s">
        <v>162</v>
      </c>
      <c r="P649" s="7" t="s">
        <v>6593</v>
      </c>
      <c r="Q649" s="129">
        <v>46199</v>
      </c>
      <c r="R649" s="130">
        <f t="shared" si="78"/>
        <v>46211</v>
      </c>
      <c r="S649" s="131">
        <f t="shared" si="83"/>
        <v>12</v>
      </c>
      <c r="T649" s="7"/>
      <c r="U649" s="7"/>
      <c r="V649" s="7"/>
      <c r="W649" s="7"/>
      <c r="X649" s="132">
        <f t="shared" si="81"/>
        <v>10</v>
      </c>
      <c r="Y649" s="133"/>
      <c r="Z649" s="133"/>
      <c r="AA649" s="133"/>
    </row>
    <row r="650" spans="1:27" hidden="1" x14ac:dyDescent="0.25">
      <c r="A650" s="127">
        <v>749</v>
      </c>
      <c r="B650" s="128" t="str">
        <f t="shared" si="82"/>
        <v>CHUT</v>
      </c>
      <c r="C650" s="128" t="str">
        <f>+VLOOKUP(U650,Ходим!A:B,2,0)</f>
        <v>31608922180118</v>
      </c>
      <c r="D650" s="128" t="str">
        <f>IFERROR(VLOOKUP($B:$B,[20]свод!$A:$AB,3,0)," ")</f>
        <v>Чуст тумани</v>
      </c>
      <c r="E650" s="7" t="s">
        <v>1792</v>
      </c>
      <c r="F650" s="7" t="s">
        <v>8191</v>
      </c>
      <c r="G650" s="134">
        <f t="shared" si="79"/>
        <v>1</v>
      </c>
      <c r="H650" s="134" t="str">
        <f t="shared" si="80"/>
        <v/>
      </c>
      <c r="I650" s="7" t="s">
        <v>158</v>
      </c>
      <c r="J650" s="7" t="s">
        <v>172</v>
      </c>
      <c r="K650" s="7"/>
      <c r="L650" s="7" t="s">
        <v>167</v>
      </c>
      <c r="M650" s="7" t="s">
        <v>4626</v>
      </c>
      <c r="N650" s="7" t="s">
        <v>170</v>
      </c>
      <c r="O650" s="7" t="s">
        <v>162</v>
      </c>
      <c r="P650" s="7" t="s">
        <v>6608</v>
      </c>
      <c r="Q650" s="129">
        <v>46199</v>
      </c>
      <c r="R650" s="130">
        <f t="shared" si="78"/>
        <v>46205</v>
      </c>
      <c r="S650" s="131">
        <f t="shared" si="83"/>
        <v>6</v>
      </c>
      <c r="T650" s="7" t="s">
        <v>178</v>
      </c>
      <c r="U650" s="7" t="s">
        <v>284</v>
      </c>
      <c r="V650" s="7"/>
      <c r="W650" s="7">
        <v>451.92</v>
      </c>
      <c r="X650" s="132">
        <f t="shared" si="81"/>
        <v>10</v>
      </c>
      <c r="Y650" s="133"/>
      <c r="Z650" s="133"/>
      <c r="AA650" s="133"/>
    </row>
    <row r="651" spans="1:27" hidden="1" x14ac:dyDescent="0.25">
      <c r="A651" s="127">
        <v>750</v>
      </c>
      <c r="B651" s="128" t="str">
        <f t="shared" si="82"/>
        <v>CHUT</v>
      </c>
      <c r="C651" s="128" t="str">
        <f>+VLOOKUP(U651,Ходим!A:B,2,0)</f>
        <v>51009035910014</v>
      </c>
      <c r="D651" s="128" t="str">
        <f>IFERROR(VLOOKUP($B:$B,[20]свод!$A:$AB,3,0)," ")</f>
        <v>Чуст тумани</v>
      </c>
      <c r="E651" s="7" t="s">
        <v>1793</v>
      </c>
      <c r="F651" s="7" t="s">
        <v>8192</v>
      </c>
      <c r="G651" s="134">
        <f t="shared" si="79"/>
        <v>1</v>
      </c>
      <c r="H651" s="134" t="str">
        <f t="shared" si="80"/>
        <v/>
      </c>
      <c r="I651" s="7" t="s">
        <v>156</v>
      </c>
      <c r="J651" s="7" t="s">
        <v>25</v>
      </c>
      <c r="K651" s="7"/>
      <c r="L651" s="7" t="s">
        <v>167</v>
      </c>
      <c r="M651" s="7" t="s">
        <v>4627</v>
      </c>
      <c r="N651" s="7" t="s">
        <v>170</v>
      </c>
      <c r="O651" s="7" t="s">
        <v>162</v>
      </c>
      <c r="P651" s="7" t="s">
        <v>6383</v>
      </c>
      <c r="Q651" s="129">
        <v>46199</v>
      </c>
      <c r="R651" s="130">
        <f t="shared" si="78"/>
        <v>46211</v>
      </c>
      <c r="S651" s="131">
        <f t="shared" si="83"/>
        <v>12</v>
      </c>
      <c r="T651" s="7" t="s">
        <v>178</v>
      </c>
      <c r="U651" s="7" t="s">
        <v>315</v>
      </c>
      <c r="V651" s="7"/>
      <c r="W651" s="7">
        <v>331</v>
      </c>
      <c r="X651" s="132">
        <f t="shared" si="81"/>
        <v>10</v>
      </c>
      <c r="Y651" s="133"/>
      <c r="Z651" s="133"/>
      <c r="AA651" s="133"/>
    </row>
    <row r="652" spans="1:27" hidden="1" x14ac:dyDescent="0.25">
      <c r="A652" s="127">
        <v>751</v>
      </c>
      <c r="B652" s="128" t="str">
        <f t="shared" si="82"/>
        <v>CHUT</v>
      </c>
      <c r="C652" s="128" t="str">
        <f>+VLOOKUP(U652,Ходим!A:B,2,0)</f>
        <v>32511965970037</v>
      </c>
      <c r="D652" s="128" t="str">
        <f>IFERROR(VLOOKUP($B:$B,[20]свод!$A:$AB,3,0)," ")</f>
        <v>Чуст тумани</v>
      </c>
      <c r="E652" s="7" t="s">
        <v>1794</v>
      </c>
      <c r="F652" s="7" t="s">
        <v>8193</v>
      </c>
      <c r="G652" s="134">
        <f t="shared" si="79"/>
        <v>1</v>
      </c>
      <c r="H652" s="134" t="str">
        <f t="shared" si="80"/>
        <v/>
      </c>
      <c r="I652" s="7" t="s">
        <v>158</v>
      </c>
      <c r="J652" s="7" t="s">
        <v>172</v>
      </c>
      <c r="K652" s="7"/>
      <c r="L652" s="7" t="s">
        <v>167</v>
      </c>
      <c r="M652" s="7" t="s">
        <v>4628</v>
      </c>
      <c r="N652" s="7" t="s">
        <v>170</v>
      </c>
      <c r="O652" s="7" t="s">
        <v>162</v>
      </c>
      <c r="P652" s="7" t="s">
        <v>6386</v>
      </c>
      <c r="Q652" s="129">
        <v>46199</v>
      </c>
      <c r="R652" s="130">
        <f t="shared" si="78"/>
        <v>46211</v>
      </c>
      <c r="S652" s="131">
        <f t="shared" si="83"/>
        <v>12</v>
      </c>
      <c r="T652" s="7" t="s">
        <v>178</v>
      </c>
      <c r="U652" s="7" t="s">
        <v>351</v>
      </c>
      <c r="V652" s="7"/>
      <c r="W652" s="7">
        <v>380.56</v>
      </c>
      <c r="X652" s="132">
        <f t="shared" si="81"/>
        <v>10</v>
      </c>
      <c r="Y652" s="133"/>
      <c r="Z652" s="133"/>
      <c r="AA652" s="133"/>
    </row>
    <row r="653" spans="1:27" hidden="1" x14ac:dyDescent="0.25">
      <c r="A653" s="127">
        <v>752</v>
      </c>
      <c r="B653" s="128" t="str">
        <f t="shared" si="82"/>
        <v>NAMS</v>
      </c>
      <c r="C653" s="128" t="str">
        <f>+VLOOKUP(U653,Ходим!A:B,2,0)</f>
        <v>52503015960039</v>
      </c>
      <c r="D653" s="128" t="str">
        <f>IFERROR(VLOOKUP($B:$B,[20]свод!$A:$AB,3,0)," ")</f>
        <v>Наманган шаҳар</v>
      </c>
      <c r="E653" s="7" t="s">
        <v>1795</v>
      </c>
      <c r="F653" s="7" t="s">
        <v>8194</v>
      </c>
      <c r="G653" s="134">
        <f t="shared" si="79"/>
        <v>1</v>
      </c>
      <c r="H653" s="134" t="str">
        <f t="shared" si="80"/>
        <v/>
      </c>
      <c r="I653" s="7" t="s">
        <v>158</v>
      </c>
      <c r="J653" s="7" t="s">
        <v>2</v>
      </c>
      <c r="K653" s="7"/>
      <c r="L653" s="7" t="s">
        <v>167</v>
      </c>
      <c r="M653" s="7" t="s">
        <v>4629</v>
      </c>
      <c r="N653" s="7" t="s">
        <v>170</v>
      </c>
      <c r="O653" s="7" t="s">
        <v>162</v>
      </c>
      <c r="P653" s="7" t="s">
        <v>6609</v>
      </c>
      <c r="Q653" s="129">
        <v>46199</v>
      </c>
      <c r="R653" s="130">
        <f t="shared" si="78"/>
        <v>46210</v>
      </c>
      <c r="S653" s="131">
        <f t="shared" si="83"/>
        <v>11</v>
      </c>
      <c r="T653" s="7" t="s">
        <v>173</v>
      </c>
      <c r="U653" s="7" t="s">
        <v>246</v>
      </c>
      <c r="V653" s="7"/>
      <c r="W653" s="7">
        <v>0</v>
      </c>
      <c r="X653" s="132">
        <f t="shared" si="81"/>
        <v>10</v>
      </c>
      <c r="Y653" s="133"/>
      <c r="Z653" s="133"/>
      <c r="AA653" s="133"/>
    </row>
    <row r="654" spans="1:27" hidden="1" x14ac:dyDescent="0.25">
      <c r="A654" s="127">
        <v>753</v>
      </c>
      <c r="B654" s="128" t="str">
        <f t="shared" si="82"/>
        <v>UYCT</v>
      </c>
      <c r="C654" s="128" t="str">
        <f>+VLOOKUP(U654,Ходим!A:B,2,0)</f>
        <v>30309975930028</v>
      </c>
      <c r="D654" s="128" t="str">
        <f>IFERROR(VLOOKUP($B:$B,[20]свод!$A:$AB,3,0)," ")</f>
        <v>Уйчи тумани</v>
      </c>
      <c r="E654" s="7" t="s">
        <v>1796</v>
      </c>
      <c r="F654" s="7" t="s">
        <v>8195</v>
      </c>
      <c r="G654" s="134" t="str">
        <f t="shared" si="79"/>
        <v/>
      </c>
      <c r="H654" s="134">
        <f t="shared" si="80"/>
        <v>1</v>
      </c>
      <c r="I654" s="7" t="s">
        <v>157</v>
      </c>
      <c r="J654" s="7" t="s">
        <v>2</v>
      </c>
      <c r="K654" s="7"/>
      <c r="L654" s="7" t="s">
        <v>166</v>
      </c>
      <c r="M654" s="7" t="s">
        <v>1053</v>
      </c>
      <c r="N654" s="7" t="s">
        <v>170</v>
      </c>
      <c r="O654" s="7" t="s">
        <v>161</v>
      </c>
      <c r="P654" s="7" t="s">
        <v>6608</v>
      </c>
      <c r="Q654" s="129">
        <v>46199</v>
      </c>
      <c r="R654" s="130">
        <f t="shared" si="78"/>
        <v>46209</v>
      </c>
      <c r="S654" s="131">
        <f t="shared" si="83"/>
        <v>10</v>
      </c>
      <c r="T654" s="7" t="s">
        <v>947</v>
      </c>
      <c r="U654" s="7" t="s">
        <v>261</v>
      </c>
      <c r="V654" s="7"/>
      <c r="W654" s="7">
        <v>220.16</v>
      </c>
      <c r="X654" s="132">
        <f t="shared" si="81"/>
        <v>12</v>
      </c>
      <c r="Y654" s="133"/>
      <c r="Z654" s="133"/>
      <c r="AA654" s="133"/>
    </row>
    <row r="655" spans="1:27" hidden="1" x14ac:dyDescent="0.25">
      <c r="A655" s="127">
        <v>754</v>
      </c>
      <c r="B655" s="128" t="str">
        <f t="shared" si="82"/>
        <v>YGQT</v>
      </c>
      <c r="C655" s="128" t="str">
        <f>+VLOOKUP(U655,Ходим!A:B,2,0)</f>
        <v>52410005950025</v>
      </c>
      <c r="D655" s="128" t="str">
        <f>IFERROR(VLOOKUP($B:$B,[20]свод!$A:$AB,3,0)," ")</f>
        <v>Янгиқўрғон тумани</v>
      </c>
      <c r="E655" s="7" t="s">
        <v>1797</v>
      </c>
      <c r="F655" s="7" t="s">
        <v>8196</v>
      </c>
      <c r="G655" s="134">
        <f t="shared" si="79"/>
        <v>1</v>
      </c>
      <c r="H655" s="134" t="str">
        <f t="shared" si="80"/>
        <v/>
      </c>
      <c r="I655" s="7" t="s">
        <v>158</v>
      </c>
      <c r="J655" s="7" t="s">
        <v>2</v>
      </c>
      <c r="K655" s="7"/>
      <c r="L655" s="7" t="s">
        <v>167</v>
      </c>
      <c r="M655" s="7" t="s">
        <v>4630</v>
      </c>
      <c r="N655" s="7" t="s">
        <v>170</v>
      </c>
      <c r="O655" s="7" t="s">
        <v>162</v>
      </c>
      <c r="P655" s="7" t="s">
        <v>6610</v>
      </c>
      <c r="Q655" s="129">
        <v>46199</v>
      </c>
      <c r="R655" s="130">
        <f t="shared" si="78"/>
        <v>46205</v>
      </c>
      <c r="S655" s="131">
        <f t="shared" si="83"/>
        <v>6</v>
      </c>
      <c r="T655" s="7" t="s">
        <v>182</v>
      </c>
      <c r="U655" s="7" t="s">
        <v>256</v>
      </c>
      <c r="V655" s="7"/>
      <c r="W655" s="7">
        <v>215.15</v>
      </c>
      <c r="X655" s="132">
        <f t="shared" si="81"/>
        <v>10</v>
      </c>
      <c r="Y655" s="133"/>
      <c r="Z655" s="133"/>
      <c r="AA655" s="133"/>
    </row>
    <row r="656" spans="1:27" hidden="1" x14ac:dyDescent="0.25">
      <c r="A656" s="127">
        <v>755</v>
      </c>
      <c r="B656" s="128" t="str">
        <f t="shared" si="82"/>
        <v>CHUT</v>
      </c>
      <c r="C656" s="128" t="str">
        <f>+VLOOKUP(U656,Ходим!A:B,2,0)</f>
        <v>50309005970046</v>
      </c>
      <c r="D656" s="128" t="str">
        <f>IFERROR(VLOOKUP($B:$B,[20]свод!$A:$AB,3,0)," ")</f>
        <v>Чуст тумани</v>
      </c>
      <c r="E656" s="7" t="s">
        <v>1798</v>
      </c>
      <c r="F656" s="7" t="s">
        <v>8197</v>
      </c>
      <c r="G656" s="134" t="str">
        <f t="shared" si="79"/>
        <v/>
      </c>
      <c r="H656" s="134">
        <f t="shared" si="80"/>
        <v>1</v>
      </c>
      <c r="I656" s="7" t="s">
        <v>155</v>
      </c>
      <c r="J656" s="7" t="s">
        <v>25</v>
      </c>
      <c r="K656" s="7"/>
      <c r="L656" s="7" t="s">
        <v>166</v>
      </c>
      <c r="M656" s="7" t="s">
        <v>4631</v>
      </c>
      <c r="N656" s="7" t="s">
        <v>170</v>
      </c>
      <c r="O656" s="7" t="s">
        <v>161</v>
      </c>
      <c r="P656" s="7" t="s">
        <v>6416</v>
      </c>
      <c r="Q656" s="129">
        <v>46199</v>
      </c>
      <c r="R656" s="130">
        <f t="shared" si="78"/>
        <v>46211</v>
      </c>
      <c r="S656" s="131">
        <f t="shared" si="83"/>
        <v>12</v>
      </c>
      <c r="T656" s="7" t="s">
        <v>178</v>
      </c>
      <c r="U656" s="7" t="s">
        <v>290</v>
      </c>
      <c r="V656" s="7"/>
      <c r="W656" s="7">
        <v>0</v>
      </c>
      <c r="X656" s="132">
        <f t="shared" si="81"/>
        <v>10</v>
      </c>
      <c r="Y656" s="133"/>
      <c r="Z656" s="133"/>
      <c r="AA656" s="133"/>
    </row>
    <row r="657" spans="1:27" hidden="1" x14ac:dyDescent="0.25">
      <c r="A657" s="127">
        <v>756</v>
      </c>
      <c r="B657" s="128" t="str">
        <f t="shared" si="82"/>
        <v>KSST</v>
      </c>
      <c r="C657" s="128" t="str">
        <f>+VLOOKUP(U657,Ходим!A:B,2,0)</f>
        <v>31810912190036</v>
      </c>
      <c r="D657" s="128" t="str">
        <f>IFERROR(VLOOKUP($B:$B,[20]свод!$A:$AB,3,0)," ")</f>
        <v>Косонсой тумани</v>
      </c>
      <c r="E657" s="7" t="s">
        <v>1799</v>
      </c>
      <c r="F657" s="7" t="s">
        <v>8198</v>
      </c>
      <c r="G657" s="134">
        <f t="shared" si="79"/>
        <v>1</v>
      </c>
      <c r="H657" s="134" t="str">
        <f t="shared" si="80"/>
        <v/>
      </c>
      <c r="I657" s="7" t="s">
        <v>158</v>
      </c>
      <c r="J657" s="7" t="s">
        <v>2</v>
      </c>
      <c r="K657" s="7"/>
      <c r="L657" s="7"/>
      <c r="M657" s="7"/>
      <c r="N657" s="7" t="s">
        <v>410</v>
      </c>
      <c r="O657" s="7" t="s">
        <v>162</v>
      </c>
      <c r="P657" s="7" t="s">
        <v>6611</v>
      </c>
      <c r="Q657" s="129">
        <v>46199</v>
      </c>
      <c r="R657" s="130">
        <f t="shared" si="78"/>
        <v>46211</v>
      </c>
      <c r="S657" s="131">
        <f t="shared" si="83"/>
        <v>12</v>
      </c>
      <c r="T657" s="7" t="s">
        <v>180</v>
      </c>
      <c r="U657" s="7" t="s">
        <v>196</v>
      </c>
      <c r="V657" s="7"/>
      <c r="W657" s="7"/>
      <c r="X657" s="132">
        <f t="shared" si="81"/>
        <v>10</v>
      </c>
      <c r="Y657" s="133"/>
      <c r="Z657" s="133"/>
      <c r="AA657" s="133"/>
    </row>
    <row r="658" spans="1:27" hidden="1" x14ac:dyDescent="0.25">
      <c r="A658" s="127">
        <v>757</v>
      </c>
      <c r="B658" s="128" t="str">
        <f t="shared" si="82"/>
        <v>MINT</v>
      </c>
      <c r="C658" s="128" t="str">
        <f>+VLOOKUP(U658,Ходим!A:B,2,0)</f>
        <v>31005942200035</v>
      </c>
      <c r="D658" s="128" t="str">
        <f>IFERROR(VLOOKUP($B:$B,[20]свод!$A:$AB,3,0)," ")</f>
        <v>Мингбулоқ тумани</v>
      </c>
      <c r="E658" s="7" t="s">
        <v>1800</v>
      </c>
      <c r="F658" s="7" t="s">
        <v>8199</v>
      </c>
      <c r="G658" s="134">
        <f t="shared" si="79"/>
        <v>1</v>
      </c>
      <c r="H658" s="134" t="str">
        <f t="shared" si="80"/>
        <v/>
      </c>
      <c r="I658" s="7" t="s">
        <v>154</v>
      </c>
      <c r="J658" s="7" t="s">
        <v>2</v>
      </c>
      <c r="K658" s="7"/>
      <c r="L658" s="7" t="s">
        <v>167</v>
      </c>
      <c r="M658" s="7" t="s">
        <v>1140</v>
      </c>
      <c r="N658" s="7" t="s">
        <v>410</v>
      </c>
      <c r="O658" s="7" t="s">
        <v>162</v>
      </c>
      <c r="P658" s="7" t="s">
        <v>6612</v>
      </c>
      <c r="Q658" s="129">
        <v>46199</v>
      </c>
      <c r="R658" s="130">
        <f t="shared" si="78"/>
        <v>46205</v>
      </c>
      <c r="S658" s="131">
        <f t="shared" si="83"/>
        <v>6</v>
      </c>
      <c r="T658" s="7" t="s">
        <v>220</v>
      </c>
      <c r="U658" s="7" t="s">
        <v>222</v>
      </c>
      <c r="V658" s="7"/>
      <c r="W658" s="7">
        <v>87</v>
      </c>
      <c r="X658" s="132">
        <f t="shared" si="81"/>
        <v>10</v>
      </c>
      <c r="Y658" s="133"/>
      <c r="Z658" s="133"/>
      <c r="AA658" s="133"/>
    </row>
    <row r="659" spans="1:27" hidden="1" x14ac:dyDescent="0.25">
      <c r="A659" s="127">
        <v>759</v>
      </c>
      <c r="B659" s="128" t="str">
        <f t="shared" si="82"/>
        <v>TORT</v>
      </c>
      <c r="C659" s="128">
        <f>+VLOOKUP(U659,Ходим!A:B,2,0)</f>
        <v>30603862130011</v>
      </c>
      <c r="D659" s="128" t="str">
        <f>IFERROR(VLOOKUP($B:$B,[20]свод!$A:$AB,3,0)," ")</f>
        <v>Тўрақўрғон тумани</v>
      </c>
      <c r="E659" s="7" t="s">
        <v>1801</v>
      </c>
      <c r="F659" s="7" t="s">
        <v>8200</v>
      </c>
      <c r="G659" s="134">
        <f t="shared" si="79"/>
        <v>1</v>
      </c>
      <c r="H659" s="134" t="str">
        <f t="shared" si="80"/>
        <v/>
      </c>
      <c r="I659" s="7" t="s">
        <v>156</v>
      </c>
      <c r="J659" s="7" t="s">
        <v>25</v>
      </c>
      <c r="K659" s="7"/>
      <c r="L659" s="7" t="s">
        <v>167</v>
      </c>
      <c r="M659" s="7" t="s">
        <v>4632</v>
      </c>
      <c r="N659" s="7" t="s">
        <v>170</v>
      </c>
      <c r="O659" s="7" t="s">
        <v>162</v>
      </c>
      <c r="P659" s="7" t="s">
        <v>6390</v>
      </c>
      <c r="Q659" s="129">
        <v>46199</v>
      </c>
      <c r="R659" s="130">
        <f t="shared" si="78"/>
        <v>46211</v>
      </c>
      <c r="S659" s="131">
        <f t="shared" si="83"/>
        <v>12</v>
      </c>
      <c r="T659" s="7" t="s">
        <v>203</v>
      </c>
      <c r="U659" s="7" t="s">
        <v>950</v>
      </c>
      <c r="V659" s="7"/>
      <c r="W659" s="7">
        <v>0</v>
      </c>
      <c r="X659" s="132">
        <f t="shared" si="81"/>
        <v>10</v>
      </c>
      <c r="Y659" s="133"/>
      <c r="Z659" s="133"/>
      <c r="AA659" s="133"/>
    </row>
    <row r="660" spans="1:27" hidden="1" x14ac:dyDescent="0.25">
      <c r="A660" s="127">
        <v>760</v>
      </c>
      <c r="B660" s="128" t="str">
        <f t="shared" si="82"/>
        <v>TORT</v>
      </c>
      <c r="C660" s="128" t="str">
        <f>+VLOOKUP(U660,Ходим!A:B,2,0)</f>
        <v>30702995920011</v>
      </c>
      <c r="D660" s="128" t="str">
        <f>IFERROR(VLOOKUP($B:$B,[20]свод!$A:$AB,3,0)," ")</f>
        <v>Тўрақўрғон тумани</v>
      </c>
      <c r="E660" s="7" t="s">
        <v>1802</v>
      </c>
      <c r="F660" s="7" t="s">
        <v>8201</v>
      </c>
      <c r="G660" s="134">
        <f t="shared" si="79"/>
        <v>1</v>
      </c>
      <c r="H660" s="134" t="str">
        <f t="shared" si="80"/>
        <v/>
      </c>
      <c r="I660" s="7" t="s">
        <v>158</v>
      </c>
      <c r="J660" s="7" t="s">
        <v>172</v>
      </c>
      <c r="K660" s="7"/>
      <c r="L660" s="7" t="s">
        <v>167</v>
      </c>
      <c r="M660" s="7" t="s">
        <v>4633</v>
      </c>
      <c r="N660" s="7" t="s">
        <v>170</v>
      </c>
      <c r="O660" s="7" t="s">
        <v>163</v>
      </c>
      <c r="P660" s="7" t="s">
        <v>6392</v>
      </c>
      <c r="Q660" s="129">
        <v>46199</v>
      </c>
      <c r="R660" s="130">
        <f t="shared" si="78"/>
        <v>46211</v>
      </c>
      <c r="S660" s="131">
        <f t="shared" si="83"/>
        <v>12</v>
      </c>
      <c r="T660" s="7" t="s">
        <v>203</v>
      </c>
      <c r="U660" s="7" t="s">
        <v>341</v>
      </c>
      <c r="V660" s="7"/>
      <c r="W660" s="7">
        <v>49</v>
      </c>
      <c r="X660" s="132">
        <f t="shared" si="81"/>
        <v>10</v>
      </c>
      <c r="Y660" s="133"/>
      <c r="Z660" s="133"/>
      <c r="AA660" s="133"/>
    </row>
    <row r="661" spans="1:27" hidden="1" x14ac:dyDescent="0.25">
      <c r="A661" s="127">
        <v>761</v>
      </c>
      <c r="B661" s="128" t="str">
        <f t="shared" si="82"/>
        <v>CHUT</v>
      </c>
      <c r="C661" s="128" t="str">
        <f>+VLOOKUP(U661,Ходим!A:B,2,0)</f>
        <v>31312912180061</v>
      </c>
      <c r="D661" s="128" t="str">
        <f>IFERROR(VLOOKUP($B:$B,[20]свод!$A:$AB,3,0)," ")</f>
        <v>Чуст тумани</v>
      </c>
      <c r="E661" s="7" t="s">
        <v>1803</v>
      </c>
      <c r="F661" s="7" t="s">
        <v>8202</v>
      </c>
      <c r="G661" s="134" t="str">
        <f t="shared" si="79"/>
        <v/>
      </c>
      <c r="H661" s="134">
        <f t="shared" si="80"/>
        <v>1</v>
      </c>
      <c r="I661" s="7" t="s">
        <v>155</v>
      </c>
      <c r="J661" s="7" t="s">
        <v>25</v>
      </c>
      <c r="K661" s="7"/>
      <c r="L661" s="7" t="s">
        <v>168</v>
      </c>
      <c r="M661" s="7" t="s">
        <v>4634</v>
      </c>
      <c r="N661" s="7" t="s">
        <v>410</v>
      </c>
      <c r="O661" s="7" t="s">
        <v>161</v>
      </c>
      <c r="P661" s="7" t="s">
        <v>6468</v>
      </c>
      <c r="Q661" s="129">
        <v>46199</v>
      </c>
      <c r="R661" s="130">
        <f t="shared" si="78"/>
        <v>46206</v>
      </c>
      <c r="S661" s="131">
        <f t="shared" si="83"/>
        <v>7</v>
      </c>
      <c r="T661" s="7" t="s">
        <v>178</v>
      </c>
      <c r="U661" s="7" t="s">
        <v>202</v>
      </c>
      <c r="V661" s="7"/>
      <c r="W661" s="7">
        <v>0</v>
      </c>
      <c r="X661" s="132">
        <f t="shared" si="81"/>
        <v>7</v>
      </c>
      <c r="Y661" s="133"/>
      <c r="Z661" s="133"/>
      <c r="AA661" s="133"/>
    </row>
    <row r="662" spans="1:27" hidden="1" x14ac:dyDescent="0.25">
      <c r="A662" s="127">
        <v>762</v>
      </c>
      <c r="B662" s="128" t="str">
        <f t="shared" si="82"/>
        <v>TORT</v>
      </c>
      <c r="C662" s="128" t="str">
        <f>+VLOOKUP(U662,Ходим!A:B,2,0)</f>
        <v>31701915920077</v>
      </c>
      <c r="D662" s="128" t="str">
        <f>IFERROR(VLOOKUP($B:$B,[20]свод!$A:$AB,3,0)," ")</f>
        <v>Тўрақўрғон тумани</v>
      </c>
      <c r="E662" s="7" t="s">
        <v>1804</v>
      </c>
      <c r="F662" s="7" t="s">
        <v>8203</v>
      </c>
      <c r="G662" s="134">
        <f t="shared" si="79"/>
        <v>1</v>
      </c>
      <c r="H662" s="134" t="str">
        <f t="shared" si="80"/>
        <v/>
      </c>
      <c r="I662" s="7" t="s">
        <v>158</v>
      </c>
      <c r="J662" s="7" t="s">
        <v>172</v>
      </c>
      <c r="K662" s="7"/>
      <c r="L662" s="7" t="s">
        <v>167</v>
      </c>
      <c r="M662" s="7" t="s">
        <v>4635</v>
      </c>
      <c r="N662" s="7" t="s">
        <v>170</v>
      </c>
      <c r="O662" s="7" t="s">
        <v>162</v>
      </c>
      <c r="P662" s="7" t="s">
        <v>6571</v>
      </c>
      <c r="Q662" s="129">
        <v>46199</v>
      </c>
      <c r="R662" s="130">
        <f t="shared" si="78"/>
        <v>46211</v>
      </c>
      <c r="S662" s="131">
        <f t="shared" si="83"/>
        <v>12</v>
      </c>
      <c r="T662" s="7" t="s">
        <v>203</v>
      </c>
      <c r="U662" s="7" t="s">
        <v>332</v>
      </c>
      <c r="V662" s="7"/>
      <c r="W662" s="7">
        <v>116.51</v>
      </c>
      <c r="X662" s="132">
        <f t="shared" si="81"/>
        <v>10</v>
      </c>
      <c r="Y662" s="133"/>
      <c r="Z662" s="133"/>
      <c r="AA662" s="133"/>
    </row>
    <row r="663" spans="1:27" hidden="1" x14ac:dyDescent="0.25">
      <c r="A663" s="127">
        <v>763</v>
      </c>
      <c r="B663" s="128" t="str">
        <f t="shared" si="82"/>
        <v>TORT</v>
      </c>
      <c r="C663" s="128">
        <f>+VLOOKUP(U663,Ходим!A:B,2,0)</f>
        <v>30603862130011</v>
      </c>
      <c r="D663" s="128" t="str">
        <f>IFERROR(VLOOKUP($B:$B,[20]свод!$A:$AB,3,0)," ")</f>
        <v>Тўрақўрғон тумани</v>
      </c>
      <c r="E663" s="7" t="s">
        <v>1805</v>
      </c>
      <c r="F663" s="7" t="s">
        <v>8204</v>
      </c>
      <c r="G663" s="134">
        <f t="shared" si="79"/>
        <v>1</v>
      </c>
      <c r="H663" s="134" t="str">
        <f t="shared" si="80"/>
        <v/>
      </c>
      <c r="I663" s="7" t="s">
        <v>156</v>
      </c>
      <c r="J663" s="7" t="s">
        <v>25</v>
      </c>
      <c r="K663" s="7"/>
      <c r="L663" s="7"/>
      <c r="M663" s="7"/>
      <c r="N663" s="7" t="s">
        <v>170</v>
      </c>
      <c r="O663" s="7" t="s">
        <v>162</v>
      </c>
      <c r="P663" s="7" t="s">
        <v>6408</v>
      </c>
      <c r="Q663" s="129">
        <v>46199</v>
      </c>
      <c r="R663" s="130">
        <f t="shared" si="78"/>
        <v>46211</v>
      </c>
      <c r="S663" s="131">
        <f t="shared" si="83"/>
        <v>12</v>
      </c>
      <c r="T663" s="7" t="s">
        <v>203</v>
      </c>
      <c r="U663" s="7" t="s">
        <v>950</v>
      </c>
      <c r="V663" s="7"/>
      <c r="W663" s="7"/>
      <c r="X663" s="132">
        <f t="shared" si="81"/>
        <v>10</v>
      </c>
      <c r="Y663" s="133"/>
      <c r="Z663" s="133"/>
      <c r="AA663" s="133"/>
    </row>
    <row r="664" spans="1:27" hidden="1" x14ac:dyDescent="0.25">
      <c r="A664" s="127">
        <v>764</v>
      </c>
      <c r="B664" s="128" t="str">
        <f t="shared" si="82"/>
        <v>NAMS</v>
      </c>
      <c r="C664" s="128" t="str">
        <f>+VLOOKUP(U664,Ходим!A:B,2,0)</f>
        <v>51110025960044</v>
      </c>
      <c r="D664" s="128" t="str">
        <f>IFERROR(VLOOKUP($B:$B,[20]свод!$A:$AB,3,0)," ")</f>
        <v>Наманган шаҳар</v>
      </c>
      <c r="E664" s="7" t="s">
        <v>1806</v>
      </c>
      <c r="F664" s="7" t="s">
        <v>8205</v>
      </c>
      <c r="G664" s="134">
        <f t="shared" si="79"/>
        <v>1</v>
      </c>
      <c r="H664" s="134" t="str">
        <f t="shared" si="80"/>
        <v/>
      </c>
      <c r="I664" s="7" t="s">
        <v>158</v>
      </c>
      <c r="J664" s="7" t="s">
        <v>2</v>
      </c>
      <c r="K664" s="7"/>
      <c r="L664" s="7"/>
      <c r="M664" s="7"/>
      <c r="N664" s="7" t="s">
        <v>170</v>
      </c>
      <c r="O664" s="7" t="s">
        <v>162</v>
      </c>
      <c r="P664" s="7" t="s">
        <v>6449</v>
      </c>
      <c r="Q664" s="129">
        <v>46199</v>
      </c>
      <c r="R664" s="130">
        <f t="shared" si="78"/>
        <v>46205</v>
      </c>
      <c r="S664" s="131">
        <f t="shared" si="83"/>
        <v>6</v>
      </c>
      <c r="T664" s="7" t="s">
        <v>173</v>
      </c>
      <c r="U664" s="7" t="s">
        <v>294</v>
      </c>
      <c r="V664" s="7"/>
      <c r="W664" s="7"/>
      <c r="X664" s="132">
        <f t="shared" si="81"/>
        <v>10</v>
      </c>
      <c r="Y664" s="133"/>
      <c r="Z664" s="133"/>
      <c r="AA664" s="133"/>
    </row>
    <row r="665" spans="1:27" hidden="1" x14ac:dyDescent="0.25">
      <c r="A665" s="127">
        <v>765</v>
      </c>
      <c r="B665" s="128" t="str">
        <f t="shared" si="82"/>
        <v>NAMS</v>
      </c>
      <c r="C665" s="128" t="str">
        <f>+VLOOKUP(U665,Ходим!A:B,2,0)</f>
        <v>51110025960044</v>
      </c>
      <c r="D665" s="128" t="str">
        <f>IFERROR(VLOOKUP($B:$B,[20]свод!$A:$AB,3,0)," ")</f>
        <v>Наманган шаҳар</v>
      </c>
      <c r="E665" s="7" t="s">
        <v>1807</v>
      </c>
      <c r="F665" s="7" t="s">
        <v>8206</v>
      </c>
      <c r="G665" s="134">
        <f t="shared" si="79"/>
        <v>1</v>
      </c>
      <c r="H665" s="134" t="str">
        <f t="shared" si="80"/>
        <v/>
      </c>
      <c r="I665" s="7" t="s">
        <v>158</v>
      </c>
      <c r="J665" s="7" t="s">
        <v>2</v>
      </c>
      <c r="K665" s="7"/>
      <c r="L665" s="7"/>
      <c r="M665" s="7"/>
      <c r="N665" s="7" t="s">
        <v>170</v>
      </c>
      <c r="O665" s="7" t="s">
        <v>162</v>
      </c>
      <c r="P665" s="7" t="s">
        <v>6449</v>
      </c>
      <c r="Q665" s="129">
        <v>46199</v>
      </c>
      <c r="R665" s="130">
        <f t="shared" si="78"/>
        <v>46205</v>
      </c>
      <c r="S665" s="131">
        <f t="shared" si="83"/>
        <v>6</v>
      </c>
      <c r="T665" s="7" t="s">
        <v>173</v>
      </c>
      <c r="U665" s="7" t="s">
        <v>294</v>
      </c>
      <c r="V665" s="7"/>
      <c r="W665" s="7"/>
      <c r="X665" s="132">
        <f t="shared" si="81"/>
        <v>10</v>
      </c>
      <c r="Y665" s="133"/>
      <c r="Z665" s="133"/>
      <c r="AA665" s="133"/>
    </row>
    <row r="666" spans="1:27" hidden="1" x14ac:dyDescent="0.25">
      <c r="A666" s="127">
        <v>766</v>
      </c>
      <c r="B666" s="128" t="str">
        <f t="shared" si="82"/>
        <v>NAMS</v>
      </c>
      <c r="C666" s="128" t="str">
        <f>+VLOOKUP(U666,Ходим!A:B,2,0)</f>
        <v>51110025960044</v>
      </c>
      <c r="D666" s="128" t="str">
        <f>IFERROR(VLOOKUP($B:$B,[20]свод!$A:$AB,3,0)," ")</f>
        <v>Наманган шаҳар</v>
      </c>
      <c r="E666" s="7" t="s">
        <v>1808</v>
      </c>
      <c r="F666" s="7" t="s">
        <v>8207</v>
      </c>
      <c r="G666" s="134">
        <f t="shared" si="79"/>
        <v>1</v>
      </c>
      <c r="H666" s="134" t="str">
        <f t="shared" si="80"/>
        <v/>
      </c>
      <c r="I666" s="7" t="s">
        <v>158</v>
      </c>
      <c r="J666" s="7" t="s">
        <v>2</v>
      </c>
      <c r="K666" s="7"/>
      <c r="L666" s="7"/>
      <c r="M666" s="7"/>
      <c r="N666" s="7" t="s">
        <v>170</v>
      </c>
      <c r="O666" s="7" t="s">
        <v>162</v>
      </c>
      <c r="P666" s="7" t="s">
        <v>6449</v>
      </c>
      <c r="Q666" s="129">
        <v>46199</v>
      </c>
      <c r="R666" s="130">
        <f t="shared" si="78"/>
        <v>46205</v>
      </c>
      <c r="S666" s="131">
        <f t="shared" si="83"/>
        <v>6</v>
      </c>
      <c r="T666" s="7" t="s">
        <v>173</v>
      </c>
      <c r="U666" s="7" t="s">
        <v>294</v>
      </c>
      <c r="V666" s="7"/>
      <c r="W666" s="7"/>
      <c r="X666" s="132">
        <f t="shared" si="81"/>
        <v>10</v>
      </c>
      <c r="Y666" s="133"/>
      <c r="Z666" s="133"/>
      <c r="AA666" s="133"/>
    </row>
    <row r="667" spans="1:27" hidden="1" x14ac:dyDescent="0.25">
      <c r="A667" s="127">
        <v>767</v>
      </c>
      <c r="B667" s="128" t="str">
        <f t="shared" si="82"/>
        <v>UYCT</v>
      </c>
      <c r="C667" s="128" t="str">
        <f>+VLOOKUP(U667,Ходим!A:B,2,0)</f>
        <v>31007985930029</v>
      </c>
      <c r="D667" s="128" t="str">
        <f>IFERROR(VLOOKUP($B:$B,[20]свод!$A:$AB,3,0)," ")</f>
        <v>Уйчи тумани</v>
      </c>
      <c r="E667" s="7" t="s">
        <v>1809</v>
      </c>
      <c r="F667" s="7" t="s">
        <v>8208</v>
      </c>
      <c r="G667" s="134">
        <f t="shared" si="79"/>
        <v>1</v>
      </c>
      <c r="H667" s="134" t="str">
        <f t="shared" si="80"/>
        <v/>
      </c>
      <c r="I667" s="7" t="s">
        <v>158</v>
      </c>
      <c r="J667" s="7" t="s">
        <v>2</v>
      </c>
      <c r="K667" s="7"/>
      <c r="L667" s="7"/>
      <c r="M667" s="7"/>
      <c r="N667" s="7" t="s">
        <v>170</v>
      </c>
      <c r="O667" s="7" t="s">
        <v>162</v>
      </c>
      <c r="P667" s="7" t="s">
        <v>6449</v>
      </c>
      <c r="Q667" s="129">
        <v>46199</v>
      </c>
      <c r="R667" s="130">
        <f t="shared" si="78"/>
        <v>46205</v>
      </c>
      <c r="S667" s="131">
        <f t="shared" si="83"/>
        <v>6</v>
      </c>
      <c r="T667" s="7" t="s">
        <v>947</v>
      </c>
      <c r="U667" s="7" t="s">
        <v>389</v>
      </c>
      <c r="V667" s="7"/>
      <c r="W667" s="7"/>
      <c r="X667" s="132">
        <f t="shared" si="81"/>
        <v>10</v>
      </c>
      <c r="Y667" s="133"/>
      <c r="Z667" s="133"/>
      <c r="AA667" s="133"/>
    </row>
    <row r="668" spans="1:27" hidden="1" x14ac:dyDescent="0.25">
      <c r="A668" s="127">
        <v>768</v>
      </c>
      <c r="B668" s="128" t="str">
        <f t="shared" si="82"/>
        <v>NAMS</v>
      </c>
      <c r="C668" s="128" t="str">
        <f>+VLOOKUP(U668,Ходим!A:B,2,0)</f>
        <v>51110025960044</v>
      </c>
      <c r="D668" s="128" t="str">
        <f>IFERROR(VLOOKUP($B:$B,[20]свод!$A:$AB,3,0)," ")</f>
        <v>Наманган шаҳар</v>
      </c>
      <c r="E668" s="7" t="s">
        <v>1810</v>
      </c>
      <c r="F668" s="7" t="s">
        <v>8209</v>
      </c>
      <c r="G668" s="134">
        <f t="shared" si="79"/>
        <v>1</v>
      </c>
      <c r="H668" s="134" t="str">
        <f t="shared" si="80"/>
        <v/>
      </c>
      <c r="I668" s="7" t="s">
        <v>158</v>
      </c>
      <c r="J668" s="7" t="s">
        <v>2</v>
      </c>
      <c r="K668" s="7"/>
      <c r="L668" s="7"/>
      <c r="M668" s="7"/>
      <c r="N668" s="7" t="s">
        <v>170</v>
      </c>
      <c r="O668" s="7" t="s">
        <v>162</v>
      </c>
      <c r="P668" s="7" t="s">
        <v>6449</v>
      </c>
      <c r="Q668" s="129">
        <v>46199</v>
      </c>
      <c r="R668" s="130">
        <f t="shared" si="78"/>
        <v>46205</v>
      </c>
      <c r="S668" s="131">
        <f t="shared" si="83"/>
        <v>6</v>
      </c>
      <c r="T668" s="7" t="s">
        <v>173</v>
      </c>
      <c r="U668" s="7" t="s">
        <v>294</v>
      </c>
      <c r="V668" s="7"/>
      <c r="W668" s="7"/>
      <c r="X668" s="132">
        <f t="shared" si="81"/>
        <v>10</v>
      </c>
      <c r="Y668" s="133"/>
      <c r="Z668" s="133"/>
      <c r="AA668" s="133"/>
    </row>
    <row r="669" spans="1:27" hidden="1" x14ac:dyDescent="0.25">
      <c r="A669" s="127">
        <v>769</v>
      </c>
      <c r="B669" s="128" t="str">
        <f t="shared" si="82"/>
        <v>TORT</v>
      </c>
      <c r="C669" s="128" t="str">
        <f>+VLOOKUP(U669,Ходим!A:B,2,0)</f>
        <v>31306842130078</v>
      </c>
      <c r="D669" s="128" t="str">
        <f>IFERROR(VLOOKUP($B:$B,[20]свод!$A:$AB,3,0)," ")</f>
        <v>Тўрақўрғон тумани</v>
      </c>
      <c r="E669" s="7" t="s">
        <v>1811</v>
      </c>
      <c r="F669" s="7" t="s">
        <v>8210</v>
      </c>
      <c r="G669" s="134">
        <f t="shared" si="79"/>
        <v>1</v>
      </c>
      <c r="H669" s="134" t="str">
        <f t="shared" si="80"/>
        <v/>
      </c>
      <c r="I669" s="7" t="s">
        <v>158</v>
      </c>
      <c r="J669" s="7" t="s">
        <v>172</v>
      </c>
      <c r="K669" s="7"/>
      <c r="L669" s="7" t="s">
        <v>167</v>
      </c>
      <c r="M669" s="7" t="s">
        <v>4636</v>
      </c>
      <c r="N669" s="7" t="s">
        <v>170</v>
      </c>
      <c r="O669" s="7" t="s">
        <v>162</v>
      </c>
      <c r="P669" s="7" t="s">
        <v>6489</v>
      </c>
      <c r="Q669" s="129">
        <v>46199</v>
      </c>
      <c r="R669" s="130">
        <f t="shared" ref="R669:R727" si="84">WORKDAY(P669,X669,$Y$1:$AA$1)</f>
        <v>46211</v>
      </c>
      <c r="S669" s="131">
        <f t="shared" si="83"/>
        <v>12</v>
      </c>
      <c r="T669" s="7" t="s">
        <v>203</v>
      </c>
      <c r="U669" s="7" t="s">
        <v>219</v>
      </c>
      <c r="V669" s="7"/>
      <c r="W669" s="7">
        <v>376.38</v>
      </c>
      <c r="X669" s="132">
        <f t="shared" si="81"/>
        <v>10</v>
      </c>
      <c r="Y669" s="133"/>
      <c r="Z669" s="133"/>
      <c r="AA669" s="133"/>
    </row>
    <row r="670" spans="1:27" hidden="1" x14ac:dyDescent="0.25">
      <c r="A670" s="127">
        <v>770</v>
      </c>
      <c r="B670" s="128" t="str">
        <f t="shared" si="82"/>
        <v>CHUT</v>
      </c>
      <c r="C670" s="128" t="str">
        <f>+VLOOKUP(U670,Ходим!A:B,2,0)</f>
        <v>30901882180031</v>
      </c>
      <c r="D670" s="128" t="str">
        <f>IFERROR(VLOOKUP($B:$B,[20]свод!$A:$AB,3,0)," ")</f>
        <v>Чуст тумани</v>
      </c>
      <c r="E670" s="7" t="s">
        <v>1812</v>
      </c>
      <c r="F670" s="7" t="s">
        <v>8211</v>
      </c>
      <c r="G670" s="134" t="str">
        <f t="shared" si="79"/>
        <v/>
      </c>
      <c r="H670" s="134">
        <f t="shared" si="80"/>
        <v>1</v>
      </c>
      <c r="I670" s="7" t="s">
        <v>157</v>
      </c>
      <c r="J670" s="7" t="s">
        <v>172</v>
      </c>
      <c r="K670" s="7"/>
      <c r="L670" s="7" t="s">
        <v>166</v>
      </c>
      <c r="M670" s="7" t="s">
        <v>4637</v>
      </c>
      <c r="N670" s="7" t="s">
        <v>410</v>
      </c>
      <c r="O670" s="7" t="s">
        <v>161</v>
      </c>
      <c r="P670" s="7" t="s">
        <v>6463</v>
      </c>
      <c r="Q670" s="129">
        <v>46199</v>
      </c>
      <c r="R670" s="130">
        <f t="shared" si="84"/>
        <v>46211</v>
      </c>
      <c r="S670" s="131">
        <f t="shared" si="83"/>
        <v>12</v>
      </c>
      <c r="T670" s="7" t="s">
        <v>178</v>
      </c>
      <c r="U670" s="7" t="s">
        <v>238</v>
      </c>
      <c r="V670" s="7"/>
      <c r="W670" s="7">
        <v>0</v>
      </c>
      <c r="X670" s="132">
        <f t="shared" si="81"/>
        <v>10</v>
      </c>
      <c r="Y670" s="133"/>
      <c r="Z670" s="133"/>
      <c r="AA670" s="133"/>
    </row>
    <row r="671" spans="1:27" hidden="1" x14ac:dyDescent="0.25">
      <c r="A671" s="127">
        <v>771</v>
      </c>
      <c r="B671" s="128" t="str">
        <f t="shared" si="82"/>
        <v>TORT</v>
      </c>
      <c r="C671" s="128" t="str">
        <f>+VLOOKUP(U671,Ходим!A:B,2,0)</f>
        <v>31704782130035</v>
      </c>
      <c r="D671" s="128" t="str">
        <f>IFERROR(VLOOKUP($B:$B,[20]свод!$A:$AB,3,0)," ")</f>
        <v>Тўрақўрғон тумани</v>
      </c>
      <c r="E671" s="7" t="s">
        <v>1813</v>
      </c>
      <c r="F671" s="7" t="s">
        <v>8212</v>
      </c>
      <c r="G671" s="134">
        <f t="shared" si="79"/>
        <v>1</v>
      </c>
      <c r="H671" s="134" t="str">
        <f t="shared" si="80"/>
        <v/>
      </c>
      <c r="I671" s="7" t="s">
        <v>156</v>
      </c>
      <c r="J671" s="7" t="s">
        <v>25</v>
      </c>
      <c r="K671" s="7"/>
      <c r="L671" s="7" t="s">
        <v>167</v>
      </c>
      <c r="M671" s="7" t="s">
        <v>4638</v>
      </c>
      <c r="N671" s="7" t="s">
        <v>170</v>
      </c>
      <c r="O671" s="7" t="s">
        <v>162</v>
      </c>
      <c r="P671" s="7" t="s">
        <v>6581</v>
      </c>
      <c r="Q671" s="129">
        <v>46199</v>
      </c>
      <c r="R671" s="130">
        <f t="shared" si="84"/>
        <v>46211</v>
      </c>
      <c r="S671" s="131">
        <f t="shared" si="83"/>
        <v>12</v>
      </c>
      <c r="T671" s="7" t="s">
        <v>203</v>
      </c>
      <c r="U671" s="7" t="s">
        <v>344</v>
      </c>
      <c r="V671" s="7"/>
      <c r="W671" s="7">
        <v>0</v>
      </c>
      <c r="X671" s="132">
        <f t="shared" si="81"/>
        <v>10</v>
      </c>
      <c r="Y671" s="133"/>
      <c r="Z671" s="133"/>
      <c r="AA671" s="133"/>
    </row>
    <row r="672" spans="1:27" hidden="1" x14ac:dyDescent="0.25">
      <c r="A672" s="127">
        <v>772</v>
      </c>
      <c r="B672" s="128" t="str">
        <f t="shared" si="82"/>
        <v>KSST</v>
      </c>
      <c r="C672" s="128" t="str">
        <f>+VLOOKUP(U672,Ходим!A:B,2,0)</f>
        <v>31611995980026</v>
      </c>
      <c r="D672" s="128" t="str">
        <f>IFERROR(VLOOKUP($B:$B,[20]свод!$A:$AB,3,0)," ")</f>
        <v>Косонсой тумани</v>
      </c>
      <c r="E672" s="7" t="s">
        <v>1814</v>
      </c>
      <c r="F672" s="7" t="s">
        <v>8213</v>
      </c>
      <c r="G672" s="134">
        <f t="shared" si="79"/>
        <v>1</v>
      </c>
      <c r="H672" s="134" t="str">
        <f t="shared" si="80"/>
        <v/>
      </c>
      <c r="I672" s="7" t="s">
        <v>158</v>
      </c>
      <c r="J672" s="7" t="s">
        <v>2</v>
      </c>
      <c r="K672" s="7"/>
      <c r="L672" s="7" t="s">
        <v>167</v>
      </c>
      <c r="M672" s="7" t="s">
        <v>4639</v>
      </c>
      <c r="N672" s="7" t="s">
        <v>170</v>
      </c>
      <c r="O672" s="7" t="s">
        <v>162</v>
      </c>
      <c r="P672" s="7" t="s">
        <v>6400</v>
      </c>
      <c r="Q672" s="129">
        <v>46199</v>
      </c>
      <c r="R672" s="130">
        <f t="shared" si="84"/>
        <v>46211</v>
      </c>
      <c r="S672" s="131">
        <f t="shared" si="83"/>
        <v>12</v>
      </c>
      <c r="T672" s="7" t="s">
        <v>180</v>
      </c>
      <c r="U672" s="7" t="s">
        <v>181</v>
      </c>
      <c r="V672" s="7"/>
      <c r="W672" s="7">
        <v>0</v>
      </c>
      <c r="X672" s="132">
        <f t="shared" si="81"/>
        <v>10</v>
      </c>
      <c r="Y672" s="133"/>
      <c r="Z672" s="133"/>
      <c r="AA672" s="133"/>
    </row>
    <row r="673" spans="1:27" hidden="1" x14ac:dyDescent="0.25">
      <c r="A673" s="127">
        <v>773</v>
      </c>
      <c r="B673" s="128" t="str">
        <f t="shared" si="82"/>
        <v>YGQT</v>
      </c>
      <c r="C673" s="128" t="e">
        <f>+VLOOKUP(U673,Ходим!A:B,2,0)</f>
        <v>#N/A</v>
      </c>
      <c r="D673" s="128" t="str">
        <f>IFERROR(VLOOKUP($B:$B,[20]свод!$A:$AB,3,0)," ")</f>
        <v>Янгиқўрғон тумани</v>
      </c>
      <c r="E673" s="7" t="s">
        <v>1815</v>
      </c>
      <c r="F673" s="7" t="s">
        <v>8214</v>
      </c>
      <c r="G673" s="134">
        <f t="shared" ref="G673:G731" si="85">IF(OR(
I673="Turar joy obyektning kadastr pasportini shakllantirish va davlat ro'yxatidan o'tkazish",
I673="Turar kompozit"
),
1,
IF(OR(
I673="Noturar kompozit",
I673="Avtoyo'l va suv xo'jaligi obyektining kadastr pasportini shakllantirish va ro'yxatga olish",
I673="Noturar obyektning kadastr pasportining kadastr pasportini shakllantirish va davlat ro'yxatidan o'tkazish"
),
"",
IF(OR(
I673="Notarius uchun ma'lumotnoma (uz)",
I673="Qurilishi tugallangan ko'chmas mulkni foydalanishga qabul qilish",
I673="Umumiy foydalanishdagi ko'chmas mulk qismini yaratish",
I673="Registratsiya (tashqi - UZKAD da bor)"
),
IF(OR(L673="Turar yer maydoni",L673="Yakka tartibdagi turar joy"),1,
IF(L673="Noturar bino","",
IF(L673="Noturar yer maydoni","",
IF(L673="",IF(OR(O673="Turar joy xizmati",O673="Foydalanishga ruxsatnoma berish xizmati"),1,""),"")
))),
"")))</f>
        <v>1</v>
      </c>
      <c r="H673" s="134" t="str">
        <f t="shared" ref="H673:H731" si="86">IF(OR(
I673="Turar joy obyektning kadastr pasportini shakllantirish va davlat ro'yxatidan o'tkazish",
I673="Turar kompozit"
),
"",
IF(OR(
I673="Noturar kompozit",
I673="Avtoyo'l va suv xo'jaligi obyektining kadastr pasportini shakllantirish va ro'yxatga olish",
I673="Noturar obyektning kadastr pasportini shakllantirish va davlat ro'yxatidan o'tkazish"
),
1,
IF(OR(
I673="Notarius uchun ma'lumotnoma (uz)",
I673="Qurilishi tugallangan ko'chmas mulkni foydalanishga qabul qilish",
I673="Umumiy foydalanishdagi ko'chmas mulk qismini yaratish",
I673="Registratsiya (tashqi - UZKAD da bor)"
),
IF(OR(L673="Turar yer maydoni",L673="Yakka tartibdagi turar joy"),"",
IF(L673="Noturar bino",1,
IF(L673="Noturar yer maydoni",1,
IF(L673="",IF(OR(O673="Turar joy xizmati",O673="Foydalanishga ruxsatnoma berish xizmati"),"",1),"")
))),
"")))</f>
        <v/>
      </c>
      <c r="I673" s="7" t="s">
        <v>156</v>
      </c>
      <c r="J673" s="7" t="s">
        <v>21</v>
      </c>
      <c r="K673" s="7"/>
      <c r="L673" s="7"/>
      <c r="M673" s="7"/>
      <c r="N673" s="7" t="s">
        <v>410</v>
      </c>
      <c r="O673" s="7" t="s">
        <v>162</v>
      </c>
      <c r="P673" s="7" t="s">
        <v>6613</v>
      </c>
      <c r="Q673" s="129">
        <v>46199</v>
      </c>
      <c r="R673" s="130">
        <f t="shared" si="84"/>
        <v>46211</v>
      </c>
      <c r="S673" s="131">
        <f t="shared" si="83"/>
        <v>12</v>
      </c>
      <c r="T673" s="7" t="s">
        <v>182</v>
      </c>
      <c r="U673" s="7"/>
      <c r="V673" s="7"/>
      <c r="W673" s="7"/>
      <c r="X673" s="132">
        <f t="shared" si="81"/>
        <v>10</v>
      </c>
      <c r="Y673" s="133"/>
      <c r="Z673" s="133"/>
      <c r="AA673" s="133"/>
    </row>
    <row r="674" spans="1:27" hidden="1" x14ac:dyDescent="0.25">
      <c r="A674" s="127">
        <v>775</v>
      </c>
      <c r="B674" s="128" t="str">
        <f t="shared" si="82"/>
        <v>MINT</v>
      </c>
      <c r="C674" s="128" t="str">
        <f>+VLOOKUP(U674,Ходим!A:B,2,0)</f>
        <v>30109882130063</v>
      </c>
      <c r="D674" s="128" t="str">
        <f>IFERROR(VLOOKUP($B:$B,[20]свод!$A:$AB,3,0)," ")</f>
        <v>Мингбулоқ тумани</v>
      </c>
      <c r="E674" s="7" t="s">
        <v>1816</v>
      </c>
      <c r="F674" s="7" t="s">
        <v>8215</v>
      </c>
      <c r="G674" s="134">
        <f t="shared" si="85"/>
        <v>1</v>
      </c>
      <c r="H674" s="134" t="str">
        <f t="shared" si="86"/>
        <v/>
      </c>
      <c r="I674" s="7" t="s">
        <v>158</v>
      </c>
      <c r="J674" s="7" t="s">
        <v>16</v>
      </c>
      <c r="K674" s="7"/>
      <c r="L674" s="7" t="s">
        <v>167</v>
      </c>
      <c r="M674" s="7" t="s">
        <v>4640</v>
      </c>
      <c r="N674" s="7" t="s">
        <v>410</v>
      </c>
      <c r="O674" s="7" t="s">
        <v>162</v>
      </c>
      <c r="P674" s="7" t="s">
        <v>6426</v>
      </c>
      <c r="Q674" s="129">
        <v>46199</v>
      </c>
      <c r="R674" s="130">
        <f t="shared" si="84"/>
        <v>46204</v>
      </c>
      <c r="S674" s="131">
        <f t="shared" si="83"/>
        <v>5</v>
      </c>
      <c r="T674" s="7" t="s">
        <v>220</v>
      </c>
      <c r="U674" s="7" t="s">
        <v>262</v>
      </c>
      <c r="V674" s="7"/>
      <c r="W674" s="7">
        <v>0</v>
      </c>
      <c r="X674" s="132">
        <f t="shared" si="81"/>
        <v>10</v>
      </c>
      <c r="Y674" s="133"/>
      <c r="Z674" s="133"/>
      <c r="AA674" s="133"/>
    </row>
    <row r="675" spans="1:27" hidden="1" x14ac:dyDescent="0.25">
      <c r="A675" s="127">
        <v>776</v>
      </c>
      <c r="B675" s="128" t="str">
        <f t="shared" si="82"/>
        <v>NAMS</v>
      </c>
      <c r="C675" s="128" t="str">
        <f>+VLOOKUP(U675,Ходим!A:B,2,0)</f>
        <v>51911035960011</v>
      </c>
      <c r="D675" s="128" t="str">
        <f>IFERROR(VLOOKUP($B:$B,[20]свод!$A:$AB,3,0)," ")</f>
        <v>Наманган шаҳар</v>
      </c>
      <c r="E675" s="7" t="s">
        <v>1817</v>
      </c>
      <c r="F675" s="7" t="s">
        <v>8216</v>
      </c>
      <c r="G675" s="134">
        <f t="shared" si="85"/>
        <v>1</v>
      </c>
      <c r="H675" s="134" t="str">
        <f t="shared" si="86"/>
        <v/>
      </c>
      <c r="I675" s="7" t="s">
        <v>156</v>
      </c>
      <c r="J675" s="7" t="s">
        <v>25</v>
      </c>
      <c r="K675" s="7"/>
      <c r="L675" s="7"/>
      <c r="M675" s="7"/>
      <c r="N675" s="7" t="s">
        <v>410</v>
      </c>
      <c r="O675" s="7" t="s">
        <v>162</v>
      </c>
      <c r="P675" s="7" t="s">
        <v>6614</v>
      </c>
      <c r="Q675" s="129">
        <v>46199</v>
      </c>
      <c r="R675" s="130">
        <f t="shared" si="84"/>
        <v>46211</v>
      </c>
      <c r="S675" s="131">
        <f t="shared" si="83"/>
        <v>12</v>
      </c>
      <c r="T675" s="7" t="s">
        <v>173</v>
      </c>
      <c r="U675" s="7" t="s">
        <v>371</v>
      </c>
      <c r="V675" s="7"/>
      <c r="W675" s="7"/>
      <c r="X675" s="132">
        <f t="shared" ref="X675:X729" si="87">IF(N675="Kadastr muhandisi",3,
IF(N675="UZKAD",5,
IF(V675="FREE",5,
IF(I675="Registratsiya (tashqi - UZKAD da bor)",1,
IF(I675="Avtoyo'l va suv xo'jaligi obyektining kadastr pasportini shakllantirish va ro'yxatga olish",7,
IF(I675="Notarius uchun ma'lumotnoma (uz)",1,
IF(I675="Qurilishi tugallangan ko'chmas mulkni foydalanishga qabul qilish",10,
IF(OR(I675="Turar joy obyektning kadastr pasportini shakllantirish va davlat ro'yxatidan o'tkazish",I675="Turar kompozit"),
IF(L675="Turar yer maydoni",7,10),
IF(OR(I675="Noturar obyektning kadastr pasportini shakllantirish va davlat ro'yxatidan o'tkazish",I675="Noturar kompozit"),
IF(O675="Ko‘p yillik daraxtlar xizmati",15,
IF(OR(L675="Noturar yer maydoni",L675="Davlat tashkilotlaridan ijaraga olingan yer uchastkasi"),7,
IF(W675&lt;100,10,IF(W675&lt;=1000,12,IF(W675&lt;=5000,17,IF(W675&lt;=15000,22,IF(W675&lt;=50000,28,37))))))),
IF(I675="Umumiy foydalanishdagi ko'chmas mulk qismini yaratish",
IF(IF(TRIM(L675)="",IF(OR(O675="Turar joy xizmati",O675="Yakka tartibdagi turar joy"),"Turar","Noturar"),IF(OR(L675="Yakka tartibdagi turar joy",L675="Turar joy xizmati"),"Turar","Noturar"))="Turar",
10,IF(W675&lt;100,10,IF(W675&lt;=1000,12,IF(W675&lt;=5000,17,IF(W675&lt;=15000,22,IF(W675&lt;=50000,28,37)))))),
0))))))))))</f>
        <v>10</v>
      </c>
      <c r="Y675" s="133"/>
      <c r="Z675" s="133"/>
      <c r="AA675" s="133"/>
    </row>
    <row r="676" spans="1:27" hidden="1" x14ac:dyDescent="0.25">
      <c r="A676" s="127">
        <v>777</v>
      </c>
      <c r="B676" s="128" t="str">
        <f t="shared" ref="B676:B730" si="88">LEFT(E676,4)</f>
        <v>NAMS</v>
      </c>
      <c r="C676" s="128" t="str">
        <f>+VLOOKUP(U676,Ходим!A:B,2,0)</f>
        <v>30108932170088</v>
      </c>
      <c r="D676" s="128" t="str">
        <f>IFERROR(VLOOKUP($B:$B,[20]свод!$A:$AB,3,0)," ")</f>
        <v>Наманган шаҳар</v>
      </c>
      <c r="E676" s="7" t="s">
        <v>1818</v>
      </c>
      <c r="F676" s="7" t="s">
        <v>8217</v>
      </c>
      <c r="G676" s="134">
        <f t="shared" si="85"/>
        <v>1</v>
      </c>
      <c r="H676" s="134" t="str">
        <f t="shared" si="86"/>
        <v/>
      </c>
      <c r="I676" s="7" t="s">
        <v>156</v>
      </c>
      <c r="J676" s="7" t="s">
        <v>22</v>
      </c>
      <c r="K676" s="7"/>
      <c r="L676" s="7"/>
      <c r="M676" s="7"/>
      <c r="N676" s="7" t="s">
        <v>410</v>
      </c>
      <c r="O676" s="7" t="s">
        <v>162</v>
      </c>
      <c r="P676" s="7" t="s">
        <v>6615</v>
      </c>
      <c r="Q676" s="129">
        <v>46199</v>
      </c>
      <c r="R676" s="130">
        <f t="shared" si="84"/>
        <v>46205</v>
      </c>
      <c r="S676" s="131">
        <f t="shared" ref="S676:S730" si="89">R676-Q676</f>
        <v>6</v>
      </c>
      <c r="T676" s="7" t="s">
        <v>173</v>
      </c>
      <c r="U676" s="7" t="s">
        <v>329</v>
      </c>
      <c r="V676" s="7"/>
      <c r="W676" s="7"/>
      <c r="X676" s="132">
        <f t="shared" si="87"/>
        <v>10</v>
      </c>
      <c r="Y676" s="133"/>
      <c r="Z676" s="133"/>
      <c r="AA676" s="133"/>
    </row>
    <row r="677" spans="1:27" hidden="1" x14ac:dyDescent="0.25">
      <c r="A677" s="127">
        <v>779</v>
      </c>
      <c r="B677" s="128" t="str">
        <f t="shared" si="88"/>
        <v>CHUT</v>
      </c>
      <c r="C677" s="128" t="str">
        <f>+VLOOKUP(U677,Ходим!A:B,2,0)</f>
        <v>31312912180061</v>
      </c>
      <c r="D677" s="128" t="str">
        <f>IFERROR(VLOOKUP($B:$B,[20]свод!$A:$AB,3,0)," ")</f>
        <v>Чуст тумани</v>
      </c>
      <c r="E677" s="7" t="s">
        <v>1819</v>
      </c>
      <c r="F677" s="7" t="s">
        <v>8218</v>
      </c>
      <c r="G677" s="134" t="str">
        <f t="shared" si="85"/>
        <v/>
      </c>
      <c r="H677" s="134">
        <f t="shared" si="86"/>
        <v>1</v>
      </c>
      <c r="I677" s="7" t="s">
        <v>155</v>
      </c>
      <c r="J677" s="7" t="s">
        <v>25</v>
      </c>
      <c r="K677" s="7"/>
      <c r="L677" s="7" t="s">
        <v>168</v>
      </c>
      <c r="M677" s="7" t="s">
        <v>4641</v>
      </c>
      <c r="N677" s="7" t="s">
        <v>410</v>
      </c>
      <c r="O677" s="7" t="s">
        <v>161</v>
      </c>
      <c r="P677" s="7" t="s">
        <v>6616</v>
      </c>
      <c r="Q677" s="129">
        <v>46199</v>
      </c>
      <c r="R677" s="130">
        <f t="shared" si="84"/>
        <v>46206</v>
      </c>
      <c r="S677" s="131">
        <f t="shared" si="89"/>
        <v>7</v>
      </c>
      <c r="T677" s="7" t="s">
        <v>178</v>
      </c>
      <c r="U677" s="7" t="s">
        <v>202</v>
      </c>
      <c r="V677" s="7"/>
      <c r="W677" s="7">
        <v>0</v>
      </c>
      <c r="X677" s="132">
        <f t="shared" si="87"/>
        <v>7</v>
      </c>
      <c r="Y677" s="133"/>
      <c r="Z677" s="133"/>
      <c r="AA677" s="133"/>
    </row>
    <row r="678" spans="1:27" hidden="1" x14ac:dyDescent="0.25">
      <c r="A678" s="127">
        <v>780</v>
      </c>
      <c r="B678" s="128" t="str">
        <f t="shared" si="88"/>
        <v>POPT</v>
      </c>
      <c r="C678" s="128" t="str">
        <f>+VLOOKUP(U678,Ходим!A:B,2,0)</f>
        <v>30808922120014</v>
      </c>
      <c r="D678" s="128" t="str">
        <f>IFERROR(VLOOKUP($B:$B,[20]свод!$A:$AB,3,0)," ")</f>
        <v>Поп тумани</v>
      </c>
      <c r="E678" s="7" t="s">
        <v>1820</v>
      </c>
      <c r="F678" s="7" t="s">
        <v>8219</v>
      </c>
      <c r="G678" s="134">
        <f t="shared" si="85"/>
        <v>1</v>
      </c>
      <c r="H678" s="134" t="str">
        <f t="shared" si="86"/>
        <v/>
      </c>
      <c r="I678" s="7" t="s">
        <v>158</v>
      </c>
      <c r="J678" s="7" t="s">
        <v>1</v>
      </c>
      <c r="K678" s="7"/>
      <c r="L678" s="7" t="s">
        <v>167</v>
      </c>
      <c r="M678" s="7" t="s">
        <v>4642</v>
      </c>
      <c r="N678" s="7" t="s">
        <v>170</v>
      </c>
      <c r="O678" s="7" t="s">
        <v>162</v>
      </c>
      <c r="P678" s="7" t="s">
        <v>6617</v>
      </c>
      <c r="Q678" s="129">
        <v>46199</v>
      </c>
      <c r="R678" s="130">
        <f t="shared" si="84"/>
        <v>46209</v>
      </c>
      <c r="S678" s="131">
        <f t="shared" si="89"/>
        <v>10</v>
      </c>
      <c r="T678" s="7" t="s">
        <v>214</v>
      </c>
      <c r="U678" s="7" t="s">
        <v>242</v>
      </c>
      <c r="V678" s="7"/>
      <c r="W678" s="7">
        <v>398.14</v>
      </c>
      <c r="X678" s="132">
        <f t="shared" si="87"/>
        <v>10</v>
      </c>
      <c r="Y678" s="133"/>
      <c r="Z678" s="133"/>
      <c r="AA678" s="133"/>
    </row>
    <row r="679" spans="1:27" hidden="1" x14ac:dyDescent="0.25">
      <c r="A679" s="127">
        <v>781</v>
      </c>
      <c r="B679" s="128" t="str">
        <f t="shared" si="88"/>
        <v>POPT</v>
      </c>
      <c r="C679" s="128" t="str">
        <f>+VLOOKUP(U679,Ходим!A:B,2,0)</f>
        <v>33110905910015</v>
      </c>
      <c r="D679" s="128" t="str">
        <f>IFERROR(VLOOKUP($B:$B,[20]свод!$A:$AB,3,0)," ")</f>
        <v>Поп тумани</v>
      </c>
      <c r="E679" s="7" t="s">
        <v>1821</v>
      </c>
      <c r="F679" s="7" t="s">
        <v>8220</v>
      </c>
      <c r="G679" s="134">
        <f t="shared" si="85"/>
        <v>1</v>
      </c>
      <c r="H679" s="134" t="str">
        <f t="shared" si="86"/>
        <v/>
      </c>
      <c r="I679" s="7" t="s">
        <v>158</v>
      </c>
      <c r="J679" s="7" t="s">
        <v>36</v>
      </c>
      <c r="K679" s="7"/>
      <c r="L679" s="7" t="s">
        <v>167</v>
      </c>
      <c r="M679" s="7" t="s">
        <v>4643</v>
      </c>
      <c r="N679" s="7" t="s">
        <v>170</v>
      </c>
      <c r="O679" s="7" t="s">
        <v>162</v>
      </c>
      <c r="P679" s="7" t="s">
        <v>6618</v>
      </c>
      <c r="Q679" s="129">
        <v>46199</v>
      </c>
      <c r="R679" s="130">
        <f t="shared" si="84"/>
        <v>46204</v>
      </c>
      <c r="S679" s="131">
        <f t="shared" si="89"/>
        <v>5</v>
      </c>
      <c r="T679" s="7" t="s">
        <v>214</v>
      </c>
      <c r="U679" s="7" t="s">
        <v>305</v>
      </c>
      <c r="V679" s="7"/>
      <c r="W679" s="7">
        <v>230.11</v>
      </c>
      <c r="X679" s="132">
        <f t="shared" si="87"/>
        <v>10</v>
      </c>
      <c r="Y679" s="133"/>
      <c r="Z679" s="133"/>
      <c r="AA679" s="133"/>
    </row>
    <row r="680" spans="1:27" hidden="1" x14ac:dyDescent="0.25">
      <c r="A680" s="127">
        <v>782</v>
      </c>
      <c r="B680" s="128" t="str">
        <f t="shared" si="88"/>
        <v>NAMS</v>
      </c>
      <c r="C680" s="128" t="str">
        <f>+VLOOKUP(U680,Ходим!A:B,2,0)</f>
        <v>52601025870013</v>
      </c>
      <c r="D680" s="128" t="str">
        <f>IFERROR(VLOOKUP($B:$B,[20]свод!$A:$AB,3,0)," ")</f>
        <v>Наманган шаҳар</v>
      </c>
      <c r="E680" s="7" t="s">
        <v>1822</v>
      </c>
      <c r="F680" s="7" t="s">
        <v>8221</v>
      </c>
      <c r="G680" s="134">
        <f t="shared" si="85"/>
        <v>1</v>
      </c>
      <c r="H680" s="134" t="str">
        <f t="shared" si="86"/>
        <v/>
      </c>
      <c r="I680" s="7" t="s">
        <v>158</v>
      </c>
      <c r="J680" s="7" t="s">
        <v>2</v>
      </c>
      <c r="K680" s="7"/>
      <c r="L680" s="7" t="s">
        <v>167</v>
      </c>
      <c r="M680" s="7" t="s">
        <v>4644</v>
      </c>
      <c r="N680" s="7" t="s">
        <v>170</v>
      </c>
      <c r="O680" s="7" t="s">
        <v>162</v>
      </c>
      <c r="P680" s="7" t="s">
        <v>6619</v>
      </c>
      <c r="Q680" s="129">
        <v>46199</v>
      </c>
      <c r="R680" s="130">
        <f t="shared" si="84"/>
        <v>46204</v>
      </c>
      <c r="S680" s="131">
        <f t="shared" si="89"/>
        <v>5</v>
      </c>
      <c r="T680" s="7" t="s">
        <v>173</v>
      </c>
      <c r="U680" s="7" t="s">
        <v>405</v>
      </c>
      <c r="V680" s="7"/>
      <c r="W680" s="7">
        <v>245.62</v>
      </c>
      <c r="X680" s="132">
        <f t="shared" si="87"/>
        <v>10</v>
      </c>
      <c r="Y680" s="133"/>
      <c r="Z680" s="133"/>
      <c r="AA680" s="133"/>
    </row>
    <row r="681" spans="1:27" hidden="1" x14ac:dyDescent="0.25">
      <c r="A681" s="127">
        <v>783</v>
      </c>
      <c r="B681" s="128" t="str">
        <f t="shared" si="88"/>
        <v>NAMT</v>
      </c>
      <c r="C681" s="128">
        <f>+VLOOKUP(U681,Ходим!A:B,2,0)</f>
        <v>32712932090068</v>
      </c>
      <c r="D681" s="128" t="str">
        <f>IFERROR(VLOOKUP($B:$B,[20]свод!$A:$AB,3,0)," ")</f>
        <v>Наманган тумани</v>
      </c>
      <c r="E681" s="7" t="s">
        <v>1823</v>
      </c>
      <c r="F681" s="7" t="s">
        <v>8222</v>
      </c>
      <c r="G681" s="134">
        <f t="shared" si="85"/>
        <v>1</v>
      </c>
      <c r="H681" s="134" t="str">
        <f t="shared" si="86"/>
        <v/>
      </c>
      <c r="I681" s="7" t="s">
        <v>158</v>
      </c>
      <c r="J681" s="7" t="s">
        <v>2</v>
      </c>
      <c r="K681" s="7"/>
      <c r="L681" s="7" t="s">
        <v>169</v>
      </c>
      <c r="M681" s="7" t="s">
        <v>1139</v>
      </c>
      <c r="N681" s="7" t="s">
        <v>410</v>
      </c>
      <c r="O681" s="7" t="s">
        <v>162</v>
      </c>
      <c r="P681" s="7" t="s">
        <v>6544</v>
      </c>
      <c r="Q681" s="129">
        <v>46199</v>
      </c>
      <c r="R681" s="130">
        <f t="shared" si="84"/>
        <v>46202</v>
      </c>
      <c r="S681" s="131">
        <f t="shared" si="89"/>
        <v>3</v>
      </c>
      <c r="T681" s="7" t="s">
        <v>193</v>
      </c>
      <c r="U681" s="7" t="s">
        <v>1016</v>
      </c>
      <c r="V681" s="7"/>
      <c r="W681" s="7">
        <v>0</v>
      </c>
      <c r="X681" s="132">
        <f t="shared" si="87"/>
        <v>7</v>
      </c>
      <c r="Y681" s="133"/>
      <c r="Z681" s="133"/>
      <c r="AA681" s="133"/>
    </row>
    <row r="682" spans="1:27" hidden="1" x14ac:dyDescent="0.25">
      <c r="A682" s="127">
        <v>784</v>
      </c>
      <c r="B682" s="128" t="str">
        <f t="shared" si="88"/>
        <v>NAMS</v>
      </c>
      <c r="C682" s="128" t="str">
        <f>+VLOOKUP(U682,Ходим!A:B,2,0)</f>
        <v>32602902170105</v>
      </c>
      <c r="D682" s="128" t="str">
        <f>IFERROR(VLOOKUP($B:$B,[20]свод!$A:$AB,3,0)," ")</f>
        <v>Наманган шаҳар</v>
      </c>
      <c r="E682" s="7" t="s">
        <v>1824</v>
      </c>
      <c r="F682" s="7" t="s">
        <v>8223</v>
      </c>
      <c r="G682" s="134" t="str">
        <f t="shared" si="85"/>
        <v/>
      </c>
      <c r="H682" s="134">
        <f t="shared" si="86"/>
        <v>1</v>
      </c>
      <c r="I682" s="7" t="s">
        <v>154</v>
      </c>
      <c r="J682" s="7" t="s">
        <v>2</v>
      </c>
      <c r="K682" s="7"/>
      <c r="L682" s="7" t="s">
        <v>166</v>
      </c>
      <c r="M682" s="7" t="s">
        <v>4645</v>
      </c>
      <c r="N682" s="7" t="s">
        <v>170</v>
      </c>
      <c r="O682" s="7" t="s">
        <v>161</v>
      </c>
      <c r="P682" s="7" t="s">
        <v>6404</v>
      </c>
      <c r="Q682" s="129">
        <v>46199</v>
      </c>
      <c r="R682" s="130">
        <f t="shared" si="84"/>
        <v>46213</v>
      </c>
      <c r="S682" s="131">
        <f t="shared" si="89"/>
        <v>14</v>
      </c>
      <c r="T682" s="7" t="s">
        <v>173</v>
      </c>
      <c r="U682" s="7" t="s">
        <v>247</v>
      </c>
      <c r="V682" s="7"/>
      <c r="W682" s="7">
        <v>269.45</v>
      </c>
      <c r="X682" s="132">
        <f t="shared" si="87"/>
        <v>12</v>
      </c>
      <c r="Y682" s="133"/>
      <c r="Z682" s="133"/>
      <c r="AA682" s="133"/>
    </row>
    <row r="683" spans="1:27" hidden="1" x14ac:dyDescent="0.25">
      <c r="A683" s="127">
        <v>785</v>
      </c>
      <c r="B683" s="128" t="str">
        <f t="shared" si="88"/>
        <v>CHUT</v>
      </c>
      <c r="C683" s="128" t="str">
        <f>+VLOOKUP(U683,Ходим!A:B,2,0)</f>
        <v>31312912180061</v>
      </c>
      <c r="D683" s="128" t="str">
        <f>IFERROR(VLOOKUP($B:$B,[20]свод!$A:$AB,3,0)," ")</f>
        <v>Чуст тумани</v>
      </c>
      <c r="E683" s="7" t="s">
        <v>1825</v>
      </c>
      <c r="F683" s="7" t="s">
        <v>8224</v>
      </c>
      <c r="G683" s="134" t="str">
        <f t="shared" si="85"/>
        <v/>
      </c>
      <c r="H683" s="134">
        <f t="shared" si="86"/>
        <v>1</v>
      </c>
      <c r="I683" s="7" t="s">
        <v>155</v>
      </c>
      <c r="J683" s="7" t="s">
        <v>25</v>
      </c>
      <c r="K683" s="7"/>
      <c r="L683" s="7" t="s">
        <v>168</v>
      </c>
      <c r="M683" s="7" t="s">
        <v>4646</v>
      </c>
      <c r="N683" s="7" t="s">
        <v>410</v>
      </c>
      <c r="O683" s="7" t="s">
        <v>161</v>
      </c>
      <c r="P683" s="7" t="s">
        <v>6477</v>
      </c>
      <c r="Q683" s="129">
        <v>46199</v>
      </c>
      <c r="R683" s="130">
        <f t="shared" si="84"/>
        <v>46206</v>
      </c>
      <c r="S683" s="131">
        <f t="shared" si="89"/>
        <v>7</v>
      </c>
      <c r="T683" s="7" t="s">
        <v>178</v>
      </c>
      <c r="U683" s="7" t="s">
        <v>202</v>
      </c>
      <c r="V683" s="7"/>
      <c r="W683" s="7">
        <v>0</v>
      </c>
      <c r="X683" s="132">
        <f t="shared" si="87"/>
        <v>7</v>
      </c>
      <c r="Y683" s="133"/>
      <c r="Z683" s="133"/>
      <c r="AA683" s="133"/>
    </row>
    <row r="684" spans="1:27" hidden="1" x14ac:dyDescent="0.25">
      <c r="A684" s="127">
        <v>786</v>
      </c>
      <c r="B684" s="128" t="str">
        <f t="shared" si="88"/>
        <v>NAMS</v>
      </c>
      <c r="C684" s="128" t="str">
        <f>+VLOOKUP(U684,Ходим!A:B,2,0)</f>
        <v>51406015960142</v>
      </c>
      <c r="D684" s="128" t="str">
        <f>IFERROR(VLOOKUP($B:$B,[20]свод!$A:$AB,3,0)," ")</f>
        <v>Наманган шаҳар</v>
      </c>
      <c r="E684" s="7" t="s">
        <v>1826</v>
      </c>
      <c r="F684" s="7" t="s">
        <v>8225</v>
      </c>
      <c r="G684" s="134">
        <f t="shared" si="85"/>
        <v>1</v>
      </c>
      <c r="H684" s="134" t="str">
        <f t="shared" si="86"/>
        <v/>
      </c>
      <c r="I684" s="7" t="s">
        <v>158</v>
      </c>
      <c r="J684" s="7" t="s">
        <v>2</v>
      </c>
      <c r="K684" s="7"/>
      <c r="L684" s="7" t="s">
        <v>167</v>
      </c>
      <c r="M684" s="7" t="s">
        <v>4647</v>
      </c>
      <c r="N684" s="7" t="s">
        <v>170</v>
      </c>
      <c r="O684" s="7" t="s">
        <v>162</v>
      </c>
      <c r="P684" s="7" t="s">
        <v>6382</v>
      </c>
      <c r="Q684" s="129">
        <v>46199</v>
      </c>
      <c r="R684" s="130">
        <f t="shared" si="84"/>
        <v>46211</v>
      </c>
      <c r="S684" s="131">
        <f t="shared" si="89"/>
        <v>12</v>
      </c>
      <c r="T684" s="7" t="s">
        <v>173</v>
      </c>
      <c r="U684" s="7" t="s">
        <v>349</v>
      </c>
      <c r="V684" s="7"/>
      <c r="W684" s="7">
        <v>645.12</v>
      </c>
      <c r="X684" s="132">
        <f t="shared" si="87"/>
        <v>10</v>
      </c>
      <c r="Y684" s="133"/>
      <c r="Z684" s="133"/>
      <c r="AA684" s="133"/>
    </row>
    <row r="685" spans="1:27" hidden="1" x14ac:dyDescent="0.25">
      <c r="A685" s="127">
        <v>787</v>
      </c>
      <c r="B685" s="128" t="str">
        <f t="shared" si="88"/>
        <v>TORT</v>
      </c>
      <c r="C685" s="128" t="str">
        <f>+VLOOKUP(U685,Ходим!A:B,2,0)</f>
        <v>31306842130078</v>
      </c>
      <c r="D685" s="128" t="str">
        <f>IFERROR(VLOOKUP($B:$B,[20]свод!$A:$AB,3,0)," ")</f>
        <v>Тўрақўрғон тумани</v>
      </c>
      <c r="E685" s="7" t="s">
        <v>1827</v>
      </c>
      <c r="F685" s="7" t="s">
        <v>8226</v>
      </c>
      <c r="G685" s="134">
        <f t="shared" si="85"/>
        <v>1</v>
      </c>
      <c r="H685" s="134" t="str">
        <f t="shared" si="86"/>
        <v/>
      </c>
      <c r="I685" s="7" t="s">
        <v>158</v>
      </c>
      <c r="J685" s="7" t="s">
        <v>1</v>
      </c>
      <c r="K685" s="7"/>
      <c r="L685" s="7" t="s">
        <v>167</v>
      </c>
      <c r="M685" s="7" t="s">
        <v>4648</v>
      </c>
      <c r="N685" s="7" t="s">
        <v>170</v>
      </c>
      <c r="O685" s="7" t="s">
        <v>162</v>
      </c>
      <c r="P685" s="7" t="s">
        <v>6380</v>
      </c>
      <c r="Q685" s="129">
        <v>46199</v>
      </c>
      <c r="R685" s="130">
        <f t="shared" si="84"/>
        <v>46211</v>
      </c>
      <c r="S685" s="131">
        <f t="shared" si="89"/>
        <v>12</v>
      </c>
      <c r="T685" s="7" t="s">
        <v>203</v>
      </c>
      <c r="U685" s="7" t="s">
        <v>219</v>
      </c>
      <c r="V685" s="7"/>
      <c r="W685" s="7">
        <v>334.95</v>
      </c>
      <c r="X685" s="132">
        <f t="shared" si="87"/>
        <v>10</v>
      </c>
      <c r="Y685" s="133"/>
      <c r="Z685" s="133"/>
      <c r="AA685" s="133"/>
    </row>
    <row r="686" spans="1:27" hidden="1" x14ac:dyDescent="0.25">
      <c r="A686" s="127">
        <v>788</v>
      </c>
      <c r="B686" s="128" t="str">
        <f t="shared" si="88"/>
        <v>CHUT</v>
      </c>
      <c r="C686" s="128" t="str">
        <f>+VLOOKUP(U686,Ходим!A:B,2,0)</f>
        <v>50905015970078</v>
      </c>
      <c r="D686" s="128" t="str">
        <f>IFERROR(VLOOKUP($B:$B,[20]свод!$A:$AB,3,0)," ")</f>
        <v>Чуст тумани</v>
      </c>
      <c r="E686" s="7" t="s">
        <v>1828</v>
      </c>
      <c r="F686" s="7" t="s">
        <v>8227</v>
      </c>
      <c r="G686" s="134">
        <f t="shared" si="85"/>
        <v>1</v>
      </c>
      <c r="H686" s="134" t="str">
        <f t="shared" si="86"/>
        <v/>
      </c>
      <c r="I686" s="7" t="s">
        <v>158</v>
      </c>
      <c r="J686" s="7" t="s">
        <v>12</v>
      </c>
      <c r="K686" s="7"/>
      <c r="L686" s="7" t="s">
        <v>167</v>
      </c>
      <c r="M686" s="7" t="s">
        <v>4649</v>
      </c>
      <c r="N686" s="7" t="s">
        <v>170</v>
      </c>
      <c r="O686" s="7" t="s">
        <v>162</v>
      </c>
      <c r="P686" s="7" t="s">
        <v>6382</v>
      </c>
      <c r="Q686" s="129">
        <v>46199</v>
      </c>
      <c r="R686" s="130">
        <f t="shared" si="84"/>
        <v>46211</v>
      </c>
      <c r="S686" s="131">
        <f t="shared" si="89"/>
        <v>12</v>
      </c>
      <c r="T686" s="7" t="s">
        <v>178</v>
      </c>
      <c r="U686" s="7" t="s">
        <v>521</v>
      </c>
      <c r="V686" s="7"/>
      <c r="W686" s="7">
        <v>275.02</v>
      </c>
      <c r="X686" s="132">
        <f t="shared" si="87"/>
        <v>10</v>
      </c>
      <c r="Y686" s="133"/>
      <c r="Z686" s="133"/>
      <c r="AA686" s="133"/>
    </row>
    <row r="687" spans="1:27" hidden="1" x14ac:dyDescent="0.25">
      <c r="A687" s="127">
        <v>789</v>
      </c>
      <c r="B687" s="128" t="str">
        <f t="shared" si="88"/>
        <v>TORT</v>
      </c>
      <c r="C687" s="128" t="str">
        <f>+VLOOKUP(U687,Ходим!A:B,2,0)</f>
        <v>31704782130035</v>
      </c>
      <c r="D687" s="128" t="str">
        <f>IFERROR(VLOOKUP($B:$B,[20]свод!$A:$AB,3,0)," ")</f>
        <v>Тўрақўрғон тумани</v>
      </c>
      <c r="E687" s="7" t="s">
        <v>1829</v>
      </c>
      <c r="F687" s="7" t="s">
        <v>8228</v>
      </c>
      <c r="G687" s="134">
        <f t="shared" si="85"/>
        <v>1</v>
      </c>
      <c r="H687" s="134" t="str">
        <f t="shared" si="86"/>
        <v/>
      </c>
      <c r="I687" s="7" t="s">
        <v>156</v>
      </c>
      <c r="J687" s="7" t="s">
        <v>25</v>
      </c>
      <c r="K687" s="7"/>
      <c r="L687" s="7"/>
      <c r="M687" s="7"/>
      <c r="N687" s="7" t="s">
        <v>170</v>
      </c>
      <c r="O687" s="7" t="s">
        <v>162</v>
      </c>
      <c r="P687" s="7" t="s">
        <v>6475</v>
      </c>
      <c r="Q687" s="129">
        <v>46199</v>
      </c>
      <c r="R687" s="130">
        <f t="shared" si="84"/>
        <v>46211</v>
      </c>
      <c r="S687" s="131">
        <f t="shared" si="89"/>
        <v>12</v>
      </c>
      <c r="T687" s="7" t="s">
        <v>203</v>
      </c>
      <c r="U687" s="7" t="s">
        <v>344</v>
      </c>
      <c r="V687" s="7"/>
      <c r="W687" s="7"/>
      <c r="X687" s="132">
        <f t="shared" si="87"/>
        <v>10</v>
      </c>
      <c r="Y687" s="133"/>
      <c r="Z687" s="133"/>
      <c r="AA687" s="133"/>
    </row>
    <row r="688" spans="1:27" hidden="1" x14ac:dyDescent="0.25">
      <c r="A688" s="127">
        <v>791</v>
      </c>
      <c r="B688" s="128" t="str">
        <f t="shared" si="88"/>
        <v>TORT</v>
      </c>
      <c r="C688" s="128" t="str">
        <f>+VLOOKUP(U688,Ходим!A:B,2,0)</f>
        <v>30702995920011</v>
      </c>
      <c r="D688" s="128" t="str">
        <f>IFERROR(VLOOKUP($B:$B,[20]свод!$A:$AB,3,0)," ")</f>
        <v>Тўрақўрғон тумани</v>
      </c>
      <c r="E688" s="7" t="s">
        <v>1830</v>
      </c>
      <c r="F688" s="7" t="s">
        <v>8229</v>
      </c>
      <c r="G688" s="134">
        <f t="shared" si="85"/>
        <v>1</v>
      </c>
      <c r="H688" s="134" t="str">
        <f t="shared" si="86"/>
        <v/>
      </c>
      <c r="I688" s="7" t="s">
        <v>156</v>
      </c>
      <c r="J688" s="7" t="s">
        <v>25</v>
      </c>
      <c r="K688" s="7"/>
      <c r="L688" s="7" t="s">
        <v>167</v>
      </c>
      <c r="M688" s="7" t="s">
        <v>4650</v>
      </c>
      <c r="N688" s="7" t="s">
        <v>170</v>
      </c>
      <c r="O688" s="7" t="s">
        <v>162</v>
      </c>
      <c r="P688" s="7" t="s">
        <v>6396</v>
      </c>
      <c r="Q688" s="129">
        <v>46199</v>
      </c>
      <c r="R688" s="130">
        <f t="shared" si="84"/>
        <v>46211</v>
      </c>
      <c r="S688" s="131">
        <f t="shared" si="89"/>
        <v>12</v>
      </c>
      <c r="T688" s="7" t="s">
        <v>203</v>
      </c>
      <c r="U688" s="7" t="s">
        <v>341</v>
      </c>
      <c r="V688" s="7"/>
      <c r="W688" s="7">
        <v>0</v>
      </c>
      <c r="X688" s="132">
        <f t="shared" si="87"/>
        <v>10</v>
      </c>
      <c r="Y688" s="133"/>
      <c r="Z688" s="133"/>
      <c r="AA688" s="133"/>
    </row>
    <row r="689" spans="1:27" hidden="1" x14ac:dyDescent="0.25">
      <c r="A689" s="127">
        <v>792</v>
      </c>
      <c r="B689" s="128" t="str">
        <f t="shared" si="88"/>
        <v>TORT</v>
      </c>
      <c r="C689" s="128">
        <f>+VLOOKUP(U689,Ходим!A:B,2,0)</f>
        <v>30603862130011</v>
      </c>
      <c r="D689" s="128" t="str">
        <f>IFERROR(VLOOKUP($B:$B,[20]свод!$A:$AB,3,0)," ")</f>
        <v>Тўрақўрғон тумани</v>
      </c>
      <c r="E689" s="7" t="s">
        <v>1831</v>
      </c>
      <c r="F689" s="7" t="s">
        <v>8230</v>
      </c>
      <c r="G689" s="134">
        <f t="shared" si="85"/>
        <v>1</v>
      </c>
      <c r="H689" s="134" t="str">
        <f t="shared" si="86"/>
        <v/>
      </c>
      <c r="I689" s="7" t="s">
        <v>158</v>
      </c>
      <c r="J689" s="7" t="s">
        <v>2</v>
      </c>
      <c r="K689" s="7"/>
      <c r="L689" s="7" t="s">
        <v>167</v>
      </c>
      <c r="M689" s="7" t="s">
        <v>4651</v>
      </c>
      <c r="N689" s="7" t="s">
        <v>170</v>
      </c>
      <c r="O689" s="7" t="s">
        <v>162</v>
      </c>
      <c r="P689" s="7" t="s">
        <v>6537</v>
      </c>
      <c r="Q689" s="129">
        <v>46199</v>
      </c>
      <c r="R689" s="130">
        <f t="shared" si="84"/>
        <v>46211</v>
      </c>
      <c r="S689" s="131">
        <f t="shared" si="89"/>
        <v>12</v>
      </c>
      <c r="T689" s="7" t="s">
        <v>203</v>
      </c>
      <c r="U689" s="7" t="s">
        <v>950</v>
      </c>
      <c r="V689" s="7"/>
      <c r="W689" s="7">
        <v>0</v>
      </c>
      <c r="X689" s="132">
        <f t="shared" si="87"/>
        <v>10</v>
      </c>
      <c r="Y689" s="133"/>
      <c r="Z689" s="133"/>
      <c r="AA689" s="133"/>
    </row>
    <row r="690" spans="1:27" hidden="1" x14ac:dyDescent="0.25">
      <c r="A690" s="127">
        <v>793</v>
      </c>
      <c r="B690" s="128" t="str">
        <f t="shared" si="88"/>
        <v>CHOT</v>
      </c>
      <c r="C690" s="128" t="str">
        <f>+VLOOKUP(U690,Ходим!A:B,2,0)</f>
        <v>50310015890046</v>
      </c>
      <c r="D690" s="128" t="str">
        <f>IFERROR(VLOOKUP($B:$B,[20]свод!$A:$AB,3,0)," ")</f>
        <v>Чортоқ тумани</v>
      </c>
      <c r="E690" s="7" t="s">
        <v>1832</v>
      </c>
      <c r="F690" s="7" t="s">
        <v>8231</v>
      </c>
      <c r="G690" s="134">
        <f t="shared" si="85"/>
        <v>1</v>
      </c>
      <c r="H690" s="134" t="str">
        <f t="shared" si="86"/>
        <v/>
      </c>
      <c r="I690" s="7" t="s">
        <v>158</v>
      </c>
      <c r="J690" s="7" t="s">
        <v>172</v>
      </c>
      <c r="K690" s="7"/>
      <c r="L690" s="7" t="s">
        <v>167</v>
      </c>
      <c r="M690" s="7" t="s">
        <v>1123</v>
      </c>
      <c r="N690" s="7" t="s">
        <v>170</v>
      </c>
      <c r="O690" s="7" t="s">
        <v>162</v>
      </c>
      <c r="P690" s="7" t="s">
        <v>6620</v>
      </c>
      <c r="Q690" s="129">
        <v>46199</v>
      </c>
      <c r="R690" s="130">
        <f t="shared" si="84"/>
        <v>46205</v>
      </c>
      <c r="S690" s="131">
        <f t="shared" si="89"/>
        <v>6</v>
      </c>
      <c r="T690" s="7" t="s">
        <v>184</v>
      </c>
      <c r="U690" s="7" t="s">
        <v>404</v>
      </c>
      <c r="V690" s="7"/>
      <c r="W690" s="7">
        <v>0</v>
      </c>
      <c r="X690" s="132">
        <f t="shared" si="87"/>
        <v>10</v>
      </c>
      <c r="Y690" s="133"/>
      <c r="Z690" s="133"/>
      <c r="AA690" s="133"/>
    </row>
    <row r="691" spans="1:27" hidden="1" x14ac:dyDescent="0.25">
      <c r="A691" s="127">
        <v>794</v>
      </c>
      <c r="B691" s="128" t="str">
        <f t="shared" si="88"/>
        <v>NAMS</v>
      </c>
      <c r="C691" s="128" t="str">
        <f>+VLOOKUP(U691,Ходим!A:B,2,0)</f>
        <v>51705025890024</v>
      </c>
      <c r="D691" s="128" t="str">
        <f>IFERROR(VLOOKUP($B:$B,[20]свод!$A:$AB,3,0)," ")</f>
        <v>Наманган шаҳар</v>
      </c>
      <c r="E691" s="7" t="s">
        <v>1833</v>
      </c>
      <c r="F691" s="7" t="s">
        <v>8232</v>
      </c>
      <c r="G691" s="134">
        <f t="shared" si="85"/>
        <v>1</v>
      </c>
      <c r="H691" s="134" t="str">
        <f t="shared" si="86"/>
        <v/>
      </c>
      <c r="I691" s="7" t="s">
        <v>154</v>
      </c>
      <c r="J691" s="7" t="s">
        <v>2</v>
      </c>
      <c r="K691" s="7"/>
      <c r="L691" s="7"/>
      <c r="M691" s="7"/>
      <c r="N691" s="7" t="s">
        <v>170</v>
      </c>
      <c r="O691" s="7" t="s">
        <v>162</v>
      </c>
      <c r="P691" s="7" t="s">
        <v>6417</v>
      </c>
      <c r="Q691" s="129">
        <v>46199</v>
      </c>
      <c r="R691" s="130">
        <f t="shared" si="84"/>
        <v>46210</v>
      </c>
      <c r="S691" s="131">
        <f t="shared" si="89"/>
        <v>11</v>
      </c>
      <c r="T691" s="7" t="s">
        <v>173</v>
      </c>
      <c r="U691" s="7" t="s">
        <v>189</v>
      </c>
      <c r="V691" s="7"/>
      <c r="W691" s="7"/>
      <c r="X691" s="132">
        <f t="shared" si="87"/>
        <v>10</v>
      </c>
      <c r="Y691" s="133"/>
      <c r="Z691" s="133"/>
      <c r="AA691" s="133"/>
    </row>
    <row r="692" spans="1:27" hidden="1" x14ac:dyDescent="0.25">
      <c r="A692" s="127">
        <v>795</v>
      </c>
      <c r="B692" s="128" t="str">
        <f t="shared" si="88"/>
        <v>NAMS</v>
      </c>
      <c r="C692" s="128">
        <f>+VLOOKUP(U692,Ходим!A:B,2,0)</f>
        <v>50510025960139</v>
      </c>
      <c r="D692" s="128" t="str">
        <f>IFERROR(VLOOKUP($B:$B,[20]свод!$A:$AB,3,0)," ")</f>
        <v>Наманган шаҳар</v>
      </c>
      <c r="E692" s="7" t="s">
        <v>1834</v>
      </c>
      <c r="F692" s="7" t="s">
        <v>8233</v>
      </c>
      <c r="G692" s="134">
        <f t="shared" si="85"/>
        <v>1</v>
      </c>
      <c r="H692" s="134" t="str">
        <f t="shared" si="86"/>
        <v/>
      </c>
      <c r="I692" s="7" t="s">
        <v>156</v>
      </c>
      <c r="J692" s="7" t="s">
        <v>25</v>
      </c>
      <c r="K692" s="7"/>
      <c r="L692" s="7"/>
      <c r="M692" s="7"/>
      <c r="N692" s="7" t="s">
        <v>170</v>
      </c>
      <c r="O692" s="7" t="s">
        <v>162</v>
      </c>
      <c r="P692" s="7" t="s">
        <v>6417</v>
      </c>
      <c r="Q692" s="129">
        <v>46199</v>
      </c>
      <c r="R692" s="130">
        <f t="shared" si="84"/>
        <v>46210</v>
      </c>
      <c r="S692" s="131">
        <f t="shared" si="89"/>
        <v>11</v>
      </c>
      <c r="T692" s="7" t="s">
        <v>173</v>
      </c>
      <c r="U692" s="7" t="s">
        <v>955</v>
      </c>
      <c r="V692" s="7"/>
      <c r="W692" s="7"/>
      <c r="X692" s="132">
        <f t="shared" si="87"/>
        <v>10</v>
      </c>
      <c r="Y692" s="133"/>
      <c r="Z692" s="133"/>
      <c r="AA692" s="133"/>
    </row>
    <row r="693" spans="1:27" hidden="1" x14ac:dyDescent="0.25">
      <c r="A693" s="127">
        <v>796</v>
      </c>
      <c r="B693" s="128" t="str">
        <f t="shared" si="88"/>
        <v>NORT</v>
      </c>
      <c r="C693" s="128" t="str">
        <f>+VLOOKUP(U693,Ходим!A:B,2,0)</f>
        <v>30902932150046</v>
      </c>
      <c r="D693" s="128" t="str">
        <f>IFERROR(VLOOKUP($B:$B,[20]свод!$A:$AB,3,0)," ")</f>
        <v>Норин тумани</v>
      </c>
      <c r="E693" s="7" t="s">
        <v>1835</v>
      </c>
      <c r="F693" s="7" t="s">
        <v>8234</v>
      </c>
      <c r="G693" s="134" t="str">
        <f t="shared" si="85"/>
        <v/>
      </c>
      <c r="H693" s="134">
        <f t="shared" si="86"/>
        <v>1</v>
      </c>
      <c r="I693" s="7" t="s">
        <v>157</v>
      </c>
      <c r="J693" s="7" t="s">
        <v>84</v>
      </c>
      <c r="K693" s="7"/>
      <c r="L693" s="7" t="s">
        <v>168</v>
      </c>
      <c r="M693" s="7" t="s">
        <v>4652</v>
      </c>
      <c r="N693" s="7" t="s">
        <v>170</v>
      </c>
      <c r="O693" s="7" t="s">
        <v>161</v>
      </c>
      <c r="P693" s="7" t="s">
        <v>6389</v>
      </c>
      <c r="Q693" s="129">
        <v>46199</v>
      </c>
      <c r="R693" s="130">
        <f t="shared" si="84"/>
        <v>46206</v>
      </c>
      <c r="S693" s="131">
        <f t="shared" si="89"/>
        <v>7</v>
      </c>
      <c r="T693" s="7" t="s">
        <v>210</v>
      </c>
      <c r="U693" s="7" t="s">
        <v>245</v>
      </c>
      <c r="V693" s="7"/>
      <c r="W693" s="7">
        <v>0</v>
      </c>
      <c r="X693" s="132">
        <f t="shared" si="87"/>
        <v>7</v>
      </c>
      <c r="Y693" s="133"/>
      <c r="Z693" s="133"/>
      <c r="AA693" s="133"/>
    </row>
    <row r="694" spans="1:27" hidden="1" x14ac:dyDescent="0.25">
      <c r="A694" s="127">
        <v>797</v>
      </c>
      <c r="B694" s="128" t="str">
        <f t="shared" si="88"/>
        <v>CHUT</v>
      </c>
      <c r="C694" s="128" t="str">
        <f>+VLOOKUP(U694,Ходим!A:B,2,0)</f>
        <v>30202885970013</v>
      </c>
      <c r="D694" s="128" t="str">
        <f>IFERROR(VLOOKUP($B:$B,[20]свод!$A:$AB,3,0)," ")</f>
        <v>Чуст тумани</v>
      </c>
      <c r="E694" s="7" t="s">
        <v>1836</v>
      </c>
      <c r="F694" s="7" t="s">
        <v>8235</v>
      </c>
      <c r="G694" s="134" t="str">
        <f t="shared" si="85"/>
        <v/>
      </c>
      <c r="H694" s="134">
        <f t="shared" si="86"/>
        <v>1</v>
      </c>
      <c r="I694" s="7" t="s">
        <v>157</v>
      </c>
      <c r="J694" s="7" t="s">
        <v>2</v>
      </c>
      <c r="K694" s="7"/>
      <c r="L694" s="7" t="s">
        <v>168</v>
      </c>
      <c r="M694" s="7" t="s">
        <v>4653</v>
      </c>
      <c r="N694" s="7" t="s">
        <v>410</v>
      </c>
      <c r="O694" s="7" t="s">
        <v>161</v>
      </c>
      <c r="P694" s="7" t="s">
        <v>6475</v>
      </c>
      <c r="Q694" s="129">
        <v>46199</v>
      </c>
      <c r="R694" s="130">
        <f t="shared" si="84"/>
        <v>46206</v>
      </c>
      <c r="S694" s="131">
        <f t="shared" si="89"/>
        <v>7</v>
      </c>
      <c r="T694" s="7" t="s">
        <v>178</v>
      </c>
      <c r="U694" s="7" t="s">
        <v>289</v>
      </c>
      <c r="V694" s="7"/>
      <c r="W694" s="7">
        <v>0</v>
      </c>
      <c r="X694" s="132">
        <f t="shared" si="87"/>
        <v>7</v>
      </c>
      <c r="Y694" s="133"/>
      <c r="Z694" s="133"/>
      <c r="AA694" s="133"/>
    </row>
    <row r="695" spans="1:27" hidden="1" x14ac:dyDescent="0.25">
      <c r="A695" s="127">
        <v>798</v>
      </c>
      <c r="B695" s="128" t="str">
        <f t="shared" si="88"/>
        <v>CHUT</v>
      </c>
      <c r="C695" s="128" t="str">
        <f>+VLOOKUP(U695,Ходим!A:B,2,0)</f>
        <v>30901882180031</v>
      </c>
      <c r="D695" s="128" t="str">
        <f>IFERROR(VLOOKUP($B:$B,[20]свод!$A:$AB,3,0)," ")</f>
        <v>Чуст тумани</v>
      </c>
      <c r="E695" s="7" t="s">
        <v>1837</v>
      </c>
      <c r="F695" s="7" t="s">
        <v>8236</v>
      </c>
      <c r="G695" s="134" t="str">
        <f t="shared" si="85"/>
        <v/>
      </c>
      <c r="H695" s="134">
        <f t="shared" si="86"/>
        <v>1</v>
      </c>
      <c r="I695" s="7" t="s">
        <v>157</v>
      </c>
      <c r="J695" s="7" t="s">
        <v>172</v>
      </c>
      <c r="K695" s="7"/>
      <c r="L695" s="7" t="s">
        <v>166</v>
      </c>
      <c r="M695" s="7" t="s">
        <v>4654</v>
      </c>
      <c r="N695" s="7" t="s">
        <v>410</v>
      </c>
      <c r="O695" s="7" t="s">
        <v>161</v>
      </c>
      <c r="P695" s="7" t="s">
        <v>6475</v>
      </c>
      <c r="Q695" s="129">
        <v>46199</v>
      </c>
      <c r="R695" s="130">
        <f t="shared" si="84"/>
        <v>46211</v>
      </c>
      <c r="S695" s="131">
        <f t="shared" si="89"/>
        <v>12</v>
      </c>
      <c r="T695" s="7" t="s">
        <v>178</v>
      </c>
      <c r="U695" s="7" t="s">
        <v>238</v>
      </c>
      <c r="V695" s="7"/>
      <c r="W695" s="7">
        <v>0</v>
      </c>
      <c r="X695" s="132">
        <f t="shared" si="87"/>
        <v>10</v>
      </c>
      <c r="Y695" s="133"/>
      <c r="Z695" s="133"/>
      <c r="AA695" s="133"/>
    </row>
    <row r="696" spans="1:27" hidden="1" x14ac:dyDescent="0.25">
      <c r="A696" s="127">
        <v>799</v>
      </c>
      <c r="B696" s="128" t="str">
        <f t="shared" si="88"/>
        <v>CHUT</v>
      </c>
      <c r="C696" s="128" t="str">
        <f>+VLOOKUP(U696,Ходим!A:B,2,0)</f>
        <v>52801005970043</v>
      </c>
      <c r="D696" s="128" t="str">
        <f>IFERROR(VLOOKUP($B:$B,[20]свод!$A:$AB,3,0)," ")</f>
        <v>Чуст тумани</v>
      </c>
      <c r="E696" s="7" t="s">
        <v>1838</v>
      </c>
      <c r="F696" s="7" t="s">
        <v>8237</v>
      </c>
      <c r="G696" s="134">
        <f t="shared" si="85"/>
        <v>1</v>
      </c>
      <c r="H696" s="134" t="str">
        <f t="shared" si="86"/>
        <v/>
      </c>
      <c r="I696" s="7" t="s">
        <v>158</v>
      </c>
      <c r="J696" s="7" t="s">
        <v>36</v>
      </c>
      <c r="K696" s="7"/>
      <c r="L696" s="7" t="s">
        <v>167</v>
      </c>
      <c r="M696" s="7" t="s">
        <v>4655</v>
      </c>
      <c r="N696" s="7" t="s">
        <v>410</v>
      </c>
      <c r="O696" s="7" t="s">
        <v>162</v>
      </c>
      <c r="P696" s="7" t="s">
        <v>6621</v>
      </c>
      <c r="Q696" s="129">
        <v>46199</v>
      </c>
      <c r="R696" s="130">
        <f t="shared" si="84"/>
        <v>46204</v>
      </c>
      <c r="S696" s="131">
        <f t="shared" si="89"/>
        <v>5</v>
      </c>
      <c r="T696" s="7" t="s">
        <v>178</v>
      </c>
      <c r="U696" s="7" t="s">
        <v>387</v>
      </c>
      <c r="V696" s="7"/>
      <c r="W696" s="7">
        <v>398.1</v>
      </c>
      <c r="X696" s="132">
        <f t="shared" si="87"/>
        <v>10</v>
      </c>
      <c r="Y696" s="133"/>
      <c r="Z696" s="133"/>
      <c r="AA696" s="133"/>
    </row>
    <row r="697" spans="1:27" hidden="1" x14ac:dyDescent="0.25">
      <c r="A697" s="127">
        <v>800</v>
      </c>
      <c r="B697" s="128" t="str">
        <f t="shared" si="88"/>
        <v>TORT</v>
      </c>
      <c r="C697" s="128" t="str">
        <f>+VLOOKUP(U697,Ходим!A:B,2,0)</f>
        <v>30612832130021</v>
      </c>
      <c r="D697" s="128" t="str">
        <f>IFERROR(VLOOKUP($B:$B,[20]свод!$A:$AB,3,0)," ")</f>
        <v>Тўрақўрғон тумани</v>
      </c>
      <c r="E697" s="7" t="s">
        <v>1839</v>
      </c>
      <c r="F697" s="7" t="s">
        <v>8238</v>
      </c>
      <c r="G697" s="134">
        <f t="shared" si="85"/>
        <v>1</v>
      </c>
      <c r="H697" s="134" t="str">
        <f t="shared" si="86"/>
        <v/>
      </c>
      <c r="I697" s="7" t="s">
        <v>158</v>
      </c>
      <c r="J697" s="7" t="s">
        <v>2</v>
      </c>
      <c r="K697" s="7"/>
      <c r="L697" s="7" t="s">
        <v>167</v>
      </c>
      <c r="M697" s="7" t="s">
        <v>4656</v>
      </c>
      <c r="N697" s="7" t="s">
        <v>170</v>
      </c>
      <c r="O697" s="7" t="s">
        <v>162</v>
      </c>
      <c r="P697" s="7" t="s">
        <v>6495</v>
      </c>
      <c r="Q697" s="129">
        <v>46199</v>
      </c>
      <c r="R697" s="130">
        <f t="shared" si="84"/>
        <v>46211</v>
      </c>
      <c r="S697" s="131">
        <f t="shared" si="89"/>
        <v>12</v>
      </c>
      <c r="T697" s="7" t="s">
        <v>203</v>
      </c>
      <c r="U697" s="7" t="s">
        <v>342</v>
      </c>
      <c r="V697" s="7"/>
      <c r="W697" s="7">
        <v>157.86000000000001</v>
      </c>
      <c r="X697" s="132">
        <f t="shared" si="87"/>
        <v>10</v>
      </c>
      <c r="Y697" s="133"/>
      <c r="Z697" s="133"/>
      <c r="AA697" s="133"/>
    </row>
    <row r="698" spans="1:27" hidden="1" x14ac:dyDescent="0.25">
      <c r="A698" s="127">
        <v>801</v>
      </c>
      <c r="B698" s="128" t="str">
        <f t="shared" si="88"/>
        <v>NAMS</v>
      </c>
      <c r="C698" s="128" t="str">
        <f>+VLOOKUP(U698,Ходим!A:B,2,0)</f>
        <v>51911035960011</v>
      </c>
      <c r="D698" s="128" t="str">
        <f>IFERROR(VLOOKUP($B:$B,[20]свод!$A:$AB,3,0)," ")</f>
        <v>Наманган шаҳар</v>
      </c>
      <c r="E698" s="7" t="s">
        <v>1840</v>
      </c>
      <c r="F698" s="7"/>
      <c r="G698" s="134">
        <f t="shared" si="85"/>
        <v>1</v>
      </c>
      <c r="H698" s="134" t="str">
        <f t="shared" si="86"/>
        <v/>
      </c>
      <c r="I698" s="7" t="s">
        <v>154</v>
      </c>
      <c r="J698" s="7" t="s">
        <v>36</v>
      </c>
      <c r="K698" s="7"/>
      <c r="L698" s="7" t="s">
        <v>167</v>
      </c>
      <c r="M698" s="7" t="s">
        <v>4657</v>
      </c>
      <c r="N698" s="7" t="s">
        <v>368</v>
      </c>
      <c r="O698" s="7"/>
      <c r="P698" s="7" t="s">
        <v>6622</v>
      </c>
      <c r="Q698" s="129">
        <v>46199</v>
      </c>
      <c r="R698" s="130">
        <f t="shared" si="84"/>
        <v>46204</v>
      </c>
      <c r="S698" s="131">
        <f t="shared" si="89"/>
        <v>5</v>
      </c>
      <c r="T698" s="7"/>
      <c r="U698" s="7" t="s">
        <v>371</v>
      </c>
      <c r="V698" s="7"/>
      <c r="W698" s="7">
        <v>289.18</v>
      </c>
      <c r="X698" s="132">
        <f t="shared" si="87"/>
        <v>5</v>
      </c>
      <c r="Y698" s="133"/>
      <c r="Z698" s="133"/>
      <c r="AA698" s="133"/>
    </row>
    <row r="699" spans="1:27" hidden="1" x14ac:dyDescent="0.25">
      <c r="A699" s="127">
        <v>802</v>
      </c>
      <c r="B699" s="128" t="str">
        <f t="shared" si="88"/>
        <v>UCQT</v>
      </c>
      <c r="C699" s="128" t="e">
        <f>+VLOOKUP(U699,Ходим!A:B,2,0)</f>
        <v>#N/A</v>
      </c>
      <c r="D699" s="128" t="str">
        <f>IFERROR(VLOOKUP($B:$B,[20]свод!$A:$AB,3,0)," ")</f>
        <v>Учқўрғон тумани</v>
      </c>
      <c r="E699" s="7" t="s">
        <v>1841</v>
      </c>
      <c r="F699" s="7" t="s">
        <v>8239</v>
      </c>
      <c r="G699" s="134">
        <f t="shared" si="85"/>
        <v>1</v>
      </c>
      <c r="H699" s="134" t="str">
        <f t="shared" si="86"/>
        <v/>
      </c>
      <c r="I699" s="7" t="s">
        <v>156</v>
      </c>
      <c r="J699" s="7" t="s">
        <v>11</v>
      </c>
      <c r="K699" s="7"/>
      <c r="L699" s="7"/>
      <c r="M699" s="7"/>
      <c r="N699" s="7" t="s">
        <v>410</v>
      </c>
      <c r="O699" s="7" t="s">
        <v>162</v>
      </c>
      <c r="P699" s="7" t="s">
        <v>6623</v>
      </c>
      <c r="Q699" s="129">
        <v>46199</v>
      </c>
      <c r="R699" s="130">
        <f t="shared" si="84"/>
        <v>46211</v>
      </c>
      <c r="S699" s="131">
        <f t="shared" si="89"/>
        <v>12</v>
      </c>
      <c r="T699" s="7"/>
      <c r="U699" s="7"/>
      <c r="V699" s="7"/>
      <c r="W699" s="7"/>
      <c r="X699" s="132">
        <f t="shared" si="87"/>
        <v>10</v>
      </c>
      <c r="Y699" s="133"/>
      <c r="Z699" s="133"/>
      <c r="AA699" s="133"/>
    </row>
    <row r="700" spans="1:27" hidden="1" x14ac:dyDescent="0.25">
      <c r="A700" s="127">
        <v>804</v>
      </c>
      <c r="B700" s="128" t="str">
        <f t="shared" si="88"/>
        <v>KSST</v>
      </c>
      <c r="C700" s="128" t="str">
        <f>+VLOOKUP(U700,Ходим!A:B,2,0)</f>
        <v>31611995980026</v>
      </c>
      <c r="D700" s="128" t="str">
        <f>IFERROR(VLOOKUP($B:$B,[20]свод!$A:$AB,3,0)," ")</f>
        <v>Косонсой тумани</v>
      </c>
      <c r="E700" s="7" t="s">
        <v>1842</v>
      </c>
      <c r="F700" s="7" t="s">
        <v>8240</v>
      </c>
      <c r="G700" s="134" t="str">
        <f t="shared" si="85"/>
        <v/>
      </c>
      <c r="H700" s="134">
        <f t="shared" si="86"/>
        <v>1</v>
      </c>
      <c r="I700" s="7" t="s">
        <v>157</v>
      </c>
      <c r="J700" s="7" t="s">
        <v>1</v>
      </c>
      <c r="K700" s="7"/>
      <c r="L700" s="7" t="s">
        <v>166</v>
      </c>
      <c r="M700" s="7" t="s">
        <v>4658</v>
      </c>
      <c r="N700" s="7" t="s">
        <v>170</v>
      </c>
      <c r="O700" s="7" t="s">
        <v>163</v>
      </c>
      <c r="P700" s="7" t="s">
        <v>6624</v>
      </c>
      <c r="Q700" s="129">
        <v>46199</v>
      </c>
      <c r="R700" s="130">
        <f t="shared" si="84"/>
        <v>46202</v>
      </c>
      <c r="S700" s="131">
        <f t="shared" si="89"/>
        <v>3</v>
      </c>
      <c r="T700" s="7" t="s">
        <v>180</v>
      </c>
      <c r="U700" s="7" t="s">
        <v>181</v>
      </c>
      <c r="V700" s="7"/>
      <c r="W700" s="7">
        <v>360.33</v>
      </c>
      <c r="X700" s="132">
        <f t="shared" si="87"/>
        <v>12</v>
      </c>
      <c r="Y700" s="133"/>
      <c r="Z700" s="133"/>
      <c r="AA700" s="133"/>
    </row>
    <row r="701" spans="1:27" hidden="1" x14ac:dyDescent="0.25">
      <c r="A701" s="127">
        <v>805</v>
      </c>
      <c r="B701" s="128" t="str">
        <f t="shared" si="88"/>
        <v>YGQT</v>
      </c>
      <c r="C701" s="128" t="str">
        <f>+VLOOKUP(U701,Ходим!A:B,2,0)</f>
        <v>30903902160122</v>
      </c>
      <c r="D701" s="128" t="str">
        <f>IFERROR(VLOOKUP($B:$B,[20]свод!$A:$AB,3,0)," ")</f>
        <v>Янгиқўрғон тумани</v>
      </c>
      <c r="E701" s="7" t="s">
        <v>1843</v>
      </c>
      <c r="F701" s="7" t="s">
        <v>8241</v>
      </c>
      <c r="G701" s="134">
        <f t="shared" si="85"/>
        <v>1</v>
      </c>
      <c r="H701" s="134" t="str">
        <f t="shared" si="86"/>
        <v/>
      </c>
      <c r="I701" s="7" t="s">
        <v>158</v>
      </c>
      <c r="J701" s="7" t="s">
        <v>2</v>
      </c>
      <c r="K701" s="7"/>
      <c r="L701" s="7" t="s">
        <v>167</v>
      </c>
      <c r="M701" s="7" t="s">
        <v>4659</v>
      </c>
      <c r="N701" s="7" t="s">
        <v>410</v>
      </c>
      <c r="O701" s="7" t="s">
        <v>162</v>
      </c>
      <c r="P701" s="7" t="s">
        <v>6625</v>
      </c>
      <c r="Q701" s="129">
        <v>46199</v>
      </c>
      <c r="R701" s="130">
        <f t="shared" si="84"/>
        <v>46205</v>
      </c>
      <c r="S701" s="131">
        <f t="shared" si="89"/>
        <v>6</v>
      </c>
      <c r="T701" s="7" t="s">
        <v>255</v>
      </c>
      <c r="U701" s="7" t="s">
        <v>230</v>
      </c>
      <c r="V701" s="7"/>
      <c r="W701" s="7">
        <v>370.11500000000001</v>
      </c>
      <c r="X701" s="132">
        <f t="shared" si="87"/>
        <v>10</v>
      </c>
      <c r="Y701" s="133"/>
      <c r="Z701" s="133"/>
      <c r="AA701" s="133"/>
    </row>
    <row r="702" spans="1:27" hidden="1" x14ac:dyDescent="0.25">
      <c r="A702" s="127">
        <v>806</v>
      </c>
      <c r="B702" s="128" t="str">
        <f t="shared" si="88"/>
        <v>TORT</v>
      </c>
      <c r="C702" s="128" t="str">
        <f>+VLOOKUP(U702,Ходим!A:B,2,0)</f>
        <v>51305035920029</v>
      </c>
      <c r="D702" s="128" t="str">
        <f>IFERROR(VLOOKUP($B:$B,[20]свод!$A:$AB,3,0)," ")</f>
        <v>Тўрақўрғон тумани</v>
      </c>
      <c r="E702" s="7" t="s">
        <v>1844</v>
      </c>
      <c r="F702" s="7" t="s">
        <v>8242</v>
      </c>
      <c r="G702" s="134">
        <f t="shared" si="85"/>
        <v>1</v>
      </c>
      <c r="H702" s="134" t="str">
        <f t="shared" si="86"/>
        <v/>
      </c>
      <c r="I702" s="7" t="s">
        <v>158</v>
      </c>
      <c r="J702" s="7" t="s">
        <v>2</v>
      </c>
      <c r="K702" s="7"/>
      <c r="L702" s="7" t="s">
        <v>167</v>
      </c>
      <c r="M702" s="7" t="s">
        <v>4660</v>
      </c>
      <c r="N702" s="7" t="s">
        <v>170</v>
      </c>
      <c r="O702" s="7" t="s">
        <v>162</v>
      </c>
      <c r="P702" s="7" t="s">
        <v>6557</v>
      </c>
      <c r="Q702" s="129">
        <v>46199</v>
      </c>
      <c r="R702" s="130">
        <f t="shared" si="84"/>
        <v>46211</v>
      </c>
      <c r="S702" s="131">
        <f t="shared" si="89"/>
        <v>12</v>
      </c>
      <c r="T702" s="7" t="s">
        <v>203</v>
      </c>
      <c r="U702" s="7" t="s">
        <v>316</v>
      </c>
      <c r="V702" s="7"/>
      <c r="W702" s="7">
        <v>320.12</v>
      </c>
      <c r="X702" s="132">
        <f t="shared" si="87"/>
        <v>10</v>
      </c>
      <c r="Y702" s="133"/>
      <c r="Z702" s="133"/>
      <c r="AA702" s="133"/>
    </row>
    <row r="703" spans="1:27" hidden="1" x14ac:dyDescent="0.25">
      <c r="A703" s="127">
        <v>807</v>
      </c>
      <c r="B703" s="128" t="str">
        <f t="shared" si="88"/>
        <v>UCQT</v>
      </c>
      <c r="C703" s="128" t="str">
        <f>+VLOOKUP(U703,Ходим!A:B,2,0)</f>
        <v>52405005940019</v>
      </c>
      <c r="D703" s="128" t="str">
        <f>IFERROR(VLOOKUP($B:$B,[20]свод!$A:$AB,3,0)," ")</f>
        <v>Учқўрғон тумани</v>
      </c>
      <c r="E703" s="7" t="s">
        <v>1845</v>
      </c>
      <c r="F703" s="7" t="s">
        <v>8243</v>
      </c>
      <c r="G703" s="134" t="str">
        <f t="shared" si="85"/>
        <v/>
      </c>
      <c r="H703" s="134">
        <f t="shared" si="86"/>
        <v>1</v>
      </c>
      <c r="I703" s="7" t="s">
        <v>157</v>
      </c>
      <c r="J703" s="7" t="s">
        <v>2</v>
      </c>
      <c r="K703" s="7"/>
      <c r="L703" s="7" t="s">
        <v>166</v>
      </c>
      <c r="M703" s="7" t="s">
        <v>4661</v>
      </c>
      <c r="N703" s="7" t="s">
        <v>170</v>
      </c>
      <c r="O703" s="7" t="s">
        <v>165</v>
      </c>
      <c r="P703" s="7" t="s">
        <v>6626</v>
      </c>
      <c r="Q703" s="129">
        <v>46199</v>
      </c>
      <c r="R703" s="130">
        <f t="shared" si="84"/>
        <v>46212</v>
      </c>
      <c r="S703" s="131">
        <f t="shared" si="89"/>
        <v>13</v>
      </c>
      <c r="T703" s="7" t="s">
        <v>175</v>
      </c>
      <c r="U703" s="7" t="s">
        <v>209</v>
      </c>
      <c r="V703" s="7"/>
      <c r="W703" s="7">
        <v>0</v>
      </c>
      <c r="X703" s="132">
        <f t="shared" si="87"/>
        <v>15</v>
      </c>
      <c r="Y703" s="133"/>
      <c r="Z703" s="133"/>
      <c r="AA703" s="133"/>
    </row>
    <row r="704" spans="1:27" hidden="1" x14ac:dyDescent="0.25">
      <c r="A704" s="127">
        <v>808</v>
      </c>
      <c r="B704" s="128" t="str">
        <f t="shared" si="88"/>
        <v>NAMT</v>
      </c>
      <c r="C704" s="128" t="str">
        <f>+VLOOKUP(U704,Ходим!A:B,2,0)</f>
        <v>31702942090041</v>
      </c>
      <c r="D704" s="128" t="str">
        <f>IFERROR(VLOOKUP($B:$B,[20]свод!$A:$AB,3,0)," ")</f>
        <v>Наманган тумани</v>
      </c>
      <c r="E704" s="7" t="s">
        <v>1846</v>
      </c>
      <c r="F704" s="7" t="s">
        <v>1132</v>
      </c>
      <c r="G704" s="134">
        <f t="shared" si="85"/>
        <v>1</v>
      </c>
      <c r="H704" s="134" t="str">
        <f t="shared" si="86"/>
        <v/>
      </c>
      <c r="I704" s="7" t="s">
        <v>158</v>
      </c>
      <c r="J704" s="7" t="s">
        <v>13</v>
      </c>
      <c r="K704" s="7"/>
      <c r="L704" s="7" t="s">
        <v>167</v>
      </c>
      <c r="M704" s="7" t="s">
        <v>4662</v>
      </c>
      <c r="N704" s="7" t="s">
        <v>170</v>
      </c>
      <c r="O704" s="7" t="s">
        <v>163</v>
      </c>
      <c r="P704" s="7" t="s">
        <v>6626</v>
      </c>
      <c r="Q704" s="129">
        <v>46199</v>
      </c>
      <c r="R704" s="130">
        <f t="shared" si="84"/>
        <v>46205</v>
      </c>
      <c r="S704" s="131">
        <f t="shared" si="89"/>
        <v>6</v>
      </c>
      <c r="T704" s="7" t="s">
        <v>193</v>
      </c>
      <c r="U704" s="7" t="s">
        <v>194</v>
      </c>
      <c r="V704" s="7"/>
      <c r="W704" s="7">
        <v>0</v>
      </c>
      <c r="X704" s="132">
        <f t="shared" si="87"/>
        <v>10</v>
      </c>
      <c r="Y704" s="133"/>
      <c r="Z704" s="133"/>
      <c r="AA704" s="133"/>
    </row>
    <row r="705" spans="1:27" hidden="1" x14ac:dyDescent="0.25">
      <c r="A705" s="127">
        <v>809</v>
      </c>
      <c r="B705" s="128" t="str">
        <f t="shared" si="88"/>
        <v>NAMT</v>
      </c>
      <c r="C705" s="128">
        <f>+VLOOKUP(U705,Ходим!A:B,2,0)</f>
        <v>52908045880018</v>
      </c>
      <c r="D705" s="128" t="str">
        <f>IFERROR(VLOOKUP($B:$B,[20]свод!$A:$AB,3,0)," ")</f>
        <v>Наманган тумани</v>
      </c>
      <c r="E705" s="7" t="s">
        <v>1847</v>
      </c>
      <c r="F705" s="7" t="s">
        <v>1129</v>
      </c>
      <c r="G705" s="134">
        <f t="shared" si="85"/>
        <v>1</v>
      </c>
      <c r="H705" s="134" t="str">
        <f t="shared" si="86"/>
        <v/>
      </c>
      <c r="I705" s="7" t="s">
        <v>158</v>
      </c>
      <c r="J705" s="7" t="s">
        <v>13</v>
      </c>
      <c r="K705" s="7"/>
      <c r="L705" s="7" t="s">
        <v>167</v>
      </c>
      <c r="M705" s="7" t="s">
        <v>4663</v>
      </c>
      <c r="N705" s="7" t="s">
        <v>170</v>
      </c>
      <c r="O705" s="7" t="s">
        <v>162</v>
      </c>
      <c r="P705" s="7" t="s">
        <v>6626</v>
      </c>
      <c r="Q705" s="129">
        <v>46199</v>
      </c>
      <c r="R705" s="130">
        <f t="shared" si="84"/>
        <v>46205</v>
      </c>
      <c r="S705" s="131">
        <f t="shared" si="89"/>
        <v>6</v>
      </c>
      <c r="T705" s="7" t="s">
        <v>193</v>
      </c>
      <c r="U705" s="7" t="s">
        <v>982</v>
      </c>
      <c r="V705" s="7"/>
      <c r="W705" s="7">
        <v>0</v>
      </c>
      <c r="X705" s="132">
        <f t="shared" si="87"/>
        <v>10</v>
      </c>
      <c r="Y705" s="133"/>
      <c r="Z705" s="133"/>
      <c r="AA705" s="133"/>
    </row>
    <row r="706" spans="1:27" hidden="1" x14ac:dyDescent="0.25">
      <c r="A706" s="127">
        <v>811</v>
      </c>
      <c r="B706" s="128" t="str">
        <f t="shared" si="88"/>
        <v>KSST</v>
      </c>
      <c r="C706" s="128" t="str">
        <f>+VLOOKUP(U706,Ходим!A:B,2,0)</f>
        <v>30703792190108</v>
      </c>
      <c r="D706" s="128" t="str">
        <f>IFERROR(VLOOKUP($B:$B,[20]свод!$A:$AB,3,0)," ")</f>
        <v>Косонсой тумани</v>
      </c>
      <c r="E706" s="7" t="s">
        <v>1848</v>
      </c>
      <c r="F706" s="7" t="s">
        <v>8244</v>
      </c>
      <c r="G706" s="134">
        <f t="shared" si="85"/>
        <v>1</v>
      </c>
      <c r="H706" s="134" t="str">
        <f t="shared" si="86"/>
        <v/>
      </c>
      <c r="I706" s="7" t="s">
        <v>158</v>
      </c>
      <c r="J706" s="7" t="s">
        <v>2</v>
      </c>
      <c r="K706" s="7"/>
      <c r="L706" s="7" t="s">
        <v>167</v>
      </c>
      <c r="M706" s="7" t="s">
        <v>4664</v>
      </c>
      <c r="N706" s="7" t="s">
        <v>170</v>
      </c>
      <c r="O706" s="7" t="s">
        <v>162</v>
      </c>
      <c r="P706" s="7" t="s">
        <v>6553</v>
      </c>
      <c r="Q706" s="129">
        <v>46199</v>
      </c>
      <c r="R706" s="130">
        <f t="shared" si="84"/>
        <v>46205</v>
      </c>
      <c r="S706" s="131">
        <f t="shared" si="89"/>
        <v>6</v>
      </c>
      <c r="T706" s="7" t="s">
        <v>180</v>
      </c>
      <c r="U706" s="7" t="s">
        <v>231</v>
      </c>
      <c r="V706" s="7"/>
      <c r="W706" s="7">
        <v>0</v>
      </c>
      <c r="X706" s="132">
        <f t="shared" si="87"/>
        <v>10</v>
      </c>
      <c r="Y706" s="133"/>
      <c r="Z706" s="133"/>
      <c r="AA706" s="133"/>
    </row>
    <row r="707" spans="1:27" hidden="1" x14ac:dyDescent="0.25">
      <c r="A707" s="127">
        <v>812</v>
      </c>
      <c r="B707" s="128" t="str">
        <f t="shared" si="88"/>
        <v>NAMT</v>
      </c>
      <c r="C707" s="128" t="str">
        <f>+VLOOKUP(U707,Ходим!A:B,2,0)</f>
        <v>40306812090034</v>
      </c>
      <c r="D707" s="128" t="str">
        <f>IFERROR(VLOOKUP($B:$B,[20]свод!$A:$AB,3,0)," ")</f>
        <v>Наманган тумани</v>
      </c>
      <c r="E707" s="7" t="s">
        <v>1849</v>
      </c>
      <c r="F707" s="7" t="s">
        <v>8245</v>
      </c>
      <c r="G707" s="134">
        <f t="shared" si="85"/>
        <v>1</v>
      </c>
      <c r="H707" s="134" t="str">
        <f t="shared" si="86"/>
        <v/>
      </c>
      <c r="I707" s="7" t="s">
        <v>158</v>
      </c>
      <c r="J707" s="7" t="s">
        <v>1</v>
      </c>
      <c r="K707" s="7"/>
      <c r="L707" s="7" t="s">
        <v>167</v>
      </c>
      <c r="M707" s="7" t="s">
        <v>4665</v>
      </c>
      <c r="N707" s="7" t="s">
        <v>410</v>
      </c>
      <c r="O707" s="7" t="s">
        <v>162</v>
      </c>
      <c r="P707" s="7" t="s">
        <v>6627</v>
      </c>
      <c r="Q707" s="129">
        <v>46199</v>
      </c>
      <c r="R707" s="130">
        <f t="shared" si="84"/>
        <v>46210</v>
      </c>
      <c r="S707" s="131">
        <f t="shared" si="89"/>
        <v>11</v>
      </c>
      <c r="T707" s="7" t="s">
        <v>193</v>
      </c>
      <c r="U707" s="7" t="s">
        <v>273</v>
      </c>
      <c r="V707" s="7"/>
      <c r="W707" s="7">
        <v>303.01</v>
      </c>
      <c r="X707" s="132">
        <f t="shared" si="87"/>
        <v>10</v>
      </c>
      <c r="Y707" s="133"/>
      <c r="Z707" s="133"/>
      <c r="AA707" s="133"/>
    </row>
    <row r="708" spans="1:27" x14ac:dyDescent="0.25">
      <c r="A708" s="127">
        <v>813</v>
      </c>
      <c r="B708" s="128" t="str">
        <f t="shared" si="88"/>
        <v>KSST</v>
      </c>
      <c r="C708" s="128" t="str">
        <f>+VLOOKUP(U708,Ходим!A:B,2,0)</f>
        <v>52812015980061</v>
      </c>
      <c r="D708" s="128" t="str">
        <f>IFERROR(VLOOKUP($B:$B,[20]свод!$A:$AB,3,0)," ")</f>
        <v>Косонсой тумани</v>
      </c>
      <c r="E708" s="7" t="s">
        <v>1850</v>
      </c>
      <c r="F708" s="7" t="s">
        <v>8246</v>
      </c>
      <c r="G708" s="134" t="str">
        <f t="shared" si="85"/>
        <v/>
      </c>
      <c r="H708" s="134">
        <f t="shared" si="86"/>
        <v>1</v>
      </c>
      <c r="I708" s="7" t="s">
        <v>157</v>
      </c>
      <c r="J708" s="7" t="s">
        <v>1</v>
      </c>
      <c r="K708" s="7"/>
      <c r="L708" s="7" t="s">
        <v>166</v>
      </c>
      <c r="M708" s="7" t="s">
        <v>4666</v>
      </c>
      <c r="N708" s="7" t="s">
        <v>170</v>
      </c>
      <c r="O708" s="7" t="s">
        <v>163</v>
      </c>
      <c r="P708" s="7" t="s">
        <v>6628</v>
      </c>
      <c r="Q708" s="129">
        <v>46199</v>
      </c>
      <c r="R708" s="130">
        <f t="shared" si="84"/>
        <v>46199</v>
      </c>
      <c r="S708" s="131">
        <f t="shared" si="89"/>
        <v>0</v>
      </c>
      <c r="T708" s="7" t="s">
        <v>180</v>
      </c>
      <c r="U708" s="7" t="s">
        <v>307</v>
      </c>
      <c r="V708" s="7"/>
      <c r="W708" s="7">
        <v>136.08000000000001</v>
      </c>
      <c r="X708" s="132">
        <f t="shared" si="87"/>
        <v>12</v>
      </c>
      <c r="Y708" s="133"/>
      <c r="Z708" s="133"/>
      <c r="AA708" s="133"/>
    </row>
    <row r="709" spans="1:27" hidden="1" x14ac:dyDescent="0.25">
      <c r="A709" s="127">
        <v>814</v>
      </c>
      <c r="B709" s="128" t="str">
        <f t="shared" si="88"/>
        <v>NAMS</v>
      </c>
      <c r="C709" s="128" t="str">
        <f>+VLOOKUP(U709,Ходим!A:B,2,0)</f>
        <v>30302942170072</v>
      </c>
      <c r="D709" s="128" t="str">
        <f>IFERROR(VLOOKUP($B:$B,[20]свод!$A:$AB,3,0)," ")</f>
        <v>Наманган шаҳар</v>
      </c>
      <c r="E709" s="7" t="s">
        <v>1851</v>
      </c>
      <c r="F709" s="7" t="s">
        <v>8247</v>
      </c>
      <c r="G709" s="134">
        <f t="shared" si="85"/>
        <v>1</v>
      </c>
      <c r="H709" s="134" t="str">
        <f t="shared" si="86"/>
        <v/>
      </c>
      <c r="I709" s="7" t="s">
        <v>158</v>
      </c>
      <c r="J709" s="7" t="s">
        <v>2</v>
      </c>
      <c r="K709" s="7"/>
      <c r="L709" s="7" t="s">
        <v>167</v>
      </c>
      <c r="M709" s="7" t="s">
        <v>4667</v>
      </c>
      <c r="N709" s="7" t="s">
        <v>170</v>
      </c>
      <c r="O709" s="7" t="s">
        <v>162</v>
      </c>
      <c r="P709" s="7" t="s">
        <v>6629</v>
      </c>
      <c r="Q709" s="129">
        <v>46199</v>
      </c>
      <c r="R709" s="130">
        <f t="shared" si="84"/>
        <v>46205</v>
      </c>
      <c r="S709" s="131">
        <f t="shared" si="89"/>
        <v>6</v>
      </c>
      <c r="T709" s="7" t="s">
        <v>173</v>
      </c>
      <c r="U709" s="7" t="s">
        <v>325</v>
      </c>
      <c r="V709" s="7"/>
      <c r="W709" s="7">
        <v>153</v>
      </c>
      <c r="X709" s="132">
        <f t="shared" si="87"/>
        <v>10</v>
      </c>
      <c r="Y709" s="133"/>
      <c r="Z709" s="133"/>
      <c r="AA709" s="133"/>
    </row>
    <row r="710" spans="1:27" hidden="1" x14ac:dyDescent="0.25">
      <c r="A710" s="127">
        <v>815</v>
      </c>
      <c r="B710" s="128" t="str">
        <f t="shared" si="88"/>
        <v>TORT</v>
      </c>
      <c r="C710" s="128" t="str">
        <f>+VLOOKUP(U710,Ходим!A:B,2,0)</f>
        <v>52603025920015</v>
      </c>
      <c r="D710" s="128" t="str">
        <f>IFERROR(VLOOKUP($B:$B,[20]свод!$A:$AB,3,0)," ")</f>
        <v>Тўрақўрғон тумани</v>
      </c>
      <c r="E710" s="7" t="s">
        <v>1852</v>
      </c>
      <c r="F710" s="7" t="s">
        <v>8248</v>
      </c>
      <c r="G710" s="134">
        <f t="shared" si="85"/>
        <v>1</v>
      </c>
      <c r="H710" s="134" t="str">
        <f t="shared" si="86"/>
        <v/>
      </c>
      <c r="I710" s="7" t="s">
        <v>158</v>
      </c>
      <c r="J710" s="7" t="s">
        <v>2</v>
      </c>
      <c r="K710" s="7"/>
      <c r="L710" s="7"/>
      <c r="M710" s="7"/>
      <c r="N710" s="7" t="s">
        <v>170</v>
      </c>
      <c r="O710" s="7" t="s">
        <v>162</v>
      </c>
      <c r="P710" s="7" t="s">
        <v>6423</v>
      </c>
      <c r="Q710" s="129">
        <v>46199</v>
      </c>
      <c r="R710" s="130">
        <f t="shared" si="84"/>
        <v>46211</v>
      </c>
      <c r="S710" s="131">
        <f t="shared" si="89"/>
        <v>12</v>
      </c>
      <c r="T710" s="7" t="s">
        <v>203</v>
      </c>
      <c r="U710" s="7" t="s">
        <v>374</v>
      </c>
      <c r="V710" s="7"/>
      <c r="W710" s="7"/>
      <c r="X710" s="132">
        <f t="shared" si="87"/>
        <v>10</v>
      </c>
      <c r="Y710" s="133"/>
      <c r="Z710" s="133"/>
      <c r="AA710" s="133"/>
    </row>
    <row r="711" spans="1:27" x14ac:dyDescent="0.25">
      <c r="A711" s="127">
        <v>816</v>
      </c>
      <c r="B711" s="128" t="str">
        <f t="shared" si="88"/>
        <v>NAMS</v>
      </c>
      <c r="C711" s="128" t="str">
        <f>+VLOOKUP(U711,Ходим!A:B,2,0)</f>
        <v>30304915960053</v>
      </c>
      <c r="D711" s="128" t="str">
        <f>IFERROR(VLOOKUP($B:$B,[20]свод!$A:$AB,3,0)," ")</f>
        <v>Наманган шаҳар</v>
      </c>
      <c r="E711" s="7" t="s">
        <v>1853</v>
      </c>
      <c r="F711" s="7" t="s">
        <v>8249</v>
      </c>
      <c r="G711" s="134" t="str">
        <f t="shared" si="85"/>
        <v/>
      </c>
      <c r="H711" s="134">
        <f t="shared" si="86"/>
        <v>1</v>
      </c>
      <c r="I711" s="7" t="s">
        <v>157</v>
      </c>
      <c r="J711" s="7" t="s">
        <v>1</v>
      </c>
      <c r="K711" s="7"/>
      <c r="L711" s="7" t="s">
        <v>166</v>
      </c>
      <c r="M711" s="7" t="s">
        <v>4668</v>
      </c>
      <c r="N711" s="7" t="s">
        <v>410</v>
      </c>
      <c r="O711" s="7" t="s">
        <v>161</v>
      </c>
      <c r="P711" s="7" t="s">
        <v>6630</v>
      </c>
      <c r="Q711" s="129">
        <v>46199</v>
      </c>
      <c r="R711" s="130">
        <f t="shared" si="84"/>
        <v>46199</v>
      </c>
      <c r="S711" s="131">
        <f t="shared" si="89"/>
        <v>0</v>
      </c>
      <c r="T711" s="7" t="s">
        <v>227</v>
      </c>
      <c r="U711" s="7" t="s">
        <v>314</v>
      </c>
      <c r="V711" s="7"/>
      <c r="W711" s="7">
        <v>739.69</v>
      </c>
      <c r="X711" s="132">
        <f t="shared" si="87"/>
        <v>12</v>
      </c>
      <c r="Y711" s="133"/>
      <c r="Z711" s="133"/>
      <c r="AA711" s="133"/>
    </row>
    <row r="712" spans="1:27" hidden="1" x14ac:dyDescent="0.25">
      <c r="A712" s="127">
        <v>817</v>
      </c>
      <c r="B712" s="128" t="str">
        <f t="shared" si="88"/>
        <v>TORT</v>
      </c>
      <c r="C712" s="128" t="str">
        <f>+VLOOKUP(U712,Ходим!A:B,2,0)</f>
        <v>31609912130025</v>
      </c>
      <c r="D712" s="128" t="str">
        <f>IFERROR(VLOOKUP($B:$B,[20]свод!$A:$AB,3,0)," ")</f>
        <v>Тўрақўрғон тумани</v>
      </c>
      <c r="E712" s="7" t="s">
        <v>1854</v>
      </c>
      <c r="F712" s="7" t="s">
        <v>8250</v>
      </c>
      <c r="G712" s="134" t="str">
        <f t="shared" si="85"/>
        <v/>
      </c>
      <c r="H712" s="134">
        <f t="shared" si="86"/>
        <v>1</v>
      </c>
      <c r="I712" s="7" t="s">
        <v>155</v>
      </c>
      <c r="J712" s="7" t="s">
        <v>25</v>
      </c>
      <c r="K712" s="7"/>
      <c r="L712" s="7"/>
      <c r="M712" s="7"/>
      <c r="N712" s="7" t="s">
        <v>170</v>
      </c>
      <c r="O712" s="7" t="s">
        <v>161</v>
      </c>
      <c r="P712" s="7" t="s">
        <v>6400</v>
      </c>
      <c r="Q712" s="129">
        <v>46199</v>
      </c>
      <c r="R712" s="130">
        <f t="shared" si="84"/>
        <v>46211</v>
      </c>
      <c r="S712" s="131">
        <f t="shared" si="89"/>
        <v>12</v>
      </c>
      <c r="T712" s="7" t="s">
        <v>203</v>
      </c>
      <c r="U712" s="7" t="s">
        <v>280</v>
      </c>
      <c r="V712" s="7"/>
      <c r="W712" s="7"/>
      <c r="X712" s="132">
        <f t="shared" si="87"/>
        <v>10</v>
      </c>
      <c r="Y712" s="133"/>
      <c r="Z712" s="133"/>
      <c r="AA712" s="133"/>
    </row>
    <row r="713" spans="1:27" hidden="1" x14ac:dyDescent="0.25">
      <c r="A713" s="127">
        <v>818</v>
      </c>
      <c r="B713" s="128" t="str">
        <f t="shared" si="88"/>
        <v>UYCT</v>
      </c>
      <c r="C713" s="128" t="str">
        <f>+VLOOKUP(U713,Ходим!A:B,2,0)</f>
        <v>52811025930077</v>
      </c>
      <c r="D713" s="128" t="str">
        <f>IFERROR(VLOOKUP($B:$B,[20]свод!$A:$AB,3,0)," ")</f>
        <v>Уйчи тумани</v>
      </c>
      <c r="E713" s="7" t="s">
        <v>1855</v>
      </c>
      <c r="F713" s="7" t="s">
        <v>8251</v>
      </c>
      <c r="G713" s="134" t="str">
        <f t="shared" si="85"/>
        <v/>
      </c>
      <c r="H713" s="134">
        <f t="shared" si="86"/>
        <v>1</v>
      </c>
      <c r="I713" s="7" t="s">
        <v>157</v>
      </c>
      <c r="J713" s="7" t="s">
        <v>172</v>
      </c>
      <c r="K713" s="7"/>
      <c r="L713" s="7" t="s">
        <v>168</v>
      </c>
      <c r="M713" s="7" t="s">
        <v>4669</v>
      </c>
      <c r="N713" s="7" t="s">
        <v>170</v>
      </c>
      <c r="O713" s="7" t="s">
        <v>161</v>
      </c>
      <c r="P713" s="7" t="s">
        <v>6631</v>
      </c>
      <c r="Q713" s="129">
        <v>46199</v>
      </c>
      <c r="R713" s="130">
        <f t="shared" si="84"/>
        <v>46202</v>
      </c>
      <c r="S713" s="131">
        <f t="shared" si="89"/>
        <v>3</v>
      </c>
      <c r="T713" s="7" t="s">
        <v>947</v>
      </c>
      <c r="U713" s="7" t="s">
        <v>356</v>
      </c>
      <c r="V713" s="7"/>
      <c r="W713" s="7">
        <v>0</v>
      </c>
      <c r="X713" s="132">
        <f t="shared" si="87"/>
        <v>7</v>
      </c>
      <c r="Y713" s="133"/>
      <c r="Z713" s="133"/>
      <c r="AA713" s="133"/>
    </row>
    <row r="714" spans="1:27" hidden="1" x14ac:dyDescent="0.25">
      <c r="A714" s="127">
        <v>819</v>
      </c>
      <c r="B714" s="128" t="str">
        <f t="shared" si="88"/>
        <v>TORT</v>
      </c>
      <c r="C714" s="128" t="str">
        <f>+VLOOKUP(U714,Ходим!A:B,2,0)</f>
        <v>32211772130034</v>
      </c>
      <c r="D714" s="128" t="str">
        <f>IFERROR(VLOOKUP($B:$B,[20]свод!$A:$AB,3,0)," ")</f>
        <v>Тўрақўрғон тумани</v>
      </c>
      <c r="E714" s="7" t="s">
        <v>1856</v>
      </c>
      <c r="F714" s="7" t="s">
        <v>8252</v>
      </c>
      <c r="G714" s="134">
        <f t="shared" si="85"/>
        <v>1</v>
      </c>
      <c r="H714" s="134" t="str">
        <f t="shared" si="86"/>
        <v/>
      </c>
      <c r="I714" s="7" t="s">
        <v>158</v>
      </c>
      <c r="J714" s="7" t="s">
        <v>2</v>
      </c>
      <c r="K714" s="7"/>
      <c r="L714" s="7"/>
      <c r="M714" s="7"/>
      <c r="N714" s="7" t="s">
        <v>170</v>
      </c>
      <c r="O714" s="7" t="s">
        <v>162</v>
      </c>
      <c r="P714" s="7" t="s">
        <v>6610</v>
      </c>
      <c r="Q714" s="129">
        <v>46199</v>
      </c>
      <c r="R714" s="130">
        <f t="shared" si="84"/>
        <v>46205</v>
      </c>
      <c r="S714" s="131">
        <f t="shared" si="89"/>
        <v>6</v>
      </c>
      <c r="T714" s="7" t="s">
        <v>203</v>
      </c>
      <c r="U714" s="7" t="s">
        <v>270</v>
      </c>
      <c r="V714" s="7"/>
      <c r="W714" s="7"/>
      <c r="X714" s="132">
        <f t="shared" si="87"/>
        <v>10</v>
      </c>
      <c r="Y714" s="133"/>
      <c r="Z714" s="133"/>
      <c r="AA714" s="133"/>
    </row>
    <row r="715" spans="1:27" hidden="1" x14ac:dyDescent="0.25">
      <c r="A715" s="127">
        <v>820</v>
      </c>
      <c r="B715" s="128" t="str">
        <f t="shared" si="88"/>
        <v>TORT</v>
      </c>
      <c r="C715" s="128" t="str">
        <f>+VLOOKUP(U715,Ходим!A:B,2,0)</f>
        <v>50908015920034</v>
      </c>
      <c r="D715" s="128" t="str">
        <f>IFERROR(VLOOKUP($B:$B,[20]свод!$A:$AB,3,0)," ")</f>
        <v>Тўрақўрғон тумани</v>
      </c>
      <c r="E715" s="7" t="s">
        <v>1857</v>
      </c>
      <c r="F715" s="7" t="s">
        <v>8253</v>
      </c>
      <c r="G715" s="134">
        <f t="shared" si="85"/>
        <v>1</v>
      </c>
      <c r="H715" s="134" t="str">
        <f t="shared" si="86"/>
        <v/>
      </c>
      <c r="I715" s="7" t="s">
        <v>156</v>
      </c>
      <c r="J715" s="7" t="s">
        <v>25</v>
      </c>
      <c r="K715" s="7"/>
      <c r="L715" s="7"/>
      <c r="M715" s="7"/>
      <c r="N715" s="7" t="s">
        <v>170</v>
      </c>
      <c r="O715" s="7" t="s">
        <v>162</v>
      </c>
      <c r="P715" s="7" t="s">
        <v>6407</v>
      </c>
      <c r="Q715" s="129">
        <v>46199</v>
      </c>
      <c r="R715" s="130">
        <f t="shared" si="84"/>
        <v>46211</v>
      </c>
      <c r="S715" s="131">
        <f t="shared" si="89"/>
        <v>12</v>
      </c>
      <c r="T715" s="7" t="s">
        <v>203</v>
      </c>
      <c r="U715" s="7" t="s">
        <v>205</v>
      </c>
      <c r="V715" s="7"/>
      <c r="W715" s="7"/>
      <c r="X715" s="132">
        <f t="shared" si="87"/>
        <v>10</v>
      </c>
      <c r="Y715" s="133"/>
      <c r="Z715" s="133"/>
      <c r="AA715" s="133"/>
    </row>
    <row r="716" spans="1:27" hidden="1" x14ac:dyDescent="0.25">
      <c r="A716" s="127">
        <v>821</v>
      </c>
      <c r="B716" s="128" t="str">
        <f t="shared" si="88"/>
        <v>YGQT</v>
      </c>
      <c r="C716" s="128" t="str">
        <f>+VLOOKUP(U716,Ходим!A:B,2,0)</f>
        <v>30903902160122</v>
      </c>
      <c r="D716" s="128" t="str">
        <f>IFERROR(VLOOKUP($B:$B,[20]свод!$A:$AB,3,0)," ")</f>
        <v>Янгиқўрғон тумани</v>
      </c>
      <c r="E716" s="7" t="s">
        <v>1858</v>
      </c>
      <c r="F716" s="7" t="s">
        <v>8254</v>
      </c>
      <c r="G716" s="134">
        <f t="shared" si="85"/>
        <v>1</v>
      </c>
      <c r="H716" s="134" t="str">
        <f t="shared" si="86"/>
        <v/>
      </c>
      <c r="I716" s="7" t="s">
        <v>158</v>
      </c>
      <c r="J716" s="7" t="s">
        <v>2</v>
      </c>
      <c r="K716" s="7"/>
      <c r="L716" s="7" t="s">
        <v>167</v>
      </c>
      <c r="M716" s="7" t="s">
        <v>4670</v>
      </c>
      <c r="N716" s="7" t="s">
        <v>410</v>
      </c>
      <c r="O716" s="7" t="s">
        <v>162</v>
      </c>
      <c r="P716" s="7" t="s">
        <v>6632</v>
      </c>
      <c r="Q716" s="129">
        <v>46199</v>
      </c>
      <c r="R716" s="130">
        <f t="shared" si="84"/>
        <v>46205</v>
      </c>
      <c r="S716" s="131">
        <f t="shared" si="89"/>
        <v>6</v>
      </c>
      <c r="T716" s="7" t="s">
        <v>255</v>
      </c>
      <c r="U716" s="7" t="s">
        <v>230</v>
      </c>
      <c r="V716" s="7"/>
      <c r="W716" s="7">
        <v>153.02500000000001</v>
      </c>
      <c r="X716" s="132">
        <f t="shared" si="87"/>
        <v>10</v>
      </c>
      <c r="Y716" s="133"/>
      <c r="Z716" s="133"/>
      <c r="AA716" s="133"/>
    </row>
    <row r="717" spans="1:27" hidden="1" x14ac:dyDescent="0.25">
      <c r="A717" s="127">
        <v>822</v>
      </c>
      <c r="B717" s="128" t="str">
        <f t="shared" si="88"/>
        <v>NAMT</v>
      </c>
      <c r="C717" s="128" t="str">
        <f>+VLOOKUP(U717,Ходим!A:B,2,0)</f>
        <v>31702942090041</v>
      </c>
      <c r="D717" s="128" t="str">
        <f>IFERROR(VLOOKUP($B:$B,[20]свод!$A:$AB,3,0)," ")</f>
        <v>Наманган тумани</v>
      </c>
      <c r="E717" s="7" t="s">
        <v>1859</v>
      </c>
      <c r="F717" s="7" t="s">
        <v>8255</v>
      </c>
      <c r="G717" s="134">
        <f t="shared" si="85"/>
        <v>1</v>
      </c>
      <c r="H717" s="134" t="str">
        <f t="shared" si="86"/>
        <v/>
      </c>
      <c r="I717" s="7" t="s">
        <v>158</v>
      </c>
      <c r="J717" s="7" t="s">
        <v>2</v>
      </c>
      <c r="K717" s="7"/>
      <c r="L717" s="7" t="s">
        <v>167</v>
      </c>
      <c r="M717" s="7" t="s">
        <v>4671</v>
      </c>
      <c r="N717" s="7" t="s">
        <v>1081</v>
      </c>
      <c r="O717" s="7" t="s">
        <v>1082</v>
      </c>
      <c r="P717" s="7" t="s">
        <v>6633</v>
      </c>
      <c r="Q717" s="129">
        <v>46199</v>
      </c>
      <c r="R717" s="130">
        <f t="shared" si="84"/>
        <v>46202</v>
      </c>
      <c r="S717" s="131">
        <f t="shared" si="89"/>
        <v>3</v>
      </c>
      <c r="T717" s="7" t="s">
        <v>193</v>
      </c>
      <c r="U717" s="7" t="s">
        <v>194</v>
      </c>
      <c r="V717" s="7"/>
      <c r="W717" s="7">
        <v>138.74</v>
      </c>
      <c r="X717" s="132">
        <f t="shared" si="87"/>
        <v>3</v>
      </c>
      <c r="Y717" s="133"/>
      <c r="Z717" s="133"/>
      <c r="AA717" s="133"/>
    </row>
    <row r="718" spans="1:27" hidden="1" x14ac:dyDescent="0.25">
      <c r="A718" s="127">
        <v>823</v>
      </c>
      <c r="B718" s="128" t="str">
        <f t="shared" si="88"/>
        <v>POPT</v>
      </c>
      <c r="C718" s="128" t="str">
        <f>+VLOOKUP(U718,Ходим!A:B,2,0)</f>
        <v>32901912210017</v>
      </c>
      <c r="D718" s="128" t="str">
        <f>IFERROR(VLOOKUP($B:$B,[20]свод!$A:$AB,3,0)," ")</f>
        <v>Поп тумани</v>
      </c>
      <c r="E718" s="7" t="s">
        <v>1860</v>
      </c>
      <c r="F718" s="7" t="s">
        <v>8256</v>
      </c>
      <c r="G718" s="134">
        <f t="shared" si="85"/>
        <v>1</v>
      </c>
      <c r="H718" s="134" t="str">
        <f t="shared" si="86"/>
        <v/>
      </c>
      <c r="I718" s="7" t="s">
        <v>154</v>
      </c>
      <c r="J718" s="7" t="s">
        <v>2</v>
      </c>
      <c r="K718" s="7"/>
      <c r="L718" s="7"/>
      <c r="M718" s="7"/>
      <c r="N718" s="7" t="s">
        <v>170</v>
      </c>
      <c r="O718" s="7" t="s">
        <v>162</v>
      </c>
      <c r="P718" s="7" t="s">
        <v>6634</v>
      </c>
      <c r="Q718" s="129">
        <v>46199</v>
      </c>
      <c r="R718" s="130">
        <f t="shared" si="84"/>
        <v>46205</v>
      </c>
      <c r="S718" s="131">
        <f t="shared" si="89"/>
        <v>6</v>
      </c>
      <c r="T718" s="7" t="s">
        <v>214</v>
      </c>
      <c r="U718" s="7" t="s">
        <v>215</v>
      </c>
      <c r="V718" s="7"/>
      <c r="W718" s="7"/>
      <c r="X718" s="132">
        <f t="shared" si="87"/>
        <v>10</v>
      </c>
      <c r="Y718" s="133"/>
      <c r="Z718" s="133"/>
      <c r="AA718" s="133"/>
    </row>
    <row r="719" spans="1:27" hidden="1" x14ac:dyDescent="0.25">
      <c r="A719" s="127">
        <v>824</v>
      </c>
      <c r="B719" s="128" t="str">
        <f t="shared" si="88"/>
        <v>MINT</v>
      </c>
      <c r="C719" s="128" t="str">
        <f>+VLOOKUP(U719,Ходим!A:B,2,0)</f>
        <v>31802912200033</v>
      </c>
      <c r="D719" s="128" t="str">
        <f>IFERROR(VLOOKUP($B:$B,[20]свод!$A:$AB,3,0)," ")</f>
        <v>Мингбулоқ тумани</v>
      </c>
      <c r="E719" s="7" t="s">
        <v>1861</v>
      </c>
      <c r="F719" s="7" t="s">
        <v>8257</v>
      </c>
      <c r="G719" s="134">
        <f t="shared" si="85"/>
        <v>1</v>
      </c>
      <c r="H719" s="134" t="str">
        <f t="shared" si="86"/>
        <v/>
      </c>
      <c r="I719" s="7" t="s">
        <v>158</v>
      </c>
      <c r="J719" s="7" t="s">
        <v>2</v>
      </c>
      <c r="K719" s="7"/>
      <c r="L719" s="7" t="s">
        <v>167</v>
      </c>
      <c r="M719" s="7" t="s">
        <v>4672</v>
      </c>
      <c r="N719" s="7" t="s">
        <v>170</v>
      </c>
      <c r="O719" s="7" t="s">
        <v>162</v>
      </c>
      <c r="P719" s="7" t="s">
        <v>6635</v>
      </c>
      <c r="Q719" s="129">
        <v>46199</v>
      </c>
      <c r="R719" s="130">
        <f t="shared" si="84"/>
        <v>46203</v>
      </c>
      <c r="S719" s="131">
        <f t="shared" si="89"/>
        <v>4</v>
      </c>
      <c r="T719" s="7" t="s">
        <v>220</v>
      </c>
      <c r="U719" s="7" t="s">
        <v>225</v>
      </c>
      <c r="V719" s="7"/>
      <c r="W719" s="7">
        <v>128.44</v>
      </c>
      <c r="X719" s="132">
        <f t="shared" si="87"/>
        <v>10</v>
      </c>
      <c r="Y719" s="133"/>
      <c r="Z719" s="133"/>
      <c r="AA719" s="133"/>
    </row>
    <row r="720" spans="1:27" hidden="1" x14ac:dyDescent="0.25">
      <c r="A720" s="127">
        <v>825</v>
      </c>
      <c r="B720" s="128" t="str">
        <f t="shared" si="88"/>
        <v>YGQT</v>
      </c>
      <c r="C720" s="128" t="str">
        <f>+VLOOKUP(U720,Ходим!A:B,2,0)</f>
        <v>30809995950021</v>
      </c>
      <c r="D720" s="128" t="str">
        <f>IFERROR(VLOOKUP($B:$B,[20]свод!$A:$AB,3,0)," ")</f>
        <v>Янгиқўрғон тумани</v>
      </c>
      <c r="E720" s="7" t="s">
        <v>1862</v>
      </c>
      <c r="F720" s="7" t="s">
        <v>8258</v>
      </c>
      <c r="G720" s="134">
        <f t="shared" si="85"/>
        <v>1</v>
      </c>
      <c r="H720" s="134" t="str">
        <f t="shared" si="86"/>
        <v/>
      </c>
      <c r="I720" s="7" t="s">
        <v>158</v>
      </c>
      <c r="J720" s="7" t="s">
        <v>2</v>
      </c>
      <c r="K720" s="7"/>
      <c r="L720" s="7" t="s">
        <v>167</v>
      </c>
      <c r="M720" s="7" t="s">
        <v>4673</v>
      </c>
      <c r="N720" s="7" t="s">
        <v>170</v>
      </c>
      <c r="O720" s="7" t="s">
        <v>162</v>
      </c>
      <c r="P720" s="7" t="s">
        <v>6325</v>
      </c>
      <c r="Q720" s="129">
        <v>46199</v>
      </c>
      <c r="R720" s="130">
        <f t="shared" si="84"/>
        <v>46204</v>
      </c>
      <c r="S720" s="131">
        <f t="shared" si="89"/>
        <v>5</v>
      </c>
      <c r="T720" s="7" t="s">
        <v>255</v>
      </c>
      <c r="U720" s="7" t="s">
        <v>223</v>
      </c>
      <c r="V720" s="7"/>
      <c r="W720" s="7">
        <v>309.44</v>
      </c>
      <c r="X720" s="132">
        <f t="shared" si="87"/>
        <v>10</v>
      </c>
      <c r="Y720" s="133"/>
      <c r="Z720" s="133"/>
      <c r="AA720" s="133"/>
    </row>
    <row r="721" spans="1:27" hidden="1" x14ac:dyDescent="0.25">
      <c r="A721" s="127">
        <v>826</v>
      </c>
      <c r="B721" s="128" t="str">
        <f t="shared" si="88"/>
        <v>YGQT</v>
      </c>
      <c r="C721" s="128" t="str">
        <f>+VLOOKUP(U721,Ходим!A:B,2,0)</f>
        <v>30101922100050</v>
      </c>
      <c r="D721" s="128" t="str">
        <f>IFERROR(VLOOKUP($B:$B,[20]свод!$A:$AB,3,0)," ")</f>
        <v>Янгиқўрғон тумани</v>
      </c>
      <c r="E721" s="7" t="s">
        <v>1863</v>
      </c>
      <c r="F721" s="7" t="s">
        <v>8259</v>
      </c>
      <c r="G721" s="134">
        <f t="shared" si="85"/>
        <v>1</v>
      </c>
      <c r="H721" s="134" t="str">
        <f t="shared" si="86"/>
        <v/>
      </c>
      <c r="I721" s="7" t="s">
        <v>158</v>
      </c>
      <c r="J721" s="7" t="s">
        <v>2</v>
      </c>
      <c r="K721" s="7"/>
      <c r="L721" s="7" t="s">
        <v>169</v>
      </c>
      <c r="M721" s="7" t="s">
        <v>382</v>
      </c>
      <c r="N721" s="7" t="s">
        <v>410</v>
      </c>
      <c r="O721" s="7" t="s">
        <v>162</v>
      </c>
      <c r="P721" s="7" t="s">
        <v>6636</v>
      </c>
      <c r="Q721" s="129">
        <v>46199</v>
      </c>
      <c r="R721" s="130">
        <f t="shared" si="84"/>
        <v>46202</v>
      </c>
      <c r="S721" s="131">
        <f t="shared" si="89"/>
        <v>3</v>
      </c>
      <c r="T721" s="7" t="s">
        <v>255</v>
      </c>
      <c r="U721" s="7" t="s">
        <v>265</v>
      </c>
      <c r="V721" s="7"/>
      <c r="W721" s="7">
        <v>0</v>
      </c>
      <c r="X721" s="132">
        <f t="shared" si="87"/>
        <v>7</v>
      </c>
      <c r="Y721" s="133"/>
      <c r="Z721" s="133"/>
      <c r="AA721" s="133"/>
    </row>
    <row r="722" spans="1:27" hidden="1" x14ac:dyDescent="0.25">
      <c r="A722" s="127">
        <v>827</v>
      </c>
      <c r="B722" s="128" t="str">
        <f t="shared" si="88"/>
        <v>NORT</v>
      </c>
      <c r="C722" s="128" t="str">
        <f>+VLOOKUP(U722,Ходим!A:B,2,0)</f>
        <v>31609962110019</v>
      </c>
      <c r="D722" s="128" t="str">
        <f>IFERROR(VLOOKUP($B:$B,[20]свод!$A:$AB,3,0)," ")</f>
        <v>Норин тумани</v>
      </c>
      <c r="E722" s="7" t="s">
        <v>1864</v>
      </c>
      <c r="F722" s="7" t="s">
        <v>8260</v>
      </c>
      <c r="G722" s="134" t="str">
        <f t="shared" si="85"/>
        <v/>
      </c>
      <c r="H722" s="134">
        <f t="shared" si="86"/>
        <v>1</v>
      </c>
      <c r="I722" s="7" t="s">
        <v>157</v>
      </c>
      <c r="J722" s="7" t="s">
        <v>2</v>
      </c>
      <c r="K722" s="7"/>
      <c r="L722" s="7" t="s">
        <v>166</v>
      </c>
      <c r="M722" s="7" t="s">
        <v>4674</v>
      </c>
      <c r="N722" s="7" t="s">
        <v>410</v>
      </c>
      <c r="O722" s="7" t="s">
        <v>161</v>
      </c>
      <c r="P722" s="7" t="s">
        <v>6636</v>
      </c>
      <c r="Q722" s="129">
        <v>46199</v>
      </c>
      <c r="R722" s="130">
        <f t="shared" si="84"/>
        <v>46205</v>
      </c>
      <c r="S722" s="131">
        <f t="shared" si="89"/>
        <v>6</v>
      </c>
      <c r="T722" s="7" t="s">
        <v>210</v>
      </c>
      <c r="U722" s="7" t="s">
        <v>355</v>
      </c>
      <c r="V722" s="7"/>
      <c r="W722" s="7">
        <v>0</v>
      </c>
      <c r="X722" s="132">
        <f t="shared" si="87"/>
        <v>10</v>
      </c>
      <c r="Y722" s="133"/>
      <c r="Z722" s="133"/>
      <c r="AA722" s="133"/>
    </row>
    <row r="723" spans="1:27" hidden="1" x14ac:dyDescent="0.25">
      <c r="A723" s="127">
        <v>828</v>
      </c>
      <c r="B723" s="128" t="str">
        <f t="shared" si="88"/>
        <v>UCQT</v>
      </c>
      <c r="C723" s="128" t="str">
        <f>+VLOOKUP(U723,Ходим!A:B,2,0)</f>
        <v>31206892150069</v>
      </c>
      <c r="D723" s="128" t="str">
        <f>IFERROR(VLOOKUP($B:$B,[20]свод!$A:$AB,3,0)," ")</f>
        <v>Учқўрғон тумани</v>
      </c>
      <c r="E723" s="7" t="s">
        <v>1865</v>
      </c>
      <c r="F723" s="7" t="s">
        <v>8261</v>
      </c>
      <c r="G723" s="134">
        <f t="shared" si="85"/>
        <v>1</v>
      </c>
      <c r="H723" s="134" t="str">
        <f t="shared" si="86"/>
        <v/>
      </c>
      <c r="I723" s="7" t="s">
        <v>158</v>
      </c>
      <c r="J723" s="7" t="s">
        <v>2</v>
      </c>
      <c r="K723" s="7"/>
      <c r="L723" s="7"/>
      <c r="M723" s="7"/>
      <c r="N723" s="7" t="s">
        <v>170</v>
      </c>
      <c r="O723" s="7" t="s">
        <v>162</v>
      </c>
      <c r="P723" s="7" t="s">
        <v>6420</v>
      </c>
      <c r="Q723" s="129">
        <v>46199</v>
      </c>
      <c r="R723" s="130">
        <f t="shared" si="84"/>
        <v>46211</v>
      </c>
      <c r="S723" s="131">
        <f t="shared" si="89"/>
        <v>12</v>
      </c>
      <c r="T723" s="7" t="s">
        <v>175</v>
      </c>
      <c r="U723" s="7" t="s">
        <v>318</v>
      </c>
      <c r="V723" s="7"/>
      <c r="W723" s="7"/>
      <c r="X723" s="132">
        <f t="shared" si="87"/>
        <v>10</v>
      </c>
      <c r="Y723" s="133"/>
      <c r="Z723" s="133"/>
      <c r="AA723" s="133"/>
    </row>
    <row r="724" spans="1:27" x14ac:dyDescent="0.25">
      <c r="A724" s="127">
        <v>829</v>
      </c>
      <c r="B724" s="128" t="str">
        <f t="shared" si="88"/>
        <v>CHUT</v>
      </c>
      <c r="C724" s="128" t="str">
        <f>+VLOOKUP(U724,Ходим!A:B,2,0)</f>
        <v>32511965970037</v>
      </c>
      <c r="D724" s="128" t="str">
        <f>IFERROR(VLOOKUP($B:$B,[20]свод!$A:$AB,3,0)," ")</f>
        <v>Чуст тумани</v>
      </c>
      <c r="E724" s="7" t="s">
        <v>1866</v>
      </c>
      <c r="F724" s="7" t="s">
        <v>8262</v>
      </c>
      <c r="G724" s="134">
        <f t="shared" si="85"/>
        <v>1</v>
      </c>
      <c r="H724" s="134" t="str">
        <f t="shared" si="86"/>
        <v/>
      </c>
      <c r="I724" s="7" t="s">
        <v>158</v>
      </c>
      <c r="J724" s="7" t="s">
        <v>12</v>
      </c>
      <c r="K724" s="7"/>
      <c r="L724" s="7" t="s">
        <v>167</v>
      </c>
      <c r="M724" s="7" t="s">
        <v>4675</v>
      </c>
      <c r="N724" s="7" t="s">
        <v>170</v>
      </c>
      <c r="O724" s="7" t="s">
        <v>162</v>
      </c>
      <c r="P724" s="7" t="s">
        <v>6637</v>
      </c>
      <c r="Q724" s="129">
        <v>46199</v>
      </c>
      <c r="R724" s="130">
        <f t="shared" si="84"/>
        <v>46198</v>
      </c>
      <c r="S724" s="131">
        <f t="shared" si="89"/>
        <v>-1</v>
      </c>
      <c r="T724" s="7" t="s">
        <v>178</v>
      </c>
      <c r="U724" s="7" t="s">
        <v>351</v>
      </c>
      <c r="V724" s="7"/>
      <c r="W724" s="7">
        <v>432.75</v>
      </c>
      <c r="X724" s="132">
        <f t="shared" si="87"/>
        <v>10</v>
      </c>
      <c r="Y724" s="133"/>
      <c r="Z724" s="133"/>
      <c r="AA724" s="133"/>
    </row>
    <row r="725" spans="1:27" x14ac:dyDescent="0.25">
      <c r="A725" s="127">
        <v>830</v>
      </c>
      <c r="B725" s="128" t="str">
        <f t="shared" si="88"/>
        <v>UYCT</v>
      </c>
      <c r="C725" s="128" t="str">
        <f>+VLOOKUP(U725,Ходим!A:B,2,0)</f>
        <v>30309975930028</v>
      </c>
      <c r="D725" s="128" t="str">
        <f>IFERROR(VLOOKUP($B:$B,[20]свод!$A:$AB,3,0)," ")</f>
        <v>Уйчи тумани</v>
      </c>
      <c r="E725" s="7" t="s">
        <v>1867</v>
      </c>
      <c r="F725" s="7" t="s">
        <v>8263</v>
      </c>
      <c r="G725" s="134">
        <f t="shared" si="85"/>
        <v>1</v>
      </c>
      <c r="H725" s="134" t="str">
        <f t="shared" si="86"/>
        <v/>
      </c>
      <c r="I725" s="7" t="s">
        <v>158</v>
      </c>
      <c r="J725" s="7" t="s">
        <v>36</v>
      </c>
      <c r="K725" s="7"/>
      <c r="L725" s="7" t="s">
        <v>167</v>
      </c>
      <c r="M725" s="7" t="s">
        <v>4676</v>
      </c>
      <c r="N725" s="7" t="s">
        <v>170</v>
      </c>
      <c r="O725" s="7" t="s">
        <v>162</v>
      </c>
      <c r="P725" s="7" t="s">
        <v>6638</v>
      </c>
      <c r="Q725" s="129">
        <v>46199</v>
      </c>
      <c r="R725" s="130">
        <f t="shared" si="84"/>
        <v>46198</v>
      </c>
      <c r="S725" s="131">
        <f t="shared" si="89"/>
        <v>-1</v>
      </c>
      <c r="T725" s="7" t="s">
        <v>947</v>
      </c>
      <c r="U725" s="7" t="s">
        <v>261</v>
      </c>
      <c r="V725" s="7"/>
      <c r="W725" s="7">
        <v>41.2</v>
      </c>
      <c r="X725" s="132">
        <f t="shared" si="87"/>
        <v>10</v>
      </c>
      <c r="Y725" s="133"/>
      <c r="Z725" s="133"/>
      <c r="AA725" s="133"/>
    </row>
    <row r="726" spans="1:27" hidden="1" x14ac:dyDescent="0.25">
      <c r="A726" s="127">
        <v>831</v>
      </c>
      <c r="B726" s="128" t="str">
        <f t="shared" si="88"/>
        <v>NAMT</v>
      </c>
      <c r="C726" s="128" t="str">
        <f>+VLOOKUP(U726,Ходим!A:B,2,0)</f>
        <v>31205812090050</v>
      </c>
      <c r="D726" s="128" t="str">
        <f>IFERROR(VLOOKUP($B:$B,[20]свод!$A:$AB,3,0)," ")</f>
        <v>Наманган тумани</v>
      </c>
      <c r="E726" s="7" t="s">
        <v>1868</v>
      </c>
      <c r="F726" s="7" t="s">
        <v>8264</v>
      </c>
      <c r="G726" s="134">
        <f t="shared" si="85"/>
        <v>1</v>
      </c>
      <c r="H726" s="134" t="str">
        <f t="shared" si="86"/>
        <v/>
      </c>
      <c r="I726" s="7" t="s">
        <v>158</v>
      </c>
      <c r="J726" s="7" t="s">
        <v>2</v>
      </c>
      <c r="K726" s="7"/>
      <c r="L726" s="7" t="s">
        <v>167</v>
      </c>
      <c r="M726" s="7" t="s">
        <v>4677</v>
      </c>
      <c r="N726" s="7" t="s">
        <v>170</v>
      </c>
      <c r="O726" s="7" t="s">
        <v>162</v>
      </c>
      <c r="P726" s="7" t="s">
        <v>6435</v>
      </c>
      <c r="Q726" s="129">
        <v>46199</v>
      </c>
      <c r="R726" s="130">
        <f t="shared" si="84"/>
        <v>46204</v>
      </c>
      <c r="S726" s="131">
        <f t="shared" si="89"/>
        <v>5</v>
      </c>
      <c r="T726" s="7" t="s">
        <v>193</v>
      </c>
      <c r="U726" s="7" t="s">
        <v>346</v>
      </c>
      <c r="V726" s="7"/>
      <c r="W726" s="7">
        <v>338.26</v>
      </c>
      <c r="X726" s="132">
        <f t="shared" si="87"/>
        <v>10</v>
      </c>
      <c r="Y726" s="133"/>
      <c r="Z726" s="133"/>
      <c r="AA726" s="133"/>
    </row>
    <row r="727" spans="1:27" hidden="1" x14ac:dyDescent="0.25">
      <c r="A727" s="127">
        <v>832</v>
      </c>
      <c r="B727" s="128" t="str">
        <f t="shared" si="88"/>
        <v>NAMT</v>
      </c>
      <c r="C727" s="128" t="str">
        <f>+VLOOKUP(U727,Ходим!A:B,2,0)</f>
        <v>31205812090050</v>
      </c>
      <c r="D727" s="128" t="str">
        <f>IFERROR(VLOOKUP($B:$B,[20]свод!$A:$AB,3,0)," ")</f>
        <v>Наманган тумани</v>
      </c>
      <c r="E727" s="7" t="s">
        <v>1869</v>
      </c>
      <c r="F727" s="7" t="s">
        <v>8265</v>
      </c>
      <c r="G727" s="134">
        <f t="shared" si="85"/>
        <v>1</v>
      </c>
      <c r="H727" s="134" t="str">
        <f t="shared" si="86"/>
        <v/>
      </c>
      <c r="I727" s="7" t="s">
        <v>158</v>
      </c>
      <c r="J727" s="7" t="s">
        <v>2</v>
      </c>
      <c r="K727" s="7"/>
      <c r="L727" s="7" t="s">
        <v>167</v>
      </c>
      <c r="M727" s="7" t="s">
        <v>4678</v>
      </c>
      <c r="N727" s="7" t="s">
        <v>170</v>
      </c>
      <c r="O727" s="7" t="s">
        <v>162</v>
      </c>
      <c r="P727" s="7" t="s">
        <v>6639</v>
      </c>
      <c r="Q727" s="129">
        <v>46199</v>
      </c>
      <c r="R727" s="130">
        <f t="shared" si="84"/>
        <v>46204</v>
      </c>
      <c r="S727" s="131">
        <f t="shared" si="89"/>
        <v>5</v>
      </c>
      <c r="T727" s="7" t="s">
        <v>193</v>
      </c>
      <c r="U727" s="7" t="s">
        <v>346</v>
      </c>
      <c r="V727" s="7"/>
      <c r="W727" s="7">
        <v>291.94</v>
      </c>
      <c r="X727" s="132">
        <f t="shared" si="87"/>
        <v>10</v>
      </c>
      <c r="Y727" s="133"/>
      <c r="Z727" s="133"/>
      <c r="AA727" s="133"/>
    </row>
    <row r="728" spans="1:27" hidden="1" x14ac:dyDescent="0.25">
      <c r="A728" s="127">
        <v>833</v>
      </c>
      <c r="B728" s="128" t="str">
        <f t="shared" si="88"/>
        <v>NAMT</v>
      </c>
      <c r="C728" s="128" t="str">
        <f>+VLOOKUP(U728,Ходим!A:B,2,0)</f>
        <v>31205812090050</v>
      </c>
      <c r="D728" s="128" t="str">
        <f>IFERROR(VLOOKUP($B:$B,[20]свод!$A:$AB,3,0)," ")</f>
        <v>Наманган тумани</v>
      </c>
      <c r="E728" s="7" t="s">
        <v>1870</v>
      </c>
      <c r="F728" s="7" t="s">
        <v>8266</v>
      </c>
      <c r="G728" s="134">
        <f t="shared" si="85"/>
        <v>1</v>
      </c>
      <c r="H728" s="134" t="str">
        <f t="shared" si="86"/>
        <v/>
      </c>
      <c r="I728" s="7" t="s">
        <v>158</v>
      </c>
      <c r="J728" s="7" t="s">
        <v>2</v>
      </c>
      <c r="K728" s="7"/>
      <c r="L728" s="7" t="s">
        <v>167</v>
      </c>
      <c r="M728" s="7" t="s">
        <v>4679</v>
      </c>
      <c r="N728" s="7" t="s">
        <v>170</v>
      </c>
      <c r="O728" s="7" t="s">
        <v>162</v>
      </c>
      <c r="P728" s="7" t="s">
        <v>6640</v>
      </c>
      <c r="Q728" s="129">
        <v>46199</v>
      </c>
      <c r="R728" s="130">
        <f t="shared" ref="R728:R790" si="90">WORKDAY(P728,X728,$Y$1:$AA$1)</f>
        <v>46204</v>
      </c>
      <c r="S728" s="131">
        <f t="shared" si="89"/>
        <v>5</v>
      </c>
      <c r="T728" s="7" t="s">
        <v>193</v>
      </c>
      <c r="U728" s="7" t="s">
        <v>346</v>
      </c>
      <c r="V728" s="7"/>
      <c r="W728" s="7">
        <v>252.79</v>
      </c>
      <c r="X728" s="132">
        <f t="shared" si="87"/>
        <v>10</v>
      </c>
      <c r="Y728" s="133"/>
      <c r="Z728" s="133"/>
      <c r="AA728" s="133"/>
    </row>
    <row r="729" spans="1:27" hidden="1" x14ac:dyDescent="0.25">
      <c r="A729" s="127">
        <v>834</v>
      </c>
      <c r="B729" s="128" t="str">
        <f t="shared" si="88"/>
        <v>NAMT</v>
      </c>
      <c r="C729" s="128" t="str">
        <f>+VLOOKUP(U729,Ходим!A:B,2,0)</f>
        <v>31205812090050</v>
      </c>
      <c r="D729" s="128" t="str">
        <f>IFERROR(VLOOKUP($B:$B,[20]свод!$A:$AB,3,0)," ")</f>
        <v>Наманган тумани</v>
      </c>
      <c r="E729" s="7" t="s">
        <v>1871</v>
      </c>
      <c r="F729" s="7" t="s">
        <v>8267</v>
      </c>
      <c r="G729" s="134">
        <f t="shared" si="85"/>
        <v>1</v>
      </c>
      <c r="H729" s="134" t="str">
        <f t="shared" si="86"/>
        <v/>
      </c>
      <c r="I729" s="7" t="s">
        <v>158</v>
      </c>
      <c r="J729" s="7" t="s">
        <v>2</v>
      </c>
      <c r="K729" s="7"/>
      <c r="L729" s="7" t="s">
        <v>167</v>
      </c>
      <c r="M729" s="7" t="s">
        <v>4680</v>
      </c>
      <c r="N729" s="7" t="s">
        <v>170</v>
      </c>
      <c r="O729" s="7" t="s">
        <v>162</v>
      </c>
      <c r="P729" s="7" t="s">
        <v>6473</v>
      </c>
      <c r="Q729" s="129">
        <v>46199</v>
      </c>
      <c r="R729" s="130">
        <f t="shared" si="90"/>
        <v>46205</v>
      </c>
      <c r="S729" s="131">
        <f t="shared" si="89"/>
        <v>6</v>
      </c>
      <c r="T729" s="7" t="s">
        <v>193</v>
      </c>
      <c r="U729" s="7" t="s">
        <v>346</v>
      </c>
      <c r="V729" s="7"/>
      <c r="W729" s="7">
        <v>244.73</v>
      </c>
      <c r="X729" s="132">
        <f t="shared" si="87"/>
        <v>10</v>
      </c>
      <c r="Y729" s="133"/>
      <c r="Z729" s="133"/>
      <c r="AA729" s="133"/>
    </row>
    <row r="730" spans="1:27" hidden="1" x14ac:dyDescent="0.25">
      <c r="A730" s="127">
        <v>835</v>
      </c>
      <c r="B730" s="128" t="str">
        <f t="shared" si="88"/>
        <v>MINT</v>
      </c>
      <c r="C730" s="128" t="str">
        <f>+VLOOKUP(U730,Ходим!A:B,2,0)</f>
        <v>30109882130063</v>
      </c>
      <c r="D730" s="128" t="str">
        <f>IFERROR(VLOOKUP($B:$B,[20]свод!$A:$AB,3,0)," ")</f>
        <v>Мингбулоқ тумани</v>
      </c>
      <c r="E730" s="7" t="s">
        <v>1872</v>
      </c>
      <c r="F730" s="7" t="s">
        <v>8268</v>
      </c>
      <c r="G730" s="134">
        <f t="shared" si="85"/>
        <v>1</v>
      </c>
      <c r="H730" s="134" t="str">
        <f t="shared" si="86"/>
        <v/>
      </c>
      <c r="I730" s="7" t="s">
        <v>158</v>
      </c>
      <c r="J730" s="7" t="s">
        <v>1</v>
      </c>
      <c r="K730" s="7"/>
      <c r="L730" s="7" t="s">
        <v>167</v>
      </c>
      <c r="M730" s="7" t="s">
        <v>4681</v>
      </c>
      <c r="N730" s="7" t="s">
        <v>410</v>
      </c>
      <c r="O730" s="7" t="s">
        <v>162</v>
      </c>
      <c r="P730" s="7" t="s">
        <v>6393</v>
      </c>
      <c r="Q730" s="129">
        <v>46199</v>
      </c>
      <c r="R730" s="130">
        <f t="shared" si="90"/>
        <v>46204</v>
      </c>
      <c r="S730" s="131">
        <f t="shared" si="89"/>
        <v>5</v>
      </c>
      <c r="T730" s="7" t="s">
        <v>220</v>
      </c>
      <c r="U730" s="7" t="s">
        <v>262</v>
      </c>
      <c r="V730" s="7"/>
      <c r="W730" s="7">
        <v>338.7</v>
      </c>
      <c r="X730" s="132">
        <f t="shared" ref="X730:X786" si="91">IF(N730="Kadastr muhandisi",3,
IF(N730="UZKAD",5,
IF(V730="FREE",5,
IF(I730="Registratsiya (tashqi - UZKAD da bor)",1,
IF(I730="Avtoyo'l va suv xo'jaligi obyektining kadastr pasportini shakllantirish va ro'yxatga olish",7,
IF(I730="Notarius uchun ma'lumotnoma (uz)",1,
IF(I730="Qurilishi tugallangan ko'chmas mulkni foydalanishga qabul qilish",10,
IF(OR(I730="Turar joy obyektning kadastr pasportini shakllantirish va davlat ro'yxatidan o'tkazish",I730="Turar kompozit"),
IF(L730="Turar yer maydoni",7,10),
IF(OR(I730="Noturar obyektning kadastr pasportini shakllantirish va davlat ro'yxatidan o'tkazish",I730="Noturar kompozit"),
IF(O730="Ko‘p yillik daraxtlar xizmati",15,
IF(OR(L730="Noturar yer maydoni",L730="Davlat tashkilotlaridan ijaraga olingan yer uchastkasi"),7,
IF(W730&lt;100,10,IF(W730&lt;=1000,12,IF(W730&lt;=5000,17,IF(W730&lt;=15000,22,IF(W730&lt;=50000,28,37))))))),
IF(I730="Umumiy foydalanishdagi ko'chmas mulk qismini yaratish",
IF(IF(TRIM(L730)="",IF(OR(O730="Turar joy xizmati",O730="Yakka tartibdagi turar joy"),"Turar","Noturar"),IF(OR(L730="Yakka tartibdagi turar joy",L730="Turar joy xizmati"),"Turar","Noturar"))="Turar",
10,IF(W730&lt;100,10,IF(W730&lt;=1000,12,IF(W730&lt;=5000,17,IF(W730&lt;=15000,22,IF(W730&lt;=50000,28,37)))))),
0))))))))))</f>
        <v>10</v>
      </c>
      <c r="Y730" s="133"/>
      <c r="Z730" s="133"/>
      <c r="AA730" s="133"/>
    </row>
    <row r="731" spans="1:27" hidden="1" x14ac:dyDescent="0.25">
      <c r="A731" s="127">
        <v>836</v>
      </c>
      <c r="B731" s="128" t="str">
        <f t="shared" ref="B731:B786" si="92">LEFT(E731,4)</f>
        <v>UCQT</v>
      </c>
      <c r="C731" s="128" t="str">
        <f>+VLOOKUP(U731,Ходим!A:B,2,0)</f>
        <v>51107025940051</v>
      </c>
      <c r="D731" s="128" t="str">
        <f>IFERROR(VLOOKUP($B:$B,[20]свод!$A:$AB,3,0)," ")</f>
        <v>Учқўрғон тумани</v>
      </c>
      <c r="E731" s="7" t="s">
        <v>1873</v>
      </c>
      <c r="F731" s="7" t="s">
        <v>8269</v>
      </c>
      <c r="G731" s="134" t="str">
        <f t="shared" si="85"/>
        <v/>
      </c>
      <c r="H731" s="134">
        <f t="shared" si="86"/>
        <v>1</v>
      </c>
      <c r="I731" s="7" t="s">
        <v>157</v>
      </c>
      <c r="J731" s="7" t="s">
        <v>172</v>
      </c>
      <c r="K731" s="7"/>
      <c r="L731" s="7"/>
      <c r="M731" s="7"/>
      <c r="N731" s="7" t="s">
        <v>170</v>
      </c>
      <c r="O731" s="7" t="s">
        <v>161</v>
      </c>
      <c r="P731" s="7" t="s">
        <v>6641</v>
      </c>
      <c r="Q731" s="129">
        <v>46199</v>
      </c>
      <c r="R731" s="130">
        <f t="shared" si="90"/>
        <v>46204</v>
      </c>
      <c r="S731" s="131">
        <f t="shared" ref="S731:S786" si="93">R731-Q731</f>
        <v>5</v>
      </c>
      <c r="T731" s="7" t="s">
        <v>175</v>
      </c>
      <c r="U731" s="7" t="s">
        <v>296</v>
      </c>
      <c r="V731" s="7"/>
      <c r="W731" s="7"/>
      <c r="X731" s="132">
        <f t="shared" si="91"/>
        <v>10</v>
      </c>
      <c r="Y731" s="133"/>
      <c r="Z731" s="133"/>
      <c r="AA731" s="133"/>
    </row>
    <row r="732" spans="1:27" x14ac:dyDescent="0.25">
      <c r="A732" s="127">
        <v>837</v>
      </c>
      <c r="B732" s="128" t="str">
        <f t="shared" si="92"/>
        <v>CHUT</v>
      </c>
      <c r="C732" s="128" t="str">
        <f>+VLOOKUP(U732,Ходим!A:B,2,0)</f>
        <v>30901882180031</v>
      </c>
      <c r="D732" s="128" t="str">
        <f>IFERROR(VLOOKUP($B:$B,[20]свод!$A:$AB,3,0)," ")</f>
        <v>Чуст тумани</v>
      </c>
      <c r="E732" s="7" t="s">
        <v>1022</v>
      </c>
      <c r="F732" s="7" t="s">
        <v>1063</v>
      </c>
      <c r="G732" s="134" t="str">
        <f t="shared" ref="G732:G794" si="94">IF(OR(
I732="Turar joy obyektning kadastr pasportini shakllantirish va davlat ro'yxatidan o'tkazish",
I732="Turar kompozit"
),
1,
IF(OR(
I732="Noturar kompozit",
I732="Avtoyo'l va suv xo'jaligi obyektining kadastr pasportini shakllantirish va ro'yxatga olish",
I732="Noturar obyektning kadastr pasportining kadastr pasportini shakllantirish va davlat ro'yxatidan o'tkazish"
),
"",
IF(OR(
I732="Notarius uchun ma'lumotnoma (uz)",
I732="Qurilishi tugallangan ko'chmas mulkni foydalanishga qabul qilish",
I732="Umumiy foydalanishdagi ko'chmas mulk qismini yaratish",
I732="Registratsiya (tashqi - UZKAD da bor)"
),
IF(OR(L732="Turar yer maydoni",L732="Yakka tartibdagi turar joy"),1,
IF(L732="Noturar bino","",
IF(L732="Noturar yer maydoni","",
IF(L732="",IF(OR(O732="Turar joy xizmati",O732="Foydalanishga ruxsatnoma berish xizmati"),1,""),"")
))),
"")))</f>
        <v/>
      </c>
      <c r="H732" s="134">
        <f t="shared" ref="H732:H794" si="95">IF(OR(
I732="Turar joy obyektning kadastr pasportini shakllantirish va davlat ro'yxatidan o'tkazish",
I732="Turar kompozit"
),
"",
IF(OR(
I732="Noturar kompozit",
I732="Avtoyo'l va suv xo'jaligi obyektining kadastr pasportini shakllantirish va ro'yxatga olish",
I732="Noturar obyektning kadastr pasportini shakllantirish va davlat ro'yxatidan o'tkazish"
),
1,
IF(OR(
I732="Notarius uchun ma'lumotnoma (uz)",
I732="Qurilishi tugallangan ko'chmas mulkni foydalanishga qabul qilish",
I732="Umumiy foydalanishdagi ko'chmas mulk qismini yaratish",
I732="Registratsiya (tashqi - UZKAD da bor)"
),
IF(OR(L732="Turar yer maydoni",L732="Yakka tartibdagi turar joy"),"",
IF(L732="Noturar bino",1,
IF(L732="Noturar yer maydoni",1,
IF(L732="",IF(OR(O732="Turar joy xizmati",O732="Foydalanishga ruxsatnoma berish xizmati"),"",1),"")
))),
"")))</f>
        <v>1</v>
      </c>
      <c r="I732" s="7" t="s">
        <v>157</v>
      </c>
      <c r="J732" s="7" t="s">
        <v>1137</v>
      </c>
      <c r="K732" s="7"/>
      <c r="L732" s="7" t="s">
        <v>166</v>
      </c>
      <c r="M732" s="7" t="s">
        <v>1059</v>
      </c>
      <c r="N732" s="7" t="s">
        <v>170</v>
      </c>
      <c r="O732" s="7" t="s">
        <v>161</v>
      </c>
      <c r="P732" s="7" t="s">
        <v>1066</v>
      </c>
      <c r="Q732" s="129">
        <v>46199</v>
      </c>
      <c r="R732" s="130">
        <f t="shared" si="90"/>
        <v>46182</v>
      </c>
      <c r="S732" s="131">
        <f t="shared" si="93"/>
        <v>-17</v>
      </c>
      <c r="T732" s="7" t="s">
        <v>178</v>
      </c>
      <c r="U732" s="7" t="s">
        <v>238</v>
      </c>
      <c r="V732" s="7" t="s">
        <v>965</v>
      </c>
      <c r="W732" s="7">
        <v>189.62</v>
      </c>
      <c r="X732" s="132">
        <f t="shared" si="91"/>
        <v>5</v>
      </c>
      <c r="Y732" s="133"/>
      <c r="Z732" s="133"/>
      <c r="AA732" s="133"/>
    </row>
    <row r="733" spans="1:27" hidden="1" x14ac:dyDescent="0.25">
      <c r="A733" s="127">
        <v>838</v>
      </c>
      <c r="B733" s="128" t="str">
        <f t="shared" si="92"/>
        <v>NAMS</v>
      </c>
      <c r="C733" s="128" t="str">
        <f>+VLOOKUP(U733,Ходим!A:B,2,0)</f>
        <v>52601025870013</v>
      </c>
      <c r="D733" s="128" t="str">
        <f>IFERROR(VLOOKUP($B:$B,[20]свод!$A:$AB,3,0)," ")</f>
        <v>Наманган шаҳар</v>
      </c>
      <c r="E733" s="7" t="s">
        <v>1874</v>
      </c>
      <c r="F733" s="7" t="s">
        <v>8270</v>
      </c>
      <c r="G733" s="134">
        <f t="shared" si="94"/>
        <v>1</v>
      </c>
      <c r="H733" s="134" t="str">
        <f t="shared" si="95"/>
        <v/>
      </c>
      <c r="I733" s="7" t="s">
        <v>156</v>
      </c>
      <c r="J733" s="7" t="s">
        <v>25</v>
      </c>
      <c r="K733" s="7"/>
      <c r="L733" s="7"/>
      <c r="M733" s="7"/>
      <c r="N733" s="7" t="s">
        <v>170</v>
      </c>
      <c r="O733" s="7" t="s">
        <v>162</v>
      </c>
      <c r="P733" s="7" t="s">
        <v>6642</v>
      </c>
      <c r="Q733" s="129">
        <v>46199</v>
      </c>
      <c r="R733" s="130">
        <f t="shared" si="90"/>
        <v>46210</v>
      </c>
      <c r="S733" s="131">
        <f t="shared" si="93"/>
        <v>11</v>
      </c>
      <c r="T733" s="7" t="s">
        <v>173</v>
      </c>
      <c r="U733" s="7" t="s">
        <v>405</v>
      </c>
      <c r="V733" s="7"/>
      <c r="W733" s="7"/>
      <c r="X733" s="132">
        <f t="shared" si="91"/>
        <v>10</v>
      </c>
      <c r="Y733" s="133"/>
      <c r="Z733" s="133"/>
      <c r="AA733" s="133"/>
    </row>
    <row r="734" spans="1:27" x14ac:dyDescent="0.25">
      <c r="A734" s="127">
        <v>839</v>
      </c>
      <c r="B734" s="128" t="str">
        <f t="shared" si="92"/>
        <v>CHOT</v>
      </c>
      <c r="C734" s="128" t="str">
        <f>+VLOOKUP(U734,Ходим!A:B,2,0)</f>
        <v>51408005890064</v>
      </c>
      <c r="D734" s="128" t="str">
        <f>IFERROR(VLOOKUP($B:$B,[20]свод!$A:$AB,3,0)," ")</f>
        <v>Чортоқ тумани</v>
      </c>
      <c r="E734" s="7" t="s">
        <v>1875</v>
      </c>
      <c r="F734" s="7" t="s">
        <v>8271</v>
      </c>
      <c r="G734" s="134">
        <f t="shared" si="94"/>
        <v>1</v>
      </c>
      <c r="H734" s="134" t="str">
        <f t="shared" si="95"/>
        <v/>
      </c>
      <c r="I734" s="7" t="s">
        <v>158</v>
      </c>
      <c r="J734" s="7" t="s">
        <v>29</v>
      </c>
      <c r="K734" s="7"/>
      <c r="L734" s="7" t="s">
        <v>167</v>
      </c>
      <c r="M734" s="7" t="s">
        <v>1122</v>
      </c>
      <c r="N734" s="7" t="s">
        <v>170</v>
      </c>
      <c r="O734" s="7" t="s">
        <v>162</v>
      </c>
      <c r="P734" s="7" t="s">
        <v>6643</v>
      </c>
      <c r="Q734" s="129">
        <v>46199</v>
      </c>
      <c r="R734" s="130">
        <f t="shared" si="90"/>
        <v>46198</v>
      </c>
      <c r="S734" s="131">
        <f t="shared" si="93"/>
        <v>-1</v>
      </c>
      <c r="T734" s="7" t="s">
        <v>10635</v>
      </c>
      <c r="U734" s="7" t="s">
        <v>409</v>
      </c>
      <c r="V734" s="7"/>
      <c r="W734" s="7">
        <v>250</v>
      </c>
      <c r="X734" s="132">
        <f t="shared" si="91"/>
        <v>10</v>
      </c>
      <c r="Y734" s="133"/>
      <c r="Z734" s="133"/>
      <c r="AA734" s="133"/>
    </row>
    <row r="735" spans="1:27" hidden="1" x14ac:dyDescent="0.25">
      <c r="A735" s="127">
        <v>840</v>
      </c>
      <c r="B735" s="128" t="str">
        <f t="shared" si="92"/>
        <v>NAMS</v>
      </c>
      <c r="C735" s="128" t="str">
        <f>+VLOOKUP(U735,Ходим!A:B,2,0)</f>
        <v>51705025890024</v>
      </c>
      <c r="D735" s="128" t="str">
        <f>IFERROR(VLOOKUP($B:$B,[20]свод!$A:$AB,3,0)," ")</f>
        <v>Наманган шаҳар</v>
      </c>
      <c r="E735" s="7" t="s">
        <v>1876</v>
      </c>
      <c r="F735" s="7" t="s">
        <v>8272</v>
      </c>
      <c r="G735" s="134">
        <f t="shared" si="94"/>
        <v>1</v>
      </c>
      <c r="H735" s="134" t="str">
        <f t="shared" si="95"/>
        <v/>
      </c>
      <c r="I735" s="7" t="s">
        <v>158</v>
      </c>
      <c r="J735" s="7" t="s">
        <v>2</v>
      </c>
      <c r="K735" s="7"/>
      <c r="L735" s="7"/>
      <c r="M735" s="7"/>
      <c r="N735" s="7" t="s">
        <v>170</v>
      </c>
      <c r="O735" s="7" t="s">
        <v>162</v>
      </c>
      <c r="P735" s="7" t="s">
        <v>6644</v>
      </c>
      <c r="Q735" s="129">
        <v>46199</v>
      </c>
      <c r="R735" s="130">
        <f t="shared" si="90"/>
        <v>46204</v>
      </c>
      <c r="S735" s="131">
        <f t="shared" si="93"/>
        <v>5</v>
      </c>
      <c r="T735" s="7" t="s">
        <v>173</v>
      </c>
      <c r="U735" s="7" t="s">
        <v>189</v>
      </c>
      <c r="V735" s="7"/>
      <c r="W735" s="7"/>
      <c r="X735" s="132">
        <f t="shared" si="91"/>
        <v>10</v>
      </c>
      <c r="Y735" s="133"/>
      <c r="Z735" s="133"/>
      <c r="AA735" s="133"/>
    </row>
    <row r="736" spans="1:27" hidden="1" x14ac:dyDescent="0.25">
      <c r="A736" s="127">
        <v>841</v>
      </c>
      <c r="B736" s="128" t="str">
        <f t="shared" si="92"/>
        <v>KSST</v>
      </c>
      <c r="C736" s="128" t="str">
        <f>+VLOOKUP(U736,Ходим!A:B,2,0)</f>
        <v>30703792190108</v>
      </c>
      <c r="D736" s="128" t="str">
        <f>IFERROR(VLOOKUP($B:$B,[20]свод!$A:$AB,3,0)," ")</f>
        <v>Косонсой тумани</v>
      </c>
      <c r="E736" s="7" t="s">
        <v>1877</v>
      </c>
      <c r="F736" s="7" t="s">
        <v>8273</v>
      </c>
      <c r="G736" s="134">
        <f t="shared" si="94"/>
        <v>1</v>
      </c>
      <c r="H736" s="134" t="str">
        <f t="shared" si="95"/>
        <v/>
      </c>
      <c r="I736" s="7" t="s">
        <v>158</v>
      </c>
      <c r="J736" s="7" t="s">
        <v>36</v>
      </c>
      <c r="K736" s="7"/>
      <c r="L736" s="7" t="s">
        <v>167</v>
      </c>
      <c r="M736" s="7" t="s">
        <v>4682</v>
      </c>
      <c r="N736" s="7" t="s">
        <v>170</v>
      </c>
      <c r="O736" s="7" t="s">
        <v>163</v>
      </c>
      <c r="P736" s="7" t="s">
        <v>6645</v>
      </c>
      <c r="Q736" s="129">
        <v>46199</v>
      </c>
      <c r="R736" s="130">
        <f t="shared" si="90"/>
        <v>46211</v>
      </c>
      <c r="S736" s="131">
        <f t="shared" si="93"/>
        <v>12</v>
      </c>
      <c r="T736" s="7" t="s">
        <v>180</v>
      </c>
      <c r="U736" s="7" t="s">
        <v>231</v>
      </c>
      <c r="V736" s="7"/>
      <c r="W736" s="7">
        <v>605.09</v>
      </c>
      <c r="X736" s="132">
        <f t="shared" si="91"/>
        <v>10</v>
      </c>
      <c r="Y736" s="133"/>
      <c r="Z736" s="133"/>
      <c r="AA736" s="133"/>
    </row>
    <row r="737" spans="1:27" hidden="1" x14ac:dyDescent="0.25">
      <c r="A737" s="127">
        <v>842</v>
      </c>
      <c r="B737" s="128" t="str">
        <f t="shared" si="92"/>
        <v>NAMT</v>
      </c>
      <c r="C737" s="128" t="str">
        <f>+VLOOKUP(U737,Ходим!A:B,2,0)</f>
        <v>32607902090019</v>
      </c>
      <c r="D737" s="128" t="str">
        <f>IFERROR(VLOOKUP($B:$B,[20]свод!$A:$AB,3,0)," ")</f>
        <v>Наманган тумани</v>
      </c>
      <c r="E737" s="7" t="s">
        <v>1878</v>
      </c>
      <c r="F737" s="7" t="s">
        <v>8274</v>
      </c>
      <c r="G737" s="134">
        <f t="shared" si="94"/>
        <v>1</v>
      </c>
      <c r="H737" s="134" t="str">
        <f t="shared" si="95"/>
        <v/>
      </c>
      <c r="I737" s="7" t="s">
        <v>158</v>
      </c>
      <c r="J737" s="7" t="s">
        <v>2</v>
      </c>
      <c r="K737" s="7"/>
      <c r="L737" s="7" t="s">
        <v>167</v>
      </c>
      <c r="M737" s="7" t="s">
        <v>4683</v>
      </c>
      <c r="N737" s="7" t="s">
        <v>410</v>
      </c>
      <c r="O737" s="7" t="s">
        <v>162</v>
      </c>
      <c r="P737" s="7" t="s">
        <v>6646</v>
      </c>
      <c r="Q737" s="129">
        <v>46199</v>
      </c>
      <c r="R737" s="130">
        <f t="shared" si="90"/>
        <v>46211</v>
      </c>
      <c r="S737" s="131">
        <f t="shared" si="93"/>
        <v>12</v>
      </c>
      <c r="T737" s="7" t="s">
        <v>193</v>
      </c>
      <c r="U737" s="7" t="s">
        <v>243</v>
      </c>
      <c r="V737" s="7"/>
      <c r="W737" s="7">
        <v>0</v>
      </c>
      <c r="X737" s="132">
        <f t="shared" si="91"/>
        <v>10</v>
      </c>
      <c r="Y737" s="133"/>
      <c r="Z737" s="133"/>
      <c r="AA737" s="133"/>
    </row>
    <row r="738" spans="1:27" hidden="1" x14ac:dyDescent="0.25">
      <c r="A738" s="127">
        <v>843</v>
      </c>
      <c r="B738" s="128" t="str">
        <f t="shared" si="92"/>
        <v>NAMS</v>
      </c>
      <c r="C738" s="128" t="str">
        <f>+VLOOKUP(U738,Ходим!A:B,2,0)</f>
        <v>32602902170105</v>
      </c>
      <c r="D738" s="128" t="str">
        <f>IFERROR(VLOOKUP($B:$B,[20]свод!$A:$AB,3,0)," ")</f>
        <v>Наманган шаҳар</v>
      </c>
      <c r="E738" s="7" t="s">
        <v>1879</v>
      </c>
      <c r="F738" s="7" t="s">
        <v>8275</v>
      </c>
      <c r="G738" s="134" t="str">
        <f t="shared" si="94"/>
        <v/>
      </c>
      <c r="H738" s="134">
        <f t="shared" si="95"/>
        <v>1</v>
      </c>
      <c r="I738" s="7" t="s">
        <v>157</v>
      </c>
      <c r="J738" s="7" t="s">
        <v>2</v>
      </c>
      <c r="K738" s="7"/>
      <c r="L738" s="7" t="s">
        <v>166</v>
      </c>
      <c r="M738" s="7" t="s">
        <v>4684</v>
      </c>
      <c r="N738" s="7" t="s">
        <v>410</v>
      </c>
      <c r="O738" s="7" t="s">
        <v>161</v>
      </c>
      <c r="P738" s="7" t="s">
        <v>6647</v>
      </c>
      <c r="Q738" s="129">
        <v>46199</v>
      </c>
      <c r="R738" s="130">
        <f t="shared" si="90"/>
        <v>46205</v>
      </c>
      <c r="S738" s="131">
        <f t="shared" si="93"/>
        <v>6</v>
      </c>
      <c r="T738" s="7" t="s">
        <v>173</v>
      </c>
      <c r="U738" s="7" t="s">
        <v>247</v>
      </c>
      <c r="V738" s="7"/>
      <c r="W738" s="7">
        <v>0</v>
      </c>
      <c r="X738" s="132">
        <f t="shared" si="91"/>
        <v>10</v>
      </c>
      <c r="Y738" s="133"/>
      <c r="Z738" s="133"/>
      <c r="AA738" s="133"/>
    </row>
    <row r="739" spans="1:27" x14ac:dyDescent="0.25">
      <c r="A739" s="127">
        <v>844</v>
      </c>
      <c r="B739" s="128" t="str">
        <f t="shared" si="92"/>
        <v>CHUT</v>
      </c>
      <c r="C739" s="128" t="str">
        <f>+VLOOKUP(U739,Ходим!A:B,2,0)</f>
        <v>30202885970013</v>
      </c>
      <c r="D739" s="128" t="str">
        <f>IFERROR(VLOOKUP($B:$B,[20]свод!$A:$AB,3,0)," ")</f>
        <v>Чуст тумани</v>
      </c>
      <c r="E739" s="7" t="s">
        <v>1880</v>
      </c>
      <c r="F739" s="7" t="s">
        <v>8276</v>
      </c>
      <c r="G739" s="134">
        <f t="shared" si="94"/>
        <v>1</v>
      </c>
      <c r="H739" s="134" t="str">
        <f t="shared" si="95"/>
        <v/>
      </c>
      <c r="I739" s="7" t="s">
        <v>158</v>
      </c>
      <c r="J739" s="7" t="s">
        <v>134</v>
      </c>
      <c r="K739" s="7"/>
      <c r="L739" s="7"/>
      <c r="M739" s="7"/>
      <c r="N739" s="7" t="s">
        <v>170</v>
      </c>
      <c r="O739" s="7" t="s">
        <v>162</v>
      </c>
      <c r="P739" s="7" t="s">
        <v>6648</v>
      </c>
      <c r="Q739" s="129">
        <v>46199</v>
      </c>
      <c r="R739" s="130">
        <f t="shared" si="90"/>
        <v>46199</v>
      </c>
      <c r="S739" s="131">
        <f t="shared" si="93"/>
        <v>0</v>
      </c>
      <c r="T739" s="7" t="s">
        <v>178</v>
      </c>
      <c r="U739" s="7" t="s">
        <v>289</v>
      </c>
      <c r="V739" s="7"/>
      <c r="W739" s="7"/>
      <c r="X739" s="132">
        <f t="shared" si="91"/>
        <v>10</v>
      </c>
      <c r="Y739" s="133"/>
      <c r="Z739" s="133"/>
      <c r="AA739" s="133"/>
    </row>
    <row r="740" spans="1:27" x14ac:dyDescent="0.25">
      <c r="A740" s="127">
        <v>845</v>
      </c>
      <c r="B740" s="128" t="str">
        <f t="shared" si="92"/>
        <v>UYCT</v>
      </c>
      <c r="C740" s="128" t="str">
        <f>+VLOOKUP(U740,Ходим!A:B,2,0)</f>
        <v>30510922140032</v>
      </c>
      <c r="D740" s="128" t="str">
        <f>IFERROR(VLOOKUP($B:$B,[20]свод!$A:$AB,3,0)," ")</f>
        <v>Уйчи тумани</v>
      </c>
      <c r="E740" s="7" t="s">
        <v>1881</v>
      </c>
      <c r="F740" s="7" t="s">
        <v>8277</v>
      </c>
      <c r="G740" s="134">
        <f t="shared" si="94"/>
        <v>1</v>
      </c>
      <c r="H740" s="134" t="str">
        <f t="shared" si="95"/>
        <v/>
      </c>
      <c r="I740" s="7" t="s">
        <v>158</v>
      </c>
      <c r="J740" s="7" t="s">
        <v>2</v>
      </c>
      <c r="K740" s="7"/>
      <c r="L740" s="7"/>
      <c r="M740" s="7"/>
      <c r="N740" s="7" t="s">
        <v>170</v>
      </c>
      <c r="O740" s="7" t="s">
        <v>162</v>
      </c>
      <c r="P740" s="7" t="s">
        <v>6648</v>
      </c>
      <c r="Q740" s="129">
        <v>46199</v>
      </c>
      <c r="R740" s="130">
        <f t="shared" si="90"/>
        <v>46199</v>
      </c>
      <c r="S740" s="131">
        <f t="shared" si="93"/>
        <v>0</v>
      </c>
      <c r="T740" s="7" t="s">
        <v>947</v>
      </c>
      <c r="U740" s="7" t="s">
        <v>199</v>
      </c>
      <c r="V740" s="7"/>
      <c r="W740" s="7"/>
      <c r="X740" s="132">
        <f t="shared" si="91"/>
        <v>10</v>
      </c>
      <c r="Y740" s="133"/>
      <c r="Z740" s="133"/>
      <c r="AA740" s="133"/>
    </row>
    <row r="741" spans="1:27" hidden="1" x14ac:dyDescent="0.25">
      <c r="A741" s="127">
        <v>846</v>
      </c>
      <c r="B741" s="128" t="str">
        <f t="shared" si="92"/>
        <v>CHOT</v>
      </c>
      <c r="C741" s="128" t="str">
        <f>+VLOOKUP(U741,Ходим!A:B,2,0)</f>
        <v>30308922100022</v>
      </c>
      <c r="D741" s="128" t="str">
        <f>IFERROR(VLOOKUP($B:$B,[20]свод!$A:$AB,3,0)," ")</f>
        <v>Чортоқ тумани</v>
      </c>
      <c r="E741" s="7" t="s">
        <v>1882</v>
      </c>
      <c r="F741" s="7" t="s">
        <v>8278</v>
      </c>
      <c r="G741" s="134">
        <f t="shared" si="94"/>
        <v>1</v>
      </c>
      <c r="H741" s="134" t="str">
        <f t="shared" si="95"/>
        <v/>
      </c>
      <c r="I741" s="7" t="s">
        <v>158</v>
      </c>
      <c r="J741" s="7" t="s">
        <v>172</v>
      </c>
      <c r="K741" s="7"/>
      <c r="L741" s="7" t="s">
        <v>167</v>
      </c>
      <c r="M741" s="7" t="s">
        <v>4685</v>
      </c>
      <c r="N741" s="7" t="s">
        <v>170</v>
      </c>
      <c r="O741" s="7" t="s">
        <v>162</v>
      </c>
      <c r="P741" s="7" t="s">
        <v>6397</v>
      </c>
      <c r="Q741" s="129">
        <v>46199</v>
      </c>
      <c r="R741" s="130">
        <f t="shared" si="90"/>
        <v>46211</v>
      </c>
      <c r="S741" s="131">
        <f t="shared" si="93"/>
        <v>12</v>
      </c>
      <c r="T741" s="7" t="s">
        <v>184</v>
      </c>
      <c r="U741" s="7" t="s">
        <v>190</v>
      </c>
      <c r="V741" s="7"/>
      <c r="W741" s="7">
        <v>58.08</v>
      </c>
      <c r="X741" s="132">
        <f t="shared" si="91"/>
        <v>10</v>
      </c>
      <c r="Y741" s="133"/>
      <c r="Z741" s="133"/>
      <c r="AA741" s="133"/>
    </row>
    <row r="742" spans="1:27" hidden="1" x14ac:dyDescent="0.25">
      <c r="A742" s="127">
        <v>847</v>
      </c>
      <c r="B742" s="128" t="str">
        <f t="shared" si="92"/>
        <v>NAMT</v>
      </c>
      <c r="C742" s="128">
        <f>+VLOOKUP(U742,Ходим!A:B,2,0)</f>
        <v>52908045880018</v>
      </c>
      <c r="D742" s="128" t="str">
        <f>IFERROR(VLOOKUP($B:$B,[20]свод!$A:$AB,3,0)," ")</f>
        <v>Наманган тумани</v>
      </c>
      <c r="E742" s="7" t="s">
        <v>1883</v>
      </c>
      <c r="F742" s="7" t="s">
        <v>8279</v>
      </c>
      <c r="G742" s="134">
        <f t="shared" si="94"/>
        <v>1</v>
      </c>
      <c r="H742" s="134" t="str">
        <f t="shared" si="95"/>
        <v/>
      </c>
      <c r="I742" s="7" t="s">
        <v>158</v>
      </c>
      <c r="J742" s="7" t="s">
        <v>2</v>
      </c>
      <c r="K742" s="7"/>
      <c r="L742" s="7" t="s">
        <v>167</v>
      </c>
      <c r="M742" s="7" t="s">
        <v>4686</v>
      </c>
      <c r="N742" s="7" t="s">
        <v>170</v>
      </c>
      <c r="O742" s="7" t="s">
        <v>162</v>
      </c>
      <c r="P742" s="7" t="s">
        <v>6587</v>
      </c>
      <c r="Q742" s="129">
        <v>46199</v>
      </c>
      <c r="R742" s="130">
        <f t="shared" si="90"/>
        <v>46211</v>
      </c>
      <c r="S742" s="131">
        <f t="shared" si="93"/>
        <v>12</v>
      </c>
      <c r="T742" s="7" t="s">
        <v>193</v>
      </c>
      <c r="U742" s="7" t="s">
        <v>982</v>
      </c>
      <c r="V742" s="7"/>
      <c r="W742" s="7">
        <v>286.61</v>
      </c>
      <c r="X742" s="132">
        <f t="shared" si="91"/>
        <v>10</v>
      </c>
      <c r="Y742" s="133"/>
      <c r="Z742" s="133"/>
      <c r="AA742" s="133"/>
    </row>
    <row r="743" spans="1:27" hidden="1" x14ac:dyDescent="0.25">
      <c r="A743" s="127">
        <v>848</v>
      </c>
      <c r="B743" s="128" t="str">
        <f t="shared" si="92"/>
        <v>NAMS</v>
      </c>
      <c r="C743" s="128">
        <f>+VLOOKUP(U743,Ходим!A:B,2,0)</f>
        <v>51006025960068</v>
      </c>
      <c r="D743" s="128" t="str">
        <f>IFERROR(VLOOKUP($B:$B,[20]свод!$A:$AB,3,0)," ")</f>
        <v>Наманган шаҳар</v>
      </c>
      <c r="E743" s="7" t="s">
        <v>1884</v>
      </c>
      <c r="F743" s="7" t="s">
        <v>8280</v>
      </c>
      <c r="G743" s="134">
        <f t="shared" si="94"/>
        <v>1</v>
      </c>
      <c r="H743" s="134" t="str">
        <f t="shared" si="95"/>
        <v/>
      </c>
      <c r="I743" s="7" t="s">
        <v>158</v>
      </c>
      <c r="J743" s="7" t="s">
        <v>12</v>
      </c>
      <c r="K743" s="7"/>
      <c r="L743" s="7" t="s">
        <v>167</v>
      </c>
      <c r="M743" s="7" t="s">
        <v>4687</v>
      </c>
      <c r="N743" s="7" t="s">
        <v>170</v>
      </c>
      <c r="O743" s="7" t="s">
        <v>162</v>
      </c>
      <c r="P743" s="7" t="s">
        <v>6649</v>
      </c>
      <c r="Q743" s="129">
        <v>46199</v>
      </c>
      <c r="R743" s="130">
        <f t="shared" si="90"/>
        <v>46204</v>
      </c>
      <c r="S743" s="131">
        <f t="shared" si="93"/>
        <v>5</v>
      </c>
      <c r="T743" s="7" t="s">
        <v>173</v>
      </c>
      <c r="U743" s="7" t="s">
        <v>944</v>
      </c>
      <c r="V743" s="7"/>
      <c r="W743" s="7">
        <v>37.770000000000003</v>
      </c>
      <c r="X743" s="132">
        <f t="shared" si="91"/>
        <v>10</v>
      </c>
      <c r="Y743" s="133"/>
      <c r="Z743" s="133"/>
      <c r="AA743" s="133"/>
    </row>
    <row r="744" spans="1:27" hidden="1" x14ac:dyDescent="0.25">
      <c r="A744" s="127">
        <v>849</v>
      </c>
      <c r="B744" s="128" t="str">
        <f t="shared" si="92"/>
        <v>POPT</v>
      </c>
      <c r="C744" s="128" t="str">
        <f>+VLOOKUP(U744,Ходим!A:B,2,0)</f>
        <v>30609882120085</v>
      </c>
      <c r="D744" s="128" t="str">
        <f>IFERROR(VLOOKUP($B:$B,[20]свод!$A:$AB,3,0)," ")</f>
        <v>Поп тумани</v>
      </c>
      <c r="E744" s="7" t="s">
        <v>1885</v>
      </c>
      <c r="F744" s="7" t="s">
        <v>8281</v>
      </c>
      <c r="G744" s="134" t="str">
        <f t="shared" si="94"/>
        <v/>
      </c>
      <c r="H744" s="134">
        <f t="shared" si="95"/>
        <v>1</v>
      </c>
      <c r="I744" s="7" t="s">
        <v>157</v>
      </c>
      <c r="J744" s="7" t="s">
        <v>16</v>
      </c>
      <c r="K744" s="7"/>
      <c r="L744" s="7" t="s">
        <v>166</v>
      </c>
      <c r="M744" s="7" t="s">
        <v>4688</v>
      </c>
      <c r="N744" s="7" t="s">
        <v>410</v>
      </c>
      <c r="O744" s="7" t="s">
        <v>161</v>
      </c>
      <c r="P744" s="7" t="s">
        <v>6291</v>
      </c>
      <c r="Q744" s="129">
        <v>46199</v>
      </c>
      <c r="R744" s="130">
        <f t="shared" si="90"/>
        <v>46205</v>
      </c>
      <c r="S744" s="131">
        <f t="shared" si="93"/>
        <v>6</v>
      </c>
      <c r="T744" s="7" t="s">
        <v>214</v>
      </c>
      <c r="U744" s="7" t="s">
        <v>248</v>
      </c>
      <c r="V744" s="7"/>
      <c r="W744" s="7">
        <v>98</v>
      </c>
      <c r="X744" s="132">
        <f t="shared" si="91"/>
        <v>10</v>
      </c>
      <c r="Y744" s="133"/>
      <c r="Z744" s="133"/>
      <c r="AA744" s="133"/>
    </row>
    <row r="745" spans="1:27" hidden="1" x14ac:dyDescent="0.25">
      <c r="A745" s="127">
        <v>850</v>
      </c>
      <c r="B745" s="128" t="str">
        <f t="shared" si="92"/>
        <v>TORT</v>
      </c>
      <c r="C745" s="128" t="str">
        <f>+VLOOKUP(U745,Ходим!A:B,2,0)</f>
        <v>50908015920034</v>
      </c>
      <c r="D745" s="128" t="str">
        <f>IFERROR(VLOOKUP($B:$B,[20]свод!$A:$AB,3,0)," ")</f>
        <v>Тўрақўрғон тумани</v>
      </c>
      <c r="E745" s="7" t="s">
        <v>1886</v>
      </c>
      <c r="F745" s="7" t="s">
        <v>8282</v>
      </c>
      <c r="G745" s="134">
        <f t="shared" si="94"/>
        <v>1</v>
      </c>
      <c r="H745" s="134" t="str">
        <f t="shared" si="95"/>
        <v/>
      </c>
      <c r="I745" s="7" t="s">
        <v>158</v>
      </c>
      <c r="J745" s="7" t="s">
        <v>1</v>
      </c>
      <c r="K745" s="7"/>
      <c r="L745" s="7" t="s">
        <v>167</v>
      </c>
      <c r="M745" s="7" t="s">
        <v>4689</v>
      </c>
      <c r="N745" s="7" t="s">
        <v>170</v>
      </c>
      <c r="O745" s="7" t="s">
        <v>162</v>
      </c>
      <c r="P745" s="7" t="s">
        <v>6556</v>
      </c>
      <c r="Q745" s="129">
        <v>46199</v>
      </c>
      <c r="R745" s="130">
        <f t="shared" si="90"/>
        <v>46205</v>
      </c>
      <c r="S745" s="131">
        <f t="shared" si="93"/>
        <v>6</v>
      </c>
      <c r="T745" s="7" t="s">
        <v>203</v>
      </c>
      <c r="U745" s="7" t="s">
        <v>205</v>
      </c>
      <c r="V745" s="7"/>
      <c r="W745" s="7">
        <v>552.62</v>
      </c>
      <c r="X745" s="132">
        <f t="shared" si="91"/>
        <v>10</v>
      </c>
      <c r="Y745" s="133"/>
      <c r="Z745" s="133"/>
      <c r="AA745" s="133"/>
    </row>
    <row r="746" spans="1:27" hidden="1" x14ac:dyDescent="0.25">
      <c r="A746" s="127">
        <v>851</v>
      </c>
      <c r="B746" s="128" t="str">
        <f t="shared" si="92"/>
        <v>KSST</v>
      </c>
      <c r="C746" s="128" t="str">
        <f>+VLOOKUP(U746,Ходим!A:B,2,0)</f>
        <v>52812015980061</v>
      </c>
      <c r="D746" s="128" t="str">
        <f>IFERROR(VLOOKUP($B:$B,[20]свод!$A:$AB,3,0)," ")</f>
        <v>Косонсой тумани</v>
      </c>
      <c r="E746" s="7" t="s">
        <v>1887</v>
      </c>
      <c r="F746" s="7" t="s">
        <v>8283</v>
      </c>
      <c r="G746" s="134">
        <f t="shared" si="94"/>
        <v>1</v>
      </c>
      <c r="H746" s="134" t="str">
        <f t="shared" si="95"/>
        <v/>
      </c>
      <c r="I746" s="7" t="s">
        <v>158</v>
      </c>
      <c r="J746" s="7" t="s">
        <v>2</v>
      </c>
      <c r="K746" s="7"/>
      <c r="L746" s="7"/>
      <c r="M746" s="7"/>
      <c r="N746" s="7" t="s">
        <v>410</v>
      </c>
      <c r="O746" s="7" t="s">
        <v>162</v>
      </c>
      <c r="P746" s="7" t="s">
        <v>6650</v>
      </c>
      <c r="Q746" s="129">
        <v>46199</v>
      </c>
      <c r="R746" s="130">
        <f t="shared" si="90"/>
        <v>46205</v>
      </c>
      <c r="S746" s="131">
        <f t="shared" si="93"/>
        <v>6</v>
      </c>
      <c r="T746" s="7" t="s">
        <v>180</v>
      </c>
      <c r="U746" s="7" t="s">
        <v>307</v>
      </c>
      <c r="V746" s="7"/>
      <c r="W746" s="7"/>
      <c r="X746" s="132">
        <f t="shared" si="91"/>
        <v>10</v>
      </c>
      <c r="Y746" s="133"/>
      <c r="Z746" s="133"/>
      <c r="AA746" s="133"/>
    </row>
    <row r="747" spans="1:27" x14ac:dyDescent="0.25">
      <c r="A747" s="127">
        <v>852</v>
      </c>
      <c r="B747" s="128" t="str">
        <f t="shared" si="92"/>
        <v>NAMS</v>
      </c>
      <c r="C747" s="128" t="str">
        <f>+VLOOKUP(U747,Ходим!A:B,2,0)</f>
        <v>32407752170062</v>
      </c>
      <c r="D747" s="128" t="str">
        <f>IFERROR(VLOOKUP($B:$B,[20]свод!$A:$AB,3,0)," ")</f>
        <v>Наманган шаҳар</v>
      </c>
      <c r="E747" s="7" t="s">
        <v>1888</v>
      </c>
      <c r="F747" s="7" t="s">
        <v>8284</v>
      </c>
      <c r="G747" s="134">
        <f t="shared" si="94"/>
        <v>1</v>
      </c>
      <c r="H747" s="134" t="str">
        <f t="shared" si="95"/>
        <v/>
      </c>
      <c r="I747" s="7" t="s">
        <v>158</v>
      </c>
      <c r="J747" s="7" t="s">
        <v>2</v>
      </c>
      <c r="K747" s="7"/>
      <c r="L747" s="7"/>
      <c r="M747" s="7"/>
      <c r="N747" s="7" t="s">
        <v>170</v>
      </c>
      <c r="O747" s="7" t="s">
        <v>162</v>
      </c>
      <c r="P747" s="7" t="s">
        <v>6651</v>
      </c>
      <c r="Q747" s="129">
        <v>46199</v>
      </c>
      <c r="R747" s="130">
        <f t="shared" si="90"/>
        <v>46199</v>
      </c>
      <c r="S747" s="131">
        <f t="shared" si="93"/>
        <v>0</v>
      </c>
      <c r="T747" s="7" t="s">
        <v>173</v>
      </c>
      <c r="U747" s="7" t="s">
        <v>264</v>
      </c>
      <c r="V747" s="7"/>
      <c r="W747" s="7"/>
      <c r="X747" s="132">
        <f t="shared" si="91"/>
        <v>10</v>
      </c>
      <c r="Y747" s="133"/>
      <c r="Z747" s="133"/>
      <c r="AA747" s="133"/>
    </row>
    <row r="748" spans="1:27" x14ac:dyDescent="0.25">
      <c r="A748" s="127">
        <v>853</v>
      </c>
      <c r="B748" s="128" t="str">
        <f t="shared" si="92"/>
        <v>UCQT</v>
      </c>
      <c r="C748" s="128" t="str">
        <f>+VLOOKUP(U748,Ходим!A:B,2,0)</f>
        <v>52405005940019</v>
      </c>
      <c r="D748" s="128" t="str">
        <f>IFERROR(VLOOKUP($B:$B,[20]свод!$A:$AB,3,0)," ")</f>
        <v>Учқўрғон тумани</v>
      </c>
      <c r="E748" s="7" t="s">
        <v>1889</v>
      </c>
      <c r="F748" s="7" t="s">
        <v>8285</v>
      </c>
      <c r="G748" s="134">
        <f t="shared" si="94"/>
        <v>1</v>
      </c>
      <c r="H748" s="134" t="str">
        <f t="shared" si="95"/>
        <v/>
      </c>
      <c r="I748" s="7" t="s">
        <v>154</v>
      </c>
      <c r="J748" s="7" t="s">
        <v>100</v>
      </c>
      <c r="K748" s="7"/>
      <c r="L748" s="7" t="s">
        <v>167</v>
      </c>
      <c r="M748" s="7" t="s">
        <v>4690</v>
      </c>
      <c r="N748" s="7" t="s">
        <v>170</v>
      </c>
      <c r="O748" s="7" t="s">
        <v>162</v>
      </c>
      <c r="P748" s="7" t="s">
        <v>6652</v>
      </c>
      <c r="Q748" s="129">
        <v>46199</v>
      </c>
      <c r="R748" s="130">
        <f t="shared" si="90"/>
        <v>46199</v>
      </c>
      <c r="S748" s="131">
        <f t="shared" si="93"/>
        <v>0</v>
      </c>
      <c r="T748" s="7" t="s">
        <v>175</v>
      </c>
      <c r="U748" s="7" t="s">
        <v>209</v>
      </c>
      <c r="V748" s="7"/>
      <c r="W748" s="7">
        <v>20.65</v>
      </c>
      <c r="X748" s="132">
        <f t="shared" si="91"/>
        <v>10</v>
      </c>
      <c r="Y748" s="133"/>
      <c r="Z748" s="133"/>
      <c r="AA748" s="133"/>
    </row>
    <row r="749" spans="1:27" x14ac:dyDescent="0.25">
      <c r="A749" s="127">
        <v>854</v>
      </c>
      <c r="B749" s="128" t="str">
        <f t="shared" si="92"/>
        <v>UCQT</v>
      </c>
      <c r="C749" s="128">
        <f>+VLOOKUP(U749,Ходим!A:B,2,0)</f>
        <v>52107015940019</v>
      </c>
      <c r="D749" s="128" t="str">
        <f>IFERROR(VLOOKUP($B:$B,[20]свод!$A:$AB,3,0)," ")</f>
        <v>Учқўрғон тумани</v>
      </c>
      <c r="E749" s="7" t="s">
        <v>1890</v>
      </c>
      <c r="F749" s="7" t="s">
        <v>8286</v>
      </c>
      <c r="G749" s="134">
        <f t="shared" si="94"/>
        <v>1</v>
      </c>
      <c r="H749" s="134" t="str">
        <f t="shared" si="95"/>
        <v/>
      </c>
      <c r="I749" s="7" t="s">
        <v>158</v>
      </c>
      <c r="J749" s="7" t="s">
        <v>12</v>
      </c>
      <c r="K749" s="7"/>
      <c r="L749" s="7" t="s">
        <v>167</v>
      </c>
      <c r="M749" s="7" t="s">
        <v>4691</v>
      </c>
      <c r="N749" s="7" t="s">
        <v>170</v>
      </c>
      <c r="O749" s="7" t="s">
        <v>162</v>
      </c>
      <c r="P749" s="7" t="s">
        <v>6652</v>
      </c>
      <c r="Q749" s="129">
        <v>46199</v>
      </c>
      <c r="R749" s="130">
        <f t="shared" si="90"/>
        <v>46199</v>
      </c>
      <c r="S749" s="131">
        <f t="shared" si="93"/>
        <v>0</v>
      </c>
      <c r="T749" s="7" t="s">
        <v>175</v>
      </c>
      <c r="U749" s="7" t="s">
        <v>361</v>
      </c>
      <c r="V749" s="7"/>
      <c r="W749" s="7">
        <v>276.77</v>
      </c>
      <c r="X749" s="132">
        <f t="shared" si="91"/>
        <v>10</v>
      </c>
      <c r="Y749" s="133"/>
      <c r="Z749" s="133"/>
      <c r="AA749" s="133"/>
    </row>
    <row r="750" spans="1:27" x14ac:dyDescent="0.25">
      <c r="A750" s="127">
        <v>855</v>
      </c>
      <c r="B750" s="128" t="str">
        <f t="shared" si="92"/>
        <v>UYCT</v>
      </c>
      <c r="C750" s="128" t="str">
        <f>+VLOOKUP(U750,Ходим!A:B,2,0)</f>
        <v>31101985930022</v>
      </c>
      <c r="D750" s="128" t="str">
        <f>IFERROR(VLOOKUP($B:$B,[20]свод!$A:$AB,3,0)," ")</f>
        <v>Уйчи тумани</v>
      </c>
      <c r="E750" s="7" t="s">
        <v>1891</v>
      </c>
      <c r="F750" s="7" t="s">
        <v>8287</v>
      </c>
      <c r="G750" s="134">
        <f t="shared" si="94"/>
        <v>1</v>
      </c>
      <c r="H750" s="134" t="str">
        <f t="shared" si="95"/>
        <v/>
      </c>
      <c r="I750" s="7" t="s">
        <v>158</v>
      </c>
      <c r="J750" s="7" t="s">
        <v>2</v>
      </c>
      <c r="K750" s="7"/>
      <c r="L750" s="7" t="s">
        <v>169</v>
      </c>
      <c r="M750" s="7" t="s">
        <v>4692</v>
      </c>
      <c r="N750" s="7" t="s">
        <v>170</v>
      </c>
      <c r="O750" s="7" t="s">
        <v>162</v>
      </c>
      <c r="P750" s="7" t="s">
        <v>6451</v>
      </c>
      <c r="Q750" s="129">
        <v>46199</v>
      </c>
      <c r="R750" s="130">
        <f t="shared" si="90"/>
        <v>46199</v>
      </c>
      <c r="S750" s="131">
        <f t="shared" si="93"/>
        <v>0</v>
      </c>
      <c r="T750" s="7" t="s">
        <v>947</v>
      </c>
      <c r="U750" s="7" t="s">
        <v>299</v>
      </c>
      <c r="V750" s="7"/>
      <c r="W750" s="7">
        <v>0</v>
      </c>
      <c r="X750" s="132">
        <f t="shared" si="91"/>
        <v>7</v>
      </c>
      <c r="Y750" s="133"/>
      <c r="Z750" s="133"/>
      <c r="AA750" s="133"/>
    </row>
    <row r="751" spans="1:27" x14ac:dyDescent="0.25">
      <c r="A751" s="127">
        <v>856</v>
      </c>
      <c r="B751" s="128" t="str">
        <f t="shared" si="92"/>
        <v>TORT</v>
      </c>
      <c r="C751" s="128" t="str">
        <f>+VLOOKUP(U751,Ходим!A:B,2,0)</f>
        <v>32211772130034</v>
      </c>
      <c r="D751" s="128" t="str">
        <f>IFERROR(VLOOKUP($B:$B,[20]свод!$A:$AB,3,0)," ")</f>
        <v>Тўрақўрғон тумани</v>
      </c>
      <c r="E751" s="7" t="s">
        <v>1892</v>
      </c>
      <c r="F751" s="7" t="s">
        <v>8288</v>
      </c>
      <c r="G751" s="134">
        <f t="shared" si="94"/>
        <v>1</v>
      </c>
      <c r="H751" s="134" t="str">
        <f t="shared" si="95"/>
        <v/>
      </c>
      <c r="I751" s="7" t="s">
        <v>158</v>
      </c>
      <c r="J751" s="7" t="s">
        <v>1</v>
      </c>
      <c r="K751" s="7"/>
      <c r="L751" s="7" t="s">
        <v>167</v>
      </c>
      <c r="M751" s="7" t="s">
        <v>4693</v>
      </c>
      <c r="N751" s="7" t="s">
        <v>410</v>
      </c>
      <c r="O751" s="7" t="s">
        <v>162</v>
      </c>
      <c r="P751" s="7" t="s">
        <v>6653</v>
      </c>
      <c r="Q751" s="129">
        <v>46199</v>
      </c>
      <c r="R751" s="130">
        <f t="shared" si="90"/>
        <v>46199</v>
      </c>
      <c r="S751" s="131">
        <f t="shared" si="93"/>
        <v>0</v>
      </c>
      <c r="T751" s="7" t="s">
        <v>203</v>
      </c>
      <c r="U751" s="7" t="s">
        <v>270</v>
      </c>
      <c r="V751" s="7"/>
      <c r="W751" s="7">
        <v>48</v>
      </c>
      <c r="X751" s="132">
        <f t="shared" si="91"/>
        <v>10</v>
      </c>
      <c r="Y751" s="133"/>
      <c r="Z751" s="133"/>
      <c r="AA751" s="133"/>
    </row>
    <row r="752" spans="1:27" x14ac:dyDescent="0.25">
      <c r="A752" s="127">
        <v>857</v>
      </c>
      <c r="B752" s="128" t="str">
        <f t="shared" si="92"/>
        <v>NAMT</v>
      </c>
      <c r="C752" s="128" t="str">
        <f>+VLOOKUP(U752,Ходим!A:B,2,0)</f>
        <v>31702942090041</v>
      </c>
      <c r="D752" s="128" t="str">
        <f>IFERROR(VLOOKUP($B:$B,[20]свод!$A:$AB,3,0)," ")</f>
        <v>Наманган тумани</v>
      </c>
      <c r="E752" s="7" t="s">
        <v>1893</v>
      </c>
      <c r="F752" s="7" t="s">
        <v>8289</v>
      </c>
      <c r="G752" s="134">
        <f t="shared" si="94"/>
        <v>1</v>
      </c>
      <c r="H752" s="134" t="str">
        <f t="shared" si="95"/>
        <v/>
      </c>
      <c r="I752" s="7" t="s">
        <v>158</v>
      </c>
      <c r="J752" s="7" t="s">
        <v>1</v>
      </c>
      <c r="K752" s="7"/>
      <c r="L752" s="7" t="s">
        <v>167</v>
      </c>
      <c r="M752" s="7" t="s">
        <v>4694</v>
      </c>
      <c r="N752" s="7" t="s">
        <v>170</v>
      </c>
      <c r="O752" s="7" t="s">
        <v>162</v>
      </c>
      <c r="P752" s="7" t="s">
        <v>6653</v>
      </c>
      <c r="Q752" s="129">
        <v>46199</v>
      </c>
      <c r="R752" s="130">
        <f t="shared" si="90"/>
        <v>46199</v>
      </c>
      <c r="S752" s="131">
        <f t="shared" si="93"/>
        <v>0</v>
      </c>
      <c r="T752" s="7" t="s">
        <v>193</v>
      </c>
      <c r="U752" s="7" t="s">
        <v>194</v>
      </c>
      <c r="V752" s="7"/>
      <c r="W752" s="7">
        <v>386.68</v>
      </c>
      <c r="X752" s="132">
        <f t="shared" si="91"/>
        <v>10</v>
      </c>
      <c r="Y752" s="133"/>
      <c r="Z752" s="133"/>
      <c r="AA752" s="133"/>
    </row>
    <row r="753" spans="1:27" hidden="1" x14ac:dyDescent="0.25">
      <c r="A753" s="127">
        <v>858</v>
      </c>
      <c r="B753" s="128" t="str">
        <f t="shared" si="92"/>
        <v>UCQT</v>
      </c>
      <c r="C753" s="128" t="str">
        <f>+VLOOKUP(U753,Ходим!A:B,2,0)</f>
        <v>51107025940051</v>
      </c>
      <c r="D753" s="128" t="str">
        <f>IFERROR(VLOOKUP($B:$B,[20]свод!$A:$AB,3,0)," ")</f>
        <v>Учқўрғон тумани</v>
      </c>
      <c r="E753" s="7" t="s">
        <v>1894</v>
      </c>
      <c r="F753" s="7" t="s">
        <v>8290</v>
      </c>
      <c r="G753" s="134">
        <f t="shared" si="94"/>
        <v>1</v>
      </c>
      <c r="H753" s="134" t="str">
        <f t="shared" si="95"/>
        <v/>
      </c>
      <c r="I753" s="7" t="s">
        <v>158</v>
      </c>
      <c r="J753" s="7" t="s">
        <v>36</v>
      </c>
      <c r="K753" s="7"/>
      <c r="L753" s="7" t="s">
        <v>167</v>
      </c>
      <c r="M753" s="7" t="s">
        <v>4695</v>
      </c>
      <c r="N753" s="7" t="s">
        <v>170</v>
      </c>
      <c r="O753" s="7" t="s">
        <v>162</v>
      </c>
      <c r="P753" s="7" t="s">
        <v>6654</v>
      </c>
      <c r="Q753" s="129">
        <v>46199</v>
      </c>
      <c r="R753" s="130">
        <f t="shared" si="90"/>
        <v>46205</v>
      </c>
      <c r="S753" s="131">
        <f t="shared" si="93"/>
        <v>6</v>
      </c>
      <c r="T753" s="7" t="s">
        <v>390</v>
      </c>
      <c r="U753" s="7" t="s">
        <v>296</v>
      </c>
      <c r="V753" s="7"/>
      <c r="W753" s="7">
        <v>153.5</v>
      </c>
      <c r="X753" s="132">
        <f t="shared" si="91"/>
        <v>10</v>
      </c>
      <c r="Y753" s="133"/>
      <c r="Z753" s="133"/>
      <c r="AA753" s="133"/>
    </row>
    <row r="754" spans="1:27" hidden="1" x14ac:dyDescent="0.25">
      <c r="A754" s="127">
        <v>859</v>
      </c>
      <c r="B754" s="128" t="str">
        <f t="shared" si="92"/>
        <v>NAMS</v>
      </c>
      <c r="C754" s="128" t="str">
        <f>+VLOOKUP(U754,Ходим!A:B,2,0)</f>
        <v>30809892160183</v>
      </c>
      <c r="D754" s="128" t="str">
        <f>IFERROR(VLOOKUP($B:$B,[20]свод!$A:$AB,3,0)," ")</f>
        <v>Наманган шаҳар</v>
      </c>
      <c r="E754" s="7" t="s">
        <v>1895</v>
      </c>
      <c r="F754" s="7" t="s">
        <v>8291</v>
      </c>
      <c r="G754" s="134" t="str">
        <f t="shared" si="94"/>
        <v/>
      </c>
      <c r="H754" s="134">
        <f t="shared" si="95"/>
        <v>1</v>
      </c>
      <c r="I754" s="7" t="s">
        <v>157</v>
      </c>
      <c r="J754" s="7" t="s">
        <v>1</v>
      </c>
      <c r="K754" s="7"/>
      <c r="L754" s="7" t="s">
        <v>166</v>
      </c>
      <c r="M754" s="7" t="s">
        <v>4696</v>
      </c>
      <c r="N754" s="7" t="s">
        <v>170</v>
      </c>
      <c r="O754" s="7" t="s">
        <v>161</v>
      </c>
      <c r="P754" s="7" t="s">
        <v>6655</v>
      </c>
      <c r="Q754" s="129">
        <v>46199</v>
      </c>
      <c r="R754" s="130">
        <f t="shared" si="90"/>
        <v>46217</v>
      </c>
      <c r="S754" s="131">
        <f t="shared" si="93"/>
        <v>18</v>
      </c>
      <c r="T754" s="7" t="s">
        <v>227</v>
      </c>
      <c r="U754" s="7" t="s">
        <v>192</v>
      </c>
      <c r="V754" s="7"/>
      <c r="W754" s="7">
        <v>6161.15</v>
      </c>
      <c r="X754" s="132">
        <f t="shared" si="91"/>
        <v>22</v>
      </c>
      <c r="Y754" s="133"/>
      <c r="Z754" s="133"/>
      <c r="AA754" s="133"/>
    </row>
    <row r="755" spans="1:27" x14ac:dyDescent="0.25">
      <c r="A755" s="127">
        <v>860</v>
      </c>
      <c r="B755" s="128" t="str">
        <f t="shared" si="92"/>
        <v>NAMT</v>
      </c>
      <c r="C755" s="128" t="str">
        <f>+VLOOKUP(U755,Ходим!A:B,2,0)</f>
        <v>31702942090041</v>
      </c>
      <c r="D755" s="128" t="str">
        <f>IFERROR(VLOOKUP($B:$B,[20]свод!$A:$AB,3,0)," ")</f>
        <v>Наманган тумани</v>
      </c>
      <c r="E755" s="7" t="s">
        <v>1896</v>
      </c>
      <c r="F755" s="7" t="s">
        <v>8292</v>
      </c>
      <c r="G755" s="134">
        <f t="shared" si="94"/>
        <v>1</v>
      </c>
      <c r="H755" s="134" t="str">
        <f t="shared" si="95"/>
        <v/>
      </c>
      <c r="I755" s="7" t="s">
        <v>158</v>
      </c>
      <c r="J755" s="7" t="s">
        <v>1</v>
      </c>
      <c r="K755" s="7"/>
      <c r="L755" s="7" t="s">
        <v>167</v>
      </c>
      <c r="M755" s="7" t="s">
        <v>4697</v>
      </c>
      <c r="N755" s="7" t="s">
        <v>170</v>
      </c>
      <c r="O755" s="7" t="s">
        <v>162</v>
      </c>
      <c r="P755" s="7" t="s">
        <v>6324</v>
      </c>
      <c r="Q755" s="129">
        <v>46199</v>
      </c>
      <c r="R755" s="130">
        <f t="shared" si="90"/>
        <v>46199</v>
      </c>
      <c r="S755" s="131">
        <f t="shared" si="93"/>
        <v>0</v>
      </c>
      <c r="T755" s="7" t="s">
        <v>193</v>
      </c>
      <c r="U755" s="7" t="s">
        <v>194</v>
      </c>
      <c r="V755" s="7"/>
      <c r="W755" s="7">
        <v>222.11</v>
      </c>
      <c r="X755" s="132">
        <f t="shared" si="91"/>
        <v>10</v>
      </c>
      <c r="Y755" s="133"/>
      <c r="Z755" s="133"/>
      <c r="AA755" s="133"/>
    </row>
    <row r="756" spans="1:27" x14ac:dyDescent="0.25">
      <c r="A756" s="127">
        <v>861</v>
      </c>
      <c r="B756" s="128" t="str">
        <f t="shared" si="92"/>
        <v>NAMT</v>
      </c>
      <c r="C756" s="128" t="str">
        <f>+VLOOKUP(U756,Ходим!A:B,2,0)</f>
        <v>31205812090050</v>
      </c>
      <c r="D756" s="128" t="str">
        <f>IFERROR(VLOOKUP($B:$B,[20]свод!$A:$AB,3,0)," ")</f>
        <v>Наманган тумани</v>
      </c>
      <c r="E756" s="7" t="s">
        <v>1897</v>
      </c>
      <c r="F756" s="7" t="s">
        <v>8293</v>
      </c>
      <c r="G756" s="134">
        <f t="shared" si="94"/>
        <v>1</v>
      </c>
      <c r="H756" s="134" t="str">
        <f t="shared" si="95"/>
        <v/>
      </c>
      <c r="I756" s="7" t="s">
        <v>158</v>
      </c>
      <c r="J756" s="7" t="s">
        <v>1</v>
      </c>
      <c r="K756" s="7"/>
      <c r="L756" s="7" t="s">
        <v>167</v>
      </c>
      <c r="M756" s="7" t="s">
        <v>4698</v>
      </c>
      <c r="N756" s="7" t="s">
        <v>170</v>
      </c>
      <c r="O756" s="7" t="s">
        <v>162</v>
      </c>
      <c r="P756" s="7" t="s">
        <v>6656</v>
      </c>
      <c r="Q756" s="129">
        <v>46199</v>
      </c>
      <c r="R756" s="130">
        <f t="shared" si="90"/>
        <v>46199</v>
      </c>
      <c r="S756" s="131">
        <f t="shared" si="93"/>
        <v>0</v>
      </c>
      <c r="T756" s="7" t="s">
        <v>193</v>
      </c>
      <c r="U756" s="7" t="s">
        <v>346</v>
      </c>
      <c r="V756" s="7"/>
      <c r="W756" s="7">
        <v>504.87</v>
      </c>
      <c r="X756" s="132">
        <f t="shared" si="91"/>
        <v>10</v>
      </c>
      <c r="Y756" s="133"/>
      <c r="Z756" s="133"/>
      <c r="AA756" s="133"/>
    </row>
    <row r="757" spans="1:27" x14ac:dyDescent="0.25">
      <c r="A757" s="127">
        <v>863</v>
      </c>
      <c r="B757" s="128" t="str">
        <f t="shared" si="92"/>
        <v>UCQT</v>
      </c>
      <c r="C757" s="128" t="str">
        <f>+VLOOKUP(U757,Ходим!A:B,2,0)</f>
        <v>31206892150069</v>
      </c>
      <c r="D757" s="128" t="str">
        <f>IFERROR(VLOOKUP($B:$B,[20]свод!$A:$AB,3,0)," ")</f>
        <v>Учқўрғон тумани</v>
      </c>
      <c r="E757" s="7" t="s">
        <v>1898</v>
      </c>
      <c r="F757" s="7" t="s">
        <v>8294</v>
      </c>
      <c r="G757" s="134">
        <f t="shared" si="94"/>
        <v>1</v>
      </c>
      <c r="H757" s="134" t="str">
        <f t="shared" si="95"/>
        <v/>
      </c>
      <c r="I757" s="7" t="s">
        <v>158</v>
      </c>
      <c r="J757" s="7" t="s">
        <v>2</v>
      </c>
      <c r="K757" s="7"/>
      <c r="L757" s="7" t="s">
        <v>167</v>
      </c>
      <c r="M757" s="7" t="s">
        <v>4699</v>
      </c>
      <c r="N757" s="7" t="s">
        <v>170</v>
      </c>
      <c r="O757" s="7" t="s">
        <v>162</v>
      </c>
      <c r="P757" s="7" t="s">
        <v>6657</v>
      </c>
      <c r="Q757" s="129">
        <v>46199</v>
      </c>
      <c r="R757" s="130">
        <f t="shared" si="90"/>
        <v>46199</v>
      </c>
      <c r="S757" s="131">
        <f t="shared" si="93"/>
        <v>0</v>
      </c>
      <c r="T757" s="7" t="s">
        <v>175</v>
      </c>
      <c r="U757" s="7" t="s">
        <v>318</v>
      </c>
      <c r="V757" s="7"/>
      <c r="W757" s="7">
        <v>211.5</v>
      </c>
      <c r="X757" s="132">
        <f t="shared" si="91"/>
        <v>10</v>
      </c>
      <c r="Y757" s="133"/>
      <c r="Z757" s="133"/>
      <c r="AA757" s="133"/>
    </row>
    <row r="758" spans="1:27" x14ac:dyDescent="0.25">
      <c r="A758" s="127">
        <v>864</v>
      </c>
      <c r="B758" s="128" t="str">
        <f t="shared" si="92"/>
        <v>UCQT</v>
      </c>
      <c r="C758" s="128" t="str">
        <f>+VLOOKUP(U758,Ходим!A:B,2,0)</f>
        <v>30307955940049</v>
      </c>
      <c r="D758" s="128" t="str">
        <f>IFERROR(VLOOKUP($B:$B,[20]свод!$A:$AB,3,0)," ")</f>
        <v>Учқўрғон тумани</v>
      </c>
      <c r="E758" s="7" t="s">
        <v>1899</v>
      </c>
      <c r="F758" s="7" t="s">
        <v>8295</v>
      </c>
      <c r="G758" s="134">
        <f t="shared" si="94"/>
        <v>1</v>
      </c>
      <c r="H758" s="134" t="str">
        <f t="shared" si="95"/>
        <v/>
      </c>
      <c r="I758" s="7" t="s">
        <v>158</v>
      </c>
      <c r="J758" s="7" t="s">
        <v>2</v>
      </c>
      <c r="K758" s="7"/>
      <c r="L758" s="7" t="s">
        <v>167</v>
      </c>
      <c r="M758" s="7" t="s">
        <v>4700</v>
      </c>
      <c r="N758" s="7" t="s">
        <v>170</v>
      </c>
      <c r="O758" s="7" t="s">
        <v>162</v>
      </c>
      <c r="P758" s="7" t="s">
        <v>6655</v>
      </c>
      <c r="Q758" s="129">
        <v>46199</v>
      </c>
      <c r="R758" s="130">
        <f t="shared" si="90"/>
        <v>46199</v>
      </c>
      <c r="S758" s="131">
        <f t="shared" si="93"/>
        <v>0</v>
      </c>
      <c r="T758" s="7" t="s">
        <v>390</v>
      </c>
      <c r="U758" s="7" t="s">
        <v>306</v>
      </c>
      <c r="V758" s="7"/>
      <c r="W758" s="7">
        <v>22</v>
      </c>
      <c r="X758" s="132">
        <f t="shared" si="91"/>
        <v>10</v>
      </c>
      <c r="Y758" s="133"/>
      <c r="Z758" s="133"/>
      <c r="AA758" s="133"/>
    </row>
    <row r="759" spans="1:27" hidden="1" x14ac:dyDescent="0.25">
      <c r="A759" s="127">
        <v>865</v>
      </c>
      <c r="B759" s="128" t="str">
        <f t="shared" si="92"/>
        <v>NAMS</v>
      </c>
      <c r="C759" s="128" t="str">
        <f>+VLOOKUP(U759,Ходим!A:B,2,0)</f>
        <v>32207925880019</v>
      </c>
      <c r="D759" s="128" t="str">
        <f>IFERROR(VLOOKUP($B:$B,[20]свод!$A:$AB,3,0)," ")</f>
        <v>Наманган шаҳар</v>
      </c>
      <c r="E759" s="7" t="s">
        <v>1900</v>
      </c>
      <c r="F759" s="7" t="s">
        <v>8296</v>
      </c>
      <c r="G759" s="134">
        <f t="shared" si="94"/>
        <v>1</v>
      </c>
      <c r="H759" s="134" t="str">
        <f t="shared" si="95"/>
        <v/>
      </c>
      <c r="I759" s="7" t="s">
        <v>156</v>
      </c>
      <c r="J759" s="7" t="s">
        <v>25</v>
      </c>
      <c r="K759" s="7"/>
      <c r="L759" s="7"/>
      <c r="M759" s="7"/>
      <c r="N759" s="7" t="s">
        <v>170</v>
      </c>
      <c r="O759" s="7" t="s">
        <v>162</v>
      </c>
      <c r="P759" s="7" t="s">
        <v>6658</v>
      </c>
      <c r="Q759" s="129">
        <v>46199</v>
      </c>
      <c r="R759" s="130">
        <f t="shared" si="90"/>
        <v>46211</v>
      </c>
      <c r="S759" s="131">
        <f t="shared" si="93"/>
        <v>12</v>
      </c>
      <c r="T759" s="7" t="s">
        <v>173</v>
      </c>
      <c r="U759" s="7" t="s">
        <v>174</v>
      </c>
      <c r="V759" s="7"/>
      <c r="W759" s="7"/>
      <c r="X759" s="132">
        <f t="shared" si="91"/>
        <v>10</v>
      </c>
      <c r="Y759" s="133"/>
      <c r="Z759" s="133"/>
      <c r="AA759" s="133"/>
    </row>
    <row r="760" spans="1:27" x14ac:dyDescent="0.25">
      <c r="A760" s="127">
        <v>866</v>
      </c>
      <c r="B760" s="128" t="str">
        <f t="shared" si="92"/>
        <v>NORT</v>
      </c>
      <c r="C760" s="128" t="str">
        <f>+VLOOKUP(U760,Ходим!A:B,2,0)</f>
        <v>32907985900051</v>
      </c>
      <c r="D760" s="128" t="str">
        <f>IFERROR(VLOOKUP($B:$B,[20]свод!$A:$AB,3,0)," ")</f>
        <v>Норин тумани</v>
      </c>
      <c r="E760" s="7" t="s">
        <v>1901</v>
      </c>
      <c r="F760" s="7" t="s">
        <v>8297</v>
      </c>
      <c r="G760" s="134">
        <f t="shared" si="94"/>
        <v>1</v>
      </c>
      <c r="H760" s="134" t="str">
        <f t="shared" si="95"/>
        <v/>
      </c>
      <c r="I760" s="7" t="s">
        <v>158</v>
      </c>
      <c r="J760" s="7" t="s">
        <v>1</v>
      </c>
      <c r="K760" s="7"/>
      <c r="L760" s="7" t="s">
        <v>167</v>
      </c>
      <c r="M760" s="7" t="s">
        <v>4701</v>
      </c>
      <c r="N760" s="7" t="s">
        <v>170</v>
      </c>
      <c r="O760" s="7" t="s">
        <v>162</v>
      </c>
      <c r="P760" s="7" t="s">
        <v>6534</v>
      </c>
      <c r="Q760" s="129">
        <v>46199</v>
      </c>
      <c r="R760" s="130">
        <f t="shared" si="90"/>
        <v>46199</v>
      </c>
      <c r="S760" s="131">
        <f t="shared" si="93"/>
        <v>0</v>
      </c>
      <c r="T760" s="7" t="s">
        <v>210</v>
      </c>
      <c r="U760" s="7" t="s">
        <v>293</v>
      </c>
      <c r="V760" s="7"/>
      <c r="W760" s="7">
        <v>249.9</v>
      </c>
      <c r="X760" s="132">
        <f t="shared" si="91"/>
        <v>10</v>
      </c>
      <c r="Y760" s="133"/>
      <c r="Z760" s="133"/>
      <c r="AA760" s="133"/>
    </row>
    <row r="761" spans="1:27" x14ac:dyDescent="0.25">
      <c r="A761" s="127">
        <v>867</v>
      </c>
      <c r="B761" s="128" t="str">
        <f t="shared" si="92"/>
        <v>NAMS</v>
      </c>
      <c r="C761" s="128" t="str">
        <f>+VLOOKUP(U761,Ходим!A:B,2,0)</f>
        <v>53008015960094</v>
      </c>
      <c r="D761" s="128" t="str">
        <f>IFERROR(VLOOKUP($B:$B,[20]свод!$A:$AB,3,0)," ")</f>
        <v>Наманган шаҳар</v>
      </c>
      <c r="E761" s="7" t="s">
        <v>1902</v>
      </c>
      <c r="F761" s="7" t="s">
        <v>8298</v>
      </c>
      <c r="G761" s="134">
        <f t="shared" si="94"/>
        <v>1</v>
      </c>
      <c r="H761" s="134" t="str">
        <f t="shared" si="95"/>
        <v/>
      </c>
      <c r="I761" s="7" t="s">
        <v>158</v>
      </c>
      <c r="J761" s="7" t="s">
        <v>15</v>
      </c>
      <c r="K761" s="7"/>
      <c r="L761" s="7" t="s">
        <v>167</v>
      </c>
      <c r="M761" s="7" t="s">
        <v>381</v>
      </c>
      <c r="N761" s="7" t="s">
        <v>170</v>
      </c>
      <c r="O761" s="7" t="s">
        <v>162</v>
      </c>
      <c r="P761" s="7" t="s">
        <v>6534</v>
      </c>
      <c r="Q761" s="129">
        <v>46199</v>
      </c>
      <c r="R761" s="130">
        <f t="shared" si="90"/>
        <v>46199</v>
      </c>
      <c r="S761" s="131">
        <f t="shared" si="93"/>
        <v>0</v>
      </c>
      <c r="T761" s="7" t="s">
        <v>173</v>
      </c>
      <c r="U761" s="7" t="s">
        <v>403</v>
      </c>
      <c r="V761" s="7"/>
      <c r="W761" s="7">
        <v>0</v>
      </c>
      <c r="X761" s="132">
        <f t="shared" si="91"/>
        <v>10</v>
      </c>
      <c r="Y761" s="133"/>
      <c r="Z761" s="133"/>
      <c r="AA761" s="133"/>
    </row>
    <row r="762" spans="1:27" x14ac:dyDescent="0.25">
      <c r="A762" s="127">
        <v>868</v>
      </c>
      <c r="B762" s="128" t="str">
        <f t="shared" si="92"/>
        <v>UCQT</v>
      </c>
      <c r="C762" s="128" t="str">
        <f>+VLOOKUP(U762,Ходим!A:B,2,0)</f>
        <v>40906955940018</v>
      </c>
      <c r="D762" s="128" t="str">
        <f>IFERROR(VLOOKUP($B:$B,[20]свод!$A:$AB,3,0)," ")</f>
        <v>Учқўрғон тумани</v>
      </c>
      <c r="E762" s="7" t="s">
        <v>1903</v>
      </c>
      <c r="F762" s="7" t="s">
        <v>8299</v>
      </c>
      <c r="G762" s="134">
        <f t="shared" si="94"/>
        <v>1</v>
      </c>
      <c r="H762" s="134" t="str">
        <f t="shared" si="95"/>
        <v/>
      </c>
      <c r="I762" s="7" t="s">
        <v>158</v>
      </c>
      <c r="J762" s="7" t="s">
        <v>36</v>
      </c>
      <c r="K762" s="7"/>
      <c r="L762" s="7" t="s">
        <v>167</v>
      </c>
      <c r="M762" s="7" t="s">
        <v>4702</v>
      </c>
      <c r="N762" s="7" t="s">
        <v>170</v>
      </c>
      <c r="O762" s="7" t="s">
        <v>162</v>
      </c>
      <c r="P762" s="7" t="s">
        <v>6659</v>
      </c>
      <c r="Q762" s="129">
        <v>46199</v>
      </c>
      <c r="R762" s="130">
        <f t="shared" si="90"/>
        <v>46199</v>
      </c>
      <c r="S762" s="131">
        <f t="shared" si="93"/>
        <v>0</v>
      </c>
      <c r="T762" s="7" t="s">
        <v>175</v>
      </c>
      <c r="U762" s="7" t="s">
        <v>330</v>
      </c>
      <c r="V762" s="7"/>
      <c r="W762" s="7">
        <v>255.2</v>
      </c>
      <c r="X762" s="132">
        <f t="shared" si="91"/>
        <v>10</v>
      </c>
      <c r="Y762" s="133"/>
      <c r="Z762" s="133"/>
      <c r="AA762" s="133"/>
    </row>
    <row r="763" spans="1:27" hidden="1" x14ac:dyDescent="0.25">
      <c r="A763" s="127">
        <v>869</v>
      </c>
      <c r="B763" s="128" t="str">
        <f t="shared" si="92"/>
        <v>NAMT</v>
      </c>
      <c r="C763" s="128" t="str">
        <f>+VLOOKUP(U763,Ходим!A:B,2,0)</f>
        <v>50706025880010</v>
      </c>
      <c r="D763" s="128" t="str">
        <f>IFERROR(VLOOKUP($B:$B,[20]свод!$A:$AB,3,0)," ")</f>
        <v>Наманган тумани</v>
      </c>
      <c r="E763" s="7" t="s">
        <v>1904</v>
      </c>
      <c r="F763" s="7" t="s">
        <v>8300</v>
      </c>
      <c r="G763" s="134" t="str">
        <f t="shared" si="94"/>
        <v/>
      </c>
      <c r="H763" s="134">
        <f t="shared" si="95"/>
        <v>1</v>
      </c>
      <c r="I763" s="7" t="s">
        <v>157</v>
      </c>
      <c r="J763" s="7" t="s">
        <v>16</v>
      </c>
      <c r="K763" s="7"/>
      <c r="L763" s="7" t="s">
        <v>166</v>
      </c>
      <c r="M763" s="7" t="s">
        <v>4703</v>
      </c>
      <c r="N763" s="7" t="s">
        <v>410</v>
      </c>
      <c r="O763" s="7" t="s">
        <v>161</v>
      </c>
      <c r="P763" s="7" t="s">
        <v>6660</v>
      </c>
      <c r="Q763" s="129">
        <v>46199</v>
      </c>
      <c r="R763" s="130">
        <f t="shared" si="90"/>
        <v>46202</v>
      </c>
      <c r="S763" s="131">
        <f t="shared" si="93"/>
        <v>3</v>
      </c>
      <c r="T763" s="7" t="s">
        <v>193</v>
      </c>
      <c r="U763" s="7" t="s">
        <v>397</v>
      </c>
      <c r="V763" s="7"/>
      <c r="W763" s="7">
        <v>174.8</v>
      </c>
      <c r="X763" s="132">
        <f t="shared" si="91"/>
        <v>12</v>
      </c>
      <c r="Y763" s="133"/>
      <c r="Z763" s="133"/>
      <c r="AA763" s="133"/>
    </row>
    <row r="764" spans="1:27" hidden="1" x14ac:dyDescent="0.25">
      <c r="A764" s="127">
        <v>870</v>
      </c>
      <c r="B764" s="128" t="str">
        <f t="shared" si="92"/>
        <v>NAMS</v>
      </c>
      <c r="C764" s="128" t="str">
        <f>+VLOOKUP(U764,Ходим!A:B,2,0)</f>
        <v>51110025960044</v>
      </c>
      <c r="D764" s="128" t="str">
        <f>IFERROR(VLOOKUP($B:$B,[20]свод!$A:$AB,3,0)," ")</f>
        <v>Наманган шаҳар</v>
      </c>
      <c r="E764" s="7" t="s">
        <v>1905</v>
      </c>
      <c r="F764" s="7" t="s">
        <v>8301</v>
      </c>
      <c r="G764" s="134">
        <f t="shared" si="94"/>
        <v>1</v>
      </c>
      <c r="H764" s="134" t="str">
        <f t="shared" si="95"/>
        <v/>
      </c>
      <c r="I764" s="7" t="s">
        <v>158</v>
      </c>
      <c r="J764" s="7" t="s">
        <v>13</v>
      </c>
      <c r="K764" s="7"/>
      <c r="L764" s="7" t="s">
        <v>167</v>
      </c>
      <c r="M764" s="7" t="s">
        <v>4704</v>
      </c>
      <c r="N764" s="7" t="s">
        <v>410</v>
      </c>
      <c r="O764" s="7" t="s">
        <v>162</v>
      </c>
      <c r="P764" s="7" t="s">
        <v>6661</v>
      </c>
      <c r="Q764" s="129">
        <v>46199</v>
      </c>
      <c r="R764" s="130">
        <f t="shared" si="90"/>
        <v>46205</v>
      </c>
      <c r="S764" s="131">
        <f t="shared" si="93"/>
        <v>6</v>
      </c>
      <c r="T764" s="7" t="s">
        <v>185</v>
      </c>
      <c r="U764" s="7" t="s">
        <v>294</v>
      </c>
      <c r="V764" s="7"/>
      <c r="W764" s="7">
        <v>232.92</v>
      </c>
      <c r="X764" s="132">
        <f t="shared" si="91"/>
        <v>10</v>
      </c>
      <c r="Y764" s="133"/>
      <c r="Z764" s="133"/>
      <c r="AA764" s="133"/>
    </row>
    <row r="765" spans="1:27" hidden="1" x14ac:dyDescent="0.25">
      <c r="A765" s="127">
        <v>871</v>
      </c>
      <c r="B765" s="128" t="str">
        <f t="shared" si="92"/>
        <v>CHUT</v>
      </c>
      <c r="C765" s="128" t="str">
        <f>+VLOOKUP(U765,Ходим!A:B,2,0)</f>
        <v>30901882180031</v>
      </c>
      <c r="D765" s="128" t="str">
        <f>IFERROR(VLOOKUP($B:$B,[20]свод!$A:$AB,3,0)," ")</f>
        <v>Чуст тумани</v>
      </c>
      <c r="E765" s="7" t="s">
        <v>1906</v>
      </c>
      <c r="F765" s="7" t="s">
        <v>8302</v>
      </c>
      <c r="G765" s="134">
        <f t="shared" si="94"/>
        <v>1</v>
      </c>
      <c r="H765" s="134" t="str">
        <f t="shared" si="95"/>
        <v/>
      </c>
      <c r="I765" s="7" t="s">
        <v>158</v>
      </c>
      <c r="J765" s="7" t="s">
        <v>172</v>
      </c>
      <c r="K765" s="7"/>
      <c r="L765" s="7" t="s">
        <v>167</v>
      </c>
      <c r="M765" s="7" t="s">
        <v>4705</v>
      </c>
      <c r="N765" s="7" t="s">
        <v>410</v>
      </c>
      <c r="O765" s="7" t="s">
        <v>162</v>
      </c>
      <c r="P765" s="7" t="s">
        <v>6662</v>
      </c>
      <c r="Q765" s="129">
        <v>46199</v>
      </c>
      <c r="R765" s="130">
        <f t="shared" si="90"/>
        <v>46203</v>
      </c>
      <c r="S765" s="131">
        <f t="shared" si="93"/>
        <v>4</v>
      </c>
      <c r="T765" s="7" t="s">
        <v>178</v>
      </c>
      <c r="U765" s="7" t="s">
        <v>238</v>
      </c>
      <c r="V765" s="7"/>
      <c r="W765" s="7">
        <v>173.2</v>
      </c>
      <c r="X765" s="132">
        <f t="shared" si="91"/>
        <v>10</v>
      </c>
      <c r="Y765" s="133"/>
      <c r="Z765" s="133"/>
      <c r="AA765" s="133"/>
    </row>
    <row r="766" spans="1:27" hidden="1" x14ac:dyDescent="0.25">
      <c r="A766" s="127">
        <v>872</v>
      </c>
      <c r="B766" s="128" t="str">
        <f t="shared" si="92"/>
        <v>NORT</v>
      </c>
      <c r="C766" s="128" t="str">
        <f>+VLOOKUP(U766,Ходим!A:B,2,0)</f>
        <v>31609962110019</v>
      </c>
      <c r="D766" s="128" t="str">
        <f>IFERROR(VLOOKUP($B:$B,[20]свод!$A:$AB,3,0)," ")</f>
        <v>Норин тумани</v>
      </c>
      <c r="E766" s="7" t="s">
        <v>1907</v>
      </c>
      <c r="F766" s="7" t="s">
        <v>8303</v>
      </c>
      <c r="G766" s="134">
        <f t="shared" si="94"/>
        <v>1</v>
      </c>
      <c r="H766" s="134" t="str">
        <f t="shared" si="95"/>
        <v/>
      </c>
      <c r="I766" s="7" t="s">
        <v>158</v>
      </c>
      <c r="J766" s="7" t="s">
        <v>36</v>
      </c>
      <c r="K766" s="7"/>
      <c r="L766" s="7" t="s">
        <v>167</v>
      </c>
      <c r="M766" s="7" t="s">
        <v>4706</v>
      </c>
      <c r="N766" s="7" t="s">
        <v>410</v>
      </c>
      <c r="O766" s="7" t="s">
        <v>162</v>
      </c>
      <c r="P766" s="7" t="s">
        <v>6663</v>
      </c>
      <c r="Q766" s="129">
        <v>46199</v>
      </c>
      <c r="R766" s="130">
        <f t="shared" si="90"/>
        <v>46211</v>
      </c>
      <c r="S766" s="131">
        <f t="shared" si="93"/>
        <v>12</v>
      </c>
      <c r="T766" s="7" t="s">
        <v>210</v>
      </c>
      <c r="U766" s="7" t="s">
        <v>355</v>
      </c>
      <c r="V766" s="7"/>
      <c r="W766" s="7">
        <v>0</v>
      </c>
      <c r="X766" s="132">
        <f t="shared" si="91"/>
        <v>10</v>
      </c>
      <c r="Y766" s="133"/>
      <c r="Z766" s="133"/>
      <c r="AA766" s="133"/>
    </row>
    <row r="767" spans="1:27" hidden="1" x14ac:dyDescent="0.25">
      <c r="A767" s="127">
        <v>873</v>
      </c>
      <c r="B767" s="128" t="str">
        <f t="shared" si="92"/>
        <v>NAMS</v>
      </c>
      <c r="C767" s="128" t="str">
        <f>+VLOOKUP(U767,Ходим!A:B,2,0)</f>
        <v>31309932190035</v>
      </c>
      <c r="D767" s="128" t="str">
        <f>IFERROR(VLOOKUP($B:$B,[20]свод!$A:$AB,3,0)," ")</f>
        <v>Наманган шаҳар</v>
      </c>
      <c r="E767" s="7" t="s">
        <v>1908</v>
      </c>
      <c r="F767" s="7" t="s">
        <v>8304</v>
      </c>
      <c r="G767" s="134">
        <f t="shared" si="94"/>
        <v>1</v>
      </c>
      <c r="H767" s="134" t="str">
        <f t="shared" si="95"/>
        <v/>
      </c>
      <c r="I767" s="7" t="s">
        <v>156</v>
      </c>
      <c r="J767" s="7" t="s">
        <v>25</v>
      </c>
      <c r="K767" s="7"/>
      <c r="L767" s="7"/>
      <c r="M767" s="7"/>
      <c r="N767" s="7" t="s">
        <v>170</v>
      </c>
      <c r="O767" s="7" t="s">
        <v>162</v>
      </c>
      <c r="P767" s="7" t="s">
        <v>6663</v>
      </c>
      <c r="Q767" s="129">
        <v>46199</v>
      </c>
      <c r="R767" s="130">
        <f t="shared" si="90"/>
        <v>46211</v>
      </c>
      <c r="S767" s="131">
        <f t="shared" si="93"/>
        <v>12</v>
      </c>
      <c r="T767" s="7" t="s">
        <v>173</v>
      </c>
      <c r="U767" s="7" t="s">
        <v>237</v>
      </c>
      <c r="V767" s="7"/>
      <c r="W767" s="7"/>
      <c r="X767" s="132">
        <f t="shared" si="91"/>
        <v>10</v>
      </c>
      <c r="Y767" s="133"/>
      <c r="Z767" s="133"/>
      <c r="AA767" s="133"/>
    </row>
    <row r="768" spans="1:27" x14ac:dyDescent="0.25">
      <c r="A768" s="127">
        <v>874</v>
      </c>
      <c r="B768" s="128" t="str">
        <f t="shared" si="92"/>
        <v>CHOT</v>
      </c>
      <c r="C768" s="128" t="str">
        <f>+VLOOKUP(U768,Ходим!A:B,2,0)</f>
        <v>32906975890046</v>
      </c>
      <c r="D768" s="128" t="str">
        <f>IFERROR(VLOOKUP($B:$B,[20]свод!$A:$AB,3,0)," ")</f>
        <v>Чортоқ тумани</v>
      </c>
      <c r="E768" s="7" t="s">
        <v>1909</v>
      </c>
      <c r="F768" s="7" t="s">
        <v>8305</v>
      </c>
      <c r="G768" s="134">
        <f t="shared" si="94"/>
        <v>1</v>
      </c>
      <c r="H768" s="134" t="str">
        <f t="shared" si="95"/>
        <v/>
      </c>
      <c r="I768" s="7" t="s">
        <v>158</v>
      </c>
      <c r="J768" s="7" t="s">
        <v>172</v>
      </c>
      <c r="K768" s="7"/>
      <c r="L768" s="7"/>
      <c r="M768" s="7"/>
      <c r="N768" s="7" t="s">
        <v>410</v>
      </c>
      <c r="O768" s="7" t="s">
        <v>162</v>
      </c>
      <c r="P768" s="7" t="s">
        <v>6664</v>
      </c>
      <c r="Q768" s="129">
        <v>46199</v>
      </c>
      <c r="R768" s="130">
        <f t="shared" si="90"/>
        <v>46199</v>
      </c>
      <c r="S768" s="131">
        <f t="shared" si="93"/>
        <v>0</v>
      </c>
      <c r="T768" s="7" t="s">
        <v>184</v>
      </c>
      <c r="U768" s="7" t="s">
        <v>335</v>
      </c>
      <c r="V768" s="7"/>
      <c r="W768" s="7"/>
      <c r="X768" s="132">
        <f t="shared" si="91"/>
        <v>10</v>
      </c>
      <c r="Y768" s="133"/>
      <c r="Z768" s="133"/>
      <c r="AA768" s="133"/>
    </row>
    <row r="769" spans="1:27" x14ac:dyDescent="0.25">
      <c r="A769" s="127">
        <v>875</v>
      </c>
      <c r="B769" s="128" t="str">
        <f t="shared" si="92"/>
        <v>UCQT</v>
      </c>
      <c r="C769" s="128" t="str">
        <f>+VLOOKUP(U769,Ходим!A:B,2,0)</f>
        <v>32805962150027</v>
      </c>
      <c r="D769" s="128" t="str">
        <f>IFERROR(VLOOKUP($B:$B,[20]свод!$A:$AB,3,0)," ")</f>
        <v>Учқўрғон тумани</v>
      </c>
      <c r="E769" s="7" t="s">
        <v>1910</v>
      </c>
      <c r="F769" s="7" t="s">
        <v>8306</v>
      </c>
      <c r="G769" s="134">
        <f t="shared" si="94"/>
        <v>1</v>
      </c>
      <c r="H769" s="134" t="str">
        <f t="shared" si="95"/>
        <v/>
      </c>
      <c r="I769" s="7" t="s">
        <v>158</v>
      </c>
      <c r="J769" s="7" t="s">
        <v>2</v>
      </c>
      <c r="K769" s="7"/>
      <c r="L769" s="7" t="s">
        <v>167</v>
      </c>
      <c r="M769" s="7" t="s">
        <v>4707</v>
      </c>
      <c r="N769" s="7" t="s">
        <v>170</v>
      </c>
      <c r="O769" s="7" t="s">
        <v>162</v>
      </c>
      <c r="P769" s="7" t="s">
        <v>6665</v>
      </c>
      <c r="Q769" s="129">
        <v>46199</v>
      </c>
      <c r="R769" s="130">
        <f t="shared" si="90"/>
        <v>46199</v>
      </c>
      <c r="S769" s="131">
        <f t="shared" si="93"/>
        <v>0</v>
      </c>
      <c r="T769" s="7" t="s">
        <v>175</v>
      </c>
      <c r="U769" s="7" t="s">
        <v>369</v>
      </c>
      <c r="V769" s="7"/>
      <c r="W769" s="7">
        <v>303.35000000000002</v>
      </c>
      <c r="X769" s="132">
        <f t="shared" si="91"/>
        <v>10</v>
      </c>
      <c r="Y769" s="133"/>
      <c r="Z769" s="133"/>
      <c r="AA769" s="133"/>
    </row>
    <row r="770" spans="1:27" x14ac:dyDescent="0.25">
      <c r="A770" s="127">
        <v>876</v>
      </c>
      <c r="B770" s="128" t="str">
        <f t="shared" si="92"/>
        <v>TORT</v>
      </c>
      <c r="C770" s="128" t="str">
        <f>+VLOOKUP(U770,Ходим!A:B,2,0)</f>
        <v>52603025920015</v>
      </c>
      <c r="D770" s="128" t="str">
        <f>IFERROR(VLOOKUP($B:$B,[20]свод!$A:$AB,3,0)," ")</f>
        <v>Тўрақўрғон тумани</v>
      </c>
      <c r="E770" s="7" t="s">
        <v>1911</v>
      </c>
      <c r="F770" s="7" t="s">
        <v>8307</v>
      </c>
      <c r="G770" s="134">
        <f t="shared" si="94"/>
        <v>1</v>
      </c>
      <c r="H770" s="134" t="str">
        <f t="shared" si="95"/>
        <v/>
      </c>
      <c r="I770" s="7" t="s">
        <v>158</v>
      </c>
      <c r="J770" s="7" t="s">
        <v>1</v>
      </c>
      <c r="K770" s="7"/>
      <c r="L770" s="7" t="s">
        <v>167</v>
      </c>
      <c r="M770" s="7" t="s">
        <v>4708</v>
      </c>
      <c r="N770" s="7" t="s">
        <v>170</v>
      </c>
      <c r="O770" s="7" t="s">
        <v>162</v>
      </c>
      <c r="P770" s="7" t="s">
        <v>6666</v>
      </c>
      <c r="Q770" s="129">
        <v>46199</v>
      </c>
      <c r="R770" s="130">
        <f t="shared" si="90"/>
        <v>46199</v>
      </c>
      <c r="S770" s="131">
        <f t="shared" si="93"/>
        <v>0</v>
      </c>
      <c r="T770" s="7" t="s">
        <v>203</v>
      </c>
      <c r="U770" s="7" t="s">
        <v>374</v>
      </c>
      <c r="V770" s="7"/>
      <c r="W770" s="7">
        <v>116.48</v>
      </c>
      <c r="X770" s="132">
        <f t="shared" si="91"/>
        <v>10</v>
      </c>
      <c r="Y770" s="133"/>
      <c r="Z770" s="133"/>
      <c r="AA770" s="133"/>
    </row>
    <row r="771" spans="1:27" hidden="1" x14ac:dyDescent="0.25">
      <c r="A771" s="127">
        <v>877</v>
      </c>
      <c r="B771" s="128" t="str">
        <f t="shared" si="92"/>
        <v>YGQT</v>
      </c>
      <c r="C771" s="128" t="str">
        <f>+VLOOKUP(U771,Ходим!A:B,2,0)</f>
        <v>30809995950021</v>
      </c>
      <c r="D771" s="128" t="str">
        <f>IFERROR(VLOOKUP($B:$B,[20]свод!$A:$AB,3,0)," ")</f>
        <v>Янгиқўрғон тумани</v>
      </c>
      <c r="E771" s="7" t="s">
        <v>1912</v>
      </c>
      <c r="F771" s="7" t="s">
        <v>8308</v>
      </c>
      <c r="G771" s="134">
        <f t="shared" si="94"/>
        <v>1</v>
      </c>
      <c r="H771" s="134" t="str">
        <f t="shared" si="95"/>
        <v/>
      </c>
      <c r="I771" s="7" t="s">
        <v>154</v>
      </c>
      <c r="J771" s="7" t="s">
        <v>2</v>
      </c>
      <c r="K771" s="7"/>
      <c r="L771" s="7"/>
      <c r="M771" s="7"/>
      <c r="N771" s="7" t="s">
        <v>410</v>
      </c>
      <c r="O771" s="7" t="s">
        <v>162</v>
      </c>
      <c r="P771" s="7" t="s">
        <v>6667</v>
      </c>
      <c r="Q771" s="129">
        <v>46199</v>
      </c>
      <c r="R771" s="130">
        <f t="shared" si="90"/>
        <v>46210</v>
      </c>
      <c r="S771" s="131">
        <f t="shared" si="93"/>
        <v>11</v>
      </c>
      <c r="T771" s="7" t="s">
        <v>182</v>
      </c>
      <c r="U771" s="7" t="s">
        <v>223</v>
      </c>
      <c r="V771" s="7"/>
      <c r="W771" s="7"/>
      <c r="X771" s="132">
        <f t="shared" si="91"/>
        <v>10</v>
      </c>
      <c r="Y771" s="133"/>
      <c r="Z771" s="133"/>
      <c r="AA771" s="133"/>
    </row>
    <row r="772" spans="1:27" hidden="1" x14ac:dyDescent="0.25">
      <c r="A772" s="127">
        <v>878</v>
      </c>
      <c r="B772" s="128" t="str">
        <f t="shared" si="92"/>
        <v>NAMS</v>
      </c>
      <c r="C772" s="128" t="str">
        <f>+VLOOKUP(U772,Ходим!A:B,2,0)</f>
        <v>31309932190035</v>
      </c>
      <c r="D772" s="128" t="str">
        <f>IFERROR(VLOOKUP($B:$B,[20]свод!$A:$AB,3,0)," ")</f>
        <v>Наманган шаҳар</v>
      </c>
      <c r="E772" s="7" t="s">
        <v>1913</v>
      </c>
      <c r="F772" s="7" t="s">
        <v>8309</v>
      </c>
      <c r="G772" s="134">
        <f t="shared" si="94"/>
        <v>1</v>
      </c>
      <c r="H772" s="134" t="str">
        <f t="shared" si="95"/>
        <v/>
      </c>
      <c r="I772" s="7" t="s">
        <v>158</v>
      </c>
      <c r="J772" s="7" t="s">
        <v>1</v>
      </c>
      <c r="K772" s="7"/>
      <c r="L772" s="7" t="s">
        <v>167</v>
      </c>
      <c r="M772" s="7" t="s">
        <v>4709</v>
      </c>
      <c r="N772" s="7" t="s">
        <v>170</v>
      </c>
      <c r="O772" s="7" t="s">
        <v>162</v>
      </c>
      <c r="P772" s="7" t="s">
        <v>6668</v>
      </c>
      <c r="Q772" s="129">
        <v>46199</v>
      </c>
      <c r="R772" s="130">
        <f t="shared" si="90"/>
        <v>46204</v>
      </c>
      <c r="S772" s="131">
        <f t="shared" si="93"/>
        <v>5</v>
      </c>
      <c r="T772" s="7" t="s">
        <v>185</v>
      </c>
      <c r="U772" s="7" t="s">
        <v>237</v>
      </c>
      <c r="V772" s="7"/>
      <c r="W772" s="7">
        <v>540.84</v>
      </c>
      <c r="X772" s="132">
        <f t="shared" si="91"/>
        <v>10</v>
      </c>
      <c r="Y772" s="133"/>
      <c r="Z772" s="133"/>
      <c r="AA772" s="133"/>
    </row>
    <row r="773" spans="1:27" x14ac:dyDescent="0.25">
      <c r="A773" s="127">
        <v>879</v>
      </c>
      <c r="B773" s="128" t="str">
        <f t="shared" si="92"/>
        <v>TORT</v>
      </c>
      <c r="C773" s="128" t="str">
        <f>+VLOOKUP(U773,Ходим!A:B,2,0)</f>
        <v>40302922130046</v>
      </c>
      <c r="D773" s="128" t="str">
        <f>IFERROR(VLOOKUP($B:$B,[20]свод!$A:$AB,3,0)," ")</f>
        <v>Тўрақўрғон тумани</v>
      </c>
      <c r="E773" s="7" t="s">
        <v>1914</v>
      </c>
      <c r="F773" s="7" t="s">
        <v>8310</v>
      </c>
      <c r="G773" s="134">
        <f t="shared" si="94"/>
        <v>1</v>
      </c>
      <c r="H773" s="134" t="str">
        <f t="shared" si="95"/>
        <v/>
      </c>
      <c r="I773" s="7" t="s">
        <v>158</v>
      </c>
      <c r="J773" s="7" t="s">
        <v>1</v>
      </c>
      <c r="K773" s="7"/>
      <c r="L773" s="7" t="s">
        <v>167</v>
      </c>
      <c r="M773" s="7" t="s">
        <v>1001</v>
      </c>
      <c r="N773" s="7" t="s">
        <v>410</v>
      </c>
      <c r="O773" s="7" t="s">
        <v>162</v>
      </c>
      <c r="P773" s="7" t="s">
        <v>6664</v>
      </c>
      <c r="Q773" s="129">
        <v>46199</v>
      </c>
      <c r="R773" s="130">
        <f t="shared" si="90"/>
        <v>46199</v>
      </c>
      <c r="S773" s="131">
        <f t="shared" si="93"/>
        <v>0</v>
      </c>
      <c r="T773" s="7" t="s">
        <v>203</v>
      </c>
      <c r="U773" s="7" t="s">
        <v>258</v>
      </c>
      <c r="V773" s="7"/>
      <c r="W773" s="7">
        <v>400.97</v>
      </c>
      <c r="X773" s="132">
        <f t="shared" si="91"/>
        <v>10</v>
      </c>
      <c r="Y773" s="133"/>
      <c r="Z773" s="133"/>
      <c r="AA773" s="133"/>
    </row>
    <row r="774" spans="1:27" hidden="1" x14ac:dyDescent="0.25">
      <c r="A774" s="127">
        <v>880</v>
      </c>
      <c r="B774" s="128" t="str">
        <f t="shared" si="92"/>
        <v>UYCT</v>
      </c>
      <c r="C774" s="128" t="str">
        <f>+VLOOKUP(U774,Ходим!A:B,2,0)</f>
        <v>51501005930032</v>
      </c>
      <c r="D774" s="128" t="str">
        <f>IFERROR(VLOOKUP($B:$B,[20]свод!$A:$AB,3,0)," ")</f>
        <v>Уйчи тумани</v>
      </c>
      <c r="E774" s="7" t="s">
        <v>1915</v>
      </c>
      <c r="F774" s="7" t="s">
        <v>8311</v>
      </c>
      <c r="G774" s="134" t="str">
        <f t="shared" si="94"/>
        <v/>
      </c>
      <c r="H774" s="134">
        <f t="shared" si="95"/>
        <v>1</v>
      </c>
      <c r="I774" s="7" t="s">
        <v>157</v>
      </c>
      <c r="J774" s="7" t="s">
        <v>2</v>
      </c>
      <c r="K774" s="7"/>
      <c r="L774" s="7" t="s">
        <v>166</v>
      </c>
      <c r="M774" s="7" t="s">
        <v>4710</v>
      </c>
      <c r="N774" s="7" t="s">
        <v>170</v>
      </c>
      <c r="O774" s="7" t="s">
        <v>161</v>
      </c>
      <c r="P774" s="7" t="s">
        <v>6669</v>
      </c>
      <c r="Q774" s="129">
        <v>46199</v>
      </c>
      <c r="R774" s="130">
        <f t="shared" si="90"/>
        <v>46212</v>
      </c>
      <c r="S774" s="131">
        <f t="shared" si="93"/>
        <v>13</v>
      </c>
      <c r="T774" s="7" t="s">
        <v>947</v>
      </c>
      <c r="U774" s="7" t="s">
        <v>326</v>
      </c>
      <c r="V774" s="7"/>
      <c r="W774" s="7">
        <v>263.69</v>
      </c>
      <c r="X774" s="132">
        <f t="shared" si="91"/>
        <v>12</v>
      </c>
      <c r="Y774" s="133"/>
      <c r="Z774" s="133"/>
      <c r="AA774" s="133"/>
    </row>
    <row r="775" spans="1:27" hidden="1" x14ac:dyDescent="0.25">
      <c r="A775" s="127">
        <v>881</v>
      </c>
      <c r="B775" s="128" t="str">
        <f t="shared" si="92"/>
        <v>YGQT</v>
      </c>
      <c r="C775" s="128" t="str">
        <f>+VLOOKUP(U775,Ходим!A:B,2,0)</f>
        <v>30903902160122</v>
      </c>
      <c r="D775" s="128" t="str">
        <f>IFERROR(VLOOKUP($B:$B,[20]свод!$A:$AB,3,0)," ")</f>
        <v>Янгиқўрғон тумани</v>
      </c>
      <c r="E775" s="7" t="s">
        <v>1916</v>
      </c>
      <c r="F775" s="7" t="s">
        <v>8312</v>
      </c>
      <c r="G775" s="134">
        <f t="shared" si="94"/>
        <v>1</v>
      </c>
      <c r="H775" s="134" t="str">
        <f t="shared" si="95"/>
        <v/>
      </c>
      <c r="I775" s="7" t="s">
        <v>158</v>
      </c>
      <c r="J775" s="7" t="s">
        <v>1</v>
      </c>
      <c r="K775" s="7"/>
      <c r="L775" s="7" t="s">
        <v>167</v>
      </c>
      <c r="M775" s="7" t="s">
        <v>4711</v>
      </c>
      <c r="N775" s="7" t="s">
        <v>170</v>
      </c>
      <c r="O775" s="7" t="s">
        <v>162</v>
      </c>
      <c r="P775" s="7" t="s">
        <v>6308</v>
      </c>
      <c r="Q775" s="129">
        <v>46199</v>
      </c>
      <c r="R775" s="130">
        <f t="shared" si="90"/>
        <v>46210</v>
      </c>
      <c r="S775" s="131">
        <f t="shared" si="93"/>
        <v>11</v>
      </c>
      <c r="T775" s="7" t="s">
        <v>255</v>
      </c>
      <c r="U775" s="7" t="s">
        <v>230</v>
      </c>
      <c r="V775" s="7"/>
      <c r="W775" s="7">
        <v>414.98</v>
      </c>
      <c r="X775" s="132">
        <f t="shared" si="91"/>
        <v>10</v>
      </c>
      <c r="Y775" s="133"/>
      <c r="Z775" s="133"/>
      <c r="AA775" s="133"/>
    </row>
    <row r="776" spans="1:27" x14ac:dyDescent="0.25">
      <c r="A776" s="127">
        <v>882</v>
      </c>
      <c r="B776" s="128" t="str">
        <f t="shared" si="92"/>
        <v>UYCT</v>
      </c>
      <c r="C776" s="128" t="str">
        <f>+VLOOKUP(U776,Ходим!A:B,2,0)</f>
        <v>52811025930077</v>
      </c>
      <c r="D776" s="128" t="str">
        <f>IFERROR(VLOOKUP($B:$B,[20]свод!$A:$AB,3,0)," ")</f>
        <v>Уйчи тумани</v>
      </c>
      <c r="E776" s="7" t="s">
        <v>1917</v>
      </c>
      <c r="F776" s="7" t="s">
        <v>8313</v>
      </c>
      <c r="G776" s="134">
        <f t="shared" si="94"/>
        <v>1</v>
      </c>
      <c r="H776" s="134" t="str">
        <f t="shared" si="95"/>
        <v/>
      </c>
      <c r="I776" s="7" t="s">
        <v>158</v>
      </c>
      <c r="J776" s="7" t="s">
        <v>35</v>
      </c>
      <c r="K776" s="7"/>
      <c r="L776" s="7" t="s">
        <v>167</v>
      </c>
      <c r="M776" s="7" t="s">
        <v>4712</v>
      </c>
      <c r="N776" s="7" t="s">
        <v>170</v>
      </c>
      <c r="O776" s="7" t="s">
        <v>162</v>
      </c>
      <c r="P776" s="7" t="s">
        <v>6670</v>
      </c>
      <c r="Q776" s="129">
        <v>46199</v>
      </c>
      <c r="R776" s="130">
        <f t="shared" si="90"/>
        <v>46199</v>
      </c>
      <c r="S776" s="131">
        <f t="shared" si="93"/>
        <v>0</v>
      </c>
      <c r="T776" s="7" t="s">
        <v>947</v>
      </c>
      <c r="U776" s="7" t="s">
        <v>356</v>
      </c>
      <c r="V776" s="7"/>
      <c r="W776" s="7">
        <v>148.19999999999999</v>
      </c>
      <c r="X776" s="132">
        <f t="shared" si="91"/>
        <v>10</v>
      </c>
      <c r="Y776" s="133"/>
      <c r="Z776" s="133"/>
      <c r="AA776" s="133"/>
    </row>
    <row r="777" spans="1:27" x14ac:dyDescent="0.25">
      <c r="A777" s="127">
        <v>883</v>
      </c>
      <c r="B777" s="128" t="str">
        <f t="shared" si="92"/>
        <v>NAMS</v>
      </c>
      <c r="C777" s="128" t="str">
        <f>+VLOOKUP(U777,Ходим!A:B,2,0)</f>
        <v>31007955980023</v>
      </c>
      <c r="D777" s="128" t="str">
        <f>IFERROR(VLOOKUP($B:$B,[20]свод!$A:$AB,3,0)," ")</f>
        <v>Наманган шаҳар</v>
      </c>
      <c r="E777" s="7" t="s">
        <v>1918</v>
      </c>
      <c r="F777" s="7" t="s">
        <v>8314</v>
      </c>
      <c r="G777" s="134">
        <f t="shared" si="94"/>
        <v>1</v>
      </c>
      <c r="H777" s="134" t="str">
        <f t="shared" si="95"/>
        <v/>
      </c>
      <c r="I777" s="7" t="s">
        <v>158</v>
      </c>
      <c r="J777" s="7" t="s">
        <v>1</v>
      </c>
      <c r="K777" s="7"/>
      <c r="L777" s="7" t="s">
        <v>167</v>
      </c>
      <c r="M777" s="7" t="s">
        <v>4713</v>
      </c>
      <c r="N777" s="7" t="s">
        <v>170</v>
      </c>
      <c r="O777" s="7" t="s">
        <v>162</v>
      </c>
      <c r="P777" s="7" t="s">
        <v>6670</v>
      </c>
      <c r="Q777" s="129">
        <v>46199</v>
      </c>
      <c r="R777" s="130">
        <f t="shared" si="90"/>
        <v>46199</v>
      </c>
      <c r="S777" s="131">
        <f t="shared" si="93"/>
        <v>0</v>
      </c>
      <c r="T777" s="7" t="s">
        <v>185</v>
      </c>
      <c r="U777" s="7" t="s">
        <v>207</v>
      </c>
      <c r="V777" s="7"/>
      <c r="W777" s="7">
        <v>418.28</v>
      </c>
      <c r="X777" s="132">
        <f t="shared" si="91"/>
        <v>10</v>
      </c>
      <c r="Y777" s="133"/>
      <c r="Z777" s="133"/>
      <c r="AA777" s="133"/>
    </row>
    <row r="778" spans="1:27" hidden="1" x14ac:dyDescent="0.25">
      <c r="A778" s="127">
        <v>884</v>
      </c>
      <c r="B778" s="128" t="str">
        <f t="shared" si="92"/>
        <v>NORT</v>
      </c>
      <c r="C778" s="128" t="str">
        <f>+VLOOKUP(U778,Ходим!A:B,2,0)</f>
        <v>31609962110019</v>
      </c>
      <c r="D778" s="128" t="str">
        <f>IFERROR(VLOOKUP($B:$B,[20]свод!$A:$AB,3,0)," ")</f>
        <v>Норин тумани</v>
      </c>
      <c r="E778" s="7" t="s">
        <v>1919</v>
      </c>
      <c r="F778" s="7" t="s">
        <v>8315</v>
      </c>
      <c r="G778" s="134">
        <f t="shared" si="94"/>
        <v>1</v>
      </c>
      <c r="H778" s="134" t="str">
        <f t="shared" si="95"/>
        <v/>
      </c>
      <c r="I778" s="7" t="s">
        <v>158</v>
      </c>
      <c r="J778" s="7" t="s">
        <v>2</v>
      </c>
      <c r="K778" s="7"/>
      <c r="L778" s="7" t="s">
        <v>167</v>
      </c>
      <c r="M778" s="7" t="s">
        <v>4714</v>
      </c>
      <c r="N778" s="7" t="s">
        <v>410</v>
      </c>
      <c r="O778" s="7" t="s">
        <v>162</v>
      </c>
      <c r="P778" s="7" t="s">
        <v>6671</v>
      </c>
      <c r="Q778" s="129">
        <v>46199</v>
      </c>
      <c r="R778" s="130">
        <f t="shared" si="90"/>
        <v>46211</v>
      </c>
      <c r="S778" s="131">
        <f t="shared" si="93"/>
        <v>12</v>
      </c>
      <c r="T778" s="7" t="s">
        <v>210</v>
      </c>
      <c r="U778" s="7" t="s">
        <v>355</v>
      </c>
      <c r="V778" s="7"/>
      <c r="W778" s="7">
        <v>222.31</v>
      </c>
      <c r="X778" s="132">
        <f t="shared" si="91"/>
        <v>10</v>
      </c>
      <c r="Y778" s="133"/>
      <c r="Z778" s="133"/>
      <c r="AA778" s="133"/>
    </row>
    <row r="779" spans="1:27" hidden="1" x14ac:dyDescent="0.25">
      <c r="A779" s="127">
        <v>885</v>
      </c>
      <c r="B779" s="128" t="str">
        <f t="shared" si="92"/>
        <v>YGQT</v>
      </c>
      <c r="C779" s="128" t="str">
        <f>+VLOOKUP(U779,Ходим!A:B,2,0)</f>
        <v>50710015950029</v>
      </c>
      <c r="D779" s="128" t="str">
        <f>IFERROR(VLOOKUP($B:$B,[20]свод!$A:$AB,3,0)," ")</f>
        <v>Янгиқўрғон тумани</v>
      </c>
      <c r="E779" s="7" t="s">
        <v>1920</v>
      </c>
      <c r="F779" s="7" t="s">
        <v>8316</v>
      </c>
      <c r="G779" s="134">
        <f t="shared" si="94"/>
        <v>1</v>
      </c>
      <c r="H779" s="134" t="str">
        <f t="shared" si="95"/>
        <v/>
      </c>
      <c r="I779" s="7" t="s">
        <v>156</v>
      </c>
      <c r="J779" s="7" t="s">
        <v>22</v>
      </c>
      <c r="K779" s="7"/>
      <c r="L779" s="7"/>
      <c r="M779" s="7"/>
      <c r="N779" s="7" t="s">
        <v>410</v>
      </c>
      <c r="O779" s="7" t="s">
        <v>162</v>
      </c>
      <c r="P779" s="7" t="s">
        <v>6671</v>
      </c>
      <c r="Q779" s="129">
        <v>46199</v>
      </c>
      <c r="R779" s="130">
        <f t="shared" si="90"/>
        <v>46211</v>
      </c>
      <c r="S779" s="131">
        <f t="shared" si="93"/>
        <v>12</v>
      </c>
      <c r="T779" s="7" t="s">
        <v>255</v>
      </c>
      <c r="U779" s="7" t="s">
        <v>312</v>
      </c>
      <c r="V779" s="7"/>
      <c r="W779" s="7"/>
      <c r="X779" s="132">
        <f t="shared" si="91"/>
        <v>10</v>
      </c>
      <c r="Y779" s="133"/>
      <c r="Z779" s="133"/>
      <c r="AA779" s="133"/>
    </row>
    <row r="780" spans="1:27" hidden="1" x14ac:dyDescent="0.25">
      <c r="A780" s="127">
        <v>886</v>
      </c>
      <c r="B780" s="128" t="str">
        <f t="shared" si="92"/>
        <v>CHUT</v>
      </c>
      <c r="C780" s="128" t="str">
        <f>+VLOOKUP(U780,Ходим!A:B,2,0)</f>
        <v>32006862180015</v>
      </c>
      <c r="D780" s="128" t="str">
        <f>IFERROR(VLOOKUP($B:$B,[20]свод!$A:$AB,3,0)," ")</f>
        <v>Чуст тумани</v>
      </c>
      <c r="E780" s="7" t="s">
        <v>1921</v>
      </c>
      <c r="F780" s="7" t="s">
        <v>8317</v>
      </c>
      <c r="G780" s="134">
        <f t="shared" si="94"/>
        <v>1</v>
      </c>
      <c r="H780" s="134" t="str">
        <f t="shared" si="95"/>
        <v/>
      </c>
      <c r="I780" s="7" t="s">
        <v>158</v>
      </c>
      <c r="J780" s="7" t="s">
        <v>2</v>
      </c>
      <c r="K780" s="7"/>
      <c r="L780" s="7"/>
      <c r="M780" s="7"/>
      <c r="N780" s="7" t="s">
        <v>410</v>
      </c>
      <c r="O780" s="7" t="s">
        <v>162</v>
      </c>
      <c r="P780" s="7" t="s">
        <v>6469</v>
      </c>
      <c r="Q780" s="129">
        <v>46199</v>
      </c>
      <c r="R780" s="130">
        <f t="shared" si="90"/>
        <v>46204</v>
      </c>
      <c r="S780" s="131">
        <f t="shared" si="93"/>
        <v>5</v>
      </c>
      <c r="T780" s="7" t="s">
        <v>178</v>
      </c>
      <c r="U780" s="7" t="s">
        <v>347</v>
      </c>
      <c r="V780" s="7"/>
      <c r="W780" s="7"/>
      <c r="X780" s="132">
        <f t="shared" si="91"/>
        <v>10</v>
      </c>
      <c r="Y780" s="133"/>
      <c r="Z780" s="133"/>
      <c r="AA780" s="133"/>
    </row>
    <row r="781" spans="1:27" x14ac:dyDescent="0.25">
      <c r="A781" s="127">
        <v>887</v>
      </c>
      <c r="B781" s="128" t="str">
        <f t="shared" si="92"/>
        <v>UCQT</v>
      </c>
      <c r="C781" s="128" t="str">
        <f>+VLOOKUP(U781,Ходим!A:B,2,0)</f>
        <v>31402915940019</v>
      </c>
      <c r="D781" s="128" t="str">
        <f>IFERROR(VLOOKUP($B:$B,[20]свод!$A:$AB,3,0)," ")</f>
        <v>Учқўрғон тумани</v>
      </c>
      <c r="E781" s="7" t="s">
        <v>1922</v>
      </c>
      <c r="F781" s="7" t="s">
        <v>8318</v>
      </c>
      <c r="G781" s="134">
        <f t="shared" si="94"/>
        <v>1</v>
      </c>
      <c r="H781" s="134" t="str">
        <f t="shared" si="95"/>
        <v/>
      </c>
      <c r="I781" s="7" t="s">
        <v>158</v>
      </c>
      <c r="J781" s="7" t="s">
        <v>2</v>
      </c>
      <c r="K781" s="7"/>
      <c r="L781" s="7" t="s">
        <v>167</v>
      </c>
      <c r="M781" s="7" t="s">
        <v>4715</v>
      </c>
      <c r="N781" s="7" t="s">
        <v>170</v>
      </c>
      <c r="O781" s="7" t="s">
        <v>162</v>
      </c>
      <c r="P781" s="7" t="s">
        <v>6672</v>
      </c>
      <c r="Q781" s="129">
        <v>46199</v>
      </c>
      <c r="R781" s="130">
        <f t="shared" si="90"/>
        <v>46199</v>
      </c>
      <c r="S781" s="131">
        <f t="shared" si="93"/>
        <v>0</v>
      </c>
      <c r="T781" s="7" t="s">
        <v>175</v>
      </c>
      <c r="U781" s="7" t="s">
        <v>292</v>
      </c>
      <c r="V781" s="7"/>
      <c r="W781" s="7">
        <v>104.97</v>
      </c>
      <c r="X781" s="132">
        <f t="shared" si="91"/>
        <v>10</v>
      </c>
      <c r="Y781" s="133"/>
      <c r="Z781" s="133"/>
      <c r="AA781" s="133"/>
    </row>
    <row r="782" spans="1:27" x14ac:dyDescent="0.25">
      <c r="A782" s="127">
        <v>888</v>
      </c>
      <c r="B782" s="128" t="str">
        <f t="shared" si="92"/>
        <v>TORT</v>
      </c>
      <c r="C782" s="128" t="str">
        <f>+VLOOKUP(U782,Ходим!A:B,2,0)</f>
        <v>30708792130017</v>
      </c>
      <c r="D782" s="128" t="str">
        <f>IFERROR(VLOOKUP($B:$B,[20]свод!$A:$AB,3,0)," ")</f>
        <v>Тўрақўрғон тумани</v>
      </c>
      <c r="E782" s="7" t="s">
        <v>1923</v>
      </c>
      <c r="F782" s="7" t="s">
        <v>8319</v>
      </c>
      <c r="G782" s="134">
        <f t="shared" si="94"/>
        <v>1</v>
      </c>
      <c r="H782" s="134" t="str">
        <f t="shared" si="95"/>
        <v/>
      </c>
      <c r="I782" s="7" t="s">
        <v>158</v>
      </c>
      <c r="J782" s="7" t="s">
        <v>1</v>
      </c>
      <c r="K782" s="7"/>
      <c r="L782" s="7" t="s">
        <v>167</v>
      </c>
      <c r="M782" s="7" t="s">
        <v>4716</v>
      </c>
      <c r="N782" s="7" t="s">
        <v>170</v>
      </c>
      <c r="O782" s="7" t="s">
        <v>162</v>
      </c>
      <c r="P782" s="7" t="s">
        <v>6672</v>
      </c>
      <c r="Q782" s="129">
        <v>46199</v>
      </c>
      <c r="R782" s="130">
        <f t="shared" si="90"/>
        <v>46199</v>
      </c>
      <c r="S782" s="131">
        <f t="shared" si="93"/>
        <v>0</v>
      </c>
      <c r="T782" s="7" t="s">
        <v>203</v>
      </c>
      <c r="U782" s="7" t="s">
        <v>204</v>
      </c>
      <c r="V782" s="7"/>
      <c r="W782" s="7">
        <v>366.8</v>
      </c>
      <c r="X782" s="132">
        <f t="shared" si="91"/>
        <v>10</v>
      </c>
      <c r="Y782" s="133"/>
      <c r="Z782" s="133"/>
      <c r="AA782" s="133"/>
    </row>
    <row r="783" spans="1:27" x14ac:dyDescent="0.25">
      <c r="A783" s="127">
        <v>889</v>
      </c>
      <c r="B783" s="128" t="str">
        <f t="shared" si="92"/>
        <v>NAMS</v>
      </c>
      <c r="C783" s="128" t="str">
        <f>+VLOOKUP(U783,Ходим!A:B,2,0)</f>
        <v>51705025890024</v>
      </c>
      <c r="D783" s="128" t="str">
        <f>IFERROR(VLOOKUP($B:$B,[20]свод!$A:$AB,3,0)," ")</f>
        <v>Наманган шаҳар</v>
      </c>
      <c r="E783" s="7" t="s">
        <v>1924</v>
      </c>
      <c r="F783" s="7" t="s">
        <v>8320</v>
      </c>
      <c r="G783" s="134">
        <f t="shared" si="94"/>
        <v>1</v>
      </c>
      <c r="H783" s="134" t="str">
        <f t="shared" si="95"/>
        <v/>
      </c>
      <c r="I783" s="7" t="s">
        <v>158</v>
      </c>
      <c r="J783" s="7" t="s">
        <v>1</v>
      </c>
      <c r="K783" s="7"/>
      <c r="L783" s="7" t="s">
        <v>167</v>
      </c>
      <c r="M783" s="7" t="s">
        <v>4717</v>
      </c>
      <c r="N783" s="7" t="s">
        <v>170</v>
      </c>
      <c r="O783" s="7" t="s">
        <v>163</v>
      </c>
      <c r="P783" s="7" t="s">
        <v>6673</v>
      </c>
      <c r="Q783" s="129">
        <v>46199</v>
      </c>
      <c r="R783" s="130">
        <f t="shared" si="90"/>
        <v>46199</v>
      </c>
      <c r="S783" s="131">
        <f t="shared" si="93"/>
        <v>0</v>
      </c>
      <c r="T783" s="7" t="s">
        <v>185</v>
      </c>
      <c r="U783" s="7" t="s">
        <v>189</v>
      </c>
      <c r="V783" s="7"/>
      <c r="W783" s="7">
        <v>410.48</v>
      </c>
      <c r="X783" s="132">
        <f t="shared" si="91"/>
        <v>10</v>
      </c>
      <c r="Y783" s="133"/>
      <c r="Z783" s="133"/>
      <c r="AA783" s="133"/>
    </row>
    <row r="784" spans="1:27" x14ac:dyDescent="0.25">
      <c r="A784" s="127">
        <v>890</v>
      </c>
      <c r="B784" s="128" t="str">
        <f t="shared" si="92"/>
        <v>UCQT</v>
      </c>
      <c r="C784" s="128" t="str">
        <f>+VLOOKUP(U784,Ходим!A:B,2,0)</f>
        <v>30307955940049</v>
      </c>
      <c r="D784" s="128" t="str">
        <f>IFERROR(VLOOKUP($B:$B,[20]свод!$A:$AB,3,0)," ")</f>
        <v>Учқўрғон тумани</v>
      </c>
      <c r="E784" s="7" t="s">
        <v>1925</v>
      </c>
      <c r="F784" s="7" t="s">
        <v>8321</v>
      </c>
      <c r="G784" s="134">
        <f t="shared" si="94"/>
        <v>1</v>
      </c>
      <c r="H784" s="134" t="str">
        <f t="shared" si="95"/>
        <v/>
      </c>
      <c r="I784" s="7" t="s">
        <v>158</v>
      </c>
      <c r="J784" s="7" t="s">
        <v>172</v>
      </c>
      <c r="K784" s="7"/>
      <c r="L784" s="7" t="s">
        <v>167</v>
      </c>
      <c r="M784" s="7" t="s">
        <v>4718</v>
      </c>
      <c r="N784" s="7" t="s">
        <v>170</v>
      </c>
      <c r="O784" s="7" t="s">
        <v>162</v>
      </c>
      <c r="P784" s="7" t="s">
        <v>6673</v>
      </c>
      <c r="Q784" s="129">
        <v>46199</v>
      </c>
      <c r="R784" s="130">
        <f t="shared" si="90"/>
        <v>46199</v>
      </c>
      <c r="S784" s="131">
        <f t="shared" si="93"/>
        <v>0</v>
      </c>
      <c r="T784" s="7" t="s">
        <v>390</v>
      </c>
      <c r="U784" s="7" t="s">
        <v>306</v>
      </c>
      <c r="V784" s="7"/>
      <c r="W784" s="7">
        <v>219.48</v>
      </c>
      <c r="X784" s="132">
        <f t="shared" si="91"/>
        <v>10</v>
      </c>
      <c r="Y784" s="133"/>
      <c r="Z784" s="133"/>
      <c r="AA784" s="133"/>
    </row>
    <row r="785" spans="1:27" hidden="1" x14ac:dyDescent="0.25">
      <c r="A785" s="127">
        <v>891</v>
      </c>
      <c r="B785" s="128" t="str">
        <f t="shared" si="92"/>
        <v>CHUT</v>
      </c>
      <c r="C785" s="128" t="str">
        <f>+VLOOKUP(U785,Ходим!A:B,2,0)</f>
        <v>30202885970013</v>
      </c>
      <c r="D785" s="128" t="str">
        <f>IFERROR(VLOOKUP($B:$B,[20]свод!$A:$AB,3,0)," ")</f>
        <v>Чуст тумани</v>
      </c>
      <c r="E785" s="7" t="s">
        <v>1926</v>
      </c>
      <c r="F785" s="7" t="s">
        <v>8322</v>
      </c>
      <c r="G785" s="134">
        <f t="shared" si="94"/>
        <v>1</v>
      </c>
      <c r="H785" s="134" t="str">
        <f t="shared" si="95"/>
        <v/>
      </c>
      <c r="I785" s="7" t="s">
        <v>158</v>
      </c>
      <c r="J785" s="7" t="s">
        <v>172</v>
      </c>
      <c r="K785" s="7"/>
      <c r="L785" s="7" t="s">
        <v>167</v>
      </c>
      <c r="M785" s="7" t="s">
        <v>4719</v>
      </c>
      <c r="N785" s="7" t="s">
        <v>170</v>
      </c>
      <c r="O785" s="7" t="s">
        <v>162</v>
      </c>
      <c r="P785" s="7" t="s">
        <v>6674</v>
      </c>
      <c r="Q785" s="129">
        <v>46199</v>
      </c>
      <c r="R785" s="130">
        <f t="shared" si="90"/>
        <v>46204</v>
      </c>
      <c r="S785" s="131">
        <f t="shared" si="93"/>
        <v>5</v>
      </c>
      <c r="T785" s="7" t="s">
        <v>178</v>
      </c>
      <c r="U785" s="7" t="s">
        <v>289</v>
      </c>
      <c r="V785" s="7"/>
      <c r="W785" s="7">
        <v>36.18</v>
      </c>
      <c r="X785" s="132">
        <f t="shared" si="91"/>
        <v>10</v>
      </c>
      <c r="Y785" s="133"/>
      <c r="Z785" s="133"/>
      <c r="AA785" s="133"/>
    </row>
    <row r="786" spans="1:27" hidden="1" x14ac:dyDescent="0.25">
      <c r="A786" s="127">
        <v>892</v>
      </c>
      <c r="B786" s="128" t="str">
        <f t="shared" si="92"/>
        <v>TORT</v>
      </c>
      <c r="C786" s="128" t="str">
        <f>+VLOOKUP(U786,Ходим!A:B,2,0)</f>
        <v>31306842130078</v>
      </c>
      <c r="D786" s="128" t="str">
        <f>IFERROR(VLOOKUP($B:$B,[20]свод!$A:$AB,3,0)," ")</f>
        <v>Тўрақўрғон тумани</v>
      </c>
      <c r="E786" s="7" t="s">
        <v>1927</v>
      </c>
      <c r="F786" s="7" t="s">
        <v>8323</v>
      </c>
      <c r="G786" s="134">
        <f t="shared" si="94"/>
        <v>1</v>
      </c>
      <c r="H786" s="134" t="str">
        <f t="shared" si="95"/>
        <v/>
      </c>
      <c r="I786" s="7" t="s">
        <v>158</v>
      </c>
      <c r="J786" s="7" t="s">
        <v>2</v>
      </c>
      <c r="K786" s="7"/>
      <c r="L786" s="7" t="s">
        <v>167</v>
      </c>
      <c r="M786" s="7" t="s">
        <v>4720</v>
      </c>
      <c r="N786" s="7" t="s">
        <v>410</v>
      </c>
      <c r="O786" s="7" t="s">
        <v>162</v>
      </c>
      <c r="P786" s="7" t="s">
        <v>6413</v>
      </c>
      <c r="Q786" s="129">
        <v>46199</v>
      </c>
      <c r="R786" s="130">
        <f t="shared" si="90"/>
        <v>46204</v>
      </c>
      <c r="S786" s="131">
        <f t="shared" si="93"/>
        <v>5</v>
      </c>
      <c r="T786" s="7" t="s">
        <v>203</v>
      </c>
      <c r="U786" s="7" t="s">
        <v>219</v>
      </c>
      <c r="V786" s="7"/>
      <c r="W786" s="7">
        <v>216.59</v>
      </c>
      <c r="X786" s="132">
        <f t="shared" si="91"/>
        <v>10</v>
      </c>
      <c r="Y786" s="133"/>
      <c r="Z786" s="133"/>
      <c r="AA786" s="133"/>
    </row>
    <row r="787" spans="1:27" hidden="1" x14ac:dyDescent="0.25">
      <c r="A787" s="127">
        <v>893</v>
      </c>
      <c r="B787" s="128" t="str">
        <f t="shared" ref="B787:B836" si="96">LEFT(E787,4)</f>
        <v>UYCT</v>
      </c>
      <c r="C787" s="128" t="str">
        <f>+VLOOKUP(U787,Ходим!A:B,2,0)</f>
        <v>52811025930077</v>
      </c>
      <c r="D787" s="128" t="str">
        <f>IFERROR(VLOOKUP($B:$B,[20]свод!$A:$AB,3,0)," ")</f>
        <v>Уйчи тумани</v>
      </c>
      <c r="E787" s="7" t="s">
        <v>1928</v>
      </c>
      <c r="F787" s="7" t="s">
        <v>8324</v>
      </c>
      <c r="G787" s="134" t="str">
        <f t="shared" si="94"/>
        <v/>
      </c>
      <c r="H787" s="134">
        <f t="shared" si="95"/>
        <v>1</v>
      </c>
      <c r="I787" s="7" t="s">
        <v>155</v>
      </c>
      <c r="J787" s="7" t="s">
        <v>25</v>
      </c>
      <c r="K787" s="7"/>
      <c r="L787" s="7"/>
      <c r="M787" s="7"/>
      <c r="N787" s="7" t="s">
        <v>170</v>
      </c>
      <c r="O787" s="7" t="s">
        <v>161</v>
      </c>
      <c r="P787" s="7" t="s">
        <v>6495</v>
      </c>
      <c r="Q787" s="129">
        <v>46199</v>
      </c>
      <c r="R787" s="130">
        <f t="shared" si="90"/>
        <v>46211</v>
      </c>
      <c r="S787" s="131">
        <f t="shared" ref="S787:S836" si="97">R787-Q787</f>
        <v>12</v>
      </c>
      <c r="T787" s="7" t="s">
        <v>947</v>
      </c>
      <c r="U787" s="7" t="s">
        <v>356</v>
      </c>
      <c r="V787" s="7"/>
      <c r="W787" s="7"/>
      <c r="X787" s="132">
        <f t="shared" ref="X787:X835" si="98">IF(N787="Kadastr muhandisi",3,
IF(N787="UZKAD",5,
IF(V787="FREE",5,
IF(I787="Registratsiya (tashqi - UZKAD da bor)",1,
IF(I787="Avtoyo'l va suv xo'jaligi obyektining kadastr pasportini shakllantirish va ro'yxatga olish",7,
IF(I787="Notarius uchun ma'lumotnoma (uz)",1,
IF(I787="Qurilishi tugallangan ko'chmas mulkni foydalanishga qabul qilish",10,
IF(OR(I787="Turar joy obyektning kadastr pasportini shakllantirish va davlat ro'yxatidan o'tkazish",I787="Turar kompozit"),
IF(L787="Turar yer maydoni",7,10),
IF(OR(I787="Noturar obyektning kadastr pasportini shakllantirish va davlat ro'yxatidan o'tkazish",I787="Noturar kompozit"),
IF(O787="Ko‘p yillik daraxtlar xizmati",15,
IF(OR(L787="Noturar yer maydoni",L787="Davlat tashkilotlaridan ijaraga olingan yer uchastkasi"),7,
IF(W787&lt;100,10,IF(W787&lt;=1000,12,IF(W787&lt;=5000,17,IF(W787&lt;=15000,22,IF(W787&lt;=50000,28,37))))))),
IF(I787="Umumiy foydalanishdagi ko'chmas mulk qismini yaratish",
IF(IF(TRIM(L787)="",IF(OR(O787="Turar joy xizmati",O787="Yakka tartibdagi turar joy"),"Turar","Noturar"),IF(OR(L787="Yakka tartibdagi turar joy",L787="Turar joy xizmati"),"Turar","Noturar"))="Turar",
10,IF(W787&lt;100,10,IF(W787&lt;=1000,12,IF(W787&lt;=5000,17,IF(W787&lt;=15000,22,IF(W787&lt;=50000,28,37)))))),
0))))))))))</f>
        <v>10</v>
      </c>
      <c r="Y787" s="133"/>
      <c r="Z787" s="133"/>
      <c r="AA787" s="133"/>
    </row>
    <row r="788" spans="1:27" hidden="1" x14ac:dyDescent="0.25">
      <c r="A788" s="127">
        <v>894</v>
      </c>
      <c r="B788" s="128" t="str">
        <f t="shared" si="96"/>
        <v>TORT</v>
      </c>
      <c r="C788" s="128">
        <f>+VLOOKUP(U788,Ходим!A:B,2,0)</f>
        <v>30603862130011</v>
      </c>
      <c r="D788" s="128" t="str">
        <f>IFERROR(VLOOKUP($B:$B,[20]свод!$A:$AB,3,0)," ")</f>
        <v>Тўрақўрғон тумани</v>
      </c>
      <c r="E788" s="7" t="s">
        <v>1929</v>
      </c>
      <c r="F788" s="7" t="s">
        <v>8325</v>
      </c>
      <c r="G788" s="134">
        <f t="shared" si="94"/>
        <v>1</v>
      </c>
      <c r="H788" s="134" t="str">
        <f t="shared" si="95"/>
        <v/>
      </c>
      <c r="I788" s="7" t="s">
        <v>156</v>
      </c>
      <c r="J788" s="7" t="s">
        <v>25</v>
      </c>
      <c r="K788" s="7"/>
      <c r="L788" s="7"/>
      <c r="M788" s="7"/>
      <c r="N788" s="7" t="s">
        <v>170</v>
      </c>
      <c r="O788" s="7" t="s">
        <v>162</v>
      </c>
      <c r="P788" s="7" t="s">
        <v>6675</v>
      </c>
      <c r="Q788" s="129">
        <v>46199</v>
      </c>
      <c r="R788" s="130">
        <f t="shared" si="90"/>
        <v>46211</v>
      </c>
      <c r="S788" s="131">
        <f t="shared" si="97"/>
        <v>12</v>
      </c>
      <c r="T788" s="7" t="s">
        <v>309</v>
      </c>
      <c r="U788" s="7" t="s">
        <v>950</v>
      </c>
      <c r="V788" s="7"/>
      <c r="W788" s="7"/>
      <c r="X788" s="132">
        <f t="shared" si="98"/>
        <v>10</v>
      </c>
      <c r="Y788" s="133"/>
      <c r="Z788" s="133"/>
      <c r="AA788" s="133"/>
    </row>
    <row r="789" spans="1:27" x14ac:dyDescent="0.25">
      <c r="A789" s="127">
        <v>895</v>
      </c>
      <c r="B789" s="128" t="str">
        <f t="shared" si="96"/>
        <v>CHUT</v>
      </c>
      <c r="C789" s="128" t="str">
        <f>+VLOOKUP(U789,Ходим!A:B,2,0)</f>
        <v>30901882180031</v>
      </c>
      <c r="D789" s="128" t="str">
        <f>IFERROR(VLOOKUP($B:$B,[20]свод!$A:$AB,3,0)," ")</f>
        <v>Чуст тумани</v>
      </c>
      <c r="E789" s="7" t="s">
        <v>1930</v>
      </c>
      <c r="F789" s="7" t="s">
        <v>8326</v>
      </c>
      <c r="G789" s="134" t="str">
        <f t="shared" si="94"/>
        <v/>
      </c>
      <c r="H789" s="134">
        <f t="shared" si="95"/>
        <v>1</v>
      </c>
      <c r="I789" s="7" t="s">
        <v>157</v>
      </c>
      <c r="J789" s="7" t="s">
        <v>13</v>
      </c>
      <c r="K789" s="7"/>
      <c r="L789" s="7" t="s">
        <v>166</v>
      </c>
      <c r="M789" s="7" t="s">
        <v>4721</v>
      </c>
      <c r="N789" s="7" t="s">
        <v>170</v>
      </c>
      <c r="O789" s="7" t="s">
        <v>161</v>
      </c>
      <c r="P789" s="7" t="s">
        <v>6676</v>
      </c>
      <c r="Q789" s="129">
        <v>46199</v>
      </c>
      <c r="R789" s="130">
        <f t="shared" si="90"/>
        <v>46199</v>
      </c>
      <c r="S789" s="131">
        <f t="shared" si="97"/>
        <v>0</v>
      </c>
      <c r="T789" s="7" t="s">
        <v>178</v>
      </c>
      <c r="U789" s="7" t="s">
        <v>238</v>
      </c>
      <c r="V789" s="7"/>
      <c r="W789" s="7">
        <v>0</v>
      </c>
      <c r="X789" s="132">
        <f t="shared" si="98"/>
        <v>10</v>
      </c>
      <c r="Y789" s="133"/>
      <c r="Z789" s="133"/>
      <c r="AA789" s="133"/>
    </row>
    <row r="790" spans="1:27" hidden="1" x14ac:dyDescent="0.25">
      <c r="A790" s="127">
        <v>896</v>
      </c>
      <c r="B790" s="128" t="str">
        <f t="shared" si="96"/>
        <v>TORT</v>
      </c>
      <c r="C790" s="128" t="str">
        <f>+VLOOKUP(U790,Ходим!A:B,2,0)</f>
        <v>40302922130046</v>
      </c>
      <c r="D790" s="128" t="str">
        <f>IFERROR(VLOOKUP($B:$B,[20]свод!$A:$AB,3,0)," ")</f>
        <v>Тўрақўрғон тумани</v>
      </c>
      <c r="E790" s="7" t="s">
        <v>1931</v>
      </c>
      <c r="F790" s="7" t="s">
        <v>8327</v>
      </c>
      <c r="G790" s="134">
        <f t="shared" si="94"/>
        <v>1</v>
      </c>
      <c r="H790" s="134" t="str">
        <f t="shared" si="95"/>
        <v/>
      </c>
      <c r="I790" s="7" t="s">
        <v>158</v>
      </c>
      <c r="J790" s="7" t="s">
        <v>172</v>
      </c>
      <c r="K790" s="7"/>
      <c r="L790" s="7" t="s">
        <v>167</v>
      </c>
      <c r="M790" s="7" t="s">
        <v>4722</v>
      </c>
      <c r="N790" s="7" t="s">
        <v>170</v>
      </c>
      <c r="O790" s="7" t="s">
        <v>162</v>
      </c>
      <c r="P790" s="7" t="s">
        <v>6420</v>
      </c>
      <c r="Q790" s="129">
        <v>46199</v>
      </c>
      <c r="R790" s="130">
        <f t="shared" si="90"/>
        <v>46211</v>
      </c>
      <c r="S790" s="131">
        <f t="shared" si="97"/>
        <v>12</v>
      </c>
      <c r="T790" s="7" t="s">
        <v>203</v>
      </c>
      <c r="U790" s="7" t="s">
        <v>258</v>
      </c>
      <c r="V790" s="7"/>
      <c r="W790" s="7">
        <v>290.73</v>
      </c>
      <c r="X790" s="132">
        <f t="shared" si="98"/>
        <v>10</v>
      </c>
      <c r="Y790" s="133"/>
      <c r="Z790" s="133"/>
      <c r="AA790" s="133"/>
    </row>
    <row r="791" spans="1:27" hidden="1" x14ac:dyDescent="0.25">
      <c r="A791" s="127">
        <v>897</v>
      </c>
      <c r="B791" s="128" t="str">
        <f t="shared" si="96"/>
        <v>CHUT</v>
      </c>
      <c r="C791" s="128" t="str">
        <f>+VLOOKUP(U791,Ходим!A:B,2,0)</f>
        <v>32003822180063</v>
      </c>
      <c r="D791" s="128" t="str">
        <f>IFERROR(VLOOKUP($B:$B,[20]свод!$A:$AB,3,0)," ")</f>
        <v>Чуст тумани</v>
      </c>
      <c r="E791" s="7" t="s">
        <v>1932</v>
      </c>
      <c r="F791" s="7" t="s">
        <v>8328</v>
      </c>
      <c r="G791" s="134" t="str">
        <f t="shared" si="94"/>
        <v/>
      </c>
      <c r="H791" s="134">
        <f t="shared" si="95"/>
        <v>1</v>
      </c>
      <c r="I791" s="7" t="s">
        <v>157</v>
      </c>
      <c r="J791" s="7" t="s">
        <v>172</v>
      </c>
      <c r="K791" s="7"/>
      <c r="L791" s="7" t="s">
        <v>166</v>
      </c>
      <c r="M791" s="7" t="s">
        <v>4723</v>
      </c>
      <c r="N791" s="7" t="s">
        <v>170</v>
      </c>
      <c r="O791" s="7" t="s">
        <v>161</v>
      </c>
      <c r="P791" s="7" t="s">
        <v>6347</v>
      </c>
      <c r="Q791" s="129">
        <v>46199</v>
      </c>
      <c r="R791" s="130">
        <f t="shared" ref="R791:R849" si="99">WORKDAY(P791,X791,$Y$1:$AA$1)</f>
        <v>46204</v>
      </c>
      <c r="S791" s="131">
        <f t="shared" si="97"/>
        <v>5</v>
      </c>
      <c r="T791" s="7" t="s">
        <v>178</v>
      </c>
      <c r="U791" s="7" t="s">
        <v>200</v>
      </c>
      <c r="V791" s="7"/>
      <c r="W791" s="7">
        <v>0</v>
      </c>
      <c r="X791" s="132">
        <f t="shared" si="98"/>
        <v>10</v>
      </c>
      <c r="Y791" s="133"/>
      <c r="Z791" s="133"/>
      <c r="AA791" s="133"/>
    </row>
    <row r="792" spans="1:27" x14ac:dyDescent="0.25">
      <c r="A792" s="127">
        <v>898</v>
      </c>
      <c r="B792" s="128" t="str">
        <f t="shared" si="96"/>
        <v>TORT</v>
      </c>
      <c r="C792" s="128" t="str">
        <f>+VLOOKUP(U792,Ходим!A:B,2,0)</f>
        <v>31701915920077</v>
      </c>
      <c r="D792" s="128" t="str">
        <f>IFERROR(VLOOKUP($B:$B,[20]свод!$A:$AB,3,0)," ")</f>
        <v>Тўрақўрғон тумани</v>
      </c>
      <c r="E792" s="7" t="s">
        <v>1933</v>
      </c>
      <c r="F792" s="7" t="s">
        <v>8329</v>
      </c>
      <c r="G792" s="134">
        <f t="shared" si="94"/>
        <v>1</v>
      </c>
      <c r="H792" s="134" t="str">
        <f t="shared" si="95"/>
        <v/>
      </c>
      <c r="I792" s="7" t="s">
        <v>158</v>
      </c>
      <c r="J792" s="7" t="s">
        <v>36</v>
      </c>
      <c r="K792" s="7"/>
      <c r="L792" s="7" t="s">
        <v>167</v>
      </c>
      <c r="M792" s="7" t="s">
        <v>4724</v>
      </c>
      <c r="N792" s="7" t="s">
        <v>170</v>
      </c>
      <c r="O792" s="7" t="s">
        <v>162</v>
      </c>
      <c r="P792" s="7" t="s">
        <v>6677</v>
      </c>
      <c r="Q792" s="129">
        <v>46199</v>
      </c>
      <c r="R792" s="130">
        <f t="shared" si="99"/>
        <v>46199</v>
      </c>
      <c r="S792" s="131">
        <f t="shared" si="97"/>
        <v>0</v>
      </c>
      <c r="T792" s="7" t="s">
        <v>203</v>
      </c>
      <c r="U792" s="7" t="s">
        <v>332</v>
      </c>
      <c r="V792" s="7"/>
      <c r="W792" s="7">
        <v>277.20999999999998</v>
      </c>
      <c r="X792" s="132">
        <f t="shared" si="98"/>
        <v>10</v>
      </c>
      <c r="Y792" s="133"/>
      <c r="Z792" s="133"/>
      <c r="AA792" s="133"/>
    </row>
    <row r="793" spans="1:27" x14ac:dyDescent="0.25">
      <c r="A793" s="127">
        <v>899</v>
      </c>
      <c r="B793" s="128" t="str">
        <f t="shared" si="96"/>
        <v>UCQT</v>
      </c>
      <c r="C793" s="128" t="str">
        <f>+VLOOKUP(U793,Ходим!A:B,2,0)</f>
        <v>31206892150069</v>
      </c>
      <c r="D793" s="128" t="str">
        <f>IFERROR(VLOOKUP($B:$B,[20]свод!$A:$AB,3,0)," ")</f>
        <v>Учқўрғон тумани</v>
      </c>
      <c r="E793" s="7" t="s">
        <v>1934</v>
      </c>
      <c r="F793" s="7" t="s">
        <v>8330</v>
      </c>
      <c r="G793" s="134">
        <f t="shared" si="94"/>
        <v>1</v>
      </c>
      <c r="H793" s="134" t="str">
        <f t="shared" si="95"/>
        <v/>
      </c>
      <c r="I793" s="7" t="s">
        <v>158</v>
      </c>
      <c r="J793" s="7" t="s">
        <v>2</v>
      </c>
      <c r="K793" s="7"/>
      <c r="L793" s="7" t="s">
        <v>167</v>
      </c>
      <c r="M793" s="7" t="s">
        <v>4725</v>
      </c>
      <c r="N793" s="7" t="s">
        <v>170</v>
      </c>
      <c r="O793" s="7" t="s">
        <v>162</v>
      </c>
      <c r="P793" s="7" t="s">
        <v>6677</v>
      </c>
      <c r="Q793" s="129">
        <v>46199</v>
      </c>
      <c r="R793" s="130">
        <f t="shared" si="99"/>
        <v>46199</v>
      </c>
      <c r="S793" s="131">
        <f t="shared" si="97"/>
        <v>0</v>
      </c>
      <c r="T793" s="7" t="s">
        <v>175</v>
      </c>
      <c r="U793" s="7" t="s">
        <v>318</v>
      </c>
      <c r="V793" s="7"/>
      <c r="W793" s="7">
        <v>42.92</v>
      </c>
      <c r="X793" s="132">
        <f t="shared" si="98"/>
        <v>10</v>
      </c>
      <c r="Y793" s="133"/>
      <c r="Z793" s="133"/>
      <c r="AA793" s="133"/>
    </row>
    <row r="794" spans="1:27" hidden="1" x14ac:dyDescent="0.25">
      <c r="A794" s="127">
        <v>900</v>
      </c>
      <c r="B794" s="128" t="str">
        <f t="shared" si="96"/>
        <v>NAMS</v>
      </c>
      <c r="C794" s="128" t="str">
        <f>+VLOOKUP(U794,Ходим!A:B,2,0)</f>
        <v>32207925880019</v>
      </c>
      <c r="D794" s="128" t="str">
        <f>IFERROR(VLOOKUP($B:$B,[20]свод!$A:$AB,3,0)," ")</f>
        <v>Наманган шаҳар</v>
      </c>
      <c r="E794" s="7" t="s">
        <v>1935</v>
      </c>
      <c r="F794" s="7" t="s">
        <v>8331</v>
      </c>
      <c r="G794" s="134">
        <f t="shared" si="94"/>
        <v>1</v>
      </c>
      <c r="H794" s="134" t="str">
        <f t="shared" si="95"/>
        <v/>
      </c>
      <c r="I794" s="7" t="s">
        <v>158</v>
      </c>
      <c r="J794" s="7" t="s">
        <v>13</v>
      </c>
      <c r="K794" s="7"/>
      <c r="L794" s="7" t="s">
        <v>167</v>
      </c>
      <c r="M794" s="7" t="s">
        <v>4726</v>
      </c>
      <c r="N794" s="7" t="s">
        <v>170</v>
      </c>
      <c r="O794" s="7" t="s">
        <v>162</v>
      </c>
      <c r="P794" s="7" t="s">
        <v>6678</v>
      </c>
      <c r="Q794" s="129">
        <v>46199</v>
      </c>
      <c r="R794" s="130">
        <f t="shared" si="99"/>
        <v>46205</v>
      </c>
      <c r="S794" s="131">
        <f t="shared" si="97"/>
        <v>6</v>
      </c>
      <c r="T794" s="7" t="s">
        <v>173</v>
      </c>
      <c r="U794" s="7" t="s">
        <v>174</v>
      </c>
      <c r="V794" s="7"/>
      <c r="W794" s="7">
        <v>450.93</v>
      </c>
      <c r="X794" s="132">
        <f t="shared" si="98"/>
        <v>10</v>
      </c>
      <c r="Y794" s="133"/>
      <c r="Z794" s="133"/>
      <c r="AA794" s="133"/>
    </row>
    <row r="795" spans="1:27" hidden="1" x14ac:dyDescent="0.25">
      <c r="A795" s="127">
        <v>901</v>
      </c>
      <c r="B795" s="128" t="str">
        <f t="shared" si="96"/>
        <v>CHUT</v>
      </c>
      <c r="C795" s="128" t="str">
        <f>+VLOOKUP(U795,Ходим!A:B,2,0)</f>
        <v>33112995970023</v>
      </c>
      <c r="D795" s="128" t="str">
        <f>IFERROR(VLOOKUP($B:$B,[20]свод!$A:$AB,3,0)," ")</f>
        <v>Чуст тумани</v>
      </c>
      <c r="E795" s="7" t="s">
        <v>1936</v>
      </c>
      <c r="F795" s="7" t="s">
        <v>8332</v>
      </c>
      <c r="G795" s="134" t="str">
        <f t="shared" ref="G795:G852" si="100">IF(OR(
I795="Turar joy obyektning kadastr pasportini shakllantirish va davlat ro'yxatidan o'tkazish",
I795="Turar kompozit"
),
1,
IF(OR(
I795="Noturar kompozit",
I795="Avtoyo'l va suv xo'jaligi obyektining kadastr pasportini shakllantirish va ro'yxatga olish",
I795="Noturar obyektning kadastr pasportining kadastr pasportini shakllantirish va davlat ro'yxatidan o'tkazish"
),
"",
IF(OR(
I795="Notarius uchun ma'lumotnoma (uz)",
I795="Qurilishi tugallangan ko'chmas mulkni foydalanishga qabul qilish",
I795="Umumiy foydalanishdagi ko'chmas mulk qismini yaratish",
I795="Registratsiya (tashqi - UZKAD da bor)"
),
IF(OR(L795="Turar yer maydoni",L795="Yakka tartibdagi turar joy"),1,
IF(L795="Noturar bino","",
IF(L795="Noturar yer maydoni","",
IF(L795="",IF(OR(O795="Turar joy xizmati",O795="Foydalanishga ruxsatnoma berish xizmati"),1,""),"")
))),
"")))</f>
        <v/>
      </c>
      <c r="H795" s="134">
        <f t="shared" ref="H795:H852" si="101">IF(OR(
I795="Turar joy obyektning kadastr pasportini shakllantirish va davlat ro'yxatidan o'tkazish",
I795="Turar kompozit"
),
"",
IF(OR(
I795="Noturar kompozit",
I795="Avtoyo'l va suv xo'jaligi obyektining kadastr pasportini shakllantirish va ro'yxatga olish",
I795="Noturar obyektning kadastr pasportini shakllantirish va davlat ro'yxatidan o'tkazish"
),
1,
IF(OR(
I795="Notarius uchun ma'lumotnoma (uz)",
I795="Qurilishi tugallangan ko'chmas mulkni foydalanishga qabul qilish",
I795="Umumiy foydalanishdagi ko'chmas mulk qismini yaratish",
I795="Registratsiya (tashqi - UZKAD da bor)"
),
IF(OR(L795="Turar yer maydoni",L795="Yakka tartibdagi turar joy"),"",
IF(L795="Noturar bino",1,
IF(L795="Noturar yer maydoni",1,
IF(L795="",IF(OR(O795="Turar joy xizmati",O795="Foydalanishga ruxsatnoma berish xizmati"),"",1),"")
))),
"")))</f>
        <v>1</v>
      </c>
      <c r="I795" s="7" t="s">
        <v>155</v>
      </c>
      <c r="J795" s="7" t="s">
        <v>25</v>
      </c>
      <c r="K795" s="7"/>
      <c r="L795" s="7" t="s">
        <v>166</v>
      </c>
      <c r="M795" s="7" t="s">
        <v>4727</v>
      </c>
      <c r="N795" s="7" t="s">
        <v>170</v>
      </c>
      <c r="O795" s="7" t="s">
        <v>161</v>
      </c>
      <c r="P795" s="7" t="s">
        <v>6352</v>
      </c>
      <c r="Q795" s="129">
        <v>46199</v>
      </c>
      <c r="R795" s="130">
        <f t="shared" si="99"/>
        <v>46204</v>
      </c>
      <c r="S795" s="131">
        <f t="shared" si="97"/>
        <v>5</v>
      </c>
      <c r="T795" s="7" t="s">
        <v>178</v>
      </c>
      <c r="U795" s="7" t="s">
        <v>179</v>
      </c>
      <c r="V795" s="7"/>
      <c r="W795" s="7">
        <v>0</v>
      </c>
      <c r="X795" s="132">
        <f t="shared" si="98"/>
        <v>10</v>
      </c>
      <c r="Y795" s="133"/>
      <c r="Z795" s="133"/>
      <c r="AA795" s="133"/>
    </row>
    <row r="796" spans="1:27" hidden="1" x14ac:dyDescent="0.25">
      <c r="A796" s="127">
        <v>902</v>
      </c>
      <c r="B796" s="128" t="str">
        <f t="shared" si="96"/>
        <v>CHUT</v>
      </c>
      <c r="C796" s="128" t="str">
        <f>+VLOOKUP(U796,Ходим!A:B,2,0)</f>
        <v>31910975970049</v>
      </c>
      <c r="D796" s="128" t="str">
        <f>IFERROR(VLOOKUP($B:$B,[20]свод!$A:$AB,3,0)," ")</f>
        <v>Чуст тумани</v>
      </c>
      <c r="E796" s="7" t="s">
        <v>1937</v>
      </c>
      <c r="F796" s="7" t="s">
        <v>8333</v>
      </c>
      <c r="G796" s="134">
        <f t="shared" si="100"/>
        <v>1</v>
      </c>
      <c r="H796" s="134" t="str">
        <f t="shared" si="101"/>
        <v/>
      </c>
      <c r="I796" s="7" t="s">
        <v>158</v>
      </c>
      <c r="J796" s="7" t="s">
        <v>172</v>
      </c>
      <c r="K796" s="7"/>
      <c r="L796" s="7" t="s">
        <v>167</v>
      </c>
      <c r="M796" s="7" t="s">
        <v>4728</v>
      </c>
      <c r="N796" s="7" t="s">
        <v>170</v>
      </c>
      <c r="O796" s="7" t="s">
        <v>162</v>
      </c>
      <c r="P796" s="7" t="s">
        <v>6338</v>
      </c>
      <c r="Q796" s="129">
        <v>46199</v>
      </c>
      <c r="R796" s="130">
        <f t="shared" si="99"/>
        <v>46204</v>
      </c>
      <c r="S796" s="131">
        <f t="shared" si="97"/>
        <v>5</v>
      </c>
      <c r="T796" s="7" t="s">
        <v>178</v>
      </c>
      <c r="U796" s="7" t="s">
        <v>352</v>
      </c>
      <c r="V796" s="7"/>
      <c r="W796" s="7">
        <v>0</v>
      </c>
      <c r="X796" s="132">
        <f t="shared" si="98"/>
        <v>10</v>
      </c>
      <c r="Y796" s="133"/>
      <c r="Z796" s="133"/>
      <c r="AA796" s="133"/>
    </row>
    <row r="797" spans="1:27" x14ac:dyDescent="0.25">
      <c r="A797" s="127">
        <v>903</v>
      </c>
      <c r="B797" s="128" t="str">
        <f t="shared" si="96"/>
        <v>CHOT</v>
      </c>
      <c r="C797" s="128" t="str">
        <f>+VLOOKUP(U797,Ходим!A:B,2,0)</f>
        <v>30308922100022</v>
      </c>
      <c r="D797" s="128" t="str">
        <f>IFERROR(VLOOKUP($B:$B,[20]свод!$A:$AB,3,0)," ")</f>
        <v>Чортоқ тумани</v>
      </c>
      <c r="E797" s="7" t="s">
        <v>1938</v>
      </c>
      <c r="F797" s="7" t="s">
        <v>8334</v>
      </c>
      <c r="G797" s="134">
        <f t="shared" si="100"/>
        <v>1</v>
      </c>
      <c r="H797" s="134" t="str">
        <f t="shared" si="101"/>
        <v/>
      </c>
      <c r="I797" s="7" t="s">
        <v>158</v>
      </c>
      <c r="J797" s="7" t="s">
        <v>1</v>
      </c>
      <c r="K797" s="7"/>
      <c r="L797" s="7" t="s">
        <v>167</v>
      </c>
      <c r="M797" s="7" t="s">
        <v>4729</v>
      </c>
      <c r="N797" s="7" t="s">
        <v>170</v>
      </c>
      <c r="O797" s="7" t="s">
        <v>162</v>
      </c>
      <c r="P797" s="7" t="s">
        <v>6679</v>
      </c>
      <c r="Q797" s="129">
        <v>46199</v>
      </c>
      <c r="R797" s="130">
        <f t="shared" si="99"/>
        <v>46199</v>
      </c>
      <c r="S797" s="131">
        <f t="shared" si="97"/>
        <v>0</v>
      </c>
      <c r="T797" s="7" t="s">
        <v>184</v>
      </c>
      <c r="U797" s="7" t="s">
        <v>190</v>
      </c>
      <c r="V797" s="7"/>
      <c r="W797" s="7">
        <v>499.3</v>
      </c>
      <c r="X797" s="132">
        <f t="shared" si="98"/>
        <v>10</v>
      </c>
      <c r="Y797" s="133"/>
      <c r="Z797" s="133"/>
      <c r="AA797" s="133"/>
    </row>
    <row r="798" spans="1:27" hidden="1" x14ac:dyDescent="0.25">
      <c r="A798" s="127">
        <v>904</v>
      </c>
      <c r="B798" s="128" t="str">
        <f t="shared" si="96"/>
        <v>NAMS</v>
      </c>
      <c r="C798" s="128" t="str">
        <f>+VLOOKUP(U798,Ходим!A:B,2,0)</f>
        <v>52710005960025</v>
      </c>
      <c r="D798" s="128" t="str">
        <f>IFERROR(VLOOKUP($B:$B,[20]свод!$A:$AB,3,0)," ")</f>
        <v>Наманган шаҳар</v>
      </c>
      <c r="E798" s="7" t="s">
        <v>1939</v>
      </c>
      <c r="F798" s="7" t="s">
        <v>8335</v>
      </c>
      <c r="G798" s="134">
        <f t="shared" si="100"/>
        <v>1</v>
      </c>
      <c r="H798" s="134" t="str">
        <f t="shared" si="101"/>
        <v/>
      </c>
      <c r="I798" s="7" t="s">
        <v>156</v>
      </c>
      <c r="J798" s="7" t="s">
        <v>25</v>
      </c>
      <c r="K798" s="7"/>
      <c r="L798" s="7"/>
      <c r="M798" s="7"/>
      <c r="N798" s="7" t="s">
        <v>170</v>
      </c>
      <c r="O798" s="7" t="s">
        <v>162</v>
      </c>
      <c r="P798" s="7" t="s">
        <v>6680</v>
      </c>
      <c r="Q798" s="129">
        <v>46199</v>
      </c>
      <c r="R798" s="130">
        <f t="shared" si="99"/>
        <v>46212</v>
      </c>
      <c r="S798" s="131">
        <f t="shared" si="97"/>
        <v>13</v>
      </c>
      <c r="T798" s="7" t="s">
        <v>173</v>
      </c>
      <c r="U798" s="7" t="s">
        <v>274</v>
      </c>
      <c r="V798" s="7"/>
      <c r="W798" s="7"/>
      <c r="X798" s="132">
        <f t="shared" si="98"/>
        <v>10</v>
      </c>
      <c r="Y798" s="133"/>
      <c r="Z798" s="133"/>
      <c r="AA798" s="133"/>
    </row>
    <row r="799" spans="1:27" hidden="1" x14ac:dyDescent="0.25">
      <c r="A799" s="127">
        <v>905</v>
      </c>
      <c r="B799" s="128" t="str">
        <f t="shared" si="96"/>
        <v>NAMS</v>
      </c>
      <c r="C799" s="128" t="str">
        <f>+VLOOKUP(U799,Ходим!A:B,2,0)</f>
        <v>31312985950011</v>
      </c>
      <c r="D799" s="128" t="str">
        <f>IFERROR(VLOOKUP($B:$B,[20]свод!$A:$AB,3,0)," ")</f>
        <v>Наманган шаҳар</v>
      </c>
      <c r="E799" s="7" t="s">
        <v>1940</v>
      </c>
      <c r="F799" s="7" t="s">
        <v>8336</v>
      </c>
      <c r="G799" s="134" t="str">
        <f t="shared" si="100"/>
        <v/>
      </c>
      <c r="H799" s="134">
        <f t="shared" si="101"/>
        <v>1</v>
      </c>
      <c r="I799" s="7" t="s">
        <v>157</v>
      </c>
      <c r="J799" s="7" t="s">
        <v>1</v>
      </c>
      <c r="K799" s="7"/>
      <c r="L799" s="7" t="s">
        <v>168</v>
      </c>
      <c r="M799" s="7" t="s">
        <v>4730</v>
      </c>
      <c r="N799" s="7" t="s">
        <v>410</v>
      </c>
      <c r="O799" s="7" t="s">
        <v>161</v>
      </c>
      <c r="P799" s="7" t="s">
        <v>6681</v>
      </c>
      <c r="Q799" s="129">
        <v>46199</v>
      </c>
      <c r="R799" s="130">
        <f t="shared" si="99"/>
        <v>46202</v>
      </c>
      <c r="S799" s="131">
        <f t="shared" si="97"/>
        <v>3</v>
      </c>
      <c r="T799" s="7" t="s">
        <v>227</v>
      </c>
      <c r="U799" s="7" t="s">
        <v>303</v>
      </c>
      <c r="V799" s="7"/>
      <c r="W799" s="7">
        <v>0</v>
      </c>
      <c r="X799" s="132">
        <f t="shared" si="98"/>
        <v>7</v>
      </c>
      <c r="Y799" s="133"/>
      <c r="Z799" s="133"/>
      <c r="AA799" s="133"/>
    </row>
    <row r="800" spans="1:27" hidden="1" x14ac:dyDescent="0.25">
      <c r="A800" s="127">
        <v>906</v>
      </c>
      <c r="B800" s="128" t="str">
        <f t="shared" si="96"/>
        <v>NAMS</v>
      </c>
      <c r="C800" s="128" t="str">
        <f>+VLOOKUP(U800,Ходим!A:B,2,0)</f>
        <v>52503015960039</v>
      </c>
      <c r="D800" s="128" t="str">
        <f>IFERROR(VLOOKUP($B:$B,[20]свод!$A:$AB,3,0)," ")</f>
        <v>Наманган шаҳар</v>
      </c>
      <c r="E800" s="7" t="s">
        <v>1941</v>
      </c>
      <c r="F800" s="7" t="s">
        <v>8337</v>
      </c>
      <c r="G800" s="134">
        <f t="shared" si="100"/>
        <v>1</v>
      </c>
      <c r="H800" s="134" t="str">
        <f t="shared" si="101"/>
        <v/>
      </c>
      <c r="I800" s="7" t="s">
        <v>158</v>
      </c>
      <c r="J800" s="7" t="s">
        <v>129</v>
      </c>
      <c r="K800" s="7"/>
      <c r="L800" s="7" t="s">
        <v>167</v>
      </c>
      <c r="M800" s="7" t="s">
        <v>381</v>
      </c>
      <c r="N800" s="7" t="s">
        <v>170</v>
      </c>
      <c r="O800" s="7" t="s">
        <v>162</v>
      </c>
      <c r="P800" s="7" t="s">
        <v>6303</v>
      </c>
      <c r="Q800" s="129">
        <v>46199</v>
      </c>
      <c r="R800" s="130">
        <f t="shared" si="99"/>
        <v>46204</v>
      </c>
      <c r="S800" s="131">
        <f t="shared" si="97"/>
        <v>5</v>
      </c>
      <c r="T800" s="7" t="s">
        <v>173</v>
      </c>
      <c r="U800" s="7" t="s">
        <v>246</v>
      </c>
      <c r="V800" s="7"/>
      <c r="W800" s="7">
        <v>0</v>
      </c>
      <c r="X800" s="132">
        <f t="shared" si="98"/>
        <v>10</v>
      </c>
      <c r="Y800" s="133"/>
      <c r="Z800" s="133"/>
      <c r="AA800" s="133"/>
    </row>
    <row r="801" spans="1:27" hidden="1" x14ac:dyDescent="0.25">
      <c r="A801" s="127">
        <v>907</v>
      </c>
      <c r="B801" s="128" t="str">
        <f t="shared" si="96"/>
        <v>NAMS</v>
      </c>
      <c r="C801" s="128" t="str">
        <f>+VLOOKUP(U801,Ходим!A:B,2,0)</f>
        <v>30507995950053</v>
      </c>
      <c r="D801" s="128" t="str">
        <f>IFERROR(VLOOKUP($B:$B,[20]свод!$A:$AB,3,0)," ")</f>
        <v>Наманган шаҳар</v>
      </c>
      <c r="E801" s="7" t="s">
        <v>1942</v>
      </c>
      <c r="F801" s="7" t="s">
        <v>8338</v>
      </c>
      <c r="G801" s="134">
        <f t="shared" si="100"/>
        <v>1</v>
      </c>
      <c r="H801" s="134" t="str">
        <f t="shared" si="101"/>
        <v/>
      </c>
      <c r="I801" s="7" t="s">
        <v>158</v>
      </c>
      <c r="J801" s="7" t="s">
        <v>2</v>
      </c>
      <c r="K801" s="7"/>
      <c r="L801" s="7" t="s">
        <v>167</v>
      </c>
      <c r="M801" s="7" t="s">
        <v>4731</v>
      </c>
      <c r="N801" s="7" t="s">
        <v>170</v>
      </c>
      <c r="O801" s="7" t="s">
        <v>162</v>
      </c>
      <c r="P801" s="7" t="s">
        <v>6680</v>
      </c>
      <c r="Q801" s="129">
        <v>46199</v>
      </c>
      <c r="R801" s="130">
        <f t="shared" si="99"/>
        <v>46212</v>
      </c>
      <c r="S801" s="131">
        <f t="shared" si="97"/>
        <v>13</v>
      </c>
      <c r="T801" s="7" t="s">
        <v>173</v>
      </c>
      <c r="U801" s="7" t="s">
        <v>195</v>
      </c>
      <c r="V801" s="7"/>
      <c r="W801" s="7">
        <v>239.5</v>
      </c>
      <c r="X801" s="132">
        <f t="shared" si="98"/>
        <v>10</v>
      </c>
      <c r="Y801" s="133"/>
      <c r="Z801" s="133"/>
      <c r="AA801" s="133"/>
    </row>
    <row r="802" spans="1:27" hidden="1" x14ac:dyDescent="0.25">
      <c r="A802" s="127">
        <v>908</v>
      </c>
      <c r="B802" s="128" t="str">
        <f t="shared" si="96"/>
        <v>POPT</v>
      </c>
      <c r="C802" s="128" t="str">
        <f>+VLOOKUP(U802,Ходим!A:B,2,0)</f>
        <v>30609882120085</v>
      </c>
      <c r="D802" s="128" t="str">
        <f>IFERROR(VLOOKUP($B:$B,[20]свод!$A:$AB,3,0)," ")</f>
        <v>Поп тумани</v>
      </c>
      <c r="E802" s="7" t="s">
        <v>1943</v>
      </c>
      <c r="F802" s="7" t="s">
        <v>8339</v>
      </c>
      <c r="G802" s="134" t="str">
        <f t="shared" si="100"/>
        <v/>
      </c>
      <c r="H802" s="134">
        <f t="shared" si="101"/>
        <v>1</v>
      </c>
      <c r="I802" s="7" t="s">
        <v>157</v>
      </c>
      <c r="J802" s="7" t="s">
        <v>172</v>
      </c>
      <c r="K802" s="7"/>
      <c r="L802" s="7"/>
      <c r="M802" s="7"/>
      <c r="N802" s="7" t="s">
        <v>410</v>
      </c>
      <c r="O802" s="7" t="s">
        <v>161</v>
      </c>
      <c r="P802" s="7" t="s">
        <v>6682</v>
      </c>
      <c r="Q802" s="129">
        <v>46199</v>
      </c>
      <c r="R802" s="130">
        <f t="shared" si="99"/>
        <v>46211</v>
      </c>
      <c r="S802" s="131">
        <f t="shared" si="97"/>
        <v>12</v>
      </c>
      <c r="T802" s="7" t="s">
        <v>214</v>
      </c>
      <c r="U802" s="7" t="s">
        <v>248</v>
      </c>
      <c r="V802" s="7"/>
      <c r="W802" s="7"/>
      <c r="X802" s="132">
        <f t="shared" si="98"/>
        <v>10</v>
      </c>
      <c r="Y802" s="133"/>
      <c r="Z802" s="133"/>
      <c r="AA802" s="133"/>
    </row>
    <row r="803" spans="1:27" hidden="1" x14ac:dyDescent="0.25">
      <c r="A803" s="127">
        <v>909</v>
      </c>
      <c r="B803" s="128" t="str">
        <f t="shared" si="96"/>
        <v>MINT</v>
      </c>
      <c r="C803" s="128" t="e">
        <f>+VLOOKUP(U803,Ходим!A:B,2,0)</f>
        <v>#N/A</v>
      </c>
      <c r="D803" s="128" t="str">
        <f>IFERROR(VLOOKUP($B:$B,[20]свод!$A:$AB,3,0)," ")</f>
        <v>Мингбулоқ тумани</v>
      </c>
      <c r="E803" s="7" t="s">
        <v>1944</v>
      </c>
      <c r="F803" s="7" t="s">
        <v>8340</v>
      </c>
      <c r="G803" s="134">
        <f t="shared" si="100"/>
        <v>1</v>
      </c>
      <c r="H803" s="134" t="str">
        <f t="shared" si="101"/>
        <v/>
      </c>
      <c r="I803" s="7" t="s">
        <v>156</v>
      </c>
      <c r="J803" s="7" t="s">
        <v>11</v>
      </c>
      <c r="K803" s="7"/>
      <c r="L803" s="7"/>
      <c r="M803" s="7"/>
      <c r="N803" s="7" t="s">
        <v>410</v>
      </c>
      <c r="O803" s="7" t="s">
        <v>162</v>
      </c>
      <c r="P803" s="7" t="s">
        <v>6680</v>
      </c>
      <c r="Q803" s="129">
        <v>46199</v>
      </c>
      <c r="R803" s="130">
        <f t="shared" si="99"/>
        <v>46212</v>
      </c>
      <c r="S803" s="131">
        <f t="shared" si="97"/>
        <v>13</v>
      </c>
      <c r="T803" s="7"/>
      <c r="U803" s="7"/>
      <c r="V803" s="7"/>
      <c r="W803" s="7"/>
      <c r="X803" s="132">
        <f t="shared" si="98"/>
        <v>10</v>
      </c>
      <c r="Y803" s="133"/>
      <c r="Z803" s="133"/>
      <c r="AA803" s="133"/>
    </row>
    <row r="804" spans="1:27" hidden="1" x14ac:dyDescent="0.25">
      <c r="A804" s="127">
        <v>910</v>
      </c>
      <c r="B804" s="128" t="str">
        <f t="shared" si="96"/>
        <v>MINT</v>
      </c>
      <c r="C804" s="128" t="e">
        <f>+VLOOKUP(U804,Ходим!A:B,2,0)</f>
        <v>#N/A</v>
      </c>
      <c r="D804" s="128" t="str">
        <f>IFERROR(VLOOKUP($B:$B,[20]свод!$A:$AB,3,0)," ")</f>
        <v>Мингбулоқ тумани</v>
      </c>
      <c r="E804" s="7" t="s">
        <v>1945</v>
      </c>
      <c r="F804" s="7" t="s">
        <v>8341</v>
      </c>
      <c r="G804" s="134">
        <f t="shared" si="100"/>
        <v>1</v>
      </c>
      <c r="H804" s="134" t="str">
        <f t="shared" si="101"/>
        <v/>
      </c>
      <c r="I804" s="7" t="s">
        <v>156</v>
      </c>
      <c r="J804" s="7" t="s">
        <v>11</v>
      </c>
      <c r="K804" s="7"/>
      <c r="L804" s="7" t="s">
        <v>167</v>
      </c>
      <c r="M804" s="7" t="s">
        <v>4732</v>
      </c>
      <c r="N804" s="7" t="s">
        <v>410</v>
      </c>
      <c r="O804" s="7" t="s">
        <v>162</v>
      </c>
      <c r="P804" s="7" t="s">
        <v>6680</v>
      </c>
      <c r="Q804" s="129">
        <v>46199</v>
      </c>
      <c r="R804" s="130">
        <f t="shared" si="99"/>
        <v>46212</v>
      </c>
      <c r="S804" s="131">
        <f t="shared" si="97"/>
        <v>13</v>
      </c>
      <c r="T804" s="7"/>
      <c r="U804" s="7"/>
      <c r="V804" s="7"/>
      <c r="W804" s="7">
        <v>223.53</v>
      </c>
      <c r="X804" s="132">
        <f t="shared" si="98"/>
        <v>10</v>
      </c>
      <c r="Y804" s="133"/>
      <c r="Z804" s="133"/>
      <c r="AA804" s="133"/>
    </row>
    <row r="805" spans="1:27" x14ac:dyDescent="0.25">
      <c r="A805" s="127">
        <v>911</v>
      </c>
      <c r="B805" s="128" t="str">
        <f t="shared" si="96"/>
        <v>UYCT</v>
      </c>
      <c r="C805" s="128" t="str">
        <f>+VLOOKUP(U805,Ходим!A:B,2,0)</f>
        <v>30309975930028</v>
      </c>
      <c r="D805" s="128" t="str">
        <f>IFERROR(VLOOKUP($B:$B,[20]свод!$A:$AB,3,0)," ")</f>
        <v>Уйчи тумани</v>
      </c>
      <c r="E805" s="7" t="s">
        <v>1946</v>
      </c>
      <c r="F805" s="7" t="s">
        <v>8342</v>
      </c>
      <c r="G805" s="134">
        <f t="shared" si="100"/>
        <v>1</v>
      </c>
      <c r="H805" s="134" t="str">
        <f t="shared" si="101"/>
        <v/>
      </c>
      <c r="I805" s="7" t="s">
        <v>158</v>
      </c>
      <c r="J805" s="7" t="s">
        <v>2</v>
      </c>
      <c r="K805" s="7"/>
      <c r="L805" s="7"/>
      <c r="M805" s="7"/>
      <c r="N805" s="7" t="s">
        <v>410</v>
      </c>
      <c r="O805" s="7" t="s">
        <v>162</v>
      </c>
      <c r="P805" s="7" t="s">
        <v>6683</v>
      </c>
      <c r="Q805" s="129">
        <v>46199</v>
      </c>
      <c r="R805" s="130">
        <f t="shared" si="99"/>
        <v>46199</v>
      </c>
      <c r="S805" s="131">
        <f t="shared" si="97"/>
        <v>0</v>
      </c>
      <c r="T805" s="7" t="s">
        <v>947</v>
      </c>
      <c r="U805" s="7" t="s">
        <v>261</v>
      </c>
      <c r="V805" s="7"/>
      <c r="W805" s="7"/>
      <c r="X805" s="132">
        <f t="shared" si="98"/>
        <v>10</v>
      </c>
      <c r="Y805" s="133"/>
      <c r="Z805" s="133"/>
      <c r="AA805" s="133"/>
    </row>
    <row r="806" spans="1:27" x14ac:dyDescent="0.25">
      <c r="A806" s="127">
        <v>912</v>
      </c>
      <c r="B806" s="128" t="str">
        <f t="shared" si="96"/>
        <v>NAMT</v>
      </c>
      <c r="C806" s="128">
        <f>+VLOOKUP(U806,Ходим!A:B,2,0)</f>
        <v>32712932090068</v>
      </c>
      <c r="D806" s="128" t="str">
        <f>IFERROR(VLOOKUP($B:$B,[20]свод!$A:$AB,3,0)," ")</f>
        <v>Наманган тумани</v>
      </c>
      <c r="E806" s="7" t="s">
        <v>1947</v>
      </c>
      <c r="F806" s="7" t="s">
        <v>8343</v>
      </c>
      <c r="G806" s="134">
        <f t="shared" si="100"/>
        <v>1</v>
      </c>
      <c r="H806" s="134" t="str">
        <f t="shared" si="101"/>
        <v/>
      </c>
      <c r="I806" s="7" t="s">
        <v>158</v>
      </c>
      <c r="J806" s="7" t="s">
        <v>1</v>
      </c>
      <c r="K806" s="7"/>
      <c r="L806" s="7" t="s">
        <v>167</v>
      </c>
      <c r="M806" s="7" t="s">
        <v>4733</v>
      </c>
      <c r="N806" s="7" t="s">
        <v>170</v>
      </c>
      <c r="O806" s="7" t="s">
        <v>162</v>
      </c>
      <c r="P806" s="7" t="s">
        <v>6683</v>
      </c>
      <c r="Q806" s="129">
        <v>46199</v>
      </c>
      <c r="R806" s="130">
        <f t="shared" si="99"/>
        <v>46199</v>
      </c>
      <c r="S806" s="131">
        <f t="shared" si="97"/>
        <v>0</v>
      </c>
      <c r="T806" s="7" t="s">
        <v>193</v>
      </c>
      <c r="U806" s="7" t="s">
        <v>1016</v>
      </c>
      <c r="V806" s="7"/>
      <c r="W806" s="7">
        <v>229.12</v>
      </c>
      <c r="X806" s="132">
        <f t="shared" si="98"/>
        <v>10</v>
      </c>
      <c r="Y806" s="133"/>
      <c r="Z806" s="133"/>
      <c r="AA806" s="133"/>
    </row>
    <row r="807" spans="1:27" hidden="1" x14ac:dyDescent="0.25">
      <c r="A807" s="127">
        <v>913</v>
      </c>
      <c r="B807" s="128" t="str">
        <f t="shared" si="96"/>
        <v>NAMS</v>
      </c>
      <c r="C807" s="128" t="str">
        <f>+VLOOKUP(U807,Ходим!A:B,2,0)</f>
        <v>52601025870013</v>
      </c>
      <c r="D807" s="128" t="str">
        <f>IFERROR(VLOOKUP($B:$B,[20]свод!$A:$AB,3,0)," ")</f>
        <v>Наманган шаҳар</v>
      </c>
      <c r="E807" s="7" t="s">
        <v>1948</v>
      </c>
      <c r="F807" s="7" t="s">
        <v>8344</v>
      </c>
      <c r="G807" s="134">
        <f t="shared" si="100"/>
        <v>1</v>
      </c>
      <c r="H807" s="134" t="str">
        <f t="shared" si="101"/>
        <v/>
      </c>
      <c r="I807" s="7" t="s">
        <v>158</v>
      </c>
      <c r="J807" s="7" t="s">
        <v>2</v>
      </c>
      <c r="K807" s="7"/>
      <c r="L807" s="7" t="s">
        <v>167</v>
      </c>
      <c r="M807" s="7" t="s">
        <v>4734</v>
      </c>
      <c r="N807" s="7" t="s">
        <v>170</v>
      </c>
      <c r="O807" s="7" t="s">
        <v>162</v>
      </c>
      <c r="P807" s="7" t="s">
        <v>6512</v>
      </c>
      <c r="Q807" s="129">
        <v>46199</v>
      </c>
      <c r="R807" s="130">
        <f t="shared" si="99"/>
        <v>46205</v>
      </c>
      <c r="S807" s="131">
        <f t="shared" si="97"/>
        <v>6</v>
      </c>
      <c r="T807" s="7" t="s">
        <v>173</v>
      </c>
      <c r="U807" s="7" t="s">
        <v>405</v>
      </c>
      <c r="V807" s="7"/>
      <c r="W807" s="7">
        <v>0</v>
      </c>
      <c r="X807" s="132">
        <f t="shared" si="98"/>
        <v>10</v>
      </c>
      <c r="Y807" s="133"/>
      <c r="Z807" s="133"/>
      <c r="AA807" s="133"/>
    </row>
    <row r="808" spans="1:27" hidden="1" x14ac:dyDescent="0.25">
      <c r="A808" s="127">
        <v>914</v>
      </c>
      <c r="B808" s="128" t="str">
        <f t="shared" si="96"/>
        <v>NAMT</v>
      </c>
      <c r="C808" s="128" t="str">
        <f>+VLOOKUP(U808,Ходим!A:B,2,0)</f>
        <v>50706025880010</v>
      </c>
      <c r="D808" s="128" t="str">
        <f>IFERROR(VLOOKUP($B:$B,[20]свод!$A:$AB,3,0)," ")</f>
        <v>Наманган тумани</v>
      </c>
      <c r="E808" s="7" t="s">
        <v>1949</v>
      </c>
      <c r="F808" s="7" t="s">
        <v>8345</v>
      </c>
      <c r="G808" s="134">
        <f t="shared" si="100"/>
        <v>1</v>
      </c>
      <c r="H808" s="134" t="str">
        <f t="shared" si="101"/>
        <v/>
      </c>
      <c r="I808" s="7" t="s">
        <v>158</v>
      </c>
      <c r="J808" s="7" t="s">
        <v>13</v>
      </c>
      <c r="K808" s="7"/>
      <c r="L808" s="7" t="s">
        <v>167</v>
      </c>
      <c r="M808" s="7" t="s">
        <v>1139</v>
      </c>
      <c r="N808" s="7" t="s">
        <v>410</v>
      </c>
      <c r="O808" s="7" t="s">
        <v>162</v>
      </c>
      <c r="P808" s="7" t="s">
        <v>6684</v>
      </c>
      <c r="Q808" s="129">
        <v>46199</v>
      </c>
      <c r="R808" s="130">
        <f t="shared" si="99"/>
        <v>46211</v>
      </c>
      <c r="S808" s="131">
        <f t="shared" si="97"/>
        <v>12</v>
      </c>
      <c r="T808" s="7" t="s">
        <v>197</v>
      </c>
      <c r="U808" s="7" t="s">
        <v>397</v>
      </c>
      <c r="V808" s="7"/>
      <c r="W808" s="7">
        <v>0</v>
      </c>
      <c r="X808" s="132">
        <f t="shared" si="98"/>
        <v>10</v>
      </c>
      <c r="Y808" s="133"/>
      <c r="Z808" s="133"/>
      <c r="AA808" s="133"/>
    </row>
    <row r="809" spans="1:27" hidden="1" x14ac:dyDescent="0.25">
      <c r="A809" s="127">
        <v>915</v>
      </c>
      <c r="B809" s="128" t="str">
        <f t="shared" si="96"/>
        <v>NAMS</v>
      </c>
      <c r="C809" s="128" t="str">
        <f>+VLOOKUP(U809,Ходим!A:B,2,0)</f>
        <v>51705025890024</v>
      </c>
      <c r="D809" s="128" t="str">
        <f>IFERROR(VLOOKUP($B:$B,[20]свод!$A:$AB,3,0)," ")</f>
        <v>Наманган шаҳар</v>
      </c>
      <c r="E809" s="7" t="s">
        <v>1950</v>
      </c>
      <c r="F809" s="7" t="s">
        <v>8346</v>
      </c>
      <c r="G809" s="134">
        <f t="shared" si="100"/>
        <v>1</v>
      </c>
      <c r="H809" s="134" t="str">
        <f t="shared" si="101"/>
        <v/>
      </c>
      <c r="I809" s="7" t="s">
        <v>158</v>
      </c>
      <c r="J809" s="7" t="s">
        <v>13</v>
      </c>
      <c r="K809" s="7"/>
      <c r="L809" s="7" t="s">
        <v>167</v>
      </c>
      <c r="M809" s="7" t="s">
        <v>4735</v>
      </c>
      <c r="N809" s="7" t="s">
        <v>170</v>
      </c>
      <c r="O809" s="7" t="s">
        <v>162</v>
      </c>
      <c r="P809" s="7" t="s">
        <v>6596</v>
      </c>
      <c r="Q809" s="129">
        <v>46199</v>
      </c>
      <c r="R809" s="130">
        <f t="shared" si="99"/>
        <v>46205</v>
      </c>
      <c r="S809" s="131">
        <f t="shared" si="97"/>
        <v>6</v>
      </c>
      <c r="T809" s="7" t="s">
        <v>173</v>
      </c>
      <c r="U809" s="7" t="s">
        <v>189</v>
      </c>
      <c r="V809" s="7"/>
      <c r="W809" s="7">
        <v>0</v>
      </c>
      <c r="X809" s="132">
        <f t="shared" si="98"/>
        <v>10</v>
      </c>
      <c r="Y809" s="133"/>
      <c r="Z809" s="133"/>
      <c r="AA809" s="133"/>
    </row>
    <row r="810" spans="1:27" hidden="1" x14ac:dyDescent="0.25">
      <c r="A810" s="127">
        <v>916</v>
      </c>
      <c r="B810" s="128" t="str">
        <f t="shared" si="96"/>
        <v>POPT</v>
      </c>
      <c r="C810" s="128" t="str">
        <f>+VLOOKUP(U810,Ходим!A:B,2,0)</f>
        <v>33110905910015</v>
      </c>
      <c r="D810" s="128" t="str">
        <f>IFERROR(VLOOKUP($B:$B,[20]свод!$A:$AB,3,0)," ")</f>
        <v>Поп тумани</v>
      </c>
      <c r="E810" s="7" t="s">
        <v>1951</v>
      </c>
      <c r="F810" s="7" t="s">
        <v>8347</v>
      </c>
      <c r="G810" s="134">
        <f t="shared" si="100"/>
        <v>1</v>
      </c>
      <c r="H810" s="134" t="str">
        <f t="shared" si="101"/>
        <v/>
      </c>
      <c r="I810" s="7" t="s">
        <v>158</v>
      </c>
      <c r="J810" s="7" t="s">
        <v>2</v>
      </c>
      <c r="K810" s="7"/>
      <c r="L810" s="7" t="s">
        <v>167</v>
      </c>
      <c r="M810" s="7" t="s">
        <v>1143</v>
      </c>
      <c r="N810" s="7" t="s">
        <v>410</v>
      </c>
      <c r="O810" s="7" t="s">
        <v>162</v>
      </c>
      <c r="P810" s="7" t="s">
        <v>6520</v>
      </c>
      <c r="Q810" s="129">
        <v>46199</v>
      </c>
      <c r="R810" s="130">
        <f t="shared" si="99"/>
        <v>46211</v>
      </c>
      <c r="S810" s="131">
        <f t="shared" si="97"/>
        <v>12</v>
      </c>
      <c r="T810" s="7" t="s">
        <v>214</v>
      </c>
      <c r="U810" s="7" t="s">
        <v>305</v>
      </c>
      <c r="V810" s="7"/>
      <c r="W810" s="7">
        <v>0</v>
      </c>
      <c r="X810" s="132">
        <f t="shared" si="98"/>
        <v>10</v>
      </c>
      <c r="Y810" s="133"/>
      <c r="Z810" s="133"/>
      <c r="AA810" s="133"/>
    </row>
    <row r="811" spans="1:27" hidden="1" x14ac:dyDescent="0.25">
      <c r="A811" s="127">
        <v>917</v>
      </c>
      <c r="B811" s="128" t="str">
        <f t="shared" si="96"/>
        <v>KSST</v>
      </c>
      <c r="C811" s="128" t="str">
        <f>+VLOOKUP(U811,Ходим!A:B,2,0)</f>
        <v>31407932190092</v>
      </c>
      <c r="D811" s="128" t="str">
        <f>IFERROR(VLOOKUP($B:$B,[20]свод!$A:$AB,3,0)," ")</f>
        <v>Косонсой тумани</v>
      </c>
      <c r="E811" s="7" t="s">
        <v>1952</v>
      </c>
      <c r="F811" s="7" t="s">
        <v>8348</v>
      </c>
      <c r="G811" s="134">
        <f t="shared" si="100"/>
        <v>1</v>
      </c>
      <c r="H811" s="134" t="str">
        <f t="shared" si="101"/>
        <v/>
      </c>
      <c r="I811" s="7" t="s">
        <v>158</v>
      </c>
      <c r="J811" s="7" t="s">
        <v>2</v>
      </c>
      <c r="K811" s="7"/>
      <c r="L811" s="7" t="s">
        <v>167</v>
      </c>
      <c r="M811" s="7" t="s">
        <v>4736</v>
      </c>
      <c r="N811" s="7" t="s">
        <v>410</v>
      </c>
      <c r="O811" s="7" t="s">
        <v>162</v>
      </c>
      <c r="P811" s="7" t="s">
        <v>6685</v>
      </c>
      <c r="Q811" s="129">
        <v>46199</v>
      </c>
      <c r="R811" s="130">
        <f t="shared" si="99"/>
        <v>46205</v>
      </c>
      <c r="S811" s="131">
        <f t="shared" si="97"/>
        <v>6</v>
      </c>
      <c r="T811" s="7" t="s">
        <v>180</v>
      </c>
      <c r="U811" s="7" t="s">
        <v>188</v>
      </c>
      <c r="V811" s="7"/>
      <c r="W811" s="7">
        <v>210.31</v>
      </c>
      <c r="X811" s="132">
        <f t="shared" si="98"/>
        <v>10</v>
      </c>
      <c r="Y811" s="133"/>
      <c r="Z811" s="133"/>
      <c r="AA811" s="133"/>
    </row>
    <row r="812" spans="1:27" hidden="1" x14ac:dyDescent="0.25">
      <c r="A812" s="127">
        <v>918</v>
      </c>
      <c r="B812" s="128" t="str">
        <f t="shared" si="96"/>
        <v>POPT</v>
      </c>
      <c r="C812" s="128" t="str">
        <f>+VLOOKUP(U812,Ходим!A:B,2,0)</f>
        <v>30609882120085</v>
      </c>
      <c r="D812" s="128" t="str">
        <f>IFERROR(VLOOKUP($B:$B,[20]свод!$A:$AB,3,0)," ")</f>
        <v>Поп тумани</v>
      </c>
      <c r="E812" s="7" t="s">
        <v>1953</v>
      </c>
      <c r="F812" s="7" t="s">
        <v>8349</v>
      </c>
      <c r="G812" s="134" t="str">
        <f t="shared" si="100"/>
        <v/>
      </c>
      <c r="H812" s="134">
        <f t="shared" si="101"/>
        <v>1</v>
      </c>
      <c r="I812" s="7" t="s">
        <v>154</v>
      </c>
      <c r="J812" s="7" t="s">
        <v>2</v>
      </c>
      <c r="K812" s="7"/>
      <c r="L812" s="7"/>
      <c r="M812" s="7"/>
      <c r="N812" s="7" t="s">
        <v>170</v>
      </c>
      <c r="O812" s="7" t="s">
        <v>161</v>
      </c>
      <c r="P812" s="7" t="s">
        <v>6646</v>
      </c>
      <c r="Q812" s="129">
        <v>46199</v>
      </c>
      <c r="R812" s="130">
        <f t="shared" si="99"/>
        <v>46211</v>
      </c>
      <c r="S812" s="131">
        <f t="shared" si="97"/>
        <v>12</v>
      </c>
      <c r="T812" s="7" t="s">
        <v>214</v>
      </c>
      <c r="U812" s="7" t="s">
        <v>248</v>
      </c>
      <c r="V812" s="7"/>
      <c r="W812" s="7"/>
      <c r="X812" s="132">
        <f t="shared" si="98"/>
        <v>10</v>
      </c>
      <c r="Y812" s="133"/>
      <c r="Z812" s="133"/>
      <c r="AA812" s="133"/>
    </row>
    <row r="813" spans="1:27" hidden="1" x14ac:dyDescent="0.25">
      <c r="A813" s="127">
        <v>919</v>
      </c>
      <c r="B813" s="128" t="str">
        <f t="shared" si="96"/>
        <v>NAMS</v>
      </c>
      <c r="C813" s="128">
        <f>+VLOOKUP(U813,Ходим!A:B,2,0)</f>
        <v>52004005950071</v>
      </c>
      <c r="D813" s="128" t="str">
        <f>IFERROR(VLOOKUP($B:$B,[20]свод!$A:$AB,3,0)," ")</f>
        <v>Наманган шаҳар</v>
      </c>
      <c r="E813" s="7" t="s">
        <v>1954</v>
      </c>
      <c r="F813" s="7" t="s">
        <v>8350</v>
      </c>
      <c r="G813" s="134">
        <f t="shared" si="100"/>
        <v>1</v>
      </c>
      <c r="H813" s="134" t="str">
        <f t="shared" si="101"/>
        <v/>
      </c>
      <c r="I813" s="7" t="s">
        <v>158</v>
      </c>
      <c r="J813" s="7" t="s">
        <v>2</v>
      </c>
      <c r="K813" s="7"/>
      <c r="L813" s="7" t="s">
        <v>167</v>
      </c>
      <c r="M813" s="7" t="s">
        <v>4737</v>
      </c>
      <c r="N813" s="7" t="s">
        <v>170</v>
      </c>
      <c r="O813" s="7" t="s">
        <v>162</v>
      </c>
      <c r="P813" s="7" t="s">
        <v>6438</v>
      </c>
      <c r="Q813" s="129">
        <v>46199</v>
      </c>
      <c r="R813" s="130">
        <f t="shared" si="99"/>
        <v>46205</v>
      </c>
      <c r="S813" s="131">
        <f t="shared" si="97"/>
        <v>6</v>
      </c>
      <c r="T813" s="7" t="s">
        <v>173</v>
      </c>
      <c r="U813" s="7" t="s">
        <v>1015</v>
      </c>
      <c r="V813" s="7"/>
      <c r="W813" s="7">
        <v>251.79</v>
      </c>
      <c r="X813" s="132">
        <f t="shared" si="98"/>
        <v>10</v>
      </c>
      <c r="Y813" s="133"/>
      <c r="Z813" s="133"/>
      <c r="AA813" s="133"/>
    </row>
    <row r="814" spans="1:27" hidden="1" x14ac:dyDescent="0.25">
      <c r="A814" s="127">
        <v>920</v>
      </c>
      <c r="B814" s="128" t="str">
        <f t="shared" si="96"/>
        <v>NAMS</v>
      </c>
      <c r="C814" s="128" t="str">
        <f>+VLOOKUP(U814,Ходим!A:B,2,0)</f>
        <v>30202915960070</v>
      </c>
      <c r="D814" s="128" t="str">
        <f>IFERROR(VLOOKUP($B:$B,[20]свод!$A:$AB,3,0)," ")</f>
        <v>Наманган шаҳар</v>
      </c>
      <c r="E814" s="7" t="s">
        <v>1955</v>
      </c>
      <c r="F814" s="7" t="s">
        <v>8351</v>
      </c>
      <c r="G814" s="134" t="str">
        <f t="shared" si="100"/>
        <v/>
      </c>
      <c r="H814" s="134">
        <f t="shared" si="101"/>
        <v>1</v>
      </c>
      <c r="I814" s="7" t="s">
        <v>157</v>
      </c>
      <c r="J814" s="7" t="s">
        <v>1</v>
      </c>
      <c r="K814" s="7"/>
      <c r="L814" s="7" t="s">
        <v>166</v>
      </c>
      <c r="M814" s="7" t="s">
        <v>4738</v>
      </c>
      <c r="N814" s="7" t="s">
        <v>170</v>
      </c>
      <c r="O814" s="7" t="s">
        <v>161</v>
      </c>
      <c r="P814" s="7" t="s">
        <v>6686</v>
      </c>
      <c r="Q814" s="129">
        <v>46199</v>
      </c>
      <c r="R814" s="130">
        <f t="shared" si="99"/>
        <v>46205</v>
      </c>
      <c r="S814" s="131">
        <f t="shared" si="97"/>
        <v>6</v>
      </c>
      <c r="T814" s="7" t="s">
        <v>227</v>
      </c>
      <c r="U814" s="7" t="s">
        <v>177</v>
      </c>
      <c r="V814" s="7"/>
      <c r="W814" s="7">
        <v>2404.81</v>
      </c>
      <c r="X814" s="132">
        <f t="shared" si="98"/>
        <v>17</v>
      </c>
      <c r="Y814" s="133"/>
      <c r="Z814" s="133"/>
      <c r="AA814" s="133"/>
    </row>
    <row r="815" spans="1:27" hidden="1" x14ac:dyDescent="0.25">
      <c r="A815" s="127">
        <v>921</v>
      </c>
      <c r="B815" s="128" t="str">
        <f t="shared" si="96"/>
        <v>POPT</v>
      </c>
      <c r="C815" s="128" t="str">
        <f>+VLOOKUP(U815,Ходим!A:B,2,0)</f>
        <v>30609882120085</v>
      </c>
      <c r="D815" s="128" t="str">
        <f>IFERROR(VLOOKUP($B:$B,[20]свод!$A:$AB,3,0)," ")</f>
        <v>Поп тумани</v>
      </c>
      <c r="E815" s="7" t="s">
        <v>1956</v>
      </c>
      <c r="F815" s="7" t="s">
        <v>8352</v>
      </c>
      <c r="G815" s="134" t="str">
        <f t="shared" si="100"/>
        <v/>
      </c>
      <c r="H815" s="134">
        <f t="shared" si="101"/>
        <v>1</v>
      </c>
      <c r="I815" s="7" t="s">
        <v>157</v>
      </c>
      <c r="J815" s="7" t="s">
        <v>172</v>
      </c>
      <c r="K815" s="7"/>
      <c r="L815" s="7" t="s">
        <v>166</v>
      </c>
      <c r="M815" s="7" t="s">
        <v>1115</v>
      </c>
      <c r="N815" s="7" t="s">
        <v>410</v>
      </c>
      <c r="O815" s="7" t="s">
        <v>161</v>
      </c>
      <c r="P815" s="7" t="s">
        <v>6486</v>
      </c>
      <c r="Q815" s="129">
        <v>46199</v>
      </c>
      <c r="R815" s="130">
        <f t="shared" si="99"/>
        <v>46220</v>
      </c>
      <c r="S815" s="131">
        <f t="shared" si="97"/>
        <v>21</v>
      </c>
      <c r="T815" s="7" t="s">
        <v>214</v>
      </c>
      <c r="U815" s="7" t="s">
        <v>248</v>
      </c>
      <c r="V815" s="7"/>
      <c r="W815" s="7">
        <v>1485.86</v>
      </c>
      <c r="X815" s="132">
        <f t="shared" si="98"/>
        <v>17</v>
      </c>
      <c r="Y815" s="133"/>
      <c r="Z815" s="133"/>
      <c r="AA815" s="133"/>
    </row>
    <row r="816" spans="1:27" hidden="1" x14ac:dyDescent="0.25">
      <c r="A816" s="127">
        <v>922</v>
      </c>
      <c r="B816" s="128" t="str">
        <f t="shared" si="96"/>
        <v>NAMS</v>
      </c>
      <c r="C816" s="128" t="str">
        <f>+VLOOKUP(U816,Ходим!A:B,2,0)</f>
        <v>52710005960025</v>
      </c>
      <c r="D816" s="128" t="str">
        <f>IFERROR(VLOOKUP($B:$B,[20]свод!$A:$AB,3,0)," ")</f>
        <v>Наманган шаҳар</v>
      </c>
      <c r="E816" s="7" t="s">
        <v>1957</v>
      </c>
      <c r="F816" s="7" t="s">
        <v>8353</v>
      </c>
      <c r="G816" s="134">
        <f t="shared" si="100"/>
        <v>1</v>
      </c>
      <c r="H816" s="134" t="str">
        <f t="shared" si="101"/>
        <v/>
      </c>
      <c r="I816" s="7" t="s">
        <v>158</v>
      </c>
      <c r="J816" s="7" t="s">
        <v>2</v>
      </c>
      <c r="K816" s="7"/>
      <c r="L816" s="7" t="s">
        <v>167</v>
      </c>
      <c r="M816" s="7" t="s">
        <v>4739</v>
      </c>
      <c r="N816" s="7" t="s">
        <v>170</v>
      </c>
      <c r="O816" s="7" t="s">
        <v>162</v>
      </c>
      <c r="P816" s="7" t="s">
        <v>6526</v>
      </c>
      <c r="Q816" s="129">
        <v>46199</v>
      </c>
      <c r="R816" s="130">
        <f t="shared" si="99"/>
        <v>46205</v>
      </c>
      <c r="S816" s="131">
        <f t="shared" si="97"/>
        <v>6</v>
      </c>
      <c r="T816" s="7" t="s">
        <v>173</v>
      </c>
      <c r="U816" s="7" t="s">
        <v>274</v>
      </c>
      <c r="V816" s="7"/>
      <c r="W816" s="7">
        <v>189.96</v>
      </c>
      <c r="X816" s="132">
        <f t="shared" si="98"/>
        <v>10</v>
      </c>
      <c r="Y816" s="133"/>
      <c r="Z816" s="133"/>
      <c r="AA816" s="133"/>
    </row>
    <row r="817" spans="1:27" hidden="1" x14ac:dyDescent="0.25">
      <c r="A817" s="127">
        <v>923</v>
      </c>
      <c r="B817" s="128" t="str">
        <f t="shared" si="96"/>
        <v>POPT</v>
      </c>
      <c r="C817" s="128" t="str">
        <f>+VLOOKUP(U817,Ходим!A:B,2,0)</f>
        <v>30608945910016</v>
      </c>
      <c r="D817" s="128" t="str">
        <f>IFERROR(VLOOKUP($B:$B,[20]свод!$A:$AB,3,0)," ")</f>
        <v>Поп тумани</v>
      </c>
      <c r="E817" s="7" t="s">
        <v>1958</v>
      </c>
      <c r="F817" s="7" t="s">
        <v>8354</v>
      </c>
      <c r="G817" s="134" t="str">
        <f t="shared" si="100"/>
        <v/>
      </c>
      <c r="H817" s="134">
        <f t="shared" si="101"/>
        <v>1</v>
      </c>
      <c r="I817" s="7" t="s">
        <v>157</v>
      </c>
      <c r="J817" s="7" t="s">
        <v>172</v>
      </c>
      <c r="K817" s="7"/>
      <c r="L817" s="7" t="s">
        <v>168</v>
      </c>
      <c r="M817" s="7" t="s">
        <v>4740</v>
      </c>
      <c r="N817" s="7" t="s">
        <v>410</v>
      </c>
      <c r="O817" s="7" t="s">
        <v>161</v>
      </c>
      <c r="P817" s="7" t="s">
        <v>6466</v>
      </c>
      <c r="Q817" s="129">
        <v>46199</v>
      </c>
      <c r="R817" s="130">
        <f t="shared" si="99"/>
        <v>46206</v>
      </c>
      <c r="S817" s="131">
        <f t="shared" si="97"/>
        <v>7</v>
      </c>
      <c r="T817" s="7" t="s">
        <v>214</v>
      </c>
      <c r="U817" s="7" t="s">
        <v>295</v>
      </c>
      <c r="V817" s="7"/>
      <c r="W817" s="7">
        <v>0</v>
      </c>
      <c r="X817" s="132">
        <f t="shared" si="98"/>
        <v>7</v>
      </c>
      <c r="Y817" s="133"/>
      <c r="Z817" s="133"/>
      <c r="AA817" s="133"/>
    </row>
    <row r="818" spans="1:27" hidden="1" x14ac:dyDescent="0.25">
      <c r="A818" s="127">
        <v>924</v>
      </c>
      <c r="B818" s="128" t="str">
        <f t="shared" si="96"/>
        <v>NAMS</v>
      </c>
      <c r="C818" s="128" t="str">
        <f>+VLOOKUP(U818,Ходим!A:B,2,0)</f>
        <v>31007955980023</v>
      </c>
      <c r="D818" s="128" t="str">
        <f>IFERROR(VLOOKUP($B:$B,[20]свод!$A:$AB,3,0)," ")</f>
        <v>Наманган шаҳар</v>
      </c>
      <c r="E818" s="7" t="s">
        <v>1959</v>
      </c>
      <c r="F818" s="7" t="s">
        <v>8355</v>
      </c>
      <c r="G818" s="134">
        <f t="shared" si="100"/>
        <v>1</v>
      </c>
      <c r="H818" s="134" t="str">
        <f t="shared" si="101"/>
        <v/>
      </c>
      <c r="I818" s="7" t="s">
        <v>158</v>
      </c>
      <c r="J818" s="7" t="s">
        <v>1</v>
      </c>
      <c r="K818" s="7"/>
      <c r="L818" s="7" t="s">
        <v>167</v>
      </c>
      <c r="M818" s="7" t="s">
        <v>4741</v>
      </c>
      <c r="N818" s="7" t="s">
        <v>170</v>
      </c>
      <c r="O818" s="7" t="s">
        <v>162</v>
      </c>
      <c r="P818" s="7" t="s">
        <v>6527</v>
      </c>
      <c r="Q818" s="129">
        <v>46199</v>
      </c>
      <c r="R818" s="130">
        <f t="shared" si="99"/>
        <v>46205</v>
      </c>
      <c r="S818" s="131">
        <f t="shared" si="97"/>
        <v>6</v>
      </c>
      <c r="T818" s="7" t="s">
        <v>185</v>
      </c>
      <c r="U818" s="7" t="s">
        <v>207</v>
      </c>
      <c r="V818" s="7"/>
      <c r="W818" s="7">
        <v>287.31</v>
      </c>
      <c r="X818" s="132">
        <f t="shared" si="98"/>
        <v>10</v>
      </c>
      <c r="Y818" s="133"/>
      <c r="Z818" s="133"/>
      <c r="AA818" s="133"/>
    </row>
    <row r="819" spans="1:27" hidden="1" x14ac:dyDescent="0.25">
      <c r="A819" s="127">
        <v>925</v>
      </c>
      <c r="B819" s="128" t="str">
        <f t="shared" si="96"/>
        <v>NAMS</v>
      </c>
      <c r="C819" s="128">
        <f>+VLOOKUP(U819,Ходим!A:B,2,0)</f>
        <v>52004005950071</v>
      </c>
      <c r="D819" s="128" t="str">
        <f>IFERROR(VLOOKUP($B:$B,[20]свод!$A:$AB,3,0)," ")</f>
        <v>Наманган шаҳар</v>
      </c>
      <c r="E819" s="7" t="s">
        <v>1960</v>
      </c>
      <c r="F819" s="7" t="s">
        <v>8356</v>
      </c>
      <c r="G819" s="134">
        <f t="shared" si="100"/>
        <v>1</v>
      </c>
      <c r="H819" s="134" t="str">
        <f t="shared" si="101"/>
        <v/>
      </c>
      <c r="I819" s="7" t="s">
        <v>158</v>
      </c>
      <c r="J819" s="7" t="s">
        <v>2</v>
      </c>
      <c r="K819" s="7"/>
      <c r="L819" s="7"/>
      <c r="M819" s="7"/>
      <c r="N819" s="7" t="s">
        <v>170</v>
      </c>
      <c r="O819" s="7" t="s">
        <v>162</v>
      </c>
      <c r="P819" s="7" t="s">
        <v>6547</v>
      </c>
      <c r="Q819" s="129">
        <v>46199</v>
      </c>
      <c r="R819" s="130">
        <f t="shared" si="99"/>
        <v>46205</v>
      </c>
      <c r="S819" s="131">
        <f t="shared" si="97"/>
        <v>6</v>
      </c>
      <c r="T819" s="7" t="s">
        <v>173</v>
      </c>
      <c r="U819" s="7" t="s">
        <v>1015</v>
      </c>
      <c r="V819" s="7"/>
      <c r="W819" s="7"/>
      <c r="X819" s="132">
        <f t="shared" si="98"/>
        <v>10</v>
      </c>
      <c r="Y819" s="133"/>
      <c r="Z819" s="133"/>
      <c r="AA819" s="133"/>
    </row>
    <row r="820" spans="1:27" hidden="1" x14ac:dyDescent="0.25">
      <c r="A820" s="127">
        <v>926</v>
      </c>
      <c r="B820" s="128" t="str">
        <f t="shared" si="96"/>
        <v>POPT</v>
      </c>
      <c r="C820" s="128" t="str">
        <f>+VLOOKUP(U820,Ходим!A:B,2,0)</f>
        <v>50902005910032</v>
      </c>
      <c r="D820" s="128" t="str">
        <f>IFERROR(VLOOKUP($B:$B,[20]свод!$A:$AB,3,0)," ")</f>
        <v>Поп тумани</v>
      </c>
      <c r="E820" s="7" t="s">
        <v>1961</v>
      </c>
      <c r="F820" s="7" t="s">
        <v>8357</v>
      </c>
      <c r="G820" s="134" t="str">
        <f t="shared" si="100"/>
        <v/>
      </c>
      <c r="H820" s="134">
        <f t="shared" si="101"/>
        <v>1</v>
      </c>
      <c r="I820" s="7" t="s">
        <v>155</v>
      </c>
      <c r="J820" s="7" t="s">
        <v>11</v>
      </c>
      <c r="K820" s="7"/>
      <c r="L820" s="7" t="s">
        <v>166</v>
      </c>
      <c r="M820" s="7" t="s">
        <v>4742</v>
      </c>
      <c r="N820" s="7" t="s">
        <v>410</v>
      </c>
      <c r="O820" s="7" t="s">
        <v>161</v>
      </c>
      <c r="P820" s="7" t="s">
        <v>6386</v>
      </c>
      <c r="Q820" s="129">
        <v>46199</v>
      </c>
      <c r="R820" s="130">
        <f t="shared" si="99"/>
        <v>46213</v>
      </c>
      <c r="S820" s="131">
        <f t="shared" si="97"/>
        <v>14</v>
      </c>
      <c r="T820" s="7" t="s">
        <v>240</v>
      </c>
      <c r="U820" s="7" t="s">
        <v>278</v>
      </c>
      <c r="V820" s="7"/>
      <c r="W820" s="7">
        <v>124.8</v>
      </c>
      <c r="X820" s="132">
        <f t="shared" si="98"/>
        <v>12</v>
      </c>
      <c r="Y820" s="133"/>
      <c r="Z820" s="133"/>
      <c r="AA820" s="133"/>
    </row>
    <row r="821" spans="1:27" hidden="1" x14ac:dyDescent="0.25">
      <c r="A821" s="127">
        <v>927</v>
      </c>
      <c r="B821" s="128" t="str">
        <f t="shared" si="96"/>
        <v>POPT</v>
      </c>
      <c r="C821" s="128" t="str">
        <f>+VLOOKUP(U821,Ходим!A:B,2,0)</f>
        <v>30609882120085</v>
      </c>
      <c r="D821" s="128" t="str">
        <f>IFERROR(VLOOKUP($B:$B,[20]свод!$A:$AB,3,0)," ")</f>
        <v>Поп тумани</v>
      </c>
      <c r="E821" s="7" t="s">
        <v>1962</v>
      </c>
      <c r="F821" s="7" t="s">
        <v>8358</v>
      </c>
      <c r="G821" s="134" t="str">
        <f t="shared" si="100"/>
        <v/>
      </c>
      <c r="H821" s="134">
        <f t="shared" si="101"/>
        <v>1</v>
      </c>
      <c r="I821" s="7" t="s">
        <v>157</v>
      </c>
      <c r="J821" s="7" t="s">
        <v>2</v>
      </c>
      <c r="K821" s="7"/>
      <c r="L821" s="7" t="s">
        <v>1017</v>
      </c>
      <c r="M821" s="7" t="s">
        <v>4743</v>
      </c>
      <c r="N821" s="7" t="s">
        <v>170</v>
      </c>
      <c r="O821" s="7" t="s">
        <v>161</v>
      </c>
      <c r="P821" s="7" t="s">
        <v>6380</v>
      </c>
      <c r="Q821" s="129">
        <v>46199</v>
      </c>
      <c r="R821" s="130">
        <f t="shared" si="99"/>
        <v>46206</v>
      </c>
      <c r="S821" s="131">
        <f t="shared" si="97"/>
        <v>7</v>
      </c>
      <c r="T821" s="7" t="s">
        <v>214</v>
      </c>
      <c r="U821" s="7" t="s">
        <v>248</v>
      </c>
      <c r="V821" s="7"/>
      <c r="W821" s="7">
        <v>0</v>
      </c>
      <c r="X821" s="132">
        <f t="shared" si="98"/>
        <v>7</v>
      </c>
      <c r="Y821" s="133"/>
      <c r="Z821" s="133"/>
      <c r="AA821" s="133"/>
    </row>
    <row r="822" spans="1:27" x14ac:dyDescent="0.25">
      <c r="A822" s="127">
        <v>928</v>
      </c>
      <c r="B822" s="128" t="str">
        <f t="shared" si="96"/>
        <v>POPT</v>
      </c>
      <c r="C822" s="128" t="str">
        <f>+VLOOKUP(U822,Ходим!A:B,2,0)</f>
        <v>30808922120014</v>
      </c>
      <c r="D822" s="128" t="str">
        <f>IFERROR(VLOOKUP($B:$B,[20]свод!$A:$AB,3,0)," ")</f>
        <v>Поп тумани</v>
      </c>
      <c r="E822" s="7" t="s">
        <v>1963</v>
      </c>
      <c r="F822" s="7" t="s">
        <v>8359</v>
      </c>
      <c r="G822" s="134">
        <f t="shared" si="100"/>
        <v>1</v>
      </c>
      <c r="H822" s="134" t="str">
        <f t="shared" si="101"/>
        <v/>
      </c>
      <c r="I822" s="7" t="s">
        <v>154</v>
      </c>
      <c r="J822" s="7" t="s">
        <v>100</v>
      </c>
      <c r="K822" s="7"/>
      <c r="L822" s="7" t="s">
        <v>167</v>
      </c>
      <c r="M822" s="7" t="s">
        <v>4744</v>
      </c>
      <c r="N822" s="7" t="s">
        <v>410</v>
      </c>
      <c r="O822" s="7" t="s">
        <v>162</v>
      </c>
      <c r="P822" s="7" t="s">
        <v>6687</v>
      </c>
      <c r="Q822" s="129">
        <v>46199</v>
      </c>
      <c r="R822" s="130">
        <f t="shared" si="99"/>
        <v>46199</v>
      </c>
      <c r="S822" s="131">
        <f t="shared" si="97"/>
        <v>0</v>
      </c>
      <c r="T822" s="7" t="s">
        <v>214</v>
      </c>
      <c r="U822" s="7" t="s">
        <v>242</v>
      </c>
      <c r="V822" s="7"/>
      <c r="W822" s="7">
        <v>36</v>
      </c>
      <c r="X822" s="132">
        <f t="shared" si="98"/>
        <v>10</v>
      </c>
      <c r="Y822" s="133"/>
      <c r="Z822" s="133"/>
      <c r="AA822" s="133"/>
    </row>
    <row r="823" spans="1:27" x14ac:dyDescent="0.25">
      <c r="A823" s="127">
        <v>929</v>
      </c>
      <c r="B823" s="128" t="str">
        <f t="shared" si="96"/>
        <v>NAMS</v>
      </c>
      <c r="C823" s="128" t="str">
        <f>+VLOOKUP(U823,Ходим!A:B,2,0)</f>
        <v>31408622170123</v>
      </c>
      <c r="D823" s="128" t="str">
        <f>IFERROR(VLOOKUP($B:$B,[20]свод!$A:$AB,3,0)," ")</f>
        <v>Наманган шаҳар</v>
      </c>
      <c r="E823" s="7" t="s">
        <v>1964</v>
      </c>
      <c r="F823" s="7" t="s">
        <v>8360</v>
      </c>
      <c r="G823" s="134" t="str">
        <f t="shared" si="100"/>
        <v/>
      </c>
      <c r="H823" s="134">
        <f t="shared" si="101"/>
        <v>1</v>
      </c>
      <c r="I823" s="7" t="s">
        <v>157</v>
      </c>
      <c r="J823" s="7" t="s">
        <v>1137</v>
      </c>
      <c r="K823" s="7"/>
      <c r="L823" s="7" t="s">
        <v>168</v>
      </c>
      <c r="M823" s="7" t="s">
        <v>4745</v>
      </c>
      <c r="N823" s="7" t="s">
        <v>410</v>
      </c>
      <c r="O823" s="7" t="s">
        <v>161</v>
      </c>
      <c r="P823" s="7" t="s">
        <v>6688</v>
      </c>
      <c r="Q823" s="129">
        <v>46199</v>
      </c>
      <c r="R823" s="130">
        <f t="shared" si="99"/>
        <v>46198</v>
      </c>
      <c r="S823" s="131">
        <f t="shared" si="97"/>
        <v>-1</v>
      </c>
      <c r="T823" s="7" t="s">
        <v>983</v>
      </c>
      <c r="U823" s="7" t="s">
        <v>402</v>
      </c>
      <c r="V823" s="7" t="s">
        <v>965</v>
      </c>
      <c r="W823" s="7">
        <v>0</v>
      </c>
      <c r="X823" s="132">
        <f t="shared" si="98"/>
        <v>5</v>
      </c>
      <c r="Y823" s="133"/>
      <c r="Z823" s="133"/>
      <c r="AA823" s="133"/>
    </row>
    <row r="824" spans="1:27" hidden="1" x14ac:dyDescent="0.25">
      <c r="A824" s="127">
        <v>931</v>
      </c>
      <c r="B824" s="128" t="str">
        <f t="shared" si="96"/>
        <v>NAMS</v>
      </c>
      <c r="C824" s="128">
        <f>+VLOOKUP(U824,Ходим!A:B,2,0)</f>
        <v>50703045960050</v>
      </c>
      <c r="D824" s="128" t="str">
        <f>IFERROR(VLOOKUP($B:$B,[20]свод!$A:$AB,3,0)," ")</f>
        <v>Наманган шаҳар</v>
      </c>
      <c r="E824" s="7" t="s">
        <v>1965</v>
      </c>
      <c r="F824" s="7" t="s">
        <v>8361</v>
      </c>
      <c r="G824" s="134" t="str">
        <f t="shared" si="100"/>
        <v/>
      </c>
      <c r="H824" s="134">
        <f t="shared" si="101"/>
        <v>1</v>
      </c>
      <c r="I824" s="7" t="s">
        <v>155</v>
      </c>
      <c r="J824" s="7" t="s">
        <v>22</v>
      </c>
      <c r="K824" s="7"/>
      <c r="L824" s="7" t="s">
        <v>168</v>
      </c>
      <c r="M824" s="7" t="s">
        <v>4746</v>
      </c>
      <c r="N824" s="7" t="s">
        <v>170</v>
      </c>
      <c r="O824" s="7" t="s">
        <v>161</v>
      </c>
      <c r="P824" s="7" t="s">
        <v>6689</v>
      </c>
      <c r="Q824" s="129">
        <v>46199</v>
      </c>
      <c r="R824" s="130">
        <f t="shared" si="99"/>
        <v>46209</v>
      </c>
      <c r="S824" s="131">
        <f t="shared" si="97"/>
        <v>10</v>
      </c>
      <c r="T824" s="7" t="s">
        <v>227</v>
      </c>
      <c r="U824" s="7" t="s">
        <v>948</v>
      </c>
      <c r="V824" s="7"/>
      <c r="W824" s="7"/>
      <c r="X824" s="132">
        <f t="shared" si="98"/>
        <v>7</v>
      </c>
      <c r="Y824" s="133"/>
      <c r="Z824" s="133"/>
      <c r="AA824" s="133"/>
    </row>
    <row r="825" spans="1:27" hidden="1" x14ac:dyDescent="0.25">
      <c r="A825" s="127">
        <v>932</v>
      </c>
      <c r="B825" s="128" t="str">
        <f t="shared" si="96"/>
        <v>UCQT</v>
      </c>
      <c r="C825" s="128" t="e">
        <f>+VLOOKUP(U825,Ходим!A:B,2,0)</f>
        <v>#N/A</v>
      </c>
      <c r="D825" s="128" t="str">
        <f>IFERROR(VLOOKUP($B:$B,[20]свод!$A:$AB,3,0)," ")</f>
        <v>Учқўрғон тумани</v>
      </c>
      <c r="E825" s="7" t="s">
        <v>1966</v>
      </c>
      <c r="F825" s="7" t="s">
        <v>8362</v>
      </c>
      <c r="G825" s="134" t="str">
        <f t="shared" si="100"/>
        <v/>
      </c>
      <c r="H825" s="134">
        <f t="shared" si="101"/>
        <v>1</v>
      </c>
      <c r="I825" s="7" t="s">
        <v>159</v>
      </c>
      <c r="J825" s="7" t="s">
        <v>137</v>
      </c>
      <c r="K825" s="7"/>
      <c r="L825" s="7" t="s">
        <v>166</v>
      </c>
      <c r="M825" s="7" t="s">
        <v>4747</v>
      </c>
      <c r="N825" s="7" t="s">
        <v>170</v>
      </c>
      <c r="O825" s="7" t="s">
        <v>163</v>
      </c>
      <c r="P825" s="7" t="s">
        <v>6690</v>
      </c>
      <c r="Q825" s="129">
        <v>46199</v>
      </c>
      <c r="R825" s="130">
        <f t="shared" si="99"/>
        <v>46212</v>
      </c>
      <c r="S825" s="131">
        <f t="shared" si="97"/>
        <v>13</v>
      </c>
      <c r="T825" s="7"/>
      <c r="U825" s="7"/>
      <c r="V825" s="7"/>
      <c r="W825" s="7">
        <v>90.44</v>
      </c>
      <c r="X825" s="132">
        <f t="shared" si="98"/>
        <v>10</v>
      </c>
      <c r="Y825" s="133"/>
      <c r="Z825" s="133"/>
      <c r="AA825" s="133"/>
    </row>
    <row r="826" spans="1:27" hidden="1" x14ac:dyDescent="0.25">
      <c r="A826" s="127">
        <v>933</v>
      </c>
      <c r="B826" s="128" t="str">
        <f t="shared" si="96"/>
        <v>POPT</v>
      </c>
      <c r="C826" s="128" t="e">
        <f>+VLOOKUP(U826,Ходим!A:B,2,0)</f>
        <v>#N/A</v>
      </c>
      <c r="D826" s="128" t="str">
        <f>IFERROR(VLOOKUP($B:$B,[20]свод!$A:$AB,3,0)," ")</f>
        <v>Поп тумани</v>
      </c>
      <c r="E826" s="7" t="s">
        <v>1967</v>
      </c>
      <c r="F826" s="7" t="s">
        <v>8363</v>
      </c>
      <c r="G826" s="134">
        <f t="shared" si="100"/>
        <v>1</v>
      </c>
      <c r="H826" s="134" t="str">
        <f t="shared" si="101"/>
        <v/>
      </c>
      <c r="I826" s="7" t="s">
        <v>156</v>
      </c>
      <c r="J826" s="7" t="s">
        <v>11</v>
      </c>
      <c r="K826" s="7"/>
      <c r="L826" s="7"/>
      <c r="M826" s="7"/>
      <c r="N826" s="7" t="s">
        <v>170</v>
      </c>
      <c r="O826" s="7" t="s">
        <v>162</v>
      </c>
      <c r="P826" s="7" t="s">
        <v>6689</v>
      </c>
      <c r="Q826" s="129">
        <v>46199</v>
      </c>
      <c r="R826" s="130">
        <f t="shared" si="99"/>
        <v>46212</v>
      </c>
      <c r="S826" s="131">
        <f t="shared" si="97"/>
        <v>13</v>
      </c>
      <c r="T826" s="7"/>
      <c r="U826" s="7"/>
      <c r="V826" s="7"/>
      <c r="W826" s="7"/>
      <c r="X826" s="132">
        <f t="shared" si="98"/>
        <v>10</v>
      </c>
      <c r="Y826" s="133"/>
      <c r="Z826" s="133"/>
      <c r="AA826" s="133"/>
    </row>
    <row r="827" spans="1:27" hidden="1" x14ac:dyDescent="0.25">
      <c r="A827" s="127">
        <v>934</v>
      </c>
      <c r="B827" s="128" t="str">
        <f t="shared" si="96"/>
        <v>TORT</v>
      </c>
      <c r="C827" s="128" t="str">
        <f>+VLOOKUP(U827,Ходим!A:B,2,0)</f>
        <v>30708792130017</v>
      </c>
      <c r="D827" s="128" t="str">
        <f>IFERROR(VLOOKUP($B:$B,[20]свод!$A:$AB,3,0)," ")</f>
        <v>Тўрақўрғон тумани</v>
      </c>
      <c r="E827" s="7" t="s">
        <v>1968</v>
      </c>
      <c r="F827" s="7" t="s">
        <v>8364</v>
      </c>
      <c r="G827" s="134">
        <f t="shared" si="100"/>
        <v>1</v>
      </c>
      <c r="H827" s="134" t="str">
        <f t="shared" si="101"/>
        <v/>
      </c>
      <c r="I827" s="7" t="s">
        <v>158</v>
      </c>
      <c r="J827" s="7" t="s">
        <v>2</v>
      </c>
      <c r="K827" s="7"/>
      <c r="L827" s="7" t="s">
        <v>167</v>
      </c>
      <c r="M827" s="7" t="s">
        <v>4748</v>
      </c>
      <c r="N827" s="7" t="s">
        <v>170</v>
      </c>
      <c r="O827" s="7" t="s">
        <v>162</v>
      </c>
      <c r="P827" s="7" t="s">
        <v>6689</v>
      </c>
      <c r="Q827" s="129">
        <v>46199</v>
      </c>
      <c r="R827" s="130">
        <f t="shared" si="99"/>
        <v>46212</v>
      </c>
      <c r="S827" s="131">
        <f t="shared" si="97"/>
        <v>13</v>
      </c>
      <c r="T827" s="7" t="s">
        <v>203</v>
      </c>
      <c r="U827" s="7" t="s">
        <v>204</v>
      </c>
      <c r="V827" s="7"/>
      <c r="W827" s="7">
        <v>234.63</v>
      </c>
      <c r="X827" s="132">
        <f t="shared" si="98"/>
        <v>10</v>
      </c>
      <c r="Y827" s="133"/>
      <c r="Z827" s="133"/>
      <c r="AA827" s="133"/>
    </row>
    <row r="828" spans="1:27" x14ac:dyDescent="0.25">
      <c r="A828" s="127">
        <v>936</v>
      </c>
      <c r="B828" s="128" t="str">
        <f t="shared" si="96"/>
        <v>NAMS</v>
      </c>
      <c r="C828" s="128" t="str">
        <f>+VLOOKUP(U828,Ходим!A:B,2,0)</f>
        <v>33012942170121</v>
      </c>
      <c r="D828" s="128" t="str">
        <f>IFERROR(VLOOKUP($B:$B,[20]свод!$A:$AB,3,0)," ")</f>
        <v>Наманган шаҳар</v>
      </c>
      <c r="E828" s="7" t="s">
        <v>1083</v>
      </c>
      <c r="F828" s="7" t="s">
        <v>1084</v>
      </c>
      <c r="G828" s="134" t="str">
        <f t="shared" si="100"/>
        <v/>
      </c>
      <c r="H828" s="134">
        <f t="shared" si="101"/>
        <v>1</v>
      </c>
      <c r="I828" s="7" t="s">
        <v>157</v>
      </c>
      <c r="J828" s="7" t="s">
        <v>9</v>
      </c>
      <c r="K828" s="7"/>
      <c r="L828" s="7" t="s">
        <v>166</v>
      </c>
      <c r="M828" s="7" t="s">
        <v>1094</v>
      </c>
      <c r="N828" s="7" t="s">
        <v>170</v>
      </c>
      <c r="O828" s="7" t="s">
        <v>163</v>
      </c>
      <c r="P828" s="7" t="s">
        <v>1104</v>
      </c>
      <c r="Q828" s="129">
        <v>46199</v>
      </c>
      <c r="R828" s="130">
        <f t="shared" si="99"/>
        <v>46195</v>
      </c>
      <c r="S828" s="131">
        <f t="shared" si="97"/>
        <v>-4</v>
      </c>
      <c r="T828" s="7" t="s">
        <v>234</v>
      </c>
      <c r="U828" s="7" t="s">
        <v>259</v>
      </c>
      <c r="V828" s="7" t="s">
        <v>359</v>
      </c>
      <c r="W828" s="7">
        <v>379.61</v>
      </c>
      <c r="X828" s="132">
        <f t="shared" si="98"/>
        <v>12</v>
      </c>
      <c r="Y828" s="133"/>
      <c r="Z828" s="133"/>
      <c r="AA828" s="133"/>
    </row>
    <row r="829" spans="1:27" hidden="1" x14ac:dyDescent="0.25">
      <c r="A829" s="127">
        <v>937</v>
      </c>
      <c r="B829" s="128" t="str">
        <f t="shared" si="96"/>
        <v>NORT</v>
      </c>
      <c r="C829" s="128" t="str">
        <f>+VLOOKUP(U829,Ходим!A:B,2,0)</f>
        <v>31709822110011</v>
      </c>
      <c r="D829" s="128" t="str">
        <f>IFERROR(VLOOKUP($B:$B,[20]свод!$A:$AB,3,0)," ")</f>
        <v>Норин тумани</v>
      </c>
      <c r="E829" s="7" t="s">
        <v>1969</v>
      </c>
      <c r="F829" s="7" t="s">
        <v>8365</v>
      </c>
      <c r="G829" s="134" t="str">
        <f t="shared" si="100"/>
        <v/>
      </c>
      <c r="H829" s="134">
        <f t="shared" si="101"/>
        <v>1</v>
      </c>
      <c r="I829" s="7" t="s">
        <v>157</v>
      </c>
      <c r="J829" s="7" t="s">
        <v>172</v>
      </c>
      <c r="K829" s="7"/>
      <c r="L829" s="7"/>
      <c r="M829" s="7"/>
      <c r="N829" s="7" t="s">
        <v>170</v>
      </c>
      <c r="O829" s="7" t="s">
        <v>161</v>
      </c>
      <c r="P829" s="7" t="s">
        <v>6400</v>
      </c>
      <c r="Q829" s="129">
        <v>46199</v>
      </c>
      <c r="R829" s="130">
        <f t="shared" si="99"/>
        <v>46211</v>
      </c>
      <c r="S829" s="131">
        <f t="shared" si="97"/>
        <v>12</v>
      </c>
      <c r="T829" s="7" t="s">
        <v>210</v>
      </c>
      <c r="U829" s="7" t="s">
        <v>354</v>
      </c>
      <c r="V829" s="7"/>
      <c r="W829" s="7"/>
      <c r="X829" s="132">
        <f t="shared" si="98"/>
        <v>10</v>
      </c>
      <c r="Y829" s="133"/>
      <c r="Z829" s="133"/>
      <c r="AA829" s="133"/>
    </row>
    <row r="830" spans="1:27" hidden="1" x14ac:dyDescent="0.25">
      <c r="A830" s="127">
        <v>938</v>
      </c>
      <c r="B830" s="128" t="str">
        <f t="shared" si="96"/>
        <v>YGQT</v>
      </c>
      <c r="C830" s="128" t="str">
        <f>+VLOOKUP(U830,Ходим!A:B,2,0)</f>
        <v>32105902160025</v>
      </c>
      <c r="D830" s="128" t="str">
        <f>IFERROR(VLOOKUP($B:$B,[20]свод!$A:$AB,3,0)," ")</f>
        <v>Янгиқўрғон тумани</v>
      </c>
      <c r="E830" s="7" t="s">
        <v>1970</v>
      </c>
      <c r="F830" s="7" t="s">
        <v>8366</v>
      </c>
      <c r="G830" s="134" t="str">
        <f t="shared" si="100"/>
        <v/>
      </c>
      <c r="H830" s="134">
        <f t="shared" si="101"/>
        <v>1</v>
      </c>
      <c r="I830" s="7" t="s">
        <v>157</v>
      </c>
      <c r="J830" s="7" t="s">
        <v>2</v>
      </c>
      <c r="K830" s="7"/>
      <c r="L830" s="7" t="s">
        <v>168</v>
      </c>
      <c r="M830" s="7" t="s">
        <v>382</v>
      </c>
      <c r="N830" s="7" t="s">
        <v>410</v>
      </c>
      <c r="O830" s="7" t="s">
        <v>161</v>
      </c>
      <c r="P830" s="7" t="s">
        <v>6691</v>
      </c>
      <c r="Q830" s="129">
        <v>46199</v>
      </c>
      <c r="R830" s="130">
        <f t="shared" si="99"/>
        <v>46209</v>
      </c>
      <c r="S830" s="131">
        <f t="shared" si="97"/>
        <v>10</v>
      </c>
      <c r="T830" s="7" t="s">
        <v>182</v>
      </c>
      <c r="U830" s="7" t="s">
        <v>308</v>
      </c>
      <c r="V830" s="7"/>
      <c r="W830" s="7">
        <v>0</v>
      </c>
      <c r="X830" s="132">
        <f t="shared" si="98"/>
        <v>7</v>
      </c>
      <c r="Y830" s="133"/>
      <c r="Z830" s="133"/>
      <c r="AA830" s="133"/>
    </row>
    <row r="831" spans="1:27" hidden="1" x14ac:dyDescent="0.25">
      <c r="A831" s="127">
        <v>939</v>
      </c>
      <c r="B831" s="128" t="str">
        <f t="shared" si="96"/>
        <v>MINT</v>
      </c>
      <c r="C831" s="128" t="e">
        <f>+VLOOKUP(U831,Ходим!A:B,2,0)</f>
        <v>#N/A</v>
      </c>
      <c r="D831" s="128" t="str">
        <f>IFERROR(VLOOKUP($B:$B,[20]свод!$A:$AB,3,0)," ")</f>
        <v>Мингбулоқ тумани</v>
      </c>
      <c r="E831" s="7" t="s">
        <v>1971</v>
      </c>
      <c r="F831" s="7" t="s">
        <v>8367</v>
      </c>
      <c r="G831" s="134">
        <f t="shared" si="100"/>
        <v>1</v>
      </c>
      <c r="H831" s="134" t="str">
        <f t="shared" si="101"/>
        <v/>
      </c>
      <c r="I831" s="7" t="s">
        <v>156</v>
      </c>
      <c r="J831" s="7" t="s">
        <v>11</v>
      </c>
      <c r="K831" s="7"/>
      <c r="L831" s="7" t="s">
        <v>167</v>
      </c>
      <c r="M831" s="7" t="s">
        <v>4749</v>
      </c>
      <c r="N831" s="7" t="s">
        <v>410</v>
      </c>
      <c r="O831" s="7" t="s">
        <v>162</v>
      </c>
      <c r="P831" s="7" t="s">
        <v>6689</v>
      </c>
      <c r="Q831" s="129">
        <v>46199</v>
      </c>
      <c r="R831" s="130">
        <f t="shared" si="99"/>
        <v>46212</v>
      </c>
      <c r="S831" s="131">
        <f t="shared" si="97"/>
        <v>13</v>
      </c>
      <c r="T831" s="7"/>
      <c r="U831" s="7"/>
      <c r="V831" s="7"/>
      <c r="W831" s="7">
        <v>232.45</v>
      </c>
      <c r="X831" s="132">
        <f t="shared" si="98"/>
        <v>10</v>
      </c>
      <c r="Y831" s="133"/>
      <c r="Z831" s="133"/>
      <c r="AA831" s="133"/>
    </row>
    <row r="832" spans="1:27" x14ac:dyDescent="0.25">
      <c r="A832" s="127">
        <v>941</v>
      </c>
      <c r="B832" s="128" t="str">
        <f t="shared" si="96"/>
        <v>UYCT</v>
      </c>
      <c r="C832" s="128" t="str">
        <f>+VLOOKUP(U832,Ходим!A:B,2,0)</f>
        <v>31310995930032</v>
      </c>
      <c r="D832" s="128" t="str">
        <f>IFERROR(VLOOKUP($B:$B,[20]свод!$A:$AB,3,0)," ")</f>
        <v>Уйчи тумани</v>
      </c>
      <c r="E832" s="7" t="s">
        <v>1972</v>
      </c>
      <c r="F832" s="7" t="s">
        <v>8368</v>
      </c>
      <c r="G832" s="134" t="str">
        <f t="shared" si="100"/>
        <v/>
      </c>
      <c r="H832" s="134">
        <f t="shared" si="101"/>
        <v>1</v>
      </c>
      <c r="I832" s="7" t="s">
        <v>157</v>
      </c>
      <c r="J832" s="7" t="s">
        <v>23</v>
      </c>
      <c r="K832" s="7"/>
      <c r="L832" s="7" t="s">
        <v>168</v>
      </c>
      <c r="M832" s="7" t="s">
        <v>4750</v>
      </c>
      <c r="N832" s="7" t="s">
        <v>410</v>
      </c>
      <c r="O832" s="7" t="s">
        <v>161</v>
      </c>
      <c r="P832" s="7" t="s">
        <v>6692</v>
      </c>
      <c r="Q832" s="129">
        <v>46199</v>
      </c>
      <c r="R832" s="130">
        <f t="shared" si="99"/>
        <v>46195</v>
      </c>
      <c r="S832" s="131">
        <f t="shared" si="97"/>
        <v>-4</v>
      </c>
      <c r="T832" s="7" t="s">
        <v>379</v>
      </c>
      <c r="U832" s="7" t="s">
        <v>399</v>
      </c>
      <c r="V832" s="7"/>
      <c r="W832" s="7">
        <v>0</v>
      </c>
      <c r="X832" s="132">
        <f t="shared" si="98"/>
        <v>7</v>
      </c>
      <c r="Y832" s="133"/>
      <c r="Z832" s="133"/>
      <c r="AA832" s="133"/>
    </row>
    <row r="833" spans="1:27" x14ac:dyDescent="0.25">
      <c r="A833" s="127">
        <v>943</v>
      </c>
      <c r="B833" s="128" t="str">
        <f t="shared" si="96"/>
        <v>NAMS</v>
      </c>
      <c r="C833" s="128" t="str">
        <f>+VLOOKUP(U833,Ходим!A:B,2,0)</f>
        <v>33012942170121</v>
      </c>
      <c r="D833" s="128" t="str">
        <f>IFERROR(VLOOKUP($B:$B,[20]свод!$A:$AB,3,0)," ")</f>
        <v>Наманган шаҳар</v>
      </c>
      <c r="E833" s="7" t="s">
        <v>1973</v>
      </c>
      <c r="F833" s="7" t="s">
        <v>8369</v>
      </c>
      <c r="G833" s="134">
        <f t="shared" si="100"/>
        <v>1</v>
      </c>
      <c r="H833" s="134" t="str">
        <f t="shared" si="101"/>
        <v/>
      </c>
      <c r="I833" s="7" t="s">
        <v>158</v>
      </c>
      <c r="J833" s="7" t="s">
        <v>1</v>
      </c>
      <c r="K833" s="7"/>
      <c r="L833" s="7" t="s">
        <v>167</v>
      </c>
      <c r="M833" s="7" t="s">
        <v>4751</v>
      </c>
      <c r="N833" s="7" t="s">
        <v>170</v>
      </c>
      <c r="O833" s="7" t="s">
        <v>162</v>
      </c>
      <c r="P833" s="7" t="s">
        <v>6693</v>
      </c>
      <c r="Q833" s="129">
        <v>46199</v>
      </c>
      <c r="R833" s="130">
        <f t="shared" si="99"/>
        <v>46199</v>
      </c>
      <c r="S833" s="131">
        <f t="shared" si="97"/>
        <v>0</v>
      </c>
      <c r="T833" s="7" t="s">
        <v>185</v>
      </c>
      <c r="U833" s="7" t="s">
        <v>259</v>
      </c>
      <c r="V833" s="7"/>
      <c r="W833" s="7">
        <v>331.77</v>
      </c>
      <c r="X833" s="132">
        <f t="shared" si="98"/>
        <v>10</v>
      </c>
      <c r="Y833" s="133"/>
      <c r="Z833" s="133"/>
      <c r="AA833" s="133"/>
    </row>
    <row r="834" spans="1:27" hidden="1" x14ac:dyDescent="0.25">
      <c r="A834" s="127">
        <v>944</v>
      </c>
      <c r="B834" s="128" t="str">
        <f t="shared" si="96"/>
        <v>CHUT</v>
      </c>
      <c r="C834" s="128" t="str">
        <f>+VLOOKUP(U834,Ходим!A:B,2,0)</f>
        <v>50905015970078</v>
      </c>
      <c r="D834" s="128" t="str">
        <f>IFERROR(VLOOKUP($B:$B,[20]свод!$A:$AB,3,0)," ")</f>
        <v>Чуст тумани</v>
      </c>
      <c r="E834" s="7" t="s">
        <v>1974</v>
      </c>
      <c r="F834" s="7" t="s">
        <v>8370</v>
      </c>
      <c r="G834" s="134">
        <f t="shared" si="100"/>
        <v>1</v>
      </c>
      <c r="H834" s="134" t="str">
        <f t="shared" si="101"/>
        <v/>
      </c>
      <c r="I834" s="7" t="s">
        <v>158</v>
      </c>
      <c r="J834" s="7" t="s">
        <v>12</v>
      </c>
      <c r="K834" s="7"/>
      <c r="L834" s="7" t="s">
        <v>167</v>
      </c>
      <c r="M834" s="7" t="s">
        <v>4752</v>
      </c>
      <c r="N834" s="7" t="s">
        <v>170</v>
      </c>
      <c r="O834" s="7" t="s">
        <v>162</v>
      </c>
      <c r="P834" s="7" t="s">
        <v>6416</v>
      </c>
      <c r="Q834" s="129">
        <v>46199</v>
      </c>
      <c r="R834" s="130">
        <f t="shared" si="99"/>
        <v>46211</v>
      </c>
      <c r="S834" s="131">
        <f t="shared" si="97"/>
        <v>12</v>
      </c>
      <c r="T834" s="7" t="s">
        <v>178</v>
      </c>
      <c r="U834" s="7" t="s">
        <v>521</v>
      </c>
      <c r="V834" s="7"/>
      <c r="W834" s="7">
        <v>439.61</v>
      </c>
      <c r="X834" s="132">
        <f t="shared" si="98"/>
        <v>10</v>
      </c>
      <c r="Y834" s="133"/>
      <c r="Z834" s="133"/>
      <c r="AA834" s="133"/>
    </row>
    <row r="835" spans="1:27" hidden="1" x14ac:dyDescent="0.25">
      <c r="A835" s="127">
        <v>946</v>
      </c>
      <c r="B835" s="128" t="str">
        <f t="shared" si="96"/>
        <v>YGQT</v>
      </c>
      <c r="C835" s="128" t="str">
        <f>+VLOOKUP(U835,Ходим!A:B,2,0)</f>
        <v>30107965950010</v>
      </c>
      <c r="D835" s="128" t="str">
        <f>IFERROR(VLOOKUP($B:$B,[20]свод!$A:$AB,3,0)," ")</f>
        <v>Янгиқўрғон тумани</v>
      </c>
      <c r="E835" s="7" t="s">
        <v>1975</v>
      </c>
      <c r="F835" s="7" t="s">
        <v>8371</v>
      </c>
      <c r="G835" s="134">
        <f t="shared" si="100"/>
        <v>1</v>
      </c>
      <c r="H835" s="134" t="str">
        <f t="shared" si="101"/>
        <v/>
      </c>
      <c r="I835" s="7" t="s">
        <v>156</v>
      </c>
      <c r="J835" s="7" t="s">
        <v>22</v>
      </c>
      <c r="K835" s="7"/>
      <c r="L835" s="7" t="s">
        <v>167</v>
      </c>
      <c r="M835" s="7" t="s">
        <v>4753</v>
      </c>
      <c r="N835" s="7" t="s">
        <v>170</v>
      </c>
      <c r="O835" s="7" t="s">
        <v>162</v>
      </c>
      <c r="P835" s="7" t="s">
        <v>6378</v>
      </c>
      <c r="Q835" s="129">
        <v>46199</v>
      </c>
      <c r="R835" s="130">
        <f t="shared" si="99"/>
        <v>46211</v>
      </c>
      <c r="S835" s="131">
        <f t="shared" si="97"/>
        <v>12</v>
      </c>
      <c r="T835" s="7" t="s">
        <v>182</v>
      </c>
      <c r="U835" s="7" t="s">
        <v>244</v>
      </c>
      <c r="V835" s="7"/>
      <c r="W835" s="7">
        <v>73.5</v>
      </c>
      <c r="X835" s="132">
        <f t="shared" si="98"/>
        <v>10</v>
      </c>
      <c r="Y835" s="133"/>
      <c r="Z835" s="133"/>
      <c r="AA835" s="133"/>
    </row>
    <row r="836" spans="1:27" hidden="1" x14ac:dyDescent="0.25">
      <c r="A836" s="127">
        <v>947</v>
      </c>
      <c r="B836" s="128" t="str">
        <f t="shared" si="96"/>
        <v>TORT</v>
      </c>
      <c r="C836" s="128">
        <f>+VLOOKUP(U836,Ходим!A:B,2,0)</f>
        <v>30603862130011</v>
      </c>
      <c r="D836" s="128" t="str">
        <f>IFERROR(VLOOKUP($B:$B,[20]свод!$A:$AB,3,0)," ")</f>
        <v>Тўрақўрғон тумани</v>
      </c>
      <c r="E836" s="7" t="s">
        <v>1976</v>
      </c>
      <c r="F836" s="7" t="s">
        <v>8372</v>
      </c>
      <c r="G836" s="134">
        <f t="shared" si="100"/>
        <v>1</v>
      </c>
      <c r="H836" s="134" t="str">
        <f t="shared" si="101"/>
        <v/>
      </c>
      <c r="I836" s="7" t="s">
        <v>158</v>
      </c>
      <c r="J836" s="7" t="s">
        <v>2</v>
      </c>
      <c r="K836" s="7"/>
      <c r="L836" s="7" t="s">
        <v>167</v>
      </c>
      <c r="M836" s="7" t="s">
        <v>4754</v>
      </c>
      <c r="N836" s="7" t="s">
        <v>170</v>
      </c>
      <c r="O836" s="7" t="s">
        <v>162</v>
      </c>
      <c r="P836" s="7" t="s">
        <v>6694</v>
      </c>
      <c r="Q836" s="129">
        <v>46199</v>
      </c>
      <c r="R836" s="130">
        <f t="shared" si="99"/>
        <v>46206</v>
      </c>
      <c r="S836" s="131">
        <f t="shared" si="97"/>
        <v>7</v>
      </c>
      <c r="T836" s="7" t="s">
        <v>203</v>
      </c>
      <c r="U836" s="7" t="s">
        <v>950</v>
      </c>
      <c r="V836" s="7"/>
      <c r="W836" s="7">
        <v>274.39999999999998</v>
      </c>
      <c r="X836" s="132">
        <f t="shared" ref="X836:X892" si="102">IF(N836="Kadastr muhandisi",3,
IF(N836="UZKAD",5,
IF(V836="FREE",5,
IF(I836="Registratsiya (tashqi - UZKAD da bor)",1,
IF(I836="Avtoyo'l va suv xo'jaligi obyektining kadastr pasportini shakllantirish va ro'yxatga olish",7,
IF(I836="Notarius uchun ma'lumotnoma (uz)",1,
IF(I836="Qurilishi tugallangan ko'chmas mulkni foydalanishga qabul qilish",10,
IF(OR(I836="Turar joy obyektning kadastr pasportini shakllantirish va davlat ro'yxatidan o'tkazish",I836="Turar kompozit"),
IF(L836="Turar yer maydoni",7,10),
IF(OR(I836="Noturar obyektning kadastr pasportini shakllantirish va davlat ro'yxatidan o'tkazish",I836="Noturar kompozit"),
IF(O836="Ko‘p yillik daraxtlar xizmati",15,
IF(OR(L836="Noturar yer maydoni",L836="Davlat tashkilotlaridan ijaraga olingan yer uchastkasi"),7,
IF(W836&lt;100,10,IF(W836&lt;=1000,12,IF(W836&lt;=5000,17,IF(W836&lt;=15000,22,IF(W836&lt;=50000,28,37))))))),
IF(I836="Umumiy foydalanishdagi ko'chmas mulk qismini yaratish",
IF(IF(TRIM(L836)="",IF(OR(O836="Turar joy xizmati",O836="Yakka tartibdagi turar joy"),"Turar","Noturar"),IF(OR(L836="Yakka tartibdagi turar joy",L836="Turar joy xizmati"),"Turar","Noturar"))="Turar",
10,IF(W836&lt;100,10,IF(W836&lt;=1000,12,IF(W836&lt;=5000,17,IF(W836&lt;=15000,22,IF(W836&lt;=50000,28,37)))))),
0))))))))))</f>
        <v>10</v>
      </c>
      <c r="Y836" s="133"/>
      <c r="Z836" s="133"/>
      <c r="AA836" s="133"/>
    </row>
    <row r="837" spans="1:27" x14ac:dyDescent="0.25">
      <c r="A837" s="127">
        <v>948</v>
      </c>
      <c r="B837" s="128" t="str">
        <f t="shared" ref="B837:B893" si="103">LEFT(E837,4)</f>
        <v>YGQT</v>
      </c>
      <c r="C837" s="128" t="str">
        <f>+VLOOKUP(U837,Ходим!A:B,2,0)</f>
        <v>52802005950028</v>
      </c>
      <c r="D837" s="128" t="str">
        <f>IFERROR(VLOOKUP($B:$B,[20]свод!$A:$AB,3,0)," ")</f>
        <v>Янгиқўрғон тумани</v>
      </c>
      <c r="E837" s="7" t="s">
        <v>1977</v>
      </c>
      <c r="F837" s="7" t="s">
        <v>8373</v>
      </c>
      <c r="G837" s="134" t="str">
        <f t="shared" si="100"/>
        <v/>
      </c>
      <c r="H837" s="134">
        <f t="shared" si="101"/>
        <v>1</v>
      </c>
      <c r="I837" s="7" t="s">
        <v>157</v>
      </c>
      <c r="J837" s="7" t="s">
        <v>1</v>
      </c>
      <c r="K837" s="7"/>
      <c r="L837" s="7" t="s">
        <v>168</v>
      </c>
      <c r="M837" s="7" t="s">
        <v>4755</v>
      </c>
      <c r="N837" s="7" t="s">
        <v>170</v>
      </c>
      <c r="O837" s="7" t="s">
        <v>161</v>
      </c>
      <c r="P837" s="7" t="s">
        <v>6695</v>
      </c>
      <c r="Q837" s="129">
        <v>46199</v>
      </c>
      <c r="R837" s="130">
        <f t="shared" si="99"/>
        <v>46199</v>
      </c>
      <c r="S837" s="131">
        <f t="shared" ref="S837:S893" si="104">R837-Q837</f>
        <v>0</v>
      </c>
      <c r="T837" s="7" t="s">
        <v>255</v>
      </c>
      <c r="U837" s="7" t="s">
        <v>281</v>
      </c>
      <c r="V837" s="7"/>
      <c r="W837" s="7">
        <v>0</v>
      </c>
      <c r="X837" s="132">
        <f t="shared" si="102"/>
        <v>7</v>
      </c>
      <c r="Y837" s="133"/>
      <c r="Z837" s="133"/>
      <c r="AA837" s="133"/>
    </row>
    <row r="838" spans="1:27" hidden="1" x14ac:dyDescent="0.25">
      <c r="A838" s="127">
        <v>949</v>
      </c>
      <c r="B838" s="128" t="str">
        <f t="shared" si="103"/>
        <v>UYCT</v>
      </c>
      <c r="C838" s="128" t="str">
        <f>+VLOOKUP(U838,Ходим!A:B,2,0)</f>
        <v>32002975930037</v>
      </c>
      <c r="D838" s="128" t="str">
        <f>IFERROR(VLOOKUP($B:$B,[20]свод!$A:$AB,3,0)," ")</f>
        <v>Уйчи тумани</v>
      </c>
      <c r="E838" s="7" t="s">
        <v>1978</v>
      </c>
      <c r="F838" s="7" t="s">
        <v>8374</v>
      </c>
      <c r="G838" s="134" t="str">
        <f t="shared" si="100"/>
        <v/>
      </c>
      <c r="H838" s="134">
        <f t="shared" si="101"/>
        <v>1</v>
      </c>
      <c r="I838" s="7" t="s">
        <v>157</v>
      </c>
      <c r="J838" s="7" t="s">
        <v>2</v>
      </c>
      <c r="K838" s="7"/>
      <c r="L838" s="7"/>
      <c r="M838" s="7"/>
      <c r="N838" s="7" t="s">
        <v>410</v>
      </c>
      <c r="O838" s="7" t="s">
        <v>161</v>
      </c>
      <c r="P838" s="7" t="s">
        <v>6370</v>
      </c>
      <c r="Q838" s="129">
        <v>46199</v>
      </c>
      <c r="R838" s="130">
        <f t="shared" si="99"/>
        <v>46210</v>
      </c>
      <c r="S838" s="131">
        <f t="shared" si="104"/>
        <v>11</v>
      </c>
      <c r="T838" s="7" t="s">
        <v>947</v>
      </c>
      <c r="U838" s="7" t="s">
        <v>260</v>
      </c>
      <c r="V838" s="7"/>
      <c r="W838" s="7"/>
      <c r="X838" s="132">
        <f t="shared" si="102"/>
        <v>10</v>
      </c>
      <c r="Y838" s="133"/>
      <c r="Z838" s="133"/>
      <c r="AA838" s="133"/>
    </row>
    <row r="839" spans="1:27" hidden="1" x14ac:dyDescent="0.25">
      <c r="A839" s="127">
        <v>950</v>
      </c>
      <c r="B839" s="128" t="str">
        <f t="shared" si="103"/>
        <v>YGQT</v>
      </c>
      <c r="C839" s="128" t="str">
        <f>+VLOOKUP(U839,Ходим!A:B,2,0)</f>
        <v>52802005950028</v>
      </c>
      <c r="D839" s="128" t="str">
        <f>IFERROR(VLOOKUP($B:$B,[20]свод!$A:$AB,3,0)," ")</f>
        <v>Янгиқўрғон тумани</v>
      </c>
      <c r="E839" s="7" t="s">
        <v>1979</v>
      </c>
      <c r="F839" s="7" t="s">
        <v>8375</v>
      </c>
      <c r="G839" s="134" t="str">
        <f t="shared" si="100"/>
        <v/>
      </c>
      <c r="H839" s="134">
        <f t="shared" si="101"/>
        <v>1</v>
      </c>
      <c r="I839" s="7" t="s">
        <v>157</v>
      </c>
      <c r="J839" s="7" t="s">
        <v>134</v>
      </c>
      <c r="K839" s="7"/>
      <c r="L839" s="7"/>
      <c r="M839" s="7"/>
      <c r="N839" s="7" t="s">
        <v>170</v>
      </c>
      <c r="O839" s="7" t="s">
        <v>161</v>
      </c>
      <c r="P839" s="7" t="s">
        <v>6620</v>
      </c>
      <c r="Q839" s="129">
        <v>46199</v>
      </c>
      <c r="R839" s="130">
        <f t="shared" si="99"/>
        <v>46205</v>
      </c>
      <c r="S839" s="131">
        <f t="shared" si="104"/>
        <v>6</v>
      </c>
      <c r="T839" s="7" t="s">
        <v>182</v>
      </c>
      <c r="U839" s="7" t="s">
        <v>281</v>
      </c>
      <c r="V839" s="7"/>
      <c r="W839" s="7"/>
      <c r="X839" s="132">
        <f t="shared" si="102"/>
        <v>10</v>
      </c>
      <c r="Y839" s="133"/>
      <c r="Z839" s="133"/>
      <c r="AA839" s="133"/>
    </row>
    <row r="840" spans="1:27" hidden="1" x14ac:dyDescent="0.25">
      <c r="A840" s="127">
        <v>951</v>
      </c>
      <c r="B840" s="128" t="str">
        <f t="shared" si="103"/>
        <v>MINT</v>
      </c>
      <c r="C840" s="128" t="e">
        <f>+VLOOKUP(U840,Ходим!A:B,2,0)</f>
        <v>#N/A</v>
      </c>
      <c r="D840" s="128" t="str">
        <f>IFERROR(VLOOKUP($B:$B,[20]свод!$A:$AB,3,0)," ")</f>
        <v>Мингбулоқ тумани</v>
      </c>
      <c r="E840" s="7" t="s">
        <v>1980</v>
      </c>
      <c r="F840" s="7" t="s">
        <v>8376</v>
      </c>
      <c r="G840" s="134" t="str">
        <f t="shared" si="100"/>
        <v/>
      </c>
      <c r="H840" s="134">
        <f t="shared" si="101"/>
        <v>1</v>
      </c>
      <c r="I840" s="7" t="s">
        <v>155</v>
      </c>
      <c r="J840" s="7" t="s">
        <v>11</v>
      </c>
      <c r="K840" s="7"/>
      <c r="L840" s="7" t="s">
        <v>166</v>
      </c>
      <c r="M840" s="7" t="s">
        <v>4756</v>
      </c>
      <c r="N840" s="7" t="s">
        <v>410</v>
      </c>
      <c r="O840" s="7" t="s">
        <v>161</v>
      </c>
      <c r="P840" s="7" t="s">
        <v>6696</v>
      </c>
      <c r="Q840" s="129">
        <v>46199</v>
      </c>
      <c r="R840" s="130">
        <f t="shared" si="99"/>
        <v>46223</v>
      </c>
      <c r="S840" s="131">
        <f t="shared" si="104"/>
        <v>24</v>
      </c>
      <c r="T840" s="7"/>
      <c r="U840" s="7"/>
      <c r="V840" s="7"/>
      <c r="W840" s="7">
        <v>1171.17</v>
      </c>
      <c r="X840" s="132">
        <f t="shared" si="102"/>
        <v>17</v>
      </c>
      <c r="Y840" s="133"/>
      <c r="Z840" s="133"/>
      <c r="AA840" s="133"/>
    </row>
    <row r="841" spans="1:27" hidden="1" x14ac:dyDescent="0.25">
      <c r="A841" s="127">
        <v>952</v>
      </c>
      <c r="B841" s="128" t="str">
        <f t="shared" si="103"/>
        <v>UYCT</v>
      </c>
      <c r="C841" s="128" t="str">
        <f>+VLOOKUP(U841,Ходим!A:B,2,0)</f>
        <v>32002975930037</v>
      </c>
      <c r="D841" s="128" t="str">
        <f>IFERROR(VLOOKUP($B:$B,[20]свод!$A:$AB,3,0)," ")</f>
        <v>Уйчи тумани</v>
      </c>
      <c r="E841" s="7" t="s">
        <v>1981</v>
      </c>
      <c r="F841" s="7" t="s">
        <v>8377</v>
      </c>
      <c r="G841" s="134">
        <f t="shared" si="100"/>
        <v>1</v>
      </c>
      <c r="H841" s="134" t="str">
        <f t="shared" si="101"/>
        <v/>
      </c>
      <c r="I841" s="7" t="s">
        <v>158</v>
      </c>
      <c r="J841" s="7" t="s">
        <v>2</v>
      </c>
      <c r="K841" s="7"/>
      <c r="L841" s="7" t="s">
        <v>167</v>
      </c>
      <c r="M841" s="7" t="s">
        <v>4757</v>
      </c>
      <c r="N841" s="7" t="s">
        <v>410</v>
      </c>
      <c r="O841" s="7" t="s">
        <v>162</v>
      </c>
      <c r="P841" s="7" t="s">
        <v>6697</v>
      </c>
      <c r="Q841" s="129">
        <v>46199</v>
      </c>
      <c r="R841" s="130">
        <f t="shared" si="99"/>
        <v>46210</v>
      </c>
      <c r="S841" s="131">
        <f t="shared" si="104"/>
        <v>11</v>
      </c>
      <c r="T841" s="7" t="s">
        <v>947</v>
      </c>
      <c r="U841" s="7" t="s">
        <v>260</v>
      </c>
      <c r="V841" s="7"/>
      <c r="W841" s="7">
        <v>136.69999999999999</v>
      </c>
      <c r="X841" s="132">
        <f t="shared" si="102"/>
        <v>10</v>
      </c>
      <c r="Y841" s="133"/>
      <c r="Z841" s="133"/>
      <c r="AA841" s="133"/>
    </row>
    <row r="842" spans="1:27" hidden="1" x14ac:dyDescent="0.25">
      <c r="A842" s="127">
        <v>953</v>
      </c>
      <c r="B842" s="128" t="str">
        <f t="shared" si="103"/>
        <v>UCQT</v>
      </c>
      <c r="C842" s="128" t="e">
        <f>+VLOOKUP(U842,Ходим!A:B,2,0)</f>
        <v>#N/A</v>
      </c>
      <c r="D842" s="128" t="str">
        <f>IFERROR(VLOOKUP($B:$B,[20]свод!$A:$AB,3,0)," ")</f>
        <v>Учқўрғон тумани</v>
      </c>
      <c r="E842" s="7" t="s">
        <v>1982</v>
      </c>
      <c r="F842" s="7" t="s">
        <v>8378</v>
      </c>
      <c r="G842" s="134">
        <f t="shared" si="100"/>
        <v>1</v>
      </c>
      <c r="H842" s="134" t="str">
        <f t="shared" si="101"/>
        <v/>
      </c>
      <c r="I842" s="7" t="s">
        <v>159</v>
      </c>
      <c r="J842" s="7" t="s">
        <v>137</v>
      </c>
      <c r="K842" s="7"/>
      <c r="L842" s="7" t="s">
        <v>167</v>
      </c>
      <c r="M842" s="7" t="s">
        <v>4758</v>
      </c>
      <c r="N842" s="7" t="s">
        <v>170</v>
      </c>
      <c r="O842" s="7" t="s">
        <v>163</v>
      </c>
      <c r="P842" s="7" t="s">
        <v>6696</v>
      </c>
      <c r="Q842" s="129">
        <v>46199</v>
      </c>
      <c r="R842" s="130">
        <f t="shared" si="99"/>
        <v>46212</v>
      </c>
      <c r="S842" s="131">
        <f t="shared" si="104"/>
        <v>13</v>
      </c>
      <c r="T842" s="7"/>
      <c r="U842" s="7"/>
      <c r="V842" s="7"/>
      <c r="W842" s="7">
        <v>327.11</v>
      </c>
      <c r="X842" s="132">
        <f t="shared" si="102"/>
        <v>10</v>
      </c>
      <c r="Y842" s="133"/>
      <c r="Z842" s="133"/>
      <c r="AA842" s="133"/>
    </row>
    <row r="843" spans="1:27" hidden="1" x14ac:dyDescent="0.25">
      <c r="A843" s="127">
        <v>954</v>
      </c>
      <c r="B843" s="128" t="str">
        <f t="shared" si="103"/>
        <v>UYCT</v>
      </c>
      <c r="C843" s="128" t="str">
        <f>+VLOOKUP(U843,Ходим!A:B,2,0)</f>
        <v>31101985930022</v>
      </c>
      <c r="D843" s="128" t="str">
        <f>IFERROR(VLOOKUP($B:$B,[20]свод!$A:$AB,3,0)," ")</f>
        <v>Уйчи тумани</v>
      </c>
      <c r="E843" s="7" t="s">
        <v>1983</v>
      </c>
      <c r="F843" s="7" t="s">
        <v>8379</v>
      </c>
      <c r="G843" s="134" t="str">
        <f t="shared" si="100"/>
        <v/>
      </c>
      <c r="H843" s="134">
        <f t="shared" si="101"/>
        <v>1</v>
      </c>
      <c r="I843" s="7" t="s">
        <v>157</v>
      </c>
      <c r="J843" s="7" t="s">
        <v>134</v>
      </c>
      <c r="K843" s="7"/>
      <c r="L843" s="7"/>
      <c r="M843" s="7"/>
      <c r="N843" s="7" t="s">
        <v>410</v>
      </c>
      <c r="O843" s="7" t="s">
        <v>161</v>
      </c>
      <c r="P843" s="7" t="s">
        <v>6314</v>
      </c>
      <c r="Q843" s="129">
        <v>46199</v>
      </c>
      <c r="R843" s="130">
        <f t="shared" si="99"/>
        <v>46204</v>
      </c>
      <c r="S843" s="131">
        <f t="shared" si="104"/>
        <v>5</v>
      </c>
      <c r="T843" s="7" t="s">
        <v>947</v>
      </c>
      <c r="U843" s="7" t="s">
        <v>299</v>
      </c>
      <c r="V843" s="7"/>
      <c r="W843" s="7"/>
      <c r="X843" s="132">
        <f t="shared" si="102"/>
        <v>10</v>
      </c>
      <c r="Y843" s="133"/>
      <c r="Z843" s="133"/>
      <c r="AA843" s="133"/>
    </row>
    <row r="844" spans="1:27" hidden="1" x14ac:dyDescent="0.25">
      <c r="A844" s="127">
        <v>955</v>
      </c>
      <c r="B844" s="128" t="str">
        <f t="shared" si="103"/>
        <v>UYCT</v>
      </c>
      <c r="C844" s="128" t="str">
        <f>+VLOOKUP(U844,Ходим!A:B,2,0)</f>
        <v>32906985930035</v>
      </c>
      <c r="D844" s="128" t="str">
        <f>IFERROR(VLOOKUP($B:$B,[20]свод!$A:$AB,3,0)," ")</f>
        <v>Уйчи тумани</v>
      </c>
      <c r="E844" s="7" t="s">
        <v>1984</v>
      </c>
      <c r="F844" s="7" t="s">
        <v>8380</v>
      </c>
      <c r="G844" s="134">
        <f t="shared" si="100"/>
        <v>1</v>
      </c>
      <c r="H844" s="134" t="str">
        <f t="shared" si="101"/>
        <v/>
      </c>
      <c r="I844" s="7" t="s">
        <v>156</v>
      </c>
      <c r="J844" s="7" t="s">
        <v>11</v>
      </c>
      <c r="K844" s="7"/>
      <c r="L844" s="7" t="s">
        <v>167</v>
      </c>
      <c r="M844" s="7" t="s">
        <v>4759</v>
      </c>
      <c r="N844" s="7" t="s">
        <v>410</v>
      </c>
      <c r="O844" s="7" t="s">
        <v>162</v>
      </c>
      <c r="P844" s="7" t="s">
        <v>6698</v>
      </c>
      <c r="Q844" s="129">
        <v>46199</v>
      </c>
      <c r="R844" s="130">
        <f t="shared" si="99"/>
        <v>46210</v>
      </c>
      <c r="S844" s="131">
        <f t="shared" si="104"/>
        <v>11</v>
      </c>
      <c r="T844" s="7" t="s">
        <v>947</v>
      </c>
      <c r="U844" s="7" t="s">
        <v>257</v>
      </c>
      <c r="V844" s="7"/>
      <c r="W844" s="7">
        <v>294.07</v>
      </c>
      <c r="X844" s="132">
        <f t="shared" si="102"/>
        <v>10</v>
      </c>
      <c r="Y844" s="133"/>
      <c r="Z844" s="133"/>
      <c r="AA844" s="133"/>
    </row>
    <row r="845" spans="1:27" hidden="1" x14ac:dyDescent="0.25">
      <c r="A845" s="127">
        <v>956</v>
      </c>
      <c r="B845" s="128" t="str">
        <f t="shared" si="103"/>
        <v>NAMS</v>
      </c>
      <c r="C845" s="128" t="str">
        <f>+VLOOKUP(U845,Ходим!A:B,2,0)</f>
        <v>30202915960070</v>
      </c>
      <c r="D845" s="128" t="str">
        <f>IFERROR(VLOOKUP($B:$B,[20]свод!$A:$AB,3,0)," ")</f>
        <v>Наманган шаҳар</v>
      </c>
      <c r="E845" s="7" t="s">
        <v>1985</v>
      </c>
      <c r="F845" s="7" t="s">
        <v>8381</v>
      </c>
      <c r="G845" s="134">
        <f t="shared" si="100"/>
        <v>1</v>
      </c>
      <c r="H845" s="134" t="str">
        <f t="shared" si="101"/>
        <v/>
      </c>
      <c r="I845" s="7" t="s">
        <v>158</v>
      </c>
      <c r="J845" s="7" t="s">
        <v>12</v>
      </c>
      <c r="K845" s="7"/>
      <c r="L845" s="7" t="s">
        <v>167</v>
      </c>
      <c r="M845" s="7" t="s">
        <v>4760</v>
      </c>
      <c r="N845" s="7" t="s">
        <v>170</v>
      </c>
      <c r="O845" s="7" t="s">
        <v>162</v>
      </c>
      <c r="P845" s="7" t="s">
        <v>6388</v>
      </c>
      <c r="Q845" s="129">
        <v>46199</v>
      </c>
      <c r="R845" s="130">
        <f t="shared" si="99"/>
        <v>46204</v>
      </c>
      <c r="S845" s="131">
        <f t="shared" si="104"/>
        <v>5</v>
      </c>
      <c r="T845" s="7" t="s">
        <v>185</v>
      </c>
      <c r="U845" s="7" t="s">
        <v>177</v>
      </c>
      <c r="V845" s="7"/>
      <c r="W845" s="7">
        <v>152.63999999999999</v>
      </c>
      <c r="X845" s="132">
        <f t="shared" si="102"/>
        <v>10</v>
      </c>
      <c r="Y845" s="133"/>
      <c r="Z845" s="133"/>
      <c r="AA845" s="133"/>
    </row>
    <row r="846" spans="1:27" hidden="1" x14ac:dyDescent="0.25">
      <c r="A846" s="127">
        <v>957</v>
      </c>
      <c r="B846" s="128" t="str">
        <f t="shared" si="103"/>
        <v>UYCT</v>
      </c>
      <c r="C846" s="128" t="str">
        <f>+VLOOKUP(U846,Ходим!A:B,2,0)</f>
        <v>31004952140036</v>
      </c>
      <c r="D846" s="128" t="str">
        <f>IFERROR(VLOOKUP($B:$B,[20]свод!$A:$AB,3,0)," ")</f>
        <v>Уйчи тумани</v>
      </c>
      <c r="E846" s="7" t="s">
        <v>1986</v>
      </c>
      <c r="F846" s="7" t="s">
        <v>8382</v>
      </c>
      <c r="G846" s="134">
        <f t="shared" si="100"/>
        <v>1</v>
      </c>
      <c r="H846" s="134" t="str">
        <f t="shared" si="101"/>
        <v/>
      </c>
      <c r="I846" s="7" t="s">
        <v>156</v>
      </c>
      <c r="J846" s="7" t="s">
        <v>25</v>
      </c>
      <c r="K846" s="7"/>
      <c r="L846" s="7"/>
      <c r="M846" s="7"/>
      <c r="N846" s="7" t="s">
        <v>410</v>
      </c>
      <c r="O846" s="7" t="s">
        <v>162</v>
      </c>
      <c r="P846" s="7" t="s">
        <v>6699</v>
      </c>
      <c r="Q846" s="129">
        <v>46199</v>
      </c>
      <c r="R846" s="130">
        <f t="shared" si="99"/>
        <v>46209</v>
      </c>
      <c r="S846" s="131">
        <f t="shared" si="104"/>
        <v>10</v>
      </c>
      <c r="T846" s="7" t="s">
        <v>947</v>
      </c>
      <c r="U846" s="7" t="s">
        <v>331</v>
      </c>
      <c r="V846" s="7"/>
      <c r="W846" s="7"/>
      <c r="X846" s="132">
        <f t="shared" si="102"/>
        <v>10</v>
      </c>
      <c r="Y846" s="133"/>
      <c r="Z846" s="133"/>
      <c r="AA846" s="133"/>
    </row>
    <row r="847" spans="1:27" hidden="1" x14ac:dyDescent="0.25">
      <c r="A847" s="127">
        <v>958</v>
      </c>
      <c r="B847" s="128" t="str">
        <f t="shared" si="103"/>
        <v>NAMS</v>
      </c>
      <c r="C847" s="128" t="str">
        <f>+VLOOKUP(U847,Ходим!A:B,2,0)</f>
        <v>30910985930021</v>
      </c>
      <c r="D847" s="128" t="str">
        <f>IFERROR(VLOOKUP($B:$B,[20]свод!$A:$AB,3,0)," ")</f>
        <v>Наманган шаҳар</v>
      </c>
      <c r="E847" s="7" t="s">
        <v>1987</v>
      </c>
      <c r="F847" s="7" t="s">
        <v>8383</v>
      </c>
      <c r="G847" s="134">
        <f t="shared" si="100"/>
        <v>1</v>
      </c>
      <c r="H847" s="134" t="str">
        <f t="shared" si="101"/>
        <v/>
      </c>
      <c r="I847" s="7" t="s">
        <v>156</v>
      </c>
      <c r="J847" s="7" t="s">
        <v>25</v>
      </c>
      <c r="K847" s="7"/>
      <c r="L847" s="7"/>
      <c r="M847" s="7"/>
      <c r="N847" s="7" t="s">
        <v>170</v>
      </c>
      <c r="O847" s="7" t="s">
        <v>162</v>
      </c>
      <c r="P847" s="7" t="s">
        <v>6700</v>
      </c>
      <c r="Q847" s="129">
        <v>46199</v>
      </c>
      <c r="R847" s="130">
        <f t="shared" si="99"/>
        <v>46212</v>
      </c>
      <c r="S847" s="131">
        <f t="shared" si="104"/>
        <v>13</v>
      </c>
      <c r="T847" s="7" t="s">
        <v>173</v>
      </c>
      <c r="U847" s="7" t="s">
        <v>963</v>
      </c>
      <c r="V847" s="7"/>
      <c r="W847" s="7"/>
      <c r="X847" s="132">
        <f t="shared" si="102"/>
        <v>10</v>
      </c>
      <c r="Y847" s="133"/>
      <c r="Z847" s="133"/>
      <c r="AA847" s="133"/>
    </row>
    <row r="848" spans="1:27" hidden="1" x14ac:dyDescent="0.25">
      <c r="A848" s="127">
        <v>959</v>
      </c>
      <c r="B848" s="128" t="str">
        <f t="shared" si="103"/>
        <v>NAMS</v>
      </c>
      <c r="C848" s="128" t="str">
        <f>+VLOOKUP(U848,Ходим!A:B,2,0)</f>
        <v>30108932170088</v>
      </c>
      <c r="D848" s="128" t="str">
        <f>IFERROR(VLOOKUP($B:$B,[20]свод!$A:$AB,3,0)," ")</f>
        <v>Наманган шаҳар</v>
      </c>
      <c r="E848" s="7" t="s">
        <v>1988</v>
      </c>
      <c r="F848" s="7" t="s">
        <v>8384</v>
      </c>
      <c r="G848" s="134">
        <f t="shared" si="100"/>
        <v>1</v>
      </c>
      <c r="H848" s="134" t="str">
        <f t="shared" si="101"/>
        <v/>
      </c>
      <c r="I848" s="7" t="s">
        <v>156</v>
      </c>
      <c r="J848" s="7" t="s">
        <v>22</v>
      </c>
      <c r="K848" s="7"/>
      <c r="L848" s="7" t="s">
        <v>167</v>
      </c>
      <c r="M848" s="7" t="s">
        <v>4761</v>
      </c>
      <c r="N848" s="7" t="s">
        <v>170</v>
      </c>
      <c r="O848" s="7" t="s">
        <v>162</v>
      </c>
      <c r="P848" s="7" t="s">
        <v>6700</v>
      </c>
      <c r="Q848" s="129">
        <v>46199</v>
      </c>
      <c r="R848" s="130">
        <f t="shared" si="99"/>
        <v>46212</v>
      </c>
      <c r="S848" s="131">
        <f t="shared" si="104"/>
        <v>13</v>
      </c>
      <c r="T848" s="7" t="s">
        <v>173</v>
      </c>
      <c r="U848" s="7" t="s">
        <v>329</v>
      </c>
      <c r="V848" s="7"/>
      <c r="W848" s="7">
        <v>0</v>
      </c>
      <c r="X848" s="132">
        <f t="shared" si="102"/>
        <v>10</v>
      </c>
      <c r="Y848" s="133"/>
      <c r="Z848" s="133"/>
      <c r="AA848" s="133"/>
    </row>
    <row r="849" spans="1:27" x14ac:dyDescent="0.25">
      <c r="A849" s="127">
        <v>960</v>
      </c>
      <c r="B849" s="128" t="str">
        <f t="shared" si="103"/>
        <v>UYCT</v>
      </c>
      <c r="C849" s="128" t="str">
        <f>+VLOOKUP(U849,Ходим!A:B,2,0)</f>
        <v>50304035930044</v>
      </c>
      <c r="D849" s="128" t="str">
        <f>IFERROR(VLOOKUP($B:$B,[20]свод!$A:$AB,3,0)," ")</f>
        <v>Уйчи тумани</v>
      </c>
      <c r="E849" s="7" t="s">
        <v>1989</v>
      </c>
      <c r="F849" s="7" t="s">
        <v>8385</v>
      </c>
      <c r="G849" s="134">
        <f t="shared" si="100"/>
        <v>1</v>
      </c>
      <c r="H849" s="134" t="str">
        <f t="shared" si="101"/>
        <v/>
      </c>
      <c r="I849" s="7" t="s">
        <v>158</v>
      </c>
      <c r="J849" s="7" t="s">
        <v>35</v>
      </c>
      <c r="K849" s="7"/>
      <c r="L849" s="7" t="s">
        <v>167</v>
      </c>
      <c r="M849" s="7" t="s">
        <v>4762</v>
      </c>
      <c r="N849" s="7" t="s">
        <v>170</v>
      </c>
      <c r="O849" s="7" t="s">
        <v>162</v>
      </c>
      <c r="P849" s="7" t="s">
        <v>6701</v>
      </c>
      <c r="Q849" s="129">
        <v>46199</v>
      </c>
      <c r="R849" s="130">
        <f t="shared" si="99"/>
        <v>46199</v>
      </c>
      <c r="S849" s="131">
        <f t="shared" si="104"/>
        <v>0</v>
      </c>
      <c r="T849" s="7" t="s">
        <v>947</v>
      </c>
      <c r="U849" s="7" t="s">
        <v>956</v>
      </c>
      <c r="V849" s="7"/>
      <c r="W849" s="7">
        <v>286.5</v>
      </c>
      <c r="X849" s="132">
        <f t="shared" si="102"/>
        <v>10</v>
      </c>
      <c r="Y849" s="133"/>
      <c r="Z849" s="133"/>
      <c r="AA849" s="133"/>
    </row>
    <row r="850" spans="1:27" hidden="1" x14ac:dyDescent="0.25">
      <c r="A850" s="127">
        <v>961</v>
      </c>
      <c r="B850" s="128" t="str">
        <f t="shared" si="103"/>
        <v>UYCT</v>
      </c>
      <c r="C850" s="128" t="str">
        <f>+VLOOKUP(U850,Ходим!A:B,2,0)</f>
        <v>31101985930022</v>
      </c>
      <c r="D850" s="128" t="str">
        <f>IFERROR(VLOOKUP($B:$B,[20]свод!$A:$AB,3,0)," ")</f>
        <v>Уйчи тумани</v>
      </c>
      <c r="E850" s="7" t="s">
        <v>1990</v>
      </c>
      <c r="F850" s="7" t="s">
        <v>8386</v>
      </c>
      <c r="G850" s="134" t="str">
        <f t="shared" si="100"/>
        <v/>
      </c>
      <c r="H850" s="134">
        <f t="shared" si="101"/>
        <v>1</v>
      </c>
      <c r="I850" s="7" t="s">
        <v>157</v>
      </c>
      <c r="J850" s="7" t="s">
        <v>16</v>
      </c>
      <c r="K850" s="7"/>
      <c r="L850" s="7" t="s">
        <v>166</v>
      </c>
      <c r="M850" s="7" t="s">
        <v>4763</v>
      </c>
      <c r="N850" s="7" t="s">
        <v>410</v>
      </c>
      <c r="O850" s="7" t="s">
        <v>161</v>
      </c>
      <c r="P850" s="7" t="s">
        <v>6702</v>
      </c>
      <c r="Q850" s="129">
        <v>46199</v>
      </c>
      <c r="R850" s="130">
        <f t="shared" ref="R850:R911" si="105">WORKDAY(P850,X850,$Y$1:$AA$1)</f>
        <v>46205</v>
      </c>
      <c r="S850" s="131">
        <f t="shared" si="104"/>
        <v>6</v>
      </c>
      <c r="T850" s="7" t="s">
        <v>947</v>
      </c>
      <c r="U850" s="7" t="s">
        <v>299</v>
      </c>
      <c r="V850" s="7"/>
      <c r="W850" s="7">
        <v>51.2</v>
      </c>
      <c r="X850" s="132">
        <f t="shared" si="102"/>
        <v>10</v>
      </c>
      <c r="Y850" s="133"/>
      <c r="Z850" s="133"/>
      <c r="AA850" s="133"/>
    </row>
    <row r="851" spans="1:27" hidden="1" x14ac:dyDescent="0.25">
      <c r="A851" s="127">
        <v>962</v>
      </c>
      <c r="B851" s="128" t="str">
        <f t="shared" si="103"/>
        <v>MINT</v>
      </c>
      <c r="C851" s="128" t="str">
        <f>+VLOOKUP(U851,Ходим!A:B,2,0)</f>
        <v>31005942200035</v>
      </c>
      <c r="D851" s="128" t="str">
        <f>IFERROR(VLOOKUP($B:$B,[20]свод!$A:$AB,3,0)," ")</f>
        <v>Мингбулоқ тумани</v>
      </c>
      <c r="E851" s="7" t="s">
        <v>1991</v>
      </c>
      <c r="F851" s="7" t="s">
        <v>8387</v>
      </c>
      <c r="G851" s="134">
        <f t="shared" si="100"/>
        <v>1</v>
      </c>
      <c r="H851" s="134" t="str">
        <f t="shared" si="101"/>
        <v/>
      </c>
      <c r="I851" s="7" t="s">
        <v>156</v>
      </c>
      <c r="J851" s="7" t="s">
        <v>25</v>
      </c>
      <c r="K851" s="7"/>
      <c r="L851" s="7"/>
      <c r="M851" s="7"/>
      <c r="N851" s="7" t="s">
        <v>410</v>
      </c>
      <c r="O851" s="7" t="s">
        <v>162</v>
      </c>
      <c r="P851" s="7" t="s">
        <v>6703</v>
      </c>
      <c r="Q851" s="129">
        <v>46199</v>
      </c>
      <c r="R851" s="130">
        <f t="shared" si="105"/>
        <v>46212</v>
      </c>
      <c r="S851" s="131">
        <f t="shared" si="104"/>
        <v>13</v>
      </c>
      <c r="T851" s="7" t="s">
        <v>220</v>
      </c>
      <c r="U851" s="7" t="s">
        <v>222</v>
      </c>
      <c r="V851" s="7"/>
      <c r="W851" s="7"/>
      <c r="X851" s="132">
        <f t="shared" si="102"/>
        <v>10</v>
      </c>
      <c r="Y851" s="133"/>
      <c r="Z851" s="133"/>
      <c r="AA851" s="133"/>
    </row>
    <row r="852" spans="1:27" hidden="1" x14ac:dyDescent="0.25">
      <c r="A852" s="127">
        <v>964</v>
      </c>
      <c r="B852" s="128" t="str">
        <f t="shared" si="103"/>
        <v>NAMS</v>
      </c>
      <c r="C852" s="128" t="str">
        <f>+VLOOKUP(U852,Ходим!A:B,2,0)</f>
        <v>31312985950011</v>
      </c>
      <c r="D852" s="128" t="str">
        <f>IFERROR(VLOOKUP($B:$B,[20]свод!$A:$AB,3,0)," ")</f>
        <v>Наманган шаҳар</v>
      </c>
      <c r="E852" s="7" t="s">
        <v>1992</v>
      </c>
      <c r="F852" s="7" t="s">
        <v>8388</v>
      </c>
      <c r="G852" s="134">
        <f t="shared" si="100"/>
        <v>1</v>
      </c>
      <c r="H852" s="134" t="str">
        <f t="shared" si="101"/>
        <v/>
      </c>
      <c r="I852" s="7" t="s">
        <v>158</v>
      </c>
      <c r="J852" s="7" t="s">
        <v>10</v>
      </c>
      <c r="K852" s="7"/>
      <c r="L852" s="7" t="s">
        <v>167</v>
      </c>
      <c r="M852" s="7" t="s">
        <v>4764</v>
      </c>
      <c r="N852" s="7" t="s">
        <v>170</v>
      </c>
      <c r="O852" s="7" t="s">
        <v>163</v>
      </c>
      <c r="P852" s="7" t="s">
        <v>6685</v>
      </c>
      <c r="Q852" s="129">
        <v>46199</v>
      </c>
      <c r="R852" s="130">
        <f t="shared" si="105"/>
        <v>46205</v>
      </c>
      <c r="S852" s="131">
        <f t="shared" si="104"/>
        <v>6</v>
      </c>
      <c r="T852" s="7" t="s">
        <v>185</v>
      </c>
      <c r="U852" s="7" t="s">
        <v>303</v>
      </c>
      <c r="V852" s="7"/>
      <c r="W852" s="7">
        <v>306.25</v>
      </c>
      <c r="X852" s="132">
        <f t="shared" si="102"/>
        <v>10</v>
      </c>
      <c r="Y852" s="133"/>
      <c r="Z852" s="133"/>
      <c r="AA852" s="133"/>
    </row>
    <row r="853" spans="1:27" hidden="1" x14ac:dyDescent="0.25">
      <c r="A853" s="127">
        <v>965</v>
      </c>
      <c r="B853" s="128" t="str">
        <f t="shared" si="103"/>
        <v>TORT</v>
      </c>
      <c r="C853" s="128" t="e">
        <f>+VLOOKUP(U853,Ходим!A:B,2,0)</f>
        <v>#N/A</v>
      </c>
      <c r="D853" s="128" t="str">
        <f>IFERROR(VLOOKUP($B:$B,[20]свод!$A:$AB,3,0)," ")</f>
        <v>Тўрақўрғон тумани</v>
      </c>
      <c r="E853" s="7" t="s">
        <v>1993</v>
      </c>
      <c r="F853" s="7" t="s">
        <v>8389</v>
      </c>
      <c r="G853" s="134" t="str">
        <f t="shared" ref="G853:G915" si="106">IF(OR(
I853="Turar joy obyektning kadastr pasportini shakllantirish va davlat ro'yxatidan o'tkazish",
I853="Turar kompozit"
),
1,
IF(OR(
I853="Noturar kompozit",
I853="Avtoyo'l va suv xo'jaligi obyektining kadastr pasportini shakllantirish va ro'yxatga olish",
I853="Noturar obyektning kadastr pasportining kadastr pasportini shakllantirish va davlat ro'yxatidan o'tkazish"
),
"",
IF(OR(
I853="Notarius uchun ma'lumotnoma (uz)",
I853="Qurilishi tugallangan ko'chmas mulkni foydalanishga qabul qilish",
I853="Umumiy foydalanishdagi ko'chmas mulk qismini yaratish",
I853="Registratsiya (tashqi - UZKAD da bor)"
),
IF(OR(L853="Turar yer maydoni",L853="Yakka tartibdagi turar joy"),1,
IF(L853="Noturar bino","",
IF(L853="Noturar yer maydoni","",
IF(L853="",IF(OR(O853="Turar joy xizmati",O853="Foydalanishga ruxsatnoma berish xizmati"),1,""),"")
))),
"")))</f>
        <v/>
      </c>
      <c r="H853" s="134">
        <f t="shared" ref="H853:H915" si="107">IF(OR(
I853="Turar joy obyektning kadastr pasportini shakllantirish va davlat ro'yxatidan o'tkazish",
I853="Turar kompozit"
),
"",
IF(OR(
I853="Noturar kompozit",
I853="Avtoyo'l va suv xo'jaligi obyektining kadastr pasportini shakllantirish va ro'yxatga olish",
I853="Noturar obyektning kadastr pasportini shakllantirish va davlat ro'yxatidan o'tkazish"
),
1,
IF(OR(
I853="Notarius uchun ma'lumotnoma (uz)",
I853="Qurilishi tugallangan ko'chmas mulkni foydalanishga qabul qilish",
I853="Umumiy foydalanishdagi ko'chmas mulk qismini yaratish",
I853="Registratsiya (tashqi - UZKAD da bor)"
),
IF(OR(L853="Turar yer maydoni",L853="Yakka tartibdagi turar joy"),"",
IF(L853="Noturar bino",1,
IF(L853="Noturar yer maydoni",1,
IF(L853="",IF(OR(O853="Turar joy xizmati",O853="Foydalanishga ruxsatnoma berish xizmati"),"",1),"")
))),
"")))</f>
        <v>1</v>
      </c>
      <c r="I853" s="7" t="s">
        <v>155</v>
      </c>
      <c r="J853" s="7" t="s">
        <v>11</v>
      </c>
      <c r="K853" s="7"/>
      <c r="L853" s="7"/>
      <c r="M853" s="7"/>
      <c r="N853" s="7" t="s">
        <v>410</v>
      </c>
      <c r="O853" s="7" t="s">
        <v>161</v>
      </c>
      <c r="P853" s="7" t="s">
        <v>6704</v>
      </c>
      <c r="Q853" s="129">
        <v>46199</v>
      </c>
      <c r="R853" s="130">
        <f t="shared" si="105"/>
        <v>46212</v>
      </c>
      <c r="S853" s="131">
        <f t="shared" si="104"/>
        <v>13</v>
      </c>
      <c r="T853" s="7" t="s">
        <v>203</v>
      </c>
      <c r="U853" s="7"/>
      <c r="V853" s="7"/>
      <c r="W853" s="7"/>
      <c r="X853" s="132">
        <f t="shared" si="102"/>
        <v>10</v>
      </c>
      <c r="Y853" s="133"/>
      <c r="Z853" s="133"/>
      <c r="AA853" s="133"/>
    </row>
    <row r="854" spans="1:27" hidden="1" x14ac:dyDescent="0.25">
      <c r="A854" s="127">
        <v>966</v>
      </c>
      <c r="B854" s="128" t="str">
        <f t="shared" si="103"/>
        <v>YGQT</v>
      </c>
      <c r="C854" s="128" t="str">
        <f>+VLOOKUP(U854,Ходим!A:B,2,0)</f>
        <v>33103892160125</v>
      </c>
      <c r="D854" s="128" t="str">
        <f>IFERROR(VLOOKUP($B:$B,[20]свод!$A:$AB,3,0)," ")</f>
        <v>Янгиқўрғон тумани</v>
      </c>
      <c r="E854" s="7" t="s">
        <v>1994</v>
      </c>
      <c r="F854" s="7" t="s">
        <v>8390</v>
      </c>
      <c r="G854" s="134">
        <f t="shared" si="106"/>
        <v>1</v>
      </c>
      <c r="H854" s="134" t="str">
        <f t="shared" si="107"/>
        <v/>
      </c>
      <c r="I854" s="7" t="s">
        <v>158</v>
      </c>
      <c r="J854" s="7" t="s">
        <v>2</v>
      </c>
      <c r="K854" s="7"/>
      <c r="L854" s="7"/>
      <c r="M854" s="7"/>
      <c r="N854" s="7" t="s">
        <v>170</v>
      </c>
      <c r="O854" s="7" t="s">
        <v>162</v>
      </c>
      <c r="P854" s="7" t="s">
        <v>6704</v>
      </c>
      <c r="Q854" s="129">
        <v>46199</v>
      </c>
      <c r="R854" s="130">
        <f t="shared" si="105"/>
        <v>46212</v>
      </c>
      <c r="S854" s="131">
        <f t="shared" si="104"/>
        <v>13</v>
      </c>
      <c r="T854" s="7" t="s">
        <v>255</v>
      </c>
      <c r="U854" s="7" t="s">
        <v>183</v>
      </c>
      <c r="V854" s="7"/>
      <c r="W854" s="7"/>
      <c r="X854" s="132">
        <f t="shared" si="102"/>
        <v>10</v>
      </c>
      <c r="Y854" s="133"/>
      <c r="Z854" s="133"/>
      <c r="AA854" s="133"/>
    </row>
    <row r="855" spans="1:27" x14ac:dyDescent="0.25">
      <c r="A855" s="127">
        <v>967</v>
      </c>
      <c r="B855" s="128" t="str">
        <f t="shared" si="103"/>
        <v>NAMS</v>
      </c>
      <c r="C855" s="128" t="str">
        <f>+VLOOKUP(U855,Ходим!A:B,2,0)</f>
        <v>53008015960094</v>
      </c>
      <c r="D855" s="128" t="str">
        <f>IFERROR(VLOOKUP($B:$B,[20]свод!$A:$AB,3,0)," ")</f>
        <v>Наманган шаҳар</v>
      </c>
      <c r="E855" s="7" t="s">
        <v>1995</v>
      </c>
      <c r="F855" s="7" t="s">
        <v>8391</v>
      </c>
      <c r="G855" s="134">
        <f t="shared" si="106"/>
        <v>1</v>
      </c>
      <c r="H855" s="134" t="str">
        <f t="shared" si="107"/>
        <v/>
      </c>
      <c r="I855" s="7" t="s">
        <v>158</v>
      </c>
      <c r="J855" s="7" t="s">
        <v>1</v>
      </c>
      <c r="K855" s="7"/>
      <c r="L855" s="7" t="s">
        <v>167</v>
      </c>
      <c r="M855" s="7" t="s">
        <v>4765</v>
      </c>
      <c r="N855" s="7" t="s">
        <v>170</v>
      </c>
      <c r="O855" s="7" t="s">
        <v>163</v>
      </c>
      <c r="P855" s="7" t="s">
        <v>6670</v>
      </c>
      <c r="Q855" s="129">
        <v>46199</v>
      </c>
      <c r="R855" s="130">
        <f t="shared" si="105"/>
        <v>46199</v>
      </c>
      <c r="S855" s="131">
        <f t="shared" si="104"/>
        <v>0</v>
      </c>
      <c r="T855" s="7" t="s">
        <v>185</v>
      </c>
      <c r="U855" s="7" t="s">
        <v>403</v>
      </c>
      <c r="V855" s="7"/>
      <c r="W855" s="7">
        <v>501.19</v>
      </c>
      <c r="X855" s="132">
        <f t="shared" si="102"/>
        <v>10</v>
      </c>
      <c r="Y855" s="133"/>
      <c r="Z855" s="133"/>
      <c r="AA855" s="133"/>
    </row>
    <row r="856" spans="1:27" hidden="1" x14ac:dyDescent="0.25">
      <c r="A856" s="127">
        <v>968</v>
      </c>
      <c r="B856" s="128" t="str">
        <f t="shared" si="103"/>
        <v>CHOT</v>
      </c>
      <c r="C856" s="128" t="str">
        <f>+VLOOKUP(U856,Ходим!A:B,2,0)</f>
        <v>50310015890046</v>
      </c>
      <c r="D856" s="128" t="str">
        <f>IFERROR(VLOOKUP($B:$B,[20]свод!$A:$AB,3,0)," ")</f>
        <v>Чортоқ тумани</v>
      </c>
      <c r="E856" s="7" t="s">
        <v>1996</v>
      </c>
      <c r="F856" s="7"/>
      <c r="G856" s="134" t="str">
        <f t="shared" si="106"/>
        <v/>
      </c>
      <c r="H856" s="134">
        <f t="shared" si="107"/>
        <v>1</v>
      </c>
      <c r="I856" s="7" t="s">
        <v>154</v>
      </c>
      <c r="J856" s="7" t="s">
        <v>145</v>
      </c>
      <c r="K856" s="7"/>
      <c r="L856" s="7" t="s">
        <v>166</v>
      </c>
      <c r="M856" s="7" t="s">
        <v>4766</v>
      </c>
      <c r="N856" s="7" t="s">
        <v>368</v>
      </c>
      <c r="O856" s="7"/>
      <c r="P856" s="7" t="s">
        <v>6705</v>
      </c>
      <c r="Q856" s="129">
        <v>46199</v>
      </c>
      <c r="R856" s="130">
        <f t="shared" si="105"/>
        <v>46202</v>
      </c>
      <c r="S856" s="131">
        <f t="shared" si="104"/>
        <v>3</v>
      </c>
      <c r="T856" s="7" t="s">
        <v>184</v>
      </c>
      <c r="U856" s="7" t="s">
        <v>404</v>
      </c>
      <c r="V856" s="7" t="s">
        <v>965</v>
      </c>
      <c r="W856" s="7">
        <v>101</v>
      </c>
      <c r="X856" s="132">
        <f t="shared" si="102"/>
        <v>5</v>
      </c>
      <c r="Y856" s="133"/>
      <c r="Z856" s="133"/>
      <c r="AA856" s="133"/>
    </row>
    <row r="857" spans="1:27" hidden="1" x14ac:dyDescent="0.25">
      <c r="A857" s="127">
        <v>970</v>
      </c>
      <c r="B857" s="128" t="str">
        <f t="shared" si="103"/>
        <v>CHOT</v>
      </c>
      <c r="C857" s="128" t="str">
        <f>+VLOOKUP(U857,Ходим!A:B,2,0)</f>
        <v>51408005890064</v>
      </c>
      <c r="D857" s="128" t="str">
        <f>IFERROR(VLOOKUP($B:$B,[20]свод!$A:$AB,3,0)," ")</f>
        <v>Чортоқ тумани</v>
      </c>
      <c r="E857" s="7" t="s">
        <v>1997</v>
      </c>
      <c r="F857" s="7" t="s">
        <v>8392</v>
      </c>
      <c r="G857" s="134">
        <f t="shared" si="106"/>
        <v>1</v>
      </c>
      <c r="H857" s="134" t="str">
        <f t="shared" si="107"/>
        <v/>
      </c>
      <c r="I857" s="7" t="s">
        <v>156</v>
      </c>
      <c r="J857" s="7" t="s">
        <v>25</v>
      </c>
      <c r="K857" s="7"/>
      <c r="L857" s="7"/>
      <c r="M857" s="7"/>
      <c r="N857" s="7" t="s">
        <v>170</v>
      </c>
      <c r="O857" s="7" t="s">
        <v>162</v>
      </c>
      <c r="P857" s="7" t="s">
        <v>6700</v>
      </c>
      <c r="Q857" s="129">
        <v>46199</v>
      </c>
      <c r="R857" s="130">
        <f t="shared" si="105"/>
        <v>46212</v>
      </c>
      <c r="S857" s="131">
        <f t="shared" si="104"/>
        <v>13</v>
      </c>
      <c r="T857" s="7" t="s">
        <v>184</v>
      </c>
      <c r="U857" s="7" t="s">
        <v>409</v>
      </c>
      <c r="V857" s="7"/>
      <c r="W857" s="7"/>
      <c r="X857" s="132">
        <f t="shared" si="102"/>
        <v>10</v>
      </c>
      <c r="Y857" s="133"/>
      <c r="Z857" s="133"/>
      <c r="AA857" s="133"/>
    </row>
    <row r="858" spans="1:27" hidden="1" x14ac:dyDescent="0.25">
      <c r="A858" s="127">
        <v>971</v>
      </c>
      <c r="B858" s="128" t="str">
        <f t="shared" si="103"/>
        <v>UCQT</v>
      </c>
      <c r="C858" s="128" t="e">
        <f>+VLOOKUP(U858,Ходим!A:B,2,0)</f>
        <v>#N/A</v>
      </c>
      <c r="D858" s="128" t="str">
        <f>IFERROR(VLOOKUP($B:$B,[20]свод!$A:$AB,3,0)," ")</f>
        <v>Учқўрғон тумани</v>
      </c>
      <c r="E858" s="7" t="s">
        <v>1998</v>
      </c>
      <c r="F858" s="7" t="s">
        <v>8393</v>
      </c>
      <c r="G858" s="134">
        <f t="shared" si="106"/>
        <v>1</v>
      </c>
      <c r="H858" s="134" t="str">
        <f t="shared" si="107"/>
        <v/>
      </c>
      <c r="I858" s="7" t="s">
        <v>156</v>
      </c>
      <c r="J858" s="7" t="s">
        <v>11</v>
      </c>
      <c r="K858" s="7"/>
      <c r="L858" s="7" t="s">
        <v>167</v>
      </c>
      <c r="M858" s="7" t="s">
        <v>4767</v>
      </c>
      <c r="N858" s="7" t="s">
        <v>170</v>
      </c>
      <c r="O858" s="7" t="s">
        <v>162</v>
      </c>
      <c r="P858" s="7" t="s">
        <v>6706</v>
      </c>
      <c r="Q858" s="129">
        <v>46199</v>
      </c>
      <c r="R858" s="130">
        <f t="shared" si="105"/>
        <v>46212</v>
      </c>
      <c r="S858" s="131">
        <f t="shared" si="104"/>
        <v>13</v>
      </c>
      <c r="T858" s="7"/>
      <c r="U858" s="7"/>
      <c r="V858" s="7"/>
      <c r="W858" s="7">
        <v>204.45</v>
      </c>
      <c r="X858" s="132">
        <f t="shared" si="102"/>
        <v>10</v>
      </c>
      <c r="Y858" s="133"/>
      <c r="Z858" s="133"/>
      <c r="AA858" s="133"/>
    </row>
    <row r="859" spans="1:27" x14ac:dyDescent="0.25">
      <c r="A859" s="127">
        <v>972</v>
      </c>
      <c r="B859" s="128" t="str">
        <f t="shared" si="103"/>
        <v>NAMS</v>
      </c>
      <c r="C859" s="128" t="str">
        <f>+VLOOKUP(U859,Ходим!A:B,2,0)</f>
        <v>52503015960039</v>
      </c>
      <c r="D859" s="128" t="str">
        <f>IFERROR(VLOOKUP($B:$B,[20]свод!$A:$AB,3,0)," ")</f>
        <v>Наманган шаҳар</v>
      </c>
      <c r="E859" s="7" t="s">
        <v>1999</v>
      </c>
      <c r="F859" s="7" t="s">
        <v>8394</v>
      </c>
      <c r="G859" s="134">
        <f t="shared" si="106"/>
        <v>1</v>
      </c>
      <c r="H859" s="134" t="str">
        <f t="shared" si="107"/>
        <v/>
      </c>
      <c r="I859" s="7" t="s">
        <v>158</v>
      </c>
      <c r="J859" s="7" t="s">
        <v>1</v>
      </c>
      <c r="K859" s="7"/>
      <c r="L859" s="7" t="s">
        <v>167</v>
      </c>
      <c r="M859" s="7" t="s">
        <v>4768</v>
      </c>
      <c r="N859" s="7" t="s">
        <v>170</v>
      </c>
      <c r="O859" s="7" t="s">
        <v>162</v>
      </c>
      <c r="P859" s="7" t="s">
        <v>6707</v>
      </c>
      <c r="Q859" s="129">
        <v>46199</v>
      </c>
      <c r="R859" s="130">
        <f t="shared" si="105"/>
        <v>46198</v>
      </c>
      <c r="S859" s="131">
        <f t="shared" si="104"/>
        <v>-1</v>
      </c>
      <c r="T859" s="7" t="s">
        <v>185</v>
      </c>
      <c r="U859" s="7" t="s">
        <v>246</v>
      </c>
      <c r="V859" s="7"/>
      <c r="W859" s="7">
        <v>278.39999999999998</v>
      </c>
      <c r="X859" s="132">
        <f t="shared" si="102"/>
        <v>10</v>
      </c>
      <c r="Y859" s="133"/>
      <c r="Z859" s="133"/>
      <c r="AA859" s="133"/>
    </row>
    <row r="860" spans="1:27" x14ac:dyDescent="0.25">
      <c r="A860" s="127">
        <v>973</v>
      </c>
      <c r="B860" s="128" t="str">
        <f t="shared" si="103"/>
        <v>UYCT</v>
      </c>
      <c r="C860" s="128" t="str">
        <f>+VLOOKUP(U860,Ходим!A:B,2,0)</f>
        <v>32002975930037</v>
      </c>
      <c r="D860" s="128" t="str">
        <f>IFERROR(VLOOKUP($B:$B,[20]свод!$A:$AB,3,0)," ")</f>
        <v>Уйчи тумани</v>
      </c>
      <c r="E860" s="7" t="s">
        <v>2000</v>
      </c>
      <c r="F860" s="7" t="s">
        <v>8395</v>
      </c>
      <c r="G860" s="134">
        <f t="shared" si="106"/>
        <v>1</v>
      </c>
      <c r="H860" s="134" t="str">
        <f t="shared" si="107"/>
        <v/>
      </c>
      <c r="I860" s="7" t="s">
        <v>158</v>
      </c>
      <c r="J860" s="7" t="s">
        <v>12</v>
      </c>
      <c r="K860" s="7"/>
      <c r="L860" s="7" t="s">
        <v>167</v>
      </c>
      <c r="M860" s="7" t="s">
        <v>4769</v>
      </c>
      <c r="N860" s="7" t="s">
        <v>170</v>
      </c>
      <c r="O860" s="7" t="s">
        <v>163</v>
      </c>
      <c r="P860" s="7" t="s">
        <v>6666</v>
      </c>
      <c r="Q860" s="129">
        <v>46199</v>
      </c>
      <c r="R860" s="130">
        <f t="shared" si="105"/>
        <v>46199</v>
      </c>
      <c r="S860" s="131">
        <f t="shared" si="104"/>
        <v>0</v>
      </c>
      <c r="T860" s="7" t="s">
        <v>947</v>
      </c>
      <c r="U860" s="7" t="s">
        <v>260</v>
      </c>
      <c r="V860" s="7"/>
      <c r="W860" s="7">
        <v>161.88</v>
      </c>
      <c r="X860" s="132">
        <f t="shared" si="102"/>
        <v>10</v>
      </c>
      <c r="Y860" s="133"/>
      <c r="Z860" s="133"/>
      <c r="AA860" s="133"/>
    </row>
    <row r="861" spans="1:27" x14ac:dyDescent="0.25">
      <c r="A861" s="127">
        <v>974</v>
      </c>
      <c r="B861" s="128" t="str">
        <f t="shared" si="103"/>
        <v>KSST</v>
      </c>
      <c r="C861" s="128" t="str">
        <f>+VLOOKUP(U861,Ходим!A:B,2,0)</f>
        <v>30507932190090</v>
      </c>
      <c r="D861" s="128" t="str">
        <f>IFERROR(VLOOKUP($B:$B,[20]свод!$A:$AB,3,0)," ")</f>
        <v>Косонсой тумани</v>
      </c>
      <c r="E861" s="7" t="s">
        <v>2001</v>
      </c>
      <c r="F861" s="7" t="s">
        <v>8396</v>
      </c>
      <c r="G861" s="134">
        <f t="shared" si="106"/>
        <v>1</v>
      </c>
      <c r="H861" s="134" t="str">
        <f t="shared" si="107"/>
        <v/>
      </c>
      <c r="I861" s="7" t="s">
        <v>158</v>
      </c>
      <c r="J861" s="7" t="s">
        <v>1</v>
      </c>
      <c r="K861" s="7"/>
      <c r="L861" s="7" t="s">
        <v>167</v>
      </c>
      <c r="M861" s="7" t="s">
        <v>4770</v>
      </c>
      <c r="N861" s="7" t="s">
        <v>170</v>
      </c>
      <c r="O861" s="7" t="s">
        <v>162</v>
      </c>
      <c r="P861" s="7" t="s">
        <v>6708</v>
      </c>
      <c r="Q861" s="129">
        <v>46199</v>
      </c>
      <c r="R861" s="130">
        <f t="shared" si="105"/>
        <v>46199</v>
      </c>
      <c r="S861" s="131">
        <f t="shared" si="104"/>
        <v>0</v>
      </c>
      <c r="T861" s="7" t="s">
        <v>180</v>
      </c>
      <c r="U861" s="7" t="s">
        <v>232</v>
      </c>
      <c r="V861" s="7"/>
      <c r="W861" s="7">
        <v>384.77</v>
      </c>
      <c r="X861" s="132">
        <f t="shared" si="102"/>
        <v>10</v>
      </c>
      <c r="Y861" s="133"/>
      <c r="Z861" s="133"/>
      <c r="AA861" s="133"/>
    </row>
    <row r="862" spans="1:27" x14ac:dyDescent="0.25">
      <c r="A862" s="127">
        <v>975</v>
      </c>
      <c r="B862" s="128" t="str">
        <f t="shared" si="103"/>
        <v>UCQT</v>
      </c>
      <c r="C862" s="128" t="str">
        <f>+VLOOKUP(U862,Ходим!A:B,2,0)</f>
        <v>52405005940019</v>
      </c>
      <c r="D862" s="128" t="str">
        <f>IFERROR(VLOOKUP($B:$B,[20]свод!$A:$AB,3,0)," ")</f>
        <v>Учқўрғон тумани</v>
      </c>
      <c r="E862" s="7" t="s">
        <v>2002</v>
      </c>
      <c r="F862" s="7" t="s">
        <v>8397</v>
      </c>
      <c r="G862" s="134">
        <f t="shared" si="106"/>
        <v>1</v>
      </c>
      <c r="H862" s="134" t="str">
        <f t="shared" si="107"/>
        <v/>
      </c>
      <c r="I862" s="7" t="s">
        <v>158</v>
      </c>
      <c r="J862" s="7" t="s">
        <v>12</v>
      </c>
      <c r="K862" s="7"/>
      <c r="L862" s="7" t="s">
        <v>167</v>
      </c>
      <c r="M862" s="7" t="s">
        <v>4771</v>
      </c>
      <c r="N862" s="7" t="s">
        <v>410</v>
      </c>
      <c r="O862" s="7" t="s">
        <v>162</v>
      </c>
      <c r="P862" s="7" t="s">
        <v>6709</v>
      </c>
      <c r="Q862" s="129">
        <v>46199</v>
      </c>
      <c r="R862" s="130">
        <f t="shared" si="105"/>
        <v>46199</v>
      </c>
      <c r="S862" s="131">
        <f t="shared" si="104"/>
        <v>0</v>
      </c>
      <c r="T862" s="7" t="s">
        <v>175</v>
      </c>
      <c r="U862" s="7" t="s">
        <v>209</v>
      </c>
      <c r="V862" s="7"/>
      <c r="W862" s="7">
        <v>319.49</v>
      </c>
      <c r="X862" s="132">
        <f t="shared" si="102"/>
        <v>10</v>
      </c>
      <c r="Y862" s="133"/>
      <c r="Z862" s="133"/>
      <c r="AA862" s="133"/>
    </row>
    <row r="863" spans="1:27" hidden="1" x14ac:dyDescent="0.25">
      <c r="A863" s="127">
        <v>976</v>
      </c>
      <c r="B863" s="128" t="str">
        <f t="shared" si="103"/>
        <v>TORT</v>
      </c>
      <c r="C863" s="128" t="str">
        <f>+VLOOKUP(U863,Ходим!A:B,2,0)</f>
        <v>30708792130017</v>
      </c>
      <c r="D863" s="128" t="str">
        <f>IFERROR(VLOOKUP($B:$B,[20]свод!$A:$AB,3,0)," ")</f>
        <v>Тўрақўрғон тумани</v>
      </c>
      <c r="E863" s="7" t="s">
        <v>2003</v>
      </c>
      <c r="F863" s="7" t="s">
        <v>8398</v>
      </c>
      <c r="G863" s="134">
        <f t="shared" si="106"/>
        <v>1</v>
      </c>
      <c r="H863" s="134" t="str">
        <f t="shared" si="107"/>
        <v/>
      </c>
      <c r="I863" s="7" t="s">
        <v>156</v>
      </c>
      <c r="J863" s="7" t="s">
        <v>25</v>
      </c>
      <c r="K863" s="7"/>
      <c r="L863" s="7"/>
      <c r="M863" s="7"/>
      <c r="N863" s="7" t="s">
        <v>170</v>
      </c>
      <c r="O863" s="7" t="s">
        <v>162</v>
      </c>
      <c r="P863" s="7" t="s">
        <v>6710</v>
      </c>
      <c r="Q863" s="129">
        <v>46199</v>
      </c>
      <c r="R863" s="130">
        <f t="shared" si="105"/>
        <v>46212</v>
      </c>
      <c r="S863" s="131">
        <f t="shared" si="104"/>
        <v>13</v>
      </c>
      <c r="T863" s="7" t="s">
        <v>203</v>
      </c>
      <c r="U863" s="7" t="s">
        <v>204</v>
      </c>
      <c r="V863" s="7"/>
      <c r="W863" s="7"/>
      <c r="X863" s="132">
        <f t="shared" si="102"/>
        <v>10</v>
      </c>
      <c r="Y863" s="133"/>
      <c r="Z863" s="133"/>
      <c r="AA863" s="133"/>
    </row>
    <row r="864" spans="1:27" hidden="1" x14ac:dyDescent="0.25">
      <c r="A864" s="127">
        <v>977</v>
      </c>
      <c r="B864" s="128" t="str">
        <f t="shared" si="103"/>
        <v>TORT</v>
      </c>
      <c r="C864" s="128" t="str">
        <f>+VLOOKUP(U864,Ходим!A:B,2,0)</f>
        <v>52603025920015</v>
      </c>
      <c r="D864" s="128" t="str">
        <f>IFERROR(VLOOKUP($B:$B,[20]свод!$A:$AB,3,0)," ")</f>
        <v>Тўрақўрғон тумани</v>
      </c>
      <c r="E864" s="7" t="s">
        <v>2004</v>
      </c>
      <c r="F864" s="7" t="s">
        <v>8399</v>
      </c>
      <c r="G864" s="134">
        <f t="shared" si="106"/>
        <v>1</v>
      </c>
      <c r="H864" s="134" t="str">
        <f t="shared" si="107"/>
        <v/>
      </c>
      <c r="I864" s="7" t="s">
        <v>156</v>
      </c>
      <c r="J864" s="7" t="s">
        <v>25</v>
      </c>
      <c r="K864" s="7"/>
      <c r="L864" s="7"/>
      <c r="M864" s="7"/>
      <c r="N864" s="7" t="s">
        <v>170</v>
      </c>
      <c r="O864" s="7" t="s">
        <v>162</v>
      </c>
      <c r="P864" s="7" t="s">
        <v>6710</v>
      </c>
      <c r="Q864" s="129">
        <v>46199</v>
      </c>
      <c r="R864" s="130">
        <f t="shared" si="105"/>
        <v>46212</v>
      </c>
      <c r="S864" s="131">
        <f t="shared" si="104"/>
        <v>13</v>
      </c>
      <c r="T864" s="7" t="s">
        <v>203</v>
      </c>
      <c r="U864" s="7" t="s">
        <v>374</v>
      </c>
      <c r="V864" s="7"/>
      <c r="W864" s="7"/>
      <c r="X864" s="132">
        <f t="shared" si="102"/>
        <v>10</v>
      </c>
      <c r="Y864" s="133"/>
      <c r="Z864" s="133"/>
      <c r="AA864" s="133"/>
    </row>
    <row r="865" spans="1:27" hidden="1" x14ac:dyDescent="0.25">
      <c r="A865" s="127">
        <v>978</v>
      </c>
      <c r="B865" s="128" t="str">
        <f t="shared" si="103"/>
        <v>NAMS</v>
      </c>
      <c r="C865" s="128" t="str">
        <f>+VLOOKUP(U865,Ходим!A:B,2,0)</f>
        <v>31312985950011</v>
      </c>
      <c r="D865" s="128" t="str">
        <f>IFERROR(VLOOKUP($B:$B,[20]свод!$A:$AB,3,0)," ")</f>
        <v>Наманган шаҳар</v>
      </c>
      <c r="E865" s="7" t="s">
        <v>2005</v>
      </c>
      <c r="F865" s="7" t="s">
        <v>8400</v>
      </c>
      <c r="G865" s="134">
        <f t="shared" si="106"/>
        <v>1</v>
      </c>
      <c r="H865" s="134" t="str">
        <f t="shared" si="107"/>
        <v/>
      </c>
      <c r="I865" s="7" t="s">
        <v>156</v>
      </c>
      <c r="J865" s="7" t="s">
        <v>25</v>
      </c>
      <c r="K865" s="7"/>
      <c r="L865" s="7"/>
      <c r="M865" s="7"/>
      <c r="N865" s="7" t="s">
        <v>170</v>
      </c>
      <c r="O865" s="7" t="s">
        <v>162</v>
      </c>
      <c r="P865" s="7" t="s">
        <v>6710</v>
      </c>
      <c r="Q865" s="129">
        <v>46199</v>
      </c>
      <c r="R865" s="130">
        <f t="shared" si="105"/>
        <v>46212</v>
      </c>
      <c r="S865" s="131">
        <f t="shared" si="104"/>
        <v>13</v>
      </c>
      <c r="T865" s="7" t="s">
        <v>173</v>
      </c>
      <c r="U865" s="7" t="s">
        <v>303</v>
      </c>
      <c r="V865" s="7"/>
      <c r="W865" s="7"/>
      <c r="X865" s="132">
        <f t="shared" si="102"/>
        <v>10</v>
      </c>
      <c r="Y865" s="133"/>
      <c r="Z865" s="133"/>
      <c r="AA865" s="133"/>
    </row>
    <row r="866" spans="1:27" hidden="1" x14ac:dyDescent="0.25">
      <c r="A866" s="127">
        <v>979</v>
      </c>
      <c r="B866" s="128" t="str">
        <f t="shared" si="103"/>
        <v>UYCT</v>
      </c>
      <c r="C866" s="128" t="str">
        <f>+VLOOKUP(U866,Ходим!A:B,2,0)</f>
        <v>31703985930055</v>
      </c>
      <c r="D866" s="128" t="str">
        <f>IFERROR(VLOOKUP($B:$B,[20]свод!$A:$AB,3,0)," ")</f>
        <v>Уйчи тумани</v>
      </c>
      <c r="E866" s="7" t="s">
        <v>2006</v>
      </c>
      <c r="F866" s="7" t="s">
        <v>8401</v>
      </c>
      <c r="G866" s="134">
        <f t="shared" si="106"/>
        <v>1</v>
      </c>
      <c r="H866" s="134" t="str">
        <f t="shared" si="107"/>
        <v/>
      </c>
      <c r="I866" s="7" t="s">
        <v>156</v>
      </c>
      <c r="J866" s="7" t="s">
        <v>22</v>
      </c>
      <c r="K866" s="7"/>
      <c r="L866" s="7" t="s">
        <v>167</v>
      </c>
      <c r="M866" s="7" t="s">
        <v>4772</v>
      </c>
      <c r="N866" s="7" t="s">
        <v>170</v>
      </c>
      <c r="O866" s="7" t="s">
        <v>163</v>
      </c>
      <c r="P866" s="7" t="s">
        <v>6711</v>
      </c>
      <c r="Q866" s="129">
        <v>46199</v>
      </c>
      <c r="R866" s="130">
        <f t="shared" si="105"/>
        <v>46211</v>
      </c>
      <c r="S866" s="131">
        <f t="shared" si="104"/>
        <v>12</v>
      </c>
      <c r="T866" s="7" t="s">
        <v>947</v>
      </c>
      <c r="U866" s="7" t="s">
        <v>276</v>
      </c>
      <c r="V866" s="7"/>
      <c r="W866" s="7">
        <v>97.8</v>
      </c>
      <c r="X866" s="132">
        <f t="shared" si="102"/>
        <v>10</v>
      </c>
      <c r="Y866" s="133"/>
      <c r="Z866" s="133"/>
      <c r="AA866" s="133"/>
    </row>
    <row r="867" spans="1:27" x14ac:dyDescent="0.25">
      <c r="A867" s="127">
        <v>980</v>
      </c>
      <c r="B867" s="128" t="str">
        <f t="shared" si="103"/>
        <v>NAMS</v>
      </c>
      <c r="C867" s="128" t="str">
        <f>+VLOOKUP(U867,Ходим!A:B,2,0)</f>
        <v>51110025960044</v>
      </c>
      <c r="D867" s="128" t="str">
        <f>IFERROR(VLOOKUP($B:$B,[20]свод!$A:$AB,3,0)," ")</f>
        <v>Наманган шаҳар</v>
      </c>
      <c r="E867" s="7" t="s">
        <v>2007</v>
      </c>
      <c r="F867" s="7" t="s">
        <v>8402</v>
      </c>
      <c r="G867" s="134">
        <f t="shared" si="106"/>
        <v>1</v>
      </c>
      <c r="H867" s="134" t="str">
        <f t="shared" si="107"/>
        <v/>
      </c>
      <c r="I867" s="7" t="s">
        <v>154</v>
      </c>
      <c r="J867" s="7" t="s">
        <v>2</v>
      </c>
      <c r="K867" s="7"/>
      <c r="L867" s="7" t="s">
        <v>167</v>
      </c>
      <c r="M867" s="7" t="s">
        <v>4773</v>
      </c>
      <c r="N867" s="7" t="s">
        <v>170</v>
      </c>
      <c r="O867" s="7" t="s">
        <v>162</v>
      </c>
      <c r="P867" s="7" t="s">
        <v>6712</v>
      </c>
      <c r="Q867" s="129">
        <v>46199</v>
      </c>
      <c r="R867" s="130">
        <f t="shared" si="105"/>
        <v>46195</v>
      </c>
      <c r="S867" s="131">
        <f t="shared" si="104"/>
        <v>-4</v>
      </c>
      <c r="T867" s="7" t="s">
        <v>173</v>
      </c>
      <c r="U867" s="7" t="s">
        <v>294</v>
      </c>
      <c r="V867" s="7"/>
      <c r="W867" s="7">
        <v>356.96</v>
      </c>
      <c r="X867" s="132">
        <f t="shared" si="102"/>
        <v>10</v>
      </c>
      <c r="Y867" s="133"/>
      <c r="Z867" s="133"/>
      <c r="AA867" s="133"/>
    </row>
    <row r="868" spans="1:27" x14ac:dyDescent="0.25">
      <c r="A868" s="127">
        <v>981</v>
      </c>
      <c r="B868" s="128" t="str">
        <f t="shared" si="103"/>
        <v>UCQT</v>
      </c>
      <c r="C868" s="128" t="str">
        <f>+VLOOKUP(U868,Ходим!A:B,2,0)</f>
        <v>30307955940049</v>
      </c>
      <c r="D868" s="128" t="str">
        <f>IFERROR(VLOOKUP($B:$B,[20]свод!$A:$AB,3,0)," ")</f>
        <v>Учқўрғон тумани</v>
      </c>
      <c r="E868" s="7" t="s">
        <v>2008</v>
      </c>
      <c r="F868" s="7" t="s">
        <v>8403</v>
      </c>
      <c r="G868" s="134">
        <f t="shared" si="106"/>
        <v>1</v>
      </c>
      <c r="H868" s="134" t="str">
        <f t="shared" si="107"/>
        <v/>
      </c>
      <c r="I868" s="7" t="s">
        <v>158</v>
      </c>
      <c r="J868" s="7" t="s">
        <v>36</v>
      </c>
      <c r="K868" s="7"/>
      <c r="L868" s="7" t="s">
        <v>167</v>
      </c>
      <c r="M868" s="7" t="s">
        <v>4774</v>
      </c>
      <c r="N868" s="7" t="s">
        <v>170</v>
      </c>
      <c r="O868" s="7" t="s">
        <v>162</v>
      </c>
      <c r="P868" s="7" t="s">
        <v>6713</v>
      </c>
      <c r="Q868" s="129">
        <v>46199</v>
      </c>
      <c r="R868" s="130">
        <f t="shared" si="105"/>
        <v>46199</v>
      </c>
      <c r="S868" s="131">
        <f t="shared" si="104"/>
        <v>0</v>
      </c>
      <c r="T868" s="7" t="s">
        <v>390</v>
      </c>
      <c r="U868" s="7" t="s">
        <v>306</v>
      </c>
      <c r="V868" s="7"/>
      <c r="W868" s="7">
        <v>32.369999999999997</v>
      </c>
      <c r="X868" s="132">
        <f t="shared" si="102"/>
        <v>10</v>
      </c>
      <c r="Y868" s="133"/>
      <c r="Z868" s="133"/>
      <c r="AA868" s="133"/>
    </row>
    <row r="869" spans="1:27" x14ac:dyDescent="0.25">
      <c r="A869" s="127">
        <v>982</v>
      </c>
      <c r="B869" s="128" t="str">
        <f t="shared" si="103"/>
        <v>UCQT</v>
      </c>
      <c r="C869" s="128" t="str">
        <f>+VLOOKUP(U869,Ходим!A:B,2,0)</f>
        <v>30307955940049</v>
      </c>
      <c r="D869" s="128" t="str">
        <f>IFERROR(VLOOKUP($B:$B,[20]свод!$A:$AB,3,0)," ")</f>
        <v>Учқўрғон тумани</v>
      </c>
      <c r="E869" s="7" t="s">
        <v>2009</v>
      </c>
      <c r="F869" s="7" t="s">
        <v>8404</v>
      </c>
      <c r="G869" s="134">
        <f t="shared" si="106"/>
        <v>1</v>
      </c>
      <c r="H869" s="134" t="str">
        <f t="shared" si="107"/>
        <v/>
      </c>
      <c r="I869" s="7" t="s">
        <v>158</v>
      </c>
      <c r="J869" s="7" t="s">
        <v>13</v>
      </c>
      <c r="K869" s="7"/>
      <c r="L869" s="7" t="s">
        <v>167</v>
      </c>
      <c r="M869" s="7" t="s">
        <v>4775</v>
      </c>
      <c r="N869" s="7" t="s">
        <v>170</v>
      </c>
      <c r="O869" s="7" t="s">
        <v>162</v>
      </c>
      <c r="P869" s="7" t="s">
        <v>6713</v>
      </c>
      <c r="Q869" s="129">
        <v>46199</v>
      </c>
      <c r="R869" s="130">
        <f t="shared" si="105"/>
        <v>46199</v>
      </c>
      <c r="S869" s="131">
        <f t="shared" si="104"/>
        <v>0</v>
      </c>
      <c r="T869" s="7" t="s">
        <v>390</v>
      </c>
      <c r="U869" s="7" t="s">
        <v>306</v>
      </c>
      <c r="V869" s="7"/>
      <c r="W869" s="7">
        <v>232.91</v>
      </c>
      <c r="X869" s="132">
        <f t="shared" si="102"/>
        <v>10</v>
      </c>
      <c r="Y869" s="133"/>
      <c r="Z869" s="133"/>
      <c r="AA869" s="133"/>
    </row>
    <row r="870" spans="1:27" x14ac:dyDescent="0.25">
      <c r="A870" s="127">
        <v>983</v>
      </c>
      <c r="B870" s="128" t="str">
        <f t="shared" si="103"/>
        <v>UCQT</v>
      </c>
      <c r="C870" s="128" t="str">
        <f>+VLOOKUP(U870,Ходим!A:B,2,0)</f>
        <v>30307955940049</v>
      </c>
      <c r="D870" s="128" t="str">
        <f>IFERROR(VLOOKUP($B:$B,[20]свод!$A:$AB,3,0)," ")</f>
        <v>Учқўрғон тумани</v>
      </c>
      <c r="E870" s="7" t="s">
        <v>2010</v>
      </c>
      <c r="F870" s="7" t="s">
        <v>8405</v>
      </c>
      <c r="G870" s="134">
        <f t="shared" si="106"/>
        <v>1</v>
      </c>
      <c r="H870" s="134" t="str">
        <f t="shared" si="107"/>
        <v/>
      </c>
      <c r="I870" s="7" t="s">
        <v>158</v>
      </c>
      <c r="J870" s="7" t="s">
        <v>172</v>
      </c>
      <c r="K870" s="7"/>
      <c r="L870" s="7" t="s">
        <v>167</v>
      </c>
      <c r="M870" s="7" t="s">
        <v>4776</v>
      </c>
      <c r="N870" s="7" t="s">
        <v>170</v>
      </c>
      <c r="O870" s="7" t="s">
        <v>162</v>
      </c>
      <c r="P870" s="7" t="s">
        <v>6713</v>
      </c>
      <c r="Q870" s="129">
        <v>46199</v>
      </c>
      <c r="R870" s="130">
        <f t="shared" si="105"/>
        <v>46199</v>
      </c>
      <c r="S870" s="131">
        <f t="shared" si="104"/>
        <v>0</v>
      </c>
      <c r="T870" s="7" t="s">
        <v>390</v>
      </c>
      <c r="U870" s="7" t="s">
        <v>306</v>
      </c>
      <c r="V870" s="7"/>
      <c r="W870" s="7">
        <v>355.75</v>
      </c>
      <c r="X870" s="132">
        <f t="shared" si="102"/>
        <v>10</v>
      </c>
      <c r="Y870" s="133"/>
      <c r="Z870" s="133"/>
      <c r="AA870" s="133"/>
    </row>
    <row r="871" spans="1:27" hidden="1" x14ac:dyDescent="0.25">
      <c r="A871" s="127">
        <v>984</v>
      </c>
      <c r="B871" s="128" t="str">
        <f t="shared" si="103"/>
        <v>NORT</v>
      </c>
      <c r="C871" s="128" t="str">
        <f>+VLOOKUP(U871,Ходим!A:B,2,0)</f>
        <v>32907985900051</v>
      </c>
      <c r="D871" s="128" t="str">
        <f>IFERROR(VLOOKUP($B:$B,[20]свод!$A:$AB,3,0)," ")</f>
        <v>Норин тумани</v>
      </c>
      <c r="E871" s="7" t="s">
        <v>2011</v>
      </c>
      <c r="F871" s="7" t="s">
        <v>8406</v>
      </c>
      <c r="G871" s="134">
        <f t="shared" si="106"/>
        <v>1</v>
      </c>
      <c r="H871" s="134" t="str">
        <f t="shared" si="107"/>
        <v/>
      </c>
      <c r="I871" s="7" t="s">
        <v>158</v>
      </c>
      <c r="J871" s="7" t="s">
        <v>2</v>
      </c>
      <c r="K871" s="7"/>
      <c r="L871" s="7" t="s">
        <v>167</v>
      </c>
      <c r="M871" s="7" t="s">
        <v>4777</v>
      </c>
      <c r="N871" s="7" t="s">
        <v>170</v>
      </c>
      <c r="O871" s="7" t="s">
        <v>162</v>
      </c>
      <c r="P871" s="7" t="s">
        <v>6575</v>
      </c>
      <c r="Q871" s="129">
        <v>46199</v>
      </c>
      <c r="R871" s="130">
        <f t="shared" si="105"/>
        <v>46205</v>
      </c>
      <c r="S871" s="131">
        <f t="shared" si="104"/>
        <v>6</v>
      </c>
      <c r="T871" s="7" t="s">
        <v>210</v>
      </c>
      <c r="U871" s="7" t="s">
        <v>293</v>
      </c>
      <c r="V871" s="7"/>
      <c r="W871" s="7">
        <v>468.64</v>
      </c>
      <c r="X871" s="132">
        <f t="shared" si="102"/>
        <v>10</v>
      </c>
      <c r="Y871" s="133"/>
      <c r="Z871" s="133"/>
      <c r="AA871" s="133"/>
    </row>
    <row r="872" spans="1:27" hidden="1" x14ac:dyDescent="0.25">
      <c r="A872" s="127">
        <v>985</v>
      </c>
      <c r="B872" s="128" t="str">
        <f t="shared" si="103"/>
        <v>NAMS</v>
      </c>
      <c r="C872" s="128" t="str">
        <f>+VLOOKUP(U872,Ходим!A:B,2,0)</f>
        <v>33012942170121</v>
      </c>
      <c r="D872" s="128" t="str">
        <f>IFERROR(VLOOKUP($B:$B,[20]свод!$A:$AB,3,0)," ")</f>
        <v>Наманган шаҳар</v>
      </c>
      <c r="E872" s="7" t="s">
        <v>2012</v>
      </c>
      <c r="F872" s="7" t="s">
        <v>8407</v>
      </c>
      <c r="G872" s="134">
        <f t="shared" si="106"/>
        <v>1</v>
      </c>
      <c r="H872" s="134" t="str">
        <f t="shared" si="107"/>
        <v/>
      </c>
      <c r="I872" s="7" t="s">
        <v>156</v>
      </c>
      <c r="J872" s="7" t="s">
        <v>25</v>
      </c>
      <c r="K872" s="7"/>
      <c r="L872" s="7"/>
      <c r="M872" s="7"/>
      <c r="N872" s="7" t="s">
        <v>170</v>
      </c>
      <c r="O872" s="7" t="s">
        <v>162</v>
      </c>
      <c r="P872" s="7" t="s">
        <v>6714</v>
      </c>
      <c r="Q872" s="129">
        <v>46199</v>
      </c>
      <c r="R872" s="130">
        <f t="shared" si="105"/>
        <v>46212</v>
      </c>
      <c r="S872" s="131">
        <f t="shared" si="104"/>
        <v>13</v>
      </c>
      <c r="T872" s="7" t="s">
        <v>173</v>
      </c>
      <c r="U872" s="7" t="s">
        <v>259</v>
      </c>
      <c r="V872" s="7"/>
      <c r="W872" s="7"/>
      <c r="X872" s="132">
        <f t="shared" si="102"/>
        <v>10</v>
      </c>
      <c r="Y872" s="133"/>
      <c r="Z872" s="133"/>
      <c r="AA872" s="133"/>
    </row>
    <row r="873" spans="1:27" hidden="1" x14ac:dyDescent="0.25">
      <c r="A873" s="127">
        <v>986</v>
      </c>
      <c r="B873" s="128" t="str">
        <f t="shared" si="103"/>
        <v>NAMT</v>
      </c>
      <c r="C873" s="128" t="str">
        <f>+VLOOKUP(U873,Ходим!A:B,2,0)</f>
        <v>50706025880010</v>
      </c>
      <c r="D873" s="128" t="str">
        <f>IFERROR(VLOOKUP($B:$B,[20]свод!$A:$AB,3,0)," ")</f>
        <v>Наманган тумани</v>
      </c>
      <c r="E873" s="7" t="s">
        <v>2013</v>
      </c>
      <c r="F873" s="7" t="s">
        <v>8408</v>
      </c>
      <c r="G873" s="134">
        <f t="shared" si="106"/>
        <v>1</v>
      </c>
      <c r="H873" s="134" t="str">
        <f t="shared" si="107"/>
        <v/>
      </c>
      <c r="I873" s="7" t="s">
        <v>158</v>
      </c>
      <c r="J873" s="7" t="s">
        <v>2</v>
      </c>
      <c r="K873" s="7"/>
      <c r="L873" s="7" t="s">
        <v>167</v>
      </c>
      <c r="M873" s="7" t="s">
        <v>4778</v>
      </c>
      <c r="N873" s="7" t="s">
        <v>170</v>
      </c>
      <c r="O873" s="7" t="s">
        <v>162</v>
      </c>
      <c r="P873" s="7" t="s">
        <v>6616</v>
      </c>
      <c r="Q873" s="129">
        <v>46199</v>
      </c>
      <c r="R873" s="130">
        <f t="shared" si="105"/>
        <v>46211</v>
      </c>
      <c r="S873" s="131">
        <f t="shared" si="104"/>
        <v>12</v>
      </c>
      <c r="T873" s="7" t="s">
        <v>193</v>
      </c>
      <c r="U873" s="7" t="s">
        <v>397</v>
      </c>
      <c r="V873" s="7"/>
      <c r="W873" s="7">
        <v>201.19</v>
      </c>
      <c r="X873" s="132">
        <f t="shared" si="102"/>
        <v>10</v>
      </c>
      <c r="Y873" s="133"/>
      <c r="Z873" s="133"/>
      <c r="AA873" s="133"/>
    </row>
    <row r="874" spans="1:27" hidden="1" x14ac:dyDescent="0.25">
      <c r="A874" s="127">
        <v>987</v>
      </c>
      <c r="B874" s="128" t="str">
        <f t="shared" si="103"/>
        <v>YGQT</v>
      </c>
      <c r="C874" s="128" t="str">
        <f>+VLOOKUP(U874,Ходим!A:B,2,0)</f>
        <v>30809995950021</v>
      </c>
      <c r="D874" s="128" t="str">
        <f>IFERROR(VLOOKUP($B:$B,[20]свод!$A:$AB,3,0)," ")</f>
        <v>Янгиқўрғон тумани</v>
      </c>
      <c r="E874" s="7" t="s">
        <v>2014</v>
      </c>
      <c r="F874" s="7" t="s">
        <v>8409</v>
      </c>
      <c r="G874" s="134">
        <f t="shared" si="106"/>
        <v>1</v>
      </c>
      <c r="H874" s="134" t="str">
        <f t="shared" si="107"/>
        <v/>
      </c>
      <c r="I874" s="7" t="s">
        <v>158</v>
      </c>
      <c r="J874" s="7" t="s">
        <v>172</v>
      </c>
      <c r="K874" s="7"/>
      <c r="L874" s="7" t="s">
        <v>169</v>
      </c>
      <c r="M874" s="7" t="s">
        <v>4779</v>
      </c>
      <c r="N874" s="7" t="s">
        <v>170</v>
      </c>
      <c r="O874" s="7" t="s">
        <v>162</v>
      </c>
      <c r="P874" s="7" t="s">
        <v>6495</v>
      </c>
      <c r="Q874" s="129">
        <v>46199</v>
      </c>
      <c r="R874" s="130">
        <f t="shared" si="105"/>
        <v>46206</v>
      </c>
      <c r="S874" s="131">
        <f t="shared" si="104"/>
        <v>7</v>
      </c>
      <c r="T874" s="7" t="s">
        <v>255</v>
      </c>
      <c r="U874" s="7" t="s">
        <v>223</v>
      </c>
      <c r="V874" s="7"/>
      <c r="W874" s="7">
        <v>0</v>
      </c>
      <c r="X874" s="132">
        <f t="shared" si="102"/>
        <v>7</v>
      </c>
      <c r="Y874" s="133"/>
      <c r="Z874" s="133"/>
      <c r="AA874" s="133"/>
    </row>
    <row r="875" spans="1:27" hidden="1" x14ac:dyDescent="0.25">
      <c r="A875" s="127">
        <v>988</v>
      </c>
      <c r="B875" s="128" t="str">
        <f t="shared" si="103"/>
        <v>CHUT</v>
      </c>
      <c r="C875" s="128" t="str">
        <f>+VLOOKUP(U875,Ходим!A:B,2,0)</f>
        <v>50309005970046</v>
      </c>
      <c r="D875" s="128" t="str">
        <f>IFERROR(VLOOKUP($B:$B,[20]свод!$A:$AB,3,0)," ")</f>
        <v>Чуст тумани</v>
      </c>
      <c r="E875" s="7" t="s">
        <v>2015</v>
      </c>
      <c r="F875" s="7" t="s">
        <v>8410</v>
      </c>
      <c r="G875" s="134">
        <f t="shared" si="106"/>
        <v>1</v>
      </c>
      <c r="H875" s="134" t="str">
        <f t="shared" si="107"/>
        <v/>
      </c>
      <c r="I875" s="7" t="s">
        <v>156</v>
      </c>
      <c r="J875" s="7" t="s">
        <v>22</v>
      </c>
      <c r="K875" s="7"/>
      <c r="L875" s="7" t="s">
        <v>167</v>
      </c>
      <c r="M875" s="7" t="s">
        <v>4780</v>
      </c>
      <c r="N875" s="7" t="s">
        <v>170</v>
      </c>
      <c r="O875" s="7" t="s">
        <v>162</v>
      </c>
      <c r="P875" s="7" t="s">
        <v>6715</v>
      </c>
      <c r="Q875" s="129">
        <v>46199</v>
      </c>
      <c r="R875" s="130">
        <f t="shared" si="105"/>
        <v>46212</v>
      </c>
      <c r="S875" s="131">
        <f t="shared" si="104"/>
        <v>13</v>
      </c>
      <c r="T875" s="7" t="s">
        <v>178</v>
      </c>
      <c r="U875" s="7" t="s">
        <v>290</v>
      </c>
      <c r="V875" s="7"/>
      <c r="W875" s="7">
        <v>393.19</v>
      </c>
      <c r="X875" s="132">
        <f t="shared" si="102"/>
        <v>10</v>
      </c>
      <c r="Y875" s="133"/>
      <c r="Z875" s="133"/>
      <c r="AA875" s="133"/>
    </row>
    <row r="876" spans="1:27" hidden="1" x14ac:dyDescent="0.25">
      <c r="A876" s="127">
        <v>989</v>
      </c>
      <c r="B876" s="128" t="str">
        <f t="shared" si="103"/>
        <v>UCQT</v>
      </c>
      <c r="C876" s="128" t="e">
        <f>+VLOOKUP(U876,Ходим!A:B,2,0)</f>
        <v>#N/A</v>
      </c>
      <c r="D876" s="128" t="str">
        <f>IFERROR(VLOOKUP($B:$B,[20]свод!$A:$AB,3,0)," ")</f>
        <v>Учқўрғон тумани</v>
      </c>
      <c r="E876" s="7" t="s">
        <v>2016</v>
      </c>
      <c r="F876" s="7" t="s">
        <v>8411</v>
      </c>
      <c r="G876" s="134">
        <f t="shared" si="106"/>
        <v>1</v>
      </c>
      <c r="H876" s="134" t="str">
        <f t="shared" si="107"/>
        <v/>
      </c>
      <c r="I876" s="7" t="s">
        <v>156</v>
      </c>
      <c r="J876" s="7" t="s">
        <v>11</v>
      </c>
      <c r="K876" s="7"/>
      <c r="L876" s="7"/>
      <c r="M876" s="7"/>
      <c r="N876" s="7" t="s">
        <v>170</v>
      </c>
      <c r="O876" s="7" t="s">
        <v>162</v>
      </c>
      <c r="P876" s="7" t="s">
        <v>6715</v>
      </c>
      <c r="Q876" s="129">
        <v>46199</v>
      </c>
      <c r="R876" s="130">
        <f t="shared" si="105"/>
        <v>46212</v>
      </c>
      <c r="S876" s="131">
        <f t="shared" si="104"/>
        <v>13</v>
      </c>
      <c r="T876" s="7"/>
      <c r="U876" s="7"/>
      <c r="V876" s="7"/>
      <c r="W876" s="7"/>
      <c r="X876" s="132">
        <f t="shared" si="102"/>
        <v>10</v>
      </c>
      <c r="Y876" s="133"/>
      <c r="Z876" s="133"/>
      <c r="AA876" s="133"/>
    </row>
    <row r="877" spans="1:27" hidden="1" x14ac:dyDescent="0.25">
      <c r="A877" s="127">
        <v>990</v>
      </c>
      <c r="B877" s="128" t="str">
        <f t="shared" si="103"/>
        <v>YGQT</v>
      </c>
      <c r="C877" s="128" t="e">
        <f>+VLOOKUP(U877,Ходим!A:B,2,0)</f>
        <v>#N/A</v>
      </c>
      <c r="D877" s="128" t="str">
        <f>IFERROR(VLOOKUP($B:$B,[20]свод!$A:$AB,3,0)," ")</f>
        <v>Янгиқўрғон тумани</v>
      </c>
      <c r="E877" s="7" t="s">
        <v>2017</v>
      </c>
      <c r="F877" s="7" t="s">
        <v>8412</v>
      </c>
      <c r="G877" s="134">
        <f t="shared" si="106"/>
        <v>1</v>
      </c>
      <c r="H877" s="134" t="str">
        <f t="shared" si="107"/>
        <v/>
      </c>
      <c r="I877" s="7" t="s">
        <v>156</v>
      </c>
      <c r="J877" s="7" t="s">
        <v>21</v>
      </c>
      <c r="K877" s="7"/>
      <c r="L877" s="7"/>
      <c r="M877" s="7"/>
      <c r="N877" s="7" t="s">
        <v>170</v>
      </c>
      <c r="O877" s="7" t="s">
        <v>162</v>
      </c>
      <c r="P877" s="7" t="s">
        <v>6715</v>
      </c>
      <c r="Q877" s="129">
        <v>46199</v>
      </c>
      <c r="R877" s="130">
        <f t="shared" si="105"/>
        <v>46212</v>
      </c>
      <c r="S877" s="131">
        <f t="shared" si="104"/>
        <v>13</v>
      </c>
      <c r="T877" s="7" t="s">
        <v>182</v>
      </c>
      <c r="U877" s="7"/>
      <c r="V877" s="7"/>
      <c r="W877" s="7"/>
      <c r="X877" s="132">
        <f t="shared" si="102"/>
        <v>10</v>
      </c>
      <c r="Y877" s="133"/>
      <c r="Z877" s="133"/>
      <c r="AA877" s="133"/>
    </row>
    <row r="878" spans="1:27" hidden="1" x14ac:dyDescent="0.25">
      <c r="A878" s="127">
        <v>991</v>
      </c>
      <c r="B878" s="128" t="str">
        <f t="shared" si="103"/>
        <v>UYCT</v>
      </c>
      <c r="C878" s="128" t="str">
        <f>+VLOOKUP(U878,Ходим!A:B,2,0)</f>
        <v>32906985930035</v>
      </c>
      <c r="D878" s="128" t="str">
        <f>IFERROR(VLOOKUP($B:$B,[20]свод!$A:$AB,3,0)," ")</f>
        <v>Уйчи тумани</v>
      </c>
      <c r="E878" s="7" t="s">
        <v>2018</v>
      </c>
      <c r="F878" s="7" t="s">
        <v>8413</v>
      </c>
      <c r="G878" s="134">
        <f t="shared" si="106"/>
        <v>1</v>
      </c>
      <c r="H878" s="134" t="str">
        <f t="shared" si="107"/>
        <v/>
      </c>
      <c r="I878" s="7" t="s">
        <v>158</v>
      </c>
      <c r="J878" s="7" t="s">
        <v>16</v>
      </c>
      <c r="K878" s="7"/>
      <c r="L878" s="7" t="s">
        <v>167</v>
      </c>
      <c r="M878" s="7" t="s">
        <v>4781</v>
      </c>
      <c r="N878" s="7" t="s">
        <v>410</v>
      </c>
      <c r="O878" s="7" t="s">
        <v>162</v>
      </c>
      <c r="P878" s="7" t="s">
        <v>6334</v>
      </c>
      <c r="Q878" s="129">
        <v>46199</v>
      </c>
      <c r="R878" s="130">
        <f t="shared" si="105"/>
        <v>46204</v>
      </c>
      <c r="S878" s="131">
        <f t="shared" si="104"/>
        <v>5</v>
      </c>
      <c r="T878" s="7" t="s">
        <v>947</v>
      </c>
      <c r="U878" s="7" t="s">
        <v>257</v>
      </c>
      <c r="V878" s="7"/>
      <c r="W878" s="7">
        <v>355.5</v>
      </c>
      <c r="X878" s="132">
        <f t="shared" si="102"/>
        <v>10</v>
      </c>
      <c r="Y878" s="133"/>
      <c r="Z878" s="133"/>
      <c r="AA878" s="133"/>
    </row>
    <row r="879" spans="1:27" hidden="1" x14ac:dyDescent="0.25">
      <c r="A879" s="127">
        <v>992</v>
      </c>
      <c r="B879" s="128" t="str">
        <f t="shared" si="103"/>
        <v>UYCT</v>
      </c>
      <c r="C879" s="128" t="str">
        <f>+VLOOKUP(U879,Ходим!A:B,2,0)</f>
        <v>32906985930035</v>
      </c>
      <c r="D879" s="128" t="str">
        <f>IFERROR(VLOOKUP($B:$B,[20]свод!$A:$AB,3,0)," ")</f>
        <v>Уйчи тумани</v>
      </c>
      <c r="E879" s="7" t="s">
        <v>2019</v>
      </c>
      <c r="F879" s="7" t="s">
        <v>8414</v>
      </c>
      <c r="G879" s="134" t="str">
        <f t="shared" si="106"/>
        <v/>
      </c>
      <c r="H879" s="134">
        <f t="shared" si="107"/>
        <v>1</v>
      </c>
      <c r="I879" s="7" t="s">
        <v>155</v>
      </c>
      <c r="J879" s="7" t="s">
        <v>11</v>
      </c>
      <c r="K879" s="7"/>
      <c r="L879" s="7"/>
      <c r="M879" s="7"/>
      <c r="N879" s="7" t="s">
        <v>410</v>
      </c>
      <c r="O879" s="7" t="s">
        <v>161</v>
      </c>
      <c r="P879" s="7" t="s">
        <v>6598</v>
      </c>
      <c r="Q879" s="129">
        <v>46199</v>
      </c>
      <c r="R879" s="130">
        <f t="shared" si="105"/>
        <v>46211</v>
      </c>
      <c r="S879" s="131">
        <f t="shared" si="104"/>
        <v>12</v>
      </c>
      <c r="T879" s="7" t="s">
        <v>947</v>
      </c>
      <c r="U879" s="7" t="s">
        <v>257</v>
      </c>
      <c r="V879" s="7"/>
      <c r="W879" s="7"/>
      <c r="X879" s="132">
        <f t="shared" si="102"/>
        <v>10</v>
      </c>
      <c r="Y879" s="133"/>
      <c r="Z879" s="133"/>
      <c r="AA879" s="133"/>
    </row>
    <row r="880" spans="1:27" hidden="1" x14ac:dyDescent="0.25">
      <c r="A880" s="127">
        <v>993</v>
      </c>
      <c r="B880" s="128" t="str">
        <f t="shared" si="103"/>
        <v>CHOT</v>
      </c>
      <c r="C880" s="128" t="str">
        <f>+VLOOKUP(U880,Ходим!A:B,2,0)</f>
        <v>30510945890013</v>
      </c>
      <c r="D880" s="128" t="str">
        <f>IFERROR(VLOOKUP($B:$B,[20]свод!$A:$AB,3,0)," ")</f>
        <v>Чортоқ тумани</v>
      </c>
      <c r="E880" s="7" t="s">
        <v>2020</v>
      </c>
      <c r="F880" s="7" t="s">
        <v>8415</v>
      </c>
      <c r="G880" s="134">
        <f t="shared" si="106"/>
        <v>1</v>
      </c>
      <c r="H880" s="134" t="str">
        <f t="shared" si="107"/>
        <v/>
      </c>
      <c r="I880" s="7" t="s">
        <v>158</v>
      </c>
      <c r="J880" s="7" t="s">
        <v>2</v>
      </c>
      <c r="K880" s="7"/>
      <c r="L880" s="7" t="s">
        <v>167</v>
      </c>
      <c r="M880" s="7" t="s">
        <v>4782</v>
      </c>
      <c r="N880" s="7" t="s">
        <v>170</v>
      </c>
      <c r="O880" s="7" t="s">
        <v>162</v>
      </c>
      <c r="P880" s="7" t="s">
        <v>6716</v>
      </c>
      <c r="Q880" s="129">
        <v>46199</v>
      </c>
      <c r="R880" s="130">
        <f t="shared" si="105"/>
        <v>46212</v>
      </c>
      <c r="S880" s="131">
        <f t="shared" si="104"/>
        <v>13</v>
      </c>
      <c r="T880" s="7" t="s">
        <v>184</v>
      </c>
      <c r="U880" s="7" t="s">
        <v>185</v>
      </c>
      <c r="V880" s="7"/>
      <c r="W880" s="7">
        <v>165.47</v>
      </c>
      <c r="X880" s="132">
        <f t="shared" si="102"/>
        <v>10</v>
      </c>
      <c r="Y880" s="133"/>
      <c r="Z880" s="133"/>
      <c r="AA880" s="133"/>
    </row>
    <row r="881" spans="1:27" hidden="1" x14ac:dyDescent="0.25">
      <c r="A881" s="127">
        <v>994</v>
      </c>
      <c r="B881" s="128" t="str">
        <f t="shared" si="103"/>
        <v>POPT</v>
      </c>
      <c r="C881" s="128" t="e">
        <f>+VLOOKUP(U881,Ходим!A:B,2,0)</f>
        <v>#N/A</v>
      </c>
      <c r="D881" s="128" t="str">
        <f>IFERROR(VLOOKUP($B:$B,[20]свод!$A:$AB,3,0)," ")</f>
        <v>Поп тумани</v>
      </c>
      <c r="E881" s="7" t="s">
        <v>2021</v>
      </c>
      <c r="F881" s="7" t="s">
        <v>8416</v>
      </c>
      <c r="G881" s="134" t="str">
        <f t="shared" si="106"/>
        <v/>
      </c>
      <c r="H881" s="134">
        <f t="shared" si="107"/>
        <v>1</v>
      </c>
      <c r="I881" s="7" t="s">
        <v>155</v>
      </c>
      <c r="J881" s="7" t="s">
        <v>11</v>
      </c>
      <c r="K881" s="7"/>
      <c r="L881" s="7" t="s">
        <v>166</v>
      </c>
      <c r="M881" s="7" t="s">
        <v>4783</v>
      </c>
      <c r="N881" s="7" t="s">
        <v>170</v>
      </c>
      <c r="O881" s="7" t="s">
        <v>161</v>
      </c>
      <c r="P881" s="7" t="s">
        <v>6716</v>
      </c>
      <c r="Q881" s="129">
        <v>46199</v>
      </c>
      <c r="R881" s="130">
        <f t="shared" si="105"/>
        <v>46216</v>
      </c>
      <c r="S881" s="131">
        <f t="shared" si="104"/>
        <v>17</v>
      </c>
      <c r="T881" s="7"/>
      <c r="U881" s="7"/>
      <c r="V881" s="7"/>
      <c r="W881" s="7">
        <v>172.8</v>
      </c>
      <c r="X881" s="132">
        <f t="shared" si="102"/>
        <v>12</v>
      </c>
      <c r="Y881" s="133"/>
      <c r="Z881" s="133"/>
      <c r="AA881" s="133"/>
    </row>
    <row r="882" spans="1:27" hidden="1" x14ac:dyDescent="0.25">
      <c r="A882" s="127">
        <v>995</v>
      </c>
      <c r="B882" s="128" t="str">
        <f t="shared" si="103"/>
        <v>MINT</v>
      </c>
      <c r="C882" s="128" t="e">
        <f>+VLOOKUP(U882,Ходим!A:B,2,0)</f>
        <v>#N/A</v>
      </c>
      <c r="D882" s="128" t="str">
        <f>IFERROR(VLOOKUP($B:$B,[20]свод!$A:$AB,3,0)," ")</f>
        <v>Мингбулоқ тумани</v>
      </c>
      <c r="E882" s="7" t="s">
        <v>2022</v>
      </c>
      <c r="F882" s="7" t="s">
        <v>8417</v>
      </c>
      <c r="G882" s="134">
        <f t="shared" si="106"/>
        <v>1</v>
      </c>
      <c r="H882" s="134" t="str">
        <f t="shared" si="107"/>
        <v/>
      </c>
      <c r="I882" s="7" t="s">
        <v>156</v>
      </c>
      <c r="J882" s="7" t="s">
        <v>11</v>
      </c>
      <c r="K882" s="7"/>
      <c r="L882" s="7"/>
      <c r="M882" s="7"/>
      <c r="N882" s="7" t="s">
        <v>410</v>
      </c>
      <c r="O882" s="7" t="s">
        <v>162</v>
      </c>
      <c r="P882" s="7" t="s">
        <v>6716</v>
      </c>
      <c r="Q882" s="129">
        <v>46199</v>
      </c>
      <c r="R882" s="130">
        <f t="shared" si="105"/>
        <v>46212</v>
      </c>
      <c r="S882" s="131">
        <f t="shared" si="104"/>
        <v>13</v>
      </c>
      <c r="T882" s="7"/>
      <c r="U882" s="7"/>
      <c r="V882" s="7"/>
      <c r="W882" s="7"/>
      <c r="X882" s="132">
        <f t="shared" si="102"/>
        <v>10</v>
      </c>
      <c r="Y882" s="133"/>
      <c r="Z882" s="133"/>
      <c r="AA882" s="133"/>
    </row>
    <row r="883" spans="1:27" x14ac:dyDescent="0.25">
      <c r="A883" s="127">
        <v>996</v>
      </c>
      <c r="B883" s="128" t="str">
        <f t="shared" si="103"/>
        <v>UYCT</v>
      </c>
      <c r="C883" s="128" t="e">
        <f>+VLOOKUP(U883,Ходим!A:B,2,0)</f>
        <v>#N/A</v>
      </c>
      <c r="D883" s="128" t="str">
        <f>IFERROR(VLOOKUP($B:$B,[20]свод!$A:$AB,3,0)," ")</f>
        <v>Уйчи тумани</v>
      </c>
      <c r="E883" s="7" t="s">
        <v>2023</v>
      </c>
      <c r="F883" s="7" t="s">
        <v>8418</v>
      </c>
      <c r="G883" s="134">
        <f t="shared" si="106"/>
        <v>1</v>
      </c>
      <c r="H883" s="134" t="str">
        <f t="shared" si="107"/>
        <v/>
      </c>
      <c r="I883" s="7" t="s">
        <v>160</v>
      </c>
      <c r="J883" s="7" t="s">
        <v>104</v>
      </c>
      <c r="K883" s="7" t="s">
        <v>10622</v>
      </c>
      <c r="L883" s="7" t="s">
        <v>167</v>
      </c>
      <c r="M883" s="7" t="s">
        <v>4784</v>
      </c>
      <c r="N883" s="7" t="s">
        <v>171</v>
      </c>
      <c r="O883" s="7" t="s">
        <v>164</v>
      </c>
      <c r="P883" s="7" t="s">
        <v>6716</v>
      </c>
      <c r="Q883" s="129">
        <v>46199</v>
      </c>
      <c r="R883" s="130">
        <f t="shared" si="105"/>
        <v>46199</v>
      </c>
      <c r="S883" s="131">
        <f t="shared" si="104"/>
        <v>0</v>
      </c>
      <c r="T883" s="7"/>
      <c r="U883" s="7"/>
      <c r="V883" s="7"/>
      <c r="W883" s="7">
        <v>456.68</v>
      </c>
      <c r="X883" s="132">
        <f t="shared" si="102"/>
        <v>1</v>
      </c>
      <c r="Y883" s="133"/>
      <c r="Z883" s="133"/>
      <c r="AA883" s="133"/>
    </row>
    <row r="884" spans="1:27" hidden="1" x14ac:dyDescent="0.25">
      <c r="A884" s="127">
        <v>997</v>
      </c>
      <c r="B884" s="128" t="str">
        <f t="shared" si="103"/>
        <v>UYCT</v>
      </c>
      <c r="C884" s="128" t="str">
        <f>+VLOOKUP(U884,Ходим!A:B,2,0)</f>
        <v>31101985930022</v>
      </c>
      <c r="D884" s="128" t="str">
        <f>IFERROR(VLOOKUP($B:$B,[20]свод!$A:$AB,3,0)," ")</f>
        <v>Уйчи тумани</v>
      </c>
      <c r="E884" s="7" t="s">
        <v>2024</v>
      </c>
      <c r="F884" s="7" t="s">
        <v>8419</v>
      </c>
      <c r="G884" s="134">
        <f t="shared" si="106"/>
        <v>1</v>
      </c>
      <c r="H884" s="134" t="str">
        <f t="shared" si="107"/>
        <v/>
      </c>
      <c r="I884" s="7" t="s">
        <v>158</v>
      </c>
      <c r="J884" s="7" t="s">
        <v>134</v>
      </c>
      <c r="K884" s="7"/>
      <c r="L884" s="7" t="s">
        <v>167</v>
      </c>
      <c r="M884" s="7" t="s">
        <v>4785</v>
      </c>
      <c r="N884" s="7" t="s">
        <v>410</v>
      </c>
      <c r="O884" s="7" t="s">
        <v>162</v>
      </c>
      <c r="P884" s="7" t="s">
        <v>6347</v>
      </c>
      <c r="Q884" s="129">
        <v>46199</v>
      </c>
      <c r="R884" s="130">
        <f t="shared" si="105"/>
        <v>46204</v>
      </c>
      <c r="S884" s="131">
        <f t="shared" si="104"/>
        <v>5</v>
      </c>
      <c r="T884" s="7" t="s">
        <v>947</v>
      </c>
      <c r="U884" s="7" t="s">
        <v>299</v>
      </c>
      <c r="V884" s="7"/>
      <c r="W884" s="7">
        <v>176.8</v>
      </c>
      <c r="X884" s="132">
        <f t="shared" si="102"/>
        <v>10</v>
      </c>
      <c r="Y884" s="133"/>
      <c r="Z884" s="133"/>
      <c r="AA884" s="133"/>
    </row>
    <row r="885" spans="1:27" hidden="1" x14ac:dyDescent="0.25">
      <c r="A885" s="127">
        <v>998</v>
      </c>
      <c r="B885" s="128" t="str">
        <f t="shared" si="103"/>
        <v>NAMS</v>
      </c>
      <c r="C885" s="128" t="str">
        <f>+VLOOKUP(U885,Ходим!A:B,2,0)</f>
        <v>30302965960014</v>
      </c>
      <c r="D885" s="128" t="str">
        <f>IFERROR(VLOOKUP($B:$B,[20]свод!$A:$AB,3,0)," ")</f>
        <v>Наманган шаҳар</v>
      </c>
      <c r="E885" s="7" t="s">
        <v>2025</v>
      </c>
      <c r="F885" s="7" t="s">
        <v>8420</v>
      </c>
      <c r="G885" s="134">
        <f t="shared" si="106"/>
        <v>1</v>
      </c>
      <c r="H885" s="134" t="str">
        <f t="shared" si="107"/>
        <v/>
      </c>
      <c r="I885" s="7" t="s">
        <v>158</v>
      </c>
      <c r="J885" s="7" t="s">
        <v>10</v>
      </c>
      <c r="K885" s="7"/>
      <c r="L885" s="7" t="s">
        <v>167</v>
      </c>
      <c r="M885" s="7" t="s">
        <v>4786</v>
      </c>
      <c r="N885" s="7" t="s">
        <v>170</v>
      </c>
      <c r="O885" s="7" t="s">
        <v>162</v>
      </c>
      <c r="P885" s="7" t="s">
        <v>6717</v>
      </c>
      <c r="Q885" s="129">
        <v>46199</v>
      </c>
      <c r="R885" s="130">
        <f t="shared" si="105"/>
        <v>46206</v>
      </c>
      <c r="S885" s="131">
        <f t="shared" si="104"/>
        <v>7</v>
      </c>
      <c r="T885" s="7" t="s">
        <v>185</v>
      </c>
      <c r="U885" s="7" t="s">
        <v>304</v>
      </c>
      <c r="V885" s="7"/>
      <c r="W885" s="7">
        <v>458.43</v>
      </c>
      <c r="X885" s="132">
        <f t="shared" si="102"/>
        <v>10</v>
      </c>
      <c r="Y885" s="133"/>
      <c r="Z885" s="133"/>
      <c r="AA885" s="133"/>
    </row>
    <row r="886" spans="1:27" hidden="1" x14ac:dyDescent="0.25">
      <c r="A886" s="127">
        <v>999</v>
      </c>
      <c r="B886" s="128" t="str">
        <f t="shared" si="103"/>
        <v>NAMS</v>
      </c>
      <c r="C886" s="128" t="str">
        <f>+VLOOKUP(U886,Ходим!A:B,2,0)</f>
        <v>52503015960039</v>
      </c>
      <c r="D886" s="128" t="str">
        <f>IFERROR(VLOOKUP($B:$B,[20]свод!$A:$AB,3,0)," ")</f>
        <v>Наманган шаҳар</v>
      </c>
      <c r="E886" s="7" t="s">
        <v>2026</v>
      </c>
      <c r="F886" s="7" t="s">
        <v>8421</v>
      </c>
      <c r="G886" s="134">
        <f t="shared" si="106"/>
        <v>1</v>
      </c>
      <c r="H886" s="134" t="str">
        <f t="shared" si="107"/>
        <v/>
      </c>
      <c r="I886" s="7" t="s">
        <v>158</v>
      </c>
      <c r="J886" s="7" t="s">
        <v>2</v>
      </c>
      <c r="K886" s="7"/>
      <c r="L886" s="7" t="s">
        <v>167</v>
      </c>
      <c r="M886" s="7" t="s">
        <v>4787</v>
      </c>
      <c r="N886" s="7" t="s">
        <v>170</v>
      </c>
      <c r="O886" s="7" t="s">
        <v>162</v>
      </c>
      <c r="P886" s="7" t="s">
        <v>6397</v>
      </c>
      <c r="Q886" s="129">
        <v>46199</v>
      </c>
      <c r="R886" s="130">
        <f t="shared" si="105"/>
        <v>46211</v>
      </c>
      <c r="S886" s="131">
        <f t="shared" si="104"/>
        <v>12</v>
      </c>
      <c r="T886" s="7" t="s">
        <v>185</v>
      </c>
      <c r="U886" s="7" t="s">
        <v>246</v>
      </c>
      <c r="V886" s="7"/>
      <c r="W886" s="7">
        <v>230.39</v>
      </c>
      <c r="X886" s="132">
        <f t="shared" si="102"/>
        <v>10</v>
      </c>
      <c r="Y886" s="133"/>
      <c r="Z886" s="133"/>
      <c r="AA886" s="133"/>
    </row>
    <row r="887" spans="1:27" hidden="1" x14ac:dyDescent="0.25">
      <c r="A887" s="127">
        <v>1000</v>
      </c>
      <c r="B887" s="128" t="str">
        <f t="shared" si="103"/>
        <v>YGQT</v>
      </c>
      <c r="C887" s="128" t="str">
        <f>+VLOOKUP(U887,Ходим!A:B,2,0)</f>
        <v>52010015950028</v>
      </c>
      <c r="D887" s="128" t="str">
        <f>IFERROR(VLOOKUP($B:$B,[20]свод!$A:$AB,3,0)," ")</f>
        <v>Янгиқўрғон тумани</v>
      </c>
      <c r="E887" s="7" t="s">
        <v>2027</v>
      </c>
      <c r="F887" s="7" t="s">
        <v>8422</v>
      </c>
      <c r="G887" s="134" t="str">
        <f t="shared" si="106"/>
        <v/>
      </c>
      <c r="H887" s="134">
        <f t="shared" si="107"/>
        <v>1</v>
      </c>
      <c r="I887" s="7" t="s">
        <v>157</v>
      </c>
      <c r="J887" s="7" t="s">
        <v>134</v>
      </c>
      <c r="K887" s="7"/>
      <c r="L887" s="7" t="s">
        <v>168</v>
      </c>
      <c r="M887" s="7" t="s">
        <v>1116</v>
      </c>
      <c r="N887" s="7" t="s">
        <v>410</v>
      </c>
      <c r="O887" s="7" t="s">
        <v>165</v>
      </c>
      <c r="P887" s="7" t="s">
        <v>6718</v>
      </c>
      <c r="Q887" s="129">
        <v>46199</v>
      </c>
      <c r="R887" s="130">
        <f t="shared" si="105"/>
        <v>46216</v>
      </c>
      <c r="S887" s="131">
        <f t="shared" si="104"/>
        <v>17</v>
      </c>
      <c r="T887" s="7" t="s">
        <v>182</v>
      </c>
      <c r="U887" s="7" t="s">
        <v>391</v>
      </c>
      <c r="V887" s="7"/>
      <c r="W887" s="7">
        <v>0</v>
      </c>
      <c r="X887" s="132">
        <f t="shared" si="102"/>
        <v>15</v>
      </c>
      <c r="Y887" s="133"/>
      <c r="Z887" s="133"/>
      <c r="AA887" s="133"/>
    </row>
    <row r="888" spans="1:27" hidden="1" x14ac:dyDescent="0.25">
      <c r="A888" s="127">
        <v>1001</v>
      </c>
      <c r="B888" s="128" t="str">
        <f t="shared" si="103"/>
        <v>MINT</v>
      </c>
      <c r="C888" s="128" t="e">
        <f>+VLOOKUP(U888,Ходим!A:B,2,0)</f>
        <v>#N/A</v>
      </c>
      <c r="D888" s="128" t="str">
        <f>IFERROR(VLOOKUP($B:$B,[20]свод!$A:$AB,3,0)," ")</f>
        <v>Мингбулоқ тумани</v>
      </c>
      <c r="E888" s="7" t="s">
        <v>2028</v>
      </c>
      <c r="F888" s="7" t="s">
        <v>8423</v>
      </c>
      <c r="G888" s="134">
        <f t="shared" si="106"/>
        <v>1</v>
      </c>
      <c r="H888" s="134" t="str">
        <f t="shared" si="107"/>
        <v/>
      </c>
      <c r="I888" s="7" t="s">
        <v>156</v>
      </c>
      <c r="J888" s="7" t="s">
        <v>11</v>
      </c>
      <c r="K888" s="7"/>
      <c r="L888" s="7"/>
      <c r="M888" s="7"/>
      <c r="N888" s="7" t="s">
        <v>170</v>
      </c>
      <c r="O888" s="7" t="s">
        <v>162</v>
      </c>
      <c r="P888" s="7" t="s">
        <v>6680</v>
      </c>
      <c r="Q888" s="129">
        <v>46199</v>
      </c>
      <c r="R888" s="130">
        <f t="shared" si="105"/>
        <v>46212</v>
      </c>
      <c r="S888" s="131">
        <f t="shared" si="104"/>
        <v>13</v>
      </c>
      <c r="T888" s="7"/>
      <c r="U888" s="7"/>
      <c r="V888" s="7"/>
      <c r="W888" s="7"/>
      <c r="X888" s="132">
        <f t="shared" si="102"/>
        <v>10</v>
      </c>
      <c r="Y888" s="133"/>
      <c r="Z888" s="133"/>
      <c r="AA888" s="133"/>
    </row>
    <row r="889" spans="1:27" hidden="1" x14ac:dyDescent="0.25">
      <c r="A889" s="127">
        <v>1002</v>
      </c>
      <c r="B889" s="128" t="str">
        <f t="shared" si="103"/>
        <v>NAMS</v>
      </c>
      <c r="C889" s="128" t="str">
        <f>+VLOOKUP(U889,Ходим!A:B,2,0)</f>
        <v>53008015960094</v>
      </c>
      <c r="D889" s="128" t="str">
        <f>IFERROR(VLOOKUP($B:$B,[20]свод!$A:$AB,3,0)," ")</f>
        <v>Наманган шаҳар</v>
      </c>
      <c r="E889" s="7" t="s">
        <v>2029</v>
      </c>
      <c r="F889" s="7" t="s">
        <v>8424</v>
      </c>
      <c r="G889" s="134">
        <f t="shared" si="106"/>
        <v>1</v>
      </c>
      <c r="H889" s="134" t="str">
        <f t="shared" si="107"/>
        <v/>
      </c>
      <c r="I889" s="7" t="s">
        <v>156</v>
      </c>
      <c r="J889" s="7" t="s">
        <v>25</v>
      </c>
      <c r="K889" s="7"/>
      <c r="L889" s="7"/>
      <c r="M889" s="7"/>
      <c r="N889" s="7" t="s">
        <v>170</v>
      </c>
      <c r="O889" s="7" t="s">
        <v>162</v>
      </c>
      <c r="P889" s="7" t="s">
        <v>6719</v>
      </c>
      <c r="Q889" s="129">
        <v>46199</v>
      </c>
      <c r="R889" s="130">
        <f t="shared" si="105"/>
        <v>46212</v>
      </c>
      <c r="S889" s="131">
        <f t="shared" si="104"/>
        <v>13</v>
      </c>
      <c r="T889" s="7" t="s">
        <v>173</v>
      </c>
      <c r="U889" s="7" t="s">
        <v>403</v>
      </c>
      <c r="V889" s="7"/>
      <c r="W889" s="7"/>
      <c r="X889" s="132">
        <f t="shared" si="102"/>
        <v>10</v>
      </c>
      <c r="Y889" s="133"/>
      <c r="Z889" s="133"/>
      <c r="AA889" s="133"/>
    </row>
    <row r="890" spans="1:27" hidden="1" x14ac:dyDescent="0.25">
      <c r="A890" s="127">
        <v>1003</v>
      </c>
      <c r="B890" s="128" t="str">
        <f t="shared" si="103"/>
        <v>NAMT</v>
      </c>
      <c r="C890" s="128" t="str">
        <f>+VLOOKUP(U890,Ходим!A:B,2,0)</f>
        <v>50706025880010</v>
      </c>
      <c r="D890" s="128" t="str">
        <f>IFERROR(VLOOKUP($B:$B,[20]свод!$A:$AB,3,0)," ")</f>
        <v>Наманган тумани</v>
      </c>
      <c r="E890" s="7" t="s">
        <v>2030</v>
      </c>
      <c r="F890" s="7" t="s">
        <v>8425</v>
      </c>
      <c r="G890" s="134" t="str">
        <f t="shared" si="106"/>
        <v/>
      </c>
      <c r="H890" s="134">
        <f t="shared" si="107"/>
        <v>1</v>
      </c>
      <c r="I890" s="7" t="s">
        <v>157</v>
      </c>
      <c r="J890" s="7" t="s">
        <v>13</v>
      </c>
      <c r="K890" s="7"/>
      <c r="L890" s="7" t="s">
        <v>166</v>
      </c>
      <c r="M890" s="7" t="s">
        <v>4788</v>
      </c>
      <c r="N890" s="7" t="s">
        <v>170</v>
      </c>
      <c r="O890" s="7" t="s">
        <v>163</v>
      </c>
      <c r="P890" s="7" t="s">
        <v>6625</v>
      </c>
      <c r="Q890" s="129">
        <v>46199</v>
      </c>
      <c r="R890" s="130">
        <f t="shared" si="105"/>
        <v>46205</v>
      </c>
      <c r="S890" s="131">
        <f t="shared" si="104"/>
        <v>6</v>
      </c>
      <c r="T890" s="7" t="s">
        <v>197</v>
      </c>
      <c r="U890" s="7" t="s">
        <v>397</v>
      </c>
      <c r="V890" s="7"/>
      <c r="W890" s="7">
        <v>0</v>
      </c>
      <c r="X890" s="132">
        <f t="shared" si="102"/>
        <v>10</v>
      </c>
      <c r="Y890" s="133"/>
      <c r="Z890" s="133"/>
      <c r="AA890" s="133"/>
    </row>
    <row r="891" spans="1:27" hidden="1" x14ac:dyDescent="0.25">
      <c r="A891" s="127">
        <v>1004</v>
      </c>
      <c r="B891" s="128" t="str">
        <f t="shared" si="103"/>
        <v>NAMS</v>
      </c>
      <c r="C891" s="128" t="str">
        <f>+VLOOKUP(U891,Ходим!A:B,2,0)</f>
        <v>52710005960025</v>
      </c>
      <c r="D891" s="128" t="str">
        <f>IFERROR(VLOOKUP($B:$B,[20]свод!$A:$AB,3,0)," ")</f>
        <v>Наманган шаҳар</v>
      </c>
      <c r="E891" s="7" t="s">
        <v>2031</v>
      </c>
      <c r="F891" s="7" t="s">
        <v>8426</v>
      </c>
      <c r="G891" s="134">
        <f t="shared" si="106"/>
        <v>1</v>
      </c>
      <c r="H891" s="134" t="str">
        <f t="shared" si="107"/>
        <v/>
      </c>
      <c r="I891" s="7" t="s">
        <v>156</v>
      </c>
      <c r="J891" s="7" t="s">
        <v>25</v>
      </c>
      <c r="K891" s="7"/>
      <c r="L891" s="7"/>
      <c r="M891" s="7"/>
      <c r="N891" s="7" t="s">
        <v>170</v>
      </c>
      <c r="O891" s="7" t="s">
        <v>162</v>
      </c>
      <c r="P891" s="7" t="s">
        <v>6720</v>
      </c>
      <c r="Q891" s="129">
        <v>46199</v>
      </c>
      <c r="R891" s="130">
        <f t="shared" si="105"/>
        <v>46212</v>
      </c>
      <c r="S891" s="131">
        <f t="shared" si="104"/>
        <v>13</v>
      </c>
      <c r="T891" s="7" t="s">
        <v>173</v>
      </c>
      <c r="U891" s="7" t="s">
        <v>274</v>
      </c>
      <c r="V891" s="7"/>
      <c r="W891" s="7"/>
      <c r="X891" s="132">
        <f t="shared" si="102"/>
        <v>10</v>
      </c>
      <c r="Y891" s="133"/>
      <c r="Z891" s="133"/>
      <c r="AA891" s="133"/>
    </row>
    <row r="892" spans="1:27" hidden="1" x14ac:dyDescent="0.25">
      <c r="A892" s="127">
        <v>1005</v>
      </c>
      <c r="B892" s="128" t="str">
        <f t="shared" si="103"/>
        <v>MINT</v>
      </c>
      <c r="C892" s="128" t="e">
        <f>+VLOOKUP(U892,Ходим!A:B,2,0)</f>
        <v>#N/A</v>
      </c>
      <c r="D892" s="128" t="str">
        <f>IFERROR(VLOOKUP($B:$B,[20]свод!$A:$AB,3,0)," ")</f>
        <v>Мингбулоқ тумани</v>
      </c>
      <c r="E892" s="7" t="s">
        <v>2032</v>
      </c>
      <c r="F892" s="7" t="s">
        <v>8427</v>
      </c>
      <c r="G892" s="134">
        <f t="shared" si="106"/>
        <v>1</v>
      </c>
      <c r="H892" s="134" t="str">
        <f t="shared" si="107"/>
        <v/>
      </c>
      <c r="I892" s="7" t="s">
        <v>159</v>
      </c>
      <c r="J892" s="7" t="s">
        <v>137</v>
      </c>
      <c r="K892" s="7"/>
      <c r="L892" s="7" t="s">
        <v>167</v>
      </c>
      <c r="M892" s="7" t="s">
        <v>4789</v>
      </c>
      <c r="N892" s="7" t="s">
        <v>170</v>
      </c>
      <c r="O892" s="7" t="s">
        <v>163</v>
      </c>
      <c r="P892" s="7" t="s">
        <v>6720</v>
      </c>
      <c r="Q892" s="129">
        <v>46199</v>
      </c>
      <c r="R892" s="130">
        <f t="shared" si="105"/>
        <v>46212</v>
      </c>
      <c r="S892" s="131">
        <f t="shared" si="104"/>
        <v>13</v>
      </c>
      <c r="T892" s="7"/>
      <c r="U892" s="7"/>
      <c r="V892" s="7"/>
      <c r="W892" s="7">
        <v>333.07</v>
      </c>
      <c r="X892" s="132">
        <f t="shared" si="102"/>
        <v>10</v>
      </c>
      <c r="Y892" s="133"/>
      <c r="Z892" s="133"/>
      <c r="AA892" s="133"/>
    </row>
    <row r="893" spans="1:27" hidden="1" x14ac:dyDescent="0.25">
      <c r="A893" s="127">
        <v>1006</v>
      </c>
      <c r="B893" s="128" t="str">
        <f t="shared" si="103"/>
        <v>UCQT</v>
      </c>
      <c r="C893" s="128" t="str">
        <f>+VLOOKUP(U893,Ходим!A:B,2,0)</f>
        <v>31206892150069</v>
      </c>
      <c r="D893" s="128" t="str">
        <f>IFERROR(VLOOKUP($B:$B,[20]свод!$A:$AB,3,0)," ")</f>
        <v>Учқўрғон тумани</v>
      </c>
      <c r="E893" s="7" t="s">
        <v>2033</v>
      </c>
      <c r="F893" s="7" t="s">
        <v>8428</v>
      </c>
      <c r="G893" s="134">
        <f t="shared" si="106"/>
        <v>1</v>
      </c>
      <c r="H893" s="134" t="str">
        <f t="shared" si="107"/>
        <v/>
      </c>
      <c r="I893" s="7" t="s">
        <v>158</v>
      </c>
      <c r="J893" s="7" t="s">
        <v>12</v>
      </c>
      <c r="K893" s="7"/>
      <c r="L893" s="7" t="s">
        <v>167</v>
      </c>
      <c r="M893" s="7" t="s">
        <v>4790</v>
      </c>
      <c r="N893" s="7" t="s">
        <v>170</v>
      </c>
      <c r="O893" s="7" t="s">
        <v>162</v>
      </c>
      <c r="P893" s="7" t="s">
        <v>6544</v>
      </c>
      <c r="Q893" s="129">
        <v>46199</v>
      </c>
      <c r="R893" s="130">
        <f t="shared" si="105"/>
        <v>46205</v>
      </c>
      <c r="S893" s="131">
        <f t="shared" si="104"/>
        <v>6</v>
      </c>
      <c r="T893" s="7" t="s">
        <v>175</v>
      </c>
      <c r="U893" s="7" t="s">
        <v>318</v>
      </c>
      <c r="V893" s="7"/>
      <c r="W893" s="7">
        <v>551.77</v>
      </c>
      <c r="X893" s="132">
        <f t="shared" ref="X893:X947" si="108">IF(N893="Kadastr muhandisi",3,
IF(N893="UZKAD",5,
IF(V893="FREE",5,
IF(I893="Registratsiya (tashqi - UZKAD da bor)",1,
IF(I893="Avtoyo'l va suv xo'jaligi obyektining kadastr pasportini shakllantirish va ro'yxatga olish",7,
IF(I893="Notarius uchun ma'lumotnoma (uz)",1,
IF(I893="Qurilishi tugallangan ko'chmas mulkni foydalanishga qabul qilish",10,
IF(OR(I893="Turar joy obyektning kadastr pasportini shakllantirish va davlat ro'yxatidan o'tkazish",I893="Turar kompozit"),
IF(L893="Turar yer maydoni",7,10),
IF(OR(I893="Noturar obyektning kadastr pasportini shakllantirish va davlat ro'yxatidan o'tkazish",I893="Noturar kompozit"),
IF(O893="Ko‘p yillik daraxtlar xizmati",15,
IF(OR(L893="Noturar yer maydoni",L893="Davlat tashkilotlaridan ijaraga olingan yer uchastkasi"),7,
IF(W893&lt;100,10,IF(W893&lt;=1000,12,IF(W893&lt;=5000,17,IF(W893&lt;=15000,22,IF(W893&lt;=50000,28,37))))))),
IF(I893="Umumiy foydalanishdagi ko'chmas mulk qismini yaratish",
IF(IF(TRIM(L893)="",IF(OR(O893="Turar joy xizmati",O893="Yakka tartibdagi turar joy"),"Turar","Noturar"),IF(OR(L893="Yakka tartibdagi turar joy",L893="Turar joy xizmati"),"Turar","Noturar"))="Turar",
10,IF(W893&lt;100,10,IF(W893&lt;=1000,12,IF(W893&lt;=5000,17,IF(W893&lt;=15000,22,IF(W893&lt;=50000,28,37)))))),
0))))))))))</f>
        <v>10</v>
      </c>
      <c r="Y893" s="133"/>
      <c r="Z893" s="133"/>
      <c r="AA893" s="133"/>
    </row>
    <row r="894" spans="1:27" hidden="1" x14ac:dyDescent="0.25">
      <c r="A894" s="127">
        <v>1007</v>
      </c>
      <c r="B894" s="128" t="str">
        <f t="shared" ref="B894:B948" si="109">LEFT(E894,4)</f>
        <v>NAMS</v>
      </c>
      <c r="C894" s="128" t="str">
        <f>+VLOOKUP(U894,Ходим!A:B,2,0)</f>
        <v>31601642170089</v>
      </c>
      <c r="D894" s="128" t="str">
        <f>IFERROR(VLOOKUP($B:$B,[20]свод!$A:$AB,3,0)," ")</f>
        <v>Наманган шаҳар</v>
      </c>
      <c r="E894" s="7" t="s">
        <v>2034</v>
      </c>
      <c r="F894" s="7" t="s">
        <v>8429</v>
      </c>
      <c r="G894" s="134">
        <f t="shared" si="106"/>
        <v>1</v>
      </c>
      <c r="H894" s="134" t="str">
        <f t="shared" si="107"/>
        <v/>
      </c>
      <c r="I894" s="7" t="s">
        <v>158</v>
      </c>
      <c r="J894" s="7" t="s">
        <v>10</v>
      </c>
      <c r="K894" s="7"/>
      <c r="L894" s="7" t="s">
        <v>167</v>
      </c>
      <c r="M894" s="7" t="s">
        <v>4791</v>
      </c>
      <c r="N894" s="7" t="s">
        <v>170</v>
      </c>
      <c r="O894" s="7" t="s">
        <v>162</v>
      </c>
      <c r="P894" s="7" t="s">
        <v>6721</v>
      </c>
      <c r="Q894" s="129">
        <v>46199</v>
      </c>
      <c r="R894" s="130">
        <f t="shared" si="105"/>
        <v>46203</v>
      </c>
      <c r="S894" s="131">
        <f t="shared" ref="S894:S948" si="110">R894-Q894</f>
        <v>4</v>
      </c>
      <c r="T894" s="7" t="s">
        <v>185</v>
      </c>
      <c r="U894" s="7" t="s">
        <v>201</v>
      </c>
      <c r="V894" s="7"/>
      <c r="W894" s="7">
        <v>502.66</v>
      </c>
      <c r="X894" s="132">
        <f t="shared" si="108"/>
        <v>10</v>
      </c>
      <c r="Y894" s="133"/>
      <c r="Z894" s="133"/>
      <c r="AA894" s="133"/>
    </row>
    <row r="895" spans="1:27" hidden="1" x14ac:dyDescent="0.25">
      <c r="A895" s="127">
        <v>1008</v>
      </c>
      <c r="B895" s="128" t="str">
        <f t="shared" si="109"/>
        <v>CHOT</v>
      </c>
      <c r="C895" s="128" t="str">
        <f>+VLOOKUP(U895,Ходим!A:B,2,0)</f>
        <v>30308922100022</v>
      </c>
      <c r="D895" s="128" t="str">
        <f>IFERROR(VLOOKUP($B:$B,[20]свод!$A:$AB,3,0)," ")</f>
        <v>Чортоқ тумани</v>
      </c>
      <c r="E895" s="7" t="s">
        <v>2035</v>
      </c>
      <c r="F895" s="7" t="s">
        <v>8430</v>
      </c>
      <c r="G895" s="134" t="str">
        <f t="shared" si="106"/>
        <v/>
      </c>
      <c r="H895" s="134">
        <f t="shared" si="107"/>
        <v>1</v>
      </c>
      <c r="I895" s="7" t="s">
        <v>157</v>
      </c>
      <c r="J895" s="7" t="s">
        <v>16</v>
      </c>
      <c r="K895" s="7"/>
      <c r="L895" s="7" t="s">
        <v>166</v>
      </c>
      <c r="M895" s="7" t="s">
        <v>4792</v>
      </c>
      <c r="N895" s="7" t="s">
        <v>170</v>
      </c>
      <c r="O895" s="7" t="s">
        <v>161</v>
      </c>
      <c r="P895" s="7" t="s">
        <v>6670</v>
      </c>
      <c r="Q895" s="129">
        <v>46199</v>
      </c>
      <c r="R895" s="130">
        <f t="shared" si="105"/>
        <v>46203</v>
      </c>
      <c r="S895" s="131">
        <f t="shared" si="110"/>
        <v>4</v>
      </c>
      <c r="T895" s="7" t="s">
        <v>10635</v>
      </c>
      <c r="U895" s="7" t="s">
        <v>190</v>
      </c>
      <c r="V895" s="7"/>
      <c r="W895" s="7">
        <v>740.4</v>
      </c>
      <c r="X895" s="132">
        <f t="shared" si="108"/>
        <v>12</v>
      </c>
      <c r="Y895" s="133"/>
      <c r="Z895" s="133"/>
      <c r="AA895" s="133"/>
    </row>
    <row r="896" spans="1:27" x14ac:dyDescent="0.25">
      <c r="A896" s="127">
        <v>1009</v>
      </c>
      <c r="B896" s="128" t="str">
        <f t="shared" si="109"/>
        <v>MINT</v>
      </c>
      <c r="C896" s="128" t="str">
        <f>+VLOOKUP(U896,Ходим!A:B,2,0)</f>
        <v>53110035990017</v>
      </c>
      <c r="D896" s="128" t="str">
        <f>IFERROR(VLOOKUP($B:$B,[20]свод!$A:$AB,3,0)," ")</f>
        <v>Мингбулоқ тумани</v>
      </c>
      <c r="E896" s="7" t="s">
        <v>2036</v>
      </c>
      <c r="F896" s="7" t="s">
        <v>8431</v>
      </c>
      <c r="G896" s="134">
        <f t="shared" si="106"/>
        <v>1</v>
      </c>
      <c r="H896" s="134" t="str">
        <f t="shared" si="107"/>
        <v/>
      </c>
      <c r="I896" s="7" t="s">
        <v>158</v>
      </c>
      <c r="J896" s="7" t="s">
        <v>134</v>
      </c>
      <c r="K896" s="7"/>
      <c r="L896" s="7"/>
      <c r="M896" s="7"/>
      <c r="N896" s="7" t="s">
        <v>410</v>
      </c>
      <c r="O896" s="7" t="s">
        <v>162</v>
      </c>
      <c r="P896" s="7" t="s">
        <v>6722</v>
      </c>
      <c r="Q896" s="129">
        <v>46199</v>
      </c>
      <c r="R896" s="130">
        <f t="shared" si="105"/>
        <v>46199</v>
      </c>
      <c r="S896" s="131">
        <f t="shared" si="110"/>
        <v>0</v>
      </c>
      <c r="T896" s="7" t="s">
        <v>220</v>
      </c>
      <c r="U896" s="7" t="s">
        <v>372</v>
      </c>
      <c r="V896" s="7"/>
      <c r="W896" s="7"/>
      <c r="X896" s="132">
        <f t="shared" si="108"/>
        <v>10</v>
      </c>
      <c r="Y896" s="133"/>
      <c r="Z896" s="133"/>
      <c r="AA896" s="133"/>
    </row>
    <row r="897" spans="1:27" hidden="1" x14ac:dyDescent="0.25">
      <c r="A897" s="127">
        <v>1010</v>
      </c>
      <c r="B897" s="128" t="str">
        <f t="shared" si="109"/>
        <v>YGQT</v>
      </c>
      <c r="C897" s="128" t="str">
        <f>+VLOOKUP(U897,Ходим!A:B,2,0)</f>
        <v>52010015950028</v>
      </c>
      <c r="D897" s="128" t="str">
        <f>IFERROR(VLOOKUP($B:$B,[20]свод!$A:$AB,3,0)," ")</f>
        <v>Янгиқўрғон тумани</v>
      </c>
      <c r="E897" s="7" t="s">
        <v>2037</v>
      </c>
      <c r="F897" s="7" t="s">
        <v>8432</v>
      </c>
      <c r="G897" s="134">
        <f t="shared" si="106"/>
        <v>1</v>
      </c>
      <c r="H897" s="134" t="str">
        <f t="shared" si="107"/>
        <v/>
      </c>
      <c r="I897" s="7" t="s">
        <v>156</v>
      </c>
      <c r="J897" s="7" t="s">
        <v>22</v>
      </c>
      <c r="K897" s="7"/>
      <c r="L897" s="7" t="s">
        <v>169</v>
      </c>
      <c r="M897" s="7" t="s">
        <v>1072</v>
      </c>
      <c r="N897" s="7" t="s">
        <v>410</v>
      </c>
      <c r="O897" s="7" t="s">
        <v>162</v>
      </c>
      <c r="P897" s="7" t="s">
        <v>6723</v>
      </c>
      <c r="Q897" s="129">
        <v>46199</v>
      </c>
      <c r="R897" s="130">
        <f t="shared" si="105"/>
        <v>46209</v>
      </c>
      <c r="S897" s="131">
        <f t="shared" si="110"/>
        <v>10</v>
      </c>
      <c r="T897" s="7" t="s">
        <v>182</v>
      </c>
      <c r="U897" s="7" t="s">
        <v>391</v>
      </c>
      <c r="V897" s="7"/>
      <c r="W897" s="7">
        <v>0</v>
      </c>
      <c r="X897" s="132">
        <f t="shared" si="108"/>
        <v>7</v>
      </c>
      <c r="Y897" s="133"/>
      <c r="Z897" s="133"/>
      <c r="AA897" s="133"/>
    </row>
    <row r="898" spans="1:27" x14ac:dyDescent="0.25">
      <c r="A898" s="127">
        <v>1011</v>
      </c>
      <c r="B898" s="128" t="str">
        <f t="shared" si="109"/>
        <v>MINT</v>
      </c>
      <c r="C898" s="128" t="str">
        <f>+VLOOKUP(U898,Ходим!A:B,2,0)</f>
        <v>53110035990017</v>
      </c>
      <c r="D898" s="128" t="str">
        <f>IFERROR(VLOOKUP($B:$B,[20]свод!$A:$AB,3,0)," ")</f>
        <v>Мингбулоқ тумани</v>
      </c>
      <c r="E898" s="7" t="s">
        <v>2038</v>
      </c>
      <c r="F898" s="7" t="s">
        <v>8433</v>
      </c>
      <c r="G898" s="134">
        <f t="shared" si="106"/>
        <v>1</v>
      </c>
      <c r="H898" s="134" t="str">
        <f t="shared" si="107"/>
        <v/>
      </c>
      <c r="I898" s="7" t="s">
        <v>158</v>
      </c>
      <c r="J898" s="7" t="s">
        <v>134</v>
      </c>
      <c r="K898" s="7"/>
      <c r="L898" s="7"/>
      <c r="M898" s="7"/>
      <c r="N898" s="7" t="s">
        <v>410</v>
      </c>
      <c r="O898" s="7" t="s">
        <v>162</v>
      </c>
      <c r="P898" s="7" t="s">
        <v>6722</v>
      </c>
      <c r="Q898" s="129">
        <v>46199</v>
      </c>
      <c r="R898" s="130">
        <f t="shared" si="105"/>
        <v>46199</v>
      </c>
      <c r="S898" s="131">
        <f t="shared" si="110"/>
        <v>0</v>
      </c>
      <c r="T898" s="7" t="s">
        <v>220</v>
      </c>
      <c r="U898" s="7" t="s">
        <v>372</v>
      </c>
      <c r="V898" s="7"/>
      <c r="W898" s="7"/>
      <c r="X898" s="132">
        <f t="shared" si="108"/>
        <v>10</v>
      </c>
      <c r="Y898" s="133"/>
      <c r="Z898" s="133"/>
      <c r="AA898" s="133"/>
    </row>
    <row r="899" spans="1:27" hidden="1" x14ac:dyDescent="0.25">
      <c r="A899" s="127">
        <v>1012</v>
      </c>
      <c r="B899" s="128" t="str">
        <f t="shared" si="109"/>
        <v>NAMS</v>
      </c>
      <c r="C899" s="128" t="str">
        <f>+VLOOKUP(U899,Ходим!A:B,2,0)</f>
        <v>50308015960081</v>
      </c>
      <c r="D899" s="128" t="str">
        <f>IFERROR(VLOOKUP($B:$B,[20]свод!$A:$AB,3,0)," ")</f>
        <v>Наманган шаҳар</v>
      </c>
      <c r="E899" s="7" t="s">
        <v>2039</v>
      </c>
      <c r="F899" s="7" t="s">
        <v>8434</v>
      </c>
      <c r="G899" s="134" t="str">
        <f t="shared" si="106"/>
        <v/>
      </c>
      <c r="H899" s="134">
        <f t="shared" si="107"/>
        <v>1</v>
      </c>
      <c r="I899" s="7" t="s">
        <v>155</v>
      </c>
      <c r="J899" s="7" t="s">
        <v>25</v>
      </c>
      <c r="K899" s="7"/>
      <c r="L899" s="7"/>
      <c r="M899" s="7"/>
      <c r="N899" s="7" t="s">
        <v>170</v>
      </c>
      <c r="O899" s="7" t="s">
        <v>161</v>
      </c>
      <c r="P899" s="7" t="s">
        <v>6724</v>
      </c>
      <c r="Q899" s="129">
        <v>46199</v>
      </c>
      <c r="R899" s="130">
        <f t="shared" si="105"/>
        <v>46205</v>
      </c>
      <c r="S899" s="131">
        <f t="shared" si="110"/>
        <v>6</v>
      </c>
      <c r="T899" s="7" t="s">
        <v>227</v>
      </c>
      <c r="U899" s="7" t="s">
        <v>375</v>
      </c>
      <c r="V899" s="7"/>
      <c r="W899" s="7"/>
      <c r="X899" s="132">
        <f t="shared" si="108"/>
        <v>10</v>
      </c>
      <c r="Y899" s="133"/>
      <c r="Z899" s="133"/>
      <c r="AA899" s="133"/>
    </row>
    <row r="900" spans="1:27" hidden="1" x14ac:dyDescent="0.25">
      <c r="A900" s="127">
        <v>1013</v>
      </c>
      <c r="B900" s="128" t="str">
        <f t="shared" si="109"/>
        <v>NAMS</v>
      </c>
      <c r="C900" s="128" t="str">
        <f>+VLOOKUP(U900,Ходим!A:B,2,0)</f>
        <v>50308015960081</v>
      </c>
      <c r="D900" s="128" t="str">
        <f>IFERROR(VLOOKUP($B:$B,[20]свод!$A:$AB,3,0)," ")</f>
        <v>Наманган шаҳар</v>
      </c>
      <c r="E900" s="7" t="s">
        <v>2040</v>
      </c>
      <c r="F900" s="7" t="s">
        <v>8435</v>
      </c>
      <c r="G900" s="134" t="str">
        <f t="shared" si="106"/>
        <v/>
      </c>
      <c r="H900" s="134">
        <f t="shared" si="107"/>
        <v>1</v>
      </c>
      <c r="I900" s="7" t="s">
        <v>155</v>
      </c>
      <c r="J900" s="7" t="s">
        <v>25</v>
      </c>
      <c r="K900" s="7"/>
      <c r="L900" s="7"/>
      <c r="M900" s="7"/>
      <c r="N900" s="7" t="s">
        <v>170</v>
      </c>
      <c r="O900" s="7" t="s">
        <v>161</v>
      </c>
      <c r="P900" s="7" t="s">
        <v>6724</v>
      </c>
      <c r="Q900" s="129">
        <v>46199</v>
      </c>
      <c r="R900" s="130">
        <f t="shared" si="105"/>
        <v>46205</v>
      </c>
      <c r="S900" s="131">
        <f t="shared" si="110"/>
        <v>6</v>
      </c>
      <c r="T900" s="7" t="s">
        <v>227</v>
      </c>
      <c r="U900" s="7" t="s">
        <v>375</v>
      </c>
      <c r="V900" s="7"/>
      <c r="W900" s="7"/>
      <c r="X900" s="132">
        <f t="shared" si="108"/>
        <v>10</v>
      </c>
      <c r="Y900" s="133"/>
      <c r="Z900" s="133"/>
      <c r="AA900" s="133"/>
    </row>
    <row r="901" spans="1:27" hidden="1" x14ac:dyDescent="0.25">
      <c r="A901" s="127">
        <v>1014</v>
      </c>
      <c r="B901" s="128" t="str">
        <f t="shared" si="109"/>
        <v>NAMS</v>
      </c>
      <c r="C901" s="128" t="str">
        <f>+VLOOKUP(U901,Ходим!A:B,2,0)</f>
        <v>51911035960011</v>
      </c>
      <c r="D901" s="128" t="str">
        <f>IFERROR(VLOOKUP($B:$B,[20]свод!$A:$AB,3,0)," ")</f>
        <v>Наманган шаҳар</v>
      </c>
      <c r="E901" s="7" t="s">
        <v>2041</v>
      </c>
      <c r="F901" s="7" t="s">
        <v>8436</v>
      </c>
      <c r="G901" s="134">
        <f t="shared" si="106"/>
        <v>1</v>
      </c>
      <c r="H901" s="134" t="str">
        <f t="shared" si="107"/>
        <v/>
      </c>
      <c r="I901" s="7" t="s">
        <v>158</v>
      </c>
      <c r="J901" s="7" t="s">
        <v>2</v>
      </c>
      <c r="K901" s="7"/>
      <c r="L901" s="7" t="s">
        <v>167</v>
      </c>
      <c r="M901" s="7" t="s">
        <v>4793</v>
      </c>
      <c r="N901" s="7" t="s">
        <v>170</v>
      </c>
      <c r="O901" s="7" t="s">
        <v>162</v>
      </c>
      <c r="P901" s="7" t="s">
        <v>6724</v>
      </c>
      <c r="Q901" s="129">
        <v>46199</v>
      </c>
      <c r="R901" s="130">
        <f t="shared" si="105"/>
        <v>46205</v>
      </c>
      <c r="S901" s="131">
        <f t="shared" si="110"/>
        <v>6</v>
      </c>
      <c r="T901" s="7" t="s">
        <v>185</v>
      </c>
      <c r="U901" s="7" t="s">
        <v>371</v>
      </c>
      <c r="V901" s="7"/>
      <c r="W901" s="7">
        <v>219.36</v>
      </c>
      <c r="X901" s="132">
        <f t="shared" si="108"/>
        <v>10</v>
      </c>
      <c r="Y901" s="133"/>
      <c r="Z901" s="133"/>
      <c r="AA901" s="133"/>
    </row>
    <row r="902" spans="1:27" hidden="1" x14ac:dyDescent="0.25">
      <c r="A902" s="127">
        <v>1015</v>
      </c>
      <c r="B902" s="128" t="str">
        <f t="shared" si="109"/>
        <v>POPT</v>
      </c>
      <c r="C902" s="128" t="str">
        <f>+VLOOKUP(U902,Ходим!A:B,2,0)</f>
        <v>31503892210028</v>
      </c>
      <c r="D902" s="128" t="str">
        <f>IFERROR(VLOOKUP($B:$B,[20]свод!$A:$AB,3,0)," ")</f>
        <v>Поп тумани</v>
      </c>
      <c r="E902" s="7" t="s">
        <v>2042</v>
      </c>
      <c r="F902" s="7" t="s">
        <v>8437</v>
      </c>
      <c r="G902" s="134">
        <f t="shared" si="106"/>
        <v>1</v>
      </c>
      <c r="H902" s="134" t="str">
        <f t="shared" si="107"/>
        <v/>
      </c>
      <c r="I902" s="7" t="s">
        <v>158</v>
      </c>
      <c r="J902" s="7" t="s">
        <v>2</v>
      </c>
      <c r="K902" s="7"/>
      <c r="L902" s="7" t="s">
        <v>167</v>
      </c>
      <c r="M902" s="7" t="s">
        <v>4794</v>
      </c>
      <c r="N902" s="7" t="s">
        <v>170</v>
      </c>
      <c r="O902" s="7" t="s">
        <v>162</v>
      </c>
      <c r="P902" s="7" t="s">
        <v>6725</v>
      </c>
      <c r="Q902" s="129">
        <v>46199</v>
      </c>
      <c r="R902" s="130">
        <f t="shared" si="105"/>
        <v>46206</v>
      </c>
      <c r="S902" s="131">
        <f t="shared" si="110"/>
        <v>7</v>
      </c>
      <c r="T902" s="7" t="s">
        <v>240</v>
      </c>
      <c r="U902" s="7" t="s">
        <v>285</v>
      </c>
      <c r="V902" s="7"/>
      <c r="W902" s="7">
        <v>362.78</v>
      </c>
      <c r="X902" s="132">
        <f t="shared" si="108"/>
        <v>10</v>
      </c>
      <c r="Y902" s="133"/>
      <c r="Z902" s="133"/>
      <c r="AA902" s="133"/>
    </row>
    <row r="903" spans="1:27" hidden="1" x14ac:dyDescent="0.25">
      <c r="A903" s="127">
        <v>1016</v>
      </c>
      <c r="B903" s="128" t="str">
        <f t="shared" si="109"/>
        <v>UYCT</v>
      </c>
      <c r="C903" s="128" t="str">
        <f>+VLOOKUP(U903,Ходим!A:B,2,0)</f>
        <v>31007985930029</v>
      </c>
      <c r="D903" s="128" t="str">
        <f>IFERROR(VLOOKUP($B:$B,[20]свод!$A:$AB,3,0)," ")</f>
        <v>Уйчи тумани</v>
      </c>
      <c r="E903" s="7" t="s">
        <v>2043</v>
      </c>
      <c r="F903" s="7" t="s">
        <v>8438</v>
      </c>
      <c r="G903" s="134" t="str">
        <f t="shared" si="106"/>
        <v/>
      </c>
      <c r="H903" s="134">
        <f t="shared" si="107"/>
        <v>1</v>
      </c>
      <c r="I903" s="7" t="s">
        <v>157</v>
      </c>
      <c r="J903" s="7" t="s">
        <v>35</v>
      </c>
      <c r="K903" s="7"/>
      <c r="L903" s="7" t="s">
        <v>166</v>
      </c>
      <c r="M903" s="7" t="s">
        <v>4795</v>
      </c>
      <c r="N903" s="7" t="s">
        <v>170</v>
      </c>
      <c r="O903" s="7" t="s">
        <v>161</v>
      </c>
      <c r="P903" s="7" t="s">
        <v>6689</v>
      </c>
      <c r="Q903" s="129">
        <v>46199</v>
      </c>
      <c r="R903" s="130">
        <f t="shared" si="105"/>
        <v>46216</v>
      </c>
      <c r="S903" s="131">
        <f t="shared" si="110"/>
        <v>17</v>
      </c>
      <c r="T903" s="7" t="s">
        <v>947</v>
      </c>
      <c r="U903" s="7" t="s">
        <v>389</v>
      </c>
      <c r="V903" s="7"/>
      <c r="W903" s="7">
        <v>108</v>
      </c>
      <c r="X903" s="132">
        <f t="shared" si="108"/>
        <v>12</v>
      </c>
      <c r="Y903" s="133"/>
      <c r="Z903" s="133"/>
      <c r="AA903" s="133"/>
    </row>
    <row r="904" spans="1:27" hidden="1" x14ac:dyDescent="0.25">
      <c r="A904" s="127">
        <v>1017</v>
      </c>
      <c r="B904" s="128" t="str">
        <f t="shared" si="109"/>
        <v>MINT</v>
      </c>
      <c r="C904" s="128" t="str">
        <f>+VLOOKUP(U904,Ходим!A:B,2,0)</f>
        <v>51604025990014</v>
      </c>
      <c r="D904" s="128" t="str">
        <f>IFERROR(VLOOKUP($B:$B,[20]свод!$A:$AB,3,0)," ")</f>
        <v>Мингбулоқ тумани</v>
      </c>
      <c r="E904" s="7" t="s">
        <v>2044</v>
      </c>
      <c r="F904" s="7" t="s">
        <v>8439</v>
      </c>
      <c r="G904" s="134">
        <f t="shared" si="106"/>
        <v>1</v>
      </c>
      <c r="H904" s="134" t="str">
        <f t="shared" si="107"/>
        <v/>
      </c>
      <c r="I904" s="7" t="s">
        <v>158</v>
      </c>
      <c r="J904" s="7" t="s">
        <v>10</v>
      </c>
      <c r="K904" s="7"/>
      <c r="L904" s="7" t="s">
        <v>167</v>
      </c>
      <c r="M904" s="7" t="s">
        <v>4796</v>
      </c>
      <c r="N904" s="7" t="s">
        <v>410</v>
      </c>
      <c r="O904" s="7" t="s">
        <v>162</v>
      </c>
      <c r="P904" s="7" t="s">
        <v>6407</v>
      </c>
      <c r="Q904" s="129">
        <v>46199</v>
      </c>
      <c r="R904" s="130">
        <f t="shared" si="105"/>
        <v>46211</v>
      </c>
      <c r="S904" s="131">
        <f t="shared" si="110"/>
        <v>12</v>
      </c>
      <c r="T904" s="7" t="s">
        <v>220</v>
      </c>
      <c r="U904" s="7" t="s">
        <v>252</v>
      </c>
      <c r="V904" s="7"/>
      <c r="W904" s="7">
        <v>325.26</v>
      </c>
      <c r="X904" s="132">
        <f t="shared" si="108"/>
        <v>10</v>
      </c>
      <c r="Y904" s="133"/>
      <c r="Z904" s="133"/>
      <c r="AA904" s="133"/>
    </row>
    <row r="905" spans="1:27" hidden="1" x14ac:dyDescent="0.25">
      <c r="A905" s="127">
        <v>1018</v>
      </c>
      <c r="B905" s="128" t="str">
        <f t="shared" si="109"/>
        <v>CHOT</v>
      </c>
      <c r="C905" s="128" t="str">
        <f>+VLOOKUP(U905,Ходим!A:B,2,0)</f>
        <v>30510945890013</v>
      </c>
      <c r="D905" s="128" t="str">
        <f>IFERROR(VLOOKUP($B:$B,[20]свод!$A:$AB,3,0)," ")</f>
        <v>Чортоқ тумани</v>
      </c>
      <c r="E905" s="7" t="s">
        <v>2045</v>
      </c>
      <c r="F905" s="7" t="s">
        <v>8440</v>
      </c>
      <c r="G905" s="134">
        <f t="shared" si="106"/>
        <v>1</v>
      </c>
      <c r="H905" s="134" t="str">
        <f t="shared" si="107"/>
        <v/>
      </c>
      <c r="I905" s="7" t="s">
        <v>154</v>
      </c>
      <c r="J905" s="7" t="s">
        <v>109</v>
      </c>
      <c r="K905" s="7"/>
      <c r="L905" s="7"/>
      <c r="M905" s="7"/>
      <c r="N905" s="7" t="s">
        <v>170</v>
      </c>
      <c r="O905" s="7" t="s">
        <v>162</v>
      </c>
      <c r="P905" s="7" t="s">
        <v>6726</v>
      </c>
      <c r="Q905" s="129">
        <v>46199</v>
      </c>
      <c r="R905" s="130">
        <f t="shared" si="105"/>
        <v>46212</v>
      </c>
      <c r="S905" s="131">
        <f t="shared" si="110"/>
        <v>13</v>
      </c>
      <c r="T905" s="7" t="s">
        <v>184</v>
      </c>
      <c r="U905" s="7" t="s">
        <v>185</v>
      </c>
      <c r="V905" s="7"/>
      <c r="W905" s="7"/>
      <c r="X905" s="132">
        <f t="shared" si="108"/>
        <v>10</v>
      </c>
      <c r="Y905" s="133"/>
      <c r="Z905" s="133"/>
      <c r="AA905" s="133"/>
    </row>
    <row r="906" spans="1:27" hidden="1" x14ac:dyDescent="0.25">
      <c r="A906" s="127">
        <v>1019</v>
      </c>
      <c r="B906" s="128" t="str">
        <f t="shared" si="109"/>
        <v>TORT</v>
      </c>
      <c r="C906" s="128" t="str">
        <f>+VLOOKUP(U906,Ходим!A:B,2,0)</f>
        <v>40302922130046</v>
      </c>
      <c r="D906" s="128" t="str">
        <f>IFERROR(VLOOKUP($B:$B,[20]свод!$A:$AB,3,0)," ")</f>
        <v>Тўрақўрғон тумани</v>
      </c>
      <c r="E906" s="7" t="s">
        <v>2046</v>
      </c>
      <c r="F906" s="7" t="s">
        <v>8441</v>
      </c>
      <c r="G906" s="134">
        <f t="shared" si="106"/>
        <v>1</v>
      </c>
      <c r="H906" s="134" t="str">
        <f t="shared" si="107"/>
        <v/>
      </c>
      <c r="I906" s="7" t="s">
        <v>156</v>
      </c>
      <c r="J906" s="7" t="s">
        <v>25</v>
      </c>
      <c r="K906" s="7"/>
      <c r="L906" s="7" t="s">
        <v>167</v>
      </c>
      <c r="M906" s="7" t="s">
        <v>4797</v>
      </c>
      <c r="N906" s="7" t="s">
        <v>170</v>
      </c>
      <c r="O906" s="7" t="s">
        <v>163</v>
      </c>
      <c r="P906" s="7" t="s">
        <v>6726</v>
      </c>
      <c r="Q906" s="129">
        <v>46199</v>
      </c>
      <c r="R906" s="130">
        <f t="shared" si="105"/>
        <v>46212</v>
      </c>
      <c r="S906" s="131">
        <f t="shared" si="110"/>
        <v>13</v>
      </c>
      <c r="T906" s="7" t="s">
        <v>203</v>
      </c>
      <c r="U906" s="7" t="s">
        <v>258</v>
      </c>
      <c r="V906" s="7"/>
      <c r="W906" s="7">
        <v>332.16</v>
      </c>
      <c r="X906" s="132">
        <f t="shared" si="108"/>
        <v>10</v>
      </c>
      <c r="Y906" s="133"/>
      <c r="Z906" s="133"/>
      <c r="AA906" s="133"/>
    </row>
    <row r="907" spans="1:27" hidden="1" x14ac:dyDescent="0.25">
      <c r="A907" s="127">
        <v>1020</v>
      </c>
      <c r="B907" s="128" t="str">
        <f t="shared" si="109"/>
        <v>NAMS</v>
      </c>
      <c r="C907" s="128">
        <f>+VLOOKUP(U907,Ходим!A:B,2,0)</f>
        <v>52004005950071</v>
      </c>
      <c r="D907" s="128" t="str">
        <f>IFERROR(VLOOKUP($B:$B,[20]свод!$A:$AB,3,0)," ")</f>
        <v>Наманган шаҳар</v>
      </c>
      <c r="E907" s="7" t="s">
        <v>2047</v>
      </c>
      <c r="F907" s="7" t="s">
        <v>8442</v>
      </c>
      <c r="G907" s="134">
        <f t="shared" si="106"/>
        <v>1</v>
      </c>
      <c r="H907" s="134" t="str">
        <f t="shared" si="107"/>
        <v/>
      </c>
      <c r="I907" s="7" t="s">
        <v>158</v>
      </c>
      <c r="J907" s="7" t="s">
        <v>1</v>
      </c>
      <c r="K907" s="7"/>
      <c r="L907" s="7" t="s">
        <v>167</v>
      </c>
      <c r="M907" s="7" t="s">
        <v>4798</v>
      </c>
      <c r="N907" s="7" t="s">
        <v>170</v>
      </c>
      <c r="O907" s="7" t="s">
        <v>162</v>
      </c>
      <c r="P907" s="7" t="s">
        <v>6727</v>
      </c>
      <c r="Q907" s="129">
        <v>46199</v>
      </c>
      <c r="R907" s="130">
        <f t="shared" si="105"/>
        <v>46202</v>
      </c>
      <c r="S907" s="131">
        <f t="shared" si="110"/>
        <v>3</v>
      </c>
      <c r="T907" s="7" t="s">
        <v>185</v>
      </c>
      <c r="U907" s="7" t="s">
        <v>1015</v>
      </c>
      <c r="V907" s="7"/>
      <c r="W907" s="7">
        <v>230.83</v>
      </c>
      <c r="X907" s="132">
        <f t="shared" si="108"/>
        <v>10</v>
      </c>
      <c r="Y907" s="133"/>
      <c r="Z907" s="133"/>
      <c r="AA907" s="133"/>
    </row>
    <row r="908" spans="1:27" hidden="1" x14ac:dyDescent="0.25">
      <c r="A908" s="127">
        <v>1021</v>
      </c>
      <c r="B908" s="128" t="str">
        <f t="shared" si="109"/>
        <v>UYCT</v>
      </c>
      <c r="C908" s="128" t="str">
        <f>+VLOOKUP(U908,Ходим!A:B,2,0)</f>
        <v>30309975930028</v>
      </c>
      <c r="D908" s="128" t="str">
        <f>IFERROR(VLOOKUP($B:$B,[20]свод!$A:$AB,3,0)," ")</f>
        <v>Уйчи тумани</v>
      </c>
      <c r="E908" s="7" t="s">
        <v>2048</v>
      </c>
      <c r="F908" s="7" t="s">
        <v>8443</v>
      </c>
      <c r="G908" s="134">
        <f t="shared" si="106"/>
        <v>1</v>
      </c>
      <c r="H908" s="134" t="str">
        <f t="shared" si="107"/>
        <v/>
      </c>
      <c r="I908" s="7" t="s">
        <v>158</v>
      </c>
      <c r="J908" s="7" t="s">
        <v>35</v>
      </c>
      <c r="K908" s="7"/>
      <c r="L908" s="7" t="s">
        <v>167</v>
      </c>
      <c r="M908" s="7" t="s">
        <v>4799</v>
      </c>
      <c r="N908" s="7" t="s">
        <v>170</v>
      </c>
      <c r="O908" s="7" t="s">
        <v>162</v>
      </c>
      <c r="P908" s="7" t="s">
        <v>6728</v>
      </c>
      <c r="Q908" s="129">
        <v>46199</v>
      </c>
      <c r="R908" s="130">
        <f t="shared" si="105"/>
        <v>46209</v>
      </c>
      <c r="S908" s="131">
        <f t="shared" si="110"/>
        <v>10</v>
      </c>
      <c r="T908" s="7" t="s">
        <v>947</v>
      </c>
      <c r="U908" s="7" t="s">
        <v>261</v>
      </c>
      <c r="V908" s="7"/>
      <c r="W908" s="7">
        <v>212.59</v>
      </c>
      <c r="X908" s="132">
        <f t="shared" si="108"/>
        <v>10</v>
      </c>
      <c r="Y908" s="133"/>
      <c r="Z908" s="133"/>
      <c r="AA908" s="133"/>
    </row>
    <row r="909" spans="1:27" hidden="1" x14ac:dyDescent="0.25">
      <c r="A909" s="127">
        <v>1022</v>
      </c>
      <c r="B909" s="128" t="str">
        <f t="shared" si="109"/>
        <v>YGQT</v>
      </c>
      <c r="C909" s="128" t="str">
        <f>+VLOOKUP(U909,Ходим!A:B,2,0)</f>
        <v>52010015950028</v>
      </c>
      <c r="D909" s="128" t="str">
        <f>IFERROR(VLOOKUP($B:$B,[20]свод!$A:$AB,3,0)," ")</f>
        <v>Янгиқўрғон тумани</v>
      </c>
      <c r="E909" s="7" t="s">
        <v>2049</v>
      </c>
      <c r="F909" s="7" t="s">
        <v>8444</v>
      </c>
      <c r="G909" s="134">
        <f t="shared" si="106"/>
        <v>1</v>
      </c>
      <c r="H909" s="134" t="str">
        <f t="shared" si="107"/>
        <v/>
      </c>
      <c r="I909" s="7" t="s">
        <v>158</v>
      </c>
      <c r="J909" s="7" t="s">
        <v>2</v>
      </c>
      <c r="K909" s="7"/>
      <c r="L909" s="7" t="s">
        <v>167</v>
      </c>
      <c r="M909" s="7" t="s">
        <v>4800</v>
      </c>
      <c r="N909" s="7" t="s">
        <v>410</v>
      </c>
      <c r="O909" s="7" t="s">
        <v>162</v>
      </c>
      <c r="P909" s="7" t="s">
        <v>6725</v>
      </c>
      <c r="Q909" s="129">
        <v>46199</v>
      </c>
      <c r="R909" s="130">
        <f t="shared" si="105"/>
        <v>46206</v>
      </c>
      <c r="S909" s="131">
        <f t="shared" si="110"/>
        <v>7</v>
      </c>
      <c r="T909" s="7" t="s">
        <v>255</v>
      </c>
      <c r="U909" s="7" t="s">
        <v>391</v>
      </c>
      <c r="V909" s="7"/>
      <c r="W909" s="7">
        <v>39.950000000000003</v>
      </c>
      <c r="X909" s="132">
        <f t="shared" si="108"/>
        <v>10</v>
      </c>
      <c r="Y909" s="133"/>
      <c r="Z909" s="133"/>
      <c r="AA909" s="133"/>
    </row>
    <row r="910" spans="1:27" hidden="1" x14ac:dyDescent="0.25">
      <c r="A910" s="127">
        <v>1023</v>
      </c>
      <c r="B910" s="128" t="str">
        <f t="shared" si="109"/>
        <v>NAMS</v>
      </c>
      <c r="C910" s="128" t="str">
        <f>+VLOOKUP(U910,Ходим!A:B,2,0)</f>
        <v>31309932190035</v>
      </c>
      <c r="D910" s="128" t="str">
        <f>IFERROR(VLOOKUP($B:$B,[20]свод!$A:$AB,3,0)," ")</f>
        <v>Наманган шаҳар</v>
      </c>
      <c r="E910" s="7" t="s">
        <v>2050</v>
      </c>
      <c r="F910" s="7" t="s">
        <v>8445</v>
      </c>
      <c r="G910" s="134">
        <f t="shared" si="106"/>
        <v>1</v>
      </c>
      <c r="H910" s="134" t="str">
        <f t="shared" si="107"/>
        <v/>
      </c>
      <c r="I910" s="7" t="s">
        <v>158</v>
      </c>
      <c r="J910" s="7" t="s">
        <v>15</v>
      </c>
      <c r="K910" s="7"/>
      <c r="L910" s="7" t="s">
        <v>167</v>
      </c>
      <c r="M910" s="7" t="s">
        <v>4801</v>
      </c>
      <c r="N910" s="7" t="s">
        <v>170</v>
      </c>
      <c r="O910" s="7" t="s">
        <v>162</v>
      </c>
      <c r="P910" s="7" t="s">
        <v>6725</v>
      </c>
      <c r="Q910" s="129">
        <v>46199</v>
      </c>
      <c r="R910" s="130">
        <f t="shared" si="105"/>
        <v>46206</v>
      </c>
      <c r="S910" s="131">
        <f t="shared" si="110"/>
        <v>7</v>
      </c>
      <c r="T910" s="7" t="s">
        <v>173</v>
      </c>
      <c r="U910" s="7" t="s">
        <v>237</v>
      </c>
      <c r="V910" s="7"/>
      <c r="W910" s="7">
        <v>381.34</v>
      </c>
      <c r="X910" s="132">
        <f t="shared" si="108"/>
        <v>10</v>
      </c>
      <c r="Y910" s="133"/>
      <c r="Z910" s="133"/>
      <c r="AA910" s="133"/>
    </row>
    <row r="911" spans="1:27" hidden="1" x14ac:dyDescent="0.25">
      <c r="A911" s="127">
        <v>1024</v>
      </c>
      <c r="B911" s="128" t="str">
        <f t="shared" si="109"/>
        <v>TORT</v>
      </c>
      <c r="C911" s="128" t="str">
        <f>+VLOOKUP(U911,Ходим!A:B,2,0)</f>
        <v>32211772130034</v>
      </c>
      <c r="D911" s="128" t="str">
        <f>IFERROR(VLOOKUP($B:$B,[20]свод!$A:$AB,3,0)," ")</f>
        <v>Тўрақўрғон тумани</v>
      </c>
      <c r="E911" s="7" t="s">
        <v>2051</v>
      </c>
      <c r="F911" s="7" t="s">
        <v>8446</v>
      </c>
      <c r="G911" s="134">
        <f t="shared" si="106"/>
        <v>1</v>
      </c>
      <c r="H911" s="134" t="str">
        <f t="shared" si="107"/>
        <v/>
      </c>
      <c r="I911" s="7" t="s">
        <v>158</v>
      </c>
      <c r="J911" s="7" t="s">
        <v>36</v>
      </c>
      <c r="K911" s="7"/>
      <c r="L911" s="7" t="s">
        <v>167</v>
      </c>
      <c r="M911" s="7" t="s">
        <v>4802</v>
      </c>
      <c r="N911" s="7" t="s">
        <v>170</v>
      </c>
      <c r="O911" s="7" t="s">
        <v>162</v>
      </c>
      <c r="P911" s="7" t="s">
        <v>6725</v>
      </c>
      <c r="Q911" s="129">
        <v>46199</v>
      </c>
      <c r="R911" s="130">
        <f t="shared" si="105"/>
        <v>46206</v>
      </c>
      <c r="S911" s="131">
        <f t="shared" si="110"/>
        <v>7</v>
      </c>
      <c r="T911" s="7" t="s">
        <v>203</v>
      </c>
      <c r="U911" s="7" t="s">
        <v>270</v>
      </c>
      <c r="V911" s="7"/>
      <c r="W911" s="7">
        <v>0</v>
      </c>
      <c r="X911" s="132">
        <f t="shared" si="108"/>
        <v>10</v>
      </c>
      <c r="Y911" s="133"/>
      <c r="Z911" s="133"/>
      <c r="AA911" s="133"/>
    </row>
    <row r="912" spans="1:27" hidden="1" x14ac:dyDescent="0.25">
      <c r="A912" s="127">
        <v>1025</v>
      </c>
      <c r="B912" s="128" t="str">
        <f t="shared" si="109"/>
        <v>POPT</v>
      </c>
      <c r="C912" s="128" t="str">
        <f>+VLOOKUP(U912,Ходим!A:B,2,0)</f>
        <v>32209966000029</v>
      </c>
      <c r="D912" s="128" t="str">
        <f>IFERROR(VLOOKUP($B:$B,[20]свод!$A:$AB,3,0)," ")</f>
        <v>Поп тумани</v>
      </c>
      <c r="E912" s="7" t="s">
        <v>2052</v>
      </c>
      <c r="F912" s="7" t="s">
        <v>8447</v>
      </c>
      <c r="G912" s="134">
        <f t="shared" si="106"/>
        <v>1</v>
      </c>
      <c r="H912" s="134" t="str">
        <f t="shared" si="107"/>
        <v/>
      </c>
      <c r="I912" s="7" t="s">
        <v>158</v>
      </c>
      <c r="J912" s="7" t="s">
        <v>2</v>
      </c>
      <c r="K912" s="7"/>
      <c r="L912" s="7" t="s">
        <v>167</v>
      </c>
      <c r="M912" s="7" t="s">
        <v>4803</v>
      </c>
      <c r="N912" s="7" t="s">
        <v>170</v>
      </c>
      <c r="O912" s="7" t="s">
        <v>162</v>
      </c>
      <c r="P912" s="7" t="s">
        <v>6725</v>
      </c>
      <c r="Q912" s="129">
        <v>46199</v>
      </c>
      <c r="R912" s="130">
        <f t="shared" ref="R912:R970" si="111">WORKDAY(P912,X912,$Y$1:$AA$1)</f>
        <v>46206</v>
      </c>
      <c r="S912" s="131">
        <f t="shared" si="110"/>
        <v>7</v>
      </c>
      <c r="T912" s="7" t="s">
        <v>240</v>
      </c>
      <c r="U912" s="7" t="s">
        <v>282</v>
      </c>
      <c r="V912" s="7"/>
      <c r="W912" s="7">
        <v>224.4</v>
      </c>
      <c r="X912" s="132">
        <f t="shared" si="108"/>
        <v>10</v>
      </c>
      <c r="Y912" s="133"/>
      <c r="Z912" s="133"/>
      <c r="AA912" s="133"/>
    </row>
    <row r="913" spans="1:27" hidden="1" x14ac:dyDescent="0.25">
      <c r="A913" s="127">
        <v>1026</v>
      </c>
      <c r="B913" s="128" t="str">
        <f t="shared" si="109"/>
        <v>YGQT</v>
      </c>
      <c r="C913" s="128" t="e">
        <f>+VLOOKUP(U913,Ходим!A:B,2,0)</f>
        <v>#N/A</v>
      </c>
      <c r="D913" s="128" t="str">
        <f>IFERROR(VLOOKUP($B:$B,[20]свод!$A:$AB,3,0)," ")</f>
        <v>Янгиқўрғон тумани</v>
      </c>
      <c r="E913" s="7" t="s">
        <v>2053</v>
      </c>
      <c r="F913" s="7" t="s">
        <v>8448</v>
      </c>
      <c r="G913" s="134" t="str">
        <f t="shared" si="106"/>
        <v/>
      </c>
      <c r="H913" s="134">
        <f t="shared" si="107"/>
        <v>1</v>
      </c>
      <c r="I913" s="7" t="s">
        <v>155</v>
      </c>
      <c r="J913" s="7" t="s">
        <v>21</v>
      </c>
      <c r="K913" s="7"/>
      <c r="L913" s="7"/>
      <c r="M913" s="7"/>
      <c r="N913" s="7" t="s">
        <v>170</v>
      </c>
      <c r="O913" s="7" t="s">
        <v>161</v>
      </c>
      <c r="P913" s="7" t="s">
        <v>6729</v>
      </c>
      <c r="Q913" s="129">
        <v>46199</v>
      </c>
      <c r="R913" s="130">
        <f t="shared" si="111"/>
        <v>46212</v>
      </c>
      <c r="S913" s="131">
        <f t="shared" si="110"/>
        <v>13</v>
      </c>
      <c r="T913" s="7" t="s">
        <v>182</v>
      </c>
      <c r="U913" s="7"/>
      <c r="V913" s="7"/>
      <c r="W913" s="7"/>
      <c r="X913" s="132">
        <f t="shared" si="108"/>
        <v>10</v>
      </c>
      <c r="Y913" s="133"/>
      <c r="Z913" s="133"/>
      <c r="AA913" s="133"/>
    </row>
    <row r="914" spans="1:27" hidden="1" x14ac:dyDescent="0.25">
      <c r="A914" s="127">
        <v>1027</v>
      </c>
      <c r="B914" s="128" t="str">
        <f t="shared" si="109"/>
        <v>YGQT</v>
      </c>
      <c r="C914" s="128" t="e">
        <f>+VLOOKUP(U914,Ходим!A:B,2,0)</f>
        <v>#N/A</v>
      </c>
      <c r="D914" s="128" t="str">
        <f>IFERROR(VLOOKUP($B:$B,[20]свод!$A:$AB,3,0)," ")</f>
        <v>Янгиқўрғон тумани</v>
      </c>
      <c r="E914" s="7" t="s">
        <v>2054</v>
      </c>
      <c r="F914" s="7" t="s">
        <v>8449</v>
      </c>
      <c r="G914" s="134">
        <f t="shared" si="106"/>
        <v>1</v>
      </c>
      <c r="H914" s="134" t="str">
        <f t="shared" si="107"/>
        <v/>
      </c>
      <c r="I914" s="7" t="s">
        <v>156</v>
      </c>
      <c r="J914" s="7" t="s">
        <v>21</v>
      </c>
      <c r="K914" s="7"/>
      <c r="L914" s="7" t="s">
        <v>167</v>
      </c>
      <c r="M914" s="7" t="s">
        <v>4804</v>
      </c>
      <c r="N914" s="7" t="s">
        <v>410</v>
      </c>
      <c r="O914" s="7" t="s">
        <v>163</v>
      </c>
      <c r="P914" s="7" t="s">
        <v>6729</v>
      </c>
      <c r="Q914" s="129">
        <v>46199</v>
      </c>
      <c r="R914" s="130">
        <f t="shared" si="111"/>
        <v>46212</v>
      </c>
      <c r="S914" s="131">
        <f t="shared" si="110"/>
        <v>13</v>
      </c>
      <c r="T914" s="7" t="s">
        <v>182</v>
      </c>
      <c r="U914" s="7"/>
      <c r="V914" s="7"/>
      <c r="W914" s="7">
        <v>330.43</v>
      </c>
      <c r="X914" s="132">
        <f t="shared" si="108"/>
        <v>10</v>
      </c>
      <c r="Y914" s="133"/>
      <c r="Z914" s="133"/>
      <c r="AA914" s="133"/>
    </row>
    <row r="915" spans="1:27" hidden="1" x14ac:dyDescent="0.25">
      <c r="A915" s="127">
        <v>1028</v>
      </c>
      <c r="B915" s="128" t="str">
        <f t="shared" si="109"/>
        <v>POPT</v>
      </c>
      <c r="C915" s="128" t="str">
        <f>+VLOOKUP(U915,Ходим!A:B,2,0)</f>
        <v>30608945910016</v>
      </c>
      <c r="D915" s="128" t="str">
        <f>IFERROR(VLOOKUP($B:$B,[20]свод!$A:$AB,3,0)," ")</f>
        <v>Поп тумани</v>
      </c>
      <c r="E915" s="7" t="s">
        <v>2055</v>
      </c>
      <c r="F915" s="7" t="s">
        <v>8450</v>
      </c>
      <c r="G915" s="134">
        <f t="shared" si="106"/>
        <v>1</v>
      </c>
      <c r="H915" s="134" t="str">
        <f t="shared" si="107"/>
        <v/>
      </c>
      <c r="I915" s="7" t="s">
        <v>158</v>
      </c>
      <c r="J915" s="7" t="s">
        <v>172</v>
      </c>
      <c r="K915" s="7"/>
      <c r="L915" s="7" t="s">
        <v>167</v>
      </c>
      <c r="M915" s="7" t="s">
        <v>4805</v>
      </c>
      <c r="N915" s="7" t="s">
        <v>170</v>
      </c>
      <c r="O915" s="7" t="s">
        <v>163</v>
      </c>
      <c r="P915" s="7" t="s">
        <v>6730</v>
      </c>
      <c r="Q915" s="129">
        <v>46199</v>
      </c>
      <c r="R915" s="130">
        <f t="shared" si="111"/>
        <v>46211</v>
      </c>
      <c r="S915" s="131">
        <f t="shared" si="110"/>
        <v>12</v>
      </c>
      <c r="T915" s="7" t="s">
        <v>214</v>
      </c>
      <c r="U915" s="7" t="s">
        <v>295</v>
      </c>
      <c r="V915" s="7"/>
      <c r="W915" s="7">
        <v>455.34</v>
      </c>
      <c r="X915" s="132">
        <f t="shared" si="108"/>
        <v>10</v>
      </c>
      <c r="Y915" s="133"/>
      <c r="Z915" s="133"/>
      <c r="AA915" s="133"/>
    </row>
    <row r="916" spans="1:27" hidden="1" x14ac:dyDescent="0.25">
      <c r="A916" s="127">
        <v>1029</v>
      </c>
      <c r="B916" s="128" t="str">
        <f t="shared" si="109"/>
        <v>MINT</v>
      </c>
      <c r="C916" s="128" t="str">
        <f>+VLOOKUP(U916,Ходим!A:B,2,0)</f>
        <v>30910905990010</v>
      </c>
      <c r="D916" s="128" t="str">
        <f>IFERROR(VLOOKUP($B:$B,[20]свод!$A:$AB,3,0)," ")</f>
        <v>Мингбулоқ тумани</v>
      </c>
      <c r="E916" s="7" t="s">
        <v>2056</v>
      </c>
      <c r="F916" s="7" t="s">
        <v>8451</v>
      </c>
      <c r="G916" s="134" t="str">
        <f t="shared" ref="G916:G974" si="112">IF(OR(
I916="Turar joy obyektning kadastr pasportini shakllantirish va davlat ro'yxatidan o'tkazish",
I916="Turar kompozit"
),
1,
IF(OR(
I916="Noturar kompozit",
I916="Avtoyo'l va suv xo'jaligi obyektining kadastr pasportini shakllantirish va ro'yxatga olish",
I916="Noturar obyektning kadastr pasportining kadastr pasportini shakllantirish va davlat ro'yxatidan o'tkazish"
),
"",
IF(OR(
I916="Notarius uchun ma'lumotnoma (uz)",
I916="Qurilishi tugallangan ko'chmas mulkni foydalanishga qabul qilish",
I916="Umumiy foydalanishdagi ko'chmas mulk qismini yaratish",
I916="Registratsiya (tashqi - UZKAD da bor)"
),
IF(OR(L916="Turar yer maydoni",L916="Yakka tartibdagi turar joy"),1,
IF(L916="Noturar bino","",
IF(L916="Noturar yer maydoni","",
IF(L916="",IF(OR(O916="Turar joy xizmati",O916="Foydalanishga ruxsatnoma berish xizmati"),1,""),"")
))),
"")))</f>
        <v/>
      </c>
      <c r="H916" s="134">
        <f t="shared" ref="H916:H974" si="113">IF(OR(
I916="Turar joy obyektning kadastr pasportini shakllantirish va davlat ro'yxatidan o'tkazish",
I916="Turar kompozit"
),
"",
IF(OR(
I916="Noturar kompozit",
I916="Avtoyo'l va suv xo'jaligi obyektining kadastr pasportini shakllantirish va ro'yxatga olish",
I916="Noturar obyektning kadastr pasportini shakllantirish va davlat ro'yxatidan o'tkazish"
),
1,
IF(OR(
I916="Notarius uchun ma'lumotnoma (uz)",
I916="Qurilishi tugallangan ko'chmas mulkni foydalanishga qabul qilish",
I916="Umumiy foydalanishdagi ko'chmas mulk qismini yaratish",
I916="Registratsiya (tashqi - UZKAD da bor)"
),
IF(OR(L916="Turar yer maydoni",L916="Yakka tartibdagi turar joy"),"",
IF(L916="Noturar bino",1,
IF(L916="Noturar yer maydoni",1,
IF(L916="",IF(OR(O916="Turar joy xizmati",O916="Foydalanishga ruxsatnoma berish xizmati"),"",1),"")
))),
"")))</f>
        <v>1</v>
      </c>
      <c r="I916" s="7" t="s">
        <v>157</v>
      </c>
      <c r="J916" s="7" t="s">
        <v>172</v>
      </c>
      <c r="K916" s="7"/>
      <c r="L916" s="7" t="s">
        <v>166</v>
      </c>
      <c r="M916" s="7" t="s">
        <v>4806</v>
      </c>
      <c r="N916" s="7" t="s">
        <v>410</v>
      </c>
      <c r="O916" s="7" t="s">
        <v>163</v>
      </c>
      <c r="P916" s="7" t="s">
        <v>6319</v>
      </c>
      <c r="Q916" s="129">
        <v>46199</v>
      </c>
      <c r="R916" s="130">
        <f t="shared" si="111"/>
        <v>46212</v>
      </c>
      <c r="S916" s="131">
        <f t="shared" si="110"/>
        <v>13</v>
      </c>
      <c r="T916" s="7" t="s">
        <v>220</v>
      </c>
      <c r="U916" s="7" t="s">
        <v>221</v>
      </c>
      <c r="V916" s="7"/>
      <c r="W916" s="7">
        <v>788.9</v>
      </c>
      <c r="X916" s="132">
        <f t="shared" si="108"/>
        <v>12</v>
      </c>
      <c r="Y916" s="133"/>
      <c r="Z916" s="133"/>
      <c r="AA916" s="133"/>
    </row>
    <row r="917" spans="1:27" hidden="1" x14ac:dyDescent="0.25">
      <c r="A917" s="127">
        <v>1030</v>
      </c>
      <c r="B917" s="128" t="str">
        <f t="shared" si="109"/>
        <v>UYCT</v>
      </c>
      <c r="C917" s="128" t="str">
        <f>+VLOOKUP(U917,Ходим!A:B,2,0)</f>
        <v>31101985930022</v>
      </c>
      <c r="D917" s="128" t="str">
        <f>IFERROR(VLOOKUP($B:$B,[20]свод!$A:$AB,3,0)," ")</f>
        <v>Уйчи тумани</v>
      </c>
      <c r="E917" s="7" t="s">
        <v>2057</v>
      </c>
      <c r="F917" s="7" t="s">
        <v>8452</v>
      </c>
      <c r="G917" s="134">
        <f t="shared" si="112"/>
        <v>1</v>
      </c>
      <c r="H917" s="134" t="str">
        <f t="shared" si="113"/>
        <v/>
      </c>
      <c r="I917" s="7" t="s">
        <v>158</v>
      </c>
      <c r="J917" s="7" t="s">
        <v>134</v>
      </c>
      <c r="K917" s="7"/>
      <c r="L917" s="7" t="s">
        <v>167</v>
      </c>
      <c r="M917" s="7" t="s">
        <v>4807</v>
      </c>
      <c r="N917" s="7" t="s">
        <v>170</v>
      </c>
      <c r="O917" s="7" t="s">
        <v>162</v>
      </c>
      <c r="P917" s="7" t="s">
        <v>6470</v>
      </c>
      <c r="Q917" s="129">
        <v>46199</v>
      </c>
      <c r="R917" s="130">
        <f t="shared" si="111"/>
        <v>46204</v>
      </c>
      <c r="S917" s="131">
        <f t="shared" si="110"/>
        <v>5</v>
      </c>
      <c r="T917" s="7" t="s">
        <v>947</v>
      </c>
      <c r="U917" s="7" t="s">
        <v>299</v>
      </c>
      <c r="V917" s="7"/>
      <c r="W917" s="7">
        <v>24.5</v>
      </c>
      <c r="X917" s="132">
        <f t="shared" si="108"/>
        <v>10</v>
      </c>
      <c r="Y917" s="133"/>
      <c r="Z917" s="133"/>
      <c r="AA917" s="133"/>
    </row>
    <row r="918" spans="1:27" hidden="1" x14ac:dyDescent="0.25">
      <c r="A918" s="127">
        <v>1032</v>
      </c>
      <c r="B918" s="128" t="str">
        <f t="shared" si="109"/>
        <v>YGQT</v>
      </c>
      <c r="C918" s="128" t="e">
        <f>+VLOOKUP(U918,Ходим!A:B,2,0)</f>
        <v>#N/A</v>
      </c>
      <c r="D918" s="128" t="str">
        <f>IFERROR(VLOOKUP($B:$B,[20]свод!$A:$AB,3,0)," ")</f>
        <v>Янгиқўрғон тумани</v>
      </c>
      <c r="E918" s="7" t="s">
        <v>2058</v>
      </c>
      <c r="F918" s="7" t="s">
        <v>8453</v>
      </c>
      <c r="G918" s="134">
        <f t="shared" si="112"/>
        <v>1</v>
      </c>
      <c r="H918" s="134" t="str">
        <f t="shared" si="113"/>
        <v/>
      </c>
      <c r="I918" s="7" t="s">
        <v>156</v>
      </c>
      <c r="J918" s="7" t="s">
        <v>21</v>
      </c>
      <c r="K918" s="7"/>
      <c r="L918" s="7"/>
      <c r="M918" s="7"/>
      <c r="N918" s="7" t="s">
        <v>410</v>
      </c>
      <c r="O918" s="7" t="s">
        <v>162</v>
      </c>
      <c r="P918" s="7" t="s">
        <v>6731</v>
      </c>
      <c r="Q918" s="129">
        <v>46199</v>
      </c>
      <c r="R918" s="130">
        <f t="shared" si="111"/>
        <v>46212</v>
      </c>
      <c r="S918" s="131">
        <f t="shared" si="110"/>
        <v>13</v>
      </c>
      <c r="T918" s="7" t="s">
        <v>182</v>
      </c>
      <c r="U918" s="7"/>
      <c r="V918" s="7"/>
      <c r="W918" s="7"/>
      <c r="X918" s="132">
        <f t="shared" si="108"/>
        <v>10</v>
      </c>
      <c r="Y918" s="133"/>
      <c r="Z918" s="133"/>
      <c r="AA918" s="133"/>
    </row>
    <row r="919" spans="1:27" hidden="1" x14ac:dyDescent="0.25">
      <c r="A919" s="127">
        <v>1033</v>
      </c>
      <c r="B919" s="128" t="str">
        <f t="shared" si="109"/>
        <v>NAMS</v>
      </c>
      <c r="C919" s="128" t="str">
        <f>+VLOOKUP(U919,Ходим!A:B,2,0)</f>
        <v>31309932190035</v>
      </c>
      <c r="D919" s="128" t="str">
        <f>IFERROR(VLOOKUP($B:$B,[20]свод!$A:$AB,3,0)," ")</f>
        <v>Наманган шаҳар</v>
      </c>
      <c r="E919" s="7" t="s">
        <v>2059</v>
      </c>
      <c r="F919" s="7" t="s">
        <v>8454</v>
      </c>
      <c r="G919" s="134">
        <f t="shared" si="112"/>
        <v>1</v>
      </c>
      <c r="H919" s="134" t="str">
        <f t="shared" si="113"/>
        <v/>
      </c>
      <c r="I919" s="7" t="s">
        <v>156</v>
      </c>
      <c r="J919" s="7" t="s">
        <v>25</v>
      </c>
      <c r="K919" s="7"/>
      <c r="L919" s="7"/>
      <c r="M919" s="7"/>
      <c r="N919" s="7" t="s">
        <v>170</v>
      </c>
      <c r="O919" s="7" t="s">
        <v>162</v>
      </c>
      <c r="P919" s="7" t="s">
        <v>6731</v>
      </c>
      <c r="Q919" s="129">
        <v>46199</v>
      </c>
      <c r="R919" s="130">
        <f t="shared" si="111"/>
        <v>46212</v>
      </c>
      <c r="S919" s="131">
        <f t="shared" si="110"/>
        <v>13</v>
      </c>
      <c r="T919" s="7" t="s">
        <v>185</v>
      </c>
      <c r="U919" s="7" t="s">
        <v>237</v>
      </c>
      <c r="V919" s="7"/>
      <c r="W919" s="7"/>
      <c r="X919" s="132">
        <f t="shared" si="108"/>
        <v>10</v>
      </c>
      <c r="Y919" s="133"/>
      <c r="Z919" s="133"/>
      <c r="AA919" s="133"/>
    </row>
    <row r="920" spans="1:27" hidden="1" x14ac:dyDescent="0.25">
      <c r="A920" s="127">
        <v>1034</v>
      </c>
      <c r="B920" s="128" t="str">
        <f t="shared" si="109"/>
        <v>MINT</v>
      </c>
      <c r="C920" s="128" t="e">
        <f>+VLOOKUP(U920,Ходим!A:B,2,0)</f>
        <v>#N/A</v>
      </c>
      <c r="D920" s="128" t="str">
        <f>IFERROR(VLOOKUP($B:$B,[20]свод!$A:$AB,3,0)," ")</f>
        <v>Мингбулоқ тумани</v>
      </c>
      <c r="E920" s="7" t="s">
        <v>2060</v>
      </c>
      <c r="F920" s="7" t="s">
        <v>8455</v>
      </c>
      <c r="G920" s="134">
        <f t="shared" si="112"/>
        <v>1</v>
      </c>
      <c r="H920" s="134" t="str">
        <f t="shared" si="113"/>
        <v/>
      </c>
      <c r="I920" s="7" t="s">
        <v>156</v>
      </c>
      <c r="J920" s="7" t="s">
        <v>11</v>
      </c>
      <c r="K920" s="7"/>
      <c r="L920" s="7"/>
      <c r="M920" s="7"/>
      <c r="N920" s="7" t="s">
        <v>170</v>
      </c>
      <c r="O920" s="7" t="s">
        <v>162</v>
      </c>
      <c r="P920" s="7" t="s">
        <v>6731</v>
      </c>
      <c r="Q920" s="129">
        <v>46199</v>
      </c>
      <c r="R920" s="130">
        <f t="shared" si="111"/>
        <v>46212</v>
      </c>
      <c r="S920" s="131">
        <f t="shared" si="110"/>
        <v>13</v>
      </c>
      <c r="T920" s="7"/>
      <c r="U920" s="7"/>
      <c r="V920" s="7"/>
      <c r="W920" s="7"/>
      <c r="X920" s="132">
        <f t="shared" si="108"/>
        <v>10</v>
      </c>
      <c r="Y920" s="133"/>
      <c r="Z920" s="133"/>
      <c r="AA920" s="133"/>
    </row>
    <row r="921" spans="1:27" hidden="1" x14ac:dyDescent="0.25">
      <c r="A921" s="127">
        <v>1035</v>
      </c>
      <c r="B921" s="128" t="str">
        <f t="shared" si="109"/>
        <v>NAMS</v>
      </c>
      <c r="C921" s="128" t="str">
        <f>+VLOOKUP(U921,Ходим!A:B,2,0)</f>
        <v>31007955980023</v>
      </c>
      <c r="D921" s="128" t="str">
        <f>IFERROR(VLOOKUP($B:$B,[20]свод!$A:$AB,3,0)," ")</f>
        <v>Наманган шаҳар</v>
      </c>
      <c r="E921" s="7" t="s">
        <v>2061</v>
      </c>
      <c r="F921" s="7" t="s">
        <v>8456</v>
      </c>
      <c r="G921" s="134">
        <f t="shared" si="112"/>
        <v>1</v>
      </c>
      <c r="H921" s="134" t="str">
        <f t="shared" si="113"/>
        <v/>
      </c>
      <c r="I921" s="7" t="s">
        <v>156</v>
      </c>
      <c r="J921" s="7" t="s">
        <v>25</v>
      </c>
      <c r="K921" s="7"/>
      <c r="L921" s="7" t="s">
        <v>167</v>
      </c>
      <c r="M921" s="7" t="s">
        <v>4808</v>
      </c>
      <c r="N921" s="7" t="s">
        <v>170</v>
      </c>
      <c r="O921" s="7" t="s">
        <v>162</v>
      </c>
      <c r="P921" s="7" t="s">
        <v>6731</v>
      </c>
      <c r="Q921" s="129">
        <v>46199</v>
      </c>
      <c r="R921" s="130">
        <f t="shared" si="111"/>
        <v>46212</v>
      </c>
      <c r="S921" s="131">
        <f t="shared" si="110"/>
        <v>13</v>
      </c>
      <c r="T921" s="7" t="s">
        <v>173</v>
      </c>
      <c r="U921" s="7" t="s">
        <v>207</v>
      </c>
      <c r="V921" s="7"/>
      <c r="W921" s="7">
        <v>359.81</v>
      </c>
      <c r="X921" s="132">
        <f t="shared" si="108"/>
        <v>10</v>
      </c>
      <c r="Y921" s="133"/>
      <c r="Z921" s="133"/>
      <c r="AA921" s="133"/>
    </row>
    <row r="922" spans="1:27" x14ac:dyDescent="0.25">
      <c r="A922" s="127">
        <v>1036</v>
      </c>
      <c r="B922" s="128" t="str">
        <f t="shared" si="109"/>
        <v>NAMS</v>
      </c>
      <c r="C922" s="128" t="str">
        <f>+VLOOKUP(U922,Ходим!A:B,2,0)</f>
        <v>30302942170072</v>
      </c>
      <c r="D922" s="128" t="str">
        <f>IFERROR(VLOOKUP($B:$B,[20]свод!$A:$AB,3,0)," ")</f>
        <v>Наманган шаҳар</v>
      </c>
      <c r="E922" s="7" t="s">
        <v>2062</v>
      </c>
      <c r="F922" s="7" t="s">
        <v>8457</v>
      </c>
      <c r="G922" s="134" t="str">
        <f t="shared" si="112"/>
        <v/>
      </c>
      <c r="H922" s="134">
        <f t="shared" si="113"/>
        <v>1</v>
      </c>
      <c r="I922" s="7" t="s">
        <v>157</v>
      </c>
      <c r="J922" s="7" t="s">
        <v>2</v>
      </c>
      <c r="K922" s="7"/>
      <c r="L922" s="7"/>
      <c r="M922" s="7"/>
      <c r="N922" s="7" t="s">
        <v>410</v>
      </c>
      <c r="O922" s="7" t="s">
        <v>161</v>
      </c>
      <c r="P922" s="7" t="s">
        <v>6732</v>
      </c>
      <c r="Q922" s="129">
        <v>46199</v>
      </c>
      <c r="R922" s="130">
        <f t="shared" si="111"/>
        <v>46199</v>
      </c>
      <c r="S922" s="131">
        <f t="shared" si="110"/>
        <v>0</v>
      </c>
      <c r="T922" s="7" t="s">
        <v>173</v>
      </c>
      <c r="U922" s="7" t="s">
        <v>325</v>
      </c>
      <c r="V922" s="7"/>
      <c r="W922" s="7"/>
      <c r="X922" s="132">
        <f t="shared" si="108"/>
        <v>10</v>
      </c>
      <c r="Y922" s="133"/>
      <c r="Z922" s="133"/>
      <c r="AA922" s="133"/>
    </row>
    <row r="923" spans="1:27" hidden="1" x14ac:dyDescent="0.25">
      <c r="A923" s="127">
        <v>1037</v>
      </c>
      <c r="B923" s="128" t="str">
        <f t="shared" si="109"/>
        <v>UCQT</v>
      </c>
      <c r="C923" s="128" t="e">
        <f>+VLOOKUP(U923,Ходим!A:B,2,0)</f>
        <v>#N/A</v>
      </c>
      <c r="D923" s="128" t="str">
        <f>IFERROR(VLOOKUP($B:$B,[20]свод!$A:$AB,3,0)," ")</f>
        <v>Учқўрғон тумани</v>
      </c>
      <c r="E923" s="7" t="s">
        <v>2063</v>
      </c>
      <c r="F923" s="7" t="s">
        <v>8458</v>
      </c>
      <c r="G923" s="134" t="str">
        <f t="shared" si="112"/>
        <v/>
      </c>
      <c r="H923" s="134">
        <f t="shared" si="113"/>
        <v>1</v>
      </c>
      <c r="I923" s="7" t="s">
        <v>155</v>
      </c>
      <c r="J923" s="7" t="s">
        <v>11</v>
      </c>
      <c r="K923" s="7"/>
      <c r="L923" s="7"/>
      <c r="M923" s="7"/>
      <c r="N923" s="7" t="s">
        <v>170</v>
      </c>
      <c r="O923" s="7" t="s">
        <v>161</v>
      </c>
      <c r="P923" s="7" t="s">
        <v>6733</v>
      </c>
      <c r="Q923" s="129">
        <v>46199</v>
      </c>
      <c r="R923" s="130">
        <f t="shared" si="111"/>
        <v>46212</v>
      </c>
      <c r="S923" s="131">
        <f t="shared" si="110"/>
        <v>13</v>
      </c>
      <c r="T923" s="7"/>
      <c r="U923" s="7"/>
      <c r="V923" s="7"/>
      <c r="W923" s="7"/>
      <c r="X923" s="132">
        <f t="shared" si="108"/>
        <v>10</v>
      </c>
      <c r="Y923" s="133"/>
      <c r="Z923" s="133"/>
      <c r="AA923" s="133"/>
    </row>
    <row r="924" spans="1:27" x14ac:dyDescent="0.25">
      <c r="A924" s="127">
        <v>1038</v>
      </c>
      <c r="B924" s="128" t="str">
        <f t="shared" si="109"/>
        <v>NAMS</v>
      </c>
      <c r="C924" s="128" t="str">
        <f>+VLOOKUP(U924,Ходим!A:B,2,0)</f>
        <v>30108932170088</v>
      </c>
      <c r="D924" s="128" t="str">
        <f>IFERROR(VLOOKUP($B:$B,[20]свод!$A:$AB,3,0)," ")</f>
        <v>Наманган шаҳар</v>
      </c>
      <c r="E924" s="7" t="s">
        <v>2064</v>
      </c>
      <c r="F924" s="7" t="s">
        <v>8459</v>
      </c>
      <c r="G924" s="134">
        <f t="shared" si="112"/>
        <v>1</v>
      </c>
      <c r="H924" s="134" t="str">
        <f t="shared" si="113"/>
        <v/>
      </c>
      <c r="I924" s="7" t="s">
        <v>158</v>
      </c>
      <c r="J924" s="7" t="s">
        <v>1</v>
      </c>
      <c r="K924" s="7"/>
      <c r="L924" s="7" t="s">
        <v>167</v>
      </c>
      <c r="M924" s="7" t="s">
        <v>4809</v>
      </c>
      <c r="N924" s="7" t="s">
        <v>170</v>
      </c>
      <c r="O924" s="7" t="s">
        <v>162</v>
      </c>
      <c r="P924" s="7" t="s">
        <v>6734</v>
      </c>
      <c r="Q924" s="129">
        <v>46199</v>
      </c>
      <c r="R924" s="130">
        <f t="shared" si="111"/>
        <v>46199</v>
      </c>
      <c r="S924" s="131">
        <f t="shared" si="110"/>
        <v>0</v>
      </c>
      <c r="T924" s="7" t="s">
        <v>185</v>
      </c>
      <c r="U924" s="7" t="s">
        <v>329</v>
      </c>
      <c r="V924" s="7"/>
      <c r="W924" s="7">
        <v>209.6</v>
      </c>
      <c r="X924" s="132">
        <f t="shared" si="108"/>
        <v>10</v>
      </c>
      <c r="Y924" s="133"/>
      <c r="Z924" s="133"/>
      <c r="AA924" s="133"/>
    </row>
    <row r="925" spans="1:27" hidden="1" x14ac:dyDescent="0.25">
      <c r="A925" s="127">
        <v>1039</v>
      </c>
      <c r="B925" s="128" t="str">
        <f t="shared" si="109"/>
        <v>NAMS</v>
      </c>
      <c r="C925" s="128" t="str">
        <f>+VLOOKUP(U925,Ходим!A:B,2,0)</f>
        <v>31601642170089</v>
      </c>
      <c r="D925" s="128" t="str">
        <f>IFERROR(VLOOKUP($B:$B,[20]свод!$A:$AB,3,0)," ")</f>
        <v>Наманган шаҳар</v>
      </c>
      <c r="E925" s="7" t="s">
        <v>2065</v>
      </c>
      <c r="F925" s="7" t="s">
        <v>8460</v>
      </c>
      <c r="G925" s="134">
        <f t="shared" si="112"/>
        <v>1</v>
      </c>
      <c r="H925" s="134" t="str">
        <f t="shared" si="113"/>
        <v/>
      </c>
      <c r="I925" s="7" t="s">
        <v>156</v>
      </c>
      <c r="J925" s="7" t="s">
        <v>25</v>
      </c>
      <c r="K925" s="7"/>
      <c r="L925" s="7"/>
      <c r="M925" s="7"/>
      <c r="N925" s="7" t="s">
        <v>170</v>
      </c>
      <c r="O925" s="7" t="s">
        <v>162</v>
      </c>
      <c r="P925" s="7" t="s">
        <v>6735</v>
      </c>
      <c r="Q925" s="129">
        <v>46199</v>
      </c>
      <c r="R925" s="130">
        <f t="shared" si="111"/>
        <v>46212</v>
      </c>
      <c r="S925" s="131">
        <f t="shared" si="110"/>
        <v>13</v>
      </c>
      <c r="T925" s="7" t="s">
        <v>173</v>
      </c>
      <c r="U925" s="7" t="s">
        <v>201</v>
      </c>
      <c r="V925" s="7"/>
      <c r="W925" s="7"/>
      <c r="X925" s="132">
        <f t="shared" si="108"/>
        <v>10</v>
      </c>
      <c r="Y925" s="133"/>
      <c r="Z925" s="133"/>
      <c r="AA925" s="133"/>
    </row>
    <row r="926" spans="1:27" hidden="1" x14ac:dyDescent="0.25">
      <c r="A926" s="127">
        <v>1040</v>
      </c>
      <c r="B926" s="128" t="str">
        <f t="shared" si="109"/>
        <v>POPT</v>
      </c>
      <c r="C926" s="128" t="e">
        <f>+VLOOKUP(U926,Ходим!A:B,2,0)</f>
        <v>#N/A</v>
      </c>
      <c r="D926" s="128" t="str">
        <f>IFERROR(VLOOKUP($B:$B,[20]свод!$A:$AB,3,0)," ")</f>
        <v>Поп тумани</v>
      </c>
      <c r="E926" s="7" t="s">
        <v>2066</v>
      </c>
      <c r="F926" s="7" t="s">
        <v>8461</v>
      </c>
      <c r="G926" s="134">
        <f t="shared" si="112"/>
        <v>1</v>
      </c>
      <c r="H926" s="134" t="str">
        <f t="shared" si="113"/>
        <v/>
      </c>
      <c r="I926" s="7" t="s">
        <v>156</v>
      </c>
      <c r="J926" s="7" t="s">
        <v>11</v>
      </c>
      <c r="K926" s="7"/>
      <c r="L926" s="7"/>
      <c r="M926" s="7"/>
      <c r="N926" s="7" t="s">
        <v>170</v>
      </c>
      <c r="O926" s="7" t="s">
        <v>162</v>
      </c>
      <c r="P926" s="7" t="s">
        <v>6736</v>
      </c>
      <c r="Q926" s="129">
        <v>46199</v>
      </c>
      <c r="R926" s="130">
        <f t="shared" si="111"/>
        <v>46212</v>
      </c>
      <c r="S926" s="131">
        <f t="shared" si="110"/>
        <v>13</v>
      </c>
      <c r="T926" s="7"/>
      <c r="U926" s="7"/>
      <c r="V926" s="7"/>
      <c r="W926" s="7"/>
      <c r="X926" s="132">
        <f t="shared" si="108"/>
        <v>10</v>
      </c>
      <c r="Y926" s="133"/>
      <c r="Z926" s="133"/>
      <c r="AA926" s="133"/>
    </row>
    <row r="927" spans="1:27" hidden="1" x14ac:dyDescent="0.25">
      <c r="A927" s="127">
        <v>1041</v>
      </c>
      <c r="B927" s="128" t="str">
        <f t="shared" si="109"/>
        <v>NAMS</v>
      </c>
      <c r="C927" s="128" t="str">
        <f>+VLOOKUP(U927,Ходим!A:B,2,0)</f>
        <v>32407752170062</v>
      </c>
      <c r="D927" s="128" t="str">
        <f>IFERROR(VLOOKUP($B:$B,[20]свод!$A:$AB,3,0)," ")</f>
        <v>Наманган шаҳар</v>
      </c>
      <c r="E927" s="7" t="s">
        <v>2067</v>
      </c>
      <c r="F927" s="7" t="s">
        <v>8462</v>
      </c>
      <c r="G927" s="134">
        <f t="shared" si="112"/>
        <v>1</v>
      </c>
      <c r="H927" s="134" t="str">
        <f t="shared" si="113"/>
        <v/>
      </c>
      <c r="I927" s="7" t="s">
        <v>156</v>
      </c>
      <c r="J927" s="7" t="s">
        <v>25</v>
      </c>
      <c r="K927" s="7"/>
      <c r="L927" s="7"/>
      <c r="M927" s="7"/>
      <c r="N927" s="7" t="s">
        <v>170</v>
      </c>
      <c r="O927" s="7" t="s">
        <v>162</v>
      </c>
      <c r="P927" s="7" t="s">
        <v>6736</v>
      </c>
      <c r="Q927" s="129">
        <v>46199</v>
      </c>
      <c r="R927" s="130">
        <f t="shared" si="111"/>
        <v>46212</v>
      </c>
      <c r="S927" s="131">
        <f t="shared" si="110"/>
        <v>13</v>
      </c>
      <c r="T927" s="7" t="s">
        <v>185</v>
      </c>
      <c r="U927" s="7" t="s">
        <v>264</v>
      </c>
      <c r="V927" s="7"/>
      <c r="W927" s="7"/>
      <c r="X927" s="132">
        <f t="shared" si="108"/>
        <v>10</v>
      </c>
      <c r="Y927" s="133"/>
      <c r="Z927" s="133"/>
      <c r="AA927" s="133"/>
    </row>
    <row r="928" spans="1:27" hidden="1" x14ac:dyDescent="0.25">
      <c r="A928" s="127">
        <v>1042</v>
      </c>
      <c r="B928" s="128" t="str">
        <f t="shared" si="109"/>
        <v>TORT</v>
      </c>
      <c r="C928" s="128" t="str">
        <f>+VLOOKUP(U928,Ходим!A:B,2,0)</f>
        <v>51305035920029</v>
      </c>
      <c r="D928" s="128" t="str">
        <f>IFERROR(VLOOKUP($B:$B,[20]свод!$A:$AB,3,0)," ")</f>
        <v>Тўрақўрғон тумани</v>
      </c>
      <c r="E928" s="7" t="s">
        <v>2068</v>
      </c>
      <c r="F928" s="7" t="s">
        <v>8463</v>
      </c>
      <c r="G928" s="134">
        <f t="shared" si="112"/>
        <v>1</v>
      </c>
      <c r="H928" s="134" t="str">
        <f t="shared" si="113"/>
        <v/>
      </c>
      <c r="I928" s="7" t="s">
        <v>156</v>
      </c>
      <c r="J928" s="7" t="s">
        <v>25</v>
      </c>
      <c r="K928" s="7"/>
      <c r="L928" s="7"/>
      <c r="M928" s="7"/>
      <c r="N928" s="7" t="s">
        <v>170</v>
      </c>
      <c r="O928" s="7" t="s">
        <v>162</v>
      </c>
      <c r="P928" s="7" t="s">
        <v>6736</v>
      </c>
      <c r="Q928" s="129">
        <v>46199</v>
      </c>
      <c r="R928" s="130">
        <f t="shared" si="111"/>
        <v>46212</v>
      </c>
      <c r="S928" s="131">
        <f t="shared" si="110"/>
        <v>13</v>
      </c>
      <c r="T928" s="7" t="s">
        <v>203</v>
      </c>
      <c r="U928" s="7" t="s">
        <v>316</v>
      </c>
      <c r="V928" s="7"/>
      <c r="W928" s="7"/>
      <c r="X928" s="132">
        <f t="shared" si="108"/>
        <v>10</v>
      </c>
      <c r="Y928" s="133"/>
      <c r="Z928" s="133"/>
      <c r="AA928" s="133"/>
    </row>
    <row r="929" spans="1:27" x14ac:dyDescent="0.25">
      <c r="A929" s="127">
        <v>1044</v>
      </c>
      <c r="B929" s="128" t="str">
        <f t="shared" si="109"/>
        <v>NAMS</v>
      </c>
      <c r="C929" s="128" t="str">
        <f>+VLOOKUP(U929,Ходим!A:B,2,0)</f>
        <v>31408622170123</v>
      </c>
      <c r="D929" s="128" t="str">
        <f>IFERROR(VLOOKUP($B:$B,[20]свод!$A:$AB,3,0)," ")</f>
        <v>Наманган шаҳар</v>
      </c>
      <c r="E929" s="7" t="s">
        <v>2069</v>
      </c>
      <c r="F929" s="7" t="s">
        <v>8464</v>
      </c>
      <c r="G929" s="134">
        <f t="shared" si="112"/>
        <v>1</v>
      </c>
      <c r="H929" s="134" t="str">
        <f t="shared" si="113"/>
        <v/>
      </c>
      <c r="I929" s="7" t="s">
        <v>158</v>
      </c>
      <c r="J929" s="7" t="s">
        <v>2</v>
      </c>
      <c r="K929" s="7"/>
      <c r="L929" s="7" t="s">
        <v>167</v>
      </c>
      <c r="M929" s="7" t="s">
        <v>381</v>
      </c>
      <c r="N929" s="7" t="s">
        <v>170</v>
      </c>
      <c r="O929" s="7" t="s">
        <v>162</v>
      </c>
      <c r="P929" s="7" t="s">
        <v>6679</v>
      </c>
      <c r="Q929" s="129">
        <v>46199</v>
      </c>
      <c r="R929" s="130">
        <f t="shared" si="111"/>
        <v>46199</v>
      </c>
      <c r="S929" s="131">
        <f t="shared" si="110"/>
        <v>0</v>
      </c>
      <c r="T929" s="7" t="s">
        <v>173</v>
      </c>
      <c r="U929" s="7" t="s">
        <v>402</v>
      </c>
      <c r="V929" s="7"/>
      <c r="W929" s="7">
        <v>0</v>
      </c>
      <c r="X929" s="132">
        <f t="shared" si="108"/>
        <v>10</v>
      </c>
      <c r="Y929" s="133"/>
      <c r="Z929" s="133"/>
      <c r="AA929" s="133"/>
    </row>
    <row r="930" spans="1:27" x14ac:dyDescent="0.25">
      <c r="A930" s="127">
        <v>1045</v>
      </c>
      <c r="B930" s="128" t="str">
        <f t="shared" si="109"/>
        <v>NAMS</v>
      </c>
      <c r="C930" s="128" t="str">
        <f>+VLOOKUP(U930,Ходим!A:B,2,0)</f>
        <v>30302965960014</v>
      </c>
      <c r="D930" s="128" t="str">
        <f>IFERROR(VLOOKUP($B:$B,[20]свод!$A:$AB,3,0)," ")</f>
        <v>Наманган шаҳар</v>
      </c>
      <c r="E930" s="7" t="s">
        <v>2070</v>
      </c>
      <c r="F930" s="7" t="s">
        <v>8465</v>
      </c>
      <c r="G930" s="134">
        <f t="shared" si="112"/>
        <v>1</v>
      </c>
      <c r="H930" s="134" t="str">
        <f t="shared" si="113"/>
        <v/>
      </c>
      <c r="I930" s="7" t="s">
        <v>158</v>
      </c>
      <c r="J930" s="7" t="s">
        <v>51</v>
      </c>
      <c r="K930" s="7"/>
      <c r="L930" s="7" t="s">
        <v>167</v>
      </c>
      <c r="M930" s="7" t="s">
        <v>4810</v>
      </c>
      <c r="N930" s="7" t="s">
        <v>170</v>
      </c>
      <c r="O930" s="7" t="s">
        <v>162</v>
      </c>
      <c r="P930" s="7" t="s">
        <v>6737</v>
      </c>
      <c r="Q930" s="129">
        <v>46199</v>
      </c>
      <c r="R930" s="130">
        <f t="shared" si="111"/>
        <v>46199</v>
      </c>
      <c r="S930" s="131">
        <f t="shared" si="110"/>
        <v>0</v>
      </c>
      <c r="T930" s="7" t="s">
        <v>234</v>
      </c>
      <c r="U930" s="7" t="s">
        <v>304</v>
      </c>
      <c r="V930" s="7" t="s">
        <v>359</v>
      </c>
      <c r="W930" s="7">
        <v>501.7</v>
      </c>
      <c r="X930" s="132">
        <f t="shared" si="108"/>
        <v>10</v>
      </c>
      <c r="Y930" s="133"/>
      <c r="Z930" s="133"/>
      <c r="AA930" s="133"/>
    </row>
    <row r="931" spans="1:27" hidden="1" x14ac:dyDescent="0.25">
      <c r="A931" s="127">
        <v>1046</v>
      </c>
      <c r="B931" s="128" t="str">
        <f t="shared" si="109"/>
        <v>YGQT</v>
      </c>
      <c r="C931" s="128" t="str">
        <f>+VLOOKUP(U931,Ходим!A:B,2,0)</f>
        <v>52010015950028</v>
      </c>
      <c r="D931" s="128" t="str">
        <f>IFERROR(VLOOKUP($B:$B,[20]свод!$A:$AB,3,0)," ")</f>
        <v>Янгиқўрғон тумани</v>
      </c>
      <c r="E931" s="7" t="s">
        <v>2071</v>
      </c>
      <c r="F931" s="7" t="s">
        <v>8466</v>
      </c>
      <c r="G931" s="134">
        <f t="shared" si="112"/>
        <v>1</v>
      </c>
      <c r="H931" s="134" t="str">
        <f t="shared" si="113"/>
        <v/>
      </c>
      <c r="I931" s="7" t="s">
        <v>156</v>
      </c>
      <c r="J931" s="7" t="s">
        <v>21</v>
      </c>
      <c r="K931" s="7"/>
      <c r="L931" s="7" t="s">
        <v>167</v>
      </c>
      <c r="M931" s="7" t="s">
        <v>4811</v>
      </c>
      <c r="N931" s="7" t="s">
        <v>170</v>
      </c>
      <c r="O931" s="7" t="s">
        <v>162</v>
      </c>
      <c r="P931" s="7" t="s">
        <v>6408</v>
      </c>
      <c r="Q931" s="129">
        <v>46199</v>
      </c>
      <c r="R931" s="130">
        <f t="shared" si="111"/>
        <v>46211</v>
      </c>
      <c r="S931" s="131">
        <f t="shared" si="110"/>
        <v>12</v>
      </c>
      <c r="T931" s="7" t="s">
        <v>182</v>
      </c>
      <c r="U931" s="7" t="s">
        <v>391</v>
      </c>
      <c r="V931" s="7"/>
      <c r="W931" s="7">
        <v>261.05</v>
      </c>
      <c r="X931" s="132">
        <f t="shared" si="108"/>
        <v>10</v>
      </c>
      <c r="Y931" s="133"/>
      <c r="Z931" s="133"/>
      <c r="AA931" s="133"/>
    </row>
    <row r="932" spans="1:27" hidden="1" x14ac:dyDescent="0.25">
      <c r="A932" s="127">
        <v>1047</v>
      </c>
      <c r="B932" s="128" t="str">
        <f t="shared" si="109"/>
        <v>YGQT</v>
      </c>
      <c r="C932" s="128" t="str">
        <f>+VLOOKUP(U932,Ходим!A:B,2,0)</f>
        <v>52010015950028</v>
      </c>
      <c r="D932" s="128" t="str">
        <f>IFERROR(VLOOKUP($B:$B,[20]свод!$A:$AB,3,0)," ")</f>
        <v>Янгиқўрғон тумани</v>
      </c>
      <c r="E932" s="7" t="s">
        <v>2072</v>
      </c>
      <c r="F932" s="7" t="s">
        <v>8467</v>
      </c>
      <c r="G932" s="134">
        <f t="shared" si="112"/>
        <v>1</v>
      </c>
      <c r="H932" s="134" t="str">
        <f t="shared" si="113"/>
        <v/>
      </c>
      <c r="I932" s="7" t="s">
        <v>158</v>
      </c>
      <c r="J932" s="7" t="s">
        <v>2</v>
      </c>
      <c r="K932" s="7"/>
      <c r="L932" s="7" t="s">
        <v>169</v>
      </c>
      <c r="M932" s="7" t="s">
        <v>382</v>
      </c>
      <c r="N932" s="7" t="s">
        <v>410</v>
      </c>
      <c r="O932" s="7" t="s">
        <v>162</v>
      </c>
      <c r="P932" s="7" t="s">
        <v>6282</v>
      </c>
      <c r="Q932" s="129">
        <v>46199</v>
      </c>
      <c r="R932" s="130">
        <f t="shared" si="111"/>
        <v>46205</v>
      </c>
      <c r="S932" s="131">
        <f t="shared" si="110"/>
        <v>6</v>
      </c>
      <c r="T932" s="7" t="s">
        <v>182</v>
      </c>
      <c r="U932" s="7" t="s">
        <v>391</v>
      </c>
      <c r="V932" s="7"/>
      <c r="W932" s="7">
        <v>0</v>
      </c>
      <c r="X932" s="132">
        <f t="shared" si="108"/>
        <v>7</v>
      </c>
      <c r="Y932" s="133"/>
      <c r="Z932" s="133"/>
      <c r="AA932" s="133"/>
    </row>
    <row r="933" spans="1:27" hidden="1" x14ac:dyDescent="0.25">
      <c r="A933" s="127">
        <v>1048</v>
      </c>
      <c r="B933" s="128" t="str">
        <f t="shared" si="109"/>
        <v>TORT</v>
      </c>
      <c r="C933" s="128" t="e">
        <f>+VLOOKUP(U933,Ходим!A:B,2,0)</f>
        <v>#N/A</v>
      </c>
      <c r="D933" s="128" t="str">
        <f>IFERROR(VLOOKUP($B:$B,[20]свод!$A:$AB,3,0)," ")</f>
        <v>Тўрақўрғон тумани</v>
      </c>
      <c r="E933" s="7" t="s">
        <v>2073</v>
      </c>
      <c r="F933" s="7" t="s">
        <v>8468</v>
      </c>
      <c r="G933" s="134" t="str">
        <f t="shared" si="112"/>
        <v/>
      </c>
      <c r="H933" s="134">
        <f t="shared" si="113"/>
        <v>1</v>
      </c>
      <c r="I933" s="7" t="s">
        <v>155</v>
      </c>
      <c r="J933" s="7" t="s">
        <v>11</v>
      </c>
      <c r="K933" s="7"/>
      <c r="L933" s="7" t="s">
        <v>166</v>
      </c>
      <c r="M933" s="7" t="s">
        <v>4812</v>
      </c>
      <c r="N933" s="7" t="s">
        <v>170</v>
      </c>
      <c r="O933" s="7" t="s">
        <v>161</v>
      </c>
      <c r="P933" s="7" t="s">
        <v>6738</v>
      </c>
      <c r="Q933" s="129">
        <v>46199</v>
      </c>
      <c r="R933" s="130">
        <f t="shared" si="111"/>
        <v>46216</v>
      </c>
      <c r="S933" s="131">
        <f t="shared" si="110"/>
        <v>17</v>
      </c>
      <c r="T933" s="7" t="s">
        <v>203</v>
      </c>
      <c r="U933" s="7"/>
      <c r="V933" s="7"/>
      <c r="W933" s="7">
        <v>179.5</v>
      </c>
      <c r="X933" s="132">
        <f t="shared" si="108"/>
        <v>12</v>
      </c>
      <c r="Y933" s="133"/>
      <c r="Z933" s="133"/>
      <c r="AA933" s="133"/>
    </row>
    <row r="934" spans="1:27" hidden="1" x14ac:dyDescent="0.25">
      <c r="A934" s="127">
        <v>1049</v>
      </c>
      <c r="B934" s="128" t="str">
        <f t="shared" si="109"/>
        <v>POPT</v>
      </c>
      <c r="C934" s="128" t="str">
        <f>+VLOOKUP(U934,Ходим!A:B,2,0)</f>
        <v>31503892210028</v>
      </c>
      <c r="D934" s="128" t="str">
        <f>IFERROR(VLOOKUP($B:$B,[20]свод!$A:$AB,3,0)," ")</f>
        <v>Поп тумани</v>
      </c>
      <c r="E934" s="7" t="s">
        <v>2074</v>
      </c>
      <c r="F934" s="7" t="s">
        <v>8469</v>
      </c>
      <c r="G934" s="134">
        <f t="shared" si="112"/>
        <v>1</v>
      </c>
      <c r="H934" s="134" t="str">
        <f t="shared" si="113"/>
        <v/>
      </c>
      <c r="I934" s="7" t="s">
        <v>158</v>
      </c>
      <c r="J934" s="7" t="s">
        <v>2</v>
      </c>
      <c r="K934" s="7"/>
      <c r="L934" s="7" t="s">
        <v>167</v>
      </c>
      <c r="M934" s="7" t="s">
        <v>4813</v>
      </c>
      <c r="N934" s="7" t="s">
        <v>170</v>
      </c>
      <c r="O934" s="7" t="s">
        <v>162</v>
      </c>
      <c r="P934" s="7" t="s">
        <v>6739</v>
      </c>
      <c r="Q934" s="129">
        <v>46199</v>
      </c>
      <c r="R934" s="130">
        <f t="shared" si="111"/>
        <v>46203</v>
      </c>
      <c r="S934" s="131">
        <f t="shared" si="110"/>
        <v>4</v>
      </c>
      <c r="T934" s="7" t="s">
        <v>214</v>
      </c>
      <c r="U934" s="7" t="s">
        <v>285</v>
      </c>
      <c r="V934" s="7"/>
      <c r="W934" s="7">
        <v>187.51</v>
      </c>
      <c r="X934" s="132">
        <f t="shared" si="108"/>
        <v>10</v>
      </c>
      <c r="Y934" s="133"/>
      <c r="Z934" s="133"/>
      <c r="AA934" s="133"/>
    </row>
    <row r="935" spans="1:27" hidden="1" x14ac:dyDescent="0.25">
      <c r="A935" s="127">
        <v>1050</v>
      </c>
      <c r="B935" s="128" t="str">
        <f t="shared" si="109"/>
        <v>NAMS</v>
      </c>
      <c r="C935" s="128" t="str">
        <f>+VLOOKUP(U935,Ходим!A:B,2,0)</f>
        <v>32207925880019</v>
      </c>
      <c r="D935" s="128" t="str">
        <f>IFERROR(VLOOKUP($B:$B,[20]свод!$A:$AB,3,0)," ")</f>
        <v>Наманган шаҳар</v>
      </c>
      <c r="E935" s="7" t="s">
        <v>2075</v>
      </c>
      <c r="F935" s="7" t="s">
        <v>8470</v>
      </c>
      <c r="G935" s="134" t="str">
        <f t="shared" si="112"/>
        <v/>
      </c>
      <c r="H935" s="134">
        <f t="shared" si="113"/>
        <v>1</v>
      </c>
      <c r="I935" s="7" t="s">
        <v>155</v>
      </c>
      <c r="J935" s="7" t="s">
        <v>25</v>
      </c>
      <c r="K935" s="7"/>
      <c r="L935" s="7" t="s">
        <v>166</v>
      </c>
      <c r="M935" s="7" t="s">
        <v>4814</v>
      </c>
      <c r="N935" s="7" t="s">
        <v>170</v>
      </c>
      <c r="O935" s="7" t="s">
        <v>161</v>
      </c>
      <c r="P935" s="7" t="s">
        <v>6738</v>
      </c>
      <c r="Q935" s="129">
        <v>46199</v>
      </c>
      <c r="R935" s="130">
        <f t="shared" si="111"/>
        <v>46216</v>
      </c>
      <c r="S935" s="131">
        <f t="shared" si="110"/>
        <v>17</v>
      </c>
      <c r="T935" s="7" t="s">
        <v>227</v>
      </c>
      <c r="U935" s="7" t="s">
        <v>174</v>
      </c>
      <c r="V935" s="7"/>
      <c r="W935" s="7">
        <v>487.82</v>
      </c>
      <c r="X935" s="132">
        <f t="shared" si="108"/>
        <v>12</v>
      </c>
      <c r="Y935" s="133"/>
      <c r="Z935" s="133"/>
      <c r="AA935" s="133"/>
    </row>
    <row r="936" spans="1:27" hidden="1" x14ac:dyDescent="0.25">
      <c r="A936" s="127">
        <v>1051</v>
      </c>
      <c r="B936" s="128" t="str">
        <f t="shared" si="109"/>
        <v>YGQT</v>
      </c>
      <c r="C936" s="128" t="e">
        <f>+VLOOKUP(U936,Ходим!A:B,2,0)</f>
        <v>#N/A</v>
      </c>
      <c r="D936" s="128" t="str">
        <f>IFERROR(VLOOKUP($B:$B,[20]свод!$A:$AB,3,0)," ")</f>
        <v>Янгиқўрғон тумани</v>
      </c>
      <c r="E936" s="7" t="s">
        <v>2076</v>
      </c>
      <c r="F936" s="7" t="s">
        <v>8471</v>
      </c>
      <c r="G936" s="134">
        <f t="shared" si="112"/>
        <v>1</v>
      </c>
      <c r="H936" s="134" t="str">
        <f t="shared" si="113"/>
        <v/>
      </c>
      <c r="I936" s="7" t="s">
        <v>156</v>
      </c>
      <c r="J936" s="7" t="s">
        <v>21</v>
      </c>
      <c r="K936" s="7"/>
      <c r="L936" s="7"/>
      <c r="M936" s="7"/>
      <c r="N936" s="7" t="s">
        <v>410</v>
      </c>
      <c r="O936" s="7" t="s">
        <v>162</v>
      </c>
      <c r="P936" s="7" t="s">
        <v>6738</v>
      </c>
      <c r="Q936" s="129">
        <v>46199</v>
      </c>
      <c r="R936" s="130">
        <f t="shared" si="111"/>
        <v>46212</v>
      </c>
      <c r="S936" s="131">
        <f t="shared" si="110"/>
        <v>13</v>
      </c>
      <c r="T936" s="7" t="s">
        <v>182</v>
      </c>
      <c r="U936" s="7"/>
      <c r="V936" s="7"/>
      <c r="W936" s="7"/>
      <c r="X936" s="132">
        <f t="shared" si="108"/>
        <v>10</v>
      </c>
      <c r="Y936" s="133"/>
      <c r="Z936" s="133"/>
      <c r="AA936" s="133"/>
    </row>
    <row r="937" spans="1:27" hidden="1" x14ac:dyDescent="0.25">
      <c r="A937" s="127">
        <v>1053</v>
      </c>
      <c r="B937" s="128" t="str">
        <f t="shared" si="109"/>
        <v>UYCT</v>
      </c>
      <c r="C937" s="128" t="str">
        <f>+VLOOKUP(U937,Ходим!A:B,2,0)</f>
        <v>30510922140032</v>
      </c>
      <c r="D937" s="128" t="str">
        <f>IFERROR(VLOOKUP($B:$B,[20]свод!$A:$AB,3,0)," ")</f>
        <v>Уйчи тумани</v>
      </c>
      <c r="E937" s="7" t="s">
        <v>2077</v>
      </c>
      <c r="F937" s="7" t="s">
        <v>8472</v>
      </c>
      <c r="G937" s="134">
        <f t="shared" si="112"/>
        <v>1</v>
      </c>
      <c r="H937" s="134" t="str">
        <f t="shared" si="113"/>
        <v/>
      </c>
      <c r="I937" s="7" t="s">
        <v>158</v>
      </c>
      <c r="J937" s="7" t="s">
        <v>2</v>
      </c>
      <c r="K937" s="7"/>
      <c r="L937" s="7" t="s">
        <v>167</v>
      </c>
      <c r="M937" s="7" t="s">
        <v>4815</v>
      </c>
      <c r="N937" s="7" t="s">
        <v>170</v>
      </c>
      <c r="O937" s="7" t="s">
        <v>162</v>
      </c>
      <c r="P937" s="7" t="s">
        <v>6738</v>
      </c>
      <c r="Q937" s="129">
        <v>46199</v>
      </c>
      <c r="R937" s="130">
        <f t="shared" si="111"/>
        <v>46212</v>
      </c>
      <c r="S937" s="131">
        <f t="shared" si="110"/>
        <v>13</v>
      </c>
      <c r="T937" s="7" t="s">
        <v>379</v>
      </c>
      <c r="U937" s="7" t="s">
        <v>199</v>
      </c>
      <c r="V937" s="7"/>
      <c r="W937" s="7">
        <v>224.7</v>
      </c>
      <c r="X937" s="132">
        <f t="shared" si="108"/>
        <v>10</v>
      </c>
      <c r="Y937" s="133"/>
      <c r="Z937" s="133"/>
      <c r="AA937" s="133"/>
    </row>
    <row r="938" spans="1:27" hidden="1" x14ac:dyDescent="0.25">
      <c r="A938" s="127">
        <v>1054</v>
      </c>
      <c r="B938" s="128" t="str">
        <f t="shared" si="109"/>
        <v>TORT</v>
      </c>
      <c r="C938" s="128" t="str">
        <f>+VLOOKUP(U938,Ходим!A:B,2,0)</f>
        <v>31701915920077</v>
      </c>
      <c r="D938" s="128" t="str">
        <f>IFERROR(VLOOKUP($B:$B,[20]свод!$A:$AB,3,0)," ")</f>
        <v>Тўрақўрғон тумани</v>
      </c>
      <c r="E938" s="7" t="s">
        <v>2078</v>
      </c>
      <c r="F938" s="7" t="s">
        <v>8473</v>
      </c>
      <c r="G938" s="134" t="str">
        <f t="shared" si="112"/>
        <v/>
      </c>
      <c r="H938" s="134">
        <f t="shared" si="113"/>
        <v>1</v>
      </c>
      <c r="I938" s="7" t="s">
        <v>157</v>
      </c>
      <c r="J938" s="7" t="s">
        <v>2</v>
      </c>
      <c r="K938" s="7"/>
      <c r="L938" s="7"/>
      <c r="M938" s="7"/>
      <c r="N938" s="7" t="s">
        <v>410</v>
      </c>
      <c r="O938" s="7" t="s">
        <v>161</v>
      </c>
      <c r="P938" s="7" t="s">
        <v>6738</v>
      </c>
      <c r="Q938" s="129">
        <v>46199</v>
      </c>
      <c r="R938" s="130">
        <f t="shared" si="111"/>
        <v>46212</v>
      </c>
      <c r="S938" s="131">
        <f t="shared" si="110"/>
        <v>13</v>
      </c>
      <c r="T938" s="7" t="s">
        <v>203</v>
      </c>
      <c r="U938" s="7" t="s">
        <v>332</v>
      </c>
      <c r="V938" s="7"/>
      <c r="W938" s="7"/>
      <c r="X938" s="132">
        <f t="shared" si="108"/>
        <v>10</v>
      </c>
      <c r="Y938" s="133"/>
      <c r="Z938" s="133"/>
      <c r="AA938" s="133"/>
    </row>
    <row r="939" spans="1:27" hidden="1" x14ac:dyDescent="0.25">
      <c r="A939" s="127">
        <v>1055</v>
      </c>
      <c r="B939" s="128" t="str">
        <f t="shared" si="109"/>
        <v>POPT</v>
      </c>
      <c r="C939" s="128" t="str">
        <f>+VLOOKUP(U939,Ходим!A:B,2,0)</f>
        <v>32209966000029</v>
      </c>
      <c r="D939" s="128" t="str">
        <f>IFERROR(VLOOKUP($B:$B,[20]свод!$A:$AB,3,0)," ")</f>
        <v>Поп тумани</v>
      </c>
      <c r="E939" s="7" t="s">
        <v>2079</v>
      </c>
      <c r="F939" s="7" t="s">
        <v>8474</v>
      </c>
      <c r="G939" s="134">
        <f t="shared" si="112"/>
        <v>1</v>
      </c>
      <c r="H939" s="134" t="str">
        <f t="shared" si="113"/>
        <v/>
      </c>
      <c r="I939" s="7" t="s">
        <v>158</v>
      </c>
      <c r="J939" s="7" t="s">
        <v>172</v>
      </c>
      <c r="K939" s="7"/>
      <c r="L939" s="7" t="s">
        <v>167</v>
      </c>
      <c r="M939" s="7" t="s">
        <v>4816</v>
      </c>
      <c r="N939" s="7" t="s">
        <v>170</v>
      </c>
      <c r="O939" s="7" t="s">
        <v>162</v>
      </c>
      <c r="P939" s="7" t="s">
        <v>6454</v>
      </c>
      <c r="Q939" s="129">
        <v>46199</v>
      </c>
      <c r="R939" s="130">
        <f t="shared" si="111"/>
        <v>46205</v>
      </c>
      <c r="S939" s="131">
        <f t="shared" si="110"/>
        <v>6</v>
      </c>
      <c r="T939" s="7" t="s">
        <v>214</v>
      </c>
      <c r="U939" s="7" t="s">
        <v>282</v>
      </c>
      <c r="V939" s="7"/>
      <c r="W939" s="7">
        <v>0</v>
      </c>
      <c r="X939" s="132">
        <f t="shared" si="108"/>
        <v>10</v>
      </c>
      <c r="Y939" s="133"/>
      <c r="Z939" s="133"/>
      <c r="AA939" s="133"/>
    </row>
    <row r="940" spans="1:27" hidden="1" x14ac:dyDescent="0.25">
      <c r="A940" s="127">
        <v>1056</v>
      </c>
      <c r="B940" s="128" t="str">
        <f t="shared" si="109"/>
        <v>NAMS</v>
      </c>
      <c r="C940" s="128" t="str">
        <f>+VLOOKUP(U940,Ходим!A:B,2,0)</f>
        <v>31312985950011</v>
      </c>
      <c r="D940" s="128" t="str">
        <f>IFERROR(VLOOKUP($B:$B,[20]свод!$A:$AB,3,0)," ")</f>
        <v>Наманган шаҳар</v>
      </c>
      <c r="E940" s="7" t="s">
        <v>2080</v>
      </c>
      <c r="F940" s="7" t="s">
        <v>8475</v>
      </c>
      <c r="G940" s="134" t="str">
        <f t="shared" si="112"/>
        <v/>
      </c>
      <c r="H940" s="134">
        <f t="shared" si="113"/>
        <v>1</v>
      </c>
      <c r="I940" s="7" t="s">
        <v>157</v>
      </c>
      <c r="J940" s="7" t="s">
        <v>16</v>
      </c>
      <c r="K940" s="7"/>
      <c r="L940" s="7" t="s">
        <v>166</v>
      </c>
      <c r="M940" s="7" t="s">
        <v>4817</v>
      </c>
      <c r="N940" s="7" t="s">
        <v>170</v>
      </c>
      <c r="O940" s="7" t="s">
        <v>161</v>
      </c>
      <c r="P940" s="7" t="s">
        <v>6309</v>
      </c>
      <c r="Q940" s="129">
        <v>46199</v>
      </c>
      <c r="R940" s="130">
        <f t="shared" si="111"/>
        <v>46213</v>
      </c>
      <c r="S940" s="131">
        <f t="shared" si="110"/>
        <v>14</v>
      </c>
      <c r="T940" s="7" t="s">
        <v>173</v>
      </c>
      <c r="U940" s="7" t="s">
        <v>303</v>
      </c>
      <c r="V940" s="7"/>
      <c r="W940" s="7">
        <v>2433.12</v>
      </c>
      <c r="X940" s="132">
        <f t="shared" si="108"/>
        <v>17</v>
      </c>
      <c r="Y940" s="133"/>
      <c r="Z940" s="133"/>
      <c r="AA940" s="133"/>
    </row>
    <row r="941" spans="1:27" x14ac:dyDescent="0.25">
      <c r="A941" s="127">
        <v>1057</v>
      </c>
      <c r="B941" s="128" t="str">
        <f t="shared" si="109"/>
        <v>CHOT</v>
      </c>
      <c r="C941" s="128" t="str">
        <f>+VLOOKUP(U941,Ходим!A:B,2,0)</f>
        <v>30608892100030</v>
      </c>
      <c r="D941" s="128" t="str">
        <f>IFERROR(VLOOKUP($B:$B,[20]свод!$A:$AB,3,0)," ")</f>
        <v>Чортоқ тумани</v>
      </c>
      <c r="E941" s="7" t="s">
        <v>2081</v>
      </c>
      <c r="F941" s="7"/>
      <c r="G941" s="134">
        <f t="shared" si="112"/>
        <v>1</v>
      </c>
      <c r="H941" s="134" t="str">
        <f t="shared" si="113"/>
        <v/>
      </c>
      <c r="I941" s="7" t="s">
        <v>154</v>
      </c>
      <c r="J941" s="7" t="s">
        <v>145</v>
      </c>
      <c r="K941" s="7"/>
      <c r="L941" s="7" t="s">
        <v>167</v>
      </c>
      <c r="M941" s="7" t="s">
        <v>4818</v>
      </c>
      <c r="N941" s="7" t="s">
        <v>368</v>
      </c>
      <c r="O941" s="7"/>
      <c r="P941" s="7" t="s">
        <v>6694</v>
      </c>
      <c r="Q941" s="129">
        <v>46199</v>
      </c>
      <c r="R941" s="130">
        <f t="shared" si="111"/>
        <v>46199</v>
      </c>
      <c r="S941" s="131">
        <f t="shared" si="110"/>
        <v>0</v>
      </c>
      <c r="T941" s="7" t="s">
        <v>10635</v>
      </c>
      <c r="U941" s="7" t="s">
        <v>266</v>
      </c>
      <c r="V941" s="7" t="s">
        <v>965</v>
      </c>
      <c r="W941" s="7">
        <v>258.54000000000002</v>
      </c>
      <c r="X941" s="132">
        <f t="shared" si="108"/>
        <v>5</v>
      </c>
      <c r="Y941" s="133"/>
      <c r="Z941" s="133"/>
      <c r="AA941" s="133"/>
    </row>
    <row r="942" spans="1:27" hidden="1" x14ac:dyDescent="0.25">
      <c r="A942" s="127">
        <v>1058</v>
      </c>
      <c r="B942" s="128" t="str">
        <f t="shared" si="109"/>
        <v>NAMS</v>
      </c>
      <c r="C942" s="128" t="str">
        <f>+VLOOKUP(U942,Ходим!A:B,2,0)</f>
        <v>51911035960011</v>
      </c>
      <c r="D942" s="128" t="str">
        <f>IFERROR(VLOOKUP($B:$B,[20]свод!$A:$AB,3,0)," ")</f>
        <v>Наманган шаҳар</v>
      </c>
      <c r="E942" s="7" t="s">
        <v>2082</v>
      </c>
      <c r="F942" s="7" t="s">
        <v>8476</v>
      </c>
      <c r="G942" s="134">
        <f t="shared" si="112"/>
        <v>1</v>
      </c>
      <c r="H942" s="134" t="str">
        <f t="shared" si="113"/>
        <v/>
      </c>
      <c r="I942" s="7" t="s">
        <v>158</v>
      </c>
      <c r="J942" s="7" t="s">
        <v>2</v>
      </c>
      <c r="K942" s="7"/>
      <c r="L942" s="7" t="s">
        <v>167</v>
      </c>
      <c r="M942" s="7" t="s">
        <v>4819</v>
      </c>
      <c r="N942" s="7" t="s">
        <v>170</v>
      </c>
      <c r="O942" s="7" t="s">
        <v>162</v>
      </c>
      <c r="P942" s="7" t="s">
        <v>6723</v>
      </c>
      <c r="Q942" s="129">
        <v>46199</v>
      </c>
      <c r="R942" s="130">
        <f t="shared" si="111"/>
        <v>46212</v>
      </c>
      <c r="S942" s="131">
        <f t="shared" si="110"/>
        <v>13</v>
      </c>
      <c r="T942" s="7" t="s">
        <v>173</v>
      </c>
      <c r="U942" s="7" t="s">
        <v>371</v>
      </c>
      <c r="V942" s="7"/>
      <c r="W942" s="7">
        <v>354.66</v>
      </c>
      <c r="X942" s="132">
        <f t="shared" si="108"/>
        <v>10</v>
      </c>
      <c r="Y942" s="133"/>
      <c r="Z942" s="133"/>
      <c r="AA942" s="133"/>
    </row>
    <row r="943" spans="1:27" hidden="1" x14ac:dyDescent="0.25">
      <c r="A943" s="127">
        <v>1059</v>
      </c>
      <c r="B943" s="128" t="str">
        <f t="shared" si="109"/>
        <v>KSST</v>
      </c>
      <c r="C943" s="128" t="str">
        <f>+VLOOKUP(U943,Ходим!A:B,2,0)</f>
        <v>50709025980034</v>
      </c>
      <c r="D943" s="128" t="str">
        <f>IFERROR(VLOOKUP($B:$B,[20]свод!$A:$AB,3,0)," ")</f>
        <v>Косонсой тумани</v>
      </c>
      <c r="E943" s="7" t="s">
        <v>2083</v>
      </c>
      <c r="F943" s="7" t="s">
        <v>8477</v>
      </c>
      <c r="G943" s="134" t="str">
        <f t="shared" si="112"/>
        <v/>
      </c>
      <c r="H943" s="134">
        <f t="shared" si="113"/>
        <v>1</v>
      </c>
      <c r="I943" s="7" t="s">
        <v>155</v>
      </c>
      <c r="J943" s="7" t="s">
        <v>25</v>
      </c>
      <c r="K943" s="7"/>
      <c r="L943" s="7"/>
      <c r="M943" s="7"/>
      <c r="N943" s="7" t="s">
        <v>170</v>
      </c>
      <c r="O943" s="7" t="s">
        <v>161</v>
      </c>
      <c r="P943" s="7" t="s">
        <v>6735</v>
      </c>
      <c r="Q943" s="129">
        <v>46199</v>
      </c>
      <c r="R943" s="130">
        <f t="shared" si="111"/>
        <v>46212</v>
      </c>
      <c r="S943" s="131">
        <f t="shared" si="110"/>
        <v>13</v>
      </c>
      <c r="T943" s="7" t="s">
        <v>180</v>
      </c>
      <c r="U943" s="7" t="s">
        <v>286</v>
      </c>
      <c r="V943" s="7"/>
      <c r="W943" s="7"/>
      <c r="X943" s="132">
        <f t="shared" si="108"/>
        <v>10</v>
      </c>
      <c r="Y943" s="133"/>
      <c r="Z943" s="133"/>
      <c r="AA943" s="133"/>
    </row>
    <row r="944" spans="1:27" x14ac:dyDescent="0.25">
      <c r="A944" s="127">
        <v>1060</v>
      </c>
      <c r="B944" s="128" t="str">
        <f t="shared" si="109"/>
        <v>CHOT</v>
      </c>
      <c r="C944" s="128" t="str">
        <f>+VLOOKUP(U944,Ходим!A:B,2,0)</f>
        <v>30608892100030</v>
      </c>
      <c r="D944" s="128" t="str">
        <f>IFERROR(VLOOKUP($B:$B,[20]свод!$A:$AB,3,0)," ")</f>
        <v>Чортоқ тумани</v>
      </c>
      <c r="E944" s="7" t="s">
        <v>2084</v>
      </c>
      <c r="F944" s="7"/>
      <c r="G944" s="134" t="str">
        <f t="shared" si="112"/>
        <v/>
      </c>
      <c r="H944" s="134">
        <f t="shared" si="113"/>
        <v>1</v>
      </c>
      <c r="I944" s="7" t="s">
        <v>154</v>
      </c>
      <c r="J944" s="7" t="s">
        <v>145</v>
      </c>
      <c r="K944" s="7"/>
      <c r="L944" s="7" t="s">
        <v>166</v>
      </c>
      <c r="M944" s="7" t="s">
        <v>4820</v>
      </c>
      <c r="N944" s="7" t="s">
        <v>368</v>
      </c>
      <c r="O944" s="7"/>
      <c r="P944" s="7" t="s">
        <v>6740</v>
      </c>
      <c r="Q944" s="129">
        <v>46199</v>
      </c>
      <c r="R944" s="130">
        <f t="shared" si="111"/>
        <v>46198</v>
      </c>
      <c r="S944" s="131">
        <f t="shared" si="110"/>
        <v>-1</v>
      </c>
      <c r="T944" s="7" t="s">
        <v>10635</v>
      </c>
      <c r="U944" s="7" t="s">
        <v>266</v>
      </c>
      <c r="V944" s="7" t="s">
        <v>965</v>
      </c>
      <c r="W944" s="7">
        <v>578.64</v>
      </c>
      <c r="X944" s="132">
        <f t="shared" si="108"/>
        <v>5</v>
      </c>
      <c r="Y944" s="133"/>
      <c r="Z944" s="133"/>
      <c r="AA944" s="133"/>
    </row>
    <row r="945" spans="1:27" hidden="1" x14ac:dyDescent="0.25">
      <c r="A945" s="127">
        <v>1061</v>
      </c>
      <c r="B945" s="128" t="str">
        <f t="shared" si="109"/>
        <v>NAMS</v>
      </c>
      <c r="C945" s="128" t="str">
        <f>+VLOOKUP(U945,Ходим!A:B,2,0)</f>
        <v>51705025890024</v>
      </c>
      <c r="D945" s="128" t="str">
        <f>IFERROR(VLOOKUP($B:$B,[20]свод!$A:$AB,3,0)," ")</f>
        <v>Наманган шаҳар</v>
      </c>
      <c r="E945" s="7" t="s">
        <v>2085</v>
      </c>
      <c r="F945" s="7" t="s">
        <v>8478</v>
      </c>
      <c r="G945" s="134">
        <f t="shared" si="112"/>
        <v>1</v>
      </c>
      <c r="H945" s="134" t="str">
        <f t="shared" si="113"/>
        <v/>
      </c>
      <c r="I945" s="7" t="s">
        <v>156</v>
      </c>
      <c r="J945" s="7" t="s">
        <v>25</v>
      </c>
      <c r="K945" s="7"/>
      <c r="L945" s="7"/>
      <c r="M945" s="7"/>
      <c r="N945" s="7" t="s">
        <v>170</v>
      </c>
      <c r="O945" s="7" t="s">
        <v>162</v>
      </c>
      <c r="P945" s="7" t="s">
        <v>6741</v>
      </c>
      <c r="Q945" s="129">
        <v>46199</v>
      </c>
      <c r="R945" s="130">
        <f t="shared" si="111"/>
        <v>46212</v>
      </c>
      <c r="S945" s="131">
        <f t="shared" si="110"/>
        <v>13</v>
      </c>
      <c r="T945" s="7" t="s">
        <v>173</v>
      </c>
      <c r="U945" s="7" t="s">
        <v>189</v>
      </c>
      <c r="V945" s="7"/>
      <c r="W945" s="7"/>
      <c r="X945" s="132">
        <f t="shared" si="108"/>
        <v>10</v>
      </c>
      <c r="Y945" s="133"/>
      <c r="Z945" s="133"/>
      <c r="AA945" s="133"/>
    </row>
    <row r="946" spans="1:27" hidden="1" x14ac:dyDescent="0.25">
      <c r="A946" s="127">
        <v>1062</v>
      </c>
      <c r="B946" s="128" t="str">
        <f t="shared" si="109"/>
        <v>KSST</v>
      </c>
      <c r="C946" s="128" t="str">
        <f>+VLOOKUP(U946,Ходим!A:B,2,0)</f>
        <v>31407932190092</v>
      </c>
      <c r="D946" s="128" t="str">
        <f>IFERROR(VLOOKUP($B:$B,[20]свод!$A:$AB,3,0)," ")</f>
        <v>Косонсой тумани</v>
      </c>
      <c r="E946" s="7" t="s">
        <v>2086</v>
      </c>
      <c r="F946" s="7" t="s">
        <v>8479</v>
      </c>
      <c r="G946" s="134" t="str">
        <f t="shared" si="112"/>
        <v/>
      </c>
      <c r="H946" s="134">
        <f t="shared" si="113"/>
        <v>1</v>
      </c>
      <c r="I946" s="7" t="s">
        <v>155</v>
      </c>
      <c r="J946" s="7" t="s">
        <v>25</v>
      </c>
      <c r="K946" s="7"/>
      <c r="L946" s="7" t="s">
        <v>166</v>
      </c>
      <c r="M946" s="7" t="s">
        <v>4821</v>
      </c>
      <c r="N946" s="7" t="s">
        <v>170</v>
      </c>
      <c r="O946" s="7" t="s">
        <v>161</v>
      </c>
      <c r="P946" s="7" t="s">
        <v>6741</v>
      </c>
      <c r="Q946" s="129">
        <v>46199</v>
      </c>
      <c r="R946" s="130">
        <f t="shared" si="111"/>
        <v>46216</v>
      </c>
      <c r="S946" s="131">
        <f t="shared" si="110"/>
        <v>17</v>
      </c>
      <c r="T946" s="7" t="s">
        <v>180</v>
      </c>
      <c r="U946" s="7" t="s">
        <v>188</v>
      </c>
      <c r="V946" s="7"/>
      <c r="W946" s="7">
        <v>567.71</v>
      </c>
      <c r="X946" s="132">
        <f t="shared" si="108"/>
        <v>12</v>
      </c>
      <c r="Y946" s="133"/>
      <c r="Z946" s="133"/>
      <c r="AA946" s="133"/>
    </row>
    <row r="947" spans="1:27" x14ac:dyDescent="0.25">
      <c r="A947" s="127">
        <v>1063</v>
      </c>
      <c r="B947" s="128" t="str">
        <f t="shared" si="109"/>
        <v>UCQT</v>
      </c>
      <c r="C947" s="128" t="str">
        <f>+VLOOKUP(U947,Ходим!A:B,2,0)</f>
        <v>42005872150022</v>
      </c>
      <c r="D947" s="128" t="str">
        <f>IFERROR(VLOOKUP($B:$B,[20]свод!$A:$AB,3,0)," ")</f>
        <v>Учқўрғон тумани</v>
      </c>
      <c r="E947" s="7" t="s">
        <v>2087</v>
      </c>
      <c r="F947" s="7" t="s">
        <v>8480</v>
      </c>
      <c r="G947" s="134">
        <f t="shared" si="112"/>
        <v>1</v>
      </c>
      <c r="H947" s="134" t="str">
        <f t="shared" si="113"/>
        <v/>
      </c>
      <c r="I947" s="7" t="s">
        <v>158</v>
      </c>
      <c r="J947" s="7" t="s">
        <v>36</v>
      </c>
      <c r="K947" s="7"/>
      <c r="L947" s="7" t="s">
        <v>167</v>
      </c>
      <c r="M947" s="7" t="s">
        <v>4822</v>
      </c>
      <c r="N947" s="7" t="s">
        <v>170</v>
      </c>
      <c r="O947" s="7" t="s">
        <v>162</v>
      </c>
      <c r="P947" s="7" t="s">
        <v>6742</v>
      </c>
      <c r="Q947" s="129">
        <v>46199</v>
      </c>
      <c r="R947" s="130">
        <f t="shared" si="111"/>
        <v>46199</v>
      </c>
      <c r="S947" s="131">
        <f t="shared" si="110"/>
        <v>0</v>
      </c>
      <c r="T947" s="7" t="s">
        <v>390</v>
      </c>
      <c r="U947" s="7" t="s">
        <v>176</v>
      </c>
      <c r="V947" s="7"/>
      <c r="W947" s="7">
        <v>243.18</v>
      </c>
      <c r="X947" s="132">
        <f t="shared" si="108"/>
        <v>10</v>
      </c>
      <c r="Y947" s="133"/>
      <c r="Z947" s="133"/>
      <c r="AA947" s="133"/>
    </row>
    <row r="948" spans="1:27" hidden="1" x14ac:dyDescent="0.25">
      <c r="A948" s="127">
        <v>1064</v>
      </c>
      <c r="B948" s="128" t="str">
        <f t="shared" si="109"/>
        <v>YGQT</v>
      </c>
      <c r="C948" s="128" t="e">
        <f>+VLOOKUP(U948,Ходим!A:B,2,0)</f>
        <v>#N/A</v>
      </c>
      <c r="D948" s="128" t="str">
        <f>IFERROR(VLOOKUP($B:$B,[20]свод!$A:$AB,3,0)," ")</f>
        <v>Янгиқўрғон тумани</v>
      </c>
      <c r="E948" s="7" t="s">
        <v>2088</v>
      </c>
      <c r="F948" s="7" t="s">
        <v>8481</v>
      </c>
      <c r="G948" s="134" t="str">
        <f t="shared" si="112"/>
        <v/>
      </c>
      <c r="H948" s="134">
        <f t="shared" si="113"/>
        <v>1</v>
      </c>
      <c r="I948" s="7" t="s">
        <v>155</v>
      </c>
      <c r="J948" s="7" t="s">
        <v>21</v>
      </c>
      <c r="K948" s="7"/>
      <c r="L948" s="7"/>
      <c r="M948" s="7"/>
      <c r="N948" s="7" t="s">
        <v>410</v>
      </c>
      <c r="O948" s="7" t="s">
        <v>161</v>
      </c>
      <c r="P948" s="7" t="s">
        <v>6741</v>
      </c>
      <c r="Q948" s="129">
        <v>46199</v>
      </c>
      <c r="R948" s="130">
        <f t="shared" si="111"/>
        <v>46212</v>
      </c>
      <c r="S948" s="131">
        <f t="shared" si="110"/>
        <v>13</v>
      </c>
      <c r="T948" s="7" t="s">
        <v>182</v>
      </c>
      <c r="U948" s="7"/>
      <c r="V948" s="7"/>
      <c r="W948" s="7"/>
      <c r="X948" s="132">
        <f t="shared" ref="X948:X1002" si="114">IF(N948="Kadastr muhandisi",3,
IF(N948="UZKAD",5,
IF(V948="FREE",5,
IF(I948="Registratsiya (tashqi - UZKAD da bor)",1,
IF(I948="Avtoyo'l va suv xo'jaligi obyektining kadastr pasportini shakllantirish va ro'yxatga olish",7,
IF(I948="Notarius uchun ma'lumotnoma (uz)",1,
IF(I948="Qurilishi tugallangan ko'chmas mulkni foydalanishga qabul qilish",10,
IF(OR(I948="Turar joy obyektning kadastr pasportini shakllantirish va davlat ro'yxatidan o'tkazish",I948="Turar kompozit"),
IF(L948="Turar yer maydoni",7,10),
IF(OR(I948="Noturar obyektning kadastr pasportini shakllantirish va davlat ro'yxatidan o'tkazish",I948="Noturar kompozit"),
IF(O948="Ko‘p yillik daraxtlar xizmati",15,
IF(OR(L948="Noturar yer maydoni",L948="Davlat tashkilotlaridan ijaraga olingan yer uchastkasi"),7,
IF(W948&lt;100,10,IF(W948&lt;=1000,12,IF(W948&lt;=5000,17,IF(W948&lt;=15000,22,IF(W948&lt;=50000,28,37))))))),
IF(I948="Umumiy foydalanishdagi ko'chmas mulk qismini yaratish",
IF(IF(TRIM(L948)="",IF(OR(O948="Turar joy xizmati",O948="Yakka tartibdagi turar joy"),"Turar","Noturar"),IF(OR(L948="Yakka tartibdagi turar joy",L948="Turar joy xizmati"),"Turar","Noturar"))="Turar",
10,IF(W948&lt;100,10,IF(W948&lt;=1000,12,IF(W948&lt;=5000,17,IF(W948&lt;=15000,22,IF(W948&lt;=50000,28,37)))))),
0))))))))))</f>
        <v>10</v>
      </c>
      <c r="Y948" s="133"/>
      <c r="Z948" s="133"/>
      <c r="AA948" s="133"/>
    </row>
    <row r="949" spans="1:27" hidden="1" x14ac:dyDescent="0.25">
      <c r="A949" s="127">
        <v>1065</v>
      </c>
      <c r="B949" s="128" t="str">
        <f t="shared" ref="B949:B1003" si="115">LEFT(E949,4)</f>
        <v>POPT</v>
      </c>
      <c r="C949" s="128" t="str">
        <f>+VLOOKUP(U949,Ходим!A:B,2,0)</f>
        <v>32307772120077</v>
      </c>
      <c r="D949" s="128" t="str">
        <f>IFERROR(VLOOKUP($B:$B,[20]свод!$A:$AB,3,0)," ")</f>
        <v>Поп тумани</v>
      </c>
      <c r="E949" s="7" t="s">
        <v>2089</v>
      </c>
      <c r="F949" s="7" t="s">
        <v>8482</v>
      </c>
      <c r="G949" s="134">
        <f t="shared" si="112"/>
        <v>1</v>
      </c>
      <c r="H949" s="134" t="str">
        <f t="shared" si="113"/>
        <v/>
      </c>
      <c r="I949" s="7" t="s">
        <v>158</v>
      </c>
      <c r="J949" s="7" t="s">
        <v>13</v>
      </c>
      <c r="K949" s="7"/>
      <c r="L949" s="7" t="s">
        <v>167</v>
      </c>
      <c r="M949" s="7" t="s">
        <v>4823</v>
      </c>
      <c r="N949" s="7" t="s">
        <v>170</v>
      </c>
      <c r="O949" s="7" t="s">
        <v>162</v>
      </c>
      <c r="P949" s="7" t="s">
        <v>6390</v>
      </c>
      <c r="Q949" s="129">
        <v>46199</v>
      </c>
      <c r="R949" s="130">
        <f t="shared" si="111"/>
        <v>46211</v>
      </c>
      <c r="S949" s="131">
        <f t="shared" ref="S949:S1003" si="116">R949-Q949</f>
        <v>12</v>
      </c>
      <c r="T949" s="7" t="s">
        <v>214</v>
      </c>
      <c r="U949" s="7" t="s">
        <v>253</v>
      </c>
      <c r="V949" s="7"/>
      <c r="W949" s="7">
        <v>196.33</v>
      </c>
      <c r="X949" s="132">
        <f t="shared" si="114"/>
        <v>10</v>
      </c>
      <c r="Y949" s="133"/>
      <c r="Z949" s="133"/>
      <c r="AA949" s="133"/>
    </row>
    <row r="950" spans="1:27" hidden="1" x14ac:dyDescent="0.25">
      <c r="A950" s="127">
        <v>1066</v>
      </c>
      <c r="B950" s="128" t="str">
        <f t="shared" si="115"/>
        <v>TORT</v>
      </c>
      <c r="C950" s="128" t="str">
        <f>+VLOOKUP(U950,Ходим!A:B,2,0)</f>
        <v>31704782130035</v>
      </c>
      <c r="D950" s="128" t="str">
        <f>IFERROR(VLOOKUP($B:$B,[20]свод!$A:$AB,3,0)," ")</f>
        <v>Тўрақўрғон тумани</v>
      </c>
      <c r="E950" s="7" t="s">
        <v>2090</v>
      </c>
      <c r="F950" s="7" t="s">
        <v>8483</v>
      </c>
      <c r="G950" s="134">
        <f t="shared" si="112"/>
        <v>1</v>
      </c>
      <c r="H950" s="134" t="str">
        <f t="shared" si="113"/>
        <v/>
      </c>
      <c r="I950" s="7" t="s">
        <v>154</v>
      </c>
      <c r="J950" s="7" t="s">
        <v>109</v>
      </c>
      <c r="K950" s="7"/>
      <c r="L950" s="7"/>
      <c r="M950" s="7"/>
      <c r="N950" s="7" t="s">
        <v>170</v>
      </c>
      <c r="O950" s="7" t="s">
        <v>162</v>
      </c>
      <c r="P950" s="7" t="s">
        <v>6743</v>
      </c>
      <c r="Q950" s="129">
        <v>46199</v>
      </c>
      <c r="R950" s="130">
        <f t="shared" si="111"/>
        <v>46202</v>
      </c>
      <c r="S950" s="131">
        <f t="shared" si="116"/>
        <v>3</v>
      </c>
      <c r="T950" s="7" t="s">
        <v>203</v>
      </c>
      <c r="U950" s="7" t="s">
        <v>344</v>
      </c>
      <c r="V950" s="7"/>
      <c r="W950" s="7"/>
      <c r="X950" s="132">
        <f t="shared" si="114"/>
        <v>10</v>
      </c>
      <c r="Y950" s="133"/>
      <c r="Z950" s="133"/>
      <c r="AA950" s="133"/>
    </row>
    <row r="951" spans="1:27" hidden="1" x14ac:dyDescent="0.25">
      <c r="A951" s="127">
        <v>1067</v>
      </c>
      <c r="B951" s="128" t="str">
        <f t="shared" si="115"/>
        <v>MINT</v>
      </c>
      <c r="C951" s="128" t="str">
        <f>+VLOOKUP(U951,Ходим!A:B,2,0)</f>
        <v>30906922130016</v>
      </c>
      <c r="D951" s="128" t="str">
        <f>IFERROR(VLOOKUP($B:$B,[20]свод!$A:$AB,3,0)," ")</f>
        <v>Мингбулоқ тумани</v>
      </c>
      <c r="E951" s="7" t="s">
        <v>2091</v>
      </c>
      <c r="F951" s="7" t="s">
        <v>8484</v>
      </c>
      <c r="G951" s="134">
        <f t="shared" si="112"/>
        <v>1</v>
      </c>
      <c r="H951" s="134" t="str">
        <f t="shared" si="113"/>
        <v/>
      </c>
      <c r="I951" s="7" t="s">
        <v>158</v>
      </c>
      <c r="J951" s="7" t="s">
        <v>36</v>
      </c>
      <c r="K951" s="7"/>
      <c r="L951" s="7" t="s">
        <v>167</v>
      </c>
      <c r="M951" s="7" t="s">
        <v>4824</v>
      </c>
      <c r="N951" s="7" t="s">
        <v>410</v>
      </c>
      <c r="O951" s="7" t="s">
        <v>162</v>
      </c>
      <c r="P951" s="7" t="s">
        <v>6744</v>
      </c>
      <c r="Q951" s="129">
        <v>46199</v>
      </c>
      <c r="R951" s="130">
        <f t="shared" si="111"/>
        <v>46206</v>
      </c>
      <c r="S951" s="131">
        <f t="shared" si="116"/>
        <v>7</v>
      </c>
      <c r="T951" s="7" t="s">
        <v>220</v>
      </c>
      <c r="U951" s="7" t="s">
        <v>178</v>
      </c>
      <c r="V951" s="7"/>
      <c r="W951" s="7">
        <v>405.97</v>
      </c>
      <c r="X951" s="132">
        <f t="shared" si="114"/>
        <v>10</v>
      </c>
      <c r="Y951" s="133"/>
      <c r="Z951" s="133"/>
      <c r="AA951" s="133"/>
    </row>
    <row r="952" spans="1:27" hidden="1" x14ac:dyDescent="0.25">
      <c r="A952" s="127">
        <v>1068</v>
      </c>
      <c r="B952" s="128" t="str">
        <f t="shared" si="115"/>
        <v>NAMS</v>
      </c>
      <c r="C952" s="128" t="str">
        <f>+VLOOKUP(U952,Ходим!A:B,2,0)</f>
        <v>52601025870013</v>
      </c>
      <c r="D952" s="128" t="str">
        <f>IFERROR(VLOOKUP($B:$B,[20]свод!$A:$AB,3,0)," ")</f>
        <v>Наманган шаҳар</v>
      </c>
      <c r="E952" s="7" t="s">
        <v>2092</v>
      </c>
      <c r="F952" s="7" t="s">
        <v>8485</v>
      </c>
      <c r="G952" s="134">
        <f t="shared" si="112"/>
        <v>1</v>
      </c>
      <c r="H952" s="134" t="str">
        <f t="shared" si="113"/>
        <v/>
      </c>
      <c r="I952" s="7" t="s">
        <v>158</v>
      </c>
      <c r="J952" s="7" t="s">
        <v>13</v>
      </c>
      <c r="K952" s="7"/>
      <c r="L952" s="7" t="s">
        <v>167</v>
      </c>
      <c r="M952" s="7" t="s">
        <v>4825</v>
      </c>
      <c r="N952" s="7" t="s">
        <v>170</v>
      </c>
      <c r="O952" s="7" t="s">
        <v>162</v>
      </c>
      <c r="P952" s="7" t="s">
        <v>6745</v>
      </c>
      <c r="Q952" s="129">
        <v>46199</v>
      </c>
      <c r="R952" s="130">
        <f t="shared" si="111"/>
        <v>46206</v>
      </c>
      <c r="S952" s="131">
        <f t="shared" si="116"/>
        <v>7</v>
      </c>
      <c r="T952" s="7" t="s">
        <v>173</v>
      </c>
      <c r="U952" s="7" t="s">
        <v>405</v>
      </c>
      <c r="V952" s="7"/>
      <c r="W952" s="7">
        <v>278.32</v>
      </c>
      <c r="X952" s="132">
        <f t="shared" si="114"/>
        <v>10</v>
      </c>
      <c r="Y952" s="133"/>
      <c r="Z952" s="133"/>
      <c r="AA952" s="133"/>
    </row>
    <row r="953" spans="1:27" hidden="1" x14ac:dyDescent="0.25">
      <c r="A953" s="127">
        <v>1069</v>
      </c>
      <c r="B953" s="128" t="str">
        <f t="shared" si="115"/>
        <v>NAMS</v>
      </c>
      <c r="C953" s="128" t="str">
        <f>+VLOOKUP(U953,Ходим!A:B,2,0)</f>
        <v>52107015960107</v>
      </c>
      <c r="D953" s="128" t="str">
        <f>IFERROR(VLOOKUP($B:$B,[20]свод!$A:$AB,3,0)," ")</f>
        <v>Наманган шаҳар</v>
      </c>
      <c r="E953" s="7" t="s">
        <v>2093</v>
      </c>
      <c r="F953" s="7" t="s">
        <v>8486</v>
      </c>
      <c r="G953" s="134">
        <f t="shared" si="112"/>
        <v>1</v>
      </c>
      <c r="H953" s="134" t="str">
        <f t="shared" si="113"/>
        <v/>
      </c>
      <c r="I953" s="7" t="s">
        <v>156</v>
      </c>
      <c r="J953" s="7" t="s">
        <v>25</v>
      </c>
      <c r="K953" s="7"/>
      <c r="L953" s="7"/>
      <c r="M953" s="7"/>
      <c r="N953" s="7" t="s">
        <v>170</v>
      </c>
      <c r="O953" s="7" t="s">
        <v>162</v>
      </c>
      <c r="P953" s="7" t="s">
        <v>6746</v>
      </c>
      <c r="Q953" s="129">
        <v>46199</v>
      </c>
      <c r="R953" s="130">
        <f t="shared" si="111"/>
        <v>46212</v>
      </c>
      <c r="S953" s="131">
        <f t="shared" si="116"/>
        <v>13</v>
      </c>
      <c r="T953" s="7" t="s">
        <v>173</v>
      </c>
      <c r="U953" s="7" t="s">
        <v>348</v>
      </c>
      <c r="V953" s="7"/>
      <c r="W953" s="7"/>
      <c r="X953" s="132">
        <f t="shared" si="114"/>
        <v>10</v>
      </c>
      <c r="Y953" s="133"/>
      <c r="Z953" s="133"/>
      <c r="AA953" s="133"/>
    </row>
    <row r="954" spans="1:27" hidden="1" x14ac:dyDescent="0.25">
      <c r="A954" s="127">
        <v>1070</v>
      </c>
      <c r="B954" s="128" t="str">
        <f t="shared" si="115"/>
        <v>TORT</v>
      </c>
      <c r="C954" s="128" t="str">
        <f>+VLOOKUP(U954,Ходим!A:B,2,0)</f>
        <v>50908015920034</v>
      </c>
      <c r="D954" s="128" t="str">
        <f>IFERROR(VLOOKUP($B:$B,[20]свод!$A:$AB,3,0)," ")</f>
        <v>Тўрақўрғон тумани</v>
      </c>
      <c r="E954" s="7" t="s">
        <v>2094</v>
      </c>
      <c r="F954" s="7" t="s">
        <v>8487</v>
      </c>
      <c r="G954" s="134" t="str">
        <f t="shared" si="112"/>
        <v/>
      </c>
      <c r="H954" s="134">
        <f t="shared" si="113"/>
        <v>1</v>
      </c>
      <c r="I954" s="7" t="s">
        <v>155</v>
      </c>
      <c r="J954" s="7" t="s">
        <v>25</v>
      </c>
      <c r="K954" s="7"/>
      <c r="L954" s="7" t="s">
        <v>166</v>
      </c>
      <c r="M954" s="7" t="s">
        <v>4826</v>
      </c>
      <c r="N954" s="7" t="s">
        <v>170</v>
      </c>
      <c r="O954" s="7" t="s">
        <v>161</v>
      </c>
      <c r="P954" s="7" t="s">
        <v>6746</v>
      </c>
      <c r="Q954" s="129">
        <v>46199</v>
      </c>
      <c r="R954" s="130">
        <f t="shared" si="111"/>
        <v>46212</v>
      </c>
      <c r="S954" s="131">
        <f t="shared" si="116"/>
        <v>13</v>
      </c>
      <c r="T954" s="7" t="s">
        <v>203</v>
      </c>
      <c r="U954" s="7" t="s">
        <v>205</v>
      </c>
      <c r="V954" s="7"/>
      <c r="W954" s="7">
        <v>0</v>
      </c>
      <c r="X954" s="132">
        <f t="shared" si="114"/>
        <v>10</v>
      </c>
      <c r="Y954" s="133"/>
      <c r="Z954" s="133"/>
      <c r="AA954" s="133"/>
    </row>
    <row r="955" spans="1:27" hidden="1" x14ac:dyDescent="0.25">
      <c r="A955" s="127">
        <v>1071</v>
      </c>
      <c r="B955" s="128" t="str">
        <f t="shared" si="115"/>
        <v>UYCT</v>
      </c>
      <c r="C955" s="128" t="e">
        <f>+VLOOKUP(U955,Ходим!A:B,2,0)</f>
        <v>#N/A</v>
      </c>
      <c r="D955" s="128" t="str">
        <f>IFERROR(VLOOKUP($B:$B,[20]свод!$A:$AB,3,0)," ")</f>
        <v>Уйчи тумани</v>
      </c>
      <c r="E955" s="7" t="s">
        <v>2095</v>
      </c>
      <c r="F955" s="7" t="s">
        <v>8488</v>
      </c>
      <c r="G955" s="134" t="str">
        <f t="shared" si="112"/>
        <v/>
      </c>
      <c r="H955" s="134">
        <f t="shared" si="113"/>
        <v>1</v>
      </c>
      <c r="I955" s="7" t="s">
        <v>155</v>
      </c>
      <c r="J955" s="7" t="s">
        <v>11</v>
      </c>
      <c r="K955" s="7"/>
      <c r="L955" s="7"/>
      <c r="M955" s="7"/>
      <c r="N955" s="7" t="s">
        <v>170</v>
      </c>
      <c r="O955" s="7" t="s">
        <v>161</v>
      </c>
      <c r="P955" s="7" t="s">
        <v>6746</v>
      </c>
      <c r="Q955" s="129">
        <v>46199</v>
      </c>
      <c r="R955" s="130">
        <f t="shared" si="111"/>
        <v>46212</v>
      </c>
      <c r="S955" s="131">
        <f t="shared" si="116"/>
        <v>13</v>
      </c>
      <c r="T955" s="7"/>
      <c r="U955" s="7"/>
      <c r="V955" s="7"/>
      <c r="W955" s="7"/>
      <c r="X955" s="132">
        <f t="shared" si="114"/>
        <v>10</v>
      </c>
      <c r="Y955" s="133"/>
      <c r="Z955" s="133"/>
      <c r="AA955" s="133"/>
    </row>
    <row r="956" spans="1:27" hidden="1" x14ac:dyDescent="0.25">
      <c r="A956" s="127">
        <v>1072</v>
      </c>
      <c r="B956" s="128" t="str">
        <f t="shared" si="115"/>
        <v>MINT</v>
      </c>
      <c r="C956" s="128" t="e">
        <f>+VLOOKUP(U956,Ходим!A:B,2,0)</f>
        <v>#N/A</v>
      </c>
      <c r="D956" s="128" t="str">
        <f>IFERROR(VLOOKUP($B:$B,[20]свод!$A:$AB,3,0)," ")</f>
        <v>Мингбулоқ тумани</v>
      </c>
      <c r="E956" s="7" t="s">
        <v>2096</v>
      </c>
      <c r="F956" s="7" t="s">
        <v>8489</v>
      </c>
      <c r="G956" s="134">
        <f t="shared" si="112"/>
        <v>1</v>
      </c>
      <c r="H956" s="134" t="str">
        <f t="shared" si="113"/>
        <v/>
      </c>
      <c r="I956" s="7" t="s">
        <v>156</v>
      </c>
      <c r="J956" s="7" t="s">
        <v>11</v>
      </c>
      <c r="K956" s="7"/>
      <c r="L956" s="7"/>
      <c r="M956" s="7"/>
      <c r="N956" s="7" t="s">
        <v>170</v>
      </c>
      <c r="O956" s="7" t="s">
        <v>162</v>
      </c>
      <c r="P956" s="7" t="s">
        <v>6746</v>
      </c>
      <c r="Q956" s="129">
        <v>46199</v>
      </c>
      <c r="R956" s="130">
        <f t="shared" si="111"/>
        <v>46212</v>
      </c>
      <c r="S956" s="131">
        <f t="shared" si="116"/>
        <v>13</v>
      </c>
      <c r="T956" s="7"/>
      <c r="U956" s="7"/>
      <c r="V956" s="7"/>
      <c r="W956" s="7"/>
      <c r="X956" s="132">
        <f t="shared" si="114"/>
        <v>10</v>
      </c>
      <c r="Y956" s="133"/>
      <c r="Z956" s="133"/>
      <c r="AA956" s="133"/>
    </row>
    <row r="957" spans="1:27" hidden="1" x14ac:dyDescent="0.25">
      <c r="A957" s="127">
        <v>1073</v>
      </c>
      <c r="B957" s="128" t="str">
        <f t="shared" si="115"/>
        <v>TORT</v>
      </c>
      <c r="C957" s="128" t="str">
        <f>+VLOOKUP(U957,Ходим!A:B,2,0)</f>
        <v>40302922130046</v>
      </c>
      <c r="D957" s="128" t="str">
        <f>IFERROR(VLOOKUP($B:$B,[20]свод!$A:$AB,3,0)," ")</f>
        <v>Тўрақўрғон тумани</v>
      </c>
      <c r="E957" s="7" t="s">
        <v>2097</v>
      </c>
      <c r="F957" s="7" t="s">
        <v>8490</v>
      </c>
      <c r="G957" s="134">
        <f t="shared" si="112"/>
        <v>1</v>
      </c>
      <c r="H957" s="134" t="str">
        <f t="shared" si="113"/>
        <v/>
      </c>
      <c r="I957" s="7" t="s">
        <v>156</v>
      </c>
      <c r="J957" s="7" t="s">
        <v>25</v>
      </c>
      <c r="K957" s="7"/>
      <c r="L957" s="7"/>
      <c r="M957" s="7"/>
      <c r="N957" s="7" t="s">
        <v>410</v>
      </c>
      <c r="O957" s="7" t="s">
        <v>162</v>
      </c>
      <c r="P957" s="7" t="s">
        <v>6746</v>
      </c>
      <c r="Q957" s="129">
        <v>46199</v>
      </c>
      <c r="R957" s="130">
        <f t="shared" si="111"/>
        <v>46212</v>
      </c>
      <c r="S957" s="131">
        <f t="shared" si="116"/>
        <v>13</v>
      </c>
      <c r="T957" s="7" t="s">
        <v>203</v>
      </c>
      <c r="U957" s="7" t="s">
        <v>258</v>
      </c>
      <c r="V957" s="7"/>
      <c r="W957" s="7"/>
      <c r="X957" s="132">
        <f t="shared" si="114"/>
        <v>10</v>
      </c>
      <c r="Y957" s="133"/>
      <c r="Z957" s="133"/>
      <c r="AA957" s="133"/>
    </row>
    <row r="958" spans="1:27" x14ac:dyDescent="0.25">
      <c r="A958" s="127">
        <v>1074</v>
      </c>
      <c r="B958" s="128" t="str">
        <f t="shared" si="115"/>
        <v>NAMS</v>
      </c>
      <c r="C958" s="128" t="str">
        <f>+VLOOKUP(U958,Ходим!A:B,2,0)</f>
        <v>32211885960016</v>
      </c>
      <c r="D958" s="128" t="str">
        <f>IFERROR(VLOOKUP($B:$B,[20]свод!$A:$AB,3,0)," ")</f>
        <v>Наманган шаҳар</v>
      </c>
      <c r="E958" s="7" t="s">
        <v>2098</v>
      </c>
      <c r="F958" s="7" t="s">
        <v>8491</v>
      </c>
      <c r="G958" s="134" t="str">
        <f t="shared" si="112"/>
        <v/>
      </c>
      <c r="H958" s="134">
        <f t="shared" si="113"/>
        <v>1</v>
      </c>
      <c r="I958" s="7" t="s">
        <v>154</v>
      </c>
      <c r="J958" s="7" t="s">
        <v>1</v>
      </c>
      <c r="K958" s="7"/>
      <c r="L958" s="7" t="s">
        <v>166</v>
      </c>
      <c r="M958" s="7" t="s">
        <v>4827</v>
      </c>
      <c r="N958" s="7" t="s">
        <v>170</v>
      </c>
      <c r="O958" s="7" t="s">
        <v>161</v>
      </c>
      <c r="P958" s="7" t="s">
        <v>6664</v>
      </c>
      <c r="Q958" s="129">
        <v>46199</v>
      </c>
      <c r="R958" s="130">
        <f t="shared" si="111"/>
        <v>46199</v>
      </c>
      <c r="S958" s="131">
        <f t="shared" si="116"/>
        <v>0</v>
      </c>
      <c r="T958" s="7" t="s">
        <v>227</v>
      </c>
      <c r="U958" s="7" t="s">
        <v>279</v>
      </c>
      <c r="V958" s="7"/>
      <c r="W958" s="7">
        <v>12.15</v>
      </c>
      <c r="X958" s="132">
        <f t="shared" si="114"/>
        <v>10</v>
      </c>
      <c r="Y958" s="133"/>
      <c r="Z958" s="133"/>
      <c r="AA958" s="133"/>
    </row>
    <row r="959" spans="1:27" hidden="1" x14ac:dyDescent="0.25">
      <c r="A959" s="127">
        <v>1075</v>
      </c>
      <c r="B959" s="128" t="str">
        <f t="shared" si="115"/>
        <v>TORT</v>
      </c>
      <c r="C959" s="128" t="str">
        <f>+VLOOKUP(U959,Ходим!A:B,2,0)</f>
        <v>51305035920029</v>
      </c>
      <c r="D959" s="128" t="str">
        <f>IFERROR(VLOOKUP($B:$B,[20]свод!$A:$AB,3,0)," ")</f>
        <v>Тўрақўрғон тумани</v>
      </c>
      <c r="E959" s="7" t="s">
        <v>2099</v>
      </c>
      <c r="F959" s="7" t="s">
        <v>8492</v>
      </c>
      <c r="G959" s="134">
        <f t="shared" si="112"/>
        <v>1</v>
      </c>
      <c r="H959" s="134" t="str">
        <f t="shared" si="113"/>
        <v/>
      </c>
      <c r="I959" s="7" t="s">
        <v>158</v>
      </c>
      <c r="J959" s="7" t="s">
        <v>1</v>
      </c>
      <c r="K959" s="7"/>
      <c r="L959" s="7" t="s">
        <v>167</v>
      </c>
      <c r="M959" s="7" t="s">
        <v>4828</v>
      </c>
      <c r="N959" s="7" t="s">
        <v>170</v>
      </c>
      <c r="O959" s="7" t="s">
        <v>162</v>
      </c>
      <c r="P959" s="7" t="s">
        <v>6747</v>
      </c>
      <c r="Q959" s="129">
        <v>46199</v>
      </c>
      <c r="R959" s="130">
        <f t="shared" si="111"/>
        <v>46202</v>
      </c>
      <c r="S959" s="131">
        <f t="shared" si="116"/>
        <v>3</v>
      </c>
      <c r="T959" s="7" t="s">
        <v>203</v>
      </c>
      <c r="U959" s="7" t="s">
        <v>316</v>
      </c>
      <c r="V959" s="7"/>
      <c r="W959" s="7">
        <v>41.6</v>
      </c>
      <c r="X959" s="132">
        <f t="shared" si="114"/>
        <v>10</v>
      </c>
      <c r="Y959" s="133"/>
      <c r="Z959" s="133"/>
      <c r="AA959" s="133"/>
    </row>
    <row r="960" spans="1:27" hidden="1" x14ac:dyDescent="0.25">
      <c r="A960" s="127">
        <v>1076</v>
      </c>
      <c r="B960" s="128" t="str">
        <f t="shared" si="115"/>
        <v>CHUT</v>
      </c>
      <c r="C960" s="128" t="str">
        <f>+VLOOKUP(U960,Ходим!A:B,2,0)</f>
        <v>32006862180015</v>
      </c>
      <c r="D960" s="128" t="str">
        <f>IFERROR(VLOOKUP($B:$B,[20]свод!$A:$AB,3,0)," ")</f>
        <v>Чуст тумани</v>
      </c>
      <c r="E960" s="7" t="s">
        <v>2100</v>
      </c>
      <c r="F960" s="7" t="s">
        <v>8493</v>
      </c>
      <c r="G960" s="134">
        <f t="shared" si="112"/>
        <v>1</v>
      </c>
      <c r="H960" s="134" t="str">
        <f t="shared" si="113"/>
        <v/>
      </c>
      <c r="I960" s="7" t="s">
        <v>158</v>
      </c>
      <c r="J960" s="7" t="s">
        <v>172</v>
      </c>
      <c r="K960" s="7"/>
      <c r="L960" s="7" t="s">
        <v>167</v>
      </c>
      <c r="M960" s="7" t="s">
        <v>4829</v>
      </c>
      <c r="N960" s="7" t="s">
        <v>170</v>
      </c>
      <c r="O960" s="7" t="s">
        <v>162</v>
      </c>
      <c r="P960" s="7" t="s">
        <v>6748</v>
      </c>
      <c r="Q960" s="129">
        <v>46199</v>
      </c>
      <c r="R960" s="130">
        <f t="shared" si="111"/>
        <v>46206</v>
      </c>
      <c r="S960" s="131">
        <f t="shared" si="116"/>
        <v>7</v>
      </c>
      <c r="T960" s="7" t="s">
        <v>178</v>
      </c>
      <c r="U960" s="7" t="s">
        <v>347</v>
      </c>
      <c r="V960" s="7"/>
      <c r="W960" s="7">
        <v>291.38</v>
      </c>
      <c r="X960" s="132">
        <f t="shared" si="114"/>
        <v>10</v>
      </c>
      <c r="Y960" s="133"/>
      <c r="Z960" s="133"/>
      <c r="AA960" s="133"/>
    </row>
    <row r="961" spans="1:27" x14ac:dyDescent="0.25">
      <c r="A961" s="127">
        <v>1077</v>
      </c>
      <c r="B961" s="128" t="str">
        <f t="shared" si="115"/>
        <v>KSST</v>
      </c>
      <c r="C961" s="128" t="str">
        <f>+VLOOKUP(U961,Ходим!A:B,2,0)</f>
        <v>50709025980034</v>
      </c>
      <c r="D961" s="128" t="str">
        <f>IFERROR(VLOOKUP($B:$B,[20]свод!$A:$AB,3,0)," ")</f>
        <v>Косонсой тумани</v>
      </c>
      <c r="E961" s="7" t="s">
        <v>2101</v>
      </c>
      <c r="F961" s="7" t="s">
        <v>8494</v>
      </c>
      <c r="G961" s="134">
        <f t="shared" si="112"/>
        <v>1</v>
      </c>
      <c r="H961" s="134" t="str">
        <f t="shared" si="113"/>
        <v/>
      </c>
      <c r="I961" s="7" t="s">
        <v>158</v>
      </c>
      <c r="J961" s="7" t="s">
        <v>15</v>
      </c>
      <c r="K961" s="7"/>
      <c r="L961" s="7" t="s">
        <v>167</v>
      </c>
      <c r="M961" s="7" t="s">
        <v>383</v>
      </c>
      <c r="N961" s="7" t="s">
        <v>170</v>
      </c>
      <c r="O961" s="7" t="s">
        <v>162</v>
      </c>
      <c r="P961" s="7" t="s">
        <v>6749</v>
      </c>
      <c r="Q961" s="129">
        <v>46199</v>
      </c>
      <c r="R961" s="130">
        <f t="shared" si="111"/>
        <v>46199</v>
      </c>
      <c r="S961" s="131">
        <f t="shared" si="116"/>
        <v>0</v>
      </c>
      <c r="T961" s="7" t="s">
        <v>180</v>
      </c>
      <c r="U961" s="7" t="s">
        <v>286</v>
      </c>
      <c r="V961" s="7"/>
      <c r="W961" s="7">
        <v>0</v>
      </c>
      <c r="X961" s="132">
        <f t="shared" si="114"/>
        <v>10</v>
      </c>
      <c r="Y961" s="133"/>
      <c r="Z961" s="133"/>
      <c r="AA961" s="133"/>
    </row>
    <row r="962" spans="1:27" hidden="1" x14ac:dyDescent="0.25">
      <c r="A962" s="127">
        <v>1078</v>
      </c>
      <c r="B962" s="128" t="str">
        <f t="shared" si="115"/>
        <v>TORT</v>
      </c>
      <c r="C962" s="128" t="str">
        <f>+VLOOKUP(U962,Ходим!A:B,2,0)</f>
        <v>40302922130046</v>
      </c>
      <c r="D962" s="128" t="str">
        <f>IFERROR(VLOOKUP($B:$B,[20]свод!$A:$AB,3,0)," ")</f>
        <v>Тўрақўрғон тумани</v>
      </c>
      <c r="E962" s="7" t="s">
        <v>2102</v>
      </c>
      <c r="F962" s="7" t="s">
        <v>8495</v>
      </c>
      <c r="G962" s="134">
        <f t="shared" si="112"/>
        <v>1</v>
      </c>
      <c r="H962" s="134" t="str">
        <f t="shared" si="113"/>
        <v/>
      </c>
      <c r="I962" s="7" t="s">
        <v>158</v>
      </c>
      <c r="J962" s="7" t="s">
        <v>36</v>
      </c>
      <c r="K962" s="7"/>
      <c r="L962" s="7" t="s">
        <v>167</v>
      </c>
      <c r="M962" s="7" t="s">
        <v>4830</v>
      </c>
      <c r="N962" s="7" t="s">
        <v>170</v>
      </c>
      <c r="O962" s="7" t="s">
        <v>162</v>
      </c>
      <c r="P962" s="7" t="s">
        <v>6750</v>
      </c>
      <c r="Q962" s="129">
        <v>46199</v>
      </c>
      <c r="R962" s="130">
        <f t="shared" si="111"/>
        <v>46206</v>
      </c>
      <c r="S962" s="131">
        <f t="shared" si="116"/>
        <v>7</v>
      </c>
      <c r="T962" s="7" t="s">
        <v>203</v>
      </c>
      <c r="U962" s="7" t="s">
        <v>258</v>
      </c>
      <c r="V962" s="7"/>
      <c r="W962" s="7">
        <v>316.3</v>
      </c>
      <c r="X962" s="132">
        <f t="shared" si="114"/>
        <v>10</v>
      </c>
      <c r="Y962" s="133"/>
      <c r="Z962" s="133"/>
      <c r="AA962" s="133"/>
    </row>
    <row r="963" spans="1:27" hidden="1" x14ac:dyDescent="0.25">
      <c r="A963" s="127">
        <v>1079</v>
      </c>
      <c r="B963" s="128" t="str">
        <f t="shared" si="115"/>
        <v>TORT</v>
      </c>
      <c r="C963" s="128" t="str">
        <f>+VLOOKUP(U963,Ходим!A:B,2,0)</f>
        <v>51305035920029</v>
      </c>
      <c r="D963" s="128" t="str">
        <f>IFERROR(VLOOKUP($B:$B,[20]свод!$A:$AB,3,0)," ")</f>
        <v>Тўрақўрғон тумани</v>
      </c>
      <c r="E963" s="7" t="s">
        <v>2103</v>
      </c>
      <c r="F963" s="7" t="s">
        <v>8496</v>
      </c>
      <c r="G963" s="134">
        <f t="shared" si="112"/>
        <v>1</v>
      </c>
      <c r="H963" s="134" t="str">
        <f t="shared" si="113"/>
        <v/>
      </c>
      <c r="I963" s="7" t="s">
        <v>158</v>
      </c>
      <c r="J963" s="7" t="s">
        <v>1</v>
      </c>
      <c r="K963" s="7"/>
      <c r="L963" s="7" t="s">
        <v>167</v>
      </c>
      <c r="M963" s="7" t="s">
        <v>4831</v>
      </c>
      <c r="N963" s="7" t="s">
        <v>170</v>
      </c>
      <c r="O963" s="7" t="s">
        <v>163</v>
      </c>
      <c r="P963" s="7" t="s">
        <v>6320</v>
      </c>
      <c r="Q963" s="129">
        <v>46199</v>
      </c>
      <c r="R963" s="130">
        <f t="shared" si="111"/>
        <v>46204</v>
      </c>
      <c r="S963" s="131">
        <f t="shared" si="116"/>
        <v>5</v>
      </c>
      <c r="T963" s="7" t="s">
        <v>203</v>
      </c>
      <c r="U963" s="7" t="s">
        <v>316</v>
      </c>
      <c r="V963" s="7"/>
      <c r="W963" s="7">
        <v>341</v>
      </c>
      <c r="X963" s="132">
        <f t="shared" si="114"/>
        <v>10</v>
      </c>
      <c r="Y963" s="133"/>
      <c r="Z963" s="133"/>
      <c r="AA963" s="133"/>
    </row>
    <row r="964" spans="1:27" hidden="1" x14ac:dyDescent="0.25">
      <c r="A964" s="127">
        <v>1080</v>
      </c>
      <c r="B964" s="128" t="str">
        <f t="shared" si="115"/>
        <v>NAMS</v>
      </c>
      <c r="C964" s="128" t="str">
        <f>+VLOOKUP(U964,Ходим!A:B,2,0)</f>
        <v>51110025960044</v>
      </c>
      <c r="D964" s="128" t="str">
        <f>IFERROR(VLOOKUP($B:$B,[20]свод!$A:$AB,3,0)," ")</f>
        <v>Наманган шаҳар</v>
      </c>
      <c r="E964" s="7" t="s">
        <v>2104</v>
      </c>
      <c r="F964" s="7" t="s">
        <v>8497</v>
      </c>
      <c r="G964" s="134">
        <f t="shared" si="112"/>
        <v>1</v>
      </c>
      <c r="H964" s="134" t="str">
        <f t="shared" si="113"/>
        <v/>
      </c>
      <c r="I964" s="7" t="s">
        <v>156</v>
      </c>
      <c r="J964" s="7" t="s">
        <v>25</v>
      </c>
      <c r="K964" s="7"/>
      <c r="L964" s="7"/>
      <c r="M964" s="7"/>
      <c r="N964" s="7" t="s">
        <v>170</v>
      </c>
      <c r="O964" s="7" t="s">
        <v>162</v>
      </c>
      <c r="P964" s="7" t="s">
        <v>6751</v>
      </c>
      <c r="Q964" s="129">
        <v>46199</v>
      </c>
      <c r="R964" s="130">
        <f t="shared" si="111"/>
        <v>46212</v>
      </c>
      <c r="S964" s="131">
        <f t="shared" si="116"/>
        <v>13</v>
      </c>
      <c r="T964" s="7" t="s">
        <v>173</v>
      </c>
      <c r="U964" s="7" t="s">
        <v>294</v>
      </c>
      <c r="V964" s="7"/>
      <c r="W964" s="7"/>
      <c r="X964" s="132">
        <f t="shared" si="114"/>
        <v>10</v>
      </c>
      <c r="Y964" s="133"/>
      <c r="Z964" s="133"/>
      <c r="AA964" s="133"/>
    </row>
    <row r="965" spans="1:27" hidden="1" x14ac:dyDescent="0.25">
      <c r="A965" s="127">
        <v>1081</v>
      </c>
      <c r="B965" s="128" t="str">
        <f t="shared" si="115"/>
        <v>NAMS</v>
      </c>
      <c r="C965" s="128" t="str">
        <f>+VLOOKUP(U965,Ходим!A:B,2,0)</f>
        <v>52601025870013</v>
      </c>
      <c r="D965" s="128" t="str">
        <f>IFERROR(VLOOKUP($B:$B,[20]свод!$A:$AB,3,0)," ")</f>
        <v>Наманган шаҳар</v>
      </c>
      <c r="E965" s="7" t="s">
        <v>2105</v>
      </c>
      <c r="F965" s="7" t="s">
        <v>8498</v>
      </c>
      <c r="G965" s="134">
        <f t="shared" si="112"/>
        <v>1</v>
      </c>
      <c r="H965" s="134" t="str">
        <f t="shared" si="113"/>
        <v/>
      </c>
      <c r="I965" s="7" t="s">
        <v>156</v>
      </c>
      <c r="J965" s="7" t="s">
        <v>25</v>
      </c>
      <c r="K965" s="7"/>
      <c r="L965" s="7"/>
      <c r="M965" s="7"/>
      <c r="N965" s="7" t="s">
        <v>170</v>
      </c>
      <c r="O965" s="7" t="s">
        <v>162</v>
      </c>
      <c r="P965" s="7" t="s">
        <v>6752</v>
      </c>
      <c r="Q965" s="129">
        <v>46199</v>
      </c>
      <c r="R965" s="130">
        <f t="shared" si="111"/>
        <v>46212</v>
      </c>
      <c r="S965" s="131">
        <f t="shared" si="116"/>
        <v>13</v>
      </c>
      <c r="T965" s="7" t="s">
        <v>173</v>
      </c>
      <c r="U965" s="7" t="s">
        <v>405</v>
      </c>
      <c r="V965" s="7"/>
      <c r="W965" s="7"/>
      <c r="X965" s="132">
        <f t="shared" si="114"/>
        <v>10</v>
      </c>
      <c r="Y965" s="133"/>
      <c r="Z965" s="133"/>
      <c r="AA965" s="133"/>
    </row>
    <row r="966" spans="1:27" hidden="1" x14ac:dyDescent="0.25">
      <c r="A966" s="127">
        <v>1082</v>
      </c>
      <c r="B966" s="128" t="str">
        <f t="shared" si="115"/>
        <v>NAMS</v>
      </c>
      <c r="C966" s="128" t="str">
        <f>+VLOOKUP(U966,Ходим!A:B,2,0)</f>
        <v>31601642170089</v>
      </c>
      <c r="D966" s="128" t="str">
        <f>IFERROR(VLOOKUP($B:$B,[20]свод!$A:$AB,3,0)," ")</f>
        <v>Наманган шаҳар</v>
      </c>
      <c r="E966" s="7" t="s">
        <v>2106</v>
      </c>
      <c r="F966" s="7" t="s">
        <v>8499</v>
      </c>
      <c r="G966" s="134">
        <f t="shared" si="112"/>
        <v>1</v>
      </c>
      <c r="H966" s="134" t="str">
        <f t="shared" si="113"/>
        <v/>
      </c>
      <c r="I966" s="7" t="s">
        <v>156</v>
      </c>
      <c r="J966" s="7" t="s">
        <v>25</v>
      </c>
      <c r="K966" s="7"/>
      <c r="L966" s="7"/>
      <c r="M966" s="7"/>
      <c r="N966" s="7" t="s">
        <v>170</v>
      </c>
      <c r="O966" s="7" t="s">
        <v>162</v>
      </c>
      <c r="P966" s="7" t="s">
        <v>6752</v>
      </c>
      <c r="Q966" s="129">
        <v>46199</v>
      </c>
      <c r="R966" s="130">
        <f t="shared" si="111"/>
        <v>46212</v>
      </c>
      <c r="S966" s="131">
        <f t="shared" si="116"/>
        <v>13</v>
      </c>
      <c r="T966" s="7" t="s">
        <v>185</v>
      </c>
      <c r="U966" s="7" t="s">
        <v>201</v>
      </c>
      <c r="V966" s="7"/>
      <c r="W966" s="7"/>
      <c r="X966" s="132">
        <f t="shared" si="114"/>
        <v>10</v>
      </c>
      <c r="Y966" s="133"/>
      <c r="Z966" s="133"/>
      <c r="AA966" s="133"/>
    </row>
    <row r="967" spans="1:27" hidden="1" x14ac:dyDescent="0.25">
      <c r="A967" s="127">
        <v>1083</v>
      </c>
      <c r="B967" s="128" t="str">
        <f t="shared" si="115"/>
        <v>MINT</v>
      </c>
      <c r="C967" s="128" t="e">
        <f>+VLOOKUP(U967,Ходим!A:B,2,0)</f>
        <v>#N/A</v>
      </c>
      <c r="D967" s="128" t="str">
        <f>IFERROR(VLOOKUP($B:$B,[20]свод!$A:$AB,3,0)," ")</f>
        <v>Мингбулоқ тумани</v>
      </c>
      <c r="E967" s="7" t="s">
        <v>2107</v>
      </c>
      <c r="F967" s="7" t="s">
        <v>8500</v>
      </c>
      <c r="G967" s="134">
        <f t="shared" si="112"/>
        <v>1</v>
      </c>
      <c r="H967" s="134" t="str">
        <f t="shared" si="113"/>
        <v/>
      </c>
      <c r="I967" s="7" t="s">
        <v>156</v>
      </c>
      <c r="J967" s="7" t="s">
        <v>11</v>
      </c>
      <c r="K967" s="7"/>
      <c r="L967" s="7"/>
      <c r="M967" s="7"/>
      <c r="N967" s="7" t="s">
        <v>170</v>
      </c>
      <c r="O967" s="7" t="s">
        <v>162</v>
      </c>
      <c r="P967" s="7" t="s">
        <v>6752</v>
      </c>
      <c r="Q967" s="129">
        <v>46199</v>
      </c>
      <c r="R967" s="130">
        <f t="shared" si="111"/>
        <v>46212</v>
      </c>
      <c r="S967" s="131">
        <f t="shared" si="116"/>
        <v>13</v>
      </c>
      <c r="T967" s="7"/>
      <c r="U967" s="7"/>
      <c r="V967" s="7"/>
      <c r="W967" s="7"/>
      <c r="X967" s="132">
        <f t="shared" si="114"/>
        <v>10</v>
      </c>
      <c r="Y967" s="133"/>
      <c r="Z967" s="133"/>
      <c r="AA967" s="133"/>
    </row>
    <row r="968" spans="1:27" hidden="1" x14ac:dyDescent="0.25">
      <c r="A968" s="127">
        <v>1085</v>
      </c>
      <c r="B968" s="128" t="str">
        <f t="shared" si="115"/>
        <v>YGQT</v>
      </c>
      <c r="C968" s="128" t="str">
        <f>+VLOOKUP(U968,Ходим!A:B,2,0)</f>
        <v>30903902160122</v>
      </c>
      <c r="D968" s="128" t="str">
        <f>IFERROR(VLOOKUP($B:$B,[20]свод!$A:$AB,3,0)," ")</f>
        <v>Янгиқўрғон тумани</v>
      </c>
      <c r="E968" s="7" t="s">
        <v>2108</v>
      </c>
      <c r="F968" s="7" t="s">
        <v>8501</v>
      </c>
      <c r="G968" s="134">
        <f t="shared" si="112"/>
        <v>1</v>
      </c>
      <c r="H968" s="134" t="str">
        <f t="shared" si="113"/>
        <v/>
      </c>
      <c r="I968" s="7" t="s">
        <v>158</v>
      </c>
      <c r="J968" s="7" t="s">
        <v>2</v>
      </c>
      <c r="K968" s="7"/>
      <c r="L968" s="7" t="s">
        <v>167</v>
      </c>
      <c r="M968" s="7" t="s">
        <v>4832</v>
      </c>
      <c r="N968" s="7" t="s">
        <v>170</v>
      </c>
      <c r="O968" s="7" t="s">
        <v>162</v>
      </c>
      <c r="P968" s="7" t="s">
        <v>6404</v>
      </c>
      <c r="Q968" s="129">
        <v>46199</v>
      </c>
      <c r="R968" s="130">
        <f t="shared" si="111"/>
        <v>46211</v>
      </c>
      <c r="S968" s="131">
        <f t="shared" si="116"/>
        <v>12</v>
      </c>
      <c r="T968" s="7" t="s">
        <v>255</v>
      </c>
      <c r="U968" s="7" t="s">
        <v>230</v>
      </c>
      <c r="V968" s="7"/>
      <c r="W968" s="7">
        <v>333.76</v>
      </c>
      <c r="X968" s="132">
        <f t="shared" si="114"/>
        <v>10</v>
      </c>
      <c r="Y968" s="133"/>
      <c r="Z968" s="133"/>
      <c r="AA968" s="133"/>
    </row>
    <row r="969" spans="1:27" hidden="1" x14ac:dyDescent="0.25">
      <c r="A969" s="127">
        <v>1087</v>
      </c>
      <c r="B969" s="128" t="str">
        <f t="shared" si="115"/>
        <v>NAMS</v>
      </c>
      <c r="C969" s="128" t="str">
        <f>+VLOOKUP(U969,Ходим!A:B,2,0)</f>
        <v>31608732170178</v>
      </c>
      <c r="D969" s="128" t="str">
        <f>IFERROR(VLOOKUP($B:$B,[20]свод!$A:$AB,3,0)," ")</f>
        <v>Наманган шаҳар</v>
      </c>
      <c r="E969" s="7" t="s">
        <v>2109</v>
      </c>
      <c r="F969" s="7" t="s">
        <v>8502</v>
      </c>
      <c r="G969" s="134">
        <f t="shared" si="112"/>
        <v>1</v>
      </c>
      <c r="H969" s="134" t="str">
        <f t="shared" si="113"/>
        <v/>
      </c>
      <c r="I969" s="7" t="s">
        <v>156</v>
      </c>
      <c r="J969" s="7" t="s">
        <v>25</v>
      </c>
      <c r="K969" s="7"/>
      <c r="L969" s="7"/>
      <c r="M969" s="7"/>
      <c r="N969" s="7" t="s">
        <v>170</v>
      </c>
      <c r="O969" s="7" t="s">
        <v>162</v>
      </c>
      <c r="P969" s="7" t="s">
        <v>6752</v>
      </c>
      <c r="Q969" s="129">
        <v>46199</v>
      </c>
      <c r="R969" s="130">
        <f t="shared" si="111"/>
        <v>46212</v>
      </c>
      <c r="S969" s="131">
        <f t="shared" si="116"/>
        <v>13</v>
      </c>
      <c r="T969" s="7" t="s">
        <v>173</v>
      </c>
      <c r="U969" s="7" t="s">
        <v>267</v>
      </c>
      <c r="V969" s="7"/>
      <c r="W969" s="7"/>
      <c r="X969" s="132">
        <f t="shared" si="114"/>
        <v>10</v>
      </c>
      <c r="Y969" s="133"/>
      <c r="Z969" s="133"/>
      <c r="AA969" s="133"/>
    </row>
    <row r="970" spans="1:27" hidden="1" x14ac:dyDescent="0.25">
      <c r="A970" s="127">
        <v>1088</v>
      </c>
      <c r="B970" s="128" t="str">
        <f t="shared" si="115"/>
        <v>NAMS</v>
      </c>
      <c r="C970" s="128" t="str">
        <f>+VLOOKUP(U970,Ходим!A:B,2,0)</f>
        <v>51406015960142</v>
      </c>
      <c r="D970" s="128" t="str">
        <f>IFERROR(VLOOKUP($B:$B,[20]свод!$A:$AB,3,0)," ")</f>
        <v>Наманган шаҳар</v>
      </c>
      <c r="E970" s="7" t="s">
        <v>2110</v>
      </c>
      <c r="F970" s="7" t="s">
        <v>8503</v>
      </c>
      <c r="G970" s="134">
        <f t="shared" si="112"/>
        <v>1</v>
      </c>
      <c r="H970" s="134" t="str">
        <f t="shared" si="113"/>
        <v/>
      </c>
      <c r="I970" s="7" t="s">
        <v>158</v>
      </c>
      <c r="J970" s="7" t="s">
        <v>2</v>
      </c>
      <c r="K970" s="7"/>
      <c r="L970" s="7" t="s">
        <v>167</v>
      </c>
      <c r="M970" s="7" t="s">
        <v>4833</v>
      </c>
      <c r="N970" s="7" t="s">
        <v>170</v>
      </c>
      <c r="O970" s="7" t="s">
        <v>162</v>
      </c>
      <c r="P970" s="7" t="s">
        <v>6752</v>
      </c>
      <c r="Q970" s="129">
        <v>46199</v>
      </c>
      <c r="R970" s="130">
        <f t="shared" si="111"/>
        <v>46212</v>
      </c>
      <c r="S970" s="131">
        <f t="shared" si="116"/>
        <v>13</v>
      </c>
      <c r="T970" s="7" t="s">
        <v>185</v>
      </c>
      <c r="U970" s="7" t="s">
        <v>349</v>
      </c>
      <c r="V970" s="7"/>
      <c r="W970" s="7">
        <v>980.75</v>
      </c>
      <c r="X970" s="132">
        <f t="shared" si="114"/>
        <v>10</v>
      </c>
      <c r="Y970" s="133"/>
      <c r="Z970" s="133"/>
      <c r="AA970" s="133"/>
    </row>
    <row r="971" spans="1:27" x14ac:dyDescent="0.25">
      <c r="A971" s="127">
        <v>1089</v>
      </c>
      <c r="B971" s="128" t="str">
        <f t="shared" si="115"/>
        <v>KSST</v>
      </c>
      <c r="C971" s="128" t="str">
        <f>+VLOOKUP(U971,Ходим!A:B,2,0)</f>
        <v>32910975980025</v>
      </c>
      <c r="D971" s="128" t="str">
        <f>IFERROR(VLOOKUP($B:$B,[20]свод!$A:$AB,3,0)," ")</f>
        <v>Косонсой тумани</v>
      </c>
      <c r="E971" s="7" t="s">
        <v>2111</v>
      </c>
      <c r="F971" s="7" t="s">
        <v>8504</v>
      </c>
      <c r="G971" s="134" t="str">
        <f t="shared" si="112"/>
        <v/>
      </c>
      <c r="H971" s="134">
        <f t="shared" si="113"/>
        <v>1</v>
      </c>
      <c r="I971" s="7" t="s">
        <v>157</v>
      </c>
      <c r="J971" s="7" t="s">
        <v>1</v>
      </c>
      <c r="K971" s="7"/>
      <c r="L971" s="7" t="s">
        <v>168</v>
      </c>
      <c r="M971" s="7" t="s">
        <v>4834</v>
      </c>
      <c r="N971" s="7" t="s">
        <v>170</v>
      </c>
      <c r="O971" s="7" t="s">
        <v>161</v>
      </c>
      <c r="P971" s="7" t="s">
        <v>6317</v>
      </c>
      <c r="Q971" s="129">
        <v>46199</v>
      </c>
      <c r="R971" s="130">
        <f t="shared" ref="R971:R1030" si="117">WORKDAY(P971,X971,$Y$1:$AA$1)</f>
        <v>46199</v>
      </c>
      <c r="S971" s="131">
        <f t="shared" si="116"/>
        <v>0</v>
      </c>
      <c r="T971" s="7" t="s">
        <v>180</v>
      </c>
      <c r="U971" s="7" t="s">
        <v>187</v>
      </c>
      <c r="V971" s="7"/>
      <c r="W971" s="7">
        <v>0</v>
      </c>
      <c r="X971" s="132">
        <f t="shared" si="114"/>
        <v>7</v>
      </c>
      <c r="Y971" s="133"/>
      <c r="Z971" s="133"/>
      <c r="AA971" s="133"/>
    </row>
    <row r="972" spans="1:27" hidden="1" x14ac:dyDescent="0.25">
      <c r="A972" s="127">
        <v>1090</v>
      </c>
      <c r="B972" s="128" t="str">
        <f t="shared" si="115"/>
        <v>NAMS</v>
      </c>
      <c r="C972" s="128" t="str">
        <f>+VLOOKUP(U972,Ходим!A:B,2,0)</f>
        <v>52107015960107</v>
      </c>
      <c r="D972" s="128" t="str">
        <f>IFERROR(VLOOKUP($B:$B,[20]свод!$A:$AB,3,0)," ")</f>
        <v>Наманган шаҳар</v>
      </c>
      <c r="E972" s="7" t="s">
        <v>2112</v>
      </c>
      <c r="F972" s="7" t="s">
        <v>8505</v>
      </c>
      <c r="G972" s="134">
        <f t="shared" si="112"/>
        <v>1</v>
      </c>
      <c r="H972" s="134" t="str">
        <f t="shared" si="113"/>
        <v/>
      </c>
      <c r="I972" s="7" t="s">
        <v>158</v>
      </c>
      <c r="J972" s="7" t="s">
        <v>1</v>
      </c>
      <c r="K972" s="7"/>
      <c r="L972" s="7" t="s">
        <v>167</v>
      </c>
      <c r="M972" s="7" t="s">
        <v>4835</v>
      </c>
      <c r="N972" s="7" t="s">
        <v>170</v>
      </c>
      <c r="O972" s="7" t="s">
        <v>162</v>
      </c>
      <c r="P972" s="7" t="s">
        <v>6753</v>
      </c>
      <c r="Q972" s="129">
        <v>46199</v>
      </c>
      <c r="R972" s="130">
        <f t="shared" si="117"/>
        <v>46203</v>
      </c>
      <c r="S972" s="131">
        <f t="shared" si="116"/>
        <v>4</v>
      </c>
      <c r="T972" s="7" t="s">
        <v>185</v>
      </c>
      <c r="U972" s="7" t="s">
        <v>348</v>
      </c>
      <c r="V972" s="7"/>
      <c r="W972" s="7">
        <v>293.81</v>
      </c>
      <c r="X972" s="132">
        <f t="shared" si="114"/>
        <v>10</v>
      </c>
      <c r="Y972" s="133"/>
      <c r="Z972" s="133"/>
      <c r="AA972" s="133"/>
    </row>
    <row r="973" spans="1:27" x14ac:dyDescent="0.25">
      <c r="A973" s="127">
        <v>1091</v>
      </c>
      <c r="B973" s="128" t="str">
        <f t="shared" si="115"/>
        <v>UCQT</v>
      </c>
      <c r="C973" s="128" t="str">
        <f>+VLOOKUP(U973,Ходим!A:B,2,0)</f>
        <v>42005872150022</v>
      </c>
      <c r="D973" s="128" t="str">
        <f>IFERROR(VLOOKUP($B:$B,[20]свод!$A:$AB,3,0)," ")</f>
        <v>Учқўрғон тумани</v>
      </c>
      <c r="E973" s="7" t="s">
        <v>2113</v>
      </c>
      <c r="F973" s="7" t="s">
        <v>8506</v>
      </c>
      <c r="G973" s="134">
        <f t="shared" si="112"/>
        <v>1</v>
      </c>
      <c r="H973" s="134" t="str">
        <f t="shared" si="113"/>
        <v/>
      </c>
      <c r="I973" s="7" t="s">
        <v>158</v>
      </c>
      <c r="J973" s="7" t="s">
        <v>36</v>
      </c>
      <c r="K973" s="7"/>
      <c r="L973" s="7" t="s">
        <v>167</v>
      </c>
      <c r="M973" s="7" t="s">
        <v>4836</v>
      </c>
      <c r="N973" s="7" t="s">
        <v>170</v>
      </c>
      <c r="O973" s="7" t="s">
        <v>162</v>
      </c>
      <c r="P973" s="7" t="s">
        <v>6657</v>
      </c>
      <c r="Q973" s="129">
        <v>46199</v>
      </c>
      <c r="R973" s="130">
        <f t="shared" si="117"/>
        <v>46199</v>
      </c>
      <c r="S973" s="131">
        <f t="shared" si="116"/>
        <v>0</v>
      </c>
      <c r="T973" s="7" t="s">
        <v>390</v>
      </c>
      <c r="U973" s="7" t="s">
        <v>176</v>
      </c>
      <c r="V973" s="7"/>
      <c r="W973" s="7">
        <v>170</v>
      </c>
      <c r="X973" s="132">
        <f t="shared" si="114"/>
        <v>10</v>
      </c>
      <c r="Y973" s="133"/>
      <c r="Z973" s="133"/>
      <c r="AA973" s="133"/>
    </row>
    <row r="974" spans="1:27" hidden="1" x14ac:dyDescent="0.25">
      <c r="A974" s="127">
        <v>1092</v>
      </c>
      <c r="B974" s="128" t="str">
        <f t="shared" si="115"/>
        <v>TORT</v>
      </c>
      <c r="C974" s="128" t="str">
        <f>+VLOOKUP(U974,Ходим!A:B,2,0)</f>
        <v>40302922130046</v>
      </c>
      <c r="D974" s="128" t="str">
        <f>IFERROR(VLOOKUP($B:$B,[20]свод!$A:$AB,3,0)," ")</f>
        <v>Тўрақўрғон тумани</v>
      </c>
      <c r="E974" s="7" t="s">
        <v>2114</v>
      </c>
      <c r="F974" s="7" t="s">
        <v>8507</v>
      </c>
      <c r="G974" s="134">
        <f t="shared" si="112"/>
        <v>1</v>
      </c>
      <c r="H974" s="134" t="str">
        <f t="shared" si="113"/>
        <v/>
      </c>
      <c r="I974" s="7" t="s">
        <v>158</v>
      </c>
      <c r="J974" s="7" t="s">
        <v>172</v>
      </c>
      <c r="K974" s="7"/>
      <c r="L974" s="7" t="s">
        <v>167</v>
      </c>
      <c r="M974" s="7" t="s">
        <v>4837</v>
      </c>
      <c r="N974" s="7" t="s">
        <v>170</v>
      </c>
      <c r="O974" s="7" t="s">
        <v>162</v>
      </c>
      <c r="P974" s="7" t="s">
        <v>6754</v>
      </c>
      <c r="Q974" s="129">
        <v>46199</v>
      </c>
      <c r="R974" s="130">
        <f t="shared" si="117"/>
        <v>46210</v>
      </c>
      <c r="S974" s="131">
        <f t="shared" si="116"/>
        <v>11</v>
      </c>
      <c r="T974" s="7" t="s">
        <v>203</v>
      </c>
      <c r="U974" s="7" t="s">
        <v>258</v>
      </c>
      <c r="V974" s="7"/>
      <c r="W974" s="7">
        <v>218.35</v>
      </c>
      <c r="X974" s="132">
        <f t="shared" si="114"/>
        <v>10</v>
      </c>
      <c r="Y974" s="133"/>
      <c r="Z974" s="133"/>
      <c r="AA974" s="133"/>
    </row>
    <row r="975" spans="1:27" hidden="1" x14ac:dyDescent="0.25">
      <c r="A975" s="127">
        <v>1093</v>
      </c>
      <c r="B975" s="128" t="str">
        <f t="shared" si="115"/>
        <v>NORT</v>
      </c>
      <c r="C975" s="128" t="str">
        <f>+VLOOKUP(U975,Ходим!A:B,2,0)</f>
        <v>32609882110022</v>
      </c>
      <c r="D975" s="128" t="str">
        <f>IFERROR(VLOOKUP($B:$B,[20]свод!$A:$AB,3,0)," ")</f>
        <v>Норин тумани</v>
      </c>
      <c r="E975" s="7" t="s">
        <v>2115</v>
      </c>
      <c r="F975" s="7" t="s">
        <v>8508</v>
      </c>
      <c r="G975" s="134">
        <f t="shared" ref="G975:G1034" si="118">IF(OR(
I975="Turar joy obyektning kadastr pasportini shakllantirish va davlat ro'yxatidan o'tkazish",
I975="Turar kompozit"
),
1,
IF(OR(
I975="Noturar kompozit",
I975="Avtoyo'l va suv xo'jaligi obyektining kadastr pasportini shakllantirish va ro'yxatga olish",
I975="Noturar obyektning kadastr pasportining kadastr pasportini shakllantirish va davlat ro'yxatidan o'tkazish"
),
"",
IF(OR(
I975="Notarius uchun ma'lumotnoma (uz)",
I975="Qurilishi tugallangan ko'chmas mulkni foydalanishga qabul qilish",
I975="Umumiy foydalanishdagi ko'chmas mulk qismini yaratish",
I975="Registratsiya (tashqi - UZKAD da bor)"
),
IF(OR(L975="Turar yer maydoni",L975="Yakka tartibdagi turar joy"),1,
IF(L975="Noturar bino","",
IF(L975="Noturar yer maydoni","",
IF(L975="",IF(OR(O975="Turar joy xizmati",O975="Foydalanishga ruxsatnoma berish xizmati"),1,""),"")
))),
"")))</f>
        <v>1</v>
      </c>
      <c r="H975" s="134" t="str">
        <f t="shared" ref="H975:H1034" si="119">IF(OR(
I975="Turar joy obyektning kadastr pasportini shakllantirish va davlat ro'yxatidan o'tkazish",
I975="Turar kompozit"
),
"",
IF(OR(
I975="Noturar kompozit",
I975="Avtoyo'l va suv xo'jaligi obyektining kadastr pasportini shakllantirish va ro'yxatga olish",
I975="Noturar obyektning kadastr pasportini shakllantirish va davlat ro'yxatidan o'tkazish"
),
1,
IF(OR(
I975="Notarius uchun ma'lumotnoma (uz)",
I975="Qurilishi tugallangan ko'chmas mulkni foydalanishga qabul qilish",
I975="Umumiy foydalanishdagi ko'chmas mulk qismini yaratish",
I975="Registratsiya (tashqi - UZKAD da bor)"
),
IF(OR(L975="Turar yer maydoni",L975="Yakka tartibdagi turar joy"),"",
IF(L975="Noturar bino",1,
IF(L975="Noturar yer maydoni",1,
IF(L975="",IF(OR(O975="Turar joy xizmati",O975="Foydalanishga ruxsatnoma berish xizmati"),"",1),"")
))),
"")))</f>
        <v/>
      </c>
      <c r="I975" s="7" t="s">
        <v>156</v>
      </c>
      <c r="J975" s="7" t="s">
        <v>25</v>
      </c>
      <c r="K975" s="7"/>
      <c r="L975" s="7" t="s">
        <v>167</v>
      </c>
      <c r="M975" s="7" t="s">
        <v>1102</v>
      </c>
      <c r="N975" s="7" t="s">
        <v>170</v>
      </c>
      <c r="O975" s="7" t="s">
        <v>162</v>
      </c>
      <c r="P975" s="7" t="s">
        <v>6751</v>
      </c>
      <c r="Q975" s="129">
        <v>46199</v>
      </c>
      <c r="R975" s="130">
        <f t="shared" si="117"/>
        <v>46212</v>
      </c>
      <c r="S975" s="131">
        <f t="shared" si="116"/>
        <v>13</v>
      </c>
      <c r="T975" s="7" t="s">
        <v>210</v>
      </c>
      <c r="U975" s="7" t="s">
        <v>300</v>
      </c>
      <c r="V975" s="7"/>
      <c r="W975" s="7">
        <v>219.2</v>
      </c>
      <c r="X975" s="132">
        <f t="shared" si="114"/>
        <v>10</v>
      </c>
      <c r="Y975" s="133"/>
      <c r="Z975" s="133"/>
      <c r="AA975" s="133"/>
    </row>
    <row r="976" spans="1:27" hidden="1" x14ac:dyDescent="0.25">
      <c r="A976" s="127">
        <v>1094</v>
      </c>
      <c r="B976" s="128" t="str">
        <f t="shared" si="115"/>
        <v>CHUT</v>
      </c>
      <c r="C976" s="128" t="str">
        <f>+VLOOKUP(U976,Ходим!A:B,2,0)</f>
        <v>31910975970049</v>
      </c>
      <c r="D976" s="128" t="str">
        <f>IFERROR(VLOOKUP($B:$B,[20]свод!$A:$AB,3,0)," ")</f>
        <v>Чуст тумани</v>
      </c>
      <c r="E976" s="7" t="s">
        <v>2116</v>
      </c>
      <c r="F976" s="7" t="s">
        <v>8509</v>
      </c>
      <c r="G976" s="134">
        <f t="shared" si="118"/>
        <v>1</v>
      </c>
      <c r="H976" s="134" t="str">
        <f t="shared" si="119"/>
        <v/>
      </c>
      <c r="I976" s="7" t="s">
        <v>156</v>
      </c>
      <c r="J976" s="7" t="s">
        <v>22</v>
      </c>
      <c r="K976" s="7"/>
      <c r="L976" s="7" t="s">
        <v>167</v>
      </c>
      <c r="M976" s="7" t="s">
        <v>4838</v>
      </c>
      <c r="N976" s="7" t="s">
        <v>170</v>
      </c>
      <c r="O976" s="7" t="s">
        <v>163</v>
      </c>
      <c r="P976" s="7" t="s">
        <v>6751</v>
      </c>
      <c r="Q976" s="129">
        <v>46199</v>
      </c>
      <c r="R976" s="130">
        <f t="shared" si="117"/>
        <v>46212</v>
      </c>
      <c r="S976" s="131">
        <f t="shared" si="116"/>
        <v>13</v>
      </c>
      <c r="T976" s="7" t="s">
        <v>178</v>
      </c>
      <c r="U976" s="7" t="s">
        <v>352</v>
      </c>
      <c r="V976" s="7"/>
      <c r="W976" s="7">
        <v>199.15</v>
      </c>
      <c r="X976" s="132">
        <f t="shared" si="114"/>
        <v>10</v>
      </c>
      <c r="Y976" s="133"/>
      <c r="Z976" s="133"/>
      <c r="AA976" s="133"/>
    </row>
    <row r="977" spans="1:27" hidden="1" x14ac:dyDescent="0.25">
      <c r="A977" s="127">
        <v>1095</v>
      </c>
      <c r="B977" s="128" t="str">
        <f t="shared" si="115"/>
        <v>NAMS</v>
      </c>
      <c r="C977" s="128" t="str">
        <f>+VLOOKUP(U977,Ходим!A:B,2,0)</f>
        <v>32207925880019</v>
      </c>
      <c r="D977" s="128" t="str">
        <f>IFERROR(VLOOKUP($B:$B,[20]свод!$A:$AB,3,0)," ")</f>
        <v>Наманган шаҳар</v>
      </c>
      <c r="E977" s="7" t="s">
        <v>2117</v>
      </c>
      <c r="F977" s="7" t="s">
        <v>8510</v>
      </c>
      <c r="G977" s="134" t="str">
        <f t="shared" si="118"/>
        <v/>
      </c>
      <c r="H977" s="134">
        <f t="shared" si="119"/>
        <v>1</v>
      </c>
      <c r="I977" s="7" t="s">
        <v>155</v>
      </c>
      <c r="J977" s="7" t="s">
        <v>25</v>
      </c>
      <c r="K977" s="7"/>
      <c r="L977" s="7" t="s">
        <v>166</v>
      </c>
      <c r="M977" s="7" t="s">
        <v>4839</v>
      </c>
      <c r="N977" s="7" t="s">
        <v>170</v>
      </c>
      <c r="O977" s="7" t="s">
        <v>163</v>
      </c>
      <c r="P977" s="7" t="s">
        <v>6751</v>
      </c>
      <c r="Q977" s="129">
        <v>46199</v>
      </c>
      <c r="R977" s="130">
        <f t="shared" si="117"/>
        <v>46216</v>
      </c>
      <c r="S977" s="131">
        <f t="shared" si="116"/>
        <v>17</v>
      </c>
      <c r="T977" s="7" t="s">
        <v>227</v>
      </c>
      <c r="U977" s="7" t="s">
        <v>174</v>
      </c>
      <c r="V977" s="7"/>
      <c r="W977" s="7">
        <v>591.24</v>
      </c>
      <c r="X977" s="132">
        <f t="shared" si="114"/>
        <v>12</v>
      </c>
      <c r="Y977" s="133"/>
      <c r="Z977" s="133"/>
      <c r="AA977" s="133"/>
    </row>
    <row r="978" spans="1:27" hidden="1" x14ac:dyDescent="0.25">
      <c r="A978" s="127">
        <v>1096</v>
      </c>
      <c r="B978" s="128" t="str">
        <f t="shared" si="115"/>
        <v>NAMS</v>
      </c>
      <c r="C978" s="128" t="str">
        <f>+VLOOKUP(U978,Ходим!A:B,2,0)</f>
        <v>31309932190035</v>
      </c>
      <c r="D978" s="128" t="str">
        <f>IFERROR(VLOOKUP($B:$B,[20]свод!$A:$AB,3,0)," ")</f>
        <v>Наманган шаҳар</v>
      </c>
      <c r="E978" s="7" t="s">
        <v>2118</v>
      </c>
      <c r="F978" s="7" t="s">
        <v>8511</v>
      </c>
      <c r="G978" s="134">
        <f t="shared" si="118"/>
        <v>1</v>
      </c>
      <c r="H978" s="134" t="str">
        <f t="shared" si="119"/>
        <v/>
      </c>
      <c r="I978" s="7" t="s">
        <v>158</v>
      </c>
      <c r="J978" s="7" t="s">
        <v>15</v>
      </c>
      <c r="K978" s="7"/>
      <c r="L978" s="7" t="s">
        <v>167</v>
      </c>
      <c r="M978" s="7" t="s">
        <v>4840</v>
      </c>
      <c r="N978" s="7" t="s">
        <v>170</v>
      </c>
      <c r="O978" s="7" t="s">
        <v>162</v>
      </c>
      <c r="P978" s="7" t="s">
        <v>6755</v>
      </c>
      <c r="Q978" s="129">
        <v>46199</v>
      </c>
      <c r="R978" s="130">
        <f t="shared" si="117"/>
        <v>46206</v>
      </c>
      <c r="S978" s="131">
        <f t="shared" si="116"/>
        <v>7</v>
      </c>
      <c r="T978" s="7" t="s">
        <v>173</v>
      </c>
      <c r="U978" s="7" t="s">
        <v>237</v>
      </c>
      <c r="V978" s="7"/>
      <c r="W978" s="7">
        <v>381.34</v>
      </c>
      <c r="X978" s="132">
        <f t="shared" si="114"/>
        <v>10</v>
      </c>
      <c r="Y978" s="133"/>
      <c r="Z978" s="133"/>
      <c r="AA978" s="133"/>
    </row>
    <row r="979" spans="1:27" hidden="1" x14ac:dyDescent="0.25">
      <c r="A979" s="127">
        <v>1097</v>
      </c>
      <c r="B979" s="128" t="str">
        <f t="shared" si="115"/>
        <v>NORT</v>
      </c>
      <c r="C979" s="128" t="str">
        <f>+VLOOKUP(U979,Ходим!A:B,2,0)</f>
        <v>32609882110022</v>
      </c>
      <c r="D979" s="128" t="str">
        <f>IFERROR(VLOOKUP($B:$B,[20]свод!$A:$AB,3,0)," ")</f>
        <v>Норин тумани</v>
      </c>
      <c r="E979" s="7" t="s">
        <v>2119</v>
      </c>
      <c r="F979" s="7" t="s">
        <v>8512</v>
      </c>
      <c r="G979" s="134">
        <f t="shared" si="118"/>
        <v>1</v>
      </c>
      <c r="H979" s="134" t="str">
        <f t="shared" si="119"/>
        <v/>
      </c>
      <c r="I979" s="7" t="s">
        <v>156</v>
      </c>
      <c r="J979" s="7" t="s">
        <v>25</v>
      </c>
      <c r="K979" s="7"/>
      <c r="L979" s="7"/>
      <c r="M979" s="7"/>
      <c r="N979" s="7" t="s">
        <v>170</v>
      </c>
      <c r="O979" s="7" t="s">
        <v>162</v>
      </c>
      <c r="P979" s="7" t="s">
        <v>6751</v>
      </c>
      <c r="Q979" s="129">
        <v>46199</v>
      </c>
      <c r="R979" s="130">
        <f t="shared" si="117"/>
        <v>46212</v>
      </c>
      <c r="S979" s="131">
        <f t="shared" si="116"/>
        <v>13</v>
      </c>
      <c r="T979" s="7" t="s">
        <v>210</v>
      </c>
      <c r="U979" s="7" t="s">
        <v>300</v>
      </c>
      <c r="V979" s="7"/>
      <c r="W979" s="7"/>
      <c r="X979" s="132">
        <f t="shared" si="114"/>
        <v>10</v>
      </c>
      <c r="Y979" s="133"/>
      <c r="Z979" s="133"/>
      <c r="AA979" s="133"/>
    </row>
    <row r="980" spans="1:27" hidden="1" x14ac:dyDescent="0.25">
      <c r="A980" s="127">
        <v>1098</v>
      </c>
      <c r="B980" s="128" t="str">
        <f t="shared" si="115"/>
        <v>NORT</v>
      </c>
      <c r="C980" s="128" t="str">
        <f>+VLOOKUP(U980,Ходим!A:B,2,0)</f>
        <v>30902932150046</v>
      </c>
      <c r="D980" s="128" t="str">
        <f>IFERROR(VLOOKUP($B:$B,[20]свод!$A:$AB,3,0)," ")</f>
        <v>Норин тумани</v>
      </c>
      <c r="E980" s="7" t="s">
        <v>2120</v>
      </c>
      <c r="F980" s="7" t="s">
        <v>8513</v>
      </c>
      <c r="G980" s="134">
        <f t="shared" si="118"/>
        <v>1</v>
      </c>
      <c r="H980" s="134" t="str">
        <f t="shared" si="119"/>
        <v/>
      </c>
      <c r="I980" s="7" t="s">
        <v>158</v>
      </c>
      <c r="J980" s="7" t="s">
        <v>1</v>
      </c>
      <c r="K980" s="7"/>
      <c r="L980" s="7" t="s">
        <v>167</v>
      </c>
      <c r="M980" s="7" t="s">
        <v>4841</v>
      </c>
      <c r="N980" s="7" t="s">
        <v>170</v>
      </c>
      <c r="O980" s="7" t="s">
        <v>162</v>
      </c>
      <c r="P980" s="7" t="s">
        <v>6306</v>
      </c>
      <c r="Q980" s="129">
        <v>46199</v>
      </c>
      <c r="R980" s="130">
        <f t="shared" si="117"/>
        <v>46204</v>
      </c>
      <c r="S980" s="131">
        <f t="shared" si="116"/>
        <v>5</v>
      </c>
      <c r="T980" s="7" t="s">
        <v>210</v>
      </c>
      <c r="U980" s="7" t="s">
        <v>245</v>
      </c>
      <c r="V980" s="7"/>
      <c r="W980" s="7">
        <v>220.06</v>
      </c>
      <c r="X980" s="132">
        <f t="shared" si="114"/>
        <v>10</v>
      </c>
      <c r="Y980" s="133"/>
      <c r="Z980" s="133"/>
      <c r="AA980" s="133"/>
    </row>
    <row r="981" spans="1:27" x14ac:dyDescent="0.25">
      <c r="A981" s="127">
        <v>1099</v>
      </c>
      <c r="B981" s="128" t="str">
        <f t="shared" si="115"/>
        <v>UCQT</v>
      </c>
      <c r="C981" s="128" t="str">
        <f>+VLOOKUP(U981,Ходим!A:B,2,0)</f>
        <v>42005872150022</v>
      </c>
      <c r="D981" s="128" t="str">
        <f>IFERROR(VLOOKUP($B:$B,[20]свод!$A:$AB,3,0)," ")</f>
        <v>Учқўрғон тумани</v>
      </c>
      <c r="E981" s="7" t="s">
        <v>2121</v>
      </c>
      <c r="F981" s="7" t="s">
        <v>8514</v>
      </c>
      <c r="G981" s="134">
        <f t="shared" si="118"/>
        <v>1</v>
      </c>
      <c r="H981" s="134" t="str">
        <f t="shared" si="119"/>
        <v/>
      </c>
      <c r="I981" s="7" t="s">
        <v>158</v>
      </c>
      <c r="J981" s="7" t="s">
        <v>12</v>
      </c>
      <c r="K981" s="7"/>
      <c r="L981" s="7" t="s">
        <v>167</v>
      </c>
      <c r="M981" s="7" t="s">
        <v>4842</v>
      </c>
      <c r="N981" s="7" t="s">
        <v>170</v>
      </c>
      <c r="O981" s="7" t="s">
        <v>162</v>
      </c>
      <c r="P981" s="7" t="s">
        <v>6659</v>
      </c>
      <c r="Q981" s="129">
        <v>46199</v>
      </c>
      <c r="R981" s="130">
        <f t="shared" si="117"/>
        <v>46199</v>
      </c>
      <c r="S981" s="131">
        <f t="shared" si="116"/>
        <v>0</v>
      </c>
      <c r="T981" s="7" t="s">
        <v>390</v>
      </c>
      <c r="U981" s="7" t="s">
        <v>176</v>
      </c>
      <c r="V981" s="7"/>
      <c r="W981" s="7">
        <v>256.02</v>
      </c>
      <c r="X981" s="132">
        <f t="shared" si="114"/>
        <v>10</v>
      </c>
      <c r="Y981" s="133"/>
      <c r="Z981" s="133"/>
      <c r="AA981" s="133"/>
    </row>
    <row r="982" spans="1:27" hidden="1" x14ac:dyDescent="0.25">
      <c r="A982" s="127">
        <v>1100</v>
      </c>
      <c r="B982" s="128" t="str">
        <f t="shared" si="115"/>
        <v>NAMS</v>
      </c>
      <c r="C982" s="128" t="str">
        <f>+VLOOKUP(U982,Ходим!A:B,2,0)</f>
        <v>52503015960039</v>
      </c>
      <c r="D982" s="128" t="str">
        <f>IFERROR(VLOOKUP($B:$B,[20]свод!$A:$AB,3,0)," ")</f>
        <v>Наманган шаҳар</v>
      </c>
      <c r="E982" s="7" t="s">
        <v>2122</v>
      </c>
      <c r="F982" s="7" t="s">
        <v>8515</v>
      </c>
      <c r="G982" s="134">
        <f t="shared" si="118"/>
        <v>1</v>
      </c>
      <c r="H982" s="134" t="str">
        <f t="shared" si="119"/>
        <v/>
      </c>
      <c r="I982" s="7" t="s">
        <v>156</v>
      </c>
      <c r="J982" s="7" t="s">
        <v>25</v>
      </c>
      <c r="K982" s="7"/>
      <c r="L982" s="7"/>
      <c r="M982" s="7"/>
      <c r="N982" s="7" t="s">
        <v>170</v>
      </c>
      <c r="O982" s="7" t="s">
        <v>162</v>
      </c>
      <c r="P982" s="7" t="s">
        <v>6756</v>
      </c>
      <c r="Q982" s="129">
        <v>46199</v>
      </c>
      <c r="R982" s="130">
        <f t="shared" si="117"/>
        <v>46212</v>
      </c>
      <c r="S982" s="131">
        <f t="shared" si="116"/>
        <v>13</v>
      </c>
      <c r="T982" s="7" t="s">
        <v>173</v>
      </c>
      <c r="U982" s="7" t="s">
        <v>246</v>
      </c>
      <c r="V982" s="7"/>
      <c r="W982" s="7"/>
      <c r="X982" s="132">
        <f t="shared" si="114"/>
        <v>10</v>
      </c>
      <c r="Y982" s="133"/>
      <c r="Z982" s="133"/>
      <c r="AA982" s="133"/>
    </row>
    <row r="983" spans="1:27" hidden="1" x14ac:dyDescent="0.25">
      <c r="A983" s="127">
        <v>1101</v>
      </c>
      <c r="B983" s="128" t="str">
        <f t="shared" si="115"/>
        <v>POPT</v>
      </c>
      <c r="C983" s="128" t="e">
        <f>+VLOOKUP(U983,Ходим!A:B,2,0)</f>
        <v>#N/A</v>
      </c>
      <c r="D983" s="128" t="str">
        <f>IFERROR(VLOOKUP($B:$B,[20]свод!$A:$AB,3,0)," ")</f>
        <v>Поп тумани</v>
      </c>
      <c r="E983" s="7" t="s">
        <v>2123</v>
      </c>
      <c r="F983" s="7" t="s">
        <v>8516</v>
      </c>
      <c r="G983" s="134">
        <f t="shared" si="118"/>
        <v>1</v>
      </c>
      <c r="H983" s="134" t="str">
        <f t="shared" si="119"/>
        <v/>
      </c>
      <c r="I983" s="7" t="s">
        <v>159</v>
      </c>
      <c r="J983" s="7" t="s">
        <v>137</v>
      </c>
      <c r="K983" s="7"/>
      <c r="L983" s="7" t="s">
        <v>167</v>
      </c>
      <c r="M983" s="7" t="s">
        <v>4843</v>
      </c>
      <c r="N983" s="7" t="s">
        <v>170</v>
      </c>
      <c r="O983" s="7" t="s">
        <v>163</v>
      </c>
      <c r="P983" s="7" t="s">
        <v>6756</v>
      </c>
      <c r="Q983" s="129">
        <v>46199</v>
      </c>
      <c r="R983" s="130">
        <f t="shared" si="117"/>
        <v>46212</v>
      </c>
      <c r="S983" s="131">
        <f t="shared" si="116"/>
        <v>13</v>
      </c>
      <c r="T983" s="7"/>
      <c r="U983" s="7"/>
      <c r="V983" s="7"/>
      <c r="W983" s="7">
        <v>279.17</v>
      </c>
      <c r="X983" s="132">
        <f t="shared" si="114"/>
        <v>10</v>
      </c>
      <c r="Y983" s="133"/>
      <c r="Z983" s="133"/>
      <c r="AA983" s="133"/>
    </row>
    <row r="984" spans="1:27" x14ac:dyDescent="0.25">
      <c r="A984" s="127">
        <v>1102</v>
      </c>
      <c r="B984" s="128" t="str">
        <f t="shared" si="115"/>
        <v>MINT</v>
      </c>
      <c r="C984" s="128" t="str">
        <f>+VLOOKUP(U984,Ходим!A:B,2,0)</f>
        <v>53110035990017</v>
      </c>
      <c r="D984" s="128" t="str">
        <f>IFERROR(VLOOKUP($B:$B,[20]свод!$A:$AB,3,0)," ")</f>
        <v>Мингбулоқ тумани</v>
      </c>
      <c r="E984" s="7" t="s">
        <v>2124</v>
      </c>
      <c r="F984" s="7" t="s">
        <v>8517</v>
      </c>
      <c r="G984" s="134">
        <f t="shared" si="118"/>
        <v>1</v>
      </c>
      <c r="H984" s="134" t="str">
        <f t="shared" si="119"/>
        <v/>
      </c>
      <c r="I984" s="7" t="s">
        <v>158</v>
      </c>
      <c r="J984" s="7" t="s">
        <v>134</v>
      </c>
      <c r="K984" s="7"/>
      <c r="L984" s="7"/>
      <c r="M984" s="7"/>
      <c r="N984" s="7" t="s">
        <v>410</v>
      </c>
      <c r="O984" s="7" t="s">
        <v>162</v>
      </c>
      <c r="P984" s="7" t="s">
        <v>6757</v>
      </c>
      <c r="Q984" s="129">
        <v>46199</v>
      </c>
      <c r="R984" s="130">
        <f t="shared" si="117"/>
        <v>46199</v>
      </c>
      <c r="S984" s="131">
        <f t="shared" si="116"/>
        <v>0</v>
      </c>
      <c r="T984" s="7" t="s">
        <v>220</v>
      </c>
      <c r="U984" s="7" t="s">
        <v>372</v>
      </c>
      <c r="V984" s="7"/>
      <c r="W984" s="7"/>
      <c r="X984" s="132">
        <f t="shared" si="114"/>
        <v>10</v>
      </c>
      <c r="Y984" s="133"/>
      <c r="Z984" s="133"/>
      <c r="AA984" s="133"/>
    </row>
    <row r="985" spans="1:27" hidden="1" x14ac:dyDescent="0.25">
      <c r="A985" s="127">
        <v>1103</v>
      </c>
      <c r="B985" s="128" t="str">
        <f t="shared" si="115"/>
        <v>MINT</v>
      </c>
      <c r="C985" s="128" t="e">
        <f>+VLOOKUP(U985,Ходим!A:B,2,0)</f>
        <v>#N/A</v>
      </c>
      <c r="D985" s="128" t="str">
        <f>IFERROR(VLOOKUP($B:$B,[20]свод!$A:$AB,3,0)," ")</f>
        <v>Мингбулоқ тумани</v>
      </c>
      <c r="E985" s="7" t="s">
        <v>2125</v>
      </c>
      <c r="F985" s="7" t="s">
        <v>8518</v>
      </c>
      <c r="G985" s="134">
        <f t="shared" si="118"/>
        <v>1</v>
      </c>
      <c r="H985" s="134" t="str">
        <f t="shared" si="119"/>
        <v/>
      </c>
      <c r="I985" s="7" t="s">
        <v>156</v>
      </c>
      <c r="J985" s="7" t="s">
        <v>11</v>
      </c>
      <c r="K985" s="7"/>
      <c r="L985" s="7"/>
      <c r="M985" s="7"/>
      <c r="N985" s="7" t="s">
        <v>170</v>
      </c>
      <c r="O985" s="7" t="s">
        <v>162</v>
      </c>
      <c r="P985" s="7" t="s">
        <v>6756</v>
      </c>
      <c r="Q985" s="129">
        <v>46199</v>
      </c>
      <c r="R985" s="130">
        <f t="shared" si="117"/>
        <v>46212</v>
      </c>
      <c r="S985" s="131">
        <f t="shared" si="116"/>
        <v>13</v>
      </c>
      <c r="T985" s="7"/>
      <c r="U985" s="7"/>
      <c r="V985" s="7"/>
      <c r="W985" s="7"/>
      <c r="X985" s="132">
        <f t="shared" si="114"/>
        <v>10</v>
      </c>
      <c r="Y985" s="133"/>
      <c r="Z985" s="133"/>
      <c r="AA985" s="133"/>
    </row>
    <row r="986" spans="1:27" hidden="1" x14ac:dyDescent="0.25">
      <c r="A986" s="127">
        <v>1105</v>
      </c>
      <c r="B986" s="128" t="str">
        <f t="shared" si="115"/>
        <v>UYCT</v>
      </c>
      <c r="C986" s="128" t="str">
        <f>+VLOOKUP(U986,Ходим!A:B,2,0)</f>
        <v>52811025930077</v>
      </c>
      <c r="D986" s="128" t="str">
        <f>IFERROR(VLOOKUP($B:$B,[20]свод!$A:$AB,3,0)," ")</f>
        <v>Уйчи тумани</v>
      </c>
      <c r="E986" s="7" t="s">
        <v>2126</v>
      </c>
      <c r="F986" s="7" t="s">
        <v>8519</v>
      </c>
      <c r="G986" s="134">
        <f t="shared" si="118"/>
        <v>1</v>
      </c>
      <c r="H986" s="134" t="str">
        <f t="shared" si="119"/>
        <v/>
      </c>
      <c r="I986" s="7" t="s">
        <v>156</v>
      </c>
      <c r="J986" s="7" t="s">
        <v>25</v>
      </c>
      <c r="K986" s="7"/>
      <c r="L986" s="7"/>
      <c r="M986" s="7"/>
      <c r="N986" s="7" t="s">
        <v>170</v>
      </c>
      <c r="O986" s="7" t="s">
        <v>162</v>
      </c>
      <c r="P986" s="7" t="s">
        <v>6758</v>
      </c>
      <c r="Q986" s="129">
        <v>46199</v>
      </c>
      <c r="R986" s="130">
        <f t="shared" si="117"/>
        <v>46206</v>
      </c>
      <c r="S986" s="131">
        <f t="shared" si="116"/>
        <v>7</v>
      </c>
      <c r="T986" s="7" t="s">
        <v>947</v>
      </c>
      <c r="U986" s="7" t="s">
        <v>356</v>
      </c>
      <c r="V986" s="7"/>
      <c r="W986" s="7"/>
      <c r="X986" s="132">
        <f t="shared" si="114"/>
        <v>10</v>
      </c>
      <c r="Y986" s="133"/>
      <c r="Z986" s="133"/>
      <c r="AA986" s="133"/>
    </row>
    <row r="987" spans="1:27" hidden="1" x14ac:dyDescent="0.25">
      <c r="A987" s="127">
        <v>1106</v>
      </c>
      <c r="B987" s="128" t="str">
        <f t="shared" si="115"/>
        <v>NAMS</v>
      </c>
      <c r="C987" s="128" t="str">
        <f>+VLOOKUP(U987,Ходим!A:B,2,0)</f>
        <v>31608732170178</v>
      </c>
      <c r="D987" s="128" t="str">
        <f>IFERROR(VLOOKUP($B:$B,[20]свод!$A:$AB,3,0)," ")</f>
        <v>Наманган шаҳар</v>
      </c>
      <c r="E987" s="7" t="s">
        <v>2127</v>
      </c>
      <c r="F987" s="7" t="s">
        <v>8520</v>
      </c>
      <c r="G987" s="134">
        <f t="shared" si="118"/>
        <v>1</v>
      </c>
      <c r="H987" s="134" t="str">
        <f t="shared" si="119"/>
        <v/>
      </c>
      <c r="I987" s="7" t="s">
        <v>156</v>
      </c>
      <c r="J987" s="7" t="s">
        <v>25</v>
      </c>
      <c r="K987" s="7"/>
      <c r="L987" s="7"/>
      <c r="M987" s="7"/>
      <c r="N987" s="7" t="s">
        <v>170</v>
      </c>
      <c r="O987" s="7" t="s">
        <v>162</v>
      </c>
      <c r="P987" s="7" t="s">
        <v>6758</v>
      </c>
      <c r="Q987" s="129">
        <v>46199</v>
      </c>
      <c r="R987" s="130">
        <f t="shared" si="117"/>
        <v>46206</v>
      </c>
      <c r="S987" s="131">
        <f t="shared" si="116"/>
        <v>7</v>
      </c>
      <c r="T987" s="7" t="s">
        <v>173</v>
      </c>
      <c r="U987" s="7" t="s">
        <v>267</v>
      </c>
      <c r="V987" s="7"/>
      <c r="W987" s="7"/>
      <c r="X987" s="132">
        <f t="shared" si="114"/>
        <v>10</v>
      </c>
      <c r="Y987" s="133"/>
      <c r="Z987" s="133"/>
      <c r="AA987" s="133"/>
    </row>
    <row r="988" spans="1:27" hidden="1" x14ac:dyDescent="0.25">
      <c r="A988" s="127">
        <v>1107</v>
      </c>
      <c r="B988" s="128" t="str">
        <f t="shared" si="115"/>
        <v>MINT</v>
      </c>
      <c r="C988" s="128" t="str">
        <f>+VLOOKUP(U988,Ходим!A:B,2,0)</f>
        <v>30906922130016</v>
      </c>
      <c r="D988" s="128" t="str">
        <f>IFERROR(VLOOKUP($B:$B,[20]свод!$A:$AB,3,0)," ")</f>
        <v>Мингбулоқ тумани</v>
      </c>
      <c r="E988" s="7" t="s">
        <v>2128</v>
      </c>
      <c r="F988" s="7" t="s">
        <v>8521</v>
      </c>
      <c r="G988" s="134">
        <f t="shared" si="118"/>
        <v>1</v>
      </c>
      <c r="H988" s="134" t="str">
        <f t="shared" si="119"/>
        <v/>
      </c>
      <c r="I988" s="7" t="s">
        <v>158</v>
      </c>
      <c r="J988" s="7" t="s">
        <v>2</v>
      </c>
      <c r="K988" s="7"/>
      <c r="L988" s="7" t="s">
        <v>167</v>
      </c>
      <c r="M988" s="7" t="s">
        <v>4844</v>
      </c>
      <c r="N988" s="7" t="s">
        <v>410</v>
      </c>
      <c r="O988" s="7" t="s">
        <v>162</v>
      </c>
      <c r="P988" s="7" t="s">
        <v>6759</v>
      </c>
      <c r="Q988" s="129">
        <v>46199</v>
      </c>
      <c r="R988" s="130">
        <f t="shared" si="117"/>
        <v>46204</v>
      </c>
      <c r="S988" s="131">
        <f t="shared" si="116"/>
        <v>5</v>
      </c>
      <c r="T988" s="7" t="s">
        <v>220</v>
      </c>
      <c r="U988" s="7" t="s">
        <v>178</v>
      </c>
      <c r="V988" s="7"/>
      <c r="W988" s="7">
        <v>388</v>
      </c>
      <c r="X988" s="132">
        <f t="shared" si="114"/>
        <v>10</v>
      </c>
      <c r="Y988" s="133"/>
      <c r="Z988" s="133"/>
      <c r="AA988" s="133"/>
    </row>
    <row r="989" spans="1:27" hidden="1" x14ac:dyDescent="0.25">
      <c r="A989" s="127">
        <v>1108</v>
      </c>
      <c r="B989" s="128" t="str">
        <f t="shared" si="115"/>
        <v>TORT</v>
      </c>
      <c r="C989" s="128" t="str">
        <f>+VLOOKUP(U989,Ходим!A:B,2,0)</f>
        <v>31704782130035</v>
      </c>
      <c r="D989" s="128" t="str">
        <f>IFERROR(VLOOKUP($B:$B,[20]свод!$A:$AB,3,0)," ")</f>
        <v>Тўрақўрғон тумани</v>
      </c>
      <c r="E989" s="7" t="s">
        <v>2129</v>
      </c>
      <c r="F989" s="7"/>
      <c r="G989" s="134">
        <f t="shared" si="118"/>
        <v>1</v>
      </c>
      <c r="H989" s="134" t="str">
        <f t="shared" si="119"/>
        <v/>
      </c>
      <c r="I989" s="7" t="s">
        <v>154</v>
      </c>
      <c r="J989" s="7" t="s">
        <v>2</v>
      </c>
      <c r="K989" s="7"/>
      <c r="L989" s="7" t="s">
        <v>167</v>
      </c>
      <c r="M989" s="7" t="s">
        <v>4845</v>
      </c>
      <c r="N989" s="7" t="s">
        <v>368</v>
      </c>
      <c r="O989" s="7"/>
      <c r="P989" s="7" t="s">
        <v>6760</v>
      </c>
      <c r="Q989" s="129">
        <v>46199</v>
      </c>
      <c r="R989" s="130">
        <f t="shared" si="117"/>
        <v>46205</v>
      </c>
      <c r="S989" s="131">
        <f t="shared" si="116"/>
        <v>6</v>
      </c>
      <c r="T989" s="7"/>
      <c r="U989" s="7" t="s">
        <v>344</v>
      </c>
      <c r="V989" s="7"/>
      <c r="W989" s="7">
        <v>186</v>
      </c>
      <c r="X989" s="132">
        <f t="shared" si="114"/>
        <v>5</v>
      </c>
      <c r="Y989" s="133"/>
      <c r="Z989" s="133"/>
      <c r="AA989" s="133"/>
    </row>
    <row r="990" spans="1:27" hidden="1" x14ac:dyDescent="0.25">
      <c r="A990" s="127">
        <v>1109</v>
      </c>
      <c r="B990" s="128" t="str">
        <f t="shared" si="115"/>
        <v>KSST</v>
      </c>
      <c r="C990" s="128" t="str">
        <f>+VLOOKUP(U990,Ходим!A:B,2,0)</f>
        <v>31810912190036</v>
      </c>
      <c r="D990" s="128" t="str">
        <f>IFERROR(VLOOKUP($B:$B,[20]свод!$A:$AB,3,0)," ")</f>
        <v>Косонсой тумани</v>
      </c>
      <c r="E990" s="7" t="s">
        <v>2130</v>
      </c>
      <c r="F990" s="7" t="s">
        <v>8522</v>
      </c>
      <c r="G990" s="134">
        <f t="shared" si="118"/>
        <v>1</v>
      </c>
      <c r="H990" s="134" t="str">
        <f t="shared" si="119"/>
        <v/>
      </c>
      <c r="I990" s="7" t="s">
        <v>158</v>
      </c>
      <c r="J990" s="7" t="s">
        <v>1</v>
      </c>
      <c r="K990" s="7"/>
      <c r="L990" s="7" t="s">
        <v>167</v>
      </c>
      <c r="M990" s="7" t="s">
        <v>4846</v>
      </c>
      <c r="N990" s="7" t="s">
        <v>170</v>
      </c>
      <c r="O990" s="7" t="s">
        <v>162</v>
      </c>
      <c r="P990" s="7" t="s">
        <v>6761</v>
      </c>
      <c r="Q990" s="129">
        <v>46199</v>
      </c>
      <c r="R990" s="130">
        <f t="shared" si="117"/>
        <v>46206</v>
      </c>
      <c r="S990" s="131">
        <f t="shared" si="116"/>
        <v>7</v>
      </c>
      <c r="T990" s="7" t="s">
        <v>180</v>
      </c>
      <c r="U990" s="7" t="s">
        <v>196</v>
      </c>
      <c r="V990" s="7"/>
      <c r="W990" s="7">
        <v>629.04</v>
      </c>
      <c r="X990" s="132">
        <f t="shared" si="114"/>
        <v>10</v>
      </c>
      <c r="Y990" s="133"/>
      <c r="Z990" s="133"/>
      <c r="AA990" s="133"/>
    </row>
    <row r="991" spans="1:27" hidden="1" x14ac:dyDescent="0.25">
      <c r="A991" s="127">
        <v>1110</v>
      </c>
      <c r="B991" s="128" t="str">
        <f t="shared" si="115"/>
        <v>CHUT</v>
      </c>
      <c r="C991" s="128" t="str">
        <f>+VLOOKUP(U991,Ходим!A:B,2,0)</f>
        <v>31509882180058</v>
      </c>
      <c r="D991" s="128" t="str">
        <f>IFERROR(VLOOKUP($B:$B,[20]свод!$A:$AB,3,0)," ")</f>
        <v>Чуст тумани</v>
      </c>
      <c r="E991" s="7" t="s">
        <v>2131</v>
      </c>
      <c r="F991" s="7" t="s">
        <v>8523</v>
      </c>
      <c r="G991" s="134" t="str">
        <f t="shared" si="118"/>
        <v/>
      </c>
      <c r="H991" s="134">
        <f t="shared" si="119"/>
        <v>1</v>
      </c>
      <c r="I991" s="7" t="s">
        <v>157</v>
      </c>
      <c r="J991" s="7" t="s">
        <v>1</v>
      </c>
      <c r="K991" s="7"/>
      <c r="L991" s="7" t="s">
        <v>166</v>
      </c>
      <c r="M991" s="7" t="s">
        <v>4847</v>
      </c>
      <c r="N991" s="7" t="s">
        <v>410</v>
      </c>
      <c r="O991" s="7" t="s">
        <v>161</v>
      </c>
      <c r="P991" s="7" t="s">
        <v>6361</v>
      </c>
      <c r="Q991" s="129">
        <v>46199</v>
      </c>
      <c r="R991" s="130">
        <f t="shared" si="117"/>
        <v>46206</v>
      </c>
      <c r="S991" s="131">
        <f t="shared" si="116"/>
        <v>7</v>
      </c>
      <c r="T991" s="7" t="s">
        <v>178</v>
      </c>
      <c r="U991" s="7" t="s">
        <v>324</v>
      </c>
      <c r="V991" s="7"/>
      <c r="W991" s="7">
        <v>371.52</v>
      </c>
      <c r="X991" s="132">
        <f t="shared" si="114"/>
        <v>12</v>
      </c>
      <c r="Y991" s="133"/>
      <c r="Z991" s="133"/>
      <c r="AA991" s="133"/>
    </row>
    <row r="992" spans="1:27" hidden="1" x14ac:dyDescent="0.25">
      <c r="A992" s="127">
        <v>1111</v>
      </c>
      <c r="B992" s="128" t="str">
        <f t="shared" si="115"/>
        <v>CHUT</v>
      </c>
      <c r="C992" s="128" t="str">
        <f>+VLOOKUP(U992,Ходим!A:B,2,0)</f>
        <v>31509882180058</v>
      </c>
      <c r="D992" s="128" t="str">
        <f>IFERROR(VLOOKUP($B:$B,[20]свод!$A:$AB,3,0)," ")</f>
        <v>Чуст тумани</v>
      </c>
      <c r="E992" s="7" t="s">
        <v>2132</v>
      </c>
      <c r="F992" s="7" t="s">
        <v>8524</v>
      </c>
      <c r="G992" s="134">
        <f t="shared" si="118"/>
        <v>1</v>
      </c>
      <c r="H992" s="134" t="str">
        <f t="shared" si="119"/>
        <v/>
      </c>
      <c r="I992" s="7" t="s">
        <v>158</v>
      </c>
      <c r="J992" s="7" t="s">
        <v>172</v>
      </c>
      <c r="K992" s="7"/>
      <c r="L992" s="7" t="s">
        <v>167</v>
      </c>
      <c r="M992" s="7" t="s">
        <v>4848</v>
      </c>
      <c r="N992" s="7" t="s">
        <v>170</v>
      </c>
      <c r="O992" s="7" t="s">
        <v>162</v>
      </c>
      <c r="P992" s="7" t="s">
        <v>6761</v>
      </c>
      <c r="Q992" s="129">
        <v>46199</v>
      </c>
      <c r="R992" s="130">
        <f t="shared" si="117"/>
        <v>46206</v>
      </c>
      <c r="S992" s="131">
        <f t="shared" si="116"/>
        <v>7</v>
      </c>
      <c r="T992" s="7" t="s">
        <v>178</v>
      </c>
      <c r="U992" s="7" t="s">
        <v>324</v>
      </c>
      <c r="V992" s="7"/>
      <c r="W992" s="7">
        <v>286.73</v>
      </c>
      <c r="X992" s="132">
        <f t="shared" si="114"/>
        <v>10</v>
      </c>
      <c r="Y992" s="133"/>
      <c r="Z992" s="133"/>
      <c r="AA992" s="133"/>
    </row>
    <row r="993" spans="1:27" x14ac:dyDescent="0.25">
      <c r="A993" s="127">
        <v>1112</v>
      </c>
      <c r="B993" s="128" t="str">
        <f t="shared" si="115"/>
        <v>YGQT</v>
      </c>
      <c r="C993" s="128" t="str">
        <f>+VLOOKUP(U993,Ходим!A:B,2,0)</f>
        <v>30107965950010</v>
      </c>
      <c r="D993" s="128" t="str">
        <f>IFERROR(VLOOKUP($B:$B,[20]свод!$A:$AB,3,0)," ")</f>
        <v>Янгиқўрғон тумани</v>
      </c>
      <c r="E993" s="7" t="s">
        <v>2133</v>
      </c>
      <c r="F993" s="7" t="s">
        <v>8525</v>
      </c>
      <c r="G993" s="134">
        <f t="shared" si="118"/>
        <v>1</v>
      </c>
      <c r="H993" s="134" t="str">
        <f t="shared" si="119"/>
        <v/>
      </c>
      <c r="I993" s="7" t="s">
        <v>158</v>
      </c>
      <c r="J993" s="7" t="s">
        <v>55</v>
      </c>
      <c r="K993" s="7"/>
      <c r="L993" s="7" t="s">
        <v>167</v>
      </c>
      <c r="M993" s="7" t="s">
        <v>4849</v>
      </c>
      <c r="N993" s="7" t="s">
        <v>170</v>
      </c>
      <c r="O993" s="7" t="s">
        <v>162</v>
      </c>
      <c r="P993" s="7" t="s">
        <v>6762</v>
      </c>
      <c r="Q993" s="129">
        <v>46199</v>
      </c>
      <c r="R993" s="130">
        <f t="shared" si="117"/>
        <v>46192</v>
      </c>
      <c r="S993" s="131">
        <f t="shared" si="116"/>
        <v>-7</v>
      </c>
      <c r="T993" s="7" t="s">
        <v>182</v>
      </c>
      <c r="U993" s="7" t="s">
        <v>244</v>
      </c>
      <c r="V993" s="7" t="s">
        <v>965</v>
      </c>
      <c r="W993" s="7">
        <v>285.67</v>
      </c>
      <c r="X993" s="132">
        <f t="shared" si="114"/>
        <v>5</v>
      </c>
      <c r="Y993" s="133"/>
      <c r="Z993" s="133"/>
      <c r="AA993" s="133"/>
    </row>
    <row r="994" spans="1:27" x14ac:dyDescent="0.25">
      <c r="A994" s="127">
        <v>1114</v>
      </c>
      <c r="B994" s="128" t="str">
        <f t="shared" si="115"/>
        <v>TORT</v>
      </c>
      <c r="C994" s="128">
        <f>+VLOOKUP(U994,Ходим!A:B,2,0)</f>
        <v>30603862130011</v>
      </c>
      <c r="D994" s="128" t="str">
        <f>IFERROR(VLOOKUP($B:$B,[20]свод!$A:$AB,3,0)," ")</f>
        <v>Тўрақўрғон тумани</v>
      </c>
      <c r="E994" s="7" t="s">
        <v>2134</v>
      </c>
      <c r="F994" s="7" t="s">
        <v>8526</v>
      </c>
      <c r="G994" s="134">
        <f t="shared" si="118"/>
        <v>1</v>
      </c>
      <c r="H994" s="134" t="str">
        <f t="shared" si="119"/>
        <v/>
      </c>
      <c r="I994" s="7" t="s">
        <v>158</v>
      </c>
      <c r="J994" s="7" t="s">
        <v>1</v>
      </c>
      <c r="K994" s="7"/>
      <c r="L994" s="7" t="s">
        <v>167</v>
      </c>
      <c r="M994" s="7" t="s">
        <v>4850</v>
      </c>
      <c r="N994" s="7" t="s">
        <v>170</v>
      </c>
      <c r="O994" s="7" t="s">
        <v>162</v>
      </c>
      <c r="P994" s="7" t="s">
        <v>6676</v>
      </c>
      <c r="Q994" s="129">
        <v>46199</v>
      </c>
      <c r="R994" s="130">
        <f t="shared" si="117"/>
        <v>46199</v>
      </c>
      <c r="S994" s="131">
        <f t="shared" si="116"/>
        <v>0</v>
      </c>
      <c r="T994" s="7" t="s">
        <v>309</v>
      </c>
      <c r="U994" s="7" t="s">
        <v>950</v>
      </c>
      <c r="V994" s="7"/>
      <c r="W994" s="7">
        <v>24.24</v>
      </c>
      <c r="X994" s="132">
        <f t="shared" si="114"/>
        <v>10</v>
      </c>
      <c r="Y994" s="133"/>
      <c r="Z994" s="133"/>
      <c r="AA994" s="133"/>
    </row>
    <row r="995" spans="1:27" hidden="1" x14ac:dyDescent="0.25">
      <c r="A995" s="127">
        <v>1115</v>
      </c>
      <c r="B995" s="128" t="str">
        <f t="shared" si="115"/>
        <v>MINT</v>
      </c>
      <c r="C995" s="128" t="e">
        <f>+VLOOKUP(U995,Ходим!A:B,2,0)</f>
        <v>#N/A</v>
      </c>
      <c r="D995" s="128" t="str">
        <f>IFERROR(VLOOKUP($B:$B,[20]свод!$A:$AB,3,0)," ")</f>
        <v>Мингбулоқ тумани</v>
      </c>
      <c r="E995" s="7" t="s">
        <v>2135</v>
      </c>
      <c r="F995" s="7" t="s">
        <v>8527</v>
      </c>
      <c r="G995" s="134">
        <f t="shared" si="118"/>
        <v>1</v>
      </c>
      <c r="H995" s="134" t="str">
        <f t="shared" si="119"/>
        <v/>
      </c>
      <c r="I995" s="7" t="s">
        <v>156</v>
      </c>
      <c r="J995" s="7" t="s">
        <v>11</v>
      </c>
      <c r="K995" s="7"/>
      <c r="L995" s="7" t="s">
        <v>167</v>
      </c>
      <c r="M995" s="7" t="s">
        <v>4851</v>
      </c>
      <c r="N995" s="7" t="s">
        <v>410</v>
      </c>
      <c r="O995" s="7" t="s">
        <v>162</v>
      </c>
      <c r="P995" s="7" t="s">
        <v>6763</v>
      </c>
      <c r="Q995" s="129">
        <v>46199</v>
      </c>
      <c r="R995" s="130">
        <f t="shared" si="117"/>
        <v>46212</v>
      </c>
      <c r="S995" s="131">
        <f t="shared" si="116"/>
        <v>13</v>
      </c>
      <c r="T995" s="7"/>
      <c r="U995" s="7"/>
      <c r="V995" s="7"/>
      <c r="W995" s="7">
        <v>274.02</v>
      </c>
      <c r="X995" s="132">
        <f t="shared" si="114"/>
        <v>10</v>
      </c>
      <c r="Y995" s="133"/>
      <c r="Z995" s="133"/>
      <c r="AA995" s="133"/>
    </row>
    <row r="996" spans="1:27" hidden="1" x14ac:dyDescent="0.25">
      <c r="A996" s="127">
        <v>1116</v>
      </c>
      <c r="B996" s="128" t="str">
        <f t="shared" si="115"/>
        <v>NAMS</v>
      </c>
      <c r="C996" s="128" t="str">
        <f>+VLOOKUP(U996,Ходим!A:B,2,0)</f>
        <v>31608732170178</v>
      </c>
      <c r="D996" s="128" t="str">
        <f>IFERROR(VLOOKUP($B:$B,[20]свод!$A:$AB,3,0)," ")</f>
        <v>Наманган шаҳар</v>
      </c>
      <c r="E996" s="7" t="s">
        <v>2136</v>
      </c>
      <c r="F996" s="7" t="s">
        <v>8528</v>
      </c>
      <c r="G996" s="134">
        <f t="shared" si="118"/>
        <v>1</v>
      </c>
      <c r="H996" s="134" t="str">
        <f t="shared" si="119"/>
        <v/>
      </c>
      <c r="I996" s="7" t="s">
        <v>156</v>
      </c>
      <c r="J996" s="7" t="s">
        <v>25</v>
      </c>
      <c r="K996" s="7"/>
      <c r="L996" s="7"/>
      <c r="M996" s="7"/>
      <c r="N996" s="7" t="s">
        <v>170</v>
      </c>
      <c r="O996" s="7" t="s">
        <v>162</v>
      </c>
      <c r="P996" s="7" t="s">
        <v>6763</v>
      </c>
      <c r="Q996" s="129">
        <v>46199</v>
      </c>
      <c r="R996" s="130">
        <f t="shared" si="117"/>
        <v>46212</v>
      </c>
      <c r="S996" s="131">
        <f t="shared" si="116"/>
        <v>13</v>
      </c>
      <c r="T996" s="7" t="s">
        <v>173</v>
      </c>
      <c r="U996" s="7" t="s">
        <v>267</v>
      </c>
      <c r="V996" s="7"/>
      <c r="W996" s="7"/>
      <c r="X996" s="132">
        <f t="shared" si="114"/>
        <v>10</v>
      </c>
      <c r="Y996" s="133"/>
      <c r="Z996" s="133"/>
      <c r="AA996" s="133"/>
    </row>
    <row r="997" spans="1:27" hidden="1" x14ac:dyDescent="0.25">
      <c r="A997" s="127">
        <v>1117</v>
      </c>
      <c r="B997" s="128" t="str">
        <f t="shared" si="115"/>
        <v>NAMS</v>
      </c>
      <c r="C997" s="128">
        <f>+VLOOKUP(U997,Ходим!A:B,2,0)</f>
        <v>52004005950071</v>
      </c>
      <c r="D997" s="128" t="str">
        <f>IFERROR(VLOOKUP($B:$B,[20]свод!$A:$AB,3,0)," ")</f>
        <v>Наманган шаҳар</v>
      </c>
      <c r="E997" s="7" t="s">
        <v>2137</v>
      </c>
      <c r="F997" s="7" t="s">
        <v>8529</v>
      </c>
      <c r="G997" s="134">
        <f t="shared" si="118"/>
        <v>1</v>
      </c>
      <c r="H997" s="134" t="str">
        <f t="shared" si="119"/>
        <v/>
      </c>
      <c r="I997" s="7" t="s">
        <v>156</v>
      </c>
      <c r="J997" s="7" t="s">
        <v>25</v>
      </c>
      <c r="K997" s="7"/>
      <c r="L997" s="7"/>
      <c r="M997" s="7"/>
      <c r="N997" s="7" t="s">
        <v>170</v>
      </c>
      <c r="O997" s="7" t="s">
        <v>162</v>
      </c>
      <c r="P997" s="7" t="s">
        <v>6763</v>
      </c>
      <c r="Q997" s="129">
        <v>46199</v>
      </c>
      <c r="R997" s="130">
        <f t="shared" si="117"/>
        <v>46212</v>
      </c>
      <c r="S997" s="131">
        <f t="shared" si="116"/>
        <v>13</v>
      </c>
      <c r="T997" s="7" t="s">
        <v>173</v>
      </c>
      <c r="U997" s="7" t="s">
        <v>1015</v>
      </c>
      <c r="V997" s="7"/>
      <c r="W997" s="7"/>
      <c r="X997" s="132">
        <f t="shared" si="114"/>
        <v>10</v>
      </c>
      <c r="Y997" s="133"/>
      <c r="Z997" s="133"/>
      <c r="AA997" s="133"/>
    </row>
    <row r="998" spans="1:27" hidden="1" x14ac:dyDescent="0.25">
      <c r="A998" s="127">
        <v>1118</v>
      </c>
      <c r="B998" s="128" t="str">
        <f t="shared" si="115"/>
        <v>UCQT</v>
      </c>
      <c r="C998" s="128" t="e">
        <f>+VLOOKUP(U998,Ходим!A:B,2,0)</f>
        <v>#N/A</v>
      </c>
      <c r="D998" s="128" t="str">
        <f>IFERROR(VLOOKUP($B:$B,[20]свод!$A:$AB,3,0)," ")</f>
        <v>Учқўрғон тумани</v>
      </c>
      <c r="E998" s="7" t="s">
        <v>2138</v>
      </c>
      <c r="F998" s="7" t="s">
        <v>8530</v>
      </c>
      <c r="G998" s="134">
        <f t="shared" si="118"/>
        <v>1</v>
      </c>
      <c r="H998" s="134" t="str">
        <f t="shared" si="119"/>
        <v/>
      </c>
      <c r="I998" s="7" t="s">
        <v>156</v>
      </c>
      <c r="J998" s="7" t="s">
        <v>11</v>
      </c>
      <c r="K998" s="7"/>
      <c r="L998" s="7"/>
      <c r="M998" s="7"/>
      <c r="N998" s="7" t="s">
        <v>170</v>
      </c>
      <c r="O998" s="7" t="s">
        <v>162</v>
      </c>
      <c r="P998" s="7" t="s">
        <v>6763</v>
      </c>
      <c r="Q998" s="129">
        <v>46199</v>
      </c>
      <c r="R998" s="130">
        <f t="shared" si="117"/>
        <v>46212</v>
      </c>
      <c r="S998" s="131">
        <f t="shared" si="116"/>
        <v>13</v>
      </c>
      <c r="T998" s="7"/>
      <c r="U998" s="7"/>
      <c r="V998" s="7"/>
      <c r="W998" s="7"/>
      <c r="X998" s="132">
        <f t="shared" si="114"/>
        <v>10</v>
      </c>
      <c r="Y998" s="133"/>
      <c r="Z998" s="133"/>
      <c r="AA998" s="133"/>
    </row>
    <row r="999" spans="1:27" hidden="1" x14ac:dyDescent="0.25">
      <c r="A999" s="127">
        <v>1119</v>
      </c>
      <c r="B999" s="128" t="str">
        <f t="shared" si="115"/>
        <v>NAMS</v>
      </c>
      <c r="C999" s="128" t="str">
        <f>+VLOOKUP(U999,Ходим!A:B,2,0)</f>
        <v>32207925880019</v>
      </c>
      <c r="D999" s="128" t="str">
        <f>IFERROR(VLOOKUP($B:$B,[20]свод!$A:$AB,3,0)," ")</f>
        <v>Наманган шаҳар</v>
      </c>
      <c r="E999" s="7" t="s">
        <v>2139</v>
      </c>
      <c r="F999" s="7" t="s">
        <v>8531</v>
      </c>
      <c r="G999" s="134">
        <f t="shared" si="118"/>
        <v>1</v>
      </c>
      <c r="H999" s="134" t="str">
        <f t="shared" si="119"/>
        <v/>
      </c>
      <c r="I999" s="7" t="s">
        <v>156</v>
      </c>
      <c r="J999" s="7" t="s">
        <v>25</v>
      </c>
      <c r="K999" s="7"/>
      <c r="L999" s="7"/>
      <c r="M999" s="7"/>
      <c r="N999" s="7" t="s">
        <v>170</v>
      </c>
      <c r="O999" s="7" t="s">
        <v>162</v>
      </c>
      <c r="P999" s="7" t="s">
        <v>6763</v>
      </c>
      <c r="Q999" s="129">
        <v>46199</v>
      </c>
      <c r="R999" s="130">
        <f t="shared" si="117"/>
        <v>46212</v>
      </c>
      <c r="S999" s="131">
        <f t="shared" si="116"/>
        <v>13</v>
      </c>
      <c r="T999" s="7" t="s">
        <v>173</v>
      </c>
      <c r="U999" s="7" t="s">
        <v>174</v>
      </c>
      <c r="V999" s="7"/>
      <c r="W999" s="7"/>
      <c r="X999" s="132">
        <f t="shared" si="114"/>
        <v>10</v>
      </c>
      <c r="Y999" s="133"/>
      <c r="Z999" s="133"/>
      <c r="AA999" s="133"/>
    </row>
    <row r="1000" spans="1:27" hidden="1" x14ac:dyDescent="0.25">
      <c r="A1000" s="127">
        <v>1120</v>
      </c>
      <c r="B1000" s="128" t="str">
        <f t="shared" si="115"/>
        <v>NAMS</v>
      </c>
      <c r="C1000" s="128" t="str">
        <f>+VLOOKUP(U1000,Ходим!A:B,2,0)</f>
        <v>31007955980023</v>
      </c>
      <c r="D1000" s="128" t="str">
        <f>IFERROR(VLOOKUP($B:$B,[20]свод!$A:$AB,3,0)," ")</f>
        <v>Наманган шаҳар</v>
      </c>
      <c r="E1000" s="7" t="s">
        <v>2140</v>
      </c>
      <c r="F1000" s="7" t="s">
        <v>8532</v>
      </c>
      <c r="G1000" s="134">
        <f t="shared" si="118"/>
        <v>1</v>
      </c>
      <c r="H1000" s="134" t="str">
        <f t="shared" si="119"/>
        <v/>
      </c>
      <c r="I1000" s="7" t="s">
        <v>156</v>
      </c>
      <c r="J1000" s="7" t="s">
        <v>25</v>
      </c>
      <c r="K1000" s="7"/>
      <c r="L1000" s="7"/>
      <c r="M1000" s="7"/>
      <c r="N1000" s="7" t="s">
        <v>170</v>
      </c>
      <c r="O1000" s="7" t="s">
        <v>162</v>
      </c>
      <c r="P1000" s="7" t="s">
        <v>6763</v>
      </c>
      <c r="Q1000" s="129">
        <v>46199</v>
      </c>
      <c r="R1000" s="130">
        <f t="shared" si="117"/>
        <v>46212</v>
      </c>
      <c r="S1000" s="131">
        <f t="shared" si="116"/>
        <v>13</v>
      </c>
      <c r="T1000" s="7" t="s">
        <v>173</v>
      </c>
      <c r="U1000" s="7" t="s">
        <v>207</v>
      </c>
      <c r="V1000" s="7"/>
      <c r="W1000" s="7"/>
      <c r="X1000" s="132">
        <f t="shared" si="114"/>
        <v>10</v>
      </c>
      <c r="Y1000" s="133"/>
      <c r="Z1000" s="133"/>
      <c r="AA1000" s="133"/>
    </row>
    <row r="1001" spans="1:27" x14ac:dyDescent="0.25">
      <c r="A1001" s="127">
        <v>1121</v>
      </c>
      <c r="B1001" s="128" t="str">
        <f t="shared" si="115"/>
        <v>MINT</v>
      </c>
      <c r="C1001" s="128" t="str">
        <f>+VLOOKUP(U1001,Ходим!A:B,2,0)</f>
        <v>31205995920018</v>
      </c>
      <c r="D1001" s="128" t="str">
        <f>IFERROR(VLOOKUP($B:$B,[20]свод!$A:$AB,3,0)," ")</f>
        <v>Мингбулоқ тумани</v>
      </c>
      <c r="E1001" s="7" t="s">
        <v>2141</v>
      </c>
      <c r="F1001" s="7" t="s">
        <v>8533</v>
      </c>
      <c r="G1001" s="134">
        <f t="shared" si="118"/>
        <v>1</v>
      </c>
      <c r="H1001" s="134" t="str">
        <f t="shared" si="119"/>
        <v/>
      </c>
      <c r="I1001" s="7" t="s">
        <v>158</v>
      </c>
      <c r="J1001" s="7" t="s">
        <v>10</v>
      </c>
      <c r="K1001" s="7"/>
      <c r="L1001" s="7" t="s">
        <v>167</v>
      </c>
      <c r="M1001" s="7" t="s">
        <v>4852</v>
      </c>
      <c r="N1001" s="7" t="s">
        <v>170</v>
      </c>
      <c r="O1001" s="7" t="s">
        <v>162</v>
      </c>
      <c r="P1001" s="7" t="s">
        <v>6296</v>
      </c>
      <c r="Q1001" s="129">
        <v>46199</v>
      </c>
      <c r="R1001" s="130">
        <f t="shared" si="117"/>
        <v>46199</v>
      </c>
      <c r="S1001" s="131">
        <f t="shared" si="116"/>
        <v>0</v>
      </c>
      <c r="T1001" s="7" t="s">
        <v>220</v>
      </c>
      <c r="U1001" s="7" t="s">
        <v>271</v>
      </c>
      <c r="V1001" s="7"/>
      <c r="W1001" s="7">
        <v>245.93</v>
      </c>
      <c r="X1001" s="132">
        <f t="shared" si="114"/>
        <v>10</v>
      </c>
      <c r="Y1001" s="133"/>
      <c r="Z1001" s="133"/>
      <c r="AA1001" s="133"/>
    </row>
    <row r="1002" spans="1:27" hidden="1" x14ac:dyDescent="0.25">
      <c r="A1002" s="127">
        <v>1122</v>
      </c>
      <c r="B1002" s="128" t="str">
        <f t="shared" si="115"/>
        <v>NAMS</v>
      </c>
      <c r="C1002" s="128" t="str">
        <f>+VLOOKUP(U1002,Ходим!A:B,2,0)</f>
        <v>31309932190035</v>
      </c>
      <c r="D1002" s="128" t="str">
        <f>IFERROR(VLOOKUP($B:$B,[20]свод!$A:$AB,3,0)," ")</f>
        <v>Наманган шаҳар</v>
      </c>
      <c r="E1002" s="7" t="s">
        <v>2142</v>
      </c>
      <c r="F1002" s="7" t="s">
        <v>8534</v>
      </c>
      <c r="G1002" s="134">
        <f t="shared" si="118"/>
        <v>1</v>
      </c>
      <c r="H1002" s="134" t="str">
        <f t="shared" si="119"/>
        <v/>
      </c>
      <c r="I1002" s="7" t="s">
        <v>158</v>
      </c>
      <c r="J1002" s="7" t="s">
        <v>2</v>
      </c>
      <c r="K1002" s="7"/>
      <c r="L1002" s="7" t="s">
        <v>167</v>
      </c>
      <c r="M1002" s="7" t="s">
        <v>4853</v>
      </c>
      <c r="N1002" s="7" t="s">
        <v>170</v>
      </c>
      <c r="O1002" s="7" t="s">
        <v>162</v>
      </c>
      <c r="P1002" s="7" t="s">
        <v>6764</v>
      </c>
      <c r="Q1002" s="129">
        <v>46199</v>
      </c>
      <c r="R1002" s="130">
        <f t="shared" si="117"/>
        <v>46210</v>
      </c>
      <c r="S1002" s="131">
        <f t="shared" si="116"/>
        <v>11</v>
      </c>
      <c r="T1002" s="7" t="s">
        <v>173</v>
      </c>
      <c r="U1002" s="7" t="s">
        <v>237</v>
      </c>
      <c r="V1002" s="7"/>
      <c r="W1002" s="7">
        <v>313.14</v>
      </c>
      <c r="X1002" s="132">
        <f t="shared" si="114"/>
        <v>10</v>
      </c>
      <c r="Y1002" s="133"/>
      <c r="Z1002" s="133"/>
      <c r="AA1002" s="133"/>
    </row>
    <row r="1003" spans="1:27" hidden="1" x14ac:dyDescent="0.25">
      <c r="A1003" s="127">
        <v>1123</v>
      </c>
      <c r="B1003" s="128" t="str">
        <f t="shared" si="115"/>
        <v>UCQT</v>
      </c>
      <c r="C1003" s="128" t="str">
        <f>+VLOOKUP(U1003,Ходим!A:B,2,0)</f>
        <v>32911835940021</v>
      </c>
      <c r="D1003" s="128" t="str">
        <f>IFERROR(VLOOKUP($B:$B,[20]свод!$A:$AB,3,0)," ")</f>
        <v>Учқўрғон тумани</v>
      </c>
      <c r="E1003" s="7" t="s">
        <v>2143</v>
      </c>
      <c r="F1003" s="7" t="s">
        <v>8535</v>
      </c>
      <c r="G1003" s="134">
        <f t="shared" si="118"/>
        <v>1</v>
      </c>
      <c r="H1003" s="134" t="str">
        <f t="shared" si="119"/>
        <v/>
      </c>
      <c r="I1003" s="7" t="s">
        <v>158</v>
      </c>
      <c r="J1003" s="7" t="s">
        <v>2</v>
      </c>
      <c r="K1003" s="7"/>
      <c r="L1003" s="7" t="s">
        <v>167</v>
      </c>
      <c r="M1003" s="7" t="s">
        <v>4854</v>
      </c>
      <c r="N1003" s="7" t="s">
        <v>170</v>
      </c>
      <c r="O1003" s="7" t="s">
        <v>163</v>
      </c>
      <c r="P1003" s="7" t="s">
        <v>6765</v>
      </c>
      <c r="Q1003" s="129">
        <v>46199</v>
      </c>
      <c r="R1003" s="130">
        <f t="shared" si="117"/>
        <v>46206</v>
      </c>
      <c r="S1003" s="131">
        <f t="shared" si="116"/>
        <v>7</v>
      </c>
      <c r="T1003" s="7" t="s">
        <v>175</v>
      </c>
      <c r="U1003" s="7" t="s">
        <v>321</v>
      </c>
      <c r="V1003" s="7"/>
      <c r="W1003" s="7">
        <v>337.98</v>
      </c>
      <c r="X1003" s="132">
        <f t="shared" ref="X1003:X1056" si="120">IF(N1003="Kadastr muhandisi",3,
IF(N1003="UZKAD",5,
IF(V1003="FREE",5,
IF(I1003="Registratsiya (tashqi - UZKAD da bor)",1,
IF(I1003="Avtoyo'l va suv xo'jaligi obyektining kadastr pasportini shakllantirish va ro'yxatga olish",7,
IF(I1003="Notarius uchun ma'lumotnoma (uz)",1,
IF(I1003="Qurilishi tugallangan ko'chmas mulkni foydalanishga qabul qilish",10,
IF(OR(I1003="Turar joy obyektning kadastr pasportini shakllantirish va davlat ro'yxatidan o'tkazish",I1003="Turar kompozit"),
IF(L1003="Turar yer maydoni",7,10),
IF(OR(I1003="Noturar obyektning kadastr pasportini shakllantirish va davlat ro'yxatidan o'tkazish",I1003="Noturar kompozit"),
IF(O1003="Ko‘p yillik daraxtlar xizmati",15,
IF(OR(L1003="Noturar yer maydoni",L1003="Davlat tashkilotlaridan ijaraga olingan yer uchastkasi"),7,
IF(W1003&lt;100,10,IF(W1003&lt;=1000,12,IF(W1003&lt;=5000,17,IF(W1003&lt;=15000,22,IF(W1003&lt;=50000,28,37))))))),
IF(I1003="Umumiy foydalanishdagi ko'chmas mulk qismini yaratish",
IF(IF(TRIM(L1003)="",IF(OR(O1003="Turar joy xizmati",O1003="Yakka tartibdagi turar joy"),"Turar","Noturar"),IF(OR(L1003="Yakka tartibdagi turar joy",L1003="Turar joy xizmati"),"Turar","Noturar"))="Turar",
10,IF(W1003&lt;100,10,IF(W1003&lt;=1000,12,IF(W1003&lt;=5000,17,IF(W1003&lt;=15000,22,IF(W1003&lt;=50000,28,37)))))),
0))))))))))</f>
        <v>10</v>
      </c>
      <c r="Y1003" s="133"/>
      <c r="Z1003" s="133"/>
      <c r="AA1003" s="133"/>
    </row>
    <row r="1004" spans="1:27" hidden="1" x14ac:dyDescent="0.25">
      <c r="A1004" s="127">
        <v>1124</v>
      </c>
      <c r="B1004" s="128" t="str">
        <f t="shared" ref="B1004:B1057" si="121">LEFT(E1004,4)</f>
        <v>NAMS</v>
      </c>
      <c r="C1004" s="128" t="str">
        <f>+VLOOKUP(U1004,Ходим!A:B,2,0)</f>
        <v>31007955980023</v>
      </c>
      <c r="D1004" s="128" t="str">
        <f>IFERROR(VLOOKUP($B:$B,[20]свод!$A:$AB,3,0)," ")</f>
        <v>Наманган шаҳар</v>
      </c>
      <c r="E1004" s="7" t="s">
        <v>2144</v>
      </c>
      <c r="F1004" s="7" t="s">
        <v>8536</v>
      </c>
      <c r="G1004" s="134">
        <f t="shared" si="118"/>
        <v>1</v>
      </c>
      <c r="H1004" s="134" t="str">
        <f t="shared" si="119"/>
        <v/>
      </c>
      <c r="I1004" s="7" t="s">
        <v>158</v>
      </c>
      <c r="J1004" s="7" t="s">
        <v>2</v>
      </c>
      <c r="K1004" s="7"/>
      <c r="L1004" s="7"/>
      <c r="M1004" s="7"/>
      <c r="N1004" s="7" t="s">
        <v>170</v>
      </c>
      <c r="O1004" s="7" t="s">
        <v>162</v>
      </c>
      <c r="P1004" s="7" t="s">
        <v>6415</v>
      </c>
      <c r="Q1004" s="129">
        <v>46199</v>
      </c>
      <c r="R1004" s="130">
        <f t="shared" si="117"/>
        <v>46204</v>
      </c>
      <c r="S1004" s="131">
        <f t="shared" ref="S1004:S1057" si="122">R1004-Q1004</f>
        <v>5</v>
      </c>
      <c r="T1004" s="7" t="s">
        <v>173</v>
      </c>
      <c r="U1004" s="7" t="s">
        <v>207</v>
      </c>
      <c r="V1004" s="7"/>
      <c r="W1004" s="7"/>
      <c r="X1004" s="132">
        <f t="shared" si="120"/>
        <v>10</v>
      </c>
      <c r="Y1004" s="133"/>
      <c r="Z1004" s="133"/>
      <c r="AA1004" s="133"/>
    </row>
    <row r="1005" spans="1:27" hidden="1" x14ac:dyDescent="0.25">
      <c r="A1005" s="127">
        <v>1125</v>
      </c>
      <c r="B1005" s="128" t="str">
        <f t="shared" si="121"/>
        <v>UCQT</v>
      </c>
      <c r="C1005" s="128" t="e">
        <f>+VLOOKUP(U1005,Ходим!A:B,2,0)</f>
        <v>#N/A</v>
      </c>
      <c r="D1005" s="128" t="str">
        <f>IFERROR(VLOOKUP($B:$B,[20]свод!$A:$AB,3,0)," ")</f>
        <v>Учқўрғон тумани</v>
      </c>
      <c r="E1005" s="7" t="s">
        <v>2145</v>
      </c>
      <c r="F1005" s="7" t="s">
        <v>8537</v>
      </c>
      <c r="G1005" s="134">
        <f t="shared" si="118"/>
        <v>1</v>
      </c>
      <c r="H1005" s="134" t="str">
        <f t="shared" si="119"/>
        <v/>
      </c>
      <c r="I1005" s="7" t="s">
        <v>156</v>
      </c>
      <c r="J1005" s="7" t="s">
        <v>11</v>
      </c>
      <c r="K1005" s="7"/>
      <c r="L1005" s="7" t="s">
        <v>167</v>
      </c>
      <c r="M1005" s="7" t="s">
        <v>4855</v>
      </c>
      <c r="N1005" s="7" t="s">
        <v>410</v>
      </c>
      <c r="O1005" s="7" t="s">
        <v>162</v>
      </c>
      <c r="P1005" s="7" t="s">
        <v>6766</v>
      </c>
      <c r="Q1005" s="129">
        <v>46199</v>
      </c>
      <c r="R1005" s="130">
        <f t="shared" si="117"/>
        <v>46212</v>
      </c>
      <c r="S1005" s="131">
        <f t="shared" si="122"/>
        <v>13</v>
      </c>
      <c r="T1005" s="7"/>
      <c r="U1005" s="7"/>
      <c r="V1005" s="7"/>
      <c r="W1005" s="7">
        <v>261.38</v>
      </c>
      <c r="X1005" s="132">
        <f t="shared" si="120"/>
        <v>10</v>
      </c>
      <c r="Y1005" s="133"/>
      <c r="Z1005" s="133"/>
      <c r="AA1005" s="133"/>
    </row>
    <row r="1006" spans="1:27" x14ac:dyDescent="0.25">
      <c r="A1006" s="127">
        <v>1126</v>
      </c>
      <c r="B1006" s="128" t="str">
        <f t="shared" si="121"/>
        <v>CHUT</v>
      </c>
      <c r="C1006" s="128" t="str">
        <f>+VLOOKUP(U1006,Ходим!A:B,2,0)</f>
        <v>30409785970022</v>
      </c>
      <c r="D1006" s="128" t="str">
        <f>IFERROR(VLOOKUP($B:$B,[20]свод!$A:$AB,3,0)," ")</f>
        <v>Чуст тумани</v>
      </c>
      <c r="E1006" s="7" t="s">
        <v>2146</v>
      </c>
      <c r="F1006" s="7" t="s">
        <v>8538</v>
      </c>
      <c r="G1006" s="134" t="str">
        <f t="shared" si="118"/>
        <v/>
      </c>
      <c r="H1006" s="134">
        <f t="shared" si="119"/>
        <v>1</v>
      </c>
      <c r="I1006" s="7" t="s">
        <v>157</v>
      </c>
      <c r="J1006" s="7" t="s">
        <v>12</v>
      </c>
      <c r="K1006" s="7"/>
      <c r="L1006" s="7" t="s">
        <v>166</v>
      </c>
      <c r="M1006" s="7" t="s">
        <v>4856</v>
      </c>
      <c r="N1006" s="7" t="s">
        <v>170</v>
      </c>
      <c r="O1006" s="7" t="s">
        <v>161</v>
      </c>
      <c r="P1006" s="7" t="s">
        <v>6767</v>
      </c>
      <c r="Q1006" s="129">
        <v>46199</v>
      </c>
      <c r="R1006" s="130">
        <f t="shared" si="117"/>
        <v>46197</v>
      </c>
      <c r="S1006" s="131">
        <f t="shared" si="122"/>
        <v>-2</v>
      </c>
      <c r="T1006" s="7" t="s">
        <v>178</v>
      </c>
      <c r="U1006" s="7" t="s">
        <v>191</v>
      </c>
      <c r="V1006" s="7"/>
      <c r="W1006" s="7">
        <v>557.79999999999995</v>
      </c>
      <c r="X1006" s="132">
        <f t="shared" si="120"/>
        <v>12</v>
      </c>
      <c r="Y1006" s="133"/>
      <c r="Z1006" s="133"/>
      <c r="AA1006" s="133"/>
    </row>
    <row r="1007" spans="1:27" hidden="1" x14ac:dyDescent="0.25">
      <c r="A1007" s="127">
        <v>1127</v>
      </c>
      <c r="B1007" s="128" t="str">
        <f t="shared" si="121"/>
        <v>NAMS</v>
      </c>
      <c r="C1007" s="128" t="str">
        <f>+VLOOKUP(U1007,Ходим!A:B,2,0)</f>
        <v>31309932190035</v>
      </c>
      <c r="D1007" s="128" t="str">
        <f>IFERROR(VLOOKUP($B:$B,[20]свод!$A:$AB,3,0)," ")</f>
        <v>Наманган шаҳар</v>
      </c>
      <c r="E1007" s="7" t="s">
        <v>2147</v>
      </c>
      <c r="F1007" s="7" t="s">
        <v>8539</v>
      </c>
      <c r="G1007" s="134">
        <f t="shared" si="118"/>
        <v>1</v>
      </c>
      <c r="H1007" s="134" t="str">
        <f t="shared" si="119"/>
        <v/>
      </c>
      <c r="I1007" s="7" t="s">
        <v>154</v>
      </c>
      <c r="J1007" s="7" t="s">
        <v>100</v>
      </c>
      <c r="K1007" s="7"/>
      <c r="L1007" s="7" t="s">
        <v>167</v>
      </c>
      <c r="M1007" s="7" t="s">
        <v>4857</v>
      </c>
      <c r="N1007" s="7" t="s">
        <v>170</v>
      </c>
      <c r="O1007" s="7" t="s">
        <v>162</v>
      </c>
      <c r="P1007" s="7" t="s">
        <v>6768</v>
      </c>
      <c r="Q1007" s="129">
        <v>46199</v>
      </c>
      <c r="R1007" s="130">
        <f t="shared" si="117"/>
        <v>46210</v>
      </c>
      <c r="S1007" s="131">
        <f t="shared" si="122"/>
        <v>11</v>
      </c>
      <c r="T1007" s="7" t="s">
        <v>173</v>
      </c>
      <c r="U1007" s="7" t="s">
        <v>237</v>
      </c>
      <c r="V1007" s="7"/>
      <c r="W1007" s="7">
        <v>910.74</v>
      </c>
      <c r="X1007" s="132">
        <f t="shared" si="120"/>
        <v>10</v>
      </c>
      <c r="Y1007" s="133"/>
      <c r="Z1007" s="133"/>
      <c r="AA1007" s="133"/>
    </row>
    <row r="1008" spans="1:27" hidden="1" x14ac:dyDescent="0.25">
      <c r="A1008" s="127">
        <v>1128</v>
      </c>
      <c r="B1008" s="128" t="str">
        <f t="shared" si="121"/>
        <v>NAMS</v>
      </c>
      <c r="C1008" s="128" t="str">
        <f>+VLOOKUP(U1008,Ходим!A:B,2,0)</f>
        <v>31309932190035</v>
      </c>
      <c r="D1008" s="128" t="str">
        <f>IFERROR(VLOOKUP($B:$B,[20]свод!$A:$AB,3,0)," ")</f>
        <v>Наманган шаҳар</v>
      </c>
      <c r="E1008" s="7" t="s">
        <v>2148</v>
      </c>
      <c r="F1008" s="7"/>
      <c r="G1008" s="134">
        <f t="shared" si="118"/>
        <v>1</v>
      </c>
      <c r="H1008" s="134" t="str">
        <f t="shared" si="119"/>
        <v/>
      </c>
      <c r="I1008" s="7" t="s">
        <v>154</v>
      </c>
      <c r="J1008" s="7" t="s">
        <v>13</v>
      </c>
      <c r="K1008" s="7"/>
      <c r="L1008" s="7" t="s">
        <v>167</v>
      </c>
      <c r="M1008" s="7" t="s">
        <v>4858</v>
      </c>
      <c r="N1008" s="7" t="s">
        <v>368</v>
      </c>
      <c r="O1008" s="7"/>
      <c r="P1008" s="7" t="s">
        <v>6769</v>
      </c>
      <c r="Q1008" s="129">
        <v>46199</v>
      </c>
      <c r="R1008" s="130">
        <f t="shared" si="117"/>
        <v>46205</v>
      </c>
      <c r="S1008" s="131">
        <f t="shared" si="122"/>
        <v>6</v>
      </c>
      <c r="T1008" s="7"/>
      <c r="U1008" s="7" t="s">
        <v>237</v>
      </c>
      <c r="V1008" s="7"/>
      <c r="W1008" s="7">
        <v>800.84</v>
      </c>
      <c r="X1008" s="132">
        <f t="shared" si="120"/>
        <v>5</v>
      </c>
      <c r="Y1008" s="133"/>
      <c r="Z1008" s="133"/>
      <c r="AA1008" s="133"/>
    </row>
    <row r="1009" spans="1:27" hidden="1" x14ac:dyDescent="0.25">
      <c r="A1009" s="127">
        <v>1129</v>
      </c>
      <c r="B1009" s="128" t="str">
        <f t="shared" si="121"/>
        <v>YGQT</v>
      </c>
      <c r="C1009" s="128" t="str">
        <f>+VLOOKUP(U1009,Ходим!A:B,2,0)</f>
        <v>52009035950022</v>
      </c>
      <c r="D1009" s="128" t="str">
        <f>IFERROR(VLOOKUP($B:$B,[20]свод!$A:$AB,3,0)," ")</f>
        <v>Янгиқўрғон тумани</v>
      </c>
      <c r="E1009" s="7" t="s">
        <v>2149</v>
      </c>
      <c r="F1009" s="7" t="s">
        <v>8540</v>
      </c>
      <c r="G1009" s="134" t="str">
        <f t="shared" si="118"/>
        <v/>
      </c>
      <c r="H1009" s="134">
        <f t="shared" si="119"/>
        <v>1</v>
      </c>
      <c r="I1009" s="7" t="s">
        <v>157</v>
      </c>
      <c r="J1009" s="7" t="s">
        <v>1</v>
      </c>
      <c r="K1009" s="7"/>
      <c r="L1009" s="7" t="s">
        <v>166</v>
      </c>
      <c r="M1009" s="7" t="s">
        <v>4859</v>
      </c>
      <c r="N1009" s="7" t="s">
        <v>170</v>
      </c>
      <c r="O1009" s="7" t="s">
        <v>161</v>
      </c>
      <c r="P1009" s="7" t="s">
        <v>6770</v>
      </c>
      <c r="Q1009" s="129">
        <v>46199</v>
      </c>
      <c r="R1009" s="130">
        <f t="shared" si="117"/>
        <v>46217</v>
      </c>
      <c r="S1009" s="131">
        <f t="shared" si="122"/>
        <v>18</v>
      </c>
      <c r="T1009" s="7" t="s">
        <v>255</v>
      </c>
      <c r="U1009" s="7" t="s">
        <v>272</v>
      </c>
      <c r="V1009" s="7"/>
      <c r="W1009" s="7">
        <v>1796.16</v>
      </c>
      <c r="X1009" s="132">
        <f t="shared" si="120"/>
        <v>17</v>
      </c>
      <c r="Y1009" s="133"/>
      <c r="Z1009" s="133"/>
      <c r="AA1009" s="133"/>
    </row>
    <row r="1010" spans="1:27" hidden="1" x14ac:dyDescent="0.25">
      <c r="A1010" s="127">
        <v>1130</v>
      </c>
      <c r="B1010" s="128" t="str">
        <f t="shared" si="121"/>
        <v>NORT</v>
      </c>
      <c r="C1010" s="128" t="str">
        <f>+VLOOKUP(U1010,Ходим!A:B,2,0)</f>
        <v>32103985900068</v>
      </c>
      <c r="D1010" s="128" t="str">
        <f>IFERROR(VLOOKUP($B:$B,[20]свод!$A:$AB,3,0)," ")</f>
        <v>Норин тумани</v>
      </c>
      <c r="E1010" s="7" t="s">
        <v>2150</v>
      </c>
      <c r="F1010" s="7" t="s">
        <v>8541</v>
      </c>
      <c r="G1010" s="134">
        <f t="shared" si="118"/>
        <v>1</v>
      </c>
      <c r="H1010" s="134" t="str">
        <f t="shared" si="119"/>
        <v/>
      </c>
      <c r="I1010" s="7" t="s">
        <v>158</v>
      </c>
      <c r="J1010" s="7" t="s">
        <v>2</v>
      </c>
      <c r="K1010" s="7"/>
      <c r="L1010" s="7" t="s">
        <v>167</v>
      </c>
      <c r="M1010" s="7" t="s">
        <v>4860</v>
      </c>
      <c r="N1010" s="7" t="s">
        <v>170</v>
      </c>
      <c r="O1010" s="7" t="s">
        <v>162</v>
      </c>
      <c r="P1010" s="7" t="s">
        <v>6771</v>
      </c>
      <c r="Q1010" s="129">
        <v>46199</v>
      </c>
      <c r="R1010" s="130">
        <f t="shared" si="117"/>
        <v>46206</v>
      </c>
      <c r="S1010" s="131">
        <f t="shared" si="122"/>
        <v>7</v>
      </c>
      <c r="T1010" s="7" t="s">
        <v>210</v>
      </c>
      <c r="U1010" s="7" t="s">
        <v>327</v>
      </c>
      <c r="V1010" s="7"/>
      <c r="W1010" s="7">
        <v>158.44999999999999</v>
      </c>
      <c r="X1010" s="132">
        <f t="shared" si="120"/>
        <v>10</v>
      </c>
      <c r="Y1010" s="133"/>
      <c r="Z1010" s="133"/>
      <c r="AA1010" s="133"/>
    </row>
    <row r="1011" spans="1:27" hidden="1" x14ac:dyDescent="0.25">
      <c r="A1011" s="127">
        <v>1131</v>
      </c>
      <c r="B1011" s="128" t="str">
        <f t="shared" si="121"/>
        <v>NAMT</v>
      </c>
      <c r="C1011" s="128" t="str">
        <f>+VLOOKUP(U1011,Ходим!A:B,2,0)</f>
        <v>50706025880010</v>
      </c>
      <c r="D1011" s="128" t="str">
        <f>IFERROR(VLOOKUP($B:$B,[20]свод!$A:$AB,3,0)," ")</f>
        <v>Наманган тумани</v>
      </c>
      <c r="E1011" s="7" t="s">
        <v>2151</v>
      </c>
      <c r="F1011" s="7" t="s">
        <v>8542</v>
      </c>
      <c r="G1011" s="134" t="str">
        <f t="shared" si="118"/>
        <v/>
      </c>
      <c r="H1011" s="134">
        <f t="shared" si="119"/>
        <v>1</v>
      </c>
      <c r="I1011" s="7" t="s">
        <v>157</v>
      </c>
      <c r="J1011" s="7" t="s">
        <v>2</v>
      </c>
      <c r="K1011" s="7"/>
      <c r="L1011" s="7" t="s">
        <v>166</v>
      </c>
      <c r="M1011" s="7" t="s">
        <v>4861</v>
      </c>
      <c r="N1011" s="7" t="s">
        <v>170</v>
      </c>
      <c r="O1011" s="7" t="s">
        <v>163</v>
      </c>
      <c r="P1011" s="7" t="s">
        <v>6772</v>
      </c>
      <c r="Q1011" s="129">
        <v>46199</v>
      </c>
      <c r="R1011" s="130">
        <f t="shared" si="117"/>
        <v>46216</v>
      </c>
      <c r="S1011" s="131">
        <f t="shared" si="122"/>
        <v>17</v>
      </c>
      <c r="T1011" s="7" t="s">
        <v>197</v>
      </c>
      <c r="U1011" s="7" t="s">
        <v>397</v>
      </c>
      <c r="V1011" s="7"/>
      <c r="W1011" s="7">
        <v>337.97</v>
      </c>
      <c r="X1011" s="132">
        <f t="shared" si="120"/>
        <v>12</v>
      </c>
      <c r="Y1011" s="133"/>
      <c r="Z1011" s="133"/>
      <c r="AA1011" s="133"/>
    </row>
    <row r="1012" spans="1:27" hidden="1" x14ac:dyDescent="0.25">
      <c r="A1012" s="127">
        <v>1132</v>
      </c>
      <c r="B1012" s="128" t="str">
        <f t="shared" si="121"/>
        <v>TORT</v>
      </c>
      <c r="C1012" s="128" t="str">
        <f>+VLOOKUP(U1012,Ходим!A:B,2,0)</f>
        <v>50908015920034</v>
      </c>
      <c r="D1012" s="128" t="str">
        <f>IFERROR(VLOOKUP($B:$B,[20]свод!$A:$AB,3,0)," ")</f>
        <v>Тўрақўрғон тумани</v>
      </c>
      <c r="E1012" s="7" t="s">
        <v>2152</v>
      </c>
      <c r="F1012" s="7" t="s">
        <v>8543</v>
      </c>
      <c r="G1012" s="134">
        <f t="shared" si="118"/>
        <v>1</v>
      </c>
      <c r="H1012" s="134" t="str">
        <f t="shared" si="119"/>
        <v/>
      </c>
      <c r="I1012" s="7" t="s">
        <v>158</v>
      </c>
      <c r="J1012" s="7" t="s">
        <v>2</v>
      </c>
      <c r="K1012" s="7"/>
      <c r="L1012" s="7"/>
      <c r="M1012" s="7"/>
      <c r="N1012" s="7" t="s">
        <v>410</v>
      </c>
      <c r="O1012" s="7" t="s">
        <v>162</v>
      </c>
      <c r="P1012" s="7" t="s">
        <v>6772</v>
      </c>
      <c r="Q1012" s="129">
        <v>46199</v>
      </c>
      <c r="R1012" s="130">
        <f t="shared" si="117"/>
        <v>46212</v>
      </c>
      <c r="S1012" s="131">
        <f t="shared" si="122"/>
        <v>13</v>
      </c>
      <c r="T1012" s="7" t="s">
        <v>203</v>
      </c>
      <c r="U1012" s="7" t="s">
        <v>205</v>
      </c>
      <c r="V1012" s="7"/>
      <c r="W1012" s="7"/>
      <c r="X1012" s="132">
        <f t="shared" si="120"/>
        <v>10</v>
      </c>
      <c r="Y1012" s="133"/>
      <c r="Z1012" s="133"/>
      <c r="AA1012" s="133"/>
    </row>
    <row r="1013" spans="1:27" hidden="1" x14ac:dyDescent="0.25">
      <c r="A1013" s="127">
        <v>1134</v>
      </c>
      <c r="B1013" s="128" t="str">
        <f t="shared" si="121"/>
        <v>YGQT</v>
      </c>
      <c r="C1013" s="128" t="e">
        <f>+VLOOKUP(U1013,Ходим!A:B,2,0)</f>
        <v>#N/A</v>
      </c>
      <c r="D1013" s="128" t="str">
        <f>IFERROR(VLOOKUP($B:$B,[20]свод!$A:$AB,3,0)," ")</f>
        <v>Янгиқўрғон тумани</v>
      </c>
      <c r="E1013" s="7" t="s">
        <v>2153</v>
      </c>
      <c r="F1013" s="7" t="s">
        <v>8544</v>
      </c>
      <c r="G1013" s="134">
        <f t="shared" si="118"/>
        <v>1</v>
      </c>
      <c r="H1013" s="134" t="str">
        <f t="shared" si="119"/>
        <v/>
      </c>
      <c r="I1013" s="7" t="s">
        <v>156</v>
      </c>
      <c r="J1013" s="7" t="s">
        <v>21</v>
      </c>
      <c r="K1013" s="7"/>
      <c r="L1013" s="7"/>
      <c r="M1013" s="7"/>
      <c r="N1013" s="7" t="s">
        <v>170</v>
      </c>
      <c r="O1013" s="7" t="s">
        <v>162</v>
      </c>
      <c r="P1013" s="7" t="s">
        <v>6772</v>
      </c>
      <c r="Q1013" s="129">
        <v>46199</v>
      </c>
      <c r="R1013" s="130">
        <f t="shared" si="117"/>
        <v>46212</v>
      </c>
      <c r="S1013" s="131">
        <f t="shared" si="122"/>
        <v>13</v>
      </c>
      <c r="T1013" s="7" t="s">
        <v>182</v>
      </c>
      <c r="U1013" s="7"/>
      <c r="V1013" s="7"/>
      <c r="W1013" s="7"/>
      <c r="X1013" s="132">
        <f t="shared" si="120"/>
        <v>10</v>
      </c>
      <c r="Y1013" s="133"/>
      <c r="Z1013" s="133"/>
      <c r="AA1013" s="133"/>
    </row>
    <row r="1014" spans="1:27" hidden="1" x14ac:dyDescent="0.25">
      <c r="A1014" s="127">
        <v>1135</v>
      </c>
      <c r="B1014" s="128" t="str">
        <f t="shared" si="121"/>
        <v>MINT</v>
      </c>
      <c r="C1014" s="128" t="str">
        <f>+VLOOKUP(U1014,Ходим!A:B,2,0)</f>
        <v>30906922130016</v>
      </c>
      <c r="D1014" s="128" t="str">
        <f>IFERROR(VLOOKUP($B:$B,[20]свод!$A:$AB,3,0)," ")</f>
        <v>Мингбулоқ тумани</v>
      </c>
      <c r="E1014" s="7" t="s">
        <v>2154</v>
      </c>
      <c r="F1014" s="7" t="s">
        <v>8545</v>
      </c>
      <c r="G1014" s="134">
        <f t="shared" si="118"/>
        <v>1</v>
      </c>
      <c r="H1014" s="134" t="str">
        <f t="shared" si="119"/>
        <v/>
      </c>
      <c r="I1014" s="7" t="s">
        <v>158</v>
      </c>
      <c r="J1014" s="7" t="s">
        <v>2</v>
      </c>
      <c r="K1014" s="7"/>
      <c r="L1014" s="7" t="s">
        <v>167</v>
      </c>
      <c r="M1014" s="7" t="s">
        <v>4862</v>
      </c>
      <c r="N1014" s="7" t="s">
        <v>170</v>
      </c>
      <c r="O1014" s="7" t="s">
        <v>162</v>
      </c>
      <c r="P1014" s="7" t="s">
        <v>6773</v>
      </c>
      <c r="Q1014" s="129">
        <v>46199</v>
      </c>
      <c r="R1014" s="130">
        <f t="shared" si="117"/>
        <v>46206</v>
      </c>
      <c r="S1014" s="131">
        <f t="shared" si="122"/>
        <v>7</v>
      </c>
      <c r="T1014" s="7" t="s">
        <v>220</v>
      </c>
      <c r="U1014" s="7" t="s">
        <v>178</v>
      </c>
      <c r="V1014" s="7"/>
      <c r="W1014" s="7">
        <v>312.5</v>
      </c>
      <c r="X1014" s="132">
        <f t="shared" si="120"/>
        <v>10</v>
      </c>
      <c r="Y1014" s="133"/>
      <c r="Z1014" s="133"/>
      <c r="AA1014" s="133"/>
    </row>
    <row r="1015" spans="1:27" hidden="1" x14ac:dyDescent="0.25">
      <c r="A1015" s="127">
        <v>1136</v>
      </c>
      <c r="B1015" s="128" t="str">
        <f t="shared" si="121"/>
        <v>YGQT</v>
      </c>
      <c r="C1015" s="128" t="str">
        <f>+VLOOKUP(U1015,Ходим!A:B,2,0)</f>
        <v>30903902160122</v>
      </c>
      <c r="D1015" s="128" t="str">
        <f>IFERROR(VLOOKUP($B:$B,[20]свод!$A:$AB,3,0)," ")</f>
        <v>Янгиқўрғон тумани</v>
      </c>
      <c r="E1015" s="7" t="s">
        <v>2155</v>
      </c>
      <c r="F1015" s="7" t="s">
        <v>8546</v>
      </c>
      <c r="G1015" s="134">
        <f t="shared" si="118"/>
        <v>1</v>
      </c>
      <c r="H1015" s="134" t="str">
        <f t="shared" si="119"/>
        <v/>
      </c>
      <c r="I1015" s="7" t="s">
        <v>158</v>
      </c>
      <c r="J1015" s="7" t="s">
        <v>2</v>
      </c>
      <c r="K1015" s="7"/>
      <c r="L1015" s="7" t="s">
        <v>167</v>
      </c>
      <c r="M1015" s="7" t="s">
        <v>4863</v>
      </c>
      <c r="N1015" s="7" t="s">
        <v>170</v>
      </c>
      <c r="O1015" s="7" t="s">
        <v>162</v>
      </c>
      <c r="P1015" s="7" t="s">
        <v>6773</v>
      </c>
      <c r="Q1015" s="129">
        <v>46199</v>
      </c>
      <c r="R1015" s="130">
        <f t="shared" si="117"/>
        <v>46206</v>
      </c>
      <c r="S1015" s="131">
        <f t="shared" si="122"/>
        <v>7</v>
      </c>
      <c r="T1015" s="7" t="s">
        <v>255</v>
      </c>
      <c r="U1015" s="7" t="s">
        <v>230</v>
      </c>
      <c r="V1015" s="7"/>
      <c r="W1015" s="7">
        <v>522.42999999999995</v>
      </c>
      <c r="X1015" s="132">
        <f t="shared" si="120"/>
        <v>10</v>
      </c>
      <c r="Y1015" s="133"/>
      <c r="Z1015" s="133"/>
      <c r="AA1015" s="133"/>
    </row>
    <row r="1016" spans="1:27" hidden="1" x14ac:dyDescent="0.25">
      <c r="A1016" s="127">
        <v>1137</v>
      </c>
      <c r="B1016" s="128" t="str">
        <f t="shared" si="121"/>
        <v>UCQT</v>
      </c>
      <c r="C1016" s="128">
        <f>+VLOOKUP(U1016,Ходим!A:B,2,0)</f>
        <v>52107015940019</v>
      </c>
      <c r="D1016" s="128" t="str">
        <f>IFERROR(VLOOKUP($B:$B,[20]свод!$A:$AB,3,0)," ")</f>
        <v>Учқўрғон тумани</v>
      </c>
      <c r="E1016" s="7" t="s">
        <v>2156</v>
      </c>
      <c r="F1016" s="7" t="s">
        <v>8547</v>
      </c>
      <c r="G1016" s="134">
        <f t="shared" si="118"/>
        <v>1</v>
      </c>
      <c r="H1016" s="134" t="str">
        <f t="shared" si="119"/>
        <v/>
      </c>
      <c r="I1016" s="7" t="s">
        <v>158</v>
      </c>
      <c r="J1016" s="7" t="s">
        <v>2</v>
      </c>
      <c r="K1016" s="7"/>
      <c r="L1016" s="7" t="s">
        <v>167</v>
      </c>
      <c r="M1016" s="7" t="s">
        <v>4864</v>
      </c>
      <c r="N1016" s="7" t="s">
        <v>170</v>
      </c>
      <c r="O1016" s="7" t="s">
        <v>162</v>
      </c>
      <c r="P1016" s="7" t="s">
        <v>6773</v>
      </c>
      <c r="Q1016" s="129">
        <v>46199</v>
      </c>
      <c r="R1016" s="130">
        <f t="shared" si="117"/>
        <v>46206</v>
      </c>
      <c r="S1016" s="131">
        <f t="shared" si="122"/>
        <v>7</v>
      </c>
      <c r="T1016" s="7" t="s">
        <v>175</v>
      </c>
      <c r="U1016" s="7" t="s">
        <v>361</v>
      </c>
      <c r="V1016" s="7"/>
      <c r="W1016" s="7">
        <v>354.15</v>
      </c>
      <c r="X1016" s="132">
        <f t="shared" si="120"/>
        <v>10</v>
      </c>
      <c r="Y1016" s="133"/>
      <c r="Z1016" s="133"/>
      <c r="AA1016" s="133"/>
    </row>
    <row r="1017" spans="1:27" hidden="1" x14ac:dyDescent="0.25">
      <c r="A1017" s="127">
        <v>1138</v>
      </c>
      <c r="B1017" s="128" t="str">
        <f t="shared" si="121"/>
        <v>CHUT</v>
      </c>
      <c r="C1017" s="128" t="str">
        <f>+VLOOKUP(U1017,Ходим!A:B,2,0)</f>
        <v>32003822180063</v>
      </c>
      <c r="D1017" s="128" t="str">
        <f>IFERROR(VLOOKUP($B:$B,[20]свод!$A:$AB,3,0)," ")</f>
        <v>Чуст тумани</v>
      </c>
      <c r="E1017" s="7" t="s">
        <v>2157</v>
      </c>
      <c r="F1017" s="7" t="s">
        <v>8548</v>
      </c>
      <c r="G1017" s="134">
        <f t="shared" si="118"/>
        <v>1</v>
      </c>
      <c r="H1017" s="134" t="str">
        <f t="shared" si="119"/>
        <v/>
      </c>
      <c r="I1017" s="7" t="s">
        <v>158</v>
      </c>
      <c r="J1017" s="7" t="s">
        <v>134</v>
      </c>
      <c r="K1017" s="7"/>
      <c r="L1017" s="7" t="s">
        <v>167</v>
      </c>
      <c r="M1017" s="7" t="s">
        <v>4865</v>
      </c>
      <c r="N1017" s="7" t="s">
        <v>170</v>
      </c>
      <c r="O1017" s="7" t="s">
        <v>162</v>
      </c>
      <c r="P1017" s="7" t="s">
        <v>6773</v>
      </c>
      <c r="Q1017" s="129">
        <v>46199</v>
      </c>
      <c r="R1017" s="130">
        <f t="shared" si="117"/>
        <v>46206</v>
      </c>
      <c r="S1017" s="131">
        <f t="shared" si="122"/>
        <v>7</v>
      </c>
      <c r="T1017" s="7" t="s">
        <v>178</v>
      </c>
      <c r="U1017" s="7" t="s">
        <v>200</v>
      </c>
      <c r="V1017" s="7"/>
      <c r="W1017" s="7">
        <v>151.35</v>
      </c>
      <c r="X1017" s="132">
        <f t="shared" si="120"/>
        <v>10</v>
      </c>
      <c r="Y1017" s="133"/>
      <c r="Z1017" s="133"/>
      <c r="AA1017" s="133"/>
    </row>
    <row r="1018" spans="1:27" hidden="1" x14ac:dyDescent="0.25">
      <c r="A1018" s="127">
        <v>1139</v>
      </c>
      <c r="B1018" s="128" t="str">
        <f t="shared" si="121"/>
        <v>TORT</v>
      </c>
      <c r="C1018" s="128">
        <f>+VLOOKUP(U1018,Ходим!A:B,2,0)</f>
        <v>30603862130011</v>
      </c>
      <c r="D1018" s="128" t="str">
        <f>IFERROR(VLOOKUP($B:$B,[20]свод!$A:$AB,3,0)," ")</f>
        <v>Тўрақўрғон тумани</v>
      </c>
      <c r="E1018" s="7" t="s">
        <v>2158</v>
      </c>
      <c r="F1018" s="7" t="s">
        <v>8549</v>
      </c>
      <c r="G1018" s="134" t="str">
        <f t="shared" si="118"/>
        <v/>
      </c>
      <c r="H1018" s="134">
        <f t="shared" si="119"/>
        <v>1</v>
      </c>
      <c r="I1018" s="7" t="s">
        <v>155</v>
      </c>
      <c r="J1018" s="7" t="s">
        <v>25</v>
      </c>
      <c r="K1018" s="7"/>
      <c r="L1018" s="7"/>
      <c r="M1018" s="7"/>
      <c r="N1018" s="7" t="s">
        <v>170</v>
      </c>
      <c r="O1018" s="7" t="s">
        <v>161</v>
      </c>
      <c r="P1018" s="7" t="s">
        <v>6772</v>
      </c>
      <c r="Q1018" s="129">
        <v>46199</v>
      </c>
      <c r="R1018" s="130">
        <f t="shared" si="117"/>
        <v>46212</v>
      </c>
      <c r="S1018" s="131">
        <f t="shared" si="122"/>
        <v>13</v>
      </c>
      <c r="T1018" s="7" t="s">
        <v>203</v>
      </c>
      <c r="U1018" s="7" t="s">
        <v>950</v>
      </c>
      <c r="V1018" s="7"/>
      <c r="W1018" s="7"/>
      <c r="X1018" s="132">
        <f t="shared" si="120"/>
        <v>10</v>
      </c>
      <c r="Y1018" s="133"/>
      <c r="Z1018" s="133"/>
      <c r="AA1018" s="133"/>
    </row>
    <row r="1019" spans="1:27" x14ac:dyDescent="0.25">
      <c r="A1019" s="127">
        <v>1140</v>
      </c>
      <c r="B1019" s="128" t="str">
        <f t="shared" si="121"/>
        <v>UYCT</v>
      </c>
      <c r="C1019" s="128" t="str">
        <f>+VLOOKUP(U1019,Ходим!A:B,2,0)</f>
        <v>31101985930022</v>
      </c>
      <c r="D1019" s="128" t="str">
        <f>IFERROR(VLOOKUP($B:$B,[20]свод!$A:$AB,3,0)," ")</f>
        <v>Уйчи тумани</v>
      </c>
      <c r="E1019" s="7" t="s">
        <v>2159</v>
      </c>
      <c r="F1019" s="7" t="s">
        <v>8550</v>
      </c>
      <c r="G1019" s="134">
        <f t="shared" si="118"/>
        <v>1</v>
      </c>
      <c r="H1019" s="134" t="str">
        <f t="shared" si="119"/>
        <v/>
      </c>
      <c r="I1019" s="7" t="s">
        <v>158</v>
      </c>
      <c r="J1019" s="7" t="s">
        <v>1</v>
      </c>
      <c r="K1019" s="7"/>
      <c r="L1019" s="7" t="s">
        <v>167</v>
      </c>
      <c r="M1019" s="7" t="s">
        <v>4866</v>
      </c>
      <c r="N1019" s="7" t="s">
        <v>170</v>
      </c>
      <c r="O1019" s="7" t="s">
        <v>162</v>
      </c>
      <c r="P1019" s="7" t="s">
        <v>6534</v>
      </c>
      <c r="Q1019" s="129">
        <v>46199</v>
      </c>
      <c r="R1019" s="130">
        <f t="shared" si="117"/>
        <v>46199</v>
      </c>
      <c r="S1019" s="131">
        <f t="shared" si="122"/>
        <v>0</v>
      </c>
      <c r="T1019" s="7" t="s">
        <v>379</v>
      </c>
      <c r="U1019" s="7" t="s">
        <v>299</v>
      </c>
      <c r="V1019" s="7"/>
      <c r="W1019" s="7">
        <v>127.9</v>
      </c>
      <c r="X1019" s="132">
        <f t="shared" si="120"/>
        <v>10</v>
      </c>
      <c r="Y1019" s="133"/>
      <c r="Z1019" s="133"/>
      <c r="AA1019" s="133"/>
    </row>
    <row r="1020" spans="1:27" x14ac:dyDescent="0.25">
      <c r="A1020" s="127">
        <v>1141</v>
      </c>
      <c r="B1020" s="128" t="str">
        <f t="shared" si="121"/>
        <v>UCQT</v>
      </c>
      <c r="C1020" s="128" t="str">
        <f>+VLOOKUP(U1020,Ходим!A:B,2,0)</f>
        <v>42005872150022</v>
      </c>
      <c r="D1020" s="128" t="str">
        <f>IFERROR(VLOOKUP($B:$B,[20]свод!$A:$AB,3,0)," ")</f>
        <v>Учқўрғон тумани</v>
      </c>
      <c r="E1020" s="7" t="s">
        <v>2160</v>
      </c>
      <c r="F1020" s="7" t="s">
        <v>8551</v>
      </c>
      <c r="G1020" s="134">
        <f t="shared" si="118"/>
        <v>1</v>
      </c>
      <c r="H1020" s="134" t="str">
        <f t="shared" si="119"/>
        <v/>
      </c>
      <c r="I1020" s="7" t="s">
        <v>158</v>
      </c>
      <c r="J1020" s="7" t="s">
        <v>16</v>
      </c>
      <c r="K1020" s="7"/>
      <c r="L1020" s="7" t="s">
        <v>167</v>
      </c>
      <c r="M1020" s="7" t="s">
        <v>4867</v>
      </c>
      <c r="N1020" s="7" t="s">
        <v>170</v>
      </c>
      <c r="O1020" s="7" t="s">
        <v>162</v>
      </c>
      <c r="P1020" s="7" t="s">
        <v>6664</v>
      </c>
      <c r="Q1020" s="129">
        <v>46199</v>
      </c>
      <c r="R1020" s="130">
        <f t="shared" si="117"/>
        <v>46199</v>
      </c>
      <c r="S1020" s="131">
        <f t="shared" si="122"/>
        <v>0</v>
      </c>
      <c r="T1020" s="7" t="s">
        <v>175</v>
      </c>
      <c r="U1020" s="7" t="s">
        <v>176</v>
      </c>
      <c r="V1020" s="7"/>
      <c r="W1020" s="7">
        <v>193.79</v>
      </c>
      <c r="X1020" s="132">
        <f t="shared" si="120"/>
        <v>10</v>
      </c>
      <c r="Y1020" s="133"/>
      <c r="Z1020" s="133"/>
      <c r="AA1020" s="133"/>
    </row>
    <row r="1021" spans="1:27" hidden="1" x14ac:dyDescent="0.25">
      <c r="A1021" s="127">
        <v>1142</v>
      </c>
      <c r="B1021" s="128" t="str">
        <f t="shared" si="121"/>
        <v>UCQT</v>
      </c>
      <c r="C1021" s="128" t="str">
        <f>+VLOOKUP(U1021,Ходим!A:B,2,0)</f>
        <v>32805962150027</v>
      </c>
      <c r="D1021" s="128" t="str">
        <f>IFERROR(VLOOKUP($B:$B,[20]свод!$A:$AB,3,0)," ")</f>
        <v>Учқўрғон тумани</v>
      </c>
      <c r="E1021" s="7" t="s">
        <v>2161</v>
      </c>
      <c r="F1021" s="7" t="s">
        <v>8552</v>
      </c>
      <c r="G1021" s="134">
        <f t="shared" si="118"/>
        <v>1</v>
      </c>
      <c r="H1021" s="134" t="str">
        <f t="shared" si="119"/>
        <v/>
      </c>
      <c r="I1021" s="7" t="s">
        <v>158</v>
      </c>
      <c r="J1021" s="7" t="s">
        <v>2</v>
      </c>
      <c r="K1021" s="7"/>
      <c r="L1021" s="7" t="s">
        <v>167</v>
      </c>
      <c r="M1021" s="7" t="s">
        <v>4868</v>
      </c>
      <c r="N1021" s="7" t="s">
        <v>170</v>
      </c>
      <c r="O1021" s="7" t="s">
        <v>162</v>
      </c>
      <c r="P1021" s="7" t="s">
        <v>6771</v>
      </c>
      <c r="Q1021" s="129">
        <v>46199</v>
      </c>
      <c r="R1021" s="130">
        <f t="shared" si="117"/>
        <v>46206</v>
      </c>
      <c r="S1021" s="131">
        <f t="shared" si="122"/>
        <v>7</v>
      </c>
      <c r="T1021" s="7" t="s">
        <v>175</v>
      </c>
      <c r="U1021" s="7" t="s">
        <v>369</v>
      </c>
      <c r="V1021" s="7"/>
      <c r="W1021" s="7">
        <v>78.239999999999995</v>
      </c>
      <c r="X1021" s="132">
        <f t="shared" si="120"/>
        <v>10</v>
      </c>
      <c r="Y1021" s="133"/>
      <c r="Z1021" s="133"/>
      <c r="AA1021" s="133"/>
    </row>
    <row r="1022" spans="1:27" hidden="1" x14ac:dyDescent="0.25">
      <c r="A1022" s="127">
        <v>1143</v>
      </c>
      <c r="B1022" s="128" t="str">
        <f t="shared" si="121"/>
        <v>MINT</v>
      </c>
      <c r="C1022" s="128" t="e">
        <f>+VLOOKUP(U1022,Ходим!A:B,2,0)</f>
        <v>#N/A</v>
      </c>
      <c r="D1022" s="128" t="str">
        <f>IFERROR(VLOOKUP($B:$B,[20]свод!$A:$AB,3,0)," ")</f>
        <v>Мингбулоқ тумани</v>
      </c>
      <c r="E1022" s="7" t="s">
        <v>2162</v>
      </c>
      <c r="F1022" s="7" t="s">
        <v>8553</v>
      </c>
      <c r="G1022" s="134">
        <f t="shared" si="118"/>
        <v>1</v>
      </c>
      <c r="H1022" s="134" t="str">
        <f t="shared" si="119"/>
        <v/>
      </c>
      <c r="I1022" s="7" t="s">
        <v>156</v>
      </c>
      <c r="J1022" s="7" t="s">
        <v>11</v>
      </c>
      <c r="K1022" s="7"/>
      <c r="L1022" s="7" t="s">
        <v>167</v>
      </c>
      <c r="M1022" s="7" t="s">
        <v>4869</v>
      </c>
      <c r="N1022" s="7" t="s">
        <v>170</v>
      </c>
      <c r="O1022" s="7" t="s">
        <v>162</v>
      </c>
      <c r="P1022" s="7" t="s">
        <v>6772</v>
      </c>
      <c r="Q1022" s="129">
        <v>46199</v>
      </c>
      <c r="R1022" s="130">
        <f t="shared" si="117"/>
        <v>46212</v>
      </c>
      <c r="S1022" s="131">
        <f t="shared" si="122"/>
        <v>13</v>
      </c>
      <c r="T1022" s="7"/>
      <c r="U1022" s="7"/>
      <c r="V1022" s="7"/>
      <c r="W1022" s="7">
        <v>260.10000000000002</v>
      </c>
      <c r="X1022" s="132">
        <f t="shared" si="120"/>
        <v>10</v>
      </c>
      <c r="Y1022" s="133"/>
      <c r="Z1022" s="133"/>
      <c r="AA1022" s="133"/>
    </row>
    <row r="1023" spans="1:27" hidden="1" x14ac:dyDescent="0.25">
      <c r="A1023" s="127">
        <v>1144</v>
      </c>
      <c r="B1023" s="128" t="str">
        <f t="shared" si="121"/>
        <v>YGQT</v>
      </c>
      <c r="C1023" s="128" t="str">
        <f>+VLOOKUP(U1023,Ходим!A:B,2,0)</f>
        <v>30602822170087</v>
      </c>
      <c r="D1023" s="128" t="str">
        <f>IFERROR(VLOOKUP($B:$B,[20]свод!$A:$AB,3,0)," ")</f>
        <v>Янгиқўрғон тумани</v>
      </c>
      <c r="E1023" s="7" t="s">
        <v>2163</v>
      </c>
      <c r="F1023" s="7" t="s">
        <v>8554</v>
      </c>
      <c r="G1023" s="134">
        <f t="shared" si="118"/>
        <v>1</v>
      </c>
      <c r="H1023" s="134" t="str">
        <f t="shared" si="119"/>
        <v/>
      </c>
      <c r="I1023" s="7" t="s">
        <v>158</v>
      </c>
      <c r="J1023" s="7" t="s">
        <v>2</v>
      </c>
      <c r="K1023" s="7"/>
      <c r="L1023" s="7" t="s">
        <v>167</v>
      </c>
      <c r="M1023" s="7" t="s">
        <v>4870</v>
      </c>
      <c r="N1023" s="7" t="s">
        <v>170</v>
      </c>
      <c r="O1023" s="7" t="s">
        <v>162</v>
      </c>
      <c r="P1023" s="7" t="s">
        <v>6490</v>
      </c>
      <c r="Q1023" s="129">
        <v>46199</v>
      </c>
      <c r="R1023" s="130">
        <f t="shared" si="117"/>
        <v>46211</v>
      </c>
      <c r="S1023" s="131">
        <f t="shared" si="122"/>
        <v>12</v>
      </c>
      <c r="T1023" s="7" t="s">
        <v>255</v>
      </c>
      <c r="U1023" s="7" t="s">
        <v>320</v>
      </c>
      <c r="V1023" s="7"/>
      <c r="W1023" s="7">
        <v>194.75</v>
      </c>
      <c r="X1023" s="132">
        <f t="shared" si="120"/>
        <v>10</v>
      </c>
      <c r="Y1023" s="133"/>
      <c r="Z1023" s="133"/>
      <c r="AA1023" s="133"/>
    </row>
    <row r="1024" spans="1:27" hidden="1" x14ac:dyDescent="0.25">
      <c r="A1024" s="127">
        <v>1145</v>
      </c>
      <c r="B1024" s="128" t="str">
        <f t="shared" si="121"/>
        <v>TORT</v>
      </c>
      <c r="C1024" s="128" t="str">
        <f>+VLOOKUP(U1024,Ходим!A:B,2,0)</f>
        <v>31110892130070</v>
      </c>
      <c r="D1024" s="128" t="str">
        <f>IFERROR(VLOOKUP($B:$B,[20]свод!$A:$AB,3,0)," ")</f>
        <v>Тўрақўрғон тумани</v>
      </c>
      <c r="E1024" s="7" t="s">
        <v>2164</v>
      </c>
      <c r="F1024" s="7" t="s">
        <v>8555</v>
      </c>
      <c r="G1024" s="134">
        <f t="shared" si="118"/>
        <v>1</v>
      </c>
      <c r="H1024" s="134" t="str">
        <f t="shared" si="119"/>
        <v/>
      </c>
      <c r="I1024" s="7" t="s">
        <v>158</v>
      </c>
      <c r="J1024" s="7" t="s">
        <v>172</v>
      </c>
      <c r="K1024" s="7"/>
      <c r="L1024" s="7" t="s">
        <v>167</v>
      </c>
      <c r="M1024" s="7" t="s">
        <v>4871</v>
      </c>
      <c r="N1024" s="7" t="s">
        <v>170</v>
      </c>
      <c r="O1024" s="7" t="s">
        <v>163</v>
      </c>
      <c r="P1024" s="7" t="s">
        <v>6771</v>
      </c>
      <c r="Q1024" s="129">
        <v>46199</v>
      </c>
      <c r="R1024" s="130">
        <f t="shared" si="117"/>
        <v>46206</v>
      </c>
      <c r="S1024" s="131">
        <f t="shared" si="122"/>
        <v>7</v>
      </c>
      <c r="T1024" s="7" t="s">
        <v>203</v>
      </c>
      <c r="U1024" s="7" t="s">
        <v>297</v>
      </c>
      <c r="V1024" s="7"/>
      <c r="W1024" s="7">
        <v>344.84</v>
      </c>
      <c r="X1024" s="132">
        <f t="shared" si="120"/>
        <v>10</v>
      </c>
      <c r="Y1024" s="133"/>
      <c r="Z1024" s="133"/>
      <c r="AA1024" s="133"/>
    </row>
    <row r="1025" spans="1:27" x14ac:dyDescent="0.25">
      <c r="A1025" s="127">
        <v>1146</v>
      </c>
      <c r="B1025" s="128" t="str">
        <f t="shared" si="121"/>
        <v>UCQT</v>
      </c>
      <c r="C1025" s="128" t="str">
        <f>+VLOOKUP(U1025,Ходим!A:B,2,0)</f>
        <v>32805962150027</v>
      </c>
      <c r="D1025" s="128" t="str">
        <f>IFERROR(VLOOKUP($B:$B,[20]свод!$A:$AB,3,0)," ")</f>
        <v>Учқўрғон тумани</v>
      </c>
      <c r="E1025" s="7" t="s">
        <v>2165</v>
      </c>
      <c r="F1025" s="7" t="s">
        <v>8556</v>
      </c>
      <c r="G1025" s="134">
        <f t="shared" si="118"/>
        <v>1</v>
      </c>
      <c r="H1025" s="134" t="str">
        <f t="shared" si="119"/>
        <v/>
      </c>
      <c r="I1025" s="7" t="s">
        <v>154</v>
      </c>
      <c r="J1025" s="7" t="s">
        <v>100</v>
      </c>
      <c r="K1025" s="7"/>
      <c r="L1025" s="7" t="s">
        <v>167</v>
      </c>
      <c r="M1025" s="7" t="s">
        <v>4872</v>
      </c>
      <c r="N1025" s="7" t="s">
        <v>170</v>
      </c>
      <c r="O1025" s="7" t="s">
        <v>162</v>
      </c>
      <c r="P1025" s="7" t="s">
        <v>6774</v>
      </c>
      <c r="Q1025" s="129">
        <v>46199</v>
      </c>
      <c r="R1025" s="130">
        <f t="shared" si="117"/>
        <v>46199</v>
      </c>
      <c r="S1025" s="131">
        <f t="shared" si="122"/>
        <v>0</v>
      </c>
      <c r="T1025" s="7" t="s">
        <v>175</v>
      </c>
      <c r="U1025" s="7" t="s">
        <v>369</v>
      </c>
      <c r="V1025" s="7"/>
      <c r="W1025" s="7">
        <v>199.11</v>
      </c>
      <c r="X1025" s="132">
        <f t="shared" si="120"/>
        <v>10</v>
      </c>
      <c r="Y1025" s="133"/>
      <c r="Z1025" s="133"/>
      <c r="AA1025" s="133"/>
    </row>
    <row r="1026" spans="1:27" hidden="1" x14ac:dyDescent="0.25">
      <c r="A1026" s="127">
        <v>1147</v>
      </c>
      <c r="B1026" s="128" t="str">
        <f t="shared" si="121"/>
        <v>UYCT</v>
      </c>
      <c r="C1026" s="128" t="str">
        <f>+VLOOKUP(U1026,Ходим!A:B,2,0)</f>
        <v>32906985930035</v>
      </c>
      <c r="D1026" s="128" t="str">
        <f>IFERROR(VLOOKUP($B:$B,[20]свод!$A:$AB,3,0)," ")</f>
        <v>Уйчи тумани</v>
      </c>
      <c r="E1026" s="7" t="s">
        <v>2166</v>
      </c>
      <c r="F1026" s="7" t="s">
        <v>8557</v>
      </c>
      <c r="G1026" s="134">
        <f t="shared" si="118"/>
        <v>1</v>
      </c>
      <c r="H1026" s="134" t="str">
        <f t="shared" si="119"/>
        <v/>
      </c>
      <c r="I1026" s="7" t="s">
        <v>158</v>
      </c>
      <c r="J1026" s="7" t="s">
        <v>2</v>
      </c>
      <c r="K1026" s="7"/>
      <c r="L1026" s="7" t="s">
        <v>167</v>
      </c>
      <c r="M1026" s="7" t="s">
        <v>4873</v>
      </c>
      <c r="N1026" s="7" t="s">
        <v>410</v>
      </c>
      <c r="O1026" s="7" t="s">
        <v>162</v>
      </c>
      <c r="P1026" s="7" t="s">
        <v>6775</v>
      </c>
      <c r="Q1026" s="129">
        <v>46199</v>
      </c>
      <c r="R1026" s="130">
        <f t="shared" si="117"/>
        <v>46206</v>
      </c>
      <c r="S1026" s="131">
        <f t="shared" si="122"/>
        <v>7</v>
      </c>
      <c r="T1026" s="7" t="s">
        <v>379</v>
      </c>
      <c r="U1026" s="7" t="s">
        <v>257</v>
      </c>
      <c r="V1026" s="7"/>
      <c r="W1026" s="7">
        <v>0</v>
      </c>
      <c r="X1026" s="132">
        <f t="shared" si="120"/>
        <v>10</v>
      </c>
      <c r="Y1026" s="133"/>
      <c r="Z1026" s="133"/>
      <c r="AA1026" s="133"/>
    </row>
    <row r="1027" spans="1:27" hidden="1" x14ac:dyDescent="0.25">
      <c r="A1027" s="127">
        <v>1148</v>
      </c>
      <c r="B1027" s="128" t="str">
        <f t="shared" si="121"/>
        <v>NAMS</v>
      </c>
      <c r="C1027" s="128" t="str">
        <f>+VLOOKUP(U1027,Ходим!A:B,2,0)</f>
        <v>51406015960142</v>
      </c>
      <c r="D1027" s="128" t="str">
        <f>IFERROR(VLOOKUP($B:$B,[20]свод!$A:$AB,3,0)," ")</f>
        <v>Наманган шаҳар</v>
      </c>
      <c r="E1027" s="7" t="s">
        <v>2167</v>
      </c>
      <c r="F1027" s="7" t="s">
        <v>8558</v>
      </c>
      <c r="G1027" s="134">
        <f t="shared" si="118"/>
        <v>1</v>
      </c>
      <c r="H1027" s="134" t="str">
        <f t="shared" si="119"/>
        <v/>
      </c>
      <c r="I1027" s="7" t="s">
        <v>158</v>
      </c>
      <c r="J1027" s="7" t="s">
        <v>1</v>
      </c>
      <c r="K1027" s="7"/>
      <c r="L1027" s="7" t="s">
        <v>167</v>
      </c>
      <c r="M1027" s="7" t="s">
        <v>4874</v>
      </c>
      <c r="N1027" s="7" t="s">
        <v>410</v>
      </c>
      <c r="O1027" s="7" t="s">
        <v>162</v>
      </c>
      <c r="P1027" s="7" t="s">
        <v>6678</v>
      </c>
      <c r="Q1027" s="129">
        <v>46199</v>
      </c>
      <c r="R1027" s="130">
        <f t="shared" si="117"/>
        <v>46205</v>
      </c>
      <c r="S1027" s="131">
        <f t="shared" si="122"/>
        <v>6</v>
      </c>
      <c r="T1027" s="7" t="s">
        <v>185</v>
      </c>
      <c r="U1027" s="7" t="s">
        <v>349</v>
      </c>
      <c r="V1027" s="7"/>
      <c r="W1027" s="7">
        <v>166.85</v>
      </c>
      <c r="X1027" s="132">
        <f t="shared" si="120"/>
        <v>10</v>
      </c>
      <c r="Y1027" s="133"/>
      <c r="Z1027" s="133"/>
      <c r="AA1027" s="133"/>
    </row>
    <row r="1028" spans="1:27" hidden="1" x14ac:dyDescent="0.25">
      <c r="A1028" s="127">
        <v>1149</v>
      </c>
      <c r="B1028" s="128" t="str">
        <f t="shared" si="121"/>
        <v>NAMS</v>
      </c>
      <c r="C1028" s="128" t="str">
        <f>+VLOOKUP(U1028,Ходим!A:B,2,0)</f>
        <v>31608732170178</v>
      </c>
      <c r="D1028" s="128" t="str">
        <f>IFERROR(VLOOKUP($B:$B,[20]свод!$A:$AB,3,0)," ")</f>
        <v>Наманган шаҳар</v>
      </c>
      <c r="E1028" s="7" t="s">
        <v>2168</v>
      </c>
      <c r="F1028" s="7" t="s">
        <v>8559</v>
      </c>
      <c r="G1028" s="134">
        <f t="shared" si="118"/>
        <v>1</v>
      </c>
      <c r="H1028" s="134" t="str">
        <f t="shared" si="119"/>
        <v/>
      </c>
      <c r="I1028" s="7" t="s">
        <v>156</v>
      </c>
      <c r="J1028" s="7" t="s">
        <v>25</v>
      </c>
      <c r="K1028" s="7"/>
      <c r="L1028" s="7" t="s">
        <v>167</v>
      </c>
      <c r="M1028" s="7" t="s">
        <v>4875</v>
      </c>
      <c r="N1028" s="7" t="s">
        <v>170</v>
      </c>
      <c r="O1028" s="7" t="s">
        <v>162</v>
      </c>
      <c r="P1028" s="7" t="s">
        <v>6776</v>
      </c>
      <c r="Q1028" s="129">
        <v>46199</v>
      </c>
      <c r="R1028" s="130">
        <f t="shared" si="117"/>
        <v>46212</v>
      </c>
      <c r="S1028" s="131">
        <f t="shared" si="122"/>
        <v>13</v>
      </c>
      <c r="T1028" s="7" t="s">
        <v>173</v>
      </c>
      <c r="U1028" s="7" t="s">
        <v>267</v>
      </c>
      <c r="V1028" s="7"/>
      <c r="W1028" s="7">
        <v>27.76</v>
      </c>
      <c r="X1028" s="132">
        <f t="shared" si="120"/>
        <v>10</v>
      </c>
      <c r="Y1028" s="133"/>
      <c r="Z1028" s="133"/>
      <c r="AA1028" s="133"/>
    </row>
    <row r="1029" spans="1:27" hidden="1" x14ac:dyDescent="0.25">
      <c r="A1029" s="127">
        <v>1151</v>
      </c>
      <c r="B1029" s="128" t="str">
        <f t="shared" si="121"/>
        <v>NAMS</v>
      </c>
      <c r="C1029" s="128" t="str">
        <f>+VLOOKUP(U1029,Ходим!A:B,2,0)</f>
        <v>30302942170072</v>
      </c>
      <c r="D1029" s="128" t="str">
        <f>IFERROR(VLOOKUP($B:$B,[20]свод!$A:$AB,3,0)," ")</f>
        <v>Наманган шаҳар</v>
      </c>
      <c r="E1029" s="7" t="s">
        <v>2169</v>
      </c>
      <c r="F1029" s="7"/>
      <c r="G1029" s="134" t="str">
        <f t="shared" si="118"/>
        <v/>
      </c>
      <c r="H1029" s="134">
        <f t="shared" si="119"/>
        <v>1</v>
      </c>
      <c r="I1029" s="7" t="s">
        <v>154</v>
      </c>
      <c r="J1029" s="7" t="s">
        <v>2</v>
      </c>
      <c r="K1029" s="7"/>
      <c r="L1029" s="7" t="s">
        <v>166</v>
      </c>
      <c r="M1029" s="7" t="s">
        <v>4876</v>
      </c>
      <c r="N1029" s="7" t="s">
        <v>368</v>
      </c>
      <c r="O1029" s="7"/>
      <c r="P1029" s="7" t="s">
        <v>6777</v>
      </c>
      <c r="Q1029" s="129">
        <v>46199</v>
      </c>
      <c r="R1029" s="130">
        <f t="shared" si="117"/>
        <v>46205</v>
      </c>
      <c r="S1029" s="131">
        <f t="shared" si="122"/>
        <v>6</v>
      </c>
      <c r="T1029" s="7"/>
      <c r="U1029" s="7" t="s">
        <v>325</v>
      </c>
      <c r="V1029" s="7"/>
      <c r="W1029" s="7">
        <v>1725.76</v>
      </c>
      <c r="X1029" s="132">
        <f t="shared" si="120"/>
        <v>5</v>
      </c>
      <c r="Y1029" s="133"/>
      <c r="Z1029" s="133"/>
      <c r="AA1029" s="133"/>
    </row>
    <row r="1030" spans="1:27" hidden="1" x14ac:dyDescent="0.25">
      <c r="A1030" s="127">
        <v>1152</v>
      </c>
      <c r="B1030" s="128" t="str">
        <f t="shared" si="121"/>
        <v>NORT</v>
      </c>
      <c r="C1030" s="128" t="str">
        <f>+VLOOKUP(U1030,Ходим!A:B,2,0)</f>
        <v>30110922110044</v>
      </c>
      <c r="D1030" s="128" t="str">
        <f>IFERROR(VLOOKUP($B:$B,[20]свод!$A:$AB,3,0)," ")</f>
        <v>Норин тумани</v>
      </c>
      <c r="E1030" s="7" t="s">
        <v>2170</v>
      </c>
      <c r="F1030" s="7" t="s">
        <v>8560</v>
      </c>
      <c r="G1030" s="134">
        <f t="shared" si="118"/>
        <v>1</v>
      </c>
      <c r="H1030" s="134" t="str">
        <f t="shared" si="119"/>
        <v/>
      </c>
      <c r="I1030" s="7" t="s">
        <v>158</v>
      </c>
      <c r="J1030" s="7" t="s">
        <v>16</v>
      </c>
      <c r="K1030" s="7"/>
      <c r="L1030" s="7" t="s">
        <v>167</v>
      </c>
      <c r="M1030" s="7" t="s">
        <v>4877</v>
      </c>
      <c r="N1030" s="7" t="s">
        <v>170</v>
      </c>
      <c r="O1030" s="7" t="s">
        <v>162</v>
      </c>
      <c r="P1030" s="7" t="s">
        <v>6415</v>
      </c>
      <c r="Q1030" s="129">
        <v>46199</v>
      </c>
      <c r="R1030" s="130">
        <f t="shared" si="117"/>
        <v>46204</v>
      </c>
      <c r="S1030" s="131">
        <f t="shared" si="122"/>
        <v>5</v>
      </c>
      <c r="T1030" s="7" t="s">
        <v>210</v>
      </c>
      <c r="U1030" s="7" t="s">
        <v>239</v>
      </c>
      <c r="V1030" s="7"/>
      <c r="W1030" s="7">
        <v>272.12</v>
      </c>
      <c r="X1030" s="132">
        <f t="shared" si="120"/>
        <v>10</v>
      </c>
      <c r="Y1030" s="133"/>
      <c r="Z1030" s="133"/>
      <c r="AA1030" s="133"/>
    </row>
    <row r="1031" spans="1:27" hidden="1" x14ac:dyDescent="0.25">
      <c r="A1031" s="127">
        <v>1153</v>
      </c>
      <c r="B1031" s="128" t="str">
        <f t="shared" si="121"/>
        <v>CHOT</v>
      </c>
      <c r="C1031" s="128" t="str">
        <f>+VLOOKUP(U1031,Ходим!A:B,2,0)</f>
        <v>30308922100022</v>
      </c>
      <c r="D1031" s="128" t="str">
        <f>IFERROR(VLOOKUP($B:$B,[20]свод!$A:$AB,3,0)," ")</f>
        <v>Чортоқ тумани</v>
      </c>
      <c r="E1031" s="7" t="s">
        <v>2171</v>
      </c>
      <c r="F1031" s="7" t="s">
        <v>8561</v>
      </c>
      <c r="G1031" s="134" t="str">
        <f t="shared" si="118"/>
        <v/>
      </c>
      <c r="H1031" s="134">
        <f t="shared" si="119"/>
        <v>1</v>
      </c>
      <c r="I1031" s="7" t="s">
        <v>157</v>
      </c>
      <c r="J1031" s="7" t="s">
        <v>2</v>
      </c>
      <c r="K1031" s="7"/>
      <c r="L1031" s="7" t="s">
        <v>166</v>
      </c>
      <c r="M1031" s="7" t="s">
        <v>4878</v>
      </c>
      <c r="N1031" s="7" t="s">
        <v>170</v>
      </c>
      <c r="O1031" s="7" t="s">
        <v>161</v>
      </c>
      <c r="P1031" s="7" t="s">
        <v>6772</v>
      </c>
      <c r="Q1031" s="129">
        <v>46199</v>
      </c>
      <c r="R1031" s="130">
        <f t="shared" ref="R1031:R1093" si="123">WORKDAY(P1031,X1031,$Y$1:$AA$1)</f>
        <v>46212</v>
      </c>
      <c r="S1031" s="131">
        <f t="shared" si="122"/>
        <v>13</v>
      </c>
      <c r="T1031" s="7" t="s">
        <v>184</v>
      </c>
      <c r="U1031" s="7" t="s">
        <v>190</v>
      </c>
      <c r="V1031" s="7"/>
      <c r="W1031" s="7">
        <v>0</v>
      </c>
      <c r="X1031" s="132">
        <f t="shared" si="120"/>
        <v>10</v>
      </c>
      <c r="Y1031" s="133"/>
      <c r="Z1031" s="133"/>
      <c r="AA1031" s="133"/>
    </row>
    <row r="1032" spans="1:27" hidden="1" x14ac:dyDescent="0.25">
      <c r="A1032" s="127">
        <v>1154</v>
      </c>
      <c r="B1032" s="128" t="str">
        <f t="shared" si="121"/>
        <v>KSST</v>
      </c>
      <c r="C1032" s="128" t="str">
        <f>+VLOOKUP(U1032,Ходим!A:B,2,0)</f>
        <v>52812015980061</v>
      </c>
      <c r="D1032" s="128" t="str">
        <f>IFERROR(VLOOKUP($B:$B,[20]свод!$A:$AB,3,0)," ")</f>
        <v>Косонсой тумани</v>
      </c>
      <c r="E1032" s="7" t="s">
        <v>2172</v>
      </c>
      <c r="F1032" s="7" t="s">
        <v>8562</v>
      </c>
      <c r="G1032" s="134" t="str">
        <f t="shared" si="118"/>
        <v/>
      </c>
      <c r="H1032" s="134">
        <f t="shared" si="119"/>
        <v>1</v>
      </c>
      <c r="I1032" s="7" t="s">
        <v>154</v>
      </c>
      <c r="J1032" s="7" t="s">
        <v>134</v>
      </c>
      <c r="K1032" s="7"/>
      <c r="L1032" s="7" t="s">
        <v>166</v>
      </c>
      <c r="M1032" s="7" t="s">
        <v>4879</v>
      </c>
      <c r="N1032" s="7" t="s">
        <v>170</v>
      </c>
      <c r="O1032" s="7" t="s">
        <v>161</v>
      </c>
      <c r="P1032" s="7" t="s">
        <v>6778</v>
      </c>
      <c r="Q1032" s="129">
        <v>46199</v>
      </c>
      <c r="R1032" s="130">
        <f t="shared" si="123"/>
        <v>46206</v>
      </c>
      <c r="S1032" s="131">
        <f t="shared" si="122"/>
        <v>7</v>
      </c>
      <c r="T1032" s="7" t="s">
        <v>180</v>
      </c>
      <c r="U1032" s="7" t="s">
        <v>307</v>
      </c>
      <c r="V1032" s="7"/>
      <c r="W1032" s="7">
        <v>19.489999999999998</v>
      </c>
      <c r="X1032" s="132">
        <f t="shared" si="120"/>
        <v>10</v>
      </c>
      <c r="Y1032" s="133"/>
      <c r="Z1032" s="133"/>
      <c r="AA1032" s="133"/>
    </row>
    <row r="1033" spans="1:27" hidden="1" x14ac:dyDescent="0.25">
      <c r="A1033" s="127">
        <v>1155</v>
      </c>
      <c r="B1033" s="128" t="str">
        <f t="shared" si="121"/>
        <v>NAMS</v>
      </c>
      <c r="C1033" s="128" t="str">
        <f>+VLOOKUP(U1033,Ходим!A:B,2,0)</f>
        <v>52710005960025</v>
      </c>
      <c r="D1033" s="128" t="str">
        <f>IFERROR(VLOOKUP($B:$B,[20]свод!$A:$AB,3,0)," ")</f>
        <v>Наманган шаҳар</v>
      </c>
      <c r="E1033" s="7" t="s">
        <v>2173</v>
      </c>
      <c r="F1033" s="7" t="s">
        <v>8563</v>
      </c>
      <c r="G1033" s="134">
        <f t="shared" si="118"/>
        <v>1</v>
      </c>
      <c r="H1033" s="134" t="str">
        <f t="shared" si="119"/>
        <v/>
      </c>
      <c r="I1033" s="7" t="s">
        <v>158</v>
      </c>
      <c r="J1033" s="7" t="s">
        <v>2</v>
      </c>
      <c r="K1033" s="7"/>
      <c r="L1033" s="7"/>
      <c r="M1033" s="7"/>
      <c r="N1033" s="7" t="s">
        <v>410</v>
      </c>
      <c r="O1033" s="7" t="s">
        <v>162</v>
      </c>
      <c r="P1033" s="7" t="s">
        <v>6778</v>
      </c>
      <c r="Q1033" s="129">
        <v>46199</v>
      </c>
      <c r="R1033" s="130">
        <f t="shared" si="123"/>
        <v>46206</v>
      </c>
      <c r="S1033" s="131">
        <f t="shared" si="122"/>
        <v>7</v>
      </c>
      <c r="T1033" s="7" t="s">
        <v>173</v>
      </c>
      <c r="U1033" s="7" t="s">
        <v>274</v>
      </c>
      <c r="V1033" s="7"/>
      <c r="W1033" s="7"/>
      <c r="X1033" s="132">
        <f t="shared" si="120"/>
        <v>10</v>
      </c>
      <c r="Y1033" s="133"/>
      <c r="Z1033" s="133"/>
      <c r="AA1033" s="133"/>
    </row>
    <row r="1034" spans="1:27" hidden="1" x14ac:dyDescent="0.25">
      <c r="A1034" s="127">
        <v>1156</v>
      </c>
      <c r="B1034" s="128" t="str">
        <f t="shared" si="121"/>
        <v>YGQT</v>
      </c>
      <c r="C1034" s="128" t="str">
        <f>+VLOOKUP(U1034,Ходим!A:B,2,0)</f>
        <v>52009035950022</v>
      </c>
      <c r="D1034" s="128" t="str">
        <f>IFERROR(VLOOKUP($B:$B,[20]свод!$A:$AB,3,0)," ")</f>
        <v>Янгиқўрғон тумани</v>
      </c>
      <c r="E1034" s="7" t="s">
        <v>2174</v>
      </c>
      <c r="F1034" s="7" t="s">
        <v>8564</v>
      </c>
      <c r="G1034" s="134">
        <f t="shared" si="118"/>
        <v>1</v>
      </c>
      <c r="H1034" s="134" t="str">
        <f t="shared" si="119"/>
        <v/>
      </c>
      <c r="I1034" s="7" t="s">
        <v>158</v>
      </c>
      <c r="J1034" s="7" t="s">
        <v>1</v>
      </c>
      <c r="K1034" s="7"/>
      <c r="L1034" s="7" t="s">
        <v>167</v>
      </c>
      <c r="M1034" s="7" t="s">
        <v>4880</v>
      </c>
      <c r="N1034" s="7" t="s">
        <v>170</v>
      </c>
      <c r="O1034" s="7" t="s">
        <v>162</v>
      </c>
      <c r="P1034" s="7" t="s">
        <v>6779</v>
      </c>
      <c r="Q1034" s="129">
        <v>46199</v>
      </c>
      <c r="R1034" s="130">
        <f t="shared" si="123"/>
        <v>46204</v>
      </c>
      <c r="S1034" s="131">
        <f t="shared" si="122"/>
        <v>5</v>
      </c>
      <c r="T1034" s="7" t="s">
        <v>255</v>
      </c>
      <c r="U1034" s="7" t="s">
        <v>272</v>
      </c>
      <c r="V1034" s="7"/>
      <c r="W1034" s="7">
        <v>216.57</v>
      </c>
      <c r="X1034" s="132">
        <f t="shared" si="120"/>
        <v>10</v>
      </c>
      <c r="Y1034" s="133"/>
      <c r="Z1034" s="133"/>
      <c r="AA1034" s="133"/>
    </row>
    <row r="1035" spans="1:27" hidden="1" x14ac:dyDescent="0.25">
      <c r="A1035" s="127">
        <v>1157</v>
      </c>
      <c r="B1035" s="128" t="str">
        <f t="shared" si="121"/>
        <v>NAMS</v>
      </c>
      <c r="C1035" s="128" t="str">
        <f>+VLOOKUP(U1035,Ходим!A:B,2,0)</f>
        <v>31608732170178</v>
      </c>
      <c r="D1035" s="128" t="str">
        <f>IFERROR(VLOOKUP($B:$B,[20]свод!$A:$AB,3,0)," ")</f>
        <v>Наманган шаҳар</v>
      </c>
      <c r="E1035" s="7" t="s">
        <v>2175</v>
      </c>
      <c r="F1035" s="7" t="s">
        <v>8565</v>
      </c>
      <c r="G1035" s="134">
        <f t="shared" ref="G1035:G1097" si="124">IF(OR(
I1035="Turar joy obyektning kadastr pasportini shakllantirish va davlat ro'yxatidan o'tkazish",
I1035="Turar kompozit"
),
1,
IF(OR(
I1035="Noturar kompozit",
I1035="Avtoyo'l va suv xo'jaligi obyektining kadastr pasportini shakllantirish va ro'yxatga olish",
I1035="Noturar obyektning kadastr pasportining kadastr pasportini shakllantirish va davlat ro'yxatidan o'tkazish"
),
"",
IF(OR(
I1035="Notarius uchun ma'lumotnoma (uz)",
I1035="Qurilishi tugallangan ko'chmas mulkni foydalanishga qabul qilish",
I1035="Umumiy foydalanishdagi ko'chmas mulk qismini yaratish",
I1035="Registratsiya (tashqi - UZKAD da bor)"
),
IF(OR(L1035="Turar yer maydoni",L1035="Yakka tartibdagi turar joy"),1,
IF(L1035="Noturar bino","",
IF(L1035="Noturar yer maydoni","",
IF(L1035="",IF(OR(O1035="Turar joy xizmati",O1035="Foydalanishga ruxsatnoma berish xizmati"),1,""),"")
))),
"")))</f>
        <v>1</v>
      </c>
      <c r="H1035" s="134" t="str">
        <f t="shared" ref="H1035:H1097" si="125">IF(OR(
I1035="Turar joy obyektning kadastr pasportini shakllantirish va davlat ro'yxatidan o'tkazish",
I1035="Turar kompozit"
),
"",
IF(OR(
I1035="Noturar kompozit",
I1035="Avtoyo'l va suv xo'jaligi obyektining kadastr pasportini shakllantirish va ro'yxatga olish",
I1035="Noturar obyektning kadastr pasportini shakllantirish va davlat ro'yxatidan o'tkazish"
),
1,
IF(OR(
I1035="Notarius uchun ma'lumotnoma (uz)",
I1035="Qurilishi tugallangan ko'chmas mulkni foydalanishga qabul qilish",
I1035="Umumiy foydalanishdagi ko'chmas mulk qismini yaratish",
I1035="Registratsiya (tashqi - UZKAD da bor)"
),
IF(OR(L1035="Turar yer maydoni",L1035="Yakka tartibdagi turar joy"),"",
IF(L1035="Noturar bino",1,
IF(L1035="Noturar yer maydoni",1,
IF(L1035="",IF(OR(O1035="Turar joy xizmati",O1035="Foydalanishga ruxsatnoma berish xizmati"),"",1),"")
))),
"")))</f>
        <v/>
      </c>
      <c r="I1035" s="7" t="s">
        <v>156</v>
      </c>
      <c r="J1035" s="7" t="s">
        <v>25</v>
      </c>
      <c r="K1035" s="7"/>
      <c r="L1035" s="7"/>
      <c r="M1035" s="7"/>
      <c r="N1035" s="7" t="s">
        <v>170</v>
      </c>
      <c r="O1035" s="7" t="s">
        <v>162</v>
      </c>
      <c r="P1035" s="7" t="s">
        <v>6780</v>
      </c>
      <c r="Q1035" s="129">
        <v>46199</v>
      </c>
      <c r="R1035" s="130">
        <f t="shared" si="123"/>
        <v>46212</v>
      </c>
      <c r="S1035" s="131">
        <f t="shared" si="122"/>
        <v>13</v>
      </c>
      <c r="T1035" s="7" t="s">
        <v>173</v>
      </c>
      <c r="U1035" s="7" t="s">
        <v>267</v>
      </c>
      <c r="V1035" s="7"/>
      <c r="W1035" s="7"/>
      <c r="X1035" s="132">
        <f t="shared" si="120"/>
        <v>10</v>
      </c>
      <c r="Y1035" s="133"/>
      <c r="Z1035" s="133"/>
      <c r="AA1035" s="133"/>
    </row>
    <row r="1036" spans="1:27" hidden="1" x14ac:dyDescent="0.25">
      <c r="A1036" s="127">
        <v>1158</v>
      </c>
      <c r="B1036" s="128" t="str">
        <f t="shared" si="121"/>
        <v>TORT</v>
      </c>
      <c r="C1036" s="128" t="str">
        <f>+VLOOKUP(U1036,Ходим!A:B,2,0)</f>
        <v>50908015920034</v>
      </c>
      <c r="D1036" s="128" t="str">
        <f>IFERROR(VLOOKUP($B:$B,[20]свод!$A:$AB,3,0)," ")</f>
        <v>Тўрақўрғон тумани</v>
      </c>
      <c r="E1036" s="7" t="s">
        <v>2176</v>
      </c>
      <c r="F1036" s="7" t="s">
        <v>8566</v>
      </c>
      <c r="G1036" s="134">
        <f t="shared" si="124"/>
        <v>1</v>
      </c>
      <c r="H1036" s="134" t="str">
        <f t="shared" si="125"/>
        <v/>
      </c>
      <c r="I1036" s="7" t="s">
        <v>156</v>
      </c>
      <c r="J1036" s="7" t="s">
        <v>25</v>
      </c>
      <c r="K1036" s="7"/>
      <c r="L1036" s="7"/>
      <c r="M1036" s="7"/>
      <c r="N1036" s="7" t="s">
        <v>170</v>
      </c>
      <c r="O1036" s="7" t="s">
        <v>162</v>
      </c>
      <c r="P1036" s="7" t="s">
        <v>6780</v>
      </c>
      <c r="Q1036" s="129">
        <v>46199</v>
      </c>
      <c r="R1036" s="130">
        <f t="shared" si="123"/>
        <v>46212</v>
      </c>
      <c r="S1036" s="131">
        <f t="shared" si="122"/>
        <v>13</v>
      </c>
      <c r="T1036" s="7" t="s">
        <v>203</v>
      </c>
      <c r="U1036" s="7" t="s">
        <v>205</v>
      </c>
      <c r="V1036" s="7"/>
      <c r="W1036" s="7"/>
      <c r="X1036" s="132">
        <f t="shared" si="120"/>
        <v>10</v>
      </c>
      <c r="Y1036" s="133"/>
      <c r="Z1036" s="133"/>
      <c r="AA1036" s="133"/>
    </row>
    <row r="1037" spans="1:27" hidden="1" x14ac:dyDescent="0.25">
      <c r="A1037" s="127">
        <v>1159</v>
      </c>
      <c r="B1037" s="128" t="str">
        <f t="shared" si="121"/>
        <v>UYCT</v>
      </c>
      <c r="C1037" s="128" t="str">
        <f>+VLOOKUP(U1037,Ходим!A:B,2,0)</f>
        <v>51501005930032</v>
      </c>
      <c r="D1037" s="128" t="str">
        <f>IFERROR(VLOOKUP($B:$B,[20]свод!$A:$AB,3,0)," ")</f>
        <v>Уйчи тумани</v>
      </c>
      <c r="E1037" s="7" t="s">
        <v>2177</v>
      </c>
      <c r="F1037" s="7" t="s">
        <v>8567</v>
      </c>
      <c r="G1037" s="134">
        <f t="shared" si="124"/>
        <v>1</v>
      </c>
      <c r="H1037" s="134" t="str">
        <f t="shared" si="125"/>
        <v/>
      </c>
      <c r="I1037" s="7" t="s">
        <v>156</v>
      </c>
      <c r="J1037" s="7" t="s">
        <v>25</v>
      </c>
      <c r="K1037" s="7"/>
      <c r="L1037" s="7"/>
      <c r="M1037" s="7"/>
      <c r="N1037" s="7" t="s">
        <v>170</v>
      </c>
      <c r="O1037" s="7" t="s">
        <v>162</v>
      </c>
      <c r="P1037" s="7" t="s">
        <v>6780</v>
      </c>
      <c r="Q1037" s="129">
        <v>46199</v>
      </c>
      <c r="R1037" s="130">
        <f t="shared" si="123"/>
        <v>46212</v>
      </c>
      <c r="S1037" s="131">
        <f t="shared" si="122"/>
        <v>13</v>
      </c>
      <c r="T1037" s="7" t="s">
        <v>947</v>
      </c>
      <c r="U1037" s="7" t="s">
        <v>326</v>
      </c>
      <c r="V1037" s="7"/>
      <c r="W1037" s="7"/>
      <c r="X1037" s="132">
        <f t="shared" si="120"/>
        <v>10</v>
      </c>
      <c r="Y1037" s="133"/>
      <c r="Z1037" s="133"/>
      <c r="AA1037" s="133"/>
    </row>
    <row r="1038" spans="1:27" hidden="1" x14ac:dyDescent="0.25">
      <c r="A1038" s="127">
        <v>1160</v>
      </c>
      <c r="B1038" s="128" t="str">
        <f t="shared" si="121"/>
        <v>NORT</v>
      </c>
      <c r="C1038" s="128" t="str">
        <f>+VLOOKUP(U1038,Ходим!A:B,2,0)</f>
        <v>31709822110011</v>
      </c>
      <c r="D1038" s="128" t="str">
        <f>IFERROR(VLOOKUP($B:$B,[20]свод!$A:$AB,3,0)," ")</f>
        <v>Норин тумани</v>
      </c>
      <c r="E1038" s="7" t="s">
        <v>2178</v>
      </c>
      <c r="F1038" s="7" t="s">
        <v>8568</v>
      </c>
      <c r="G1038" s="134">
        <f t="shared" si="124"/>
        <v>1</v>
      </c>
      <c r="H1038" s="134" t="str">
        <f t="shared" si="125"/>
        <v/>
      </c>
      <c r="I1038" s="7" t="s">
        <v>158</v>
      </c>
      <c r="J1038" s="7" t="s">
        <v>13</v>
      </c>
      <c r="K1038" s="7"/>
      <c r="L1038" s="7" t="s">
        <v>167</v>
      </c>
      <c r="M1038" s="7" t="s">
        <v>4881</v>
      </c>
      <c r="N1038" s="7" t="s">
        <v>170</v>
      </c>
      <c r="O1038" s="7" t="s">
        <v>162</v>
      </c>
      <c r="P1038" s="7" t="s">
        <v>6780</v>
      </c>
      <c r="Q1038" s="129">
        <v>46199</v>
      </c>
      <c r="R1038" s="130">
        <f t="shared" si="123"/>
        <v>46212</v>
      </c>
      <c r="S1038" s="131">
        <f t="shared" si="122"/>
        <v>13</v>
      </c>
      <c r="T1038" s="7" t="s">
        <v>210</v>
      </c>
      <c r="U1038" s="7" t="s">
        <v>354</v>
      </c>
      <c r="V1038" s="7"/>
      <c r="W1038" s="7">
        <v>489.87</v>
      </c>
      <c r="X1038" s="132">
        <f t="shared" si="120"/>
        <v>10</v>
      </c>
      <c r="Y1038" s="133"/>
      <c r="Z1038" s="133"/>
      <c r="AA1038" s="133"/>
    </row>
    <row r="1039" spans="1:27" hidden="1" x14ac:dyDescent="0.25">
      <c r="A1039" s="127">
        <v>1161</v>
      </c>
      <c r="B1039" s="128" t="str">
        <f t="shared" si="121"/>
        <v>UYCT</v>
      </c>
      <c r="C1039" s="128" t="str">
        <f>+VLOOKUP(U1039,Ходим!A:B,2,0)</f>
        <v>31007942140083</v>
      </c>
      <c r="D1039" s="128" t="str">
        <f>IFERROR(VLOOKUP($B:$B,[20]свод!$A:$AB,3,0)," ")</f>
        <v>Уйчи тумани</v>
      </c>
      <c r="E1039" s="7" t="s">
        <v>2179</v>
      </c>
      <c r="F1039" s="7" t="s">
        <v>8569</v>
      </c>
      <c r="G1039" s="134">
        <f t="shared" si="124"/>
        <v>1</v>
      </c>
      <c r="H1039" s="134" t="str">
        <f t="shared" si="125"/>
        <v/>
      </c>
      <c r="I1039" s="7" t="s">
        <v>158</v>
      </c>
      <c r="J1039" s="7" t="s">
        <v>35</v>
      </c>
      <c r="K1039" s="7"/>
      <c r="L1039" s="7" t="s">
        <v>167</v>
      </c>
      <c r="M1039" s="7" t="s">
        <v>4882</v>
      </c>
      <c r="N1039" s="7" t="s">
        <v>410</v>
      </c>
      <c r="O1039" s="7" t="s">
        <v>162</v>
      </c>
      <c r="P1039" s="7" t="s">
        <v>6778</v>
      </c>
      <c r="Q1039" s="129">
        <v>46199</v>
      </c>
      <c r="R1039" s="130">
        <f t="shared" si="123"/>
        <v>46206</v>
      </c>
      <c r="S1039" s="131">
        <f t="shared" si="122"/>
        <v>7</v>
      </c>
      <c r="T1039" s="7" t="s">
        <v>947</v>
      </c>
      <c r="U1039" s="7" t="s">
        <v>263</v>
      </c>
      <c r="V1039" s="7"/>
      <c r="W1039" s="7">
        <v>168.4</v>
      </c>
      <c r="X1039" s="132">
        <f t="shared" si="120"/>
        <v>10</v>
      </c>
      <c r="Y1039" s="133"/>
      <c r="Z1039" s="133"/>
      <c r="AA1039" s="133"/>
    </row>
    <row r="1040" spans="1:27" hidden="1" x14ac:dyDescent="0.25">
      <c r="A1040" s="127">
        <v>1162</v>
      </c>
      <c r="B1040" s="128" t="str">
        <f t="shared" si="121"/>
        <v>UYCT</v>
      </c>
      <c r="C1040" s="128" t="str">
        <f>+VLOOKUP(U1040,Ходим!A:B,2,0)</f>
        <v>32906985930035</v>
      </c>
      <c r="D1040" s="128" t="str">
        <f>IFERROR(VLOOKUP($B:$B,[20]свод!$A:$AB,3,0)," ")</f>
        <v>Уйчи тумани</v>
      </c>
      <c r="E1040" s="7" t="s">
        <v>2180</v>
      </c>
      <c r="F1040" s="7" t="s">
        <v>8570</v>
      </c>
      <c r="G1040" s="134">
        <f t="shared" si="124"/>
        <v>1</v>
      </c>
      <c r="H1040" s="134" t="str">
        <f t="shared" si="125"/>
        <v/>
      </c>
      <c r="I1040" s="7" t="s">
        <v>158</v>
      </c>
      <c r="J1040" s="7" t="s">
        <v>35</v>
      </c>
      <c r="K1040" s="7"/>
      <c r="L1040" s="7" t="s">
        <v>167</v>
      </c>
      <c r="M1040" s="7" t="s">
        <v>4883</v>
      </c>
      <c r="N1040" s="7" t="s">
        <v>410</v>
      </c>
      <c r="O1040" s="7" t="s">
        <v>162</v>
      </c>
      <c r="P1040" s="7" t="s">
        <v>6773</v>
      </c>
      <c r="Q1040" s="129">
        <v>46199</v>
      </c>
      <c r="R1040" s="130">
        <f t="shared" si="123"/>
        <v>46206</v>
      </c>
      <c r="S1040" s="131">
        <f t="shared" si="122"/>
        <v>7</v>
      </c>
      <c r="T1040" s="7" t="s">
        <v>379</v>
      </c>
      <c r="U1040" s="7" t="s">
        <v>257</v>
      </c>
      <c r="V1040" s="7"/>
      <c r="W1040" s="7">
        <v>0</v>
      </c>
      <c r="X1040" s="132">
        <f t="shared" si="120"/>
        <v>10</v>
      </c>
      <c r="Y1040" s="133"/>
      <c r="Z1040" s="133"/>
      <c r="AA1040" s="133"/>
    </row>
    <row r="1041" spans="1:27" hidden="1" x14ac:dyDescent="0.25">
      <c r="A1041" s="127">
        <v>1163</v>
      </c>
      <c r="B1041" s="128" t="str">
        <f t="shared" si="121"/>
        <v>POPT</v>
      </c>
      <c r="C1041" s="128" t="str">
        <f>+VLOOKUP(U1041,Ходим!A:B,2,0)</f>
        <v>31707832120033</v>
      </c>
      <c r="D1041" s="128" t="str">
        <f>IFERROR(VLOOKUP($B:$B,[20]свод!$A:$AB,3,0)," ")</f>
        <v>Поп тумани</v>
      </c>
      <c r="E1041" s="7" t="s">
        <v>2181</v>
      </c>
      <c r="F1041" s="7" t="s">
        <v>8571</v>
      </c>
      <c r="G1041" s="134">
        <f t="shared" si="124"/>
        <v>1</v>
      </c>
      <c r="H1041" s="134" t="str">
        <f t="shared" si="125"/>
        <v/>
      </c>
      <c r="I1041" s="7" t="s">
        <v>158</v>
      </c>
      <c r="J1041" s="7" t="s">
        <v>2</v>
      </c>
      <c r="K1041" s="7"/>
      <c r="L1041" s="7" t="s">
        <v>167</v>
      </c>
      <c r="M1041" s="7" t="s">
        <v>4884</v>
      </c>
      <c r="N1041" s="7" t="s">
        <v>170</v>
      </c>
      <c r="O1041" s="7" t="s">
        <v>162</v>
      </c>
      <c r="P1041" s="7" t="s">
        <v>6781</v>
      </c>
      <c r="Q1041" s="129">
        <v>46199</v>
      </c>
      <c r="R1041" s="130">
        <f t="shared" si="123"/>
        <v>46206</v>
      </c>
      <c r="S1041" s="131">
        <f t="shared" si="122"/>
        <v>7</v>
      </c>
      <c r="T1041" s="7" t="s">
        <v>214</v>
      </c>
      <c r="U1041" s="7" t="s">
        <v>313</v>
      </c>
      <c r="V1041" s="7"/>
      <c r="W1041" s="7">
        <v>305.56</v>
      </c>
      <c r="X1041" s="132">
        <f t="shared" si="120"/>
        <v>10</v>
      </c>
      <c r="Y1041" s="133"/>
      <c r="Z1041" s="133"/>
      <c r="AA1041" s="133"/>
    </row>
    <row r="1042" spans="1:27" x14ac:dyDescent="0.25">
      <c r="A1042" s="127">
        <v>1164</v>
      </c>
      <c r="B1042" s="128" t="str">
        <f t="shared" si="121"/>
        <v>UCQT</v>
      </c>
      <c r="C1042" s="128" t="str">
        <f>+VLOOKUP(U1042,Ходим!A:B,2,0)</f>
        <v>31206892150069</v>
      </c>
      <c r="D1042" s="128" t="str">
        <f>IFERROR(VLOOKUP($B:$B,[20]свод!$A:$AB,3,0)," ")</f>
        <v>Учқўрғон тумани</v>
      </c>
      <c r="E1042" s="7" t="s">
        <v>2182</v>
      </c>
      <c r="F1042" s="7" t="s">
        <v>8572</v>
      </c>
      <c r="G1042" s="134">
        <f t="shared" si="124"/>
        <v>1</v>
      </c>
      <c r="H1042" s="134" t="str">
        <f t="shared" si="125"/>
        <v/>
      </c>
      <c r="I1042" s="7" t="s">
        <v>158</v>
      </c>
      <c r="J1042" s="7" t="s">
        <v>12</v>
      </c>
      <c r="K1042" s="7"/>
      <c r="L1042" s="7" t="s">
        <v>167</v>
      </c>
      <c r="M1042" s="7" t="s">
        <v>4885</v>
      </c>
      <c r="N1042" s="7" t="s">
        <v>170</v>
      </c>
      <c r="O1042" s="7" t="s">
        <v>162</v>
      </c>
      <c r="P1042" s="7" t="s">
        <v>6782</v>
      </c>
      <c r="Q1042" s="129">
        <v>46199</v>
      </c>
      <c r="R1042" s="130">
        <f t="shared" si="123"/>
        <v>46199</v>
      </c>
      <c r="S1042" s="131">
        <f t="shared" si="122"/>
        <v>0</v>
      </c>
      <c r="T1042" s="7" t="s">
        <v>175</v>
      </c>
      <c r="U1042" s="7" t="s">
        <v>318</v>
      </c>
      <c r="V1042" s="7"/>
      <c r="W1042" s="7">
        <v>248.77</v>
      </c>
      <c r="X1042" s="132">
        <f t="shared" si="120"/>
        <v>10</v>
      </c>
      <c r="Y1042" s="133"/>
      <c r="Z1042" s="133"/>
      <c r="AA1042" s="133"/>
    </row>
    <row r="1043" spans="1:27" hidden="1" x14ac:dyDescent="0.25">
      <c r="A1043" s="127">
        <v>1165</v>
      </c>
      <c r="B1043" s="128" t="str">
        <f t="shared" si="121"/>
        <v>NAMS</v>
      </c>
      <c r="C1043" s="128" t="str">
        <f>+VLOOKUP(U1043,Ходим!A:B,2,0)</f>
        <v>30304915960053</v>
      </c>
      <c r="D1043" s="128" t="str">
        <f>IFERROR(VLOOKUP($B:$B,[20]свод!$A:$AB,3,0)," ")</f>
        <v>Наманган шаҳар</v>
      </c>
      <c r="E1043" s="7" t="s">
        <v>2183</v>
      </c>
      <c r="F1043" s="7" t="s">
        <v>8573</v>
      </c>
      <c r="G1043" s="134" t="str">
        <f t="shared" si="124"/>
        <v/>
      </c>
      <c r="H1043" s="134">
        <f t="shared" si="125"/>
        <v>1</v>
      </c>
      <c r="I1043" s="7" t="s">
        <v>155</v>
      </c>
      <c r="J1043" s="7" t="s">
        <v>25</v>
      </c>
      <c r="K1043" s="7"/>
      <c r="L1043" s="7"/>
      <c r="M1043" s="7"/>
      <c r="N1043" s="7" t="s">
        <v>170</v>
      </c>
      <c r="O1043" s="7" t="s">
        <v>161</v>
      </c>
      <c r="P1043" s="7" t="s">
        <v>6783</v>
      </c>
      <c r="Q1043" s="129">
        <v>46199</v>
      </c>
      <c r="R1043" s="130">
        <f t="shared" si="123"/>
        <v>46212</v>
      </c>
      <c r="S1043" s="131">
        <f t="shared" si="122"/>
        <v>13</v>
      </c>
      <c r="T1043" s="7" t="s">
        <v>227</v>
      </c>
      <c r="U1043" s="7" t="s">
        <v>314</v>
      </c>
      <c r="V1043" s="7"/>
      <c r="W1043" s="7"/>
      <c r="X1043" s="132">
        <f t="shared" si="120"/>
        <v>10</v>
      </c>
      <c r="Y1043" s="133"/>
      <c r="Z1043" s="133"/>
      <c r="AA1043" s="133"/>
    </row>
    <row r="1044" spans="1:27" hidden="1" x14ac:dyDescent="0.25">
      <c r="A1044" s="127">
        <v>1166</v>
      </c>
      <c r="B1044" s="128" t="str">
        <f t="shared" si="121"/>
        <v>NAMS</v>
      </c>
      <c r="C1044" s="128" t="str">
        <f>+VLOOKUP(U1044,Ходим!A:B,2,0)</f>
        <v>31007955980023</v>
      </c>
      <c r="D1044" s="128" t="str">
        <f>IFERROR(VLOOKUP($B:$B,[20]свод!$A:$AB,3,0)," ")</f>
        <v>Наманган шаҳар</v>
      </c>
      <c r="E1044" s="7" t="s">
        <v>2184</v>
      </c>
      <c r="F1044" s="7" t="s">
        <v>8574</v>
      </c>
      <c r="G1044" s="134">
        <f t="shared" si="124"/>
        <v>1</v>
      </c>
      <c r="H1044" s="134" t="str">
        <f t="shared" si="125"/>
        <v/>
      </c>
      <c r="I1044" s="7" t="s">
        <v>156</v>
      </c>
      <c r="J1044" s="7" t="s">
        <v>25</v>
      </c>
      <c r="K1044" s="7"/>
      <c r="L1044" s="7"/>
      <c r="M1044" s="7"/>
      <c r="N1044" s="7" t="s">
        <v>170</v>
      </c>
      <c r="O1044" s="7" t="s">
        <v>162</v>
      </c>
      <c r="P1044" s="7" t="s">
        <v>6783</v>
      </c>
      <c r="Q1044" s="129">
        <v>46199</v>
      </c>
      <c r="R1044" s="130">
        <f t="shared" si="123"/>
        <v>46212</v>
      </c>
      <c r="S1044" s="131">
        <f t="shared" si="122"/>
        <v>13</v>
      </c>
      <c r="T1044" s="7" t="s">
        <v>173</v>
      </c>
      <c r="U1044" s="7" t="s">
        <v>207</v>
      </c>
      <c r="V1044" s="7"/>
      <c r="W1044" s="7"/>
      <c r="X1044" s="132">
        <f t="shared" si="120"/>
        <v>10</v>
      </c>
      <c r="Y1044" s="133"/>
      <c r="Z1044" s="133"/>
      <c r="AA1044" s="133"/>
    </row>
    <row r="1045" spans="1:27" hidden="1" x14ac:dyDescent="0.25">
      <c r="A1045" s="127">
        <v>1167</v>
      </c>
      <c r="B1045" s="128" t="str">
        <f t="shared" si="121"/>
        <v>POPT</v>
      </c>
      <c r="C1045" s="128" t="e">
        <f>+VLOOKUP(U1045,Ходим!A:B,2,0)</f>
        <v>#N/A</v>
      </c>
      <c r="D1045" s="128" t="str">
        <f>IFERROR(VLOOKUP($B:$B,[20]свод!$A:$AB,3,0)," ")</f>
        <v>Поп тумани</v>
      </c>
      <c r="E1045" s="7" t="s">
        <v>2185</v>
      </c>
      <c r="F1045" s="7" t="s">
        <v>8575</v>
      </c>
      <c r="G1045" s="134" t="str">
        <f t="shared" si="124"/>
        <v/>
      </c>
      <c r="H1045" s="134">
        <f t="shared" si="125"/>
        <v>1</v>
      </c>
      <c r="I1045" s="7" t="s">
        <v>155</v>
      </c>
      <c r="J1045" s="7" t="s">
        <v>11</v>
      </c>
      <c r="K1045" s="7"/>
      <c r="L1045" s="7" t="s">
        <v>168</v>
      </c>
      <c r="M1045" s="7" t="s">
        <v>4886</v>
      </c>
      <c r="N1045" s="7" t="s">
        <v>410</v>
      </c>
      <c r="O1045" s="7" t="s">
        <v>165</v>
      </c>
      <c r="P1045" s="7" t="s">
        <v>6783</v>
      </c>
      <c r="Q1045" s="129">
        <v>46199</v>
      </c>
      <c r="R1045" s="130">
        <f t="shared" si="123"/>
        <v>46219</v>
      </c>
      <c r="S1045" s="131">
        <f t="shared" si="122"/>
        <v>20</v>
      </c>
      <c r="T1045" s="7"/>
      <c r="U1045" s="7"/>
      <c r="V1045" s="7"/>
      <c r="W1045" s="7"/>
      <c r="X1045" s="132">
        <f t="shared" si="120"/>
        <v>15</v>
      </c>
      <c r="Y1045" s="133"/>
      <c r="Z1045" s="133"/>
      <c r="AA1045" s="133"/>
    </row>
    <row r="1046" spans="1:27" hidden="1" x14ac:dyDescent="0.25">
      <c r="A1046" s="127">
        <v>1168</v>
      </c>
      <c r="B1046" s="128" t="str">
        <f t="shared" si="121"/>
        <v>NAMS</v>
      </c>
      <c r="C1046" s="128" t="str">
        <f>+VLOOKUP(U1046,Ходим!A:B,2,0)</f>
        <v>53008015960094</v>
      </c>
      <c r="D1046" s="128" t="str">
        <f>IFERROR(VLOOKUP($B:$B,[20]свод!$A:$AB,3,0)," ")</f>
        <v>Наманган шаҳар</v>
      </c>
      <c r="E1046" s="7" t="s">
        <v>2186</v>
      </c>
      <c r="F1046" s="7" t="s">
        <v>8576</v>
      </c>
      <c r="G1046" s="134">
        <f t="shared" si="124"/>
        <v>1</v>
      </c>
      <c r="H1046" s="134" t="str">
        <f t="shared" si="125"/>
        <v/>
      </c>
      <c r="I1046" s="7" t="s">
        <v>156</v>
      </c>
      <c r="J1046" s="7" t="s">
        <v>25</v>
      </c>
      <c r="K1046" s="7"/>
      <c r="L1046" s="7"/>
      <c r="M1046" s="7"/>
      <c r="N1046" s="7" t="s">
        <v>170</v>
      </c>
      <c r="O1046" s="7" t="s">
        <v>162</v>
      </c>
      <c r="P1046" s="7" t="s">
        <v>6783</v>
      </c>
      <c r="Q1046" s="129">
        <v>46199</v>
      </c>
      <c r="R1046" s="130">
        <f t="shared" si="123"/>
        <v>46212</v>
      </c>
      <c r="S1046" s="131">
        <f t="shared" si="122"/>
        <v>13</v>
      </c>
      <c r="T1046" s="7" t="s">
        <v>173</v>
      </c>
      <c r="U1046" s="7" t="s">
        <v>403</v>
      </c>
      <c r="V1046" s="7"/>
      <c r="W1046" s="7"/>
      <c r="X1046" s="132">
        <f t="shared" si="120"/>
        <v>10</v>
      </c>
      <c r="Y1046" s="133"/>
      <c r="Z1046" s="133"/>
      <c r="AA1046" s="133"/>
    </row>
    <row r="1047" spans="1:27" x14ac:dyDescent="0.25">
      <c r="A1047" s="127">
        <v>1169</v>
      </c>
      <c r="B1047" s="128" t="str">
        <f t="shared" si="121"/>
        <v>TORT</v>
      </c>
      <c r="C1047" s="128" t="str">
        <f>+VLOOKUP(U1047,Ходим!A:B,2,0)</f>
        <v>30708792130017</v>
      </c>
      <c r="D1047" s="128" t="str">
        <f>IFERROR(VLOOKUP($B:$B,[20]свод!$A:$AB,3,0)," ")</f>
        <v>Тўрақўрғон тумани</v>
      </c>
      <c r="E1047" s="7" t="s">
        <v>2187</v>
      </c>
      <c r="F1047" s="7" t="s">
        <v>8577</v>
      </c>
      <c r="G1047" s="134">
        <f t="shared" si="124"/>
        <v>1</v>
      </c>
      <c r="H1047" s="134" t="str">
        <f t="shared" si="125"/>
        <v/>
      </c>
      <c r="I1047" s="7" t="s">
        <v>158</v>
      </c>
      <c r="J1047" s="7" t="s">
        <v>1</v>
      </c>
      <c r="K1047" s="7"/>
      <c r="L1047" s="7" t="s">
        <v>167</v>
      </c>
      <c r="M1047" s="7" t="s">
        <v>4887</v>
      </c>
      <c r="N1047" s="7" t="s">
        <v>170</v>
      </c>
      <c r="O1047" s="7" t="s">
        <v>162</v>
      </c>
      <c r="P1047" s="7" t="s">
        <v>6784</v>
      </c>
      <c r="Q1047" s="129">
        <v>46199</v>
      </c>
      <c r="R1047" s="130">
        <f t="shared" si="123"/>
        <v>46199</v>
      </c>
      <c r="S1047" s="131">
        <f t="shared" si="122"/>
        <v>0</v>
      </c>
      <c r="T1047" s="7" t="s">
        <v>203</v>
      </c>
      <c r="U1047" s="7" t="s">
        <v>204</v>
      </c>
      <c r="V1047" s="7"/>
      <c r="W1047" s="7">
        <v>371.59</v>
      </c>
      <c r="X1047" s="132">
        <f t="shared" si="120"/>
        <v>10</v>
      </c>
      <c r="Y1047" s="133"/>
      <c r="Z1047" s="133"/>
      <c r="AA1047" s="133"/>
    </row>
    <row r="1048" spans="1:27" x14ac:dyDescent="0.25">
      <c r="A1048" s="127">
        <v>1170</v>
      </c>
      <c r="B1048" s="128" t="str">
        <f t="shared" si="121"/>
        <v>KSST</v>
      </c>
      <c r="C1048" s="128" t="str">
        <f>+VLOOKUP(U1048,Ходим!A:B,2,0)</f>
        <v>31407932190092</v>
      </c>
      <c r="D1048" s="128" t="str">
        <f>IFERROR(VLOOKUP($B:$B,[20]свод!$A:$AB,3,0)," ")</f>
        <v>Косонсой тумани</v>
      </c>
      <c r="E1048" s="7" t="s">
        <v>2188</v>
      </c>
      <c r="F1048" s="7" t="s">
        <v>8578</v>
      </c>
      <c r="G1048" s="134" t="str">
        <f t="shared" si="124"/>
        <v/>
      </c>
      <c r="H1048" s="134">
        <f t="shared" si="125"/>
        <v>1</v>
      </c>
      <c r="I1048" s="7" t="s">
        <v>157</v>
      </c>
      <c r="J1048" s="7" t="s">
        <v>2</v>
      </c>
      <c r="K1048" s="7"/>
      <c r="L1048" s="7" t="s">
        <v>166</v>
      </c>
      <c r="M1048" s="7" t="s">
        <v>4888</v>
      </c>
      <c r="N1048" s="7" t="s">
        <v>170</v>
      </c>
      <c r="O1048" s="7" t="s">
        <v>161</v>
      </c>
      <c r="P1048" s="7" t="s">
        <v>6785</v>
      </c>
      <c r="Q1048" s="129">
        <v>46199</v>
      </c>
      <c r="R1048" s="130">
        <f t="shared" si="123"/>
        <v>46199</v>
      </c>
      <c r="S1048" s="131">
        <f t="shared" si="122"/>
        <v>0</v>
      </c>
      <c r="T1048" s="7" t="s">
        <v>180</v>
      </c>
      <c r="U1048" s="7" t="s">
        <v>188</v>
      </c>
      <c r="V1048" s="7"/>
      <c r="W1048" s="7">
        <v>0</v>
      </c>
      <c r="X1048" s="132">
        <f t="shared" si="120"/>
        <v>10</v>
      </c>
      <c r="Y1048" s="133"/>
      <c r="Z1048" s="133"/>
      <c r="AA1048" s="133"/>
    </row>
    <row r="1049" spans="1:27" x14ac:dyDescent="0.25">
      <c r="A1049" s="127">
        <v>1171</v>
      </c>
      <c r="B1049" s="128" t="str">
        <f t="shared" si="121"/>
        <v>KSST</v>
      </c>
      <c r="C1049" s="128" t="str">
        <f>+VLOOKUP(U1049,Ходим!A:B,2,0)</f>
        <v>31407932190092</v>
      </c>
      <c r="D1049" s="128" t="str">
        <f>IFERROR(VLOOKUP($B:$B,[20]свод!$A:$AB,3,0)," ")</f>
        <v>Косонсой тумани</v>
      </c>
      <c r="E1049" s="7" t="s">
        <v>2189</v>
      </c>
      <c r="F1049" s="7" t="s">
        <v>8579</v>
      </c>
      <c r="G1049" s="134" t="str">
        <f t="shared" si="124"/>
        <v/>
      </c>
      <c r="H1049" s="134">
        <f t="shared" si="125"/>
        <v>1</v>
      </c>
      <c r="I1049" s="7" t="s">
        <v>157</v>
      </c>
      <c r="J1049" s="7" t="s">
        <v>2</v>
      </c>
      <c r="K1049" s="7"/>
      <c r="L1049" s="7" t="s">
        <v>166</v>
      </c>
      <c r="M1049" s="7" t="s">
        <v>4889</v>
      </c>
      <c r="N1049" s="7" t="s">
        <v>170</v>
      </c>
      <c r="O1049" s="7" t="s">
        <v>161</v>
      </c>
      <c r="P1049" s="7" t="s">
        <v>6785</v>
      </c>
      <c r="Q1049" s="129">
        <v>46199</v>
      </c>
      <c r="R1049" s="130">
        <f t="shared" si="123"/>
        <v>46199</v>
      </c>
      <c r="S1049" s="131">
        <f t="shared" si="122"/>
        <v>0</v>
      </c>
      <c r="T1049" s="7" t="s">
        <v>180</v>
      </c>
      <c r="U1049" s="7" t="s">
        <v>188</v>
      </c>
      <c r="V1049" s="7"/>
      <c r="W1049" s="7">
        <v>0</v>
      </c>
      <c r="X1049" s="132">
        <f t="shared" si="120"/>
        <v>10</v>
      </c>
      <c r="Y1049" s="133"/>
      <c r="Z1049" s="133"/>
      <c r="AA1049" s="133"/>
    </row>
    <row r="1050" spans="1:27" hidden="1" x14ac:dyDescent="0.25">
      <c r="A1050" s="127">
        <v>1172</v>
      </c>
      <c r="B1050" s="128" t="str">
        <f t="shared" si="121"/>
        <v>NAMS</v>
      </c>
      <c r="C1050" s="128" t="str">
        <f>+VLOOKUP(U1050,Ходим!A:B,2,0)</f>
        <v>51110025960044</v>
      </c>
      <c r="D1050" s="128" t="str">
        <f>IFERROR(VLOOKUP($B:$B,[20]свод!$A:$AB,3,0)," ")</f>
        <v>Наманган шаҳар</v>
      </c>
      <c r="E1050" s="7" t="s">
        <v>2190</v>
      </c>
      <c r="F1050" s="7" t="s">
        <v>8580</v>
      </c>
      <c r="G1050" s="134">
        <f t="shared" si="124"/>
        <v>1</v>
      </c>
      <c r="H1050" s="134" t="str">
        <f t="shared" si="125"/>
        <v/>
      </c>
      <c r="I1050" s="7" t="s">
        <v>158</v>
      </c>
      <c r="J1050" s="7" t="s">
        <v>2</v>
      </c>
      <c r="K1050" s="7"/>
      <c r="L1050" s="7"/>
      <c r="M1050" s="7"/>
      <c r="N1050" s="7" t="s">
        <v>170</v>
      </c>
      <c r="O1050" s="7" t="s">
        <v>162</v>
      </c>
      <c r="P1050" s="7" t="s">
        <v>6786</v>
      </c>
      <c r="Q1050" s="129">
        <v>46199</v>
      </c>
      <c r="R1050" s="130">
        <f t="shared" si="123"/>
        <v>46206</v>
      </c>
      <c r="S1050" s="131">
        <f t="shared" si="122"/>
        <v>7</v>
      </c>
      <c r="T1050" s="7" t="s">
        <v>173</v>
      </c>
      <c r="U1050" s="7" t="s">
        <v>294</v>
      </c>
      <c r="V1050" s="7"/>
      <c r="W1050" s="7"/>
      <c r="X1050" s="132">
        <f t="shared" si="120"/>
        <v>10</v>
      </c>
      <c r="Y1050" s="133"/>
      <c r="Z1050" s="133"/>
      <c r="AA1050" s="133"/>
    </row>
    <row r="1051" spans="1:27" hidden="1" x14ac:dyDescent="0.25">
      <c r="A1051" s="127">
        <v>1173</v>
      </c>
      <c r="B1051" s="128" t="str">
        <f t="shared" si="121"/>
        <v>TORT</v>
      </c>
      <c r="C1051" s="128" t="str">
        <f>+VLOOKUP(U1051,Ходим!A:B,2,0)</f>
        <v>32211772130034</v>
      </c>
      <c r="D1051" s="128" t="str">
        <f>IFERROR(VLOOKUP($B:$B,[20]свод!$A:$AB,3,0)," ")</f>
        <v>Тўрақўрғон тумани</v>
      </c>
      <c r="E1051" s="7" t="s">
        <v>2191</v>
      </c>
      <c r="F1051" s="7" t="s">
        <v>8581</v>
      </c>
      <c r="G1051" s="134">
        <f t="shared" si="124"/>
        <v>1</v>
      </c>
      <c r="H1051" s="134" t="str">
        <f t="shared" si="125"/>
        <v/>
      </c>
      <c r="I1051" s="7" t="s">
        <v>158</v>
      </c>
      <c r="J1051" s="7" t="s">
        <v>2</v>
      </c>
      <c r="K1051" s="7"/>
      <c r="L1051" s="7" t="s">
        <v>167</v>
      </c>
      <c r="M1051" s="7" t="s">
        <v>4890</v>
      </c>
      <c r="N1051" s="7" t="s">
        <v>170</v>
      </c>
      <c r="O1051" s="7" t="s">
        <v>162</v>
      </c>
      <c r="P1051" s="7" t="s">
        <v>6786</v>
      </c>
      <c r="Q1051" s="129">
        <v>46199</v>
      </c>
      <c r="R1051" s="130">
        <f t="shared" si="123"/>
        <v>46206</v>
      </c>
      <c r="S1051" s="131">
        <f t="shared" si="122"/>
        <v>7</v>
      </c>
      <c r="T1051" s="7" t="s">
        <v>203</v>
      </c>
      <c r="U1051" s="7" t="s">
        <v>270</v>
      </c>
      <c r="V1051" s="7"/>
      <c r="W1051" s="7">
        <v>353.87</v>
      </c>
      <c r="X1051" s="132">
        <f t="shared" si="120"/>
        <v>10</v>
      </c>
      <c r="Y1051" s="133"/>
      <c r="Z1051" s="133"/>
      <c r="AA1051" s="133"/>
    </row>
    <row r="1052" spans="1:27" hidden="1" x14ac:dyDescent="0.25">
      <c r="A1052" s="127">
        <v>1174</v>
      </c>
      <c r="B1052" s="128" t="str">
        <f t="shared" si="121"/>
        <v>NAMT</v>
      </c>
      <c r="C1052" s="128">
        <f>+VLOOKUP(U1052,Ходим!A:B,2,0)</f>
        <v>52908045880018</v>
      </c>
      <c r="D1052" s="128" t="str">
        <f>IFERROR(VLOOKUP($B:$B,[20]свод!$A:$AB,3,0)," ")</f>
        <v>Наманган тумани</v>
      </c>
      <c r="E1052" s="7" t="s">
        <v>2192</v>
      </c>
      <c r="F1052" s="7" t="s">
        <v>8582</v>
      </c>
      <c r="G1052" s="134">
        <f t="shared" si="124"/>
        <v>1</v>
      </c>
      <c r="H1052" s="134" t="str">
        <f t="shared" si="125"/>
        <v/>
      </c>
      <c r="I1052" s="7" t="s">
        <v>158</v>
      </c>
      <c r="J1052" s="7" t="s">
        <v>13</v>
      </c>
      <c r="K1052" s="7"/>
      <c r="L1052" s="7" t="s">
        <v>167</v>
      </c>
      <c r="M1052" s="7" t="s">
        <v>4891</v>
      </c>
      <c r="N1052" s="7" t="s">
        <v>170</v>
      </c>
      <c r="O1052" s="7" t="s">
        <v>162</v>
      </c>
      <c r="P1052" s="7" t="s">
        <v>6489</v>
      </c>
      <c r="Q1052" s="129">
        <v>46199</v>
      </c>
      <c r="R1052" s="130">
        <f t="shared" si="123"/>
        <v>46211</v>
      </c>
      <c r="S1052" s="131">
        <f t="shared" si="122"/>
        <v>12</v>
      </c>
      <c r="T1052" s="7" t="s">
        <v>193</v>
      </c>
      <c r="U1052" s="7" t="s">
        <v>982</v>
      </c>
      <c r="V1052" s="7"/>
      <c r="W1052" s="7">
        <v>175.31</v>
      </c>
      <c r="X1052" s="132">
        <f t="shared" si="120"/>
        <v>10</v>
      </c>
      <c r="Y1052" s="133"/>
      <c r="Z1052" s="133"/>
      <c r="AA1052" s="133"/>
    </row>
    <row r="1053" spans="1:27" hidden="1" x14ac:dyDescent="0.25">
      <c r="A1053" s="127">
        <v>1175</v>
      </c>
      <c r="B1053" s="128" t="str">
        <f t="shared" si="121"/>
        <v>NAMS</v>
      </c>
      <c r="C1053" s="128" t="str">
        <f>+VLOOKUP(U1053,Ходим!A:B,2,0)</f>
        <v>52710005960025</v>
      </c>
      <c r="D1053" s="128" t="str">
        <f>IFERROR(VLOOKUP($B:$B,[20]свод!$A:$AB,3,0)," ")</f>
        <v>Наманган шаҳар</v>
      </c>
      <c r="E1053" s="7" t="s">
        <v>2193</v>
      </c>
      <c r="F1053" s="7" t="s">
        <v>8583</v>
      </c>
      <c r="G1053" s="134">
        <f t="shared" si="124"/>
        <v>1</v>
      </c>
      <c r="H1053" s="134" t="str">
        <f t="shared" si="125"/>
        <v/>
      </c>
      <c r="I1053" s="7" t="s">
        <v>158</v>
      </c>
      <c r="J1053" s="7" t="s">
        <v>2</v>
      </c>
      <c r="K1053" s="7"/>
      <c r="L1053" s="7" t="s">
        <v>167</v>
      </c>
      <c r="M1053" s="7" t="s">
        <v>4892</v>
      </c>
      <c r="N1053" s="7" t="s">
        <v>170</v>
      </c>
      <c r="O1053" s="7" t="s">
        <v>162</v>
      </c>
      <c r="P1053" s="7" t="s">
        <v>6786</v>
      </c>
      <c r="Q1053" s="129">
        <v>46199</v>
      </c>
      <c r="R1053" s="130">
        <f t="shared" si="123"/>
        <v>46206</v>
      </c>
      <c r="S1053" s="131">
        <f t="shared" si="122"/>
        <v>7</v>
      </c>
      <c r="T1053" s="7" t="s">
        <v>173</v>
      </c>
      <c r="U1053" s="7" t="s">
        <v>274</v>
      </c>
      <c r="V1053" s="7"/>
      <c r="W1053" s="7">
        <v>132.35</v>
      </c>
      <c r="X1053" s="132">
        <f t="shared" si="120"/>
        <v>10</v>
      </c>
      <c r="Y1053" s="133"/>
      <c r="Z1053" s="133"/>
      <c r="AA1053" s="133"/>
    </row>
    <row r="1054" spans="1:27" hidden="1" x14ac:dyDescent="0.25">
      <c r="A1054" s="127">
        <v>1176</v>
      </c>
      <c r="B1054" s="128" t="str">
        <f t="shared" si="121"/>
        <v>YGQT</v>
      </c>
      <c r="C1054" s="128" t="str">
        <f>+VLOOKUP(U1054,Ходим!A:B,2,0)</f>
        <v>52802005950028</v>
      </c>
      <c r="D1054" s="128" t="str">
        <f>IFERROR(VLOOKUP($B:$B,[20]свод!$A:$AB,3,0)," ")</f>
        <v>Янгиқўрғон тумани</v>
      </c>
      <c r="E1054" s="7" t="s">
        <v>2194</v>
      </c>
      <c r="F1054" s="7" t="s">
        <v>8584</v>
      </c>
      <c r="G1054" s="134">
        <f t="shared" si="124"/>
        <v>1</v>
      </c>
      <c r="H1054" s="134" t="str">
        <f t="shared" si="125"/>
        <v/>
      </c>
      <c r="I1054" s="7" t="s">
        <v>158</v>
      </c>
      <c r="J1054" s="7" t="s">
        <v>2</v>
      </c>
      <c r="K1054" s="7"/>
      <c r="L1054" s="7"/>
      <c r="M1054" s="7"/>
      <c r="N1054" s="7" t="s">
        <v>410</v>
      </c>
      <c r="O1054" s="7" t="s">
        <v>162</v>
      </c>
      <c r="P1054" s="7" t="s">
        <v>6786</v>
      </c>
      <c r="Q1054" s="129">
        <v>46199</v>
      </c>
      <c r="R1054" s="130">
        <f t="shared" si="123"/>
        <v>46206</v>
      </c>
      <c r="S1054" s="131">
        <f t="shared" si="122"/>
        <v>7</v>
      </c>
      <c r="T1054" s="7" t="s">
        <v>182</v>
      </c>
      <c r="U1054" s="7" t="s">
        <v>281</v>
      </c>
      <c r="V1054" s="7"/>
      <c r="W1054" s="7"/>
      <c r="X1054" s="132">
        <f t="shared" si="120"/>
        <v>10</v>
      </c>
      <c r="Y1054" s="133"/>
      <c r="Z1054" s="133"/>
      <c r="AA1054" s="133"/>
    </row>
    <row r="1055" spans="1:27" hidden="1" x14ac:dyDescent="0.25">
      <c r="A1055" s="127">
        <v>1177</v>
      </c>
      <c r="B1055" s="128" t="str">
        <f t="shared" si="121"/>
        <v>NAMS</v>
      </c>
      <c r="C1055" s="128" t="str">
        <f>+VLOOKUP(U1055,Ходим!A:B,2,0)</f>
        <v>30302942170072</v>
      </c>
      <c r="D1055" s="128" t="str">
        <f>IFERROR(VLOOKUP($B:$B,[20]свод!$A:$AB,3,0)," ")</f>
        <v>Наманган шаҳар</v>
      </c>
      <c r="E1055" s="7" t="s">
        <v>2195</v>
      </c>
      <c r="F1055" s="7" t="s">
        <v>8585</v>
      </c>
      <c r="G1055" s="134" t="str">
        <f t="shared" si="124"/>
        <v/>
      </c>
      <c r="H1055" s="134">
        <f t="shared" si="125"/>
        <v>1</v>
      </c>
      <c r="I1055" s="7" t="s">
        <v>155</v>
      </c>
      <c r="J1055" s="7" t="s">
        <v>22</v>
      </c>
      <c r="K1055" s="7"/>
      <c r="L1055" s="7"/>
      <c r="M1055" s="7"/>
      <c r="N1055" s="7" t="s">
        <v>410</v>
      </c>
      <c r="O1055" s="7" t="s">
        <v>161</v>
      </c>
      <c r="P1055" s="7" t="s">
        <v>6787</v>
      </c>
      <c r="Q1055" s="129">
        <v>46199</v>
      </c>
      <c r="R1055" s="130">
        <f t="shared" si="123"/>
        <v>46212</v>
      </c>
      <c r="S1055" s="131">
        <f t="shared" si="122"/>
        <v>13</v>
      </c>
      <c r="T1055" s="7" t="s">
        <v>227</v>
      </c>
      <c r="U1055" s="7" t="s">
        <v>325</v>
      </c>
      <c r="V1055" s="7"/>
      <c r="W1055" s="7"/>
      <c r="X1055" s="132">
        <f t="shared" si="120"/>
        <v>10</v>
      </c>
      <c r="Y1055" s="133"/>
      <c r="Z1055" s="133"/>
      <c r="AA1055" s="133"/>
    </row>
    <row r="1056" spans="1:27" hidden="1" x14ac:dyDescent="0.25">
      <c r="A1056" s="127">
        <v>1178</v>
      </c>
      <c r="B1056" s="128" t="str">
        <f t="shared" si="121"/>
        <v>NAMT</v>
      </c>
      <c r="C1056" s="128" t="str">
        <f>+VLOOKUP(U1056,Ходим!A:B,2,0)</f>
        <v>52012025880014</v>
      </c>
      <c r="D1056" s="128" t="str">
        <f>IFERROR(VLOOKUP($B:$B,[20]свод!$A:$AB,3,0)," ")</f>
        <v>Наманган тумани</v>
      </c>
      <c r="E1056" s="7" t="s">
        <v>2196</v>
      </c>
      <c r="F1056" s="7" t="s">
        <v>8586</v>
      </c>
      <c r="G1056" s="134">
        <f t="shared" si="124"/>
        <v>1</v>
      </c>
      <c r="H1056" s="134" t="str">
        <f t="shared" si="125"/>
        <v/>
      </c>
      <c r="I1056" s="7" t="s">
        <v>158</v>
      </c>
      <c r="J1056" s="7" t="s">
        <v>13</v>
      </c>
      <c r="K1056" s="7"/>
      <c r="L1056" s="7" t="s">
        <v>167</v>
      </c>
      <c r="M1056" s="7" t="s">
        <v>4893</v>
      </c>
      <c r="N1056" s="7" t="s">
        <v>170</v>
      </c>
      <c r="O1056" s="7" t="s">
        <v>162</v>
      </c>
      <c r="P1056" s="7" t="s">
        <v>6788</v>
      </c>
      <c r="Q1056" s="129">
        <v>46199</v>
      </c>
      <c r="R1056" s="130">
        <f t="shared" si="123"/>
        <v>46206</v>
      </c>
      <c r="S1056" s="131">
        <f t="shared" si="122"/>
        <v>7</v>
      </c>
      <c r="T1056" s="7" t="s">
        <v>193</v>
      </c>
      <c r="U1056" s="7" t="s">
        <v>216</v>
      </c>
      <c r="V1056" s="7"/>
      <c r="W1056" s="7">
        <v>299.18</v>
      </c>
      <c r="X1056" s="132">
        <f t="shared" si="120"/>
        <v>10</v>
      </c>
      <c r="Y1056" s="133"/>
      <c r="Z1056" s="133"/>
      <c r="AA1056" s="133"/>
    </row>
    <row r="1057" spans="1:27" hidden="1" x14ac:dyDescent="0.25">
      <c r="A1057" s="127">
        <v>1179</v>
      </c>
      <c r="B1057" s="128" t="str">
        <f t="shared" si="121"/>
        <v>CHOT</v>
      </c>
      <c r="C1057" s="128" t="str">
        <f>+VLOOKUP(U1057,Ходим!A:B,2,0)</f>
        <v>30510945890013</v>
      </c>
      <c r="D1057" s="128" t="str">
        <f>IFERROR(VLOOKUP($B:$B,[20]свод!$A:$AB,3,0)," ")</f>
        <v>Чортоқ тумани</v>
      </c>
      <c r="E1057" s="7" t="s">
        <v>2197</v>
      </c>
      <c r="F1057" s="7" t="s">
        <v>8587</v>
      </c>
      <c r="G1057" s="134">
        <f t="shared" si="124"/>
        <v>1</v>
      </c>
      <c r="H1057" s="134" t="str">
        <f t="shared" si="125"/>
        <v/>
      </c>
      <c r="I1057" s="7" t="s">
        <v>158</v>
      </c>
      <c r="J1057" s="7" t="s">
        <v>1</v>
      </c>
      <c r="K1057" s="7"/>
      <c r="L1057" s="7" t="s">
        <v>167</v>
      </c>
      <c r="M1057" s="7" t="s">
        <v>4894</v>
      </c>
      <c r="N1057" s="7" t="s">
        <v>170</v>
      </c>
      <c r="O1057" s="7" t="s">
        <v>162</v>
      </c>
      <c r="P1057" s="7" t="s">
        <v>6745</v>
      </c>
      <c r="Q1057" s="129">
        <v>46199</v>
      </c>
      <c r="R1057" s="130">
        <f t="shared" si="123"/>
        <v>46206</v>
      </c>
      <c r="S1057" s="131">
        <f t="shared" si="122"/>
        <v>7</v>
      </c>
      <c r="T1057" s="7" t="s">
        <v>184</v>
      </c>
      <c r="U1057" s="7" t="s">
        <v>185</v>
      </c>
      <c r="V1057" s="7"/>
      <c r="W1057" s="7">
        <v>350.88</v>
      </c>
      <c r="X1057" s="132">
        <f t="shared" ref="X1057:X1116" si="126">IF(N1057="Kadastr muhandisi",3,
IF(N1057="UZKAD",5,
IF(V1057="FREE",5,
IF(I1057="Registratsiya (tashqi - UZKAD da bor)",1,
IF(I1057="Avtoyo'l va suv xo'jaligi obyektining kadastr pasportini shakllantirish va ro'yxatga olish",7,
IF(I1057="Notarius uchun ma'lumotnoma (uz)",1,
IF(I1057="Qurilishi tugallangan ko'chmas mulkni foydalanishga qabul qilish",10,
IF(OR(I1057="Turar joy obyektning kadastr pasportini shakllantirish va davlat ro'yxatidan o'tkazish",I1057="Turar kompozit"),
IF(L1057="Turar yer maydoni",7,10),
IF(OR(I1057="Noturar obyektning kadastr pasportini shakllantirish va davlat ro'yxatidan o'tkazish",I1057="Noturar kompozit"),
IF(O1057="Ko‘p yillik daraxtlar xizmati",15,
IF(OR(L1057="Noturar yer maydoni",L1057="Davlat tashkilotlaridan ijaraga olingan yer uchastkasi"),7,
IF(W1057&lt;100,10,IF(W1057&lt;=1000,12,IF(W1057&lt;=5000,17,IF(W1057&lt;=15000,22,IF(W1057&lt;=50000,28,37))))))),
IF(I1057="Umumiy foydalanishdagi ko'chmas mulk qismini yaratish",
IF(IF(TRIM(L1057)="",IF(OR(O1057="Turar joy xizmati",O1057="Yakka tartibdagi turar joy"),"Turar","Noturar"),IF(OR(L1057="Yakka tartibdagi turar joy",L1057="Turar joy xizmati"),"Turar","Noturar"))="Turar",
10,IF(W1057&lt;100,10,IF(W1057&lt;=1000,12,IF(W1057&lt;=5000,17,IF(W1057&lt;=15000,22,IF(W1057&lt;=50000,28,37)))))),
0))))))))))</f>
        <v>10</v>
      </c>
      <c r="Y1057" s="133"/>
      <c r="Z1057" s="133"/>
      <c r="AA1057" s="133"/>
    </row>
    <row r="1058" spans="1:27" x14ac:dyDescent="0.25">
      <c r="A1058" s="127">
        <v>1180</v>
      </c>
      <c r="B1058" s="128" t="str">
        <f t="shared" ref="B1058:B1117" si="127">LEFT(E1058,4)</f>
        <v>YGQT</v>
      </c>
      <c r="C1058" s="128" t="e">
        <f>+VLOOKUP(U1058,Ходим!A:B,2,0)</f>
        <v>#N/A</v>
      </c>
      <c r="D1058" s="128" t="str">
        <f>IFERROR(VLOOKUP($B:$B,[20]свод!$A:$AB,3,0)," ")</f>
        <v>Янгиқўрғон тумани</v>
      </c>
      <c r="E1058" s="7" t="s">
        <v>2198</v>
      </c>
      <c r="F1058" s="7" t="s">
        <v>8588</v>
      </c>
      <c r="G1058" s="134">
        <f t="shared" si="124"/>
        <v>1</v>
      </c>
      <c r="H1058" s="134" t="str">
        <f t="shared" si="125"/>
        <v/>
      </c>
      <c r="I1058" s="7" t="s">
        <v>160</v>
      </c>
      <c r="J1058" s="7" t="s">
        <v>104</v>
      </c>
      <c r="K1058" s="7" t="s">
        <v>10623</v>
      </c>
      <c r="L1058" s="7" t="s">
        <v>167</v>
      </c>
      <c r="M1058" s="7" t="s">
        <v>4895</v>
      </c>
      <c r="N1058" s="7" t="s">
        <v>171</v>
      </c>
      <c r="O1058" s="7" t="s">
        <v>164</v>
      </c>
      <c r="P1058" s="7" t="s">
        <v>6787</v>
      </c>
      <c r="Q1058" s="129">
        <v>46199</v>
      </c>
      <c r="R1058" s="130">
        <f t="shared" si="123"/>
        <v>46199</v>
      </c>
      <c r="S1058" s="131">
        <f t="shared" ref="S1058:S1117" si="128">R1058-Q1058</f>
        <v>0</v>
      </c>
      <c r="T1058" s="7"/>
      <c r="U1058" s="7"/>
      <c r="V1058" s="7"/>
      <c r="W1058" s="7">
        <v>381.34</v>
      </c>
      <c r="X1058" s="132">
        <f t="shared" si="126"/>
        <v>1</v>
      </c>
      <c r="Y1058" s="133"/>
      <c r="Z1058" s="133"/>
      <c r="AA1058" s="133"/>
    </row>
    <row r="1059" spans="1:27" hidden="1" x14ac:dyDescent="0.25">
      <c r="A1059" s="127">
        <v>1181</v>
      </c>
      <c r="B1059" s="128" t="str">
        <f t="shared" si="127"/>
        <v>MINT</v>
      </c>
      <c r="C1059" s="128" t="e">
        <f>+VLOOKUP(U1059,Ходим!A:B,2,0)</f>
        <v>#N/A</v>
      </c>
      <c r="D1059" s="128" t="str">
        <f>IFERROR(VLOOKUP($B:$B,[20]свод!$A:$AB,3,0)," ")</f>
        <v>Мингбулоқ тумани</v>
      </c>
      <c r="E1059" s="7" t="s">
        <v>2199</v>
      </c>
      <c r="F1059" s="7" t="s">
        <v>8589</v>
      </c>
      <c r="G1059" s="134">
        <f t="shared" si="124"/>
        <v>1</v>
      </c>
      <c r="H1059" s="134" t="str">
        <f t="shared" si="125"/>
        <v/>
      </c>
      <c r="I1059" s="7" t="s">
        <v>156</v>
      </c>
      <c r="J1059" s="7" t="s">
        <v>11</v>
      </c>
      <c r="K1059" s="7"/>
      <c r="L1059" s="7" t="s">
        <v>167</v>
      </c>
      <c r="M1059" s="7" t="s">
        <v>4896</v>
      </c>
      <c r="N1059" s="7" t="s">
        <v>170</v>
      </c>
      <c r="O1059" s="7" t="s">
        <v>162</v>
      </c>
      <c r="P1059" s="7" t="s">
        <v>6787</v>
      </c>
      <c r="Q1059" s="129">
        <v>46199</v>
      </c>
      <c r="R1059" s="130">
        <f t="shared" si="123"/>
        <v>46212</v>
      </c>
      <c r="S1059" s="131">
        <f t="shared" si="128"/>
        <v>13</v>
      </c>
      <c r="T1059" s="7"/>
      <c r="U1059" s="7"/>
      <c r="V1059" s="7"/>
      <c r="W1059" s="7">
        <v>274.99</v>
      </c>
      <c r="X1059" s="132">
        <f t="shared" si="126"/>
        <v>10</v>
      </c>
      <c r="Y1059" s="133"/>
      <c r="Z1059" s="133"/>
      <c r="AA1059" s="133"/>
    </row>
    <row r="1060" spans="1:27" hidden="1" x14ac:dyDescent="0.25">
      <c r="A1060" s="127">
        <v>1182</v>
      </c>
      <c r="B1060" s="128" t="str">
        <f t="shared" si="127"/>
        <v>UCQT</v>
      </c>
      <c r="C1060" s="128" t="str">
        <f>+VLOOKUP(U1060,Ходим!A:B,2,0)</f>
        <v>31402915940019</v>
      </c>
      <c r="D1060" s="128" t="str">
        <f>IFERROR(VLOOKUP($B:$B,[20]свод!$A:$AB,3,0)," ")</f>
        <v>Учқўрғон тумани</v>
      </c>
      <c r="E1060" s="7" t="s">
        <v>2200</v>
      </c>
      <c r="F1060" s="7" t="s">
        <v>8590</v>
      </c>
      <c r="G1060" s="134">
        <f t="shared" si="124"/>
        <v>1</v>
      </c>
      <c r="H1060" s="134" t="str">
        <f t="shared" si="125"/>
        <v/>
      </c>
      <c r="I1060" s="7" t="s">
        <v>158</v>
      </c>
      <c r="J1060" s="7" t="s">
        <v>2</v>
      </c>
      <c r="K1060" s="7"/>
      <c r="L1060" s="7" t="s">
        <v>167</v>
      </c>
      <c r="M1060" s="7" t="s">
        <v>4897</v>
      </c>
      <c r="N1060" s="7" t="s">
        <v>410</v>
      </c>
      <c r="O1060" s="7" t="s">
        <v>162</v>
      </c>
      <c r="P1060" s="7" t="s">
        <v>6654</v>
      </c>
      <c r="Q1060" s="129">
        <v>46199</v>
      </c>
      <c r="R1060" s="130">
        <f t="shared" si="123"/>
        <v>46205</v>
      </c>
      <c r="S1060" s="131">
        <f t="shared" si="128"/>
        <v>6</v>
      </c>
      <c r="T1060" s="7" t="s">
        <v>175</v>
      </c>
      <c r="U1060" s="7" t="s">
        <v>292</v>
      </c>
      <c r="V1060" s="7"/>
      <c r="W1060" s="7">
        <v>36.08</v>
      </c>
      <c r="X1060" s="132">
        <f t="shared" si="126"/>
        <v>10</v>
      </c>
      <c r="Y1060" s="133"/>
      <c r="Z1060" s="133"/>
      <c r="AA1060" s="133"/>
    </row>
    <row r="1061" spans="1:27" hidden="1" x14ac:dyDescent="0.25">
      <c r="A1061" s="127">
        <v>1183</v>
      </c>
      <c r="B1061" s="128" t="str">
        <f t="shared" si="127"/>
        <v>NAMT</v>
      </c>
      <c r="C1061" s="128" t="str">
        <f>+VLOOKUP(U1061,Ходим!A:B,2,0)</f>
        <v>32204892090133</v>
      </c>
      <c r="D1061" s="128" t="str">
        <f>IFERROR(VLOOKUP($B:$B,[20]свод!$A:$AB,3,0)," ")</f>
        <v>Наманган тумани</v>
      </c>
      <c r="E1061" s="7" t="s">
        <v>2201</v>
      </c>
      <c r="F1061" s="7" t="s">
        <v>8591</v>
      </c>
      <c r="G1061" s="134">
        <f t="shared" si="124"/>
        <v>1</v>
      </c>
      <c r="H1061" s="134" t="str">
        <f t="shared" si="125"/>
        <v/>
      </c>
      <c r="I1061" s="7" t="s">
        <v>158</v>
      </c>
      <c r="J1061" s="7" t="s">
        <v>2</v>
      </c>
      <c r="K1061" s="7"/>
      <c r="L1061" s="7" t="s">
        <v>167</v>
      </c>
      <c r="M1061" s="7" t="s">
        <v>4898</v>
      </c>
      <c r="N1061" s="7" t="s">
        <v>170</v>
      </c>
      <c r="O1061" s="7" t="s">
        <v>162</v>
      </c>
      <c r="P1061" s="7" t="s">
        <v>6788</v>
      </c>
      <c r="Q1061" s="129">
        <v>46199</v>
      </c>
      <c r="R1061" s="130">
        <f t="shared" si="123"/>
        <v>46206</v>
      </c>
      <c r="S1061" s="131">
        <f t="shared" si="128"/>
        <v>7</v>
      </c>
      <c r="T1061" s="7" t="s">
        <v>193</v>
      </c>
      <c r="U1061" s="7" t="s">
        <v>198</v>
      </c>
      <c r="V1061" s="7"/>
      <c r="W1061" s="7">
        <v>292.2</v>
      </c>
      <c r="X1061" s="132">
        <f t="shared" si="126"/>
        <v>10</v>
      </c>
      <c r="Y1061" s="133"/>
      <c r="Z1061" s="133"/>
      <c r="AA1061" s="133"/>
    </row>
    <row r="1062" spans="1:27" x14ac:dyDescent="0.25">
      <c r="A1062" s="127">
        <v>1184</v>
      </c>
      <c r="B1062" s="128" t="str">
        <f t="shared" si="127"/>
        <v>NAMT</v>
      </c>
      <c r="C1062" s="128" t="str">
        <f>+VLOOKUP(U1062,Ходим!A:B,2,0)</f>
        <v>32607902090019</v>
      </c>
      <c r="D1062" s="128" t="str">
        <f>IFERROR(VLOOKUP($B:$B,[20]свод!$A:$AB,3,0)," ")</f>
        <v>Наманган тумани</v>
      </c>
      <c r="E1062" s="7" t="s">
        <v>2202</v>
      </c>
      <c r="F1062" s="7" t="s">
        <v>8592</v>
      </c>
      <c r="G1062" s="134">
        <f t="shared" si="124"/>
        <v>1</v>
      </c>
      <c r="H1062" s="134" t="str">
        <f t="shared" si="125"/>
        <v/>
      </c>
      <c r="I1062" s="7" t="s">
        <v>158</v>
      </c>
      <c r="J1062" s="7" t="s">
        <v>1</v>
      </c>
      <c r="K1062" s="7"/>
      <c r="L1062" s="7" t="s">
        <v>167</v>
      </c>
      <c r="M1062" s="7" t="s">
        <v>4899</v>
      </c>
      <c r="N1062" s="7" t="s">
        <v>170</v>
      </c>
      <c r="O1062" s="7" t="s">
        <v>162</v>
      </c>
      <c r="P1062" s="7" t="s">
        <v>6789</v>
      </c>
      <c r="Q1062" s="129">
        <v>46199</v>
      </c>
      <c r="R1062" s="130">
        <f t="shared" si="123"/>
        <v>46199</v>
      </c>
      <c r="S1062" s="131">
        <f t="shared" si="128"/>
        <v>0</v>
      </c>
      <c r="T1062" s="7" t="s">
        <v>193</v>
      </c>
      <c r="U1062" s="7" t="s">
        <v>243</v>
      </c>
      <c r="V1062" s="7"/>
      <c r="W1062" s="7">
        <v>321.95</v>
      </c>
      <c r="X1062" s="132">
        <f t="shared" si="126"/>
        <v>10</v>
      </c>
      <c r="Y1062" s="133"/>
      <c r="Z1062" s="133"/>
      <c r="AA1062" s="133"/>
    </row>
    <row r="1063" spans="1:27" x14ac:dyDescent="0.25">
      <c r="A1063" s="127">
        <v>1185</v>
      </c>
      <c r="B1063" s="128" t="str">
        <f t="shared" si="127"/>
        <v>TORT</v>
      </c>
      <c r="C1063" s="128" t="str">
        <f>+VLOOKUP(U1063,Ходим!A:B,2,0)</f>
        <v>52603025920015</v>
      </c>
      <c r="D1063" s="128" t="str">
        <f>IFERROR(VLOOKUP($B:$B,[20]свод!$A:$AB,3,0)," ")</f>
        <v>Тўрақўрғон тумани</v>
      </c>
      <c r="E1063" s="7" t="s">
        <v>2203</v>
      </c>
      <c r="F1063" s="7" t="s">
        <v>8593</v>
      </c>
      <c r="G1063" s="134">
        <f t="shared" si="124"/>
        <v>1</v>
      </c>
      <c r="H1063" s="134" t="str">
        <f t="shared" si="125"/>
        <v/>
      </c>
      <c r="I1063" s="7" t="s">
        <v>158</v>
      </c>
      <c r="J1063" s="7" t="s">
        <v>1</v>
      </c>
      <c r="K1063" s="7"/>
      <c r="L1063" s="7" t="s">
        <v>167</v>
      </c>
      <c r="M1063" s="7" t="s">
        <v>4900</v>
      </c>
      <c r="N1063" s="7" t="s">
        <v>170</v>
      </c>
      <c r="O1063" s="7" t="s">
        <v>162</v>
      </c>
      <c r="P1063" s="7" t="s">
        <v>6789</v>
      </c>
      <c r="Q1063" s="129">
        <v>46199</v>
      </c>
      <c r="R1063" s="130">
        <f t="shared" si="123"/>
        <v>46199</v>
      </c>
      <c r="S1063" s="131">
        <f t="shared" si="128"/>
        <v>0</v>
      </c>
      <c r="T1063" s="7" t="s">
        <v>203</v>
      </c>
      <c r="U1063" s="7" t="s">
        <v>374</v>
      </c>
      <c r="V1063" s="7"/>
      <c r="W1063" s="7">
        <v>487.77</v>
      </c>
      <c r="X1063" s="132">
        <f t="shared" si="126"/>
        <v>10</v>
      </c>
      <c r="Y1063" s="133"/>
      <c r="Z1063" s="133"/>
      <c r="AA1063" s="133"/>
    </row>
    <row r="1064" spans="1:27" hidden="1" x14ac:dyDescent="0.25">
      <c r="A1064" s="127">
        <v>1186</v>
      </c>
      <c r="B1064" s="128" t="str">
        <f t="shared" si="127"/>
        <v>MINT</v>
      </c>
      <c r="C1064" s="128" t="str">
        <f>+VLOOKUP(U1064,Ходим!A:B,2,0)</f>
        <v>31710662200035</v>
      </c>
      <c r="D1064" s="128" t="str">
        <f>IFERROR(VLOOKUP($B:$B,[20]свод!$A:$AB,3,0)," ")</f>
        <v>Мингбулоқ тумани</v>
      </c>
      <c r="E1064" s="7" t="s">
        <v>2204</v>
      </c>
      <c r="F1064" s="7" t="s">
        <v>8594</v>
      </c>
      <c r="G1064" s="134">
        <f t="shared" si="124"/>
        <v>1</v>
      </c>
      <c r="H1064" s="134" t="str">
        <f t="shared" si="125"/>
        <v/>
      </c>
      <c r="I1064" s="7" t="s">
        <v>158</v>
      </c>
      <c r="J1064" s="7" t="s">
        <v>2</v>
      </c>
      <c r="K1064" s="7"/>
      <c r="L1064" s="7" t="s">
        <v>167</v>
      </c>
      <c r="M1064" s="7" t="s">
        <v>4901</v>
      </c>
      <c r="N1064" s="7" t="s">
        <v>410</v>
      </c>
      <c r="O1064" s="7" t="s">
        <v>162</v>
      </c>
      <c r="P1064" s="7" t="s">
        <v>6790</v>
      </c>
      <c r="Q1064" s="129">
        <v>46199</v>
      </c>
      <c r="R1064" s="130">
        <f t="shared" si="123"/>
        <v>46206</v>
      </c>
      <c r="S1064" s="131">
        <f t="shared" si="128"/>
        <v>7</v>
      </c>
      <c r="T1064" s="7" t="s">
        <v>220</v>
      </c>
      <c r="U1064" s="7" t="s">
        <v>268</v>
      </c>
      <c r="V1064" s="7"/>
      <c r="W1064" s="7">
        <v>192.7</v>
      </c>
      <c r="X1064" s="132">
        <f t="shared" si="126"/>
        <v>10</v>
      </c>
      <c r="Y1064" s="133"/>
      <c r="Z1064" s="133"/>
      <c r="AA1064" s="133"/>
    </row>
    <row r="1065" spans="1:27" x14ac:dyDescent="0.25">
      <c r="A1065" s="127">
        <v>1187</v>
      </c>
      <c r="B1065" s="128" t="str">
        <f t="shared" si="127"/>
        <v>UYCT</v>
      </c>
      <c r="C1065" s="128" t="str">
        <f>+VLOOKUP(U1065,Ходим!A:B,2,0)</f>
        <v>30309975930028</v>
      </c>
      <c r="D1065" s="128" t="str">
        <f>IFERROR(VLOOKUP($B:$B,[20]свод!$A:$AB,3,0)," ")</f>
        <v>Уйчи тумани</v>
      </c>
      <c r="E1065" s="7" t="s">
        <v>2205</v>
      </c>
      <c r="F1065" s="7" t="s">
        <v>8595</v>
      </c>
      <c r="G1065" s="134">
        <f t="shared" si="124"/>
        <v>1</v>
      </c>
      <c r="H1065" s="134" t="str">
        <f t="shared" si="125"/>
        <v/>
      </c>
      <c r="I1065" s="7" t="s">
        <v>158</v>
      </c>
      <c r="J1065" s="7" t="s">
        <v>2</v>
      </c>
      <c r="K1065" s="7"/>
      <c r="L1065" s="7" t="s">
        <v>167</v>
      </c>
      <c r="M1065" s="7" t="s">
        <v>4902</v>
      </c>
      <c r="N1065" s="7" t="s">
        <v>170</v>
      </c>
      <c r="O1065" s="7" t="s">
        <v>163</v>
      </c>
      <c r="P1065" s="7" t="s">
        <v>6789</v>
      </c>
      <c r="Q1065" s="129">
        <v>46199</v>
      </c>
      <c r="R1065" s="130">
        <f t="shared" si="123"/>
        <v>46199</v>
      </c>
      <c r="S1065" s="131">
        <f t="shared" si="128"/>
        <v>0</v>
      </c>
      <c r="T1065" s="7" t="s">
        <v>947</v>
      </c>
      <c r="U1065" s="7" t="s">
        <v>261</v>
      </c>
      <c r="V1065" s="7"/>
      <c r="W1065" s="7">
        <v>239.6</v>
      </c>
      <c r="X1065" s="132">
        <f t="shared" si="126"/>
        <v>10</v>
      </c>
      <c r="Y1065" s="133"/>
      <c r="Z1065" s="133"/>
      <c r="AA1065" s="133"/>
    </row>
    <row r="1066" spans="1:27" hidden="1" x14ac:dyDescent="0.25">
      <c r="A1066" s="127">
        <v>1188</v>
      </c>
      <c r="B1066" s="128" t="str">
        <f t="shared" si="127"/>
        <v>MINT</v>
      </c>
      <c r="C1066" s="128" t="e">
        <f>+VLOOKUP(U1066,Ходим!A:B,2,0)</f>
        <v>#N/A</v>
      </c>
      <c r="D1066" s="128" t="str">
        <f>IFERROR(VLOOKUP($B:$B,[20]свод!$A:$AB,3,0)," ")</f>
        <v>Мингбулоқ тумани</v>
      </c>
      <c r="E1066" s="7" t="s">
        <v>2206</v>
      </c>
      <c r="F1066" s="7" t="s">
        <v>8596</v>
      </c>
      <c r="G1066" s="134">
        <f t="shared" si="124"/>
        <v>1</v>
      </c>
      <c r="H1066" s="134" t="str">
        <f t="shared" si="125"/>
        <v/>
      </c>
      <c r="I1066" s="7" t="s">
        <v>156</v>
      </c>
      <c r="J1066" s="7" t="s">
        <v>11</v>
      </c>
      <c r="K1066" s="7"/>
      <c r="L1066" s="7"/>
      <c r="M1066" s="7"/>
      <c r="N1066" s="7" t="s">
        <v>170</v>
      </c>
      <c r="O1066" s="7" t="s">
        <v>162</v>
      </c>
      <c r="P1066" s="7" t="s">
        <v>6791</v>
      </c>
      <c r="Q1066" s="129">
        <v>46199</v>
      </c>
      <c r="R1066" s="130">
        <f t="shared" si="123"/>
        <v>46212</v>
      </c>
      <c r="S1066" s="131">
        <f t="shared" si="128"/>
        <v>13</v>
      </c>
      <c r="T1066" s="7"/>
      <c r="U1066" s="7"/>
      <c r="V1066" s="7"/>
      <c r="W1066" s="7"/>
      <c r="X1066" s="132">
        <f t="shared" si="126"/>
        <v>10</v>
      </c>
      <c r="Y1066" s="133"/>
      <c r="Z1066" s="133"/>
      <c r="AA1066" s="133"/>
    </row>
    <row r="1067" spans="1:27" hidden="1" x14ac:dyDescent="0.25">
      <c r="A1067" s="127">
        <v>1189</v>
      </c>
      <c r="B1067" s="128" t="str">
        <f t="shared" si="127"/>
        <v>NORT</v>
      </c>
      <c r="C1067" s="128" t="str">
        <f>+VLOOKUP(U1067,Ходим!A:B,2,0)</f>
        <v>30110922110044</v>
      </c>
      <c r="D1067" s="128" t="str">
        <f>IFERROR(VLOOKUP($B:$B,[20]свод!$A:$AB,3,0)," ")</f>
        <v>Норин тумани</v>
      </c>
      <c r="E1067" s="7" t="s">
        <v>2207</v>
      </c>
      <c r="F1067" s="7" t="s">
        <v>8597</v>
      </c>
      <c r="G1067" s="134">
        <f t="shared" si="124"/>
        <v>1</v>
      </c>
      <c r="H1067" s="134" t="str">
        <f t="shared" si="125"/>
        <v/>
      </c>
      <c r="I1067" s="7" t="s">
        <v>158</v>
      </c>
      <c r="J1067" s="7" t="s">
        <v>2</v>
      </c>
      <c r="K1067" s="7"/>
      <c r="L1067" s="7" t="s">
        <v>167</v>
      </c>
      <c r="M1067" s="7" t="s">
        <v>4903</v>
      </c>
      <c r="N1067" s="7" t="s">
        <v>170</v>
      </c>
      <c r="O1067" s="7" t="s">
        <v>162</v>
      </c>
      <c r="P1067" s="7" t="s">
        <v>6791</v>
      </c>
      <c r="Q1067" s="129">
        <v>46199</v>
      </c>
      <c r="R1067" s="130">
        <f t="shared" si="123"/>
        <v>46212</v>
      </c>
      <c r="S1067" s="131">
        <f t="shared" si="128"/>
        <v>13</v>
      </c>
      <c r="T1067" s="7" t="s">
        <v>210</v>
      </c>
      <c r="U1067" s="7" t="s">
        <v>239</v>
      </c>
      <c r="V1067" s="7"/>
      <c r="W1067" s="7">
        <v>204.71</v>
      </c>
      <c r="X1067" s="132">
        <f t="shared" si="126"/>
        <v>10</v>
      </c>
      <c r="Y1067" s="133"/>
      <c r="Z1067" s="133"/>
      <c r="AA1067" s="133"/>
    </row>
    <row r="1068" spans="1:27" hidden="1" x14ac:dyDescent="0.25">
      <c r="A1068" s="127">
        <v>1190</v>
      </c>
      <c r="B1068" s="128" t="str">
        <f t="shared" si="127"/>
        <v>CHOT</v>
      </c>
      <c r="C1068" s="128" t="str">
        <f>+VLOOKUP(U1068,Ходим!A:B,2,0)</f>
        <v>30610995890040</v>
      </c>
      <c r="D1068" s="128" t="str">
        <f>IFERROR(VLOOKUP($B:$B,[20]свод!$A:$AB,3,0)," ")</f>
        <v>Чортоқ тумани</v>
      </c>
      <c r="E1068" s="7" t="s">
        <v>2208</v>
      </c>
      <c r="F1068" s="7" t="s">
        <v>8598</v>
      </c>
      <c r="G1068" s="134">
        <f t="shared" si="124"/>
        <v>1</v>
      </c>
      <c r="H1068" s="134" t="str">
        <f t="shared" si="125"/>
        <v/>
      </c>
      <c r="I1068" s="7" t="s">
        <v>154</v>
      </c>
      <c r="J1068" s="7" t="s">
        <v>2</v>
      </c>
      <c r="K1068" s="7"/>
      <c r="L1068" s="7"/>
      <c r="M1068" s="7"/>
      <c r="N1068" s="7" t="s">
        <v>170</v>
      </c>
      <c r="O1068" s="7" t="s">
        <v>162</v>
      </c>
      <c r="P1068" s="7" t="s">
        <v>6791</v>
      </c>
      <c r="Q1068" s="129">
        <v>46199</v>
      </c>
      <c r="R1068" s="130">
        <f t="shared" si="123"/>
        <v>46212</v>
      </c>
      <c r="S1068" s="131">
        <f t="shared" si="128"/>
        <v>13</v>
      </c>
      <c r="T1068" s="7" t="s">
        <v>10635</v>
      </c>
      <c r="U1068" s="7" t="s">
        <v>322</v>
      </c>
      <c r="V1068" s="7"/>
      <c r="W1068" s="7"/>
      <c r="X1068" s="132">
        <f t="shared" si="126"/>
        <v>10</v>
      </c>
      <c r="Y1068" s="133"/>
      <c r="Z1068" s="133"/>
      <c r="AA1068" s="133"/>
    </row>
    <row r="1069" spans="1:27" hidden="1" x14ac:dyDescent="0.25">
      <c r="A1069" s="127">
        <v>1191</v>
      </c>
      <c r="B1069" s="128" t="str">
        <f t="shared" si="127"/>
        <v>CHUT</v>
      </c>
      <c r="C1069" s="128" t="str">
        <f>+VLOOKUP(U1069,Ходим!A:B,2,0)</f>
        <v>31312912180061</v>
      </c>
      <c r="D1069" s="128" t="str">
        <f>IFERROR(VLOOKUP($B:$B,[20]свод!$A:$AB,3,0)," ")</f>
        <v>Чуст тумани</v>
      </c>
      <c r="E1069" s="7" t="s">
        <v>2209</v>
      </c>
      <c r="F1069" s="7" t="s">
        <v>8599</v>
      </c>
      <c r="G1069" s="134">
        <f t="shared" si="124"/>
        <v>1</v>
      </c>
      <c r="H1069" s="134" t="str">
        <f t="shared" si="125"/>
        <v/>
      </c>
      <c r="I1069" s="7" t="s">
        <v>158</v>
      </c>
      <c r="J1069" s="7" t="s">
        <v>172</v>
      </c>
      <c r="K1069" s="7"/>
      <c r="L1069" s="7" t="s">
        <v>167</v>
      </c>
      <c r="M1069" s="7" t="s">
        <v>4904</v>
      </c>
      <c r="N1069" s="7" t="s">
        <v>170</v>
      </c>
      <c r="O1069" s="7" t="s">
        <v>162</v>
      </c>
      <c r="P1069" s="7" t="s">
        <v>6404</v>
      </c>
      <c r="Q1069" s="129">
        <v>46199</v>
      </c>
      <c r="R1069" s="130">
        <f t="shared" si="123"/>
        <v>46211</v>
      </c>
      <c r="S1069" s="131">
        <f t="shared" si="128"/>
        <v>12</v>
      </c>
      <c r="T1069" s="7" t="s">
        <v>178</v>
      </c>
      <c r="U1069" s="7" t="s">
        <v>202</v>
      </c>
      <c r="V1069" s="7"/>
      <c r="W1069" s="7">
        <v>334.92</v>
      </c>
      <c r="X1069" s="132">
        <f t="shared" si="126"/>
        <v>10</v>
      </c>
      <c r="Y1069" s="133"/>
      <c r="Z1069" s="133"/>
      <c r="AA1069" s="133"/>
    </row>
    <row r="1070" spans="1:27" hidden="1" x14ac:dyDescent="0.25">
      <c r="A1070" s="127">
        <v>1192</v>
      </c>
      <c r="B1070" s="128" t="str">
        <f t="shared" si="127"/>
        <v>CHUT</v>
      </c>
      <c r="C1070" s="128" t="str">
        <f>+VLOOKUP(U1070,Ходим!A:B,2,0)</f>
        <v>31509882180058</v>
      </c>
      <c r="D1070" s="128" t="str">
        <f>IFERROR(VLOOKUP($B:$B,[20]свод!$A:$AB,3,0)," ")</f>
        <v>Чуст тумани</v>
      </c>
      <c r="E1070" s="7" t="s">
        <v>2210</v>
      </c>
      <c r="F1070" s="7" t="s">
        <v>8600</v>
      </c>
      <c r="G1070" s="134">
        <f t="shared" si="124"/>
        <v>1</v>
      </c>
      <c r="H1070" s="134" t="str">
        <f t="shared" si="125"/>
        <v/>
      </c>
      <c r="I1070" s="7" t="s">
        <v>158</v>
      </c>
      <c r="J1070" s="7" t="s">
        <v>172</v>
      </c>
      <c r="K1070" s="7"/>
      <c r="L1070" s="7" t="s">
        <v>167</v>
      </c>
      <c r="M1070" s="7" t="s">
        <v>4905</v>
      </c>
      <c r="N1070" s="7" t="s">
        <v>170</v>
      </c>
      <c r="O1070" s="7" t="s">
        <v>162</v>
      </c>
      <c r="P1070" s="7" t="s">
        <v>6400</v>
      </c>
      <c r="Q1070" s="129">
        <v>46199</v>
      </c>
      <c r="R1070" s="130">
        <f t="shared" si="123"/>
        <v>46211</v>
      </c>
      <c r="S1070" s="131">
        <f t="shared" si="128"/>
        <v>12</v>
      </c>
      <c r="T1070" s="7" t="s">
        <v>178</v>
      </c>
      <c r="U1070" s="7" t="s">
        <v>324</v>
      </c>
      <c r="V1070" s="7"/>
      <c r="W1070" s="7">
        <v>0</v>
      </c>
      <c r="X1070" s="132">
        <f t="shared" si="126"/>
        <v>10</v>
      </c>
      <c r="Y1070" s="133"/>
      <c r="Z1070" s="133"/>
      <c r="AA1070" s="133"/>
    </row>
    <row r="1071" spans="1:27" hidden="1" x14ac:dyDescent="0.25">
      <c r="A1071" s="127">
        <v>1193</v>
      </c>
      <c r="B1071" s="128" t="str">
        <f t="shared" si="127"/>
        <v>TORT</v>
      </c>
      <c r="C1071" s="128" t="str">
        <f>+VLOOKUP(U1071,Ходим!A:B,2,0)</f>
        <v>31110892130070</v>
      </c>
      <c r="D1071" s="128" t="str">
        <f>IFERROR(VLOOKUP($B:$B,[20]свод!$A:$AB,3,0)," ")</f>
        <v>Тўрақўрғон тумани</v>
      </c>
      <c r="E1071" s="7" t="s">
        <v>2211</v>
      </c>
      <c r="F1071" s="7" t="s">
        <v>8601</v>
      </c>
      <c r="G1071" s="134">
        <f t="shared" si="124"/>
        <v>1</v>
      </c>
      <c r="H1071" s="134" t="str">
        <f t="shared" si="125"/>
        <v/>
      </c>
      <c r="I1071" s="7" t="s">
        <v>158</v>
      </c>
      <c r="J1071" s="7" t="s">
        <v>36</v>
      </c>
      <c r="K1071" s="7"/>
      <c r="L1071" s="7" t="s">
        <v>167</v>
      </c>
      <c r="M1071" s="7" t="s">
        <v>4906</v>
      </c>
      <c r="N1071" s="7" t="s">
        <v>170</v>
      </c>
      <c r="O1071" s="7" t="s">
        <v>162</v>
      </c>
      <c r="P1071" s="7" t="s">
        <v>6792</v>
      </c>
      <c r="Q1071" s="129">
        <v>46199</v>
      </c>
      <c r="R1071" s="130">
        <f t="shared" si="123"/>
        <v>46206</v>
      </c>
      <c r="S1071" s="131">
        <f t="shared" si="128"/>
        <v>7</v>
      </c>
      <c r="T1071" s="7" t="s">
        <v>203</v>
      </c>
      <c r="U1071" s="7" t="s">
        <v>297</v>
      </c>
      <c r="V1071" s="7"/>
      <c r="W1071" s="7">
        <v>392.77</v>
      </c>
      <c r="X1071" s="132">
        <f t="shared" si="126"/>
        <v>10</v>
      </c>
      <c r="Y1071" s="133"/>
      <c r="Z1071" s="133"/>
      <c r="AA1071" s="133"/>
    </row>
    <row r="1072" spans="1:27" hidden="1" x14ac:dyDescent="0.25">
      <c r="A1072" s="127">
        <v>1194</v>
      </c>
      <c r="B1072" s="128" t="str">
        <f t="shared" si="127"/>
        <v>NAMS</v>
      </c>
      <c r="C1072" s="128" t="str">
        <f>+VLOOKUP(U1072,Ходим!A:B,2,0)</f>
        <v>52601025870013</v>
      </c>
      <c r="D1072" s="128" t="str">
        <f>IFERROR(VLOOKUP($B:$B,[20]свод!$A:$AB,3,0)," ")</f>
        <v>Наманган шаҳар</v>
      </c>
      <c r="E1072" s="7" t="s">
        <v>2212</v>
      </c>
      <c r="F1072" s="7" t="s">
        <v>8602</v>
      </c>
      <c r="G1072" s="134">
        <f t="shared" si="124"/>
        <v>1</v>
      </c>
      <c r="H1072" s="134" t="str">
        <f t="shared" si="125"/>
        <v/>
      </c>
      <c r="I1072" s="7" t="s">
        <v>158</v>
      </c>
      <c r="J1072" s="7" t="s">
        <v>2</v>
      </c>
      <c r="K1072" s="7"/>
      <c r="L1072" s="7"/>
      <c r="M1072" s="7"/>
      <c r="N1072" s="7" t="s">
        <v>170</v>
      </c>
      <c r="O1072" s="7" t="s">
        <v>162</v>
      </c>
      <c r="P1072" s="7" t="s">
        <v>6792</v>
      </c>
      <c r="Q1072" s="129">
        <v>46199</v>
      </c>
      <c r="R1072" s="130">
        <f t="shared" si="123"/>
        <v>46206</v>
      </c>
      <c r="S1072" s="131">
        <f t="shared" si="128"/>
        <v>7</v>
      </c>
      <c r="T1072" s="7" t="s">
        <v>173</v>
      </c>
      <c r="U1072" s="7" t="s">
        <v>405</v>
      </c>
      <c r="V1072" s="7"/>
      <c r="W1072" s="7"/>
      <c r="X1072" s="132">
        <f t="shared" si="126"/>
        <v>10</v>
      </c>
      <c r="Y1072" s="133"/>
      <c r="Z1072" s="133"/>
      <c r="AA1072" s="133"/>
    </row>
    <row r="1073" spans="1:27" x14ac:dyDescent="0.25">
      <c r="A1073" s="127">
        <v>1195</v>
      </c>
      <c r="B1073" s="128" t="str">
        <f t="shared" si="127"/>
        <v>YGQT</v>
      </c>
      <c r="C1073" s="128" t="str">
        <f>+VLOOKUP(U1073,Ходим!A:B,2,0)</f>
        <v>31108942160081</v>
      </c>
      <c r="D1073" s="128" t="str">
        <f>IFERROR(VLOOKUP($B:$B,[20]свод!$A:$AB,3,0)," ")</f>
        <v>Янгиқўрғон тумани</v>
      </c>
      <c r="E1073" s="7" t="s">
        <v>2213</v>
      </c>
      <c r="F1073" s="7" t="s">
        <v>8603</v>
      </c>
      <c r="G1073" s="134">
        <f t="shared" si="124"/>
        <v>1</v>
      </c>
      <c r="H1073" s="134" t="str">
        <f t="shared" si="125"/>
        <v/>
      </c>
      <c r="I1073" s="7" t="s">
        <v>158</v>
      </c>
      <c r="J1073" s="7" t="s">
        <v>130</v>
      </c>
      <c r="K1073" s="7"/>
      <c r="L1073" s="7" t="s">
        <v>167</v>
      </c>
      <c r="M1073" s="7" t="s">
        <v>4907</v>
      </c>
      <c r="N1073" s="7" t="s">
        <v>170</v>
      </c>
      <c r="O1073" s="7" t="s">
        <v>162</v>
      </c>
      <c r="P1073" s="7" t="s">
        <v>6793</v>
      </c>
      <c r="Q1073" s="129">
        <v>46199</v>
      </c>
      <c r="R1073" s="130">
        <f t="shared" si="123"/>
        <v>46199</v>
      </c>
      <c r="S1073" s="131">
        <f t="shared" si="128"/>
        <v>0</v>
      </c>
      <c r="T1073" s="7" t="s">
        <v>182</v>
      </c>
      <c r="U1073" s="7" t="s">
        <v>228</v>
      </c>
      <c r="V1073" s="7"/>
      <c r="W1073" s="7">
        <v>167.4</v>
      </c>
      <c r="X1073" s="132">
        <f t="shared" si="126"/>
        <v>10</v>
      </c>
      <c r="Y1073" s="133"/>
      <c r="Z1073" s="133"/>
      <c r="AA1073" s="133"/>
    </row>
    <row r="1074" spans="1:27" x14ac:dyDescent="0.25">
      <c r="A1074" s="127">
        <v>1196</v>
      </c>
      <c r="B1074" s="128" t="str">
        <f t="shared" si="127"/>
        <v>UCQT</v>
      </c>
      <c r="C1074" s="128" t="str">
        <f>+VLOOKUP(U1074,Ходим!A:B,2,0)</f>
        <v>30307955940049</v>
      </c>
      <c r="D1074" s="128" t="str">
        <f>IFERROR(VLOOKUP($B:$B,[20]свод!$A:$AB,3,0)," ")</f>
        <v>Учқўрғон тумани</v>
      </c>
      <c r="E1074" s="7" t="s">
        <v>2214</v>
      </c>
      <c r="F1074" s="7" t="s">
        <v>8604</v>
      </c>
      <c r="G1074" s="134">
        <f t="shared" si="124"/>
        <v>1</v>
      </c>
      <c r="H1074" s="134" t="str">
        <f t="shared" si="125"/>
        <v/>
      </c>
      <c r="I1074" s="7" t="s">
        <v>158</v>
      </c>
      <c r="J1074" s="7" t="s">
        <v>13</v>
      </c>
      <c r="K1074" s="7"/>
      <c r="L1074" s="7" t="s">
        <v>167</v>
      </c>
      <c r="M1074" s="7" t="s">
        <v>4908</v>
      </c>
      <c r="N1074" s="7" t="s">
        <v>170</v>
      </c>
      <c r="O1074" s="7" t="s">
        <v>163</v>
      </c>
      <c r="P1074" s="7" t="s">
        <v>6793</v>
      </c>
      <c r="Q1074" s="129">
        <v>46199</v>
      </c>
      <c r="R1074" s="130">
        <f t="shared" si="123"/>
        <v>46199</v>
      </c>
      <c r="S1074" s="131">
        <f t="shared" si="128"/>
        <v>0</v>
      </c>
      <c r="T1074" s="7" t="s">
        <v>175</v>
      </c>
      <c r="U1074" s="7" t="s">
        <v>306</v>
      </c>
      <c r="V1074" s="7"/>
      <c r="W1074" s="7">
        <v>382.81</v>
      </c>
      <c r="X1074" s="132">
        <f t="shared" si="126"/>
        <v>10</v>
      </c>
      <c r="Y1074" s="133"/>
      <c r="Z1074" s="133"/>
      <c r="AA1074" s="133"/>
    </row>
    <row r="1075" spans="1:27" x14ac:dyDescent="0.25">
      <c r="A1075" s="127">
        <v>1197</v>
      </c>
      <c r="B1075" s="128" t="str">
        <f t="shared" si="127"/>
        <v>UCQT</v>
      </c>
      <c r="C1075" s="128">
        <f>+VLOOKUP(U1075,Ходим!A:B,2,0)</f>
        <v>52107015940019</v>
      </c>
      <c r="D1075" s="128" t="str">
        <f>IFERROR(VLOOKUP($B:$B,[20]свод!$A:$AB,3,0)," ")</f>
        <v>Учқўрғон тумани</v>
      </c>
      <c r="E1075" s="7" t="s">
        <v>2215</v>
      </c>
      <c r="F1075" s="7" t="s">
        <v>8605</v>
      </c>
      <c r="G1075" s="134">
        <f t="shared" si="124"/>
        <v>1</v>
      </c>
      <c r="H1075" s="134" t="str">
        <f t="shared" si="125"/>
        <v/>
      </c>
      <c r="I1075" s="7" t="s">
        <v>158</v>
      </c>
      <c r="J1075" s="7" t="s">
        <v>13</v>
      </c>
      <c r="K1075" s="7"/>
      <c r="L1075" s="7" t="s">
        <v>167</v>
      </c>
      <c r="M1075" s="7" t="s">
        <v>4909</v>
      </c>
      <c r="N1075" s="7" t="s">
        <v>170</v>
      </c>
      <c r="O1075" s="7" t="s">
        <v>162</v>
      </c>
      <c r="P1075" s="7" t="s">
        <v>6793</v>
      </c>
      <c r="Q1075" s="129">
        <v>46199</v>
      </c>
      <c r="R1075" s="130">
        <f t="shared" si="123"/>
        <v>46199</v>
      </c>
      <c r="S1075" s="131">
        <f t="shared" si="128"/>
        <v>0</v>
      </c>
      <c r="T1075" s="7" t="s">
        <v>175</v>
      </c>
      <c r="U1075" s="7" t="s">
        <v>361</v>
      </c>
      <c r="V1075" s="7"/>
      <c r="W1075" s="7">
        <v>298.76</v>
      </c>
      <c r="X1075" s="132">
        <f t="shared" si="126"/>
        <v>10</v>
      </c>
      <c r="Y1075" s="133"/>
      <c r="Z1075" s="133"/>
      <c r="AA1075" s="133"/>
    </row>
    <row r="1076" spans="1:27" hidden="1" x14ac:dyDescent="0.25">
      <c r="A1076" s="127">
        <v>1198</v>
      </c>
      <c r="B1076" s="128" t="str">
        <f t="shared" si="127"/>
        <v>POPT</v>
      </c>
      <c r="C1076" s="128" t="str">
        <f>+VLOOKUP(U1076,Ходим!A:B,2,0)</f>
        <v>33107902120019</v>
      </c>
      <c r="D1076" s="128" t="str">
        <f>IFERROR(VLOOKUP($B:$B,[20]свод!$A:$AB,3,0)," ")</f>
        <v>Поп тумани</v>
      </c>
      <c r="E1076" s="7" t="s">
        <v>2216</v>
      </c>
      <c r="F1076" s="7" t="s">
        <v>8606</v>
      </c>
      <c r="G1076" s="134">
        <f t="shared" si="124"/>
        <v>1</v>
      </c>
      <c r="H1076" s="134" t="str">
        <f t="shared" si="125"/>
        <v/>
      </c>
      <c r="I1076" s="7" t="s">
        <v>158</v>
      </c>
      <c r="J1076" s="7" t="s">
        <v>2</v>
      </c>
      <c r="K1076" s="7"/>
      <c r="L1076" s="7" t="s">
        <v>167</v>
      </c>
      <c r="M1076" s="7" t="s">
        <v>4910</v>
      </c>
      <c r="N1076" s="7" t="s">
        <v>170</v>
      </c>
      <c r="O1076" s="7" t="s">
        <v>162</v>
      </c>
      <c r="P1076" s="7" t="s">
        <v>6410</v>
      </c>
      <c r="Q1076" s="129">
        <v>46199</v>
      </c>
      <c r="R1076" s="130">
        <f t="shared" si="123"/>
        <v>46204</v>
      </c>
      <c r="S1076" s="131">
        <f t="shared" si="128"/>
        <v>5</v>
      </c>
      <c r="T1076" s="7" t="s">
        <v>214</v>
      </c>
      <c r="U1076" s="7" t="s">
        <v>224</v>
      </c>
      <c r="V1076" s="7"/>
      <c r="W1076" s="7">
        <v>175.9</v>
      </c>
      <c r="X1076" s="132">
        <f t="shared" si="126"/>
        <v>10</v>
      </c>
      <c r="Y1076" s="133"/>
      <c r="Z1076" s="133"/>
      <c r="AA1076" s="133"/>
    </row>
    <row r="1077" spans="1:27" hidden="1" x14ac:dyDescent="0.25">
      <c r="A1077" s="127">
        <v>1199</v>
      </c>
      <c r="B1077" s="128" t="str">
        <f t="shared" si="127"/>
        <v>NAMS</v>
      </c>
      <c r="C1077" s="128" t="str">
        <f>+VLOOKUP(U1077,Ходим!A:B,2,0)</f>
        <v>30809892160183</v>
      </c>
      <c r="D1077" s="128" t="str">
        <f>IFERROR(VLOOKUP($B:$B,[20]свод!$A:$AB,3,0)," ")</f>
        <v>Наманган шаҳар</v>
      </c>
      <c r="E1077" s="7" t="s">
        <v>2217</v>
      </c>
      <c r="F1077" s="7" t="s">
        <v>8607</v>
      </c>
      <c r="G1077" s="134" t="str">
        <f t="shared" si="124"/>
        <v/>
      </c>
      <c r="H1077" s="134">
        <f t="shared" si="125"/>
        <v>1</v>
      </c>
      <c r="I1077" s="7" t="s">
        <v>155</v>
      </c>
      <c r="J1077" s="7" t="s">
        <v>25</v>
      </c>
      <c r="K1077" s="7"/>
      <c r="L1077" s="7"/>
      <c r="M1077" s="7"/>
      <c r="N1077" s="7" t="s">
        <v>410</v>
      </c>
      <c r="O1077" s="7" t="s">
        <v>161</v>
      </c>
      <c r="P1077" s="7" t="s">
        <v>6794</v>
      </c>
      <c r="Q1077" s="129">
        <v>46199</v>
      </c>
      <c r="R1077" s="130">
        <f t="shared" si="123"/>
        <v>46212</v>
      </c>
      <c r="S1077" s="131">
        <f t="shared" si="128"/>
        <v>13</v>
      </c>
      <c r="T1077" s="7" t="s">
        <v>227</v>
      </c>
      <c r="U1077" s="7" t="s">
        <v>192</v>
      </c>
      <c r="V1077" s="7"/>
      <c r="W1077" s="7"/>
      <c r="X1077" s="132">
        <f t="shared" si="126"/>
        <v>10</v>
      </c>
      <c r="Y1077" s="133"/>
      <c r="Z1077" s="133"/>
      <c r="AA1077" s="133"/>
    </row>
    <row r="1078" spans="1:27" hidden="1" x14ac:dyDescent="0.25">
      <c r="A1078" s="127">
        <v>1200</v>
      </c>
      <c r="B1078" s="128" t="str">
        <f t="shared" si="127"/>
        <v>MINT</v>
      </c>
      <c r="C1078" s="128" t="str">
        <f>+VLOOKUP(U1078,Ходим!A:B,2,0)</f>
        <v>31005942200035</v>
      </c>
      <c r="D1078" s="128" t="str">
        <f>IFERROR(VLOOKUP($B:$B,[20]свод!$A:$AB,3,0)," ")</f>
        <v>Мингбулоқ тумани</v>
      </c>
      <c r="E1078" s="7" t="s">
        <v>2218</v>
      </c>
      <c r="F1078" s="7" t="s">
        <v>8608</v>
      </c>
      <c r="G1078" s="134" t="str">
        <f t="shared" si="124"/>
        <v/>
      </c>
      <c r="H1078" s="134">
        <f t="shared" si="125"/>
        <v>1</v>
      </c>
      <c r="I1078" s="7" t="s">
        <v>157</v>
      </c>
      <c r="J1078" s="7" t="s">
        <v>36</v>
      </c>
      <c r="K1078" s="7"/>
      <c r="L1078" s="7" t="s">
        <v>166</v>
      </c>
      <c r="M1078" s="7" t="s">
        <v>4911</v>
      </c>
      <c r="N1078" s="7" t="s">
        <v>170</v>
      </c>
      <c r="O1078" s="7" t="s">
        <v>161</v>
      </c>
      <c r="P1078" s="7" t="s">
        <v>6381</v>
      </c>
      <c r="Q1078" s="129">
        <v>46199</v>
      </c>
      <c r="R1078" s="130">
        <f t="shared" si="123"/>
        <v>46210</v>
      </c>
      <c r="S1078" s="131">
        <f t="shared" si="128"/>
        <v>11</v>
      </c>
      <c r="T1078" s="7" t="s">
        <v>220</v>
      </c>
      <c r="U1078" s="7" t="s">
        <v>222</v>
      </c>
      <c r="V1078" s="7"/>
      <c r="W1078" s="7">
        <v>673</v>
      </c>
      <c r="X1078" s="132">
        <f t="shared" si="126"/>
        <v>12</v>
      </c>
      <c r="Y1078" s="133"/>
      <c r="Z1078" s="133"/>
      <c r="AA1078" s="133"/>
    </row>
    <row r="1079" spans="1:27" hidden="1" x14ac:dyDescent="0.25">
      <c r="A1079" s="127">
        <v>1201</v>
      </c>
      <c r="B1079" s="128" t="str">
        <f t="shared" si="127"/>
        <v>MINT</v>
      </c>
      <c r="C1079" s="128" t="str">
        <f>+VLOOKUP(U1079,Ходим!A:B,2,0)</f>
        <v>30703975990033</v>
      </c>
      <c r="D1079" s="128" t="str">
        <f>IFERROR(VLOOKUP($B:$B,[20]свод!$A:$AB,3,0)," ")</f>
        <v>Мингбулоқ тумани</v>
      </c>
      <c r="E1079" s="7" t="s">
        <v>2219</v>
      </c>
      <c r="F1079" s="7" t="s">
        <v>8609</v>
      </c>
      <c r="G1079" s="134">
        <f t="shared" si="124"/>
        <v>1</v>
      </c>
      <c r="H1079" s="134" t="str">
        <f t="shared" si="125"/>
        <v/>
      </c>
      <c r="I1079" s="7" t="s">
        <v>158</v>
      </c>
      <c r="J1079" s="7" t="s">
        <v>2</v>
      </c>
      <c r="K1079" s="7"/>
      <c r="L1079" s="7" t="s">
        <v>167</v>
      </c>
      <c r="M1079" s="7" t="s">
        <v>4912</v>
      </c>
      <c r="N1079" s="7" t="s">
        <v>170</v>
      </c>
      <c r="O1079" s="7" t="s">
        <v>162</v>
      </c>
      <c r="P1079" s="7" t="s">
        <v>6381</v>
      </c>
      <c r="Q1079" s="129">
        <v>46199</v>
      </c>
      <c r="R1079" s="130">
        <f t="shared" si="123"/>
        <v>46206</v>
      </c>
      <c r="S1079" s="131">
        <f t="shared" si="128"/>
        <v>7</v>
      </c>
      <c r="T1079" s="7" t="s">
        <v>220</v>
      </c>
      <c r="U1079" s="7" t="s">
        <v>291</v>
      </c>
      <c r="V1079" s="7"/>
      <c r="W1079" s="7">
        <v>164.6</v>
      </c>
      <c r="X1079" s="132">
        <f t="shared" si="126"/>
        <v>10</v>
      </c>
      <c r="Y1079" s="133"/>
      <c r="Z1079" s="133"/>
      <c r="AA1079" s="133"/>
    </row>
    <row r="1080" spans="1:27" hidden="1" x14ac:dyDescent="0.25">
      <c r="A1080" s="127">
        <v>1202</v>
      </c>
      <c r="B1080" s="128" t="str">
        <f t="shared" si="127"/>
        <v>KSST</v>
      </c>
      <c r="C1080" s="128" t="str">
        <f>+VLOOKUP(U1080,Ходим!A:B,2,0)</f>
        <v>30703792190108</v>
      </c>
      <c r="D1080" s="128" t="str">
        <f>IFERROR(VLOOKUP($B:$B,[20]свод!$A:$AB,3,0)," ")</f>
        <v>Косонсой тумани</v>
      </c>
      <c r="E1080" s="7" t="s">
        <v>2220</v>
      </c>
      <c r="F1080" s="7" t="s">
        <v>8610</v>
      </c>
      <c r="G1080" s="134" t="str">
        <f t="shared" si="124"/>
        <v/>
      </c>
      <c r="H1080" s="134">
        <f t="shared" si="125"/>
        <v>1</v>
      </c>
      <c r="I1080" s="7" t="s">
        <v>157</v>
      </c>
      <c r="J1080" s="7" t="s">
        <v>2</v>
      </c>
      <c r="K1080" s="7"/>
      <c r="L1080" s="7"/>
      <c r="M1080" s="7"/>
      <c r="N1080" s="7" t="s">
        <v>170</v>
      </c>
      <c r="O1080" s="7" t="s">
        <v>161</v>
      </c>
      <c r="P1080" s="7" t="s">
        <v>6381</v>
      </c>
      <c r="Q1080" s="129">
        <v>46199</v>
      </c>
      <c r="R1080" s="130">
        <f t="shared" si="123"/>
        <v>46206</v>
      </c>
      <c r="S1080" s="131">
        <f t="shared" si="128"/>
        <v>7</v>
      </c>
      <c r="T1080" s="7" t="s">
        <v>180</v>
      </c>
      <c r="U1080" s="7" t="s">
        <v>231</v>
      </c>
      <c r="V1080" s="7"/>
      <c r="W1080" s="7"/>
      <c r="X1080" s="132">
        <f t="shared" si="126"/>
        <v>10</v>
      </c>
      <c r="Y1080" s="133"/>
      <c r="Z1080" s="133"/>
      <c r="AA1080" s="133"/>
    </row>
    <row r="1081" spans="1:27" x14ac:dyDescent="0.25">
      <c r="A1081" s="127">
        <v>1203</v>
      </c>
      <c r="B1081" s="128" t="str">
        <f t="shared" si="127"/>
        <v>NAMS</v>
      </c>
      <c r="C1081" s="128">
        <f>+VLOOKUP(U1081,Ходим!A:B,2,0)</f>
        <v>50510025960139</v>
      </c>
      <c r="D1081" s="128" t="str">
        <f>IFERROR(VLOOKUP($B:$B,[20]свод!$A:$AB,3,0)," ")</f>
        <v>Наманган шаҳар</v>
      </c>
      <c r="E1081" s="7" t="s">
        <v>2221</v>
      </c>
      <c r="F1081" s="7" t="s">
        <v>8611</v>
      </c>
      <c r="G1081" s="134">
        <f t="shared" si="124"/>
        <v>1</v>
      </c>
      <c r="H1081" s="134" t="str">
        <f t="shared" si="125"/>
        <v/>
      </c>
      <c r="I1081" s="7" t="s">
        <v>158</v>
      </c>
      <c r="J1081" s="7" t="s">
        <v>1</v>
      </c>
      <c r="K1081" s="7"/>
      <c r="L1081" s="7" t="s">
        <v>167</v>
      </c>
      <c r="M1081" s="7" t="s">
        <v>4913</v>
      </c>
      <c r="N1081" s="7" t="s">
        <v>170</v>
      </c>
      <c r="O1081" s="7" t="s">
        <v>162</v>
      </c>
      <c r="P1081" s="7" t="s">
        <v>6795</v>
      </c>
      <c r="Q1081" s="129">
        <v>46199</v>
      </c>
      <c r="R1081" s="130">
        <f t="shared" si="123"/>
        <v>46199</v>
      </c>
      <c r="S1081" s="131">
        <f t="shared" si="128"/>
        <v>0</v>
      </c>
      <c r="T1081" s="7" t="s">
        <v>185</v>
      </c>
      <c r="U1081" s="7" t="s">
        <v>955</v>
      </c>
      <c r="V1081" s="7"/>
      <c r="W1081" s="7">
        <v>277.27</v>
      </c>
      <c r="X1081" s="132">
        <f t="shared" si="126"/>
        <v>10</v>
      </c>
      <c r="Y1081" s="133"/>
      <c r="Z1081" s="133"/>
      <c r="AA1081" s="133"/>
    </row>
    <row r="1082" spans="1:27" hidden="1" x14ac:dyDescent="0.25">
      <c r="A1082" s="127">
        <v>1204</v>
      </c>
      <c r="B1082" s="128" t="str">
        <f t="shared" si="127"/>
        <v>UCQT</v>
      </c>
      <c r="C1082" s="128" t="str">
        <f>+VLOOKUP(U1082,Ходим!A:B,2,0)</f>
        <v>52405005940019</v>
      </c>
      <c r="D1082" s="128" t="str">
        <f>IFERROR(VLOOKUP($B:$B,[20]свод!$A:$AB,3,0)," ")</f>
        <v>Учқўрғон тумани</v>
      </c>
      <c r="E1082" s="7" t="s">
        <v>2222</v>
      </c>
      <c r="F1082" s="7" t="s">
        <v>8612</v>
      </c>
      <c r="G1082" s="134">
        <f t="shared" si="124"/>
        <v>1</v>
      </c>
      <c r="H1082" s="134" t="str">
        <f t="shared" si="125"/>
        <v/>
      </c>
      <c r="I1082" s="7" t="s">
        <v>158</v>
      </c>
      <c r="J1082" s="7" t="s">
        <v>12</v>
      </c>
      <c r="K1082" s="7"/>
      <c r="L1082" s="7" t="s">
        <v>167</v>
      </c>
      <c r="M1082" s="7" t="s">
        <v>4914</v>
      </c>
      <c r="N1082" s="7" t="s">
        <v>170</v>
      </c>
      <c r="O1082" s="7" t="s">
        <v>162</v>
      </c>
      <c r="P1082" s="7" t="s">
        <v>6796</v>
      </c>
      <c r="Q1082" s="129">
        <v>46199</v>
      </c>
      <c r="R1082" s="130">
        <f t="shared" si="123"/>
        <v>46206</v>
      </c>
      <c r="S1082" s="131">
        <f t="shared" si="128"/>
        <v>7</v>
      </c>
      <c r="T1082" s="7" t="s">
        <v>175</v>
      </c>
      <c r="U1082" s="7" t="s">
        <v>209</v>
      </c>
      <c r="V1082" s="7"/>
      <c r="W1082" s="7">
        <v>162.69</v>
      </c>
      <c r="X1082" s="132">
        <f t="shared" si="126"/>
        <v>10</v>
      </c>
      <c r="Y1082" s="133"/>
      <c r="Z1082" s="133"/>
      <c r="AA1082" s="133"/>
    </row>
    <row r="1083" spans="1:27" hidden="1" x14ac:dyDescent="0.25">
      <c r="A1083" s="127">
        <v>1205</v>
      </c>
      <c r="B1083" s="128" t="str">
        <f t="shared" si="127"/>
        <v>MINT</v>
      </c>
      <c r="C1083" s="128" t="str">
        <f>+VLOOKUP(U1083,Ходим!A:B,2,0)</f>
        <v>30109882130063</v>
      </c>
      <c r="D1083" s="128" t="str">
        <f>IFERROR(VLOOKUP($B:$B,[20]свод!$A:$AB,3,0)," ")</f>
        <v>Мингбулоқ тумани</v>
      </c>
      <c r="E1083" s="7" t="s">
        <v>2223</v>
      </c>
      <c r="F1083" s="7" t="s">
        <v>8613</v>
      </c>
      <c r="G1083" s="134">
        <f t="shared" si="124"/>
        <v>1</v>
      </c>
      <c r="H1083" s="134" t="str">
        <f t="shared" si="125"/>
        <v/>
      </c>
      <c r="I1083" s="7" t="s">
        <v>154</v>
      </c>
      <c r="J1083" s="7" t="s">
        <v>2</v>
      </c>
      <c r="K1083" s="7"/>
      <c r="L1083" s="7"/>
      <c r="M1083" s="7"/>
      <c r="N1083" s="7" t="s">
        <v>170</v>
      </c>
      <c r="O1083" s="7" t="s">
        <v>162</v>
      </c>
      <c r="P1083" s="7" t="s">
        <v>6796</v>
      </c>
      <c r="Q1083" s="129">
        <v>46199</v>
      </c>
      <c r="R1083" s="130">
        <f t="shared" si="123"/>
        <v>46206</v>
      </c>
      <c r="S1083" s="131">
        <f t="shared" si="128"/>
        <v>7</v>
      </c>
      <c r="T1083" s="7" t="s">
        <v>220</v>
      </c>
      <c r="U1083" s="7" t="s">
        <v>262</v>
      </c>
      <c r="V1083" s="7"/>
      <c r="W1083" s="7"/>
      <c r="X1083" s="132">
        <f t="shared" si="126"/>
        <v>10</v>
      </c>
      <c r="Y1083" s="133"/>
      <c r="Z1083" s="133"/>
      <c r="AA1083" s="133"/>
    </row>
    <row r="1084" spans="1:27" hidden="1" x14ac:dyDescent="0.25">
      <c r="A1084" s="127">
        <v>1206</v>
      </c>
      <c r="B1084" s="128" t="str">
        <f t="shared" si="127"/>
        <v>CHOT</v>
      </c>
      <c r="C1084" s="128" t="str">
        <f>+VLOOKUP(U1084,Ходим!A:B,2,0)</f>
        <v>51507005890086</v>
      </c>
      <c r="D1084" s="128" t="str">
        <f>IFERROR(VLOOKUP($B:$B,[20]свод!$A:$AB,3,0)," ")</f>
        <v>Чортоқ тумани</v>
      </c>
      <c r="E1084" s="7" t="s">
        <v>2224</v>
      </c>
      <c r="F1084" s="7" t="s">
        <v>8614</v>
      </c>
      <c r="G1084" s="134">
        <f t="shared" si="124"/>
        <v>1</v>
      </c>
      <c r="H1084" s="134" t="str">
        <f t="shared" si="125"/>
        <v/>
      </c>
      <c r="I1084" s="7" t="s">
        <v>156</v>
      </c>
      <c r="J1084" s="7" t="s">
        <v>25</v>
      </c>
      <c r="K1084" s="7"/>
      <c r="L1084" s="7"/>
      <c r="M1084" s="7"/>
      <c r="N1084" s="7" t="s">
        <v>170</v>
      </c>
      <c r="O1084" s="7" t="s">
        <v>163</v>
      </c>
      <c r="P1084" s="7" t="s">
        <v>6794</v>
      </c>
      <c r="Q1084" s="129">
        <v>46199</v>
      </c>
      <c r="R1084" s="130">
        <f t="shared" si="123"/>
        <v>46212</v>
      </c>
      <c r="S1084" s="131">
        <f t="shared" si="128"/>
        <v>13</v>
      </c>
      <c r="T1084" s="7" t="s">
        <v>184</v>
      </c>
      <c r="U1084" s="7" t="s">
        <v>406</v>
      </c>
      <c r="V1084" s="7"/>
      <c r="W1084" s="7"/>
      <c r="X1084" s="132">
        <f t="shared" si="126"/>
        <v>10</v>
      </c>
      <c r="Y1084" s="133"/>
      <c r="Z1084" s="133"/>
      <c r="AA1084" s="133"/>
    </row>
    <row r="1085" spans="1:27" x14ac:dyDescent="0.25">
      <c r="A1085" s="127">
        <v>1207</v>
      </c>
      <c r="B1085" s="128" t="str">
        <f t="shared" si="127"/>
        <v>YGQT</v>
      </c>
      <c r="C1085" s="128" t="str">
        <f>+VLOOKUP(U1085,Ходим!A:B,2,0)</f>
        <v>30903902160122</v>
      </c>
      <c r="D1085" s="128" t="str">
        <f>IFERROR(VLOOKUP($B:$B,[20]свод!$A:$AB,3,0)," ")</f>
        <v>Янгиқўрғон тумани</v>
      </c>
      <c r="E1085" s="7" t="s">
        <v>2225</v>
      </c>
      <c r="F1085" s="7" t="s">
        <v>8615</v>
      </c>
      <c r="G1085" s="134">
        <f t="shared" si="124"/>
        <v>1</v>
      </c>
      <c r="H1085" s="134" t="str">
        <f t="shared" si="125"/>
        <v/>
      </c>
      <c r="I1085" s="7" t="s">
        <v>158</v>
      </c>
      <c r="J1085" s="7" t="s">
        <v>2</v>
      </c>
      <c r="K1085" s="7"/>
      <c r="L1085" s="7" t="s">
        <v>167</v>
      </c>
      <c r="M1085" s="7" t="s">
        <v>4915</v>
      </c>
      <c r="N1085" s="7" t="s">
        <v>170</v>
      </c>
      <c r="O1085" s="7" t="s">
        <v>162</v>
      </c>
      <c r="P1085" s="7" t="s">
        <v>6793</v>
      </c>
      <c r="Q1085" s="129">
        <v>46199</v>
      </c>
      <c r="R1085" s="130">
        <f t="shared" si="123"/>
        <v>46199</v>
      </c>
      <c r="S1085" s="131">
        <f t="shared" si="128"/>
        <v>0</v>
      </c>
      <c r="T1085" s="7" t="s">
        <v>255</v>
      </c>
      <c r="U1085" s="7" t="s">
        <v>230</v>
      </c>
      <c r="V1085" s="7"/>
      <c r="W1085" s="7">
        <v>308.99</v>
      </c>
      <c r="X1085" s="132">
        <f t="shared" si="126"/>
        <v>10</v>
      </c>
      <c r="Y1085" s="133"/>
      <c r="Z1085" s="133"/>
      <c r="AA1085" s="133"/>
    </row>
    <row r="1086" spans="1:27" hidden="1" x14ac:dyDescent="0.25">
      <c r="A1086" s="127">
        <v>1208</v>
      </c>
      <c r="B1086" s="128" t="str">
        <f t="shared" si="127"/>
        <v>TORT</v>
      </c>
      <c r="C1086" s="128" t="str">
        <f>+VLOOKUP(U1086,Ходим!A:B,2,0)</f>
        <v>31704782130035</v>
      </c>
      <c r="D1086" s="128" t="str">
        <f>IFERROR(VLOOKUP($B:$B,[20]свод!$A:$AB,3,0)," ")</f>
        <v>Тўрақўрғон тумани</v>
      </c>
      <c r="E1086" s="7" t="s">
        <v>2226</v>
      </c>
      <c r="F1086" s="7" t="s">
        <v>8616</v>
      </c>
      <c r="G1086" s="134" t="str">
        <f t="shared" si="124"/>
        <v/>
      </c>
      <c r="H1086" s="134">
        <f t="shared" si="125"/>
        <v>1</v>
      </c>
      <c r="I1086" s="7" t="s">
        <v>155</v>
      </c>
      <c r="J1086" s="7" t="s">
        <v>25</v>
      </c>
      <c r="K1086" s="7"/>
      <c r="L1086" s="7" t="s">
        <v>166</v>
      </c>
      <c r="M1086" s="7" t="s">
        <v>4916</v>
      </c>
      <c r="N1086" s="7" t="s">
        <v>170</v>
      </c>
      <c r="O1086" s="7" t="s">
        <v>161</v>
      </c>
      <c r="P1086" s="7" t="s">
        <v>6797</v>
      </c>
      <c r="Q1086" s="129">
        <v>46199</v>
      </c>
      <c r="R1086" s="130">
        <f t="shared" si="123"/>
        <v>46216</v>
      </c>
      <c r="S1086" s="131">
        <f t="shared" si="128"/>
        <v>17</v>
      </c>
      <c r="T1086" s="7" t="s">
        <v>203</v>
      </c>
      <c r="U1086" s="7" t="s">
        <v>344</v>
      </c>
      <c r="V1086" s="7"/>
      <c r="W1086" s="7">
        <v>872.97</v>
      </c>
      <c r="X1086" s="132">
        <f t="shared" si="126"/>
        <v>12</v>
      </c>
      <c r="Y1086" s="133"/>
      <c r="Z1086" s="133"/>
      <c r="AA1086" s="133"/>
    </row>
    <row r="1087" spans="1:27" hidden="1" x14ac:dyDescent="0.25">
      <c r="A1087" s="127">
        <v>1209</v>
      </c>
      <c r="B1087" s="128" t="str">
        <f t="shared" si="127"/>
        <v>NAMS</v>
      </c>
      <c r="C1087" s="128" t="str">
        <f>+VLOOKUP(U1087,Ходим!A:B,2,0)</f>
        <v>30302942170072</v>
      </c>
      <c r="D1087" s="128" t="str">
        <f>IFERROR(VLOOKUP($B:$B,[20]свод!$A:$AB,3,0)," ")</f>
        <v>Наманган шаҳар</v>
      </c>
      <c r="E1087" s="7" t="s">
        <v>2227</v>
      </c>
      <c r="F1087" s="7" t="s">
        <v>8617</v>
      </c>
      <c r="G1087" s="134" t="str">
        <f t="shared" si="124"/>
        <v/>
      </c>
      <c r="H1087" s="134">
        <f t="shared" si="125"/>
        <v>1</v>
      </c>
      <c r="I1087" s="7" t="s">
        <v>157</v>
      </c>
      <c r="J1087" s="7" t="s">
        <v>1</v>
      </c>
      <c r="K1087" s="7"/>
      <c r="L1087" s="7" t="s">
        <v>166</v>
      </c>
      <c r="M1087" s="7" t="s">
        <v>4917</v>
      </c>
      <c r="N1087" s="7" t="s">
        <v>410</v>
      </c>
      <c r="O1087" s="7" t="s">
        <v>163</v>
      </c>
      <c r="P1087" s="7" t="s">
        <v>6798</v>
      </c>
      <c r="Q1087" s="129">
        <v>46199</v>
      </c>
      <c r="R1087" s="130">
        <f t="shared" si="123"/>
        <v>46204</v>
      </c>
      <c r="S1087" s="131">
        <f t="shared" si="128"/>
        <v>5</v>
      </c>
      <c r="T1087" s="7" t="s">
        <v>227</v>
      </c>
      <c r="U1087" s="7" t="s">
        <v>325</v>
      </c>
      <c r="V1087" s="7"/>
      <c r="W1087" s="7">
        <v>3858.85</v>
      </c>
      <c r="X1087" s="132">
        <f t="shared" si="126"/>
        <v>17</v>
      </c>
      <c r="Y1087" s="133"/>
      <c r="Z1087" s="133"/>
      <c r="AA1087" s="133"/>
    </row>
    <row r="1088" spans="1:27" x14ac:dyDescent="0.25">
      <c r="A1088" s="127">
        <v>1210</v>
      </c>
      <c r="B1088" s="128" t="str">
        <f t="shared" si="127"/>
        <v>MINT</v>
      </c>
      <c r="C1088" s="128" t="str">
        <f>+VLOOKUP(U1088,Ходим!A:B,2,0)</f>
        <v>53110035990017</v>
      </c>
      <c r="D1088" s="128" t="str">
        <f>IFERROR(VLOOKUP($B:$B,[20]свод!$A:$AB,3,0)," ")</f>
        <v>Мингбулоқ тумани</v>
      </c>
      <c r="E1088" s="7" t="s">
        <v>2228</v>
      </c>
      <c r="F1088" s="7" t="s">
        <v>8618</v>
      </c>
      <c r="G1088" s="134">
        <f t="shared" si="124"/>
        <v>1</v>
      </c>
      <c r="H1088" s="134" t="str">
        <f t="shared" si="125"/>
        <v/>
      </c>
      <c r="I1088" s="7" t="s">
        <v>158</v>
      </c>
      <c r="J1088" s="7" t="s">
        <v>10</v>
      </c>
      <c r="K1088" s="7"/>
      <c r="L1088" s="7" t="s">
        <v>167</v>
      </c>
      <c r="M1088" s="7" t="s">
        <v>4918</v>
      </c>
      <c r="N1088" s="7" t="s">
        <v>170</v>
      </c>
      <c r="O1088" s="7" t="s">
        <v>162</v>
      </c>
      <c r="P1088" s="7" t="s">
        <v>6664</v>
      </c>
      <c r="Q1088" s="129">
        <v>46199</v>
      </c>
      <c r="R1088" s="130">
        <f t="shared" si="123"/>
        <v>46199</v>
      </c>
      <c r="S1088" s="131">
        <f t="shared" si="128"/>
        <v>0</v>
      </c>
      <c r="T1088" s="7" t="s">
        <v>220</v>
      </c>
      <c r="U1088" s="7" t="s">
        <v>372</v>
      </c>
      <c r="V1088" s="7"/>
      <c r="W1088" s="7">
        <v>206.1</v>
      </c>
      <c r="X1088" s="132">
        <f t="shared" si="126"/>
        <v>10</v>
      </c>
      <c r="Y1088" s="133"/>
      <c r="Z1088" s="133"/>
      <c r="AA1088" s="133"/>
    </row>
    <row r="1089" spans="1:27" hidden="1" x14ac:dyDescent="0.25">
      <c r="A1089" s="127">
        <v>1211</v>
      </c>
      <c r="B1089" s="128" t="str">
        <f t="shared" si="127"/>
        <v>NAMS</v>
      </c>
      <c r="C1089" s="128" t="str">
        <f>+VLOOKUP(U1089,Ходим!A:B,2,0)</f>
        <v>52710005960025</v>
      </c>
      <c r="D1089" s="128" t="str">
        <f>IFERROR(VLOOKUP($B:$B,[20]свод!$A:$AB,3,0)," ")</f>
        <v>Наманган шаҳар</v>
      </c>
      <c r="E1089" s="7" t="s">
        <v>2229</v>
      </c>
      <c r="F1089" s="7" t="s">
        <v>8619</v>
      </c>
      <c r="G1089" s="134">
        <f t="shared" si="124"/>
        <v>1</v>
      </c>
      <c r="H1089" s="134" t="str">
        <f t="shared" si="125"/>
        <v/>
      </c>
      <c r="I1089" s="7" t="s">
        <v>158</v>
      </c>
      <c r="J1089" s="7" t="s">
        <v>13</v>
      </c>
      <c r="K1089" s="7"/>
      <c r="L1089" s="7" t="s">
        <v>167</v>
      </c>
      <c r="M1089" s="7" t="s">
        <v>4919</v>
      </c>
      <c r="N1089" s="7" t="s">
        <v>170</v>
      </c>
      <c r="O1089" s="7" t="s">
        <v>162</v>
      </c>
      <c r="P1089" s="7" t="s">
        <v>6799</v>
      </c>
      <c r="Q1089" s="129">
        <v>46199</v>
      </c>
      <c r="R1089" s="130">
        <f t="shared" si="123"/>
        <v>46206</v>
      </c>
      <c r="S1089" s="131">
        <f t="shared" si="128"/>
        <v>7</v>
      </c>
      <c r="T1089" s="7" t="s">
        <v>173</v>
      </c>
      <c r="U1089" s="7" t="s">
        <v>274</v>
      </c>
      <c r="V1089" s="7"/>
      <c r="W1089" s="7">
        <v>237.03</v>
      </c>
      <c r="X1089" s="132">
        <f t="shared" si="126"/>
        <v>10</v>
      </c>
      <c r="Y1089" s="133"/>
      <c r="Z1089" s="133"/>
      <c r="AA1089" s="133"/>
    </row>
    <row r="1090" spans="1:27" hidden="1" x14ac:dyDescent="0.25">
      <c r="A1090" s="127">
        <v>1212</v>
      </c>
      <c r="B1090" s="128" t="str">
        <f t="shared" si="127"/>
        <v>KSST</v>
      </c>
      <c r="C1090" s="128" t="str">
        <f>+VLOOKUP(U1090,Ходим!A:B,2,0)</f>
        <v>31611995980026</v>
      </c>
      <c r="D1090" s="128" t="str">
        <f>IFERROR(VLOOKUP($B:$B,[20]свод!$A:$AB,3,0)," ")</f>
        <v>Косонсой тумани</v>
      </c>
      <c r="E1090" s="7" t="s">
        <v>2230</v>
      </c>
      <c r="F1090" s="7" t="s">
        <v>8620</v>
      </c>
      <c r="G1090" s="134">
        <f t="shared" si="124"/>
        <v>1</v>
      </c>
      <c r="H1090" s="134" t="str">
        <f t="shared" si="125"/>
        <v/>
      </c>
      <c r="I1090" s="7" t="s">
        <v>158</v>
      </c>
      <c r="J1090" s="7" t="s">
        <v>13</v>
      </c>
      <c r="K1090" s="7"/>
      <c r="L1090" s="7" t="s">
        <v>167</v>
      </c>
      <c r="M1090" s="7" t="s">
        <v>4920</v>
      </c>
      <c r="N1090" s="7" t="s">
        <v>170</v>
      </c>
      <c r="O1090" s="7" t="s">
        <v>162</v>
      </c>
      <c r="P1090" s="7" t="s">
        <v>6799</v>
      </c>
      <c r="Q1090" s="129">
        <v>46199</v>
      </c>
      <c r="R1090" s="130">
        <f t="shared" si="123"/>
        <v>46206</v>
      </c>
      <c r="S1090" s="131">
        <f t="shared" si="128"/>
        <v>7</v>
      </c>
      <c r="T1090" s="7" t="s">
        <v>180</v>
      </c>
      <c r="U1090" s="7" t="s">
        <v>181</v>
      </c>
      <c r="V1090" s="7"/>
      <c r="W1090" s="7">
        <v>258.18</v>
      </c>
      <c r="X1090" s="132">
        <f t="shared" si="126"/>
        <v>10</v>
      </c>
      <c r="Y1090" s="133"/>
      <c r="Z1090" s="133"/>
      <c r="AA1090" s="133"/>
    </row>
    <row r="1091" spans="1:27" hidden="1" x14ac:dyDescent="0.25">
      <c r="A1091" s="127">
        <v>1214</v>
      </c>
      <c r="B1091" s="128" t="str">
        <f t="shared" si="127"/>
        <v>UCQT</v>
      </c>
      <c r="C1091" s="128" t="str">
        <f>+VLOOKUP(U1091,Ходим!A:B,2,0)</f>
        <v>42005872150022</v>
      </c>
      <c r="D1091" s="128" t="str">
        <f>IFERROR(VLOOKUP($B:$B,[20]свод!$A:$AB,3,0)," ")</f>
        <v>Учқўрғон тумани</v>
      </c>
      <c r="E1091" s="7" t="s">
        <v>2231</v>
      </c>
      <c r="F1091" s="7" t="s">
        <v>8621</v>
      </c>
      <c r="G1091" s="134">
        <f t="shared" si="124"/>
        <v>1</v>
      </c>
      <c r="H1091" s="134" t="str">
        <f t="shared" si="125"/>
        <v/>
      </c>
      <c r="I1091" s="7" t="s">
        <v>158</v>
      </c>
      <c r="J1091" s="7" t="s">
        <v>172</v>
      </c>
      <c r="K1091" s="7"/>
      <c r="L1091" s="7" t="s">
        <v>167</v>
      </c>
      <c r="M1091" s="7" t="s">
        <v>4921</v>
      </c>
      <c r="N1091" s="7" t="s">
        <v>170</v>
      </c>
      <c r="O1091" s="7" t="s">
        <v>162</v>
      </c>
      <c r="P1091" s="7" t="s">
        <v>6799</v>
      </c>
      <c r="Q1091" s="129">
        <v>46199</v>
      </c>
      <c r="R1091" s="130">
        <f t="shared" si="123"/>
        <v>46206</v>
      </c>
      <c r="S1091" s="131">
        <f t="shared" si="128"/>
        <v>7</v>
      </c>
      <c r="T1091" s="7" t="s">
        <v>175</v>
      </c>
      <c r="U1091" s="7" t="s">
        <v>176</v>
      </c>
      <c r="V1091" s="7"/>
      <c r="W1091" s="7">
        <v>0</v>
      </c>
      <c r="X1091" s="132">
        <f t="shared" si="126"/>
        <v>10</v>
      </c>
      <c r="Y1091" s="133"/>
      <c r="Z1091" s="133"/>
      <c r="AA1091" s="133"/>
    </row>
    <row r="1092" spans="1:27" hidden="1" x14ac:dyDescent="0.25">
      <c r="A1092" s="127">
        <v>1215</v>
      </c>
      <c r="B1092" s="128" t="str">
        <f t="shared" si="127"/>
        <v>NAMS</v>
      </c>
      <c r="C1092" s="128" t="str">
        <f>+VLOOKUP(U1092,Ходим!A:B,2,0)</f>
        <v>52710005960025</v>
      </c>
      <c r="D1092" s="128" t="str">
        <f>IFERROR(VLOOKUP($B:$B,[20]свод!$A:$AB,3,0)," ")</f>
        <v>Наманган шаҳар</v>
      </c>
      <c r="E1092" s="7" t="s">
        <v>2232</v>
      </c>
      <c r="F1092" s="7" t="s">
        <v>8622</v>
      </c>
      <c r="G1092" s="134">
        <f t="shared" si="124"/>
        <v>1</v>
      </c>
      <c r="H1092" s="134" t="str">
        <f t="shared" si="125"/>
        <v/>
      </c>
      <c r="I1092" s="7" t="s">
        <v>158</v>
      </c>
      <c r="J1092" s="7" t="s">
        <v>2</v>
      </c>
      <c r="K1092" s="7"/>
      <c r="L1092" s="7"/>
      <c r="M1092" s="7"/>
      <c r="N1092" s="7" t="s">
        <v>170</v>
      </c>
      <c r="O1092" s="7" t="s">
        <v>162</v>
      </c>
      <c r="P1092" s="7" t="s">
        <v>6799</v>
      </c>
      <c r="Q1092" s="129">
        <v>46199</v>
      </c>
      <c r="R1092" s="130">
        <f t="shared" si="123"/>
        <v>46206</v>
      </c>
      <c r="S1092" s="131">
        <f t="shared" si="128"/>
        <v>7</v>
      </c>
      <c r="T1092" s="7" t="s">
        <v>173</v>
      </c>
      <c r="U1092" s="7" t="s">
        <v>274</v>
      </c>
      <c r="V1092" s="7"/>
      <c r="W1092" s="7"/>
      <c r="X1092" s="132">
        <f t="shared" si="126"/>
        <v>10</v>
      </c>
      <c r="Y1092" s="133"/>
      <c r="Z1092" s="133"/>
      <c r="AA1092" s="133"/>
    </row>
    <row r="1093" spans="1:27" hidden="1" x14ac:dyDescent="0.25">
      <c r="A1093" s="127">
        <v>1216</v>
      </c>
      <c r="B1093" s="128" t="str">
        <f t="shared" si="127"/>
        <v>TORT</v>
      </c>
      <c r="C1093" s="128" t="str">
        <f>+VLOOKUP(U1093,Ходим!A:B,2,0)</f>
        <v>31701915920077</v>
      </c>
      <c r="D1093" s="128" t="str">
        <f>IFERROR(VLOOKUP($B:$B,[20]свод!$A:$AB,3,0)," ")</f>
        <v>Тўрақўрғон тумани</v>
      </c>
      <c r="E1093" s="7" t="s">
        <v>2233</v>
      </c>
      <c r="F1093" s="7" t="s">
        <v>8623</v>
      </c>
      <c r="G1093" s="134">
        <f t="shared" si="124"/>
        <v>1</v>
      </c>
      <c r="H1093" s="134" t="str">
        <f t="shared" si="125"/>
        <v/>
      </c>
      <c r="I1093" s="7" t="s">
        <v>158</v>
      </c>
      <c r="J1093" s="7" t="s">
        <v>2</v>
      </c>
      <c r="K1093" s="7"/>
      <c r="L1093" s="7" t="s">
        <v>167</v>
      </c>
      <c r="M1093" s="7" t="s">
        <v>4922</v>
      </c>
      <c r="N1093" s="7" t="s">
        <v>170</v>
      </c>
      <c r="O1093" s="7" t="s">
        <v>162</v>
      </c>
      <c r="P1093" s="7" t="s">
        <v>6799</v>
      </c>
      <c r="Q1093" s="129">
        <v>46199</v>
      </c>
      <c r="R1093" s="130">
        <f t="shared" si="123"/>
        <v>46206</v>
      </c>
      <c r="S1093" s="131">
        <f t="shared" si="128"/>
        <v>7</v>
      </c>
      <c r="T1093" s="7" t="s">
        <v>203</v>
      </c>
      <c r="U1093" s="7" t="s">
        <v>332</v>
      </c>
      <c r="V1093" s="7"/>
      <c r="W1093" s="7">
        <v>0</v>
      </c>
      <c r="X1093" s="132">
        <f t="shared" si="126"/>
        <v>10</v>
      </c>
      <c r="Y1093" s="133"/>
      <c r="Z1093" s="133"/>
      <c r="AA1093" s="133"/>
    </row>
    <row r="1094" spans="1:27" x14ac:dyDescent="0.25">
      <c r="A1094" s="127">
        <v>1217</v>
      </c>
      <c r="B1094" s="128" t="str">
        <f t="shared" si="127"/>
        <v>NAMS</v>
      </c>
      <c r="C1094" s="128" t="str">
        <f>+VLOOKUP(U1094,Ходим!A:B,2,0)</f>
        <v>31007955980023</v>
      </c>
      <c r="D1094" s="128" t="str">
        <f>IFERROR(VLOOKUP($B:$B,[20]свод!$A:$AB,3,0)," ")</f>
        <v>Наманган шаҳар</v>
      </c>
      <c r="E1094" s="7" t="s">
        <v>2234</v>
      </c>
      <c r="F1094" s="7" t="s">
        <v>8624</v>
      </c>
      <c r="G1094" s="134">
        <f t="shared" si="124"/>
        <v>1</v>
      </c>
      <c r="H1094" s="134" t="str">
        <f t="shared" si="125"/>
        <v/>
      </c>
      <c r="I1094" s="7" t="s">
        <v>158</v>
      </c>
      <c r="J1094" s="7" t="s">
        <v>1</v>
      </c>
      <c r="K1094" s="7"/>
      <c r="L1094" s="7" t="s">
        <v>167</v>
      </c>
      <c r="M1094" s="7" t="s">
        <v>4923</v>
      </c>
      <c r="N1094" s="7" t="s">
        <v>170</v>
      </c>
      <c r="O1094" s="7" t="s">
        <v>162</v>
      </c>
      <c r="P1094" s="7" t="s">
        <v>6800</v>
      </c>
      <c r="Q1094" s="129">
        <v>46199</v>
      </c>
      <c r="R1094" s="130">
        <f t="shared" ref="R1094:R1154" si="129">WORKDAY(P1094,X1094,$Y$1:$AA$1)</f>
        <v>46199</v>
      </c>
      <c r="S1094" s="131">
        <f t="shared" si="128"/>
        <v>0</v>
      </c>
      <c r="T1094" s="7" t="s">
        <v>185</v>
      </c>
      <c r="U1094" s="7" t="s">
        <v>207</v>
      </c>
      <c r="V1094" s="7"/>
      <c r="W1094" s="7">
        <v>172.24</v>
      </c>
      <c r="X1094" s="132">
        <f t="shared" si="126"/>
        <v>10</v>
      </c>
      <c r="Y1094" s="133"/>
      <c r="Z1094" s="133"/>
      <c r="AA1094" s="133"/>
    </row>
    <row r="1095" spans="1:27" hidden="1" x14ac:dyDescent="0.25">
      <c r="A1095" s="127">
        <v>1218</v>
      </c>
      <c r="B1095" s="128" t="str">
        <f t="shared" si="127"/>
        <v>NAMS</v>
      </c>
      <c r="C1095" s="128" t="str">
        <f>+VLOOKUP(U1095,Ходим!A:B,2,0)</f>
        <v>52503015960039</v>
      </c>
      <c r="D1095" s="128" t="str">
        <f>IFERROR(VLOOKUP($B:$B,[20]свод!$A:$AB,3,0)," ")</f>
        <v>Наманган шаҳар</v>
      </c>
      <c r="E1095" s="7" t="s">
        <v>2235</v>
      </c>
      <c r="F1095" s="7" t="s">
        <v>8625</v>
      </c>
      <c r="G1095" s="134">
        <f t="shared" si="124"/>
        <v>1</v>
      </c>
      <c r="H1095" s="134" t="str">
        <f t="shared" si="125"/>
        <v/>
      </c>
      <c r="I1095" s="7" t="s">
        <v>158</v>
      </c>
      <c r="J1095" s="7" t="s">
        <v>1</v>
      </c>
      <c r="K1095" s="7"/>
      <c r="L1095" s="7" t="s">
        <v>167</v>
      </c>
      <c r="M1095" s="7" t="s">
        <v>4924</v>
      </c>
      <c r="N1095" s="7" t="s">
        <v>170</v>
      </c>
      <c r="O1095" s="7" t="s">
        <v>162</v>
      </c>
      <c r="P1095" s="7" t="s">
        <v>6799</v>
      </c>
      <c r="Q1095" s="129">
        <v>46199</v>
      </c>
      <c r="R1095" s="130">
        <f t="shared" si="129"/>
        <v>46206</v>
      </c>
      <c r="S1095" s="131">
        <f t="shared" si="128"/>
        <v>7</v>
      </c>
      <c r="T1095" s="7" t="s">
        <v>185</v>
      </c>
      <c r="U1095" s="7" t="s">
        <v>246</v>
      </c>
      <c r="V1095" s="7"/>
      <c r="W1095" s="7">
        <v>70.709999999999994</v>
      </c>
      <c r="X1095" s="132">
        <f t="shared" si="126"/>
        <v>10</v>
      </c>
      <c r="Y1095" s="133"/>
      <c r="Z1095" s="133"/>
      <c r="AA1095" s="133"/>
    </row>
    <row r="1096" spans="1:27" hidden="1" x14ac:dyDescent="0.25">
      <c r="A1096" s="127">
        <v>1219</v>
      </c>
      <c r="B1096" s="128" t="str">
        <f t="shared" si="127"/>
        <v>TORT</v>
      </c>
      <c r="C1096" s="128">
        <f>+VLOOKUP(U1096,Ходим!A:B,2,0)</f>
        <v>30603862130011</v>
      </c>
      <c r="D1096" s="128" t="str">
        <f>IFERROR(VLOOKUP($B:$B,[20]свод!$A:$AB,3,0)," ")</f>
        <v>Тўрақўрғон тумани</v>
      </c>
      <c r="E1096" s="7" t="s">
        <v>2236</v>
      </c>
      <c r="F1096" s="7" t="s">
        <v>8626</v>
      </c>
      <c r="G1096" s="134">
        <f t="shared" si="124"/>
        <v>1</v>
      </c>
      <c r="H1096" s="134" t="str">
        <f t="shared" si="125"/>
        <v/>
      </c>
      <c r="I1096" s="7" t="s">
        <v>156</v>
      </c>
      <c r="J1096" s="7" t="s">
        <v>25</v>
      </c>
      <c r="K1096" s="7"/>
      <c r="L1096" s="7"/>
      <c r="M1096" s="7"/>
      <c r="N1096" s="7" t="s">
        <v>170</v>
      </c>
      <c r="O1096" s="7" t="s">
        <v>162</v>
      </c>
      <c r="P1096" s="7" t="s">
        <v>6801</v>
      </c>
      <c r="Q1096" s="129">
        <v>46199</v>
      </c>
      <c r="R1096" s="130">
        <f t="shared" si="129"/>
        <v>46212</v>
      </c>
      <c r="S1096" s="131">
        <f t="shared" si="128"/>
        <v>13</v>
      </c>
      <c r="T1096" s="7" t="s">
        <v>203</v>
      </c>
      <c r="U1096" s="7" t="s">
        <v>950</v>
      </c>
      <c r="V1096" s="7"/>
      <c r="W1096" s="7"/>
      <c r="X1096" s="132">
        <f t="shared" si="126"/>
        <v>10</v>
      </c>
      <c r="Y1096" s="133"/>
      <c r="Z1096" s="133"/>
      <c r="AA1096" s="133"/>
    </row>
    <row r="1097" spans="1:27" hidden="1" x14ac:dyDescent="0.25">
      <c r="A1097" s="127">
        <v>1220</v>
      </c>
      <c r="B1097" s="128" t="str">
        <f t="shared" si="127"/>
        <v>YGQT</v>
      </c>
      <c r="C1097" s="128" t="e">
        <f>+VLOOKUP(U1097,Ходим!A:B,2,0)</f>
        <v>#N/A</v>
      </c>
      <c r="D1097" s="128" t="str">
        <f>IFERROR(VLOOKUP($B:$B,[20]свод!$A:$AB,3,0)," ")</f>
        <v>Янгиқўрғон тумани</v>
      </c>
      <c r="E1097" s="7" t="s">
        <v>2237</v>
      </c>
      <c r="F1097" s="7" t="s">
        <v>8627</v>
      </c>
      <c r="G1097" s="134" t="str">
        <f t="shared" si="124"/>
        <v/>
      </c>
      <c r="H1097" s="134">
        <f t="shared" si="125"/>
        <v>1</v>
      </c>
      <c r="I1097" s="7" t="s">
        <v>155</v>
      </c>
      <c r="J1097" s="7" t="s">
        <v>21</v>
      </c>
      <c r="K1097" s="7" t="s">
        <v>10624</v>
      </c>
      <c r="L1097" s="7" t="s">
        <v>166</v>
      </c>
      <c r="M1097" s="7" t="s">
        <v>4925</v>
      </c>
      <c r="N1097" s="7" t="s">
        <v>171</v>
      </c>
      <c r="O1097" s="7" t="s">
        <v>164</v>
      </c>
      <c r="P1097" s="7" t="s">
        <v>6801</v>
      </c>
      <c r="Q1097" s="129">
        <v>46199</v>
      </c>
      <c r="R1097" s="130">
        <f t="shared" si="129"/>
        <v>46212</v>
      </c>
      <c r="S1097" s="131">
        <f t="shared" si="128"/>
        <v>13</v>
      </c>
      <c r="T1097" s="7" t="s">
        <v>182</v>
      </c>
      <c r="U1097" s="7"/>
      <c r="V1097" s="7"/>
      <c r="W1097" s="7">
        <v>59.11</v>
      </c>
      <c r="X1097" s="132">
        <f t="shared" si="126"/>
        <v>10</v>
      </c>
      <c r="Y1097" s="133"/>
      <c r="Z1097" s="133"/>
      <c r="AA1097" s="133"/>
    </row>
    <row r="1098" spans="1:27" hidden="1" x14ac:dyDescent="0.25">
      <c r="A1098" s="127">
        <v>1221</v>
      </c>
      <c r="B1098" s="128" t="str">
        <f t="shared" si="127"/>
        <v>NAMS</v>
      </c>
      <c r="C1098" s="128" t="str">
        <f>+VLOOKUP(U1098,Ходим!A:B,2,0)</f>
        <v>51406015960142</v>
      </c>
      <c r="D1098" s="128" t="str">
        <f>IFERROR(VLOOKUP($B:$B,[20]свод!$A:$AB,3,0)," ")</f>
        <v>Наманган шаҳар</v>
      </c>
      <c r="E1098" s="7" t="s">
        <v>2238</v>
      </c>
      <c r="F1098" s="7" t="s">
        <v>8628</v>
      </c>
      <c r="G1098" s="134">
        <f t="shared" ref="G1098:G1158" si="130">IF(OR(
I1098="Turar joy obyektning kadastr pasportini shakllantirish va davlat ro'yxatidan o'tkazish",
I1098="Turar kompozit"
),
1,
IF(OR(
I1098="Noturar kompozit",
I1098="Avtoyo'l va suv xo'jaligi obyektining kadastr pasportini shakllantirish va ro'yxatga olish",
I1098="Noturar obyektning kadastr pasportining kadastr pasportini shakllantirish va davlat ro'yxatidan o'tkazish"
),
"",
IF(OR(
I1098="Notarius uchun ma'lumotnoma (uz)",
I1098="Qurilishi tugallangan ko'chmas mulkni foydalanishga qabul qilish",
I1098="Umumiy foydalanishdagi ko'chmas mulk qismini yaratish",
I1098="Registratsiya (tashqi - UZKAD da bor)"
),
IF(OR(L1098="Turar yer maydoni",L1098="Yakka tartibdagi turar joy"),1,
IF(L1098="Noturar bino","",
IF(L1098="Noturar yer maydoni","",
IF(L1098="",IF(OR(O1098="Turar joy xizmati",O1098="Foydalanishga ruxsatnoma berish xizmati"),1,""),"")
))),
"")))</f>
        <v>1</v>
      </c>
      <c r="H1098" s="134" t="str">
        <f t="shared" ref="H1098:H1158" si="131">IF(OR(
I1098="Turar joy obyektning kadastr pasportini shakllantirish va davlat ro'yxatidan o'tkazish",
I1098="Turar kompozit"
),
"",
IF(OR(
I1098="Noturar kompozit",
I1098="Avtoyo'l va suv xo'jaligi obyektining kadastr pasportini shakllantirish va ro'yxatga olish",
I1098="Noturar obyektning kadastr pasportini shakllantirish va davlat ro'yxatidan o'tkazish"
),
1,
IF(OR(
I1098="Notarius uchun ma'lumotnoma (uz)",
I1098="Qurilishi tugallangan ko'chmas mulkni foydalanishga qabul qilish",
I1098="Umumiy foydalanishdagi ko'chmas mulk qismini yaratish",
I1098="Registratsiya (tashqi - UZKAD da bor)"
),
IF(OR(L1098="Turar yer maydoni",L1098="Yakka tartibdagi turar joy"),"",
IF(L1098="Noturar bino",1,
IF(L1098="Noturar yer maydoni",1,
IF(L1098="",IF(OR(O1098="Turar joy xizmati",O1098="Foydalanishga ruxsatnoma berish xizmati"),"",1),"")
))),
"")))</f>
        <v/>
      </c>
      <c r="I1098" s="7" t="s">
        <v>158</v>
      </c>
      <c r="J1098" s="7" t="s">
        <v>1</v>
      </c>
      <c r="K1098" s="7"/>
      <c r="L1098" s="7" t="s">
        <v>167</v>
      </c>
      <c r="M1098" s="7" t="s">
        <v>4926</v>
      </c>
      <c r="N1098" s="7" t="s">
        <v>170</v>
      </c>
      <c r="O1098" s="7" t="s">
        <v>162</v>
      </c>
      <c r="P1098" s="7" t="s">
        <v>6497</v>
      </c>
      <c r="Q1098" s="129">
        <v>46199</v>
      </c>
      <c r="R1098" s="130">
        <f t="shared" si="129"/>
        <v>46205</v>
      </c>
      <c r="S1098" s="131">
        <f t="shared" si="128"/>
        <v>6</v>
      </c>
      <c r="T1098" s="7" t="s">
        <v>227</v>
      </c>
      <c r="U1098" s="7" t="s">
        <v>349</v>
      </c>
      <c r="V1098" s="7"/>
      <c r="W1098" s="7">
        <v>353.3</v>
      </c>
      <c r="X1098" s="132">
        <f t="shared" si="126"/>
        <v>10</v>
      </c>
      <c r="Y1098" s="133"/>
      <c r="Z1098" s="133"/>
      <c r="AA1098" s="133"/>
    </row>
    <row r="1099" spans="1:27" x14ac:dyDescent="0.25">
      <c r="A1099" s="127">
        <v>1222</v>
      </c>
      <c r="B1099" s="128" t="str">
        <f t="shared" si="127"/>
        <v>TORT</v>
      </c>
      <c r="C1099" s="128" t="str">
        <f>+VLOOKUP(U1099,Ходим!A:B,2,0)</f>
        <v>30708792130017</v>
      </c>
      <c r="D1099" s="128" t="str">
        <f>IFERROR(VLOOKUP($B:$B,[20]свод!$A:$AB,3,0)," ")</f>
        <v>Тўрақўрғон тумани</v>
      </c>
      <c r="E1099" s="7" t="s">
        <v>2239</v>
      </c>
      <c r="F1099" s="7" t="s">
        <v>8629</v>
      </c>
      <c r="G1099" s="134">
        <f t="shared" si="130"/>
        <v>1</v>
      </c>
      <c r="H1099" s="134" t="str">
        <f t="shared" si="131"/>
        <v/>
      </c>
      <c r="I1099" s="7" t="s">
        <v>158</v>
      </c>
      <c r="J1099" s="7" t="s">
        <v>2</v>
      </c>
      <c r="K1099" s="7"/>
      <c r="L1099" s="7"/>
      <c r="M1099" s="7"/>
      <c r="N1099" s="7" t="s">
        <v>170</v>
      </c>
      <c r="O1099" s="7" t="s">
        <v>162</v>
      </c>
      <c r="P1099" s="7" t="s">
        <v>6802</v>
      </c>
      <c r="Q1099" s="129">
        <v>46199</v>
      </c>
      <c r="R1099" s="130">
        <f t="shared" si="129"/>
        <v>46199</v>
      </c>
      <c r="S1099" s="131">
        <f t="shared" si="128"/>
        <v>0</v>
      </c>
      <c r="T1099" s="7" t="s">
        <v>203</v>
      </c>
      <c r="U1099" s="7" t="s">
        <v>204</v>
      </c>
      <c r="V1099" s="7"/>
      <c r="W1099" s="7"/>
      <c r="X1099" s="132">
        <f t="shared" si="126"/>
        <v>10</v>
      </c>
      <c r="Y1099" s="133"/>
      <c r="Z1099" s="133"/>
      <c r="AA1099" s="133"/>
    </row>
    <row r="1100" spans="1:27" x14ac:dyDescent="0.25">
      <c r="A1100" s="127">
        <v>1223</v>
      </c>
      <c r="B1100" s="128" t="str">
        <f t="shared" si="127"/>
        <v>TORT</v>
      </c>
      <c r="C1100" s="128" t="str">
        <f>+VLOOKUP(U1100,Ходим!A:B,2,0)</f>
        <v>32211772130034</v>
      </c>
      <c r="D1100" s="128" t="str">
        <f>IFERROR(VLOOKUP($B:$B,[20]свод!$A:$AB,3,0)," ")</f>
        <v>Тўрақўрғон тумани</v>
      </c>
      <c r="E1100" s="7" t="s">
        <v>2240</v>
      </c>
      <c r="F1100" s="7" t="s">
        <v>8630</v>
      </c>
      <c r="G1100" s="134">
        <f t="shared" si="130"/>
        <v>1</v>
      </c>
      <c r="H1100" s="134" t="str">
        <f t="shared" si="131"/>
        <v/>
      </c>
      <c r="I1100" s="7" t="s">
        <v>158</v>
      </c>
      <c r="J1100" s="7" t="s">
        <v>36</v>
      </c>
      <c r="K1100" s="7"/>
      <c r="L1100" s="7" t="s">
        <v>167</v>
      </c>
      <c r="M1100" s="7" t="s">
        <v>4927</v>
      </c>
      <c r="N1100" s="7" t="s">
        <v>170</v>
      </c>
      <c r="O1100" s="7" t="s">
        <v>162</v>
      </c>
      <c r="P1100" s="7" t="s">
        <v>6802</v>
      </c>
      <c r="Q1100" s="129">
        <v>46199</v>
      </c>
      <c r="R1100" s="130">
        <f t="shared" si="129"/>
        <v>46199</v>
      </c>
      <c r="S1100" s="131">
        <f t="shared" si="128"/>
        <v>0</v>
      </c>
      <c r="T1100" s="7" t="s">
        <v>203</v>
      </c>
      <c r="U1100" s="7" t="s">
        <v>270</v>
      </c>
      <c r="V1100" s="7"/>
      <c r="W1100" s="7">
        <v>374.69</v>
      </c>
      <c r="X1100" s="132">
        <f t="shared" si="126"/>
        <v>10</v>
      </c>
      <c r="Y1100" s="133"/>
      <c r="Z1100" s="133"/>
      <c r="AA1100" s="133"/>
    </row>
    <row r="1101" spans="1:27" hidden="1" x14ac:dyDescent="0.25">
      <c r="A1101" s="127">
        <v>1224</v>
      </c>
      <c r="B1101" s="128" t="str">
        <f t="shared" si="127"/>
        <v>POPT</v>
      </c>
      <c r="C1101" s="128" t="str">
        <f>+VLOOKUP(U1101,Ходим!A:B,2,0)</f>
        <v>32209966000029</v>
      </c>
      <c r="D1101" s="128" t="str">
        <f>IFERROR(VLOOKUP($B:$B,[20]свод!$A:$AB,3,0)," ")</f>
        <v>Поп тумани</v>
      </c>
      <c r="E1101" s="7" t="s">
        <v>2241</v>
      </c>
      <c r="F1101" s="7" t="s">
        <v>8631</v>
      </c>
      <c r="G1101" s="134">
        <f t="shared" si="130"/>
        <v>1</v>
      </c>
      <c r="H1101" s="134" t="str">
        <f t="shared" si="131"/>
        <v/>
      </c>
      <c r="I1101" s="7" t="s">
        <v>158</v>
      </c>
      <c r="J1101" s="7" t="s">
        <v>2</v>
      </c>
      <c r="K1101" s="7"/>
      <c r="L1101" s="7" t="s">
        <v>167</v>
      </c>
      <c r="M1101" s="7" t="s">
        <v>1092</v>
      </c>
      <c r="N1101" s="7" t="s">
        <v>170</v>
      </c>
      <c r="O1101" s="7" t="s">
        <v>162</v>
      </c>
      <c r="P1101" s="7" t="s">
        <v>6763</v>
      </c>
      <c r="Q1101" s="129">
        <v>46199</v>
      </c>
      <c r="R1101" s="130">
        <f t="shared" si="129"/>
        <v>46212</v>
      </c>
      <c r="S1101" s="131">
        <f t="shared" si="128"/>
        <v>13</v>
      </c>
      <c r="T1101" s="7" t="s">
        <v>214</v>
      </c>
      <c r="U1101" s="7" t="s">
        <v>282</v>
      </c>
      <c r="V1101" s="7"/>
      <c r="W1101" s="7">
        <v>0</v>
      </c>
      <c r="X1101" s="132">
        <f t="shared" si="126"/>
        <v>10</v>
      </c>
      <c r="Y1101" s="133"/>
      <c r="Z1101" s="133"/>
      <c r="AA1101" s="133"/>
    </row>
    <row r="1102" spans="1:27" x14ac:dyDescent="0.25">
      <c r="A1102" s="127">
        <v>1227</v>
      </c>
      <c r="B1102" s="128" t="str">
        <f t="shared" si="127"/>
        <v>TORT</v>
      </c>
      <c r="C1102" s="128" t="str">
        <f>+VLOOKUP(U1102,Ходим!A:B,2,0)</f>
        <v>31704782130035</v>
      </c>
      <c r="D1102" s="128" t="str">
        <f>IFERROR(VLOOKUP($B:$B,[20]свод!$A:$AB,3,0)," ")</f>
        <v>Тўрақўрғон тумани</v>
      </c>
      <c r="E1102" s="7" t="s">
        <v>2242</v>
      </c>
      <c r="F1102" s="7" t="s">
        <v>8632</v>
      </c>
      <c r="G1102" s="134">
        <f t="shared" si="130"/>
        <v>1</v>
      </c>
      <c r="H1102" s="134" t="str">
        <f t="shared" si="131"/>
        <v/>
      </c>
      <c r="I1102" s="7" t="s">
        <v>154</v>
      </c>
      <c r="J1102" s="7" t="s">
        <v>100</v>
      </c>
      <c r="K1102" s="7"/>
      <c r="L1102" s="7" t="s">
        <v>167</v>
      </c>
      <c r="M1102" s="7" t="s">
        <v>4928</v>
      </c>
      <c r="N1102" s="7" t="s">
        <v>170</v>
      </c>
      <c r="O1102" s="7" t="s">
        <v>162</v>
      </c>
      <c r="P1102" s="7" t="s">
        <v>6803</v>
      </c>
      <c r="Q1102" s="129">
        <v>46199</v>
      </c>
      <c r="R1102" s="130">
        <f t="shared" si="129"/>
        <v>46199</v>
      </c>
      <c r="S1102" s="131">
        <f t="shared" si="128"/>
        <v>0</v>
      </c>
      <c r="T1102" s="7" t="s">
        <v>203</v>
      </c>
      <c r="U1102" s="7" t="s">
        <v>344</v>
      </c>
      <c r="V1102" s="7"/>
      <c r="W1102" s="7">
        <v>71.760000000000005</v>
      </c>
      <c r="X1102" s="132">
        <f t="shared" si="126"/>
        <v>10</v>
      </c>
      <c r="Y1102" s="133"/>
      <c r="Z1102" s="133"/>
      <c r="AA1102" s="133"/>
    </row>
    <row r="1103" spans="1:27" hidden="1" x14ac:dyDescent="0.25">
      <c r="A1103" s="127">
        <v>1228</v>
      </c>
      <c r="B1103" s="128" t="str">
        <f t="shared" si="127"/>
        <v>CHUT</v>
      </c>
      <c r="C1103" s="128" t="str">
        <f>+VLOOKUP(U1103,Ходим!A:B,2,0)</f>
        <v>32006862180015</v>
      </c>
      <c r="D1103" s="128" t="str">
        <f>IFERROR(VLOOKUP($B:$B,[20]свод!$A:$AB,3,0)," ")</f>
        <v>Чуст тумани</v>
      </c>
      <c r="E1103" s="7" t="s">
        <v>2243</v>
      </c>
      <c r="F1103" s="7" t="s">
        <v>8633</v>
      </c>
      <c r="G1103" s="134">
        <f t="shared" si="130"/>
        <v>1</v>
      </c>
      <c r="H1103" s="134" t="str">
        <f t="shared" si="131"/>
        <v/>
      </c>
      <c r="I1103" s="7" t="s">
        <v>158</v>
      </c>
      <c r="J1103" s="7" t="s">
        <v>172</v>
      </c>
      <c r="K1103" s="7"/>
      <c r="L1103" s="7" t="s">
        <v>167</v>
      </c>
      <c r="M1103" s="7" t="s">
        <v>4929</v>
      </c>
      <c r="N1103" s="7" t="s">
        <v>170</v>
      </c>
      <c r="O1103" s="7" t="s">
        <v>162</v>
      </c>
      <c r="P1103" s="7" t="s">
        <v>6804</v>
      </c>
      <c r="Q1103" s="129">
        <v>46199</v>
      </c>
      <c r="R1103" s="130">
        <f t="shared" si="129"/>
        <v>46206</v>
      </c>
      <c r="S1103" s="131">
        <f t="shared" si="128"/>
        <v>7</v>
      </c>
      <c r="T1103" s="7" t="s">
        <v>178</v>
      </c>
      <c r="U1103" s="7" t="s">
        <v>347</v>
      </c>
      <c r="V1103" s="7"/>
      <c r="W1103" s="7">
        <v>344.29</v>
      </c>
      <c r="X1103" s="132">
        <f t="shared" si="126"/>
        <v>10</v>
      </c>
      <c r="Y1103" s="133"/>
      <c r="Z1103" s="133"/>
      <c r="AA1103" s="133"/>
    </row>
    <row r="1104" spans="1:27" hidden="1" x14ac:dyDescent="0.25">
      <c r="A1104" s="127">
        <v>1229</v>
      </c>
      <c r="B1104" s="128" t="str">
        <f t="shared" si="127"/>
        <v>NAMS</v>
      </c>
      <c r="C1104" s="128">
        <f>+VLOOKUP(U1104,Ходим!A:B,2,0)</f>
        <v>50510025960139</v>
      </c>
      <c r="D1104" s="128" t="str">
        <f>IFERROR(VLOOKUP($B:$B,[20]свод!$A:$AB,3,0)," ")</f>
        <v>Наманган шаҳар</v>
      </c>
      <c r="E1104" s="7" t="s">
        <v>2244</v>
      </c>
      <c r="F1104" s="7" t="s">
        <v>8634</v>
      </c>
      <c r="G1104" s="134">
        <f t="shared" si="130"/>
        <v>1</v>
      </c>
      <c r="H1104" s="134" t="str">
        <f t="shared" si="131"/>
        <v/>
      </c>
      <c r="I1104" s="7" t="s">
        <v>156</v>
      </c>
      <c r="J1104" s="7" t="s">
        <v>25</v>
      </c>
      <c r="K1104" s="7"/>
      <c r="L1104" s="7"/>
      <c r="M1104" s="7"/>
      <c r="N1104" s="7" t="s">
        <v>170</v>
      </c>
      <c r="O1104" s="7" t="s">
        <v>162</v>
      </c>
      <c r="P1104" s="7" t="s">
        <v>6804</v>
      </c>
      <c r="Q1104" s="129">
        <v>46199</v>
      </c>
      <c r="R1104" s="130">
        <f t="shared" si="129"/>
        <v>46206</v>
      </c>
      <c r="S1104" s="131">
        <f t="shared" si="128"/>
        <v>7</v>
      </c>
      <c r="T1104" s="7" t="s">
        <v>173</v>
      </c>
      <c r="U1104" s="7" t="s">
        <v>955</v>
      </c>
      <c r="V1104" s="7"/>
      <c r="W1104" s="7"/>
      <c r="X1104" s="132">
        <f t="shared" si="126"/>
        <v>10</v>
      </c>
      <c r="Y1104" s="133"/>
      <c r="Z1104" s="133"/>
      <c r="AA1104" s="133"/>
    </row>
    <row r="1105" spans="1:27" hidden="1" x14ac:dyDescent="0.25">
      <c r="A1105" s="127">
        <v>1230</v>
      </c>
      <c r="B1105" s="128" t="str">
        <f t="shared" si="127"/>
        <v>UCQT</v>
      </c>
      <c r="C1105" s="128" t="str">
        <f>+VLOOKUP(U1105,Ходим!A:B,2,0)</f>
        <v>42005872150022</v>
      </c>
      <c r="D1105" s="128" t="str">
        <f>IFERROR(VLOOKUP($B:$B,[20]свод!$A:$AB,3,0)," ")</f>
        <v>Учқўрғон тумани</v>
      </c>
      <c r="E1105" s="7" t="s">
        <v>2245</v>
      </c>
      <c r="F1105" s="7" t="s">
        <v>8635</v>
      </c>
      <c r="G1105" s="134">
        <f t="shared" si="130"/>
        <v>1</v>
      </c>
      <c r="H1105" s="134" t="str">
        <f t="shared" si="131"/>
        <v/>
      </c>
      <c r="I1105" s="7" t="s">
        <v>158</v>
      </c>
      <c r="J1105" s="7" t="s">
        <v>2</v>
      </c>
      <c r="K1105" s="7"/>
      <c r="L1105" s="7"/>
      <c r="M1105" s="7"/>
      <c r="N1105" s="7" t="s">
        <v>170</v>
      </c>
      <c r="O1105" s="7" t="s">
        <v>162</v>
      </c>
      <c r="P1105" s="7" t="s">
        <v>6805</v>
      </c>
      <c r="Q1105" s="129">
        <v>46199</v>
      </c>
      <c r="R1105" s="130">
        <f t="shared" si="129"/>
        <v>46205</v>
      </c>
      <c r="S1105" s="131">
        <f t="shared" si="128"/>
        <v>6</v>
      </c>
      <c r="T1105" s="7" t="s">
        <v>175</v>
      </c>
      <c r="U1105" s="7" t="s">
        <v>176</v>
      </c>
      <c r="V1105" s="7"/>
      <c r="W1105" s="7"/>
      <c r="X1105" s="132">
        <f t="shared" si="126"/>
        <v>10</v>
      </c>
      <c r="Y1105" s="133"/>
      <c r="Z1105" s="133"/>
      <c r="AA1105" s="133"/>
    </row>
    <row r="1106" spans="1:27" hidden="1" x14ac:dyDescent="0.25">
      <c r="A1106" s="127">
        <v>1231</v>
      </c>
      <c r="B1106" s="128" t="str">
        <f t="shared" si="127"/>
        <v>NAMS</v>
      </c>
      <c r="C1106" s="128" t="str">
        <f>+VLOOKUP(U1106,Ходим!A:B,2,0)</f>
        <v>51705025890024</v>
      </c>
      <c r="D1106" s="128" t="str">
        <f>IFERROR(VLOOKUP($B:$B,[20]свод!$A:$AB,3,0)," ")</f>
        <v>Наманган шаҳар</v>
      </c>
      <c r="E1106" s="7" t="s">
        <v>2246</v>
      </c>
      <c r="F1106" s="7" t="s">
        <v>8636</v>
      </c>
      <c r="G1106" s="134">
        <f t="shared" si="130"/>
        <v>1</v>
      </c>
      <c r="H1106" s="134" t="str">
        <f t="shared" si="131"/>
        <v/>
      </c>
      <c r="I1106" s="7" t="s">
        <v>156</v>
      </c>
      <c r="J1106" s="7" t="s">
        <v>25</v>
      </c>
      <c r="K1106" s="7"/>
      <c r="L1106" s="7" t="s">
        <v>167</v>
      </c>
      <c r="M1106" s="7" t="s">
        <v>4930</v>
      </c>
      <c r="N1106" s="7" t="s">
        <v>170</v>
      </c>
      <c r="O1106" s="7" t="s">
        <v>162</v>
      </c>
      <c r="P1106" s="7" t="s">
        <v>6806</v>
      </c>
      <c r="Q1106" s="129">
        <v>46199</v>
      </c>
      <c r="R1106" s="130">
        <f t="shared" si="129"/>
        <v>46212</v>
      </c>
      <c r="S1106" s="131">
        <f t="shared" si="128"/>
        <v>13</v>
      </c>
      <c r="T1106" s="7" t="s">
        <v>173</v>
      </c>
      <c r="U1106" s="7" t="s">
        <v>189</v>
      </c>
      <c r="V1106" s="7"/>
      <c r="W1106" s="7">
        <v>0</v>
      </c>
      <c r="X1106" s="132">
        <f t="shared" si="126"/>
        <v>10</v>
      </c>
      <c r="Y1106" s="133"/>
      <c r="Z1106" s="133"/>
      <c r="AA1106" s="133"/>
    </row>
    <row r="1107" spans="1:27" hidden="1" x14ac:dyDescent="0.25">
      <c r="A1107" s="127">
        <v>1232</v>
      </c>
      <c r="B1107" s="128" t="str">
        <f t="shared" si="127"/>
        <v>NAMT</v>
      </c>
      <c r="C1107" s="128" t="e">
        <f>+VLOOKUP(U1107,Ходим!A:B,2,0)</f>
        <v>#N/A</v>
      </c>
      <c r="D1107" s="128" t="str">
        <f>IFERROR(VLOOKUP($B:$B,[20]свод!$A:$AB,3,0)," ")</f>
        <v>Наманган тумани</v>
      </c>
      <c r="E1107" s="7" t="s">
        <v>2247</v>
      </c>
      <c r="F1107" s="7" t="s">
        <v>8637</v>
      </c>
      <c r="G1107" s="134">
        <f t="shared" si="130"/>
        <v>1</v>
      </c>
      <c r="H1107" s="134" t="str">
        <f t="shared" si="131"/>
        <v/>
      </c>
      <c r="I1107" s="7" t="s">
        <v>159</v>
      </c>
      <c r="J1107" s="7" t="s">
        <v>137</v>
      </c>
      <c r="K1107" s="7"/>
      <c r="L1107" s="7" t="s">
        <v>167</v>
      </c>
      <c r="M1107" s="7" t="s">
        <v>4931</v>
      </c>
      <c r="N1107" s="7" t="s">
        <v>410</v>
      </c>
      <c r="O1107" s="7" t="s">
        <v>163</v>
      </c>
      <c r="P1107" s="7" t="s">
        <v>6806</v>
      </c>
      <c r="Q1107" s="129">
        <v>46199</v>
      </c>
      <c r="R1107" s="130">
        <f t="shared" si="129"/>
        <v>46212</v>
      </c>
      <c r="S1107" s="131">
        <f t="shared" si="128"/>
        <v>13</v>
      </c>
      <c r="T1107" s="7"/>
      <c r="U1107" s="7"/>
      <c r="V1107" s="7"/>
      <c r="W1107" s="7">
        <v>222.86</v>
      </c>
      <c r="X1107" s="132">
        <f t="shared" si="126"/>
        <v>10</v>
      </c>
      <c r="Y1107" s="133"/>
      <c r="Z1107" s="133"/>
      <c r="AA1107" s="133"/>
    </row>
    <row r="1108" spans="1:27" hidden="1" x14ac:dyDescent="0.25">
      <c r="A1108" s="127">
        <v>1233</v>
      </c>
      <c r="B1108" s="128" t="str">
        <f t="shared" si="127"/>
        <v>CHUT</v>
      </c>
      <c r="C1108" s="128" t="str">
        <f>+VLOOKUP(U1108,Ходим!A:B,2,0)</f>
        <v>50309005970046</v>
      </c>
      <c r="D1108" s="128" t="str">
        <f>IFERROR(VLOOKUP($B:$B,[20]свод!$A:$AB,3,0)," ")</f>
        <v>Чуст тумани</v>
      </c>
      <c r="E1108" s="7" t="s">
        <v>2248</v>
      </c>
      <c r="F1108" s="7" t="s">
        <v>8638</v>
      </c>
      <c r="G1108" s="134" t="str">
        <f t="shared" si="130"/>
        <v/>
      </c>
      <c r="H1108" s="134">
        <f t="shared" si="131"/>
        <v>1</v>
      </c>
      <c r="I1108" s="7" t="s">
        <v>155</v>
      </c>
      <c r="J1108" s="7" t="s">
        <v>11</v>
      </c>
      <c r="K1108" s="7"/>
      <c r="L1108" s="7" t="s">
        <v>166</v>
      </c>
      <c r="M1108" s="7" t="s">
        <v>4932</v>
      </c>
      <c r="N1108" s="7" t="s">
        <v>410</v>
      </c>
      <c r="O1108" s="7" t="s">
        <v>161</v>
      </c>
      <c r="P1108" s="7" t="s">
        <v>6806</v>
      </c>
      <c r="Q1108" s="129">
        <v>46199</v>
      </c>
      <c r="R1108" s="130">
        <f t="shared" si="129"/>
        <v>46212</v>
      </c>
      <c r="S1108" s="131">
        <f t="shared" si="128"/>
        <v>13</v>
      </c>
      <c r="T1108" s="7" t="s">
        <v>178</v>
      </c>
      <c r="U1108" s="7" t="s">
        <v>290</v>
      </c>
      <c r="V1108" s="7"/>
      <c r="W1108" s="7">
        <v>0</v>
      </c>
      <c r="X1108" s="132">
        <f t="shared" si="126"/>
        <v>10</v>
      </c>
      <c r="Y1108" s="133"/>
      <c r="Z1108" s="133"/>
      <c r="AA1108" s="133"/>
    </row>
    <row r="1109" spans="1:27" hidden="1" x14ac:dyDescent="0.25">
      <c r="A1109" s="127">
        <v>1234</v>
      </c>
      <c r="B1109" s="128" t="str">
        <f t="shared" si="127"/>
        <v>NAMT</v>
      </c>
      <c r="C1109" s="128" t="e">
        <f>+VLOOKUP(U1109,Ходим!A:B,2,0)</f>
        <v>#N/A</v>
      </c>
      <c r="D1109" s="128" t="str">
        <f>IFERROR(VLOOKUP($B:$B,[20]свод!$A:$AB,3,0)," ")</f>
        <v>Наманган тумани</v>
      </c>
      <c r="E1109" s="7" t="s">
        <v>2249</v>
      </c>
      <c r="F1109" s="7" t="s">
        <v>8639</v>
      </c>
      <c r="G1109" s="134">
        <f t="shared" si="130"/>
        <v>1</v>
      </c>
      <c r="H1109" s="134" t="str">
        <f t="shared" si="131"/>
        <v/>
      </c>
      <c r="I1109" s="7" t="s">
        <v>159</v>
      </c>
      <c r="J1109" s="7" t="s">
        <v>137</v>
      </c>
      <c r="K1109" s="7"/>
      <c r="L1109" s="7" t="s">
        <v>167</v>
      </c>
      <c r="M1109" s="7" t="s">
        <v>4933</v>
      </c>
      <c r="N1109" s="7" t="s">
        <v>410</v>
      </c>
      <c r="O1109" s="7" t="s">
        <v>163</v>
      </c>
      <c r="P1109" s="7" t="s">
        <v>6806</v>
      </c>
      <c r="Q1109" s="129">
        <v>46199</v>
      </c>
      <c r="R1109" s="130">
        <f t="shared" si="129"/>
        <v>46212</v>
      </c>
      <c r="S1109" s="131">
        <f t="shared" si="128"/>
        <v>13</v>
      </c>
      <c r="T1109" s="7"/>
      <c r="U1109" s="7"/>
      <c r="V1109" s="7"/>
      <c r="W1109" s="7">
        <v>222.86</v>
      </c>
      <c r="X1109" s="132">
        <f t="shared" si="126"/>
        <v>10</v>
      </c>
      <c r="Y1109" s="133"/>
      <c r="Z1109" s="133"/>
      <c r="AA1109" s="133"/>
    </row>
    <row r="1110" spans="1:27" hidden="1" x14ac:dyDescent="0.25">
      <c r="A1110" s="127">
        <v>1235</v>
      </c>
      <c r="B1110" s="128" t="str">
        <f t="shared" si="127"/>
        <v>YGQT</v>
      </c>
      <c r="C1110" s="128" t="e">
        <f>+VLOOKUP(U1110,Ходим!A:B,2,0)</f>
        <v>#N/A</v>
      </c>
      <c r="D1110" s="128" t="str">
        <f>IFERROR(VLOOKUP($B:$B,[20]свод!$A:$AB,3,0)," ")</f>
        <v>Янгиқўрғон тумани</v>
      </c>
      <c r="E1110" s="7" t="s">
        <v>2250</v>
      </c>
      <c r="F1110" s="7" t="s">
        <v>8640</v>
      </c>
      <c r="G1110" s="134" t="str">
        <f t="shared" si="130"/>
        <v/>
      </c>
      <c r="H1110" s="134">
        <f t="shared" si="131"/>
        <v>1</v>
      </c>
      <c r="I1110" s="7" t="s">
        <v>155</v>
      </c>
      <c r="J1110" s="7" t="s">
        <v>21</v>
      </c>
      <c r="K1110" s="7"/>
      <c r="L1110" s="7" t="s">
        <v>168</v>
      </c>
      <c r="M1110" s="7" t="s">
        <v>4934</v>
      </c>
      <c r="N1110" s="7" t="s">
        <v>410</v>
      </c>
      <c r="O1110" s="7" t="s">
        <v>165</v>
      </c>
      <c r="P1110" s="7" t="s">
        <v>6806</v>
      </c>
      <c r="Q1110" s="129">
        <v>46199</v>
      </c>
      <c r="R1110" s="130">
        <f t="shared" si="129"/>
        <v>46219</v>
      </c>
      <c r="S1110" s="131">
        <f t="shared" si="128"/>
        <v>20</v>
      </c>
      <c r="T1110" s="7" t="s">
        <v>182</v>
      </c>
      <c r="U1110" s="7"/>
      <c r="V1110" s="7"/>
      <c r="W1110" s="7">
        <v>0</v>
      </c>
      <c r="X1110" s="132">
        <f t="shared" si="126"/>
        <v>15</v>
      </c>
      <c r="Y1110" s="133"/>
      <c r="Z1110" s="133"/>
      <c r="AA1110" s="133"/>
    </row>
    <row r="1111" spans="1:27" hidden="1" x14ac:dyDescent="0.25">
      <c r="A1111" s="127">
        <v>1236</v>
      </c>
      <c r="B1111" s="128" t="str">
        <f t="shared" si="127"/>
        <v>NAMT</v>
      </c>
      <c r="C1111" s="128" t="e">
        <f>+VLOOKUP(U1111,Ходим!A:B,2,0)</f>
        <v>#N/A</v>
      </c>
      <c r="D1111" s="128" t="str">
        <f>IFERROR(VLOOKUP($B:$B,[20]свод!$A:$AB,3,0)," ")</f>
        <v>Наманган тумани</v>
      </c>
      <c r="E1111" s="7" t="s">
        <v>2251</v>
      </c>
      <c r="F1111" s="7" t="s">
        <v>8641</v>
      </c>
      <c r="G1111" s="134">
        <f t="shared" si="130"/>
        <v>1</v>
      </c>
      <c r="H1111" s="134" t="str">
        <f t="shared" si="131"/>
        <v/>
      </c>
      <c r="I1111" s="7" t="s">
        <v>159</v>
      </c>
      <c r="J1111" s="7" t="s">
        <v>137</v>
      </c>
      <c r="K1111" s="7"/>
      <c r="L1111" s="7" t="s">
        <v>167</v>
      </c>
      <c r="M1111" s="7" t="s">
        <v>4935</v>
      </c>
      <c r="N1111" s="7" t="s">
        <v>410</v>
      </c>
      <c r="O1111" s="7" t="s">
        <v>163</v>
      </c>
      <c r="P1111" s="7" t="s">
        <v>6806</v>
      </c>
      <c r="Q1111" s="129">
        <v>46199</v>
      </c>
      <c r="R1111" s="130">
        <f t="shared" si="129"/>
        <v>46212</v>
      </c>
      <c r="S1111" s="131">
        <f t="shared" si="128"/>
        <v>13</v>
      </c>
      <c r="T1111" s="7"/>
      <c r="U1111" s="7"/>
      <c r="V1111" s="7"/>
      <c r="W1111" s="7">
        <v>222.86</v>
      </c>
      <c r="X1111" s="132">
        <f t="shared" si="126"/>
        <v>10</v>
      </c>
      <c r="Y1111" s="133"/>
      <c r="Z1111" s="133"/>
      <c r="AA1111" s="133"/>
    </row>
    <row r="1112" spans="1:27" hidden="1" x14ac:dyDescent="0.25">
      <c r="A1112" s="127">
        <v>1237</v>
      </c>
      <c r="B1112" s="128" t="str">
        <f t="shared" si="127"/>
        <v>CHOT</v>
      </c>
      <c r="C1112" s="128" t="str">
        <f>+VLOOKUP(U1112,Ходим!A:B,2,0)</f>
        <v>30308922100022</v>
      </c>
      <c r="D1112" s="128" t="str">
        <f>IFERROR(VLOOKUP($B:$B,[20]свод!$A:$AB,3,0)," ")</f>
        <v>Чортоқ тумани</v>
      </c>
      <c r="E1112" s="7" t="s">
        <v>2252</v>
      </c>
      <c r="F1112" s="7" t="s">
        <v>8642</v>
      </c>
      <c r="G1112" s="134" t="str">
        <f t="shared" si="130"/>
        <v/>
      </c>
      <c r="H1112" s="134">
        <f t="shared" si="131"/>
        <v>1</v>
      </c>
      <c r="I1112" s="7" t="s">
        <v>157</v>
      </c>
      <c r="J1112" s="7" t="s">
        <v>172</v>
      </c>
      <c r="K1112" s="7"/>
      <c r="L1112" s="7"/>
      <c r="M1112" s="7"/>
      <c r="N1112" s="7" t="s">
        <v>170</v>
      </c>
      <c r="O1112" s="7" t="s">
        <v>161</v>
      </c>
      <c r="P1112" s="7" t="s">
        <v>6806</v>
      </c>
      <c r="Q1112" s="129">
        <v>46199</v>
      </c>
      <c r="R1112" s="130">
        <f t="shared" si="129"/>
        <v>46212</v>
      </c>
      <c r="S1112" s="131">
        <f t="shared" si="128"/>
        <v>13</v>
      </c>
      <c r="T1112" s="7" t="s">
        <v>10635</v>
      </c>
      <c r="U1112" s="7" t="s">
        <v>190</v>
      </c>
      <c r="V1112" s="7"/>
      <c r="W1112" s="7"/>
      <c r="X1112" s="132">
        <f t="shared" si="126"/>
        <v>10</v>
      </c>
      <c r="Y1112" s="133"/>
      <c r="Z1112" s="133"/>
      <c r="AA1112" s="133"/>
    </row>
    <row r="1113" spans="1:27" hidden="1" x14ac:dyDescent="0.25">
      <c r="A1113" s="127">
        <v>1238</v>
      </c>
      <c r="B1113" s="128" t="str">
        <f t="shared" si="127"/>
        <v>POPT</v>
      </c>
      <c r="C1113" s="128" t="str">
        <f>+VLOOKUP(U1113,Ходим!A:B,2,0)</f>
        <v>31103842180041</v>
      </c>
      <c r="D1113" s="128" t="str">
        <f>IFERROR(VLOOKUP($B:$B,[20]свод!$A:$AB,3,0)," ")</f>
        <v>Поп тумани</v>
      </c>
      <c r="E1113" s="7" t="s">
        <v>2253</v>
      </c>
      <c r="F1113" s="7" t="s">
        <v>8643</v>
      </c>
      <c r="G1113" s="134" t="str">
        <f t="shared" si="130"/>
        <v/>
      </c>
      <c r="H1113" s="134">
        <f t="shared" si="131"/>
        <v>1</v>
      </c>
      <c r="I1113" s="7" t="s">
        <v>157</v>
      </c>
      <c r="J1113" s="7" t="s">
        <v>172</v>
      </c>
      <c r="K1113" s="7"/>
      <c r="L1113" s="7" t="s">
        <v>166</v>
      </c>
      <c r="M1113" s="7" t="s">
        <v>4936</v>
      </c>
      <c r="N1113" s="7" t="s">
        <v>170</v>
      </c>
      <c r="O1113" s="7" t="s">
        <v>161</v>
      </c>
      <c r="P1113" s="7" t="s">
        <v>6807</v>
      </c>
      <c r="Q1113" s="129">
        <v>46199</v>
      </c>
      <c r="R1113" s="130">
        <f t="shared" si="129"/>
        <v>46206</v>
      </c>
      <c r="S1113" s="131">
        <f t="shared" si="128"/>
        <v>7</v>
      </c>
      <c r="T1113" s="7" t="s">
        <v>240</v>
      </c>
      <c r="U1113" s="7" t="s">
        <v>337</v>
      </c>
      <c r="V1113" s="7"/>
      <c r="W1113" s="7">
        <v>0</v>
      </c>
      <c r="X1113" s="132">
        <f t="shared" si="126"/>
        <v>10</v>
      </c>
      <c r="Y1113" s="133"/>
      <c r="Z1113" s="133"/>
      <c r="AA1113" s="133"/>
    </row>
    <row r="1114" spans="1:27" hidden="1" x14ac:dyDescent="0.25">
      <c r="A1114" s="127">
        <v>1239</v>
      </c>
      <c r="B1114" s="128" t="str">
        <f t="shared" si="127"/>
        <v>NAMS</v>
      </c>
      <c r="C1114" s="128" t="str">
        <f>+VLOOKUP(U1114,Ходим!A:B,2,0)</f>
        <v>52710005960025</v>
      </c>
      <c r="D1114" s="128" t="str">
        <f>IFERROR(VLOOKUP($B:$B,[20]свод!$A:$AB,3,0)," ")</f>
        <v>Наманган шаҳар</v>
      </c>
      <c r="E1114" s="7" t="s">
        <v>2254</v>
      </c>
      <c r="F1114" s="7" t="s">
        <v>8644</v>
      </c>
      <c r="G1114" s="134">
        <f t="shared" si="130"/>
        <v>1</v>
      </c>
      <c r="H1114" s="134" t="str">
        <f t="shared" si="131"/>
        <v/>
      </c>
      <c r="I1114" s="7" t="s">
        <v>156</v>
      </c>
      <c r="J1114" s="7" t="s">
        <v>25</v>
      </c>
      <c r="K1114" s="7"/>
      <c r="L1114" s="7"/>
      <c r="M1114" s="7"/>
      <c r="N1114" s="7" t="s">
        <v>170</v>
      </c>
      <c r="O1114" s="7" t="s">
        <v>162</v>
      </c>
      <c r="P1114" s="7" t="s">
        <v>6808</v>
      </c>
      <c r="Q1114" s="129">
        <v>46199</v>
      </c>
      <c r="R1114" s="130">
        <f t="shared" si="129"/>
        <v>46212</v>
      </c>
      <c r="S1114" s="131">
        <f t="shared" si="128"/>
        <v>13</v>
      </c>
      <c r="T1114" s="7" t="s">
        <v>173</v>
      </c>
      <c r="U1114" s="7" t="s">
        <v>274</v>
      </c>
      <c r="V1114" s="7"/>
      <c r="W1114" s="7"/>
      <c r="X1114" s="132">
        <f t="shared" si="126"/>
        <v>10</v>
      </c>
      <c r="Y1114" s="133"/>
      <c r="Z1114" s="133"/>
      <c r="AA1114" s="133"/>
    </row>
    <row r="1115" spans="1:27" hidden="1" x14ac:dyDescent="0.25">
      <c r="A1115" s="127">
        <v>1240</v>
      </c>
      <c r="B1115" s="128" t="str">
        <f t="shared" si="127"/>
        <v>NAMT</v>
      </c>
      <c r="C1115" s="128" t="str">
        <f>+VLOOKUP(U1115,Ходим!A:B,2,0)</f>
        <v>32204892090133</v>
      </c>
      <c r="D1115" s="128" t="str">
        <f>IFERROR(VLOOKUP($B:$B,[20]свод!$A:$AB,3,0)," ")</f>
        <v>Наманган тумани</v>
      </c>
      <c r="E1115" s="7" t="s">
        <v>2255</v>
      </c>
      <c r="F1115" s="7" t="s">
        <v>8645</v>
      </c>
      <c r="G1115" s="134">
        <f t="shared" si="130"/>
        <v>1</v>
      </c>
      <c r="H1115" s="134" t="str">
        <f t="shared" si="131"/>
        <v/>
      </c>
      <c r="I1115" s="7" t="s">
        <v>158</v>
      </c>
      <c r="J1115" s="7" t="s">
        <v>2</v>
      </c>
      <c r="K1115" s="7"/>
      <c r="L1115" s="7"/>
      <c r="M1115" s="7"/>
      <c r="N1115" s="7" t="s">
        <v>410</v>
      </c>
      <c r="O1115" s="7" t="s">
        <v>162</v>
      </c>
      <c r="P1115" s="7" t="s">
        <v>6808</v>
      </c>
      <c r="Q1115" s="129">
        <v>46199</v>
      </c>
      <c r="R1115" s="130">
        <f t="shared" si="129"/>
        <v>46212</v>
      </c>
      <c r="S1115" s="131">
        <f t="shared" si="128"/>
        <v>13</v>
      </c>
      <c r="T1115" s="7" t="s">
        <v>193</v>
      </c>
      <c r="U1115" s="7" t="s">
        <v>198</v>
      </c>
      <c r="V1115" s="7"/>
      <c r="W1115" s="7"/>
      <c r="X1115" s="132">
        <f t="shared" si="126"/>
        <v>10</v>
      </c>
      <c r="Y1115" s="133"/>
      <c r="Z1115" s="133"/>
      <c r="AA1115" s="133"/>
    </row>
    <row r="1116" spans="1:27" hidden="1" x14ac:dyDescent="0.25">
      <c r="A1116" s="127">
        <v>1241</v>
      </c>
      <c r="B1116" s="128" t="str">
        <f t="shared" si="127"/>
        <v>NAMT</v>
      </c>
      <c r="C1116" s="128" t="e">
        <f>+VLOOKUP(U1116,Ходим!A:B,2,0)</f>
        <v>#N/A</v>
      </c>
      <c r="D1116" s="128" t="str">
        <f>IFERROR(VLOOKUP($B:$B,[20]свод!$A:$AB,3,0)," ")</f>
        <v>Наманган тумани</v>
      </c>
      <c r="E1116" s="7" t="s">
        <v>2256</v>
      </c>
      <c r="F1116" s="7" t="s">
        <v>8646</v>
      </c>
      <c r="G1116" s="134">
        <f t="shared" si="130"/>
        <v>1</v>
      </c>
      <c r="H1116" s="134" t="str">
        <f t="shared" si="131"/>
        <v/>
      </c>
      <c r="I1116" s="7" t="s">
        <v>159</v>
      </c>
      <c r="J1116" s="7" t="s">
        <v>137</v>
      </c>
      <c r="K1116" s="7"/>
      <c r="L1116" s="7" t="s">
        <v>167</v>
      </c>
      <c r="M1116" s="7" t="s">
        <v>4937</v>
      </c>
      <c r="N1116" s="7" t="s">
        <v>410</v>
      </c>
      <c r="O1116" s="7" t="s">
        <v>163</v>
      </c>
      <c r="P1116" s="7" t="s">
        <v>6808</v>
      </c>
      <c r="Q1116" s="129">
        <v>46199</v>
      </c>
      <c r="R1116" s="130">
        <f t="shared" si="129"/>
        <v>46212</v>
      </c>
      <c r="S1116" s="131">
        <f t="shared" si="128"/>
        <v>13</v>
      </c>
      <c r="T1116" s="7"/>
      <c r="U1116" s="7"/>
      <c r="V1116" s="7"/>
      <c r="W1116" s="7">
        <v>222.86</v>
      </c>
      <c r="X1116" s="132">
        <f t="shared" si="126"/>
        <v>10</v>
      </c>
      <c r="Y1116" s="133"/>
      <c r="Z1116" s="133"/>
      <c r="AA1116" s="133"/>
    </row>
    <row r="1117" spans="1:27" hidden="1" x14ac:dyDescent="0.25">
      <c r="A1117" s="127">
        <v>1242</v>
      </c>
      <c r="B1117" s="128" t="str">
        <f t="shared" si="127"/>
        <v>NAMT</v>
      </c>
      <c r="C1117" s="128" t="e">
        <f>+VLOOKUP(U1117,Ходим!A:B,2,0)</f>
        <v>#N/A</v>
      </c>
      <c r="D1117" s="128" t="str">
        <f>IFERROR(VLOOKUP($B:$B,[20]свод!$A:$AB,3,0)," ")</f>
        <v>Наманган тумани</v>
      </c>
      <c r="E1117" s="7" t="s">
        <v>2257</v>
      </c>
      <c r="F1117" s="7" t="s">
        <v>8647</v>
      </c>
      <c r="G1117" s="134">
        <f t="shared" si="130"/>
        <v>1</v>
      </c>
      <c r="H1117" s="134" t="str">
        <f t="shared" si="131"/>
        <v/>
      </c>
      <c r="I1117" s="7" t="s">
        <v>159</v>
      </c>
      <c r="J1117" s="7" t="s">
        <v>137</v>
      </c>
      <c r="K1117" s="7"/>
      <c r="L1117" s="7" t="s">
        <v>167</v>
      </c>
      <c r="M1117" s="7" t="s">
        <v>4938</v>
      </c>
      <c r="N1117" s="7" t="s">
        <v>410</v>
      </c>
      <c r="O1117" s="7" t="s">
        <v>163</v>
      </c>
      <c r="P1117" s="7" t="s">
        <v>6808</v>
      </c>
      <c r="Q1117" s="129">
        <v>46199</v>
      </c>
      <c r="R1117" s="130">
        <f t="shared" si="129"/>
        <v>46212</v>
      </c>
      <c r="S1117" s="131">
        <f t="shared" si="128"/>
        <v>13</v>
      </c>
      <c r="T1117" s="7"/>
      <c r="U1117" s="7"/>
      <c r="V1117" s="7"/>
      <c r="W1117" s="7">
        <v>222.86</v>
      </c>
      <c r="X1117" s="132">
        <f t="shared" ref="X1117:X1170" si="132">IF(N1117="Kadastr muhandisi",3,
IF(N1117="UZKAD",5,
IF(V1117="FREE",5,
IF(I1117="Registratsiya (tashqi - UZKAD da bor)",1,
IF(I1117="Avtoyo'l va suv xo'jaligi obyektining kadastr pasportini shakllantirish va ro'yxatga olish",7,
IF(I1117="Notarius uchun ma'lumotnoma (uz)",1,
IF(I1117="Qurilishi tugallangan ko'chmas mulkni foydalanishga qabul qilish",10,
IF(OR(I1117="Turar joy obyektning kadastr pasportini shakllantirish va davlat ro'yxatidan o'tkazish",I1117="Turar kompozit"),
IF(L1117="Turar yer maydoni",7,10),
IF(OR(I1117="Noturar obyektning kadastr pasportini shakllantirish va davlat ro'yxatidan o'tkazish",I1117="Noturar kompozit"),
IF(O1117="Ko‘p yillik daraxtlar xizmati",15,
IF(OR(L1117="Noturar yer maydoni",L1117="Davlat tashkilotlaridan ijaraga olingan yer uchastkasi"),7,
IF(W1117&lt;100,10,IF(W1117&lt;=1000,12,IF(W1117&lt;=5000,17,IF(W1117&lt;=15000,22,IF(W1117&lt;=50000,28,37))))))),
IF(I1117="Umumiy foydalanishdagi ko'chmas mulk qismini yaratish",
IF(IF(TRIM(L1117)="",IF(OR(O1117="Turar joy xizmati",O1117="Yakka tartibdagi turar joy"),"Turar","Noturar"),IF(OR(L1117="Yakka tartibdagi turar joy",L1117="Turar joy xizmati"),"Turar","Noturar"))="Turar",
10,IF(W1117&lt;100,10,IF(W1117&lt;=1000,12,IF(W1117&lt;=5000,17,IF(W1117&lt;=15000,22,IF(W1117&lt;=50000,28,37)))))),
0))))))))))</f>
        <v>10</v>
      </c>
      <c r="Y1117" s="133"/>
      <c r="Z1117" s="133"/>
      <c r="AA1117" s="133"/>
    </row>
    <row r="1118" spans="1:27" hidden="1" x14ac:dyDescent="0.25">
      <c r="A1118" s="127">
        <v>1243</v>
      </c>
      <c r="B1118" s="128" t="str">
        <f t="shared" ref="B1118:B1171" si="133">LEFT(E1118,4)</f>
        <v>NAMT</v>
      </c>
      <c r="C1118" s="128" t="e">
        <f>+VLOOKUP(U1118,Ходим!A:B,2,0)</f>
        <v>#N/A</v>
      </c>
      <c r="D1118" s="128" t="str">
        <f>IFERROR(VLOOKUP($B:$B,[20]свод!$A:$AB,3,0)," ")</f>
        <v>Наманган тумани</v>
      </c>
      <c r="E1118" s="7" t="s">
        <v>2258</v>
      </c>
      <c r="F1118" s="7" t="s">
        <v>8648</v>
      </c>
      <c r="G1118" s="134">
        <f t="shared" si="130"/>
        <v>1</v>
      </c>
      <c r="H1118" s="134" t="str">
        <f t="shared" si="131"/>
        <v/>
      </c>
      <c r="I1118" s="7" t="s">
        <v>159</v>
      </c>
      <c r="J1118" s="7" t="s">
        <v>137</v>
      </c>
      <c r="K1118" s="7"/>
      <c r="L1118" s="7" t="s">
        <v>167</v>
      </c>
      <c r="M1118" s="7" t="s">
        <v>4939</v>
      </c>
      <c r="N1118" s="7" t="s">
        <v>170</v>
      </c>
      <c r="O1118" s="7" t="s">
        <v>163</v>
      </c>
      <c r="P1118" s="7" t="s">
        <v>6808</v>
      </c>
      <c r="Q1118" s="129">
        <v>46199</v>
      </c>
      <c r="R1118" s="130">
        <f t="shared" si="129"/>
        <v>46212</v>
      </c>
      <c r="S1118" s="131">
        <f t="shared" ref="S1118:S1171" si="134">R1118-Q1118</f>
        <v>13</v>
      </c>
      <c r="T1118" s="7"/>
      <c r="U1118" s="7"/>
      <c r="V1118" s="7"/>
      <c r="W1118" s="7">
        <v>246.99</v>
      </c>
      <c r="X1118" s="132">
        <f t="shared" si="132"/>
        <v>10</v>
      </c>
      <c r="Y1118" s="133"/>
      <c r="Z1118" s="133"/>
      <c r="AA1118" s="133"/>
    </row>
    <row r="1119" spans="1:27" hidden="1" x14ac:dyDescent="0.25">
      <c r="A1119" s="127">
        <v>1244</v>
      </c>
      <c r="B1119" s="128" t="str">
        <f t="shared" si="133"/>
        <v>NAMS</v>
      </c>
      <c r="C1119" s="128" t="str">
        <f>+VLOOKUP(U1119,Ходим!A:B,2,0)</f>
        <v>52710005960025</v>
      </c>
      <c r="D1119" s="128" t="str">
        <f>IFERROR(VLOOKUP($B:$B,[20]свод!$A:$AB,3,0)," ")</f>
        <v>Наманган шаҳар</v>
      </c>
      <c r="E1119" s="7" t="s">
        <v>2259</v>
      </c>
      <c r="F1119" s="7" t="s">
        <v>8649</v>
      </c>
      <c r="G1119" s="134">
        <f t="shared" si="130"/>
        <v>1</v>
      </c>
      <c r="H1119" s="134" t="str">
        <f t="shared" si="131"/>
        <v/>
      </c>
      <c r="I1119" s="7" t="s">
        <v>158</v>
      </c>
      <c r="J1119" s="7" t="s">
        <v>2</v>
      </c>
      <c r="K1119" s="7"/>
      <c r="L1119" s="7"/>
      <c r="M1119" s="7"/>
      <c r="N1119" s="7" t="s">
        <v>170</v>
      </c>
      <c r="O1119" s="7" t="s">
        <v>162</v>
      </c>
      <c r="P1119" s="7" t="s">
        <v>6809</v>
      </c>
      <c r="Q1119" s="129">
        <v>46199</v>
      </c>
      <c r="R1119" s="130">
        <f t="shared" si="129"/>
        <v>46206</v>
      </c>
      <c r="S1119" s="131">
        <f t="shared" si="134"/>
        <v>7</v>
      </c>
      <c r="T1119" s="7" t="s">
        <v>173</v>
      </c>
      <c r="U1119" s="7" t="s">
        <v>274</v>
      </c>
      <c r="V1119" s="7"/>
      <c r="W1119" s="7"/>
      <c r="X1119" s="132">
        <f t="shared" si="132"/>
        <v>10</v>
      </c>
      <c r="Y1119" s="133"/>
      <c r="Z1119" s="133"/>
      <c r="AA1119" s="133"/>
    </row>
    <row r="1120" spans="1:27" hidden="1" x14ac:dyDescent="0.25">
      <c r="A1120" s="127">
        <v>1245</v>
      </c>
      <c r="B1120" s="128" t="str">
        <f t="shared" si="133"/>
        <v>POPT</v>
      </c>
      <c r="C1120" s="128" t="str">
        <f>+VLOOKUP(U1120,Ходим!A:B,2,0)</f>
        <v>32307772120077</v>
      </c>
      <c r="D1120" s="128" t="str">
        <f>IFERROR(VLOOKUP($B:$B,[20]свод!$A:$AB,3,0)," ")</f>
        <v>Поп тумани</v>
      </c>
      <c r="E1120" s="7" t="s">
        <v>2260</v>
      </c>
      <c r="F1120" s="7" t="s">
        <v>8650</v>
      </c>
      <c r="G1120" s="134">
        <f t="shared" si="130"/>
        <v>1</v>
      </c>
      <c r="H1120" s="134" t="str">
        <f t="shared" si="131"/>
        <v/>
      </c>
      <c r="I1120" s="7" t="s">
        <v>158</v>
      </c>
      <c r="J1120" s="7" t="s">
        <v>2</v>
      </c>
      <c r="K1120" s="7"/>
      <c r="L1120" s="7" t="s">
        <v>167</v>
      </c>
      <c r="M1120" s="7" t="s">
        <v>385</v>
      </c>
      <c r="N1120" s="7" t="s">
        <v>410</v>
      </c>
      <c r="O1120" s="7" t="s">
        <v>162</v>
      </c>
      <c r="P1120" s="7" t="s">
        <v>6809</v>
      </c>
      <c r="Q1120" s="129">
        <v>46199</v>
      </c>
      <c r="R1120" s="130">
        <f t="shared" si="129"/>
        <v>46206</v>
      </c>
      <c r="S1120" s="131">
        <f t="shared" si="134"/>
        <v>7</v>
      </c>
      <c r="T1120" s="7" t="s">
        <v>240</v>
      </c>
      <c r="U1120" s="7" t="s">
        <v>253</v>
      </c>
      <c r="V1120" s="7"/>
      <c r="W1120" s="7">
        <v>0</v>
      </c>
      <c r="X1120" s="132">
        <f t="shared" si="132"/>
        <v>10</v>
      </c>
      <c r="Y1120" s="133"/>
      <c r="Z1120" s="133"/>
      <c r="AA1120" s="133"/>
    </row>
    <row r="1121" spans="1:27" hidden="1" x14ac:dyDescent="0.25">
      <c r="A1121" s="127">
        <v>1246</v>
      </c>
      <c r="B1121" s="128" t="str">
        <f t="shared" si="133"/>
        <v>UYCT</v>
      </c>
      <c r="C1121" s="128" t="str">
        <f>+VLOOKUP(U1121,Ходим!A:B,2,0)</f>
        <v>31004952140036</v>
      </c>
      <c r="D1121" s="128" t="str">
        <f>IFERROR(VLOOKUP($B:$B,[20]свод!$A:$AB,3,0)," ")</f>
        <v>Уйчи тумани</v>
      </c>
      <c r="E1121" s="7" t="s">
        <v>2261</v>
      </c>
      <c r="F1121" s="7" t="s">
        <v>8651</v>
      </c>
      <c r="G1121" s="134">
        <f t="shared" si="130"/>
        <v>1</v>
      </c>
      <c r="H1121" s="134" t="str">
        <f t="shared" si="131"/>
        <v/>
      </c>
      <c r="I1121" s="7" t="s">
        <v>158</v>
      </c>
      <c r="J1121" s="7" t="s">
        <v>172</v>
      </c>
      <c r="K1121" s="7"/>
      <c r="L1121" s="7" t="s">
        <v>167</v>
      </c>
      <c r="M1121" s="7" t="s">
        <v>4940</v>
      </c>
      <c r="N1121" s="7" t="s">
        <v>170</v>
      </c>
      <c r="O1121" s="7" t="s">
        <v>162</v>
      </c>
      <c r="P1121" s="7" t="s">
        <v>6809</v>
      </c>
      <c r="Q1121" s="129">
        <v>46199</v>
      </c>
      <c r="R1121" s="130">
        <f t="shared" si="129"/>
        <v>46206</v>
      </c>
      <c r="S1121" s="131">
        <f t="shared" si="134"/>
        <v>7</v>
      </c>
      <c r="T1121" s="7" t="s">
        <v>379</v>
      </c>
      <c r="U1121" s="7" t="s">
        <v>331</v>
      </c>
      <c r="V1121" s="7"/>
      <c r="W1121" s="7">
        <v>28</v>
      </c>
      <c r="X1121" s="132">
        <f t="shared" si="132"/>
        <v>10</v>
      </c>
      <c r="Y1121" s="133"/>
      <c r="Z1121" s="133"/>
      <c r="AA1121" s="133"/>
    </row>
    <row r="1122" spans="1:27" hidden="1" x14ac:dyDescent="0.25">
      <c r="A1122" s="127">
        <v>1247</v>
      </c>
      <c r="B1122" s="128" t="str">
        <f t="shared" si="133"/>
        <v>UYCT</v>
      </c>
      <c r="C1122" s="128" t="str">
        <f>+VLOOKUP(U1122,Ходим!A:B,2,0)</f>
        <v>52811025930077</v>
      </c>
      <c r="D1122" s="128" t="str">
        <f>IFERROR(VLOOKUP($B:$B,[20]свод!$A:$AB,3,0)," ")</f>
        <v>Уйчи тумани</v>
      </c>
      <c r="E1122" s="7" t="s">
        <v>2262</v>
      </c>
      <c r="F1122" s="7" t="s">
        <v>8652</v>
      </c>
      <c r="G1122" s="134" t="str">
        <f t="shared" si="130"/>
        <v/>
      </c>
      <c r="H1122" s="134">
        <f t="shared" si="131"/>
        <v>1</v>
      </c>
      <c r="I1122" s="7" t="s">
        <v>157</v>
      </c>
      <c r="J1122" s="7" t="s">
        <v>35</v>
      </c>
      <c r="K1122" s="7"/>
      <c r="L1122" s="7" t="s">
        <v>166</v>
      </c>
      <c r="M1122" s="7" t="s">
        <v>4941</v>
      </c>
      <c r="N1122" s="7" t="s">
        <v>170</v>
      </c>
      <c r="O1122" s="7" t="s">
        <v>161</v>
      </c>
      <c r="P1122" s="7" t="s">
        <v>6809</v>
      </c>
      <c r="Q1122" s="129">
        <v>46199</v>
      </c>
      <c r="R1122" s="130">
        <f t="shared" si="129"/>
        <v>46206</v>
      </c>
      <c r="S1122" s="131">
        <f t="shared" si="134"/>
        <v>7</v>
      </c>
      <c r="T1122" s="7" t="s">
        <v>379</v>
      </c>
      <c r="U1122" s="7" t="s">
        <v>356</v>
      </c>
      <c r="V1122" s="7"/>
      <c r="W1122" s="7">
        <v>0</v>
      </c>
      <c r="X1122" s="132">
        <f t="shared" si="132"/>
        <v>10</v>
      </c>
      <c r="Y1122" s="133"/>
      <c r="Z1122" s="133"/>
      <c r="AA1122" s="133"/>
    </row>
    <row r="1123" spans="1:27" hidden="1" x14ac:dyDescent="0.25">
      <c r="A1123" s="127">
        <v>1248</v>
      </c>
      <c r="B1123" s="128" t="str">
        <f t="shared" si="133"/>
        <v>NAMT</v>
      </c>
      <c r="C1123" s="128">
        <f>+VLOOKUP(U1123,Ходим!A:B,2,0)</f>
        <v>52908045880018</v>
      </c>
      <c r="D1123" s="128" t="str">
        <f>IFERROR(VLOOKUP($B:$B,[20]свод!$A:$AB,3,0)," ")</f>
        <v>Наманган тумани</v>
      </c>
      <c r="E1123" s="7" t="s">
        <v>2263</v>
      </c>
      <c r="F1123" s="7" t="s">
        <v>8653</v>
      </c>
      <c r="G1123" s="134">
        <f t="shared" si="130"/>
        <v>1</v>
      </c>
      <c r="H1123" s="134" t="str">
        <f t="shared" si="131"/>
        <v/>
      </c>
      <c r="I1123" s="7" t="s">
        <v>158</v>
      </c>
      <c r="J1123" s="7" t="s">
        <v>13</v>
      </c>
      <c r="K1123" s="7"/>
      <c r="L1123" s="7" t="s">
        <v>167</v>
      </c>
      <c r="M1123" s="7" t="s">
        <v>4942</v>
      </c>
      <c r="N1123" s="7" t="s">
        <v>170</v>
      </c>
      <c r="O1123" s="7" t="s">
        <v>162</v>
      </c>
      <c r="P1123" s="7" t="s">
        <v>6809</v>
      </c>
      <c r="Q1123" s="129">
        <v>46199</v>
      </c>
      <c r="R1123" s="130">
        <f t="shared" si="129"/>
        <v>46206</v>
      </c>
      <c r="S1123" s="131">
        <f t="shared" si="134"/>
        <v>7</v>
      </c>
      <c r="T1123" s="7" t="s">
        <v>193</v>
      </c>
      <c r="U1123" s="7" t="s">
        <v>982</v>
      </c>
      <c r="V1123" s="7"/>
      <c r="W1123" s="7">
        <v>63.1</v>
      </c>
      <c r="X1123" s="132">
        <f t="shared" si="132"/>
        <v>10</v>
      </c>
      <c r="Y1123" s="133"/>
      <c r="Z1123" s="133"/>
      <c r="AA1123" s="133"/>
    </row>
    <row r="1124" spans="1:27" x14ac:dyDescent="0.25">
      <c r="A1124" s="127">
        <v>1249</v>
      </c>
      <c r="B1124" s="128" t="str">
        <f t="shared" si="133"/>
        <v>TORT</v>
      </c>
      <c r="C1124" s="128" t="str">
        <f>+VLOOKUP(U1124,Ходим!A:B,2,0)</f>
        <v>50908015920034</v>
      </c>
      <c r="D1124" s="128" t="str">
        <f>IFERROR(VLOOKUP($B:$B,[20]свод!$A:$AB,3,0)," ")</f>
        <v>Тўрақўрғон тумани</v>
      </c>
      <c r="E1124" s="7" t="s">
        <v>2264</v>
      </c>
      <c r="F1124" s="7" t="s">
        <v>8654</v>
      </c>
      <c r="G1124" s="134">
        <f t="shared" si="130"/>
        <v>1</v>
      </c>
      <c r="H1124" s="134" t="str">
        <f t="shared" si="131"/>
        <v/>
      </c>
      <c r="I1124" s="7" t="s">
        <v>158</v>
      </c>
      <c r="J1124" s="7" t="s">
        <v>1</v>
      </c>
      <c r="K1124" s="7"/>
      <c r="L1124" s="7" t="s">
        <v>167</v>
      </c>
      <c r="M1124" s="7" t="s">
        <v>4943</v>
      </c>
      <c r="N1124" s="7" t="s">
        <v>170</v>
      </c>
      <c r="O1124" s="7" t="s">
        <v>162</v>
      </c>
      <c r="P1124" s="7" t="s">
        <v>6810</v>
      </c>
      <c r="Q1124" s="129">
        <v>46199</v>
      </c>
      <c r="R1124" s="130">
        <f t="shared" si="129"/>
        <v>46199</v>
      </c>
      <c r="S1124" s="131">
        <f t="shared" si="134"/>
        <v>0</v>
      </c>
      <c r="T1124" s="7" t="s">
        <v>203</v>
      </c>
      <c r="U1124" s="7" t="s">
        <v>205</v>
      </c>
      <c r="V1124" s="7"/>
      <c r="W1124" s="7">
        <v>20</v>
      </c>
      <c r="X1124" s="132">
        <f t="shared" si="132"/>
        <v>10</v>
      </c>
      <c r="Y1124" s="133"/>
      <c r="Z1124" s="133"/>
      <c r="AA1124" s="133"/>
    </row>
    <row r="1125" spans="1:27" x14ac:dyDescent="0.25">
      <c r="A1125" s="127">
        <v>1250</v>
      </c>
      <c r="B1125" s="128" t="str">
        <f t="shared" si="133"/>
        <v>MINT</v>
      </c>
      <c r="C1125" s="128" t="str">
        <f>+VLOOKUP(U1125,Ходим!A:B,2,0)</f>
        <v>30906922130016</v>
      </c>
      <c r="D1125" s="128" t="str">
        <f>IFERROR(VLOOKUP($B:$B,[20]свод!$A:$AB,3,0)," ")</f>
        <v>Мингбулоқ тумани</v>
      </c>
      <c r="E1125" s="7" t="s">
        <v>2265</v>
      </c>
      <c r="F1125" s="7" t="s">
        <v>8655</v>
      </c>
      <c r="G1125" s="134">
        <f t="shared" si="130"/>
        <v>1</v>
      </c>
      <c r="H1125" s="134" t="str">
        <f t="shared" si="131"/>
        <v/>
      </c>
      <c r="I1125" s="7" t="s">
        <v>158</v>
      </c>
      <c r="J1125" s="7" t="s">
        <v>10</v>
      </c>
      <c r="K1125" s="7"/>
      <c r="L1125" s="7" t="s">
        <v>167</v>
      </c>
      <c r="M1125" s="7" t="s">
        <v>4944</v>
      </c>
      <c r="N1125" s="7" t="s">
        <v>170</v>
      </c>
      <c r="O1125" s="7" t="s">
        <v>162</v>
      </c>
      <c r="P1125" s="7" t="s">
        <v>6648</v>
      </c>
      <c r="Q1125" s="129">
        <v>46199</v>
      </c>
      <c r="R1125" s="130">
        <f t="shared" si="129"/>
        <v>46199</v>
      </c>
      <c r="S1125" s="131">
        <f t="shared" si="134"/>
        <v>0</v>
      </c>
      <c r="T1125" s="7" t="s">
        <v>220</v>
      </c>
      <c r="U1125" s="7" t="s">
        <v>178</v>
      </c>
      <c r="V1125" s="7"/>
      <c r="W1125" s="7">
        <v>60.84</v>
      </c>
      <c r="X1125" s="132">
        <f t="shared" si="132"/>
        <v>10</v>
      </c>
      <c r="Y1125" s="133"/>
      <c r="Z1125" s="133"/>
      <c r="AA1125" s="133"/>
    </row>
    <row r="1126" spans="1:27" hidden="1" x14ac:dyDescent="0.25">
      <c r="A1126" s="127">
        <v>1251</v>
      </c>
      <c r="B1126" s="128" t="str">
        <f t="shared" si="133"/>
        <v>NAMT</v>
      </c>
      <c r="C1126" s="128" t="e">
        <f>+VLOOKUP(U1126,Ходим!A:B,2,0)</f>
        <v>#N/A</v>
      </c>
      <c r="D1126" s="128" t="str">
        <f>IFERROR(VLOOKUP($B:$B,[20]свод!$A:$AB,3,0)," ")</f>
        <v>Наманган тумани</v>
      </c>
      <c r="E1126" s="7" t="s">
        <v>2266</v>
      </c>
      <c r="F1126" s="7" t="s">
        <v>8656</v>
      </c>
      <c r="G1126" s="134">
        <f t="shared" si="130"/>
        <v>1</v>
      </c>
      <c r="H1126" s="134" t="str">
        <f t="shared" si="131"/>
        <v/>
      </c>
      <c r="I1126" s="7" t="s">
        <v>159</v>
      </c>
      <c r="J1126" s="7" t="s">
        <v>137</v>
      </c>
      <c r="K1126" s="7"/>
      <c r="L1126" s="7" t="s">
        <v>167</v>
      </c>
      <c r="M1126" s="7" t="s">
        <v>4945</v>
      </c>
      <c r="N1126" s="7" t="s">
        <v>170</v>
      </c>
      <c r="O1126" s="7" t="s">
        <v>163</v>
      </c>
      <c r="P1126" s="7" t="s">
        <v>6811</v>
      </c>
      <c r="Q1126" s="129">
        <v>46199</v>
      </c>
      <c r="R1126" s="130">
        <f t="shared" si="129"/>
        <v>46212</v>
      </c>
      <c r="S1126" s="131">
        <f t="shared" si="134"/>
        <v>13</v>
      </c>
      <c r="T1126" s="7"/>
      <c r="U1126" s="7"/>
      <c r="V1126" s="7"/>
      <c r="W1126" s="7">
        <v>357.04</v>
      </c>
      <c r="X1126" s="132">
        <f t="shared" si="132"/>
        <v>10</v>
      </c>
      <c r="Y1126" s="133"/>
      <c r="Z1126" s="133"/>
      <c r="AA1126" s="133"/>
    </row>
    <row r="1127" spans="1:27" x14ac:dyDescent="0.25">
      <c r="A1127" s="127">
        <v>1252</v>
      </c>
      <c r="B1127" s="128" t="str">
        <f t="shared" si="133"/>
        <v>YGQT</v>
      </c>
      <c r="C1127" s="128" t="str">
        <f>+VLOOKUP(U1127,Ходим!A:B,2,0)</f>
        <v>52010015950028</v>
      </c>
      <c r="D1127" s="128" t="str">
        <f>IFERROR(VLOOKUP($B:$B,[20]свод!$A:$AB,3,0)," ")</f>
        <v>Янгиқўрғон тумани</v>
      </c>
      <c r="E1127" s="7" t="s">
        <v>2267</v>
      </c>
      <c r="F1127" s="7" t="s">
        <v>8657</v>
      </c>
      <c r="G1127" s="134">
        <f t="shared" si="130"/>
        <v>1</v>
      </c>
      <c r="H1127" s="134" t="str">
        <f t="shared" si="131"/>
        <v/>
      </c>
      <c r="I1127" s="7" t="s">
        <v>158</v>
      </c>
      <c r="J1127" s="7" t="s">
        <v>55</v>
      </c>
      <c r="K1127" s="7"/>
      <c r="L1127" s="7" t="s">
        <v>167</v>
      </c>
      <c r="M1127" s="7" t="s">
        <v>4946</v>
      </c>
      <c r="N1127" s="7" t="s">
        <v>170</v>
      </c>
      <c r="O1127" s="7" t="s">
        <v>162</v>
      </c>
      <c r="P1127" s="7" t="s">
        <v>6476</v>
      </c>
      <c r="Q1127" s="129">
        <v>46199</v>
      </c>
      <c r="R1127" s="130">
        <f t="shared" si="129"/>
        <v>46198</v>
      </c>
      <c r="S1127" s="131">
        <f t="shared" si="134"/>
        <v>-1</v>
      </c>
      <c r="T1127" s="7" t="s">
        <v>182</v>
      </c>
      <c r="U1127" s="7" t="s">
        <v>391</v>
      </c>
      <c r="V1127" s="7" t="s">
        <v>965</v>
      </c>
      <c r="W1127" s="7">
        <v>391.71</v>
      </c>
      <c r="X1127" s="132">
        <f t="shared" si="132"/>
        <v>5</v>
      </c>
      <c r="Y1127" s="133"/>
      <c r="Z1127" s="133"/>
      <c r="AA1127" s="133"/>
    </row>
    <row r="1128" spans="1:27" hidden="1" x14ac:dyDescent="0.25">
      <c r="A1128" s="127">
        <v>1253</v>
      </c>
      <c r="B1128" s="128" t="str">
        <f t="shared" si="133"/>
        <v>UYCT</v>
      </c>
      <c r="C1128" s="128" t="str">
        <f>+VLOOKUP(U1128,Ходим!A:B,2,0)</f>
        <v>53007005930024</v>
      </c>
      <c r="D1128" s="128" t="str">
        <f>IFERROR(VLOOKUP($B:$B,[20]свод!$A:$AB,3,0)," ")</f>
        <v>Уйчи тумани</v>
      </c>
      <c r="E1128" s="7" t="s">
        <v>2268</v>
      </c>
      <c r="F1128" s="7" t="s">
        <v>8658</v>
      </c>
      <c r="G1128" s="134" t="str">
        <f t="shared" si="130"/>
        <v/>
      </c>
      <c r="H1128" s="134">
        <f t="shared" si="131"/>
        <v>1</v>
      </c>
      <c r="I1128" s="7" t="s">
        <v>157</v>
      </c>
      <c r="J1128" s="7" t="s">
        <v>134</v>
      </c>
      <c r="K1128" s="7"/>
      <c r="L1128" s="7"/>
      <c r="M1128" s="7"/>
      <c r="N1128" s="7" t="s">
        <v>170</v>
      </c>
      <c r="O1128" s="7" t="s">
        <v>161</v>
      </c>
      <c r="P1128" s="7" t="s">
        <v>6811</v>
      </c>
      <c r="Q1128" s="129">
        <v>46199</v>
      </c>
      <c r="R1128" s="130">
        <f t="shared" si="129"/>
        <v>46212</v>
      </c>
      <c r="S1128" s="131">
        <f t="shared" si="134"/>
        <v>13</v>
      </c>
      <c r="T1128" s="7" t="s">
        <v>947</v>
      </c>
      <c r="U1128" s="7" t="s">
        <v>378</v>
      </c>
      <c r="V1128" s="7"/>
      <c r="W1128" s="7"/>
      <c r="X1128" s="132">
        <f t="shared" si="132"/>
        <v>10</v>
      </c>
      <c r="Y1128" s="133"/>
      <c r="Z1128" s="133"/>
      <c r="AA1128" s="133"/>
    </row>
    <row r="1129" spans="1:27" x14ac:dyDescent="0.25">
      <c r="A1129" s="127">
        <v>1254</v>
      </c>
      <c r="B1129" s="128" t="str">
        <f t="shared" si="133"/>
        <v>POPT</v>
      </c>
      <c r="C1129" s="128" t="str">
        <f>+VLOOKUP(U1129,Ходим!A:B,2,0)</f>
        <v>30608945910016</v>
      </c>
      <c r="D1129" s="128" t="str">
        <f>IFERROR(VLOOKUP($B:$B,[20]свод!$A:$AB,3,0)," ")</f>
        <v>Поп тумани</v>
      </c>
      <c r="E1129" s="7" t="s">
        <v>2269</v>
      </c>
      <c r="F1129" s="7" t="s">
        <v>8659</v>
      </c>
      <c r="G1129" s="134" t="str">
        <f t="shared" si="130"/>
        <v/>
      </c>
      <c r="H1129" s="134">
        <f t="shared" si="131"/>
        <v>1</v>
      </c>
      <c r="I1129" s="7" t="s">
        <v>157</v>
      </c>
      <c r="J1129" s="7" t="s">
        <v>1</v>
      </c>
      <c r="K1129" s="7"/>
      <c r="L1129" s="7" t="s">
        <v>168</v>
      </c>
      <c r="M1129" s="7" t="s">
        <v>4947</v>
      </c>
      <c r="N1129" s="7" t="s">
        <v>410</v>
      </c>
      <c r="O1129" s="7" t="s">
        <v>161</v>
      </c>
      <c r="P1129" s="7" t="s">
        <v>6812</v>
      </c>
      <c r="Q1129" s="129">
        <v>46199</v>
      </c>
      <c r="R1129" s="130">
        <f t="shared" si="129"/>
        <v>46196</v>
      </c>
      <c r="S1129" s="131">
        <f t="shared" si="134"/>
        <v>-3</v>
      </c>
      <c r="T1129" s="7" t="s">
        <v>214</v>
      </c>
      <c r="U1129" s="7" t="s">
        <v>295</v>
      </c>
      <c r="V1129" s="7"/>
      <c r="W1129" s="7">
        <v>0</v>
      </c>
      <c r="X1129" s="132">
        <f t="shared" si="132"/>
        <v>7</v>
      </c>
      <c r="Y1129" s="133"/>
      <c r="Z1129" s="133"/>
      <c r="AA1129" s="133"/>
    </row>
    <row r="1130" spans="1:27" hidden="1" x14ac:dyDescent="0.25">
      <c r="A1130" s="127">
        <v>1255</v>
      </c>
      <c r="B1130" s="128" t="str">
        <f t="shared" si="133"/>
        <v>UYCT</v>
      </c>
      <c r="C1130" s="128" t="str">
        <f>+VLOOKUP(U1130,Ходим!A:B,2,0)</f>
        <v>31101985930022</v>
      </c>
      <c r="D1130" s="128" t="str">
        <f>IFERROR(VLOOKUP($B:$B,[20]свод!$A:$AB,3,0)," ")</f>
        <v>Уйчи тумани</v>
      </c>
      <c r="E1130" s="7" t="s">
        <v>2270</v>
      </c>
      <c r="F1130" s="7" t="s">
        <v>8660</v>
      </c>
      <c r="G1130" s="134" t="str">
        <f t="shared" si="130"/>
        <v/>
      </c>
      <c r="H1130" s="134">
        <f t="shared" si="131"/>
        <v>1</v>
      </c>
      <c r="I1130" s="7" t="s">
        <v>157</v>
      </c>
      <c r="J1130" s="7" t="s">
        <v>2</v>
      </c>
      <c r="K1130" s="7"/>
      <c r="L1130" s="7"/>
      <c r="M1130" s="7"/>
      <c r="N1130" s="7" t="s">
        <v>170</v>
      </c>
      <c r="O1130" s="7" t="s">
        <v>161</v>
      </c>
      <c r="P1130" s="7" t="s">
        <v>6532</v>
      </c>
      <c r="Q1130" s="129">
        <v>46199</v>
      </c>
      <c r="R1130" s="130">
        <f t="shared" si="129"/>
        <v>46206</v>
      </c>
      <c r="S1130" s="131">
        <f t="shared" si="134"/>
        <v>7</v>
      </c>
      <c r="T1130" s="7" t="s">
        <v>947</v>
      </c>
      <c r="U1130" s="7" t="s">
        <v>299</v>
      </c>
      <c r="V1130" s="7"/>
      <c r="W1130" s="7"/>
      <c r="X1130" s="132">
        <f t="shared" si="132"/>
        <v>10</v>
      </c>
      <c r="Y1130" s="133"/>
      <c r="Z1130" s="133"/>
      <c r="AA1130" s="133"/>
    </row>
    <row r="1131" spans="1:27" hidden="1" x14ac:dyDescent="0.25">
      <c r="A1131" s="127">
        <v>1256</v>
      </c>
      <c r="B1131" s="128" t="str">
        <f t="shared" si="133"/>
        <v>UCQT</v>
      </c>
      <c r="C1131" s="128" t="str">
        <f>+VLOOKUP(U1131,Ходим!A:B,2,0)</f>
        <v>51107025940051</v>
      </c>
      <c r="D1131" s="128" t="str">
        <f>IFERROR(VLOOKUP($B:$B,[20]свод!$A:$AB,3,0)," ")</f>
        <v>Учқўрғон тумани</v>
      </c>
      <c r="E1131" s="7" t="s">
        <v>2271</v>
      </c>
      <c r="F1131" s="7" t="s">
        <v>8661</v>
      </c>
      <c r="G1131" s="134">
        <f t="shared" si="130"/>
        <v>1</v>
      </c>
      <c r="H1131" s="134" t="str">
        <f t="shared" si="131"/>
        <v/>
      </c>
      <c r="I1131" s="7" t="s">
        <v>158</v>
      </c>
      <c r="J1131" s="7" t="s">
        <v>172</v>
      </c>
      <c r="K1131" s="7"/>
      <c r="L1131" s="7" t="s">
        <v>167</v>
      </c>
      <c r="M1131" s="7" t="s">
        <v>4948</v>
      </c>
      <c r="N1131" s="7" t="s">
        <v>170</v>
      </c>
      <c r="O1131" s="7" t="s">
        <v>162</v>
      </c>
      <c r="P1131" s="7" t="s">
        <v>6532</v>
      </c>
      <c r="Q1131" s="129">
        <v>46199</v>
      </c>
      <c r="R1131" s="130">
        <f t="shared" si="129"/>
        <v>46206</v>
      </c>
      <c r="S1131" s="131">
        <f t="shared" si="134"/>
        <v>7</v>
      </c>
      <c r="T1131" s="7" t="s">
        <v>175</v>
      </c>
      <c r="U1131" s="7" t="s">
        <v>296</v>
      </c>
      <c r="V1131" s="7"/>
      <c r="W1131" s="7">
        <v>353.2</v>
      </c>
      <c r="X1131" s="132">
        <f t="shared" si="132"/>
        <v>10</v>
      </c>
      <c r="Y1131" s="133"/>
      <c r="Z1131" s="133"/>
      <c r="AA1131" s="133"/>
    </row>
    <row r="1132" spans="1:27" hidden="1" x14ac:dyDescent="0.25">
      <c r="A1132" s="127">
        <v>1257</v>
      </c>
      <c r="B1132" s="128" t="str">
        <f t="shared" si="133"/>
        <v>YGQT</v>
      </c>
      <c r="C1132" s="128" t="str">
        <f>+VLOOKUP(U1132,Ходим!A:B,2,0)</f>
        <v>52009035950022</v>
      </c>
      <c r="D1132" s="128" t="str">
        <f>IFERROR(VLOOKUP($B:$B,[20]свод!$A:$AB,3,0)," ")</f>
        <v>Янгиқўрғон тумани</v>
      </c>
      <c r="E1132" s="7" t="s">
        <v>2272</v>
      </c>
      <c r="F1132" s="7" t="s">
        <v>8662</v>
      </c>
      <c r="G1132" s="134" t="str">
        <f t="shared" si="130"/>
        <v/>
      </c>
      <c r="H1132" s="134">
        <f t="shared" si="131"/>
        <v>1</v>
      </c>
      <c r="I1132" s="7" t="s">
        <v>157</v>
      </c>
      <c r="J1132" s="7" t="s">
        <v>2</v>
      </c>
      <c r="K1132" s="7"/>
      <c r="L1132" s="7"/>
      <c r="M1132" s="7"/>
      <c r="N1132" s="7" t="s">
        <v>170</v>
      </c>
      <c r="O1132" s="7" t="s">
        <v>161</v>
      </c>
      <c r="P1132" s="7" t="s">
        <v>6532</v>
      </c>
      <c r="Q1132" s="129">
        <v>46199</v>
      </c>
      <c r="R1132" s="130">
        <f t="shared" si="129"/>
        <v>46206</v>
      </c>
      <c r="S1132" s="131">
        <f t="shared" si="134"/>
        <v>7</v>
      </c>
      <c r="T1132" s="7" t="s">
        <v>255</v>
      </c>
      <c r="U1132" s="7" t="s">
        <v>272</v>
      </c>
      <c r="V1132" s="7"/>
      <c r="W1132" s="7"/>
      <c r="X1132" s="132">
        <f t="shared" si="132"/>
        <v>10</v>
      </c>
      <c r="Y1132" s="133"/>
      <c r="Z1132" s="133"/>
      <c r="AA1132" s="133"/>
    </row>
    <row r="1133" spans="1:27" hidden="1" x14ac:dyDescent="0.25">
      <c r="A1133" s="127">
        <v>1258</v>
      </c>
      <c r="B1133" s="128" t="str">
        <f t="shared" si="133"/>
        <v>YGQT</v>
      </c>
      <c r="C1133" s="128" t="str">
        <f>+VLOOKUP(U1133,Ходим!A:B,2,0)</f>
        <v>52010015950028</v>
      </c>
      <c r="D1133" s="128" t="str">
        <f>IFERROR(VLOOKUP($B:$B,[20]свод!$A:$AB,3,0)," ")</f>
        <v>Янгиқўрғон тумани</v>
      </c>
      <c r="E1133" s="7" t="s">
        <v>2273</v>
      </c>
      <c r="F1133" s="7" t="s">
        <v>8663</v>
      </c>
      <c r="G1133" s="134">
        <f t="shared" si="130"/>
        <v>1</v>
      </c>
      <c r="H1133" s="134" t="str">
        <f t="shared" si="131"/>
        <v/>
      </c>
      <c r="I1133" s="7" t="s">
        <v>158</v>
      </c>
      <c r="J1133" s="7" t="s">
        <v>2</v>
      </c>
      <c r="K1133" s="7"/>
      <c r="L1133" s="7"/>
      <c r="M1133" s="7"/>
      <c r="N1133" s="7" t="s">
        <v>170</v>
      </c>
      <c r="O1133" s="7" t="s">
        <v>162</v>
      </c>
      <c r="P1133" s="7" t="s">
        <v>6532</v>
      </c>
      <c r="Q1133" s="129">
        <v>46199</v>
      </c>
      <c r="R1133" s="130">
        <f t="shared" si="129"/>
        <v>46206</v>
      </c>
      <c r="S1133" s="131">
        <f t="shared" si="134"/>
        <v>7</v>
      </c>
      <c r="T1133" s="7" t="s">
        <v>255</v>
      </c>
      <c r="U1133" s="7" t="s">
        <v>391</v>
      </c>
      <c r="V1133" s="7"/>
      <c r="W1133" s="7"/>
      <c r="X1133" s="132">
        <f t="shared" si="132"/>
        <v>10</v>
      </c>
      <c r="Y1133" s="133"/>
      <c r="Z1133" s="133"/>
      <c r="AA1133" s="133"/>
    </row>
    <row r="1134" spans="1:27" hidden="1" x14ac:dyDescent="0.25">
      <c r="A1134" s="127">
        <v>1259</v>
      </c>
      <c r="B1134" s="128" t="str">
        <f t="shared" si="133"/>
        <v>UYCT</v>
      </c>
      <c r="C1134" s="128" t="str">
        <f>+VLOOKUP(U1134,Ходим!A:B,2,0)</f>
        <v>32002975930037</v>
      </c>
      <c r="D1134" s="128" t="str">
        <f>IFERROR(VLOOKUP($B:$B,[20]свод!$A:$AB,3,0)," ")</f>
        <v>Уйчи тумани</v>
      </c>
      <c r="E1134" s="7" t="s">
        <v>2274</v>
      </c>
      <c r="F1134" s="7" t="s">
        <v>8664</v>
      </c>
      <c r="G1134" s="134">
        <f t="shared" si="130"/>
        <v>1</v>
      </c>
      <c r="H1134" s="134" t="str">
        <f t="shared" si="131"/>
        <v/>
      </c>
      <c r="I1134" s="7" t="s">
        <v>154</v>
      </c>
      <c r="J1134" s="7" t="s">
        <v>2</v>
      </c>
      <c r="K1134" s="7"/>
      <c r="L1134" s="7" t="s">
        <v>167</v>
      </c>
      <c r="M1134" s="7" t="s">
        <v>4949</v>
      </c>
      <c r="N1134" s="7" t="s">
        <v>170</v>
      </c>
      <c r="O1134" s="7" t="s">
        <v>162</v>
      </c>
      <c r="P1134" s="7" t="s">
        <v>6532</v>
      </c>
      <c r="Q1134" s="129">
        <v>46199</v>
      </c>
      <c r="R1134" s="130">
        <f t="shared" si="129"/>
        <v>46206</v>
      </c>
      <c r="S1134" s="131">
        <f t="shared" si="134"/>
        <v>7</v>
      </c>
      <c r="T1134" s="7" t="s">
        <v>947</v>
      </c>
      <c r="U1134" s="7" t="s">
        <v>260</v>
      </c>
      <c r="V1134" s="7"/>
      <c r="W1134" s="7">
        <v>284.24</v>
      </c>
      <c r="X1134" s="132">
        <f t="shared" si="132"/>
        <v>10</v>
      </c>
      <c r="Y1134" s="133"/>
      <c r="Z1134" s="133"/>
      <c r="AA1134" s="133"/>
    </row>
    <row r="1135" spans="1:27" hidden="1" x14ac:dyDescent="0.25">
      <c r="A1135" s="127">
        <v>1260</v>
      </c>
      <c r="B1135" s="128" t="str">
        <f t="shared" si="133"/>
        <v>NAMT</v>
      </c>
      <c r="C1135" s="128" t="e">
        <f>+VLOOKUP(U1135,Ходим!A:B,2,0)</f>
        <v>#N/A</v>
      </c>
      <c r="D1135" s="128" t="str">
        <f>IFERROR(VLOOKUP($B:$B,[20]свод!$A:$AB,3,0)," ")</f>
        <v>Наманган тумани</v>
      </c>
      <c r="E1135" s="7" t="s">
        <v>2275</v>
      </c>
      <c r="F1135" s="7" t="s">
        <v>8665</v>
      </c>
      <c r="G1135" s="134">
        <f t="shared" si="130"/>
        <v>1</v>
      </c>
      <c r="H1135" s="134" t="str">
        <f t="shared" si="131"/>
        <v/>
      </c>
      <c r="I1135" s="7" t="s">
        <v>159</v>
      </c>
      <c r="J1135" s="7" t="s">
        <v>137</v>
      </c>
      <c r="K1135" s="7"/>
      <c r="L1135" s="7" t="s">
        <v>167</v>
      </c>
      <c r="M1135" s="7" t="s">
        <v>4950</v>
      </c>
      <c r="N1135" s="7" t="s">
        <v>410</v>
      </c>
      <c r="O1135" s="7" t="s">
        <v>163</v>
      </c>
      <c r="P1135" s="7" t="s">
        <v>6813</v>
      </c>
      <c r="Q1135" s="129">
        <v>46199</v>
      </c>
      <c r="R1135" s="130">
        <f t="shared" si="129"/>
        <v>46212</v>
      </c>
      <c r="S1135" s="131">
        <f t="shared" si="134"/>
        <v>13</v>
      </c>
      <c r="T1135" s="7"/>
      <c r="U1135" s="7"/>
      <c r="V1135" s="7"/>
      <c r="W1135" s="7">
        <v>212.92</v>
      </c>
      <c r="X1135" s="132">
        <f t="shared" si="132"/>
        <v>10</v>
      </c>
      <c r="Y1135" s="133"/>
      <c r="Z1135" s="133"/>
      <c r="AA1135" s="133"/>
    </row>
    <row r="1136" spans="1:27" hidden="1" x14ac:dyDescent="0.25">
      <c r="A1136" s="127">
        <v>1261</v>
      </c>
      <c r="B1136" s="128" t="str">
        <f t="shared" si="133"/>
        <v>NAMT</v>
      </c>
      <c r="C1136" s="128" t="e">
        <f>+VLOOKUP(U1136,Ходим!A:B,2,0)</f>
        <v>#N/A</v>
      </c>
      <c r="D1136" s="128" t="str">
        <f>IFERROR(VLOOKUP($B:$B,[20]свод!$A:$AB,3,0)," ")</f>
        <v>Наманган тумани</v>
      </c>
      <c r="E1136" s="7" t="s">
        <v>2276</v>
      </c>
      <c r="F1136" s="7" t="s">
        <v>8666</v>
      </c>
      <c r="G1136" s="134">
        <f t="shared" si="130"/>
        <v>1</v>
      </c>
      <c r="H1136" s="134" t="str">
        <f t="shared" si="131"/>
        <v/>
      </c>
      <c r="I1136" s="7" t="s">
        <v>159</v>
      </c>
      <c r="J1136" s="7" t="s">
        <v>137</v>
      </c>
      <c r="K1136" s="7"/>
      <c r="L1136" s="7" t="s">
        <v>167</v>
      </c>
      <c r="M1136" s="7" t="s">
        <v>4951</v>
      </c>
      <c r="N1136" s="7" t="s">
        <v>410</v>
      </c>
      <c r="O1136" s="7" t="s">
        <v>163</v>
      </c>
      <c r="P1136" s="7" t="s">
        <v>6813</v>
      </c>
      <c r="Q1136" s="129">
        <v>46199</v>
      </c>
      <c r="R1136" s="130">
        <f t="shared" si="129"/>
        <v>46212</v>
      </c>
      <c r="S1136" s="131">
        <f t="shared" si="134"/>
        <v>13</v>
      </c>
      <c r="T1136" s="7"/>
      <c r="U1136" s="7"/>
      <c r="V1136" s="7"/>
      <c r="W1136" s="7">
        <v>222.86</v>
      </c>
      <c r="X1136" s="132">
        <f t="shared" si="132"/>
        <v>10</v>
      </c>
      <c r="Y1136" s="133"/>
      <c r="Z1136" s="133"/>
      <c r="AA1136" s="133"/>
    </row>
    <row r="1137" spans="1:27" hidden="1" x14ac:dyDescent="0.25">
      <c r="A1137" s="127">
        <v>1263</v>
      </c>
      <c r="B1137" s="128" t="str">
        <f t="shared" si="133"/>
        <v>NAMT</v>
      </c>
      <c r="C1137" s="128" t="e">
        <f>+VLOOKUP(U1137,Ходим!A:B,2,0)</f>
        <v>#N/A</v>
      </c>
      <c r="D1137" s="128" t="str">
        <f>IFERROR(VLOOKUP($B:$B,[20]свод!$A:$AB,3,0)," ")</f>
        <v>Наманган тумани</v>
      </c>
      <c r="E1137" s="7" t="s">
        <v>2277</v>
      </c>
      <c r="F1137" s="7" t="s">
        <v>8667</v>
      </c>
      <c r="G1137" s="134">
        <f t="shared" si="130"/>
        <v>1</v>
      </c>
      <c r="H1137" s="134" t="str">
        <f t="shared" si="131"/>
        <v/>
      </c>
      <c r="I1137" s="7" t="s">
        <v>159</v>
      </c>
      <c r="J1137" s="7" t="s">
        <v>137</v>
      </c>
      <c r="K1137" s="7"/>
      <c r="L1137" s="7" t="s">
        <v>167</v>
      </c>
      <c r="M1137" s="7" t="s">
        <v>4952</v>
      </c>
      <c r="N1137" s="7" t="s">
        <v>410</v>
      </c>
      <c r="O1137" s="7" t="s">
        <v>163</v>
      </c>
      <c r="P1137" s="7" t="s">
        <v>6813</v>
      </c>
      <c r="Q1137" s="129">
        <v>46199</v>
      </c>
      <c r="R1137" s="130">
        <f t="shared" si="129"/>
        <v>46212</v>
      </c>
      <c r="S1137" s="131">
        <f t="shared" si="134"/>
        <v>13</v>
      </c>
      <c r="T1137" s="7"/>
      <c r="U1137" s="7"/>
      <c r="V1137" s="7"/>
      <c r="W1137" s="7">
        <v>160.97</v>
      </c>
      <c r="X1137" s="132">
        <f t="shared" si="132"/>
        <v>10</v>
      </c>
      <c r="Y1137" s="133"/>
      <c r="Z1137" s="133"/>
      <c r="AA1137" s="133"/>
    </row>
    <row r="1138" spans="1:27" hidden="1" x14ac:dyDescent="0.25">
      <c r="A1138" s="127">
        <v>1264</v>
      </c>
      <c r="B1138" s="128" t="str">
        <f t="shared" si="133"/>
        <v>CHUT</v>
      </c>
      <c r="C1138" s="128" t="e">
        <f>+VLOOKUP(U1138,Ходим!A:B,2,0)</f>
        <v>#N/A</v>
      </c>
      <c r="D1138" s="128" t="str">
        <f>IFERROR(VLOOKUP($B:$B,[20]свод!$A:$AB,3,0)," ")</f>
        <v>Чуст тумани</v>
      </c>
      <c r="E1138" s="7" t="s">
        <v>2278</v>
      </c>
      <c r="F1138" s="7" t="s">
        <v>8668</v>
      </c>
      <c r="G1138" s="134" t="str">
        <f t="shared" si="130"/>
        <v/>
      </c>
      <c r="H1138" s="134">
        <f t="shared" si="131"/>
        <v>1</v>
      </c>
      <c r="I1138" s="7" t="s">
        <v>155</v>
      </c>
      <c r="J1138" s="7" t="s">
        <v>11</v>
      </c>
      <c r="K1138" s="7"/>
      <c r="L1138" s="7"/>
      <c r="M1138" s="7"/>
      <c r="N1138" s="7" t="s">
        <v>170</v>
      </c>
      <c r="O1138" s="7" t="s">
        <v>161</v>
      </c>
      <c r="P1138" s="7" t="s">
        <v>6814</v>
      </c>
      <c r="Q1138" s="129">
        <v>46199</v>
      </c>
      <c r="R1138" s="130">
        <f t="shared" si="129"/>
        <v>46206</v>
      </c>
      <c r="S1138" s="131">
        <f t="shared" si="134"/>
        <v>7</v>
      </c>
      <c r="T1138" s="7"/>
      <c r="U1138" s="7"/>
      <c r="V1138" s="7"/>
      <c r="W1138" s="7"/>
      <c r="X1138" s="132">
        <f t="shared" si="132"/>
        <v>10</v>
      </c>
      <c r="Y1138" s="133"/>
      <c r="Z1138" s="133"/>
      <c r="AA1138" s="133"/>
    </row>
    <row r="1139" spans="1:27" hidden="1" x14ac:dyDescent="0.25">
      <c r="A1139" s="127">
        <v>1265</v>
      </c>
      <c r="B1139" s="128" t="str">
        <f t="shared" si="133"/>
        <v>NAMT</v>
      </c>
      <c r="C1139" s="128" t="str">
        <f>+VLOOKUP(U1139,Ходим!A:B,2,0)</f>
        <v>31205812090050</v>
      </c>
      <c r="D1139" s="128" t="str">
        <f>IFERROR(VLOOKUP($B:$B,[20]свод!$A:$AB,3,0)," ")</f>
        <v>Наманган тумани</v>
      </c>
      <c r="E1139" s="7" t="s">
        <v>2279</v>
      </c>
      <c r="F1139" s="7" t="s">
        <v>8669</v>
      </c>
      <c r="G1139" s="134">
        <f t="shared" si="130"/>
        <v>1</v>
      </c>
      <c r="H1139" s="134" t="str">
        <f t="shared" si="131"/>
        <v/>
      </c>
      <c r="I1139" s="7" t="s">
        <v>158</v>
      </c>
      <c r="J1139" s="7" t="s">
        <v>2</v>
      </c>
      <c r="K1139" s="7"/>
      <c r="L1139" s="7" t="s">
        <v>167</v>
      </c>
      <c r="M1139" s="7" t="s">
        <v>4953</v>
      </c>
      <c r="N1139" s="7" t="s">
        <v>170</v>
      </c>
      <c r="O1139" s="7" t="s">
        <v>162</v>
      </c>
      <c r="P1139" s="7" t="s">
        <v>6567</v>
      </c>
      <c r="Q1139" s="129">
        <v>46199</v>
      </c>
      <c r="R1139" s="130">
        <f t="shared" si="129"/>
        <v>46205</v>
      </c>
      <c r="S1139" s="131">
        <f t="shared" si="134"/>
        <v>6</v>
      </c>
      <c r="T1139" s="7" t="s">
        <v>197</v>
      </c>
      <c r="U1139" s="7" t="s">
        <v>346</v>
      </c>
      <c r="V1139" s="7"/>
      <c r="W1139" s="7">
        <v>138.19</v>
      </c>
      <c r="X1139" s="132">
        <f t="shared" si="132"/>
        <v>10</v>
      </c>
      <c r="Y1139" s="133"/>
      <c r="Z1139" s="133"/>
      <c r="AA1139" s="133"/>
    </row>
    <row r="1140" spans="1:27" hidden="1" x14ac:dyDescent="0.25">
      <c r="A1140" s="127">
        <v>1266</v>
      </c>
      <c r="B1140" s="128" t="str">
        <f t="shared" si="133"/>
        <v>UYCT</v>
      </c>
      <c r="C1140" s="128" t="str">
        <f>+VLOOKUP(U1140,Ходим!A:B,2,0)</f>
        <v>50304035930044</v>
      </c>
      <c r="D1140" s="128" t="str">
        <f>IFERROR(VLOOKUP($B:$B,[20]свод!$A:$AB,3,0)," ")</f>
        <v>Уйчи тумани</v>
      </c>
      <c r="E1140" s="7" t="s">
        <v>2280</v>
      </c>
      <c r="F1140" s="7" t="s">
        <v>8670</v>
      </c>
      <c r="G1140" s="134" t="str">
        <f t="shared" si="130"/>
        <v/>
      </c>
      <c r="H1140" s="134">
        <f t="shared" si="131"/>
        <v>1</v>
      </c>
      <c r="I1140" s="7" t="s">
        <v>157</v>
      </c>
      <c r="J1140" s="7" t="s">
        <v>2</v>
      </c>
      <c r="K1140" s="7"/>
      <c r="L1140" s="7" t="s">
        <v>166</v>
      </c>
      <c r="M1140" s="7" t="s">
        <v>1119</v>
      </c>
      <c r="N1140" s="7" t="s">
        <v>170</v>
      </c>
      <c r="O1140" s="7" t="s">
        <v>161</v>
      </c>
      <c r="P1140" s="7" t="s">
        <v>6379</v>
      </c>
      <c r="Q1140" s="129">
        <v>46199</v>
      </c>
      <c r="R1140" s="130">
        <f t="shared" si="129"/>
        <v>46211</v>
      </c>
      <c r="S1140" s="131">
        <f t="shared" si="134"/>
        <v>12</v>
      </c>
      <c r="T1140" s="7" t="s">
        <v>947</v>
      </c>
      <c r="U1140" s="7" t="s">
        <v>956</v>
      </c>
      <c r="V1140" s="7"/>
      <c r="W1140" s="7">
        <v>0</v>
      </c>
      <c r="X1140" s="132">
        <f t="shared" si="132"/>
        <v>10</v>
      </c>
      <c r="Y1140" s="133"/>
      <c r="Z1140" s="133"/>
      <c r="AA1140" s="133"/>
    </row>
    <row r="1141" spans="1:27" hidden="1" x14ac:dyDescent="0.25">
      <c r="A1141" s="127">
        <v>1267</v>
      </c>
      <c r="B1141" s="128" t="str">
        <f t="shared" si="133"/>
        <v>TORT</v>
      </c>
      <c r="C1141" s="128" t="str">
        <f>+VLOOKUP(U1141,Ходим!A:B,2,0)</f>
        <v>30612832130021</v>
      </c>
      <c r="D1141" s="128" t="str">
        <f>IFERROR(VLOOKUP($B:$B,[20]свод!$A:$AB,3,0)," ")</f>
        <v>Тўрақўрғон тумани</v>
      </c>
      <c r="E1141" s="7" t="s">
        <v>2281</v>
      </c>
      <c r="F1141" s="7" t="s">
        <v>8671</v>
      </c>
      <c r="G1141" s="134">
        <f t="shared" si="130"/>
        <v>1</v>
      </c>
      <c r="H1141" s="134" t="str">
        <f t="shared" si="131"/>
        <v/>
      </c>
      <c r="I1141" s="7" t="s">
        <v>156</v>
      </c>
      <c r="J1141" s="7" t="s">
        <v>25</v>
      </c>
      <c r="K1141" s="7"/>
      <c r="L1141" s="7"/>
      <c r="M1141" s="7"/>
      <c r="N1141" s="7" t="s">
        <v>170</v>
      </c>
      <c r="O1141" s="7" t="s">
        <v>162</v>
      </c>
      <c r="P1141" s="7" t="s">
        <v>6766</v>
      </c>
      <c r="Q1141" s="129">
        <v>46199</v>
      </c>
      <c r="R1141" s="130">
        <f t="shared" si="129"/>
        <v>46212</v>
      </c>
      <c r="S1141" s="131">
        <f t="shared" si="134"/>
        <v>13</v>
      </c>
      <c r="T1141" s="7" t="s">
        <v>203</v>
      </c>
      <c r="U1141" s="7" t="s">
        <v>342</v>
      </c>
      <c r="V1141" s="7"/>
      <c r="W1141" s="7"/>
      <c r="X1141" s="132">
        <f t="shared" si="132"/>
        <v>10</v>
      </c>
      <c r="Y1141" s="133"/>
      <c r="Z1141" s="133"/>
      <c r="AA1141" s="133"/>
    </row>
    <row r="1142" spans="1:27" hidden="1" x14ac:dyDescent="0.25">
      <c r="A1142" s="127">
        <v>1268</v>
      </c>
      <c r="B1142" s="128" t="str">
        <f t="shared" si="133"/>
        <v>UYCT</v>
      </c>
      <c r="C1142" s="128" t="str">
        <f>+VLOOKUP(U1142,Ходим!A:B,2,0)</f>
        <v>53007005930024</v>
      </c>
      <c r="D1142" s="128" t="str">
        <f>IFERROR(VLOOKUP($B:$B,[20]свод!$A:$AB,3,0)," ")</f>
        <v>Уйчи тумани</v>
      </c>
      <c r="E1142" s="7" t="s">
        <v>2282</v>
      </c>
      <c r="F1142" s="7" t="s">
        <v>8672</v>
      </c>
      <c r="G1142" s="134">
        <f t="shared" si="130"/>
        <v>1</v>
      </c>
      <c r="H1142" s="134" t="str">
        <f t="shared" si="131"/>
        <v/>
      </c>
      <c r="I1142" s="7" t="s">
        <v>156</v>
      </c>
      <c r="J1142" s="7" t="s">
        <v>25</v>
      </c>
      <c r="K1142" s="7"/>
      <c r="L1142" s="7"/>
      <c r="M1142" s="7"/>
      <c r="N1142" s="7" t="s">
        <v>170</v>
      </c>
      <c r="O1142" s="7" t="s">
        <v>162</v>
      </c>
      <c r="P1142" s="7" t="s">
        <v>6766</v>
      </c>
      <c r="Q1142" s="129">
        <v>46199</v>
      </c>
      <c r="R1142" s="130">
        <f t="shared" si="129"/>
        <v>46212</v>
      </c>
      <c r="S1142" s="131">
        <f t="shared" si="134"/>
        <v>13</v>
      </c>
      <c r="T1142" s="7" t="s">
        <v>947</v>
      </c>
      <c r="U1142" s="7" t="s">
        <v>378</v>
      </c>
      <c r="V1142" s="7"/>
      <c r="W1142" s="7"/>
      <c r="X1142" s="132">
        <f t="shared" si="132"/>
        <v>10</v>
      </c>
      <c r="Y1142" s="133"/>
      <c r="Z1142" s="133"/>
      <c r="AA1142" s="133"/>
    </row>
    <row r="1143" spans="1:27" hidden="1" x14ac:dyDescent="0.25">
      <c r="A1143" s="127">
        <v>1269</v>
      </c>
      <c r="B1143" s="128" t="str">
        <f t="shared" si="133"/>
        <v>NORT</v>
      </c>
      <c r="C1143" s="128" t="str">
        <f>+VLOOKUP(U1143,Ходим!A:B,2,0)</f>
        <v>32907985900051</v>
      </c>
      <c r="D1143" s="128" t="str">
        <f>IFERROR(VLOOKUP($B:$B,[20]свод!$A:$AB,3,0)," ")</f>
        <v>Норин тумани</v>
      </c>
      <c r="E1143" s="7" t="s">
        <v>2283</v>
      </c>
      <c r="F1143" s="7" t="s">
        <v>8673</v>
      </c>
      <c r="G1143" s="134">
        <f t="shared" si="130"/>
        <v>1</v>
      </c>
      <c r="H1143" s="134" t="str">
        <f t="shared" si="131"/>
        <v/>
      </c>
      <c r="I1143" s="7" t="s">
        <v>158</v>
      </c>
      <c r="J1143" s="7" t="s">
        <v>2</v>
      </c>
      <c r="K1143" s="7"/>
      <c r="L1143" s="7" t="s">
        <v>167</v>
      </c>
      <c r="M1143" s="7" t="s">
        <v>4954</v>
      </c>
      <c r="N1143" s="7" t="s">
        <v>170</v>
      </c>
      <c r="O1143" s="7" t="s">
        <v>162</v>
      </c>
      <c r="P1143" s="7" t="s">
        <v>6815</v>
      </c>
      <c r="Q1143" s="129">
        <v>46199</v>
      </c>
      <c r="R1143" s="130">
        <f t="shared" si="129"/>
        <v>46212</v>
      </c>
      <c r="S1143" s="131">
        <f t="shared" si="134"/>
        <v>13</v>
      </c>
      <c r="T1143" s="7" t="s">
        <v>210</v>
      </c>
      <c r="U1143" s="7" t="s">
        <v>293</v>
      </c>
      <c r="V1143" s="7"/>
      <c r="W1143" s="7">
        <v>331.14</v>
      </c>
      <c r="X1143" s="132">
        <f t="shared" si="132"/>
        <v>10</v>
      </c>
      <c r="Y1143" s="133"/>
      <c r="Z1143" s="133"/>
      <c r="AA1143" s="133"/>
    </row>
    <row r="1144" spans="1:27" hidden="1" x14ac:dyDescent="0.25">
      <c r="A1144" s="127">
        <v>1270</v>
      </c>
      <c r="B1144" s="128" t="str">
        <f t="shared" si="133"/>
        <v>UCQT</v>
      </c>
      <c r="C1144" s="128" t="e">
        <f>+VLOOKUP(U1144,Ходим!A:B,2,0)</f>
        <v>#N/A</v>
      </c>
      <c r="D1144" s="128" t="str">
        <f>IFERROR(VLOOKUP($B:$B,[20]свод!$A:$AB,3,0)," ")</f>
        <v>Учқўрғон тумани</v>
      </c>
      <c r="E1144" s="7" t="s">
        <v>2284</v>
      </c>
      <c r="F1144" s="7" t="s">
        <v>8674</v>
      </c>
      <c r="G1144" s="134">
        <f t="shared" si="130"/>
        <v>1</v>
      </c>
      <c r="H1144" s="134" t="str">
        <f t="shared" si="131"/>
        <v/>
      </c>
      <c r="I1144" s="7" t="s">
        <v>156</v>
      </c>
      <c r="J1144" s="7" t="s">
        <v>11</v>
      </c>
      <c r="K1144" s="7"/>
      <c r="L1144" s="7"/>
      <c r="M1144" s="7"/>
      <c r="N1144" s="7" t="s">
        <v>170</v>
      </c>
      <c r="O1144" s="7" t="s">
        <v>162</v>
      </c>
      <c r="P1144" s="7" t="s">
        <v>6815</v>
      </c>
      <c r="Q1144" s="129">
        <v>46199</v>
      </c>
      <c r="R1144" s="130">
        <f t="shared" si="129"/>
        <v>46212</v>
      </c>
      <c r="S1144" s="131">
        <f t="shared" si="134"/>
        <v>13</v>
      </c>
      <c r="T1144" s="7"/>
      <c r="U1144" s="7"/>
      <c r="V1144" s="7"/>
      <c r="W1144" s="7"/>
      <c r="X1144" s="132">
        <f t="shared" si="132"/>
        <v>10</v>
      </c>
      <c r="Y1144" s="133"/>
      <c r="Z1144" s="133"/>
      <c r="AA1144" s="133"/>
    </row>
    <row r="1145" spans="1:27" x14ac:dyDescent="0.25">
      <c r="A1145" s="127">
        <v>1271</v>
      </c>
      <c r="B1145" s="128" t="str">
        <f t="shared" si="133"/>
        <v>MINT</v>
      </c>
      <c r="C1145" s="128" t="str">
        <f>+VLOOKUP(U1145,Ходим!A:B,2,0)</f>
        <v>31710662200035</v>
      </c>
      <c r="D1145" s="128" t="str">
        <f>IFERROR(VLOOKUP($B:$B,[20]свод!$A:$AB,3,0)," ")</f>
        <v>Мингбулоқ тумани</v>
      </c>
      <c r="E1145" s="7" t="s">
        <v>2285</v>
      </c>
      <c r="F1145" s="7" t="s">
        <v>8675</v>
      </c>
      <c r="G1145" s="134">
        <f t="shared" si="130"/>
        <v>1</v>
      </c>
      <c r="H1145" s="134" t="str">
        <f t="shared" si="131"/>
        <v/>
      </c>
      <c r="I1145" s="7" t="s">
        <v>158</v>
      </c>
      <c r="J1145" s="7" t="s">
        <v>10</v>
      </c>
      <c r="K1145" s="7"/>
      <c r="L1145" s="7" t="s">
        <v>167</v>
      </c>
      <c r="M1145" s="7" t="s">
        <v>4955</v>
      </c>
      <c r="N1145" s="7" t="s">
        <v>170</v>
      </c>
      <c r="O1145" s="7" t="s">
        <v>162</v>
      </c>
      <c r="P1145" s="7" t="s">
        <v>6816</v>
      </c>
      <c r="Q1145" s="129">
        <v>46199</v>
      </c>
      <c r="R1145" s="130">
        <f t="shared" si="129"/>
        <v>46199</v>
      </c>
      <c r="S1145" s="131">
        <f t="shared" si="134"/>
        <v>0</v>
      </c>
      <c r="T1145" s="7" t="s">
        <v>220</v>
      </c>
      <c r="U1145" s="7" t="s">
        <v>268</v>
      </c>
      <c r="V1145" s="7"/>
      <c r="W1145" s="7">
        <v>192.14</v>
      </c>
      <c r="X1145" s="132">
        <f t="shared" si="132"/>
        <v>10</v>
      </c>
      <c r="Y1145" s="133"/>
      <c r="Z1145" s="133"/>
      <c r="AA1145" s="133"/>
    </row>
    <row r="1146" spans="1:27" hidden="1" x14ac:dyDescent="0.25">
      <c r="A1146" s="127">
        <v>1272</v>
      </c>
      <c r="B1146" s="128" t="str">
        <f t="shared" si="133"/>
        <v>NAMS</v>
      </c>
      <c r="C1146" s="128" t="str">
        <f>+VLOOKUP(U1146,Ходим!A:B,2,0)</f>
        <v>53008015960094</v>
      </c>
      <c r="D1146" s="128" t="str">
        <f>IFERROR(VLOOKUP($B:$B,[20]свод!$A:$AB,3,0)," ")</f>
        <v>Наманган шаҳар</v>
      </c>
      <c r="E1146" s="7" t="s">
        <v>2286</v>
      </c>
      <c r="F1146" s="7" t="s">
        <v>8676</v>
      </c>
      <c r="G1146" s="134">
        <f t="shared" si="130"/>
        <v>1</v>
      </c>
      <c r="H1146" s="134" t="str">
        <f t="shared" si="131"/>
        <v/>
      </c>
      <c r="I1146" s="7" t="s">
        <v>156</v>
      </c>
      <c r="J1146" s="7" t="s">
        <v>25</v>
      </c>
      <c r="K1146" s="7"/>
      <c r="L1146" s="7"/>
      <c r="M1146" s="7"/>
      <c r="N1146" s="7" t="s">
        <v>170</v>
      </c>
      <c r="O1146" s="7" t="s">
        <v>162</v>
      </c>
      <c r="P1146" s="7" t="s">
        <v>6278</v>
      </c>
      <c r="Q1146" s="129">
        <v>46199</v>
      </c>
      <c r="R1146" s="130">
        <f t="shared" si="129"/>
        <v>46206</v>
      </c>
      <c r="S1146" s="131">
        <f t="shared" si="134"/>
        <v>7</v>
      </c>
      <c r="T1146" s="7" t="s">
        <v>173</v>
      </c>
      <c r="U1146" s="7" t="s">
        <v>403</v>
      </c>
      <c r="V1146" s="7"/>
      <c r="W1146" s="7"/>
      <c r="X1146" s="132">
        <f t="shared" si="132"/>
        <v>10</v>
      </c>
      <c r="Y1146" s="133"/>
      <c r="Z1146" s="133"/>
      <c r="AA1146" s="133"/>
    </row>
    <row r="1147" spans="1:27" hidden="1" x14ac:dyDescent="0.25">
      <c r="A1147" s="127">
        <v>1273</v>
      </c>
      <c r="B1147" s="128" t="str">
        <f t="shared" si="133"/>
        <v>CHOT</v>
      </c>
      <c r="C1147" s="128" t="str">
        <f>+VLOOKUP(U1147,Ходим!A:B,2,0)</f>
        <v>30510945890013</v>
      </c>
      <c r="D1147" s="128" t="str">
        <f>IFERROR(VLOOKUP($B:$B,[20]свод!$A:$AB,3,0)," ")</f>
        <v>Чортоқ тумани</v>
      </c>
      <c r="E1147" s="7" t="s">
        <v>2287</v>
      </c>
      <c r="F1147" s="7" t="s">
        <v>8677</v>
      </c>
      <c r="G1147" s="134">
        <f t="shared" si="130"/>
        <v>1</v>
      </c>
      <c r="H1147" s="134" t="str">
        <f t="shared" si="131"/>
        <v/>
      </c>
      <c r="I1147" s="7" t="s">
        <v>158</v>
      </c>
      <c r="J1147" s="7" t="s">
        <v>2</v>
      </c>
      <c r="K1147" s="7"/>
      <c r="L1147" s="7" t="s">
        <v>167</v>
      </c>
      <c r="M1147" s="7" t="s">
        <v>4956</v>
      </c>
      <c r="N1147" s="7" t="s">
        <v>170</v>
      </c>
      <c r="O1147" s="7" t="s">
        <v>162</v>
      </c>
      <c r="P1147" s="7" t="s">
        <v>6278</v>
      </c>
      <c r="Q1147" s="129">
        <v>46199</v>
      </c>
      <c r="R1147" s="130">
        <f t="shared" si="129"/>
        <v>46206</v>
      </c>
      <c r="S1147" s="131">
        <f t="shared" si="134"/>
        <v>7</v>
      </c>
      <c r="T1147" s="7" t="s">
        <v>184</v>
      </c>
      <c r="U1147" s="7" t="s">
        <v>185</v>
      </c>
      <c r="V1147" s="7"/>
      <c r="W1147" s="7">
        <v>188.38</v>
      </c>
      <c r="X1147" s="132">
        <f t="shared" si="132"/>
        <v>10</v>
      </c>
      <c r="Y1147" s="133"/>
      <c r="Z1147" s="133"/>
      <c r="AA1147" s="133"/>
    </row>
    <row r="1148" spans="1:27" x14ac:dyDescent="0.25">
      <c r="A1148" s="127">
        <v>1274</v>
      </c>
      <c r="B1148" s="128" t="str">
        <f t="shared" si="133"/>
        <v>NAMT</v>
      </c>
      <c r="C1148" s="128" t="str">
        <f>+VLOOKUP(U1148,Ходим!A:B,2,0)</f>
        <v>32607902090019</v>
      </c>
      <c r="D1148" s="128" t="str">
        <f>IFERROR(VLOOKUP($B:$B,[20]свод!$A:$AB,3,0)," ")</f>
        <v>Наманган тумани</v>
      </c>
      <c r="E1148" s="7" t="s">
        <v>2288</v>
      </c>
      <c r="F1148" s="7" t="s">
        <v>8678</v>
      </c>
      <c r="G1148" s="134">
        <f t="shared" si="130"/>
        <v>1</v>
      </c>
      <c r="H1148" s="134" t="str">
        <f t="shared" si="131"/>
        <v/>
      </c>
      <c r="I1148" s="7" t="s">
        <v>158</v>
      </c>
      <c r="J1148" s="7" t="s">
        <v>1</v>
      </c>
      <c r="K1148" s="7"/>
      <c r="L1148" s="7" t="s">
        <v>167</v>
      </c>
      <c r="M1148" s="7" t="s">
        <v>4957</v>
      </c>
      <c r="N1148" s="7" t="s">
        <v>170</v>
      </c>
      <c r="O1148" s="7" t="s">
        <v>162</v>
      </c>
      <c r="P1148" s="7" t="s">
        <v>6762</v>
      </c>
      <c r="Q1148" s="129">
        <v>46199</v>
      </c>
      <c r="R1148" s="130">
        <f t="shared" si="129"/>
        <v>46199</v>
      </c>
      <c r="S1148" s="131">
        <f t="shared" si="134"/>
        <v>0</v>
      </c>
      <c r="T1148" s="7" t="s">
        <v>193</v>
      </c>
      <c r="U1148" s="7" t="s">
        <v>243</v>
      </c>
      <c r="V1148" s="7"/>
      <c r="W1148" s="7">
        <v>468.58</v>
      </c>
      <c r="X1148" s="132">
        <f t="shared" si="132"/>
        <v>10</v>
      </c>
      <c r="Y1148" s="133"/>
      <c r="Z1148" s="133"/>
      <c r="AA1148" s="133"/>
    </row>
    <row r="1149" spans="1:27" hidden="1" x14ac:dyDescent="0.25">
      <c r="A1149" s="127">
        <v>1275</v>
      </c>
      <c r="B1149" s="128" t="str">
        <f t="shared" si="133"/>
        <v>POPT</v>
      </c>
      <c r="C1149" s="128" t="str">
        <f>+VLOOKUP(U1149,Ходим!A:B,2,0)</f>
        <v>33107902120019</v>
      </c>
      <c r="D1149" s="128" t="str">
        <f>IFERROR(VLOOKUP($B:$B,[20]свод!$A:$AB,3,0)," ")</f>
        <v>Поп тумани</v>
      </c>
      <c r="E1149" s="7" t="s">
        <v>2289</v>
      </c>
      <c r="F1149" s="7" t="s">
        <v>8679</v>
      </c>
      <c r="G1149" s="134">
        <f t="shared" si="130"/>
        <v>1</v>
      </c>
      <c r="H1149" s="134" t="str">
        <f t="shared" si="131"/>
        <v/>
      </c>
      <c r="I1149" s="7" t="s">
        <v>158</v>
      </c>
      <c r="J1149" s="7" t="s">
        <v>1</v>
      </c>
      <c r="K1149" s="7"/>
      <c r="L1149" s="7" t="s">
        <v>167</v>
      </c>
      <c r="M1149" s="7" t="s">
        <v>4958</v>
      </c>
      <c r="N1149" s="7" t="s">
        <v>170</v>
      </c>
      <c r="O1149" s="7" t="s">
        <v>162</v>
      </c>
      <c r="P1149" s="7" t="s">
        <v>6727</v>
      </c>
      <c r="Q1149" s="129">
        <v>46199</v>
      </c>
      <c r="R1149" s="130">
        <f t="shared" si="129"/>
        <v>46202</v>
      </c>
      <c r="S1149" s="131">
        <f t="shared" si="134"/>
        <v>3</v>
      </c>
      <c r="T1149" s="7" t="s">
        <v>240</v>
      </c>
      <c r="U1149" s="7" t="s">
        <v>224</v>
      </c>
      <c r="V1149" s="7"/>
      <c r="W1149" s="7">
        <v>212.83</v>
      </c>
      <c r="X1149" s="132">
        <f t="shared" si="132"/>
        <v>10</v>
      </c>
      <c r="Y1149" s="133"/>
      <c r="Z1149" s="133"/>
      <c r="AA1149" s="133"/>
    </row>
    <row r="1150" spans="1:27" x14ac:dyDescent="0.25">
      <c r="A1150" s="127">
        <v>1276</v>
      </c>
      <c r="B1150" s="128" t="str">
        <f t="shared" si="133"/>
        <v>CHUT</v>
      </c>
      <c r="C1150" s="128" t="e">
        <f>+VLOOKUP(U1150,Ходим!A:B,2,0)</f>
        <v>#N/A</v>
      </c>
      <c r="D1150" s="128" t="str">
        <f>IFERROR(VLOOKUP($B:$B,[20]свод!$A:$AB,3,0)," ")</f>
        <v>Чуст тумани</v>
      </c>
      <c r="E1150" s="7" t="s">
        <v>2290</v>
      </c>
      <c r="F1150" s="7" t="s">
        <v>8680</v>
      </c>
      <c r="G1150" s="134">
        <f t="shared" si="130"/>
        <v>1</v>
      </c>
      <c r="H1150" s="134" t="str">
        <f t="shared" si="131"/>
        <v/>
      </c>
      <c r="I1150" s="7" t="s">
        <v>156</v>
      </c>
      <c r="J1150" s="7" t="s">
        <v>11</v>
      </c>
      <c r="K1150" s="7"/>
      <c r="L1150" s="7"/>
      <c r="M1150" s="7"/>
      <c r="N1150" s="7" t="s">
        <v>410</v>
      </c>
      <c r="O1150" s="7" t="s">
        <v>162</v>
      </c>
      <c r="P1150" s="7" t="s">
        <v>6762</v>
      </c>
      <c r="Q1150" s="129">
        <v>46199</v>
      </c>
      <c r="R1150" s="130">
        <f t="shared" si="129"/>
        <v>46199</v>
      </c>
      <c r="S1150" s="131">
        <f t="shared" si="134"/>
        <v>0</v>
      </c>
      <c r="T1150" s="7"/>
      <c r="U1150" s="7"/>
      <c r="V1150" s="7"/>
      <c r="W1150" s="7"/>
      <c r="X1150" s="132">
        <f t="shared" si="132"/>
        <v>10</v>
      </c>
      <c r="Y1150" s="133"/>
      <c r="Z1150" s="133"/>
      <c r="AA1150" s="133"/>
    </row>
    <row r="1151" spans="1:27" hidden="1" x14ac:dyDescent="0.25">
      <c r="A1151" s="127">
        <v>1277</v>
      </c>
      <c r="B1151" s="128" t="str">
        <f t="shared" si="133"/>
        <v>YGQT</v>
      </c>
      <c r="C1151" s="128" t="str">
        <f>+VLOOKUP(U1151,Ходим!A:B,2,0)</f>
        <v>52802005950028</v>
      </c>
      <c r="D1151" s="128" t="str">
        <f>IFERROR(VLOOKUP($B:$B,[20]свод!$A:$AB,3,0)," ")</f>
        <v>Янгиқўрғон тумани</v>
      </c>
      <c r="E1151" s="7" t="s">
        <v>2291</v>
      </c>
      <c r="F1151" s="7" t="s">
        <v>8681</v>
      </c>
      <c r="G1151" s="134">
        <f t="shared" si="130"/>
        <v>1</v>
      </c>
      <c r="H1151" s="134" t="str">
        <f t="shared" si="131"/>
        <v/>
      </c>
      <c r="I1151" s="7" t="s">
        <v>158</v>
      </c>
      <c r="J1151" s="7" t="s">
        <v>2</v>
      </c>
      <c r="K1151" s="7"/>
      <c r="L1151" s="7"/>
      <c r="M1151" s="7"/>
      <c r="N1151" s="7" t="s">
        <v>170</v>
      </c>
      <c r="O1151" s="7" t="s">
        <v>162</v>
      </c>
      <c r="P1151" s="7" t="s">
        <v>6502</v>
      </c>
      <c r="Q1151" s="129">
        <v>46199</v>
      </c>
      <c r="R1151" s="130">
        <f t="shared" si="129"/>
        <v>46205</v>
      </c>
      <c r="S1151" s="131">
        <f t="shared" si="134"/>
        <v>6</v>
      </c>
      <c r="T1151" s="7" t="s">
        <v>255</v>
      </c>
      <c r="U1151" s="7" t="s">
        <v>281</v>
      </c>
      <c r="V1151" s="7"/>
      <c r="W1151" s="7"/>
      <c r="X1151" s="132">
        <f t="shared" si="132"/>
        <v>10</v>
      </c>
      <c r="Y1151" s="133"/>
      <c r="Z1151" s="133"/>
      <c r="AA1151" s="133"/>
    </row>
    <row r="1152" spans="1:27" hidden="1" x14ac:dyDescent="0.25">
      <c r="A1152" s="127">
        <v>1278</v>
      </c>
      <c r="B1152" s="128" t="str">
        <f t="shared" si="133"/>
        <v>NAMT</v>
      </c>
      <c r="C1152" s="128">
        <f>+VLOOKUP(U1152,Ходим!A:B,2,0)</f>
        <v>32712932090068</v>
      </c>
      <c r="D1152" s="128" t="str">
        <f>IFERROR(VLOOKUP($B:$B,[20]свод!$A:$AB,3,0)," ")</f>
        <v>Наманган тумани</v>
      </c>
      <c r="E1152" s="7" t="s">
        <v>2292</v>
      </c>
      <c r="F1152" s="7" t="s">
        <v>8682</v>
      </c>
      <c r="G1152" s="134">
        <f t="shared" si="130"/>
        <v>1</v>
      </c>
      <c r="H1152" s="134" t="str">
        <f t="shared" si="131"/>
        <v/>
      </c>
      <c r="I1152" s="7" t="s">
        <v>158</v>
      </c>
      <c r="J1152" s="7" t="s">
        <v>2</v>
      </c>
      <c r="K1152" s="7"/>
      <c r="L1152" s="7" t="s">
        <v>167</v>
      </c>
      <c r="M1152" s="7" t="s">
        <v>4959</v>
      </c>
      <c r="N1152" s="7" t="s">
        <v>170</v>
      </c>
      <c r="O1152" s="7" t="s">
        <v>162</v>
      </c>
      <c r="P1152" s="7" t="s">
        <v>6496</v>
      </c>
      <c r="Q1152" s="129">
        <v>46199</v>
      </c>
      <c r="R1152" s="130">
        <f t="shared" si="129"/>
        <v>46206</v>
      </c>
      <c r="S1152" s="131">
        <f t="shared" si="134"/>
        <v>7</v>
      </c>
      <c r="T1152" s="7" t="s">
        <v>193</v>
      </c>
      <c r="U1152" s="7" t="s">
        <v>1016</v>
      </c>
      <c r="V1152" s="7"/>
      <c r="W1152" s="7">
        <v>331.88</v>
      </c>
      <c r="X1152" s="132">
        <f t="shared" si="132"/>
        <v>10</v>
      </c>
      <c r="Y1152" s="133"/>
      <c r="Z1152" s="133"/>
      <c r="AA1152" s="133"/>
    </row>
    <row r="1153" spans="1:27" hidden="1" x14ac:dyDescent="0.25">
      <c r="A1153" s="127">
        <v>1279</v>
      </c>
      <c r="B1153" s="128" t="str">
        <f t="shared" si="133"/>
        <v>KSST</v>
      </c>
      <c r="C1153" s="128" t="str">
        <f>+VLOOKUP(U1153,Ходим!A:B,2,0)</f>
        <v>32503912190045</v>
      </c>
      <c r="D1153" s="128" t="str">
        <f>IFERROR(VLOOKUP($B:$B,[20]свод!$A:$AB,3,0)," ")</f>
        <v>Косонсой тумани</v>
      </c>
      <c r="E1153" s="7" t="s">
        <v>2293</v>
      </c>
      <c r="F1153" s="7" t="s">
        <v>8683</v>
      </c>
      <c r="G1153" s="134" t="str">
        <f t="shared" si="130"/>
        <v/>
      </c>
      <c r="H1153" s="134">
        <f t="shared" si="131"/>
        <v>1</v>
      </c>
      <c r="I1153" s="7" t="s">
        <v>157</v>
      </c>
      <c r="J1153" s="7" t="s">
        <v>2</v>
      </c>
      <c r="K1153" s="7"/>
      <c r="L1153" s="7" t="s">
        <v>166</v>
      </c>
      <c r="M1153" s="7" t="s">
        <v>4960</v>
      </c>
      <c r="N1153" s="7" t="s">
        <v>410</v>
      </c>
      <c r="O1153" s="7" t="s">
        <v>161</v>
      </c>
      <c r="P1153" s="7" t="s">
        <v>6496</v>
      </c>
      <c r="Q1153" s="129">
        <v>46199</v>
      </c>
      <c r="R1153" s="130">
        <f t="shared" si="129"/>
        <v>46224</v>
      </c>
      <c r="S1153" s="131">
        <f t="shared" si="134"/>
        <v>25</v>
      </c>
      <c r="T1153" s="7" t="s">
        <v>180</v>
      </c>
      <c r="U1153" s="7" t="s">
        <v>254</v>
      </c>
      <c r="V1153" s="7"/>
      <c r="W1153" s="7">
        <v>7968.87</v>
      </c>
      <c r="X1153" s="132">
        <f t="shared" si="132"/>
        <v>22</v>
      </c>
      <c r="Y1153" s="133"/>
      <c r="Z1153" s="133"/>
      <c r="AA1153" s="133"/>
    </row>
    <row r="1154" spans="1:27" hidden="1" x14ac:dyDescent="0.25">
      <c r="A1154" s="127">
        <v>1280</v>
      </c>
      <c r="B1154" s="128" t="str">
        <f t="shared" si="133"/>
        <v>NAMT</v>
      </c>
      <c r="C1154" s="128" t="e">
        <f>+VLOOKUP(U1154,Ходим!A:B,2,0)</f>
        <v>#N/A</v>
      </c>
      <c r="D1154" s="128" t="str">
        <f>IFERROR(VLOOKUP($B:$B,[20]свод!$A:$AB,3,0)," ")</f>
        <v>Наманган тумани</v>
      </c>
      <c r="E1154" s="7" t="s">
        <v>2294</v>
      </c>
      <c r="F1154" s="7" t="s">
        <v>8684</v>
      </c>
      <c r="G1154" s="134">
        <f t="shared" si="130"/>
        <v>1</v>
      </c>
      <c r="H1154" s="134" t="str">
        <f t="shared" si="131"/>
        <v/>
      </c>
      <c r="I1154" s="7" t="s">
        <v>159</v>
      </c>
      <c r="J1154" s="7" t="s">
        <v>137</v>
      </c>
      <c r="K1154" s="7"/>
      <c r="L1154" s="7" t="s">
        <v>167</v>
      </c>
      <c r="M1154" s="7" t="s">
        <v>4961</v>
      </c>
      <c r="N1154" s="7" t="s">
        <v>410</v>
      </c>
      <c r="O1154" s="7" t="s">
        <v>163</v>
      </c>
      <c r="P1154" s="7" t="s">
        <v>6817</v>
      </c>
      <c r="Q1154" s="129">
        <v>46199</v>
      </c>
      <c r="R1154" s="130">
        <f t="shared" si="129"/>
        <v>46212</v>
      </c>
      <c r="S1154" s="131">
        <f t="shared" si="134"/>
        <v>13</v>
      </c>
      <c r="T1154" s="7"/>
      <c r="U1154" s="7"/>
      <c r="V1154" s="7"/>
      <c r="W1154" s="7">
        <v>212.92</v>
      </c>
      <c r="X1154" s="132">
        <f t="shared" si="132"/>
        <v>10</v>
      </c>
      <c r="Y1154" s="133"/>
      <c r="Z1154" s="133"/>
      <c r="AA1154" s="133"/>
    </row>
    <row r="1155" spans="1:27" hidden="1" x14ac:dyDescent="0.25">
      <c r="A1155" s="127">
        <v>1281</v>
      </c>
      <c r="B1155" s="128" t="str">
        <f t="shared" si="133"/>
        <v>NAMS</v>
      </c>
      <c r="C1155" s="128" t="str">
        <f>+VLOOKUP(U1155,Ходим!A:B,2,0)</f>
        <v>52710005960025</v>
      </c>
      <c r="D1155" s="128" t="str">
        <f>IFERROR(VLOOKUP($B:$B,[20]свод!$A:$AB,3,0)," ")</f>
        <v>Наманган шаҳар</v>
      </c>
      <c r="E1155" s="7" t="s">
        <v>2295</v>
      </c>
      <c r="F1155" s="7" t="s">
        <v>8685</v>
      </c>
      <c r="G1155" s="134">
        <f t="shared" si="130"/>
        <v>1</v>
      </c>
      <c r="H1155" s="134" t="str">
        <f t="shared" si="131"/>
        <v/>
      </c>
      <c r="I1155" s="7" t="s">
        <v>158</v>
      </c>
      <c r="J1155" s="7" t="s">
        <v>134</v>
      </c>
      <c r="K1155" s="7"/>
      <c r="L1155" s="7"/>
      <c r="M1155" s="7"/>
      <c r="N1155" s="7" t="s">
        <v>170</v>
      </c>
      <c r="O1155" s="7" t="s">
        <v>162</v>
      </c>
      <c r="P1155" s="7" t="s">
        <v>6818</v>
      </c>
      <c r="Q1155" s="129">
        <v>46199</v>
      </c>
      <c r="R1155" s="130">
        <f t="shared" ref="R1155:R1214" si="135">WORKDAY(P1155,X1155,$Y$1:$AA$1)</f>
        <v>46206</v>
      </c>
      <c r="S1155" s="131">
        <f t="shared" si="134"/>
        <v>7</v>
      </c>
      <c r="T1155" s="7" t="s">
        <v>173</v>
      </c>
      <c r="U1155" s="7" t="s">
        <v>274</v>
      </c>
      <c r="V1155" s="7"/>
      <c r="W1155" s="7"/>
      <c r="X1155" s="132">
        <f t="shared" si="132"/>
        <v>10</v>
      </c>
      <c r="Y1155" s="133"/>
      <c r="Z1155" s="133"/>
      <c r="AA1155" s="133"/>
    </row>
    <row r="1156" spans="1:27" hidden="1" x14ac:dyDescent="0.25">
      <c r="A1156" s="127">
        <v>1282</v>
      </c>
      <c r="B1156" s="128" t="str">
        <f t="shared" si="133"/>
        <v>NAMT</v>
      </c>
      <c r="C1156" s="128" t="e">
        <f>+VLOOKUP(U1156,Ходим!A:B,2,0)</f>
        <v>#N/A</v>
      </c>
      <c r="D1156" s="128" t="str">
        <f>IFERROR(VLOOKUP($B:$B,[20]свод!$A:$AB,3,0)," ")</f>
        <v>Наманган тумани</v>
      </c>
      <c r="E1156" s="7" t="s">
        <v>2296</v>
      </c>
      <c r="F1156" s="7" t="s">
        <v>8686</v>
      </c>
      <c r="G1156" s="134">
        <f t="shared" si="130"/>
        <v>1</v>
      </c>
      <c r="H1156" s="134" t="str">
        <f t="shared" si="131"/>
        <v/>
      </c>
      <c r="I1156" s="7" t="s">
        <v>159</v>
      </c>
      <c r="J1156" s="7" t="s">
        <v>137</v>
      </c>
      <c r="K1156" s="7"/>
      <c r="L1156" s="7" t="s">
        <v>167</v>
      </c>
      <c r="M1156" s="7" t="s">
        <v>4962</v>
      </c>
      <c r="N1156" s="7" t="s">
        <v>410</v>
      </c>
      <c r="O1156" s="7" t="s">
        <v>163</v>
      </c>
      <c r="P1156" s="7" t="s">
        <v>6817</v>
      </c>
      <c r="Q1156" s="129">
        <v>46199</v>
      </c>
      <c r="R1156" s="130">
        <f t="shared" si="135"/>
        <v>46212</v>
      </c>
      <c r="S1156" s="131">
        <f t="shared" si="134"/>
        <v>13</v>
      </c>
      <c r="T1156" s="7"/>
      <c r="U1156" s="7"/>
      <c r="V1156" s="7"/>
      <c r="W1156" s="7">
        <v>212.92</v>
      </c>
      <c r="X1156" s="132">
        <f t="shared" si="132"/>
        <v>10</v>
      </c>
      <c r="Y1156" s="133"/>
      <c r="Z1156" s="133"/>
      <c r="AA1156" s="133"/>
    </row>
    <row r="1157" spans="1:27" x14ac:dyDescent="0.25">
      <c r="A1157" s="127">
        <v>1283</v>
      </c>
      <c r="B1157" s="128" t="str">
        <f t="shared" si="133"/>
        <v>NAMT</v>
      </c>
      <c r="C1157" s="128" t="str">
        <f>+VLOOKUP(U1157,Ходим!A:B,2,0)</f>
        <v>31702942090041</v>
      </c>
      <c r="D1157" s="128" t="str">
        <f>IFERROR(VLOOKUP($B:$B,[20]свод!$A:$AB,3,0)," ")</f>
        <v>Наманган тумани</v>
      </c>
      <c r="E1157" s="7" t="s">
        <v>2297</v>
      </c>
      <c r="F1157" s="7" t="s">
        <v>8687</v>
      </c>
      <c r="G1157" s="134">
        <f t="shared" si="130"/>
        <v>1</v>
      </c>
      <c r="H1157" s="134" t="str">
        <f t="shared" si="131"/>
        <v/>
      </c>
      <c r="I1157" s="7" t="s">
        <v>158</v>
      </c>
      <c r="J1157" s="7" t="s">
        <v>1</v>
      </c>
      <c r="K1157" s="7"/>
      <c r="L1157" s="7" t="s">
        <v>167</v>
      </c>
      <c r="M1157" s="7" t="s">
        <v>4963</v>
      </c>
      <c r="N1157" s="7" t="s">
        <v>170</v>
      </c>
      <c r="O1157" s="7" t="s">
        <v>162</v>
      </c>
      <c r="P1157" s="7" t="s">
        <v>6734</v>
      </c>
      <c r="Q1157" s="129">
        <v>46199</v>
      </c>
      <c r="R1157" s="130">
        <f t="shared" si="135"/>
        <v>46199</v>
      </c>
      <c r="S1157" s="131">
        <f t="shared" si="134"/>
        <v>0</v>
      </c>
      <c r="T1157" s="7" t="s">
        <v>193</v>
      </c>
      <c r="U1157" s="7" t="s">
        <v>194</v>
      </c>
      <c r="V1157" s="7"/>
      <c r="W1157" s="7">
        <v>284.89999999999998</v>
      </c>
      <c r="X1157" s="132">
        <f t="shared" si="132"/>
        <v>10</v>
      </c>
      <c r="Y1157" s="133"/>
      <c r="Z1157" s="133"/>
      <c r="AA1157" s="133"/>
    </row>
    <row r="1158" spans="1:27" hidden="1" x14ac:dyDescent="0.25">
      <c r="A1158" s="127">
        <v>1284</v>
      </c>
      <c r="B1158" s="128" t="str">
        <f t="shared" si="133"/>
        <v>NAMT</v>
      </c>
      <c r="C1158" s="128" t="str">
        <f>+VLOOKUP(U1158,Ходим!A:B,2,0)</f>
        <v>31702942090041</v>
      </c>
      <c r="D1158" s="128" t="str">
        <f>IFERROR(VLOOKUP($B:$B,[20]свод!$A:$AB,3,0)," ")</f>
        <v>Наманган тумани</v>
      </c>
      <c r="E1158" s="7" t="s">
        <v>2298</v>
      </c>
      <c r="F1158" s="7" t="s">
        <v>8688</v>
      </c>
      <c r="G1158" s="134">
        <f t="shared" si="130"/>
        <v>1</v>
      </c>
      <c r="H1158" s="134" t="str">
        <f t="shared" si="131"/>
        <v/>
      </c>
      <c r="I1158" s="7" t="s">
        <v>158</v>
      </c>
      <c r="J1158" s="7" t="s">
        <v>2</v>
      </c>
      <c r="K1158" s="7"/>
      <c r="L1158" s="7" t="s">
        <v>167</v>
      </c>
      <c r="M1158" s="7" t="s">
        <v>4964</v>
      </c>
      <c r="N1158" s="7" t="s">
        <v>170</v>
      </c>
      <c r="O1158" s="7" t="s">
        <v>162</v>
      </c>
      <c r="P1158" s="7" t="s">
        <v>6819</v>
      </c>
      <c r="Q1158" s="129">
        <v>46199</v>
      </c>
      <c r="R1158" s="130">
        <f t="shared" si="135"/>
        <v>46206</v>
      </c>
      <c r="S1158" s="131">
        <f t="shared" si="134"/>
        <v>7</v>
      </c>
      <c r="T1158" s="7" t="s">
        <v>197</v>
      </c>
      <c r="U1158" s="7" t="s">
        <v>194</v>
      </c>
      <c r="V1158" s="7"/>
      <c r="W1158" s="7">
        <v>211.79</v>
      </c>
      <c r="X1158" s="132">
        <f t="shared" si="132"/>
        <v>10</v>
      </c>
      <c r="Y1158" s="133"/>
      <c r="Z1158" s="133"/>
      <c r="AA1158" s="133"/>
    </row>
    <row r="1159" spans="1:27" hidden="1" x14ac:dyDescent="0.25">
      <c r="A1159" s="127">
        <v>1285</v>
      </c>
      <c r="B1159" s="128" t="str">
        <f t="shared" si="133"/>
        <v>NAMT</v>
      </c>
      <c r="C1159" s="128" t="str">
        <f>+VLOOKUP(U1159,Ходим!A:B,2,0)</f>
        <v>31205812090050</v>
      </c>
      <c r="D1159" s="128" t="str">
        <f>IFERROR(VLOOKUP($B:$B,[20]свод!$A:$AB,3,0)," ")</f>
        <v>Наманган тумани</v>
      </c>
      <c r="E1159" s="7" t="s">
        <v>2299</v>
      </c>
      <c r="F1159" s="7" t="s">
        <v>8689</v>
      </c>
      <c r="G1159" s="134">
        <f t="shared" ref="G1159:G1218" si="136">IF(OR(
I1159="Turar joy obyektning kadastr pasportini shakllantirish va davlat ro'yxatidan o'tkazish",
I1159="Turar kompozit"
),
1,
IF(OR(
I1159="Noturar kompozit",
I1159="Avtoyo'l va suv xo'jaligi obyektining kadastr pasportini shakllantirish va ro'yxatga olish",
I1159="Noturar obyektning kadastr pasportining kadastr pasportini shakllantirish va davlat ro'yxatidan o'tkazish"
),
"",
IF(OR(
I1159="Notarius uchun ma'lumotnoma (uz)",
I1159="Qurilishi tugallangan ko'chmas mulkni foydalanishga qabul qilish",
I1159="Umumiy foydalanishdagi ko'chmas mulk qismini yaratish",
I1159="Registratsiya (tashqi - UZKAD da bor)"
),
IF(OR(L1159="Turar yer maydoni",L1159="Yakka tartibdagi turar joy"),1,
IF(L1159="Noturar bino","",
IF(L1159="Noturar yer maydoni","",
IF(L1159="",IF(OR(O1159="Turar joy xizmati",O1159="Foydalanishga ruxsatnoma berish xizmati"),1,""),"")
))),
"")))</f>
        <v>1</v>
      </c>
      <c r="H1159" s="134" t="str">
        <f t="shared" ref="H1159:H1218" si="137">IF(OR(
I1159="Turar joy obyektning kadastr pasportini shakllantirish va davlat ro'yxatidan o'tkazish",
I1159="Turar kompozit"
),
"",
IF(OR(
I1159="Noturar kompozit",
I1159="Avtoyo'l va suv xo'jaligi obyektining kadastr pasportini shakllantirish va ro'yxatga olish",
I1159="Noturar obyektning kadastr pasportini shakllantirish va davlat ro'yxatidan o'tkazish"
),
1,
IF(OR(
I1159="Notarius uchun ma'lumotnoma (uz)",
I1159="Qurilishi tugallangan ko'chmas mulkni foydalanishga qabul qilish",
I1159="Umumiy foydalanishdagi ko'chmas mulk qismini yaratish",
I1159="Registratsiya (tashqi - UZKAD da bor)"
),
IF(OR(L1159="Turar yer maydoni",L1159="Yakka tartibdagi turar joy"),"",
IF(L1159="Noturar bino",1,
IF(L1159="Noturar yer maydoni",1,
IF(L1159="",IF(OR(O1159="Turar joy xizmati",O1159="Foydalanishga ruxsatnoma berish xizmati"),"",1),"")
))),
"")))</f>
        <v/>
      </c>
      <c r="I1159" s="7" t="s">
        <v>158</v>
      </c>
      <c r="J1159" s="7" t="s">
        <v>2</v>
      </c>
      <c r="K1159" s="7"/>
      <c r="L1159" s="7" t="s">
        <v>167</v>
      </c>
      <c r="M1159" s="7" t="s">
        <v>4965</v>
      </c>
      <c r="N1159" s="7" t="s">
        <v>170</v>
      </c>
      <c r="O1159" s="7" t="s">
        <v>162</v>
      </c>
      <c r="P1159" s="7" t="s">
        <v>6781</v>
      </c>
      <c r="Q1159" s="129">
        <v>46199</v>
      </c>
      <c r="R1159" s="130">
        <f t="shared" si="135"/>
        <v>46206</v>
      </c>
      <c r="S1159" s="131">
        <f t="shared" si="134"/>
        <v>7</v>
      </c>
      <c r="T1159" s="7" t="s">
        <v>193</v>
      </c>
      <c r="U1159" s="7" t="s">
        <v>346</v>
      </c>
      <c r="V1159" s="7"/>
      <c r="W1159" s="7">
        <v>195.95</v>
      </c>
      <c r="X1159" s="132">
        <f t="shared" si="132"/>
        <v>10</v>
      </c>
      <c r="Y1159" s="133"/>
      <c r="Z1159" s="133"/>
      <c r="AA1159" s="133"/>
    </row>
    <row r="1160" spans="1:27" hidden="1" x14ac:dyDescent="0.25">
      <c r="A1160" s="127">
        <v>1286</v>
      </c>
      <c r="B1160" s="128" t="str">
        <f t="shared" si="133"/>
        <v>NAMS</v>
      </c>
      <c r="C1160" s="128" t="str">
        <f>+VLOOKUP(U1160,Ходим!A:B,2,0)</f>
        <v>41006772170195</v>
      </c>
      <c r="D1160" s="128" t="str">
        <f>IFERROR(VLOOKUP($B:$B,[20]свод!$A:$AB,3,0)," ")</f>
        <v>Наманган шаҳар</v>
      </c>
      <c r="E1160" s="7" t="s">
        <v>2300</v>
      </c>
      <c r="F1160" s="7" t="s">
        <v>8690</v>
      </c>
      <c r="G1160" s="134" t="str">
        <f t="shared" si="136"/>
        <v/>
      </c>
      <c r="H1160" s="134">
        <f t="shared" si="137"/>
        <v>1</v>
      </c>
      <c r="I1160" s="7" t="s">
        <v>157</v>
      </c>
      <c r="J1160" s="7" t="s">
        <v>2</v>
      </c>
      <c r="K1160" s="7"/>
      <c r="L1160" s="7" t="s">
        <v>166</v>
      </c>
      <c r="M1160" s="7" t="s">
        <v>4966</v>
      </c>
      <c r="N1160" s="7" t="s">
        <v>170</v>
      </c>
      <c r="O1160" s="7" t="s">
        <v>161</v>
      </c>
      <c r="P1160" s="7" t="s">
        <v>6820</v>
      </c>
      <c r="Q1160" s="129">
        <v>46199</v>
      </c>
      <c r="R1160" s="130">
        <f t="shared" si="135"/>
        <v>46206</v>
      </c>
      <c r="S1160" s="131">
        <f t="shared" si="134"/>
        <v>7</v>
      </c>
      <c r="T1160" s="7" t="s">
        <v>173</v>
      </c>
      <c r="U1160" s="7" t="s">
        <v>338</v>
      </c>
      <c r="V1160" s="7"/>
      <c r="W1160" s="7">
        <v>0</v>
      </c>
      <c r="X1160" s="132">
        <f t="shared" si="132"/>
        <v>10</v>
      </c>
      <c r="Y1160" s="133"/>
      <c r="Z1160" s="133"/>
      <c r="AA1160" s="133"/>
    </row>
    <row r="1161" spans="1:27" hidden="1" x14ac:dyDescent="0.25">
      <c r="A1161" s="127">
        <v>1287</v>
      </c>
      <c r="B1161" s="128" t="str">
        <f t="shared" si="133"/>
        <v>CHUT</v>
      </c>
      <c r="C1161" s="128" t="str">
        <f>+VLOOKUP(U1161,Ходим!A:B,2,0)</f>
        <v>32304995970021</v>
      </c>
      <c r="D1161" s="128" t="str">
        <f>IFERROR(VLOOKUP($B:$B,[20]свод!$A:$AB,3,0)," ")</f>
        <v>Чуст тумани</v>
      </c>
      <c r="E1161" s="7" t="s">
        <v>2301</v>
      </c>
      <c r="F1161" s="7" t="s">
        <v>8691</v>
      </c>
      <c r="G1161" s="134">
        <f t="shared" si="136"/>
        <v>1</v>
      </c>
      <c r="H1161" s="134" t="str">
        <f t="shared" si="137"/>
        <v/>
      </c>
      <c r="I1161" s="7" t="s">
        <v>158</v>
      </c>
      <c r="J1161" s="7" t="s">
        <v>172</v>
      </c>
      <c r="K1161" s="7"/>
      <c r="L1161" s="7" t="s">
        <v>167</v>
      </c>
      <c r="M1161" s="7" t="s">
        <v>4967</v>
      </c>
      <c r="N1161" s="7" t="s">
        <v>170</v>
      </c>
      <c r="O1161" s="7" t="s">
        <v>162</v>
      </c>
      <c r="P1161" s="7" t="s">
        <v>6820</v>
      </c>
      <c r="Q1161" s="129">
        <v>46199</v>
      </c>
      <c r="R1161" s="130">
        <f t="shared" si="135"/>
        <v>46206</v>
      </c>
      <c r="S1161" s="131">
        <f t="shared" si="134"/>
        <v>7</v>
      </c>
      <c r="T1161" s="7" t="s">
        <v>178</v>
      </c>
      <c r="U1161" s="7" t="s">
        <v>938</v>
      </c>
      <c r="V1161" s="7"/>
      <c r="W1161" s="7">
        <v>316.75</v>
      </c>
      <c r="X1161" s="132">
        <f t="shared" si="132"/>
        <v>10</v>
      </c>
      <c r="Y1161" s="133"/>
      <c r="Z1161" s="133"/>
      <c r="AA1161" s="133"/>
    </row>
    <row r="1162" spans="1:27" hidden="1" x14ac:dyDescent="0.25">
      <c r="A1162" s="127">
        <v>1288</v>
      </c>
      <c r="B1162" s="128" t="str">
        <f t="shared" si="133"/>
        <v>NAMS</v>
      </c>
      <c r="C1162" s="128" t="str">
        <f>+VLOOKUP(U1162,Ходим!A:B,2,0)</f>
        <v>53008015960094</v>
      </c>
      <c r="D1162" s="128" t="str">
        <f>IFERROR(VLOOKUP($B:$B,[20]свод!$A:$AB,3,0)," ")</f>
        <v>Наманган шаҳар</v>
      </c>
      <c r="E1162" s="7" t="s">
        <v>2302</v>
      </c>
      <c r="F1162" s="7" t="s">
        <v>8692</v>
      </c>
      <c r="G1162" s="134">
        <f t="shared" si="136"/>
        <v>1</v>
      </c>
      <c r="H1162" s="134" t="str">
        <f t="shared" si="137"/>
        <v/>
      </c>
      <c r="I1162" s="7" t="s">
        <v>156</v>
      </c>
      <c r="J1162" s="7" t="s">
        <v>25</v>
      </c>
      <c r="K1162" s="7"/>
      <c r="L1162" s="7"/>
      <c r="M1162" s="7"/>
      <c r="N1162" s="7" t="s">
        <v>170</v>
      </c>
      <c r="O1162" s="7" t="s">
        <v>162</v>
      </c>
      <c r="P1162" s="7" t="s">
        <v>6820</v>
      </c>
      <c r="Q1162" s="129">
        <v>46199</v>
      </c>
      <c r="R1162" s="130">
        <f t="shared" si="135"/>
        <v>46206</v>
      </c>
      <c r="S1162" s="131">
        <f t="shared" si="134"/>
        <v>7</v>
      </c>
      <c r="T1162" s="7" t="s">
        <v>173</v>
      </c>
      <c r="U1162" s="7" t="s">
        <v>403</v>
      </c>
      <c r="V1162" s="7"/>
      <c r="W1162" s="7"/>
      <c r="X1162" s="132">
        <f t="shared" si="132"/>
        <v>10</v>
      </c>
      <c r="Y1162" s="133"/>
      <c r="Z1162" s="133"/>
      <c r="AA1162" s="133"/>
    </row>
    <row r="1163" spans="1:27" hidden="1" x14ac:dyDescent="0.25">
      <c r="A1163" s="127">
        <v>1289</v>
      </c>
      <c r="B1163" s="128" t="str">
        <f t="shared" si="133"/>
        <v>TORT</v>
      </c>
      <c r="C1163" s="128" t="str">
        <f>+VLOOKUP(U1163,Ходим!A:B,2,0)</f>
        <v>30708792130017</v>
      </c>
      <c r="D1163" s="128" t="str">
        <f>IFERROR(VLOOKUP($B:$B,[20]свод!$A:$AB,3,0)," ")</f>
        <v>Тўрақўрғон тумани</v>
      </c>
      <c r="E1163" s="7" t="s">
        <v>2303</v>
      </c>
      <c r="F1163" s="7" t="s">
        <v>8693</v>
      </c>
      <c r="G1163" s="134">
        <f t="shared" si="136"/>
        <v>1</v>
      </c>
      <c r="H1163" s="134" t="str">
        <f t="shared" si="137"/>
        <v/>
      </c>
      <c r="I1163" s="7" t="s">
        <v>158</v>
      </c>
      <c r="J1163" s="7" t="s">
        <v>1</v>
      </c>
      <c r="K1163" s="7"/>
      <c r="L1163" s="7" t="s">
        <v>167</v>
      </c>
      <c r="M1163" s="7" t="s">
        <v>4968</v>
      </c>
      <c r="N1163" s="7" t="s">
        <v>170</v>
      </c>
      <c r="O1163" s="7" t="s">
        <v>162</v>
      </c>
      <c r="P1163" s="7" t="s">
        <v>6821</v>
      </c>
      <c r="Q1163" s="129">
        <v>46199</v>
      </c>
      <c r="R1163" s="130">
        <f t="shared" si="135"/>
        <v>46205</v>
      </c>
      <c r="S1163" s="131">
        <f t="shared" si="134"/>
        <v>6</v>
      </c>
      <c r="T1163" s="7" t="s">
        <v>203</v>
      </c>
      <c r="U1163" s="7" t="s">
        <v>204</v>
      </c>
      <c r="V1163" s="7"/>
      <c r="W1163" s="7">
        <v>337.56</v>
      </c>
      <c r="X1163" s="132">
        <f t="shared" si="132"/>
        <v>10</v>
      </c>
      <c r="Y1163" s="133"/>
      <c r="Z1163" s="133"/>
      <c r="AA1163" s="133"/>
    </row>
    <row r="1164" spans="1:27" hidden="1" x14ac:dyDescent="0.25">
      <c r="A1164" s="127">
        <v>1290</v>
      </c>
      <c r="B1164" s="128" t="str">
        <f t="shared" si="133"/>
        <v>POPT</v>
      </c>
      <c r="C1164" s="128" t="str">
        <f>+VLOOKUP(U1164,Ходим!A:B,2,0)</f>
        <v>30809922120031</v>
      </c>
      <c r="D1164" s="128" t="str">
        <f>IFERROR(VLOOKUP($B:$B,[20]свод!$A:$AB,3,0)," ")</f>
        <v>Поп тумани</v>
      </c>
      <c r="E1164" s="7" t="s">
        <v>2304</v>
      </c>
      <c r="F1164" s="7" t="s">
        <v>8694</v>
      </c>
      <c r="G1164" s="134">
        <f t="shared" si="136"/>
        <v>1</v>
      </c>
      <c r="H1164" s="134" t="str">
        <f t="shared" si="137"/>
        <v/>
      </c>
      <c r="I1164" s="7" t="s">
        <v>156</v>
      </c>
      <c r="J1164" s="7" t="s">
        <v>25</v>
      </c>
      <c r="K1164" s="7"/>
      <c r="L1164" s="7"/>
      <c r="M1164" s="7"/>
      <c r="N1164" s="7" t="s">
        <v>170</v>
      </c>
      <c r="O1164" s="7" t="s">
        <v>162</v>
      </c>
      <c r="P1164" s="7" t="s">
        <v>6822</v>
      </c>
      <c r="Q1164" s="129">
        <v>46199</v>
      </c>
      <c r="R1164" s="130">
        <f t="shared" si="135"/>
        <v>46212</v>
      </c>
      <c r="S1164" s="131">
        <f t="shared" si="134"/>
        <v>13</v>
      </c>
      <c r="T1164" s="7" t="s">
        <v>240</v>
      </c>
      <c r="U1164" s="7" t="s">
        <v>339</v>
      </c>
      <c r="V1164" s="7"/>
      <c r="W1164" s="7"/>
      <c r="X1164" s="132">
        <f t="shared" si="132"/>
        <v>10</v>
      </c>
      <c r="Y1164" s="133"/>
      <c r="Z1164" s="133"/>
      <c r="AA1164" s="133"/>
    </row>
    <row r="1165" spans="1:27" hidden="1" x14ac:dyDescent="0.25">
      <c r="A1165" s="127">
        <v>1291</v>
      </c>
      <c r="B1165" s="128" t="str">
        <f t="shared" si="133"/>
        <v>UCQT</v>
      </c>
      <c r="C1165" s="128" t="e">
        <f>+VLOOKUP(U1165,Ходим!A:B,2,0)</f>
        <v>#N/A</v>
      </c>
      <c r="D1165" s="128" t="str">
        <f>IFERROR(VLOOKUP($B:$B,[20]свод!$A:$AB,3,0)," ")</f>
        <v>Учқўрғон тумани</v>
      </c>
      <c r="E1165" s="7" t="s">
        <v>2305</v>
      </c>
      <c r="F1165" s="7" t="s">
        <v>8695</v>
      </c>
      <c r="G1165" s="134">
        <f t="shared" si="136"/>
        <v>1</v>
      </c>
      <c r="H1165" s="134" t="str">
        <f t="shared" si="137"/>
        <v/>
      </c>
      <c r="I1165" s="7" t="s">
        <v>156</v>
      </c>
      <c r="J1165" s="7" t="s">
        <v>11</v>
      </c>
      <c r="K1165" s="7"/>
      <c r="L1165" s="7"/>
      <c r="M1165" s="7"/>
      <c r="N1165" s="7" t="s">
        <v>170</v>
      </c>
      <c r="O1165" s="7" t="s">
        <v>162</v>
      </c>
      <c r="P1165" s="7" t="s">
        <v>6822</v>
      </c>
      <c r="Q1165" s="129">
        <v>46199</v>
      </c>
      <c r="R1165" s="130">
        <f t="shared" si="135"/>
        <v>46212</v>
      </c>
      <c r="S1165" s="131">
        <f t="shared" si="134"/>
        <v>13</v>
      </c>
      <c r="T1165" s="7"/>
      <c r="U1165" s="7"/>
      <c r="V1165" s="7"/>
      <c r="W1165" s="7"/>
      <c r="X1165" s="132">
        <f t="shared" si="132"/>
        <v>10</v>
      </c>
      <c r="Y1165" s="133"/>
      <c r="Z1165" s="133"/>
      <c r="AA1165" s="133"/>
    </row>
    <row r="1166" spans="1:27" hidden="1" x14ac:dyDescent="0.25">
      <c r="A1166" s="127">
        <v>1292</v>
      </c>
      <c r="B1166" s="128" t="str">
        <f t="shared" si="133"/>
        <v>NAMS</v>
      </c>
      <c r="C1166" s="128" t="str">
        <f>+VLOOKUP(U1166,Ходим!A:B,2,0)</f>
        <v>30108932170088</v>
      </c>
      <c r="D1166" s="128" t="str">
        <f>IFERROR(VLOOKUP($B:$B,[20]свод!$A:$AB,3,0)," ")</f>
        <v>Наманган шаҳар</v>
      </c>
      <c r="E1166" s="7" t="s">
        <v>2306</v>
      </c>
      <c r="F1166" s="7" t="s">
        <v>8696</v>
      </c>
      <c r="G1166" s="134">
        <f t="shared" si="136"/>
        <v>1</v>
      </c>
      <c r="H1166" s="134" t="str">
        <f t="shared" si="137"/>
        <v/>
      </c>
      <c r="I1166" s="7" t="s">
        <v>158</v>
      </c>
      <c r="J1166" s="7" t="s">
        <v>2</v>
      </c>
      <c r="K1166" s="7"/>
      <c r="L1166" s="7"/>
      <c r="M1166" s="7"/>
      <c r="N1166" s="7" t="s">
        <v>170</v>
      </c>
      <c r="O1166" s="7" t="s">
        <v>162</v>
      </c>
      <c r="P1166" s="7" t="s">
        <v>6823</v>
      </c>
      <c r="Q1166" s="129">
        <v>46199</v>
      </c>
      <c r="R1166" s="130">
        <f t="shared" si="135"/>
        <v>46206</v>
      </c>
      <c r="S1166" s="131">
        <f t="shared" si="134"/>
        <v>7</v>
      </c>
      <c r="T1166" s="7" t="s">
        <v>173</v>
      </c>
      <c r="U1166" s="7" t="s">
        <v>329</v>
      </c>
      <c r="V1166" s="7"/>
      <c r="W1166" s="7"/>
      <c r="X1166" s="132">
        <f t="shared" si="132"/>
        <v>10</v>
      </c>
      <c r="Y1166" s="133"/>
      <c r="Z1166" s="133"/>
      <c r="AA1166" s="133"/>
    </row>
    <row r="1167" spans="1:27" hidden="1" x14ac:dyDescent="0.25">
      <c r="A1167" s="127">
        <v>1293</v>
      </c>
      <c r="B1167" s="128" t="str">
        <f t="shared" si="133"/>
        <v>KSST</v>
      </c>
      <c r="C1167" s="128" t="str">
        <f>+VLOOKUP(U1167,Ходим!A:B,2,0)</f>
        <v>30411985980017</v>
      </c>
      <c r="D1167" s="128" t="str">
        <f>IFERROR(VLOOKUP($B:$B,[20]свод!$A:$AB,3,0)," ")</f>
        <v>Косонсой тумани</v>
      </c>
      <c r="E1167" s="7" t="s">
        <v>2307</v>
      </c>
      <c r="F1167" s="7" t="s">
        <v>8697</v>
      </c>
      <c r="G1167" s="134">
        <f t="shared" si="136"/>
        <v>1</v>
      </c>
      <c r="H1167" s="134" t="str">
        <f t="shared" si="137"/>
        <v/>
      </c>
      <c r="I1167" s="7" t="s">
        <v>156</v>
      </c>
      <c r="J1167" s="7" t="s">
        <v>25</v>
      </c>
      <c r="K1167" s="7"/>
      <c r="L1167" s="7"/>
      <c r="M1167" s="7"/>
      <c r="N1167" s="7" t="s">
        <v>170</v>
      </c>
      <c r="O1167" s="7" t="s">
        <v>162</v>
      </c>
      <c r="P1167" s="7" t="s">
        <v>6823</v>
      </c>
      <c r="Q1167" s="129">
        <v>46199</v>
      </c>
      <c r="R1167" s="130">
        <f t="shared" si="135"/>
        <v>46206</v>
      </c>
      <c r="S1167" s="131">
        <f t="shared" si="134"/>
        <v>7</v>
      </c>
      <c r="T1167" s="7" t="s">
        <v>180</v>
      </c>
      <c r="U1167" s="7" t="s">
        <v>360</v>
      </c>
      <c r="V1167" s="7"/>
      <c r="W1167" s="7"/>
      <c r="X1167" s="132">
        <f t="shared" si="132"/>
        <v>10</v>
      </c>
      <c r="Y1167" s="133"/>
      <c r="Z1167" s="133"/>
      <c r="AA1167" s="133"/>
    </row>
    <row r="1168" spans="1:27" x14ac:dyDescent="0.25">
      <c r="A1168" s="127">
        <v>1294</v>
      </c>
      <c r="B1168" s="128" t="str">
        <f t="shared" si="133"/>
        <v>MINT</v>
      </c>
      <c r="C1168" s="128" t="str">
        <f>+VLOOKUP(U1168,Ходим!A:B,2,0)</f>
        <v>31005942200035</v>
      </c>
      <c r="D1168" s="128" t="str">
        <f>IFERROR(VLOOKUP($B:$B,[20]свод!$A:$AB,3,0)," ")</f>
        <v>Мингбулоқ тумани</v>
      </c>
      <c r="E1168" s="7" t="s">
        <v>2308</v>
      </c>
      <c r="F1168" s="7" t="s">
        <v>8698</v>
      </c>
      <c r="G1168" s="134">
        <f t="shared" si="136"/>
        <v>1</v>
      </c>
      <c r="H1168" s="134" t="str">
        <f t="shared" si="137"/>
        <v/>
      </c>
      <c r="I1168" s="7" t="s">
        <v>158</v>
      </c>
      <c r="J1168" s="7" t="s">
        <v>12</v>
      </c>
      <c r="K1168" s="7"/>
      <c r="L1168" s="7" t="s">
        <v>167</v>
      </c>
      <c r="M1168" s="7" t="s">
        <v>4969</v>
      </c>
      <c r="N1168" s="7" t="s">
        <v>170</v>
      </c>
      <c r="O1168" s="7" t="s">
        <v>162</v>
      </c>
      <c r="P1168" s="7" t="s">
        <v>6824</v>
      </c>
      <c r="Q1168" s="129">
        <v>46199</v>
      </c>
      <c r="R1168" s="130">
        <f t="shared" si="135"/>
        <v>46199</v>
      </c>
      <c r="S1168" s="131">
        <f t="shared" si="134"/>
        <v>0</v>
      </c>
      <c r="T1168" s="7" t="s">
        <v>220</v>
      </c>
      <c r="U1168" s="7" t="s">
        <v>222</v>
      </c>
      <c r="V1168" s="7"/>
      <c r="W1168" s="7">
        <v>432.8</v>
      </c>
      <c r="X1168" s="132">
        <f t="shared" si="132"/>
        <v>10</v>
      </c>
      <c r="Y1168" s="133"/>
      <c r="Z1168" s="133"/>
      <c r="AA1168" s="133"/>
    </row>
    <row r="1169" spans="1:27" hidden="1" x14ac:dyDescent="0.25">
      <c r="A1169" s="127">
        <v>1295</v>
      </c>
      <c r="B1169" s="128" t="str">
        <f t="shared" si="133"/>
        <v>NAMS</v>
      </c>
      <c r="C1169" s="128">
        <f>+VLOOKUP(U1169,Ходим!A:B,2,0)</f>
        <v>50510025960139</v>
      </c>
      <c r="D1169" s="128" t="str">
        <f>IFERROR(VLOOKUP($B:$B,[20]свод!$A:$AB,3,0)," ")</f>
        <v>Наманган шаҳар</v>
      </c>
      <c r="E1169" s="7" t="s">
        <v>2309</v>
      </c>
      <c r="F1169" s="7" t="s">
        <v>8699</v>
      </c>
      <c r="G1169" s="134">
        <f t="shared" si="136"/>
        <v>1</v>
      </c>
      <c r="H1169" s="134" t="str">
        <f t="shared" si="137"/>
        <v/>
      </c>
      <c r="I1169" s="7" t="s">
        <v>158</v>
      </c>
      <c r="J1169" s="7" t="s">
        <v>2</v>
      </c>
      <c r="K1169" s="7"/>
      <c r="L1169" s="7"/>
      <c r="M1169" s="7"/>
      <c r="N1169" s="7" t="s">
        <v>170</v>
      </c>
      <c r="O1169" s="7" t="s">
        <v>162</v>
      </c>
      <c r="P1169" s="7" t="s">
        <v>6825</v>
      </c>
      <c r="Q1169" s="129">
        <v>46199</v>
      </c>
      <c r="R1169" s="130">
        <f t="shared" si="135"/>
        <v>46206</v>
      </c>
      <c r="S1169" s="131">
        <f t="shared" si="134"/>
        <v>7</v>
      </c>
      <c r="T1169" s="7" t="s">
        <v>173</v>
      </c>
      <c r="U1169" s="7" t="s">
        <v>955</v>
      </c>
      <c r="V1169" s="7"/>
      <c r="W1169" s="7"/>
      <c r="X1169" s="132">
        <f t="shared" si="132"/>
        <v>10</v>
      </c>
      <c r="Y1169" s="133"/>
      <c r="Z1169" s="133"/>
      <c r="AA1169" s="133"/>
    </row>
    <row r="1170" spans="1:27" hidden="1" x14ac:dyDescent="0.25">
      <c r="A1170" s="127">
        <v>1296</v>
      </c>
      <c r="B1170" s="128" t="str">
        <f t="shared" si="133"/>
        <v>KSST</v>
      </c>
      <c r="C1170" s="128" t="str">
        <f>+VLOOKUP(U1170,Ходим!A:B,2,0)</f>
        <v>52812015980061</v>
      </c>
      <c r="D1170" s="128" t="str">
        <f>IFERROR(VLOOKUP($B:$B,[20]свод!$A:$AB,3,0)," ")</f>
        <v>Косонсой тумани</v>
      </c>
      <c r="E1170" s="7" t="s">
        <v>2310</v>
      </c>
      <c r="F1170" s="7" t="s">
        <v>8700</v>
      </c>
      <c r="G1170" s="134">
        <f t="shared" si="136"/>
        <v>1</v>
      </c>
      <c r="H1170" s="134" t="str">
        <f t="shared" si="137"/>
        <v/>
      </c>
      <c r="I1170" s="7" t="s">
        <v>158</v>
      </c>
      <c r="J1170" s="7" t="s">
        <v>2</v>
      </c>
      <c r="K1170" s="7"/>
      <c r="L1170" s="7" t="s">
        <v>167</v>
      </c>
      <c r="M1170" s="7" t="s">
        <v>4970</v>
      </c>
      <c r="N1170" s="7" t="s">
        <v>170</v>
      </c>
      <c r="O1170" s="7" t="s">
        <v>162</v>
      </c>
      <c r="P1170" s="7" t="s">
        <v>6825</v>
      </c>
      <c r="Q1170" s="129">
        <v>46199</v>
      </c>
      <c r="R1170" s="130">
        <f t="shared" si="135"/>
        <v>46206</v>
      </c>
      <c r="S1170" s="131">
        <f t="shared" si="134"/>
        <v>7</v>
      </c>
      <c r="T1170" s="7" t="s">
        <v>180</v>
      </c>
      <c r="U1170" s="7" t="s">
        <v>307</v>
      </c>
      <c r="V1170" s="7"/>
      <c r="W1170" s="7">
        <v>97.65</v>
      </c>
      <c r="X1170" s="132">
        <f t="shared" si="132"/>
        <v>10</v>
      </c>
      <c r="Y1170" s="133"/>
      <c r="Z1170" s="133"/>
      <c r="AA1170" s="133"/>
    </row>
    <row r="1171" spans="1:27" hidden="1" x14ac:dyDescent="0.25">
      <c r="A1171" s="127">
        <v>1298</v>
      </c>
      <c r="B1171" s="128" t="str">
        <f t="shared" si="133"/>
        <v>NAMS</v>
      </c>
      <c r="C1171" s="128" t="str">
        <f>+VLOOKUP(U1171,Ходим!A:B,2,0)</f>
        <v>33012942170121</v>
      </c>
      <c r="D1171" s="128" t="str">
        <f>IFERROR(VLOOKUP($B:$B,[20]свод!$A:$AB,3,0)," ")</f>
        <v>Наманган шаҳар</v>
      </c>
      <c r="E1171" s="7" t="s">
        <v>2311</v>
      </c>
      <c r="F1171" s="7" t="s">
        <v>8701</v>
      </c>
      <c r="G1171" s="134">
        <f t="shared" si="136"/>
        <v>1</v>
      </c>
      <c r="H1171" s="134" t="str">
        <f t="shared" si="137"/>
        <v/>
      </c>
      <c r="I1171" s="7" t="s">
        <v>156</v>
      </c>
      <c r="J1171" s="7" t="s">
        <v>25</v>
      </c>
      <c r="K1171" s="7"/>
      <c r="L1171" s="7"/>
      <c r="M1171" s="7"/>
      <c r="N1171" s="7" t="s">
        <v>170</v>
      </c>
      <c r="O1171" s="7" t="s">
        <v>162</v>
      </c>
      <c r="P1171" s="7" t="s">
        <v>6825</v>
      </c>
      <c r="Q1171" s="129">
        <v>46199</v>
      </c>
      <c r="R1171" s="130">
        <f t="shared" si="135"/>
        <v>46206</v>
      </c>
      <c r="S1171" s="131">
        <f t="shared" si="134"/>
        <v>7</v>
      </c>
      <c r="T1171" s="7" t="s">
        <v>173</v>
      </c>
      <c r="U1171" s="7" t="s">
        <v>259</v>
      </c>
      <c r="V1171" s="7"/>
      <c r="W1171" s="7"/>
      <c r="X1171" s="132">
        <f t="shared" ref="X1171:X1219" si="138">IF(N1171="Kadastr muhandisi",3,
IF(N1171="UZKAD",5,
IF(V1171="FREE",5,
IF(I1171="Registratsiya (tashqi - UZKAD da bor)",1,
IF(I1171="Avtoyo'l va suv xo'jaligi obyektining kadastr pasportini shakllantirish va ro'yxatga olish",7,
IF(I1171="Notarius uchun ma'lumotnoma (uz)",1,
IF(I1171="Qurilishi tugallangan ko'chmas mulkni foydalanishga qabul qilish",10,
IF(OR(I1171="Turar joy obyektning kadastr pasportini shakllantirish va davlat ro'yxatidan o'tkazish",I1171="Turar kompozit"),
IF(L1171="Turar yer maydoni",7,10),
IF(OR(I1171="Noturar obyektning kadastr pasportini shakllantirish va davlat ro'yxatidan o'tkazish",I1171="Noturar kompozit"),
IF(O1171="Ko‘p yillik daraxtlar xizmati",15,
IF(OR(L1171="Noturar yer maydoni",L1171="Davlat tashkilotlaridan ijaraga olingan yer uchastkasi"),7,
IF(W1171&lt;100,10,IF(W1171&lt;=1000,12,IF(W1171&lt;=5000,17,IF(W1171&lt;=15000,22,IF(W1171&lt;=50000,28,37))))))),
IF(I1171="Umumiy foydalanishdagi ko'chmas mulk qismini yaratish",
IF(IF(TRIM(L1171)="",IF(OR(O1171="Turar joy xizmati",O1171="Yakka tartibdagi turar joy"),"Turar","Noturar"),IF(OR(L1171="Yakka tartibdagi turar joy",L1171="Turar joy xizmati"),"Turar","Noturar"))="Turar",
10,IF(W1171&lt;100,10,IF(W1171&lt;=1000,12,IF(W1171&lt;=5000,17,IF(W1171&lt;=15000,22,IF(W1171&lt;=50000,28,37)))))),
0))))))))))</f>
        <v>10</v>
      </c>
      <c r="Y1171" s="133"/>
      <c r="Z1171" s="133"/>
      <c r="AA1171" s="133"/>
    </row>
    <row r="1172" spans="1:27" hidden="1" x14ac:dyDescent="0.25">
      <c r="A1172" s="127">
        <v>1299</v>
      </c>
      <c r="B1172" s="128" t="str">
        <f t="shared" ref="B1172:B1220" si="139">LEFT(E1172,4)</f>
        <v>KSST</v>
      </c>
      <c r="C1172" s="128" t="str">
        <f>+VLOOKUP(U1172,Ходим!A:B,2,0)</f>
        <v>31407932190092</v>
      </c>
      <c r="D1172" s="128" t="str">
        <f>IFERROR(VLOOKUP($B:$B,[20]свод!$A:$AB,3,0)," ")</f>
        <v>Косонсой тумани</v>
      </c>
      <c r="E1172" s="7" t="s">
        <v>2312</v>
      </c>
      <c r="F1172" s="7" t="s">
        <v>8702</v>
      </c>
      <c r="G1172" s="134">
        <f t="shared" si="136"/>
        <v>1</v>
      </c>
      <c r="H1172" s="134" t="str">
        <f t="shared" si="137"/>
        <v/>
      </c>
      <c r="I1172" s="7" t="s">
        <v>158</v>
      </c>
      <c r="J1172" s="7" t="s">
        <v>2</v>
      </c>
      <c r="K1172" s="7"/>
      <c r="L1172" s="7"/>
      <c r="M1172" s="7"/>
      <c r="N1172" s="7" t="s">
        <v>170</v>
      </c>
      <c r="O1172" s="7" t="s">
        <v>162</v>
      </c>
      <c r="P1172" s="7" t="s">
        <v>6825</v>
      </c>
      <c r="Q1172" s="129">
        <v>46199</v>
      </c>
      <c r="R1172" s="130">
        <f t="shared" si="135"/>
        <v>46206</v>
      </c>
      <c r="S1172" s="131">
        <f t="shared" ref="S1172:S1220" si="140">R1172-Q1172</f>
        <v>7</v>
      </c>
      <c r="T1172" s="7" t="s">
        <v>180</v>
      </c>
      <c r="U1172" s="7" t="s">
        <v>188</v>
      </c>
      <c r="V1172" s="7"/>
      <c r="W1172" s="7"/>
      <c r="X1172" s="132">
        <f t="shared" si="138"/>
        <v>10</v>
      </c>
      <c r="Y1172" s="133"/>
      <c r="Z1172" s="133"/>
      <c r="AA1172" s="133"/>
    </row>
    <row r="1173" spans="1:27" hidden="1" x14ac:dyDescent="0.25">
      <c r="A1173" s="127">
        <v>1300</v>
      </c>
      <c r="B1173" s="128" t="str">
        <f t="shared" si="139"/>
        <v>NAMS</v>
      </c>
      <c r="C1173" s="128">
        <f>+VLOOKUP(U1173,Ходим!A:B,2,0)</f>
        <v>50510025960139</v>
      </c>
      <c r="D1173" s="128" t="str">
        <f>IFERROR(VLOOKUP($B:$B,[20]свод!$A:$AB,3,0)," ")</f>
        <v>Наманган шаҳар</v>
      </c>
      <c r="E1173" s="7" t="s">
        <v>2313</v>
      </c>
      <c r="F1173" s="7" t="s">
        <v>8703</v>
      </c>
      <c r="G1173" s="134">
        <f t="shared" si="136"/>
        <v>1</v>
      </c>
      <c r="H1173" s="134" t="str">
        <f t="shared" si="137"/>
        <v/>
      </c>
      <c r="I1173" s="7" t="s">
        <v>156</v>
      </c>
      <c r="J1173" s="7" t="s">
        <v>25</v>
      </c>
      <c r="K1173" s="7"/>
      <c r="L1173" s="7"/>
      <c r="M1173" s="7"/>
      <c r="N1173" s="7" t="s">
        <v>170</v>
      </c>
      <c r="O1173" s="7" t="s">
        <v>162</v>
      </c>
      <c r="P1173" s="7" t="s">
        <v>6825</v>
      </c>
      <c r="Q1173" s="129">
        <v>46199</v>
      </c>
      <c r="R1173" s="130">
        <f t="shared" si="135"/>
        <v>46206</v>
      </c>
      <c r="S1173" s="131">
        <f t="shared" si="140"/>
        <v>7</v>
      </c>
      <c r="T1173" s="7" t="s">
        <v>173</v>
      </c>
      <c r="U1173" s="7" t="s">
        <v>955</v>
      </c>
      <c r="V1173" s="7"/>
      <c r="W1173" s="7"/>
      <c r="X1173" s="132">
        <f t="shared" si="138"/>
        <v>10</v>
      </c>
      <c r="Y1173" s="133"/>
      <c r="Z1173" s="133"/>
      <c r="AA1173" s="133"/>
    </row>
    <row r="1174" spans="1:27" hidden="1" x14ac:dyDescent="0.25">
      <c r="A1174" s="127">
        <v>1301</v>
      </c>
      <c r="B1174" s="128" t="str">
        <f t="shared" si="139"/>
        <v>NAMS</v>
      </c>
      <c r="C1174" s="128">
        <f>+VLOOKUP(U1174,Ходим!A:B,2,0)</f>
        <v>50510025960139</v>
      </c>
      <c r="D1174" s="128" t="str">
        <f>IFERROR(VLOOKUP($B:$B,[20]свод!$A:$AB,3,0)," ")</f>
        <v>Наманган шаҳар</v>
      </c>
      <c r="E1174" s="7" t="s">
        <v>2314</v>
      </c>
      <c r="F1174" s="7" t="s">
        <v>8704</v>
      </c>
      <c r="G1174" s="134">
        <f t="shared" si="136"/>
        <v>1</v>
      </c>
      <c r="H1174" s="134" t="str">
        <f t="shared" si="137"/>
        <v/>
      </c>
      <c r="I1174" s="7" t="s">
        <v>158</v>
      </c>
      <c r="J1174" s="7" t="s">
        <v>2</v>
      </c>
      <c r="K1174" s="7"/>
      <c r="L1174" s="7" t="s">
        <v>167</v>
      </c>
      <c r="M1174" s="7" t="s">
        <v>4971</v>
      </c>
      <c r="N1174" s="7" t="s">
        <v>170</v>
      </c>
      <c r="O1174" s="7" t="s">
        <v>162</v>
      </c>
      <c r="P1174" s="7" t="s">
        <v>6825</v>
      </c>
      <c r="Q1174" s="129">
        <v>46199</v>
      </c>
      <c r="R1174" s="130">
        <f t="shared" si="135"/>
        <v>46206</v>
      </c>
      <c r="S1174" s="131">
        <f t="shared" si="140"/>
        <v>7</v>
      </c>
      <c r="T1174" s="7" t="s">
        <v>173</v>
      </c>
      <c r="U1174" s="7" t="s">
        <v>955</v>
      </c>
      <c r="V1174" s="7"/>
      <c r="W1174" s="7">
        <v>199.15</v>
      </c>
      <c r="X1174" s="132">
        <f t="shared" si="138"/>
        <v>10</v>
      </c>
      <c r="Y1174" s="133"/>
      <c r="Z1174" s="133"/>
      <c r="AA1174" s="133"/>
    </row>
    <row r="1175" spans="1:27" hidden="1" x14ac:dyDescent="0.25">
      <c r="A1175" s="127">
        <v>1302</v>
      </c>
      <c r="B1175" s="128" t="str">
        <f t="shared" si="139"/>
        <v>KSST</v>
      </c>
      <c r="C1175" s="128" t="str">
        <f>+VLOOKUP(U1175,Ходим!A:B,2,0)</f>
        <v>50709025980034</v>
      </c>
      <c r="D1175" s="128" t="str">
        <f>IFERROR(VLOOKUP($B:$B,[20]свод!$A:$AB,3,0)," ")</f>
        <v>Косонсой тумани</v>
      </c>
      <c r="E1175" s="7" t="s">
        <v>2315</v>
      </c>
      <c r="F1175" s="7" t="s">
        <v>8705</v>
      </c>
      <c r="G1175" s="134">
        <f t="shared" si="136"/>
        <v>1</v>
      </c>
      <c r="H1175" s="134" t="str">
        <f t="shared" si="137"/>
        <v/>
      </c>
      <c r="I1175" s="7" t="s">
        <v>158</v>
      </c>
      <c r="J1175" s="7" t="s">
        <v>172</v>
      </c>
      <c r="K1175" s="7"/>
      <c r="L1175" s="7" t="s">
        <v>167</v>
      </c>
      <c r="M1175" s="7" t="s">
        <v>4972</v>
      </c>
      <c r="N1175" s="7" t="s">
        <v>170</v>
      </c>
      <c r="O1175" s="7" t="s">
        <v>162</v>
      </c>
      <c r="P1175" s="7" t="s">
        <v>6825</v>
      </c>
      <c r="Q1175" s="129">
        <v>46199</v>
      </c>
      <c r="R1175" s="130">
        <f t="shared" si="135"/>
        <v>46206</v>
      </c>
      <c r="S1175" s="131">
        <f t="shared" si="140"/>
        <v>7</v>
      </c>
      <c r="T1175" s="7" t="s">
        <v>180</v>
      </c>
      <c r="U1175" s="7" t="s">
        <v>286</v>
      </c>
      <c r="V1175" s="7"/>
      <c r="W1175" s="7">
        <v>102.08</v>
      </c>
      <c r="X1175" s="132">
        <f t="shared" si="138"/>
        <v>10</v>
      </c>
      <c r="Y1175" s="133"/>
      <c r="Z1175" s="133"/>
      <c r="AA1175" s="133"/>
    </row>
    <row r="1176" spans="1:27" x14ac:dyDescent="0.25">
      <c r="A1176" s="127">
        <v>1303</v>
      </c>
      <c r="B1176" s="128" t="str">
        <f t="shared" si="139"/>
        <v>UYCT</v>
      </c>
      <c r="C1176" s="128" t="str">
        <f>+VLOOKUP(U1176,Ходим!A:B,2,0)</f>
        <v>32906985930035</v>
      </c>
      <c r="D1176" s="128" t="str">
        <f>IFERROR(VLOOKUP($B:$B,[20]свод!$A:$AB,3,0)," ")</f>
        <v>Уйчи тумани</v>
      </c>
      <c r="E1176" s="7" t="s">
        <v>2316</v>
      </c>
      <c r="F1176" s="7" t="s">
        <v>8706</v>
      </c>
      <c r="G1176" s="134">
        <f t="shared" si="136"/>
        <v>1</v>
      </c>
      <c r="H1176" s="134" t="str">
        <f t="shared" si="137"/>
        <v/>
      </c>
      <c r="I1176" s="7" t="s">
        <v>158</v>
      </c>
      <c r="J1176" s="7" t="s">
        <v>35</v>
      </c>
      <c r="K1176" s="7"/>
      <c r="L1176" s="7" t="s">
        <v>167</v>
      </c>
      <c r="M1176" s="7" t="s">
        <v>4973</v>
      </c>
      <c r="N1176" s="7" t="s">
        <v>170</v>
      </c>
      <c r="O1176" s="7" t="s">
        <v>162</v>
      </c>
      <c r="P1176" s="7" t="s">
        <v>6826</v>
      </c>
      <c r="Q1176" s="129">
        <v>46199</v>
      </c>
      <c r="R1176" s="130">
        <f t="shared" si="135"/>
        <v>46199</v>
      </c>
      <c r="S1176" s="131">
        <f t="shared" si="140"/>
        <v>0</v>
      </c>
      <c r="T1176" s="7" t="s">
        <v>947</v>
      </c>
      <c r="U1176" s="7" t="s">
        <v>257</v>
      </c>
      <c r="V1176" s="7"/>
      <c r="W1176" s="7">
        <v>334.8</v>
      </c>
      <c r="X1176" s="132">
        <f t="shared" si="138"/>
        <v>10</v>
      </c>
      <c r="Y1176" s="133"/>
      <c r="Z1176" s="133"/>
      <c r="AA1176" s="133"/>
    </row>
    <row r="1177" spans="1:27" x14ac:dyDescent="0.25">
      <c r="A1177" s="127">
        <v>1304</v>
      </c>
      <c r="B1177" s="128" t="str">
        <f t="shared" si="139"/>
        <v>NAMS</v>
      </c>
      <c r="C1177" s="128" t="str">
        <f>+VLOOKUP(U1177,Ходим!A:B,2,0)</f>
        <v>52710005960025</v>
      </c>
      <c r="D1177" s="128" t="str">
        <f>IFERROR(VLOOKUP($B:$B,[20]свод!$A:$AB,3,0)," ")</f>
        <v>Наманган шаҳар</v>
      </c>
      <c r="E1177" s="7" t="s">
        <v>2317</v>
      </c>
      <c r="F1177" s="7" t="s">
        <v>8707</v>
      </c>
      <c r="G1177" s="134">
        <f t="shared" si="136"/>
        <v>1</v>
      </c>
      <c r="H1177" s="134" t="str">
        <f t="shared" si="137"/>
        <v/>
      </c>
      <c r="I1177" s="7" t="s">
        <v>158</v>
      </c>
      <c r="J1177" s="7" t="s">
        <v>129</v>
      </c>
      <c r="K1177" s="7"/>
      <c r="L1177" s="7" t="s">
        <v>169</v>
      </c>
      <c r="M1177" s="7" t="s">
        <v>381</v>
      </c>
      <c r="N1177" s="7" t="s">
        <v>170</v>
      </c>
      <c r="O1177" s="7" t="s">
        <v>162</v>
      </c>
      <c r="P1177" s="7" t="s">
        <v>6305</v>
      </c>
      <c r="Q1177" s="129">
        <v>46199</v>
      </c>
      <c r="R1177" s="130">
        <f t="shared" si="135"/>
        <v>46199</v>
      </c>
      <c r="S1177" s="131">
        <f t="shared" si="140"/>
        <v>0</v>
      </c>
      <c r="T1177" s="7" t="s">
        <v>173</v>
      </c>
      <c r="U1177" s="7" t="s">
        <v>274</v>
      </c>
      <c r="V1177" s="7"/>
      <c r="W1177" s="7">
        <v>0</v>
      </c>
      <c r="X1177" s="132">
        <f t="shared" si="138"/>
        <v>7</v>
      </c>
      <c r="Y1177" s="133"/>
      <c r="Z1177" s="133"/>
      <c r="AA1177" s="133"/>
    </row>
    <row r="1178" spans="1:27" x14ac:dyDescent="0.25">
      <c r="A1178" s="127">
        <v>1305</v>
      </c>
      <c r="B1178" s="128" t="str">
        <f t="shared" si="139"/>
        <v>KSST</v>
      </c>
      <c r="C1178" s="128" t="str">
        <f>+VLOOKUP(U1178,Ходим!A:B,2,0)</f>
        <v>32503912190045</v>
      </c>
      <c r="D1178" s="128" t="str">
        <f>IFERROR(VLOOKUP($B:$B,[20]свод!$A:$AB,3,0)," ")</f>
        <v>Косонсой тумани</v>
      </c>
      <c r="E1178" s="7" t="s">
        <v>2318</v>
      </c>
      <c r="F1178" s="7" t="s">
        <v>8708</v>
      </c>
      <c r="G1178" s="134">
        <f t="shared" si="136"/>
        <v>1</v>
      </c>
      <c r="H1178" s="134" t="str">
        <f t="shared" si="137"/>
        <v/>
      </c>
      <c r="I1178" s="7" t="s">
        <v>158</v>
      </c>
      <c r="J1178" s="7" t="s">
        <v>1</v>
      </c>
      <c r="K1178" s="7"/>
      <c r="L1178" s="7" t="s">
        <v>167</v>
      </c>
      <c r="M1178" s="7" t="s">
        <v>4974</v>
      </c>
      <c r="N1178" s="7" t="s">
        <v>170</v>
      </c>
      <c r="O1178" s="7" t="s">
        <v>162</v>
      </c>
      <c r="P1178" s="7" t="s">
        <v>6653</v>
      </c>
      <c r="Q1178" s="129">
        <v>46199</v>
      </c>
      <c r="R1178" s="130">
        <f t="shared" si="135"/>
        <v>46199</v>
      </c>
      <c r="S1178" s="131">
        <f t="shared" si="140"/>
        <v>0</v>
      </c>
      <c r="T1178" s="7" t="s">
        <v>180</v>
      </c>
      <c r="U1178" s="7" t="s">
        <v>254</v>
      </c>
      <c r="V1178" s="7"/>
      <c r="W1178" s="7">
        <v>151.6</v>
      </c>
      <c r="X1178" s="132">
        <f t="shared" si="138"/>
        <v>10</v>
      </c>
      <c r="Y1178" s="133"/>
      <c r="Z1178" s="133"/>
      <c r="AA1178" s="133"/>
    </row>
    <row r="1179" spans="1:27" hidden="1" x14ac:dyDescent="0.25">
      <c r="A1179" s="127">
        <v>1306</v>
      </c>
      <c r="B1179" s="128" t="str">
        <f t="shared" si="139"/>
        <v>NAMS</v>
      </c>
      <c r="C1179" s="128">
        <f>+VLOOKUP(U1179,Ходим!A:B,2,0)</f>
        <v>50703045960050</v>
      </c>
      <c r="D1179" s="128" t="str">
        <f>IFERROR(VLOOKUP($B:$B,[20]свод!$A:$AB,3,0)," ")</f>
        <v>Наманган шаҳар</v>
      </c>
      <c r="E1179" s="7" t="s">
        <v>2319</v>
      </c>
      <c r="F1179" s="7" t="s">
        <v>8709</v>
      </c>
      <c r="G1179" s="134">
        <f t="shared" si="136"/>
        <v>1</v>
      </c>
      <c r="H1179" s="134" t="str">
        <f t="shared" si="137"/>
        <v/>
      </c>
      <c r="I1179" s="7" t="s">
        <v>158</v>
      </c>
      <c r="J1179" s="7" t="s">
        <v>13</v>
      </c>
      <c r="K1179" s="7"/>
      <c r="L1179" s="7" t="s">
        <v>167</v>
      </c>
      <c r="M1179" s="7" t="s">
        <v>4975</v>
      </c>
      <c r="N1179" s="7" t="s">
        <v>170</v>
      </c>
      <c r="O1179" s="7" t="s">
        <v>162</v>
      </c>
      <c r="P1179" s="7" t="s">
        <v>6827</v>
      </c>
      <c r="Q1179" s="129">
        <v>46199</v>
      </c>
      <c r="R1179" s="130">
        <f t="shared" si="135"/>
        <v>46206</v>
      </c>
      <c r="S1179" s="131">
        <f t="shared" si="140"/>
        <v>7</v>
      </c>
      <c r="T1179" s="7" t="s">
        <v>173</v>
      </c>
      <c r="U1179" s="7" t="s">
        <v>948</v>
      </c>
      <c r="V1179" s="7"/>
      <c r="W1179" s="7">
        <v>0</v>
      </c>
      <c r="X1179" s="132">
        <f t="shared" si="138"/>
        <v>10</v>
      </c>
      <c r="Y1179" s="133"/>
      <c r="Z1179" s="133"/>
      <c r="AA1179" s="133"/>
    </row>
    <row r="1180" spans="1:27" hidden="1" x14ac:dyDescent="0.25">
      <c r="A1180" s="127">
        <v>1307</v>
      </c>
      <c r="B1180" s="128" t="str">
        <f t="shared" si="139"/>
        <v>NAMS</v>
      </c>
      <c r="C1180" s="128" t="str">
        <f>+VLOOKUP(U1180,Ходим!A:B,2,0)</f>
        <v>52710005960025</v>
      </c>
      <c r="D1180" s="128" t="str">
        <f>IFERROR(VLOOKUP($B:$B,[20]свод!$A:$AB,3,0)," ")</f>
        <v>Наманган шаҳар</v>
      </c>
      <c r="E1180" s="7" t="s">
        <v>2320</v>
      </c>
      <c r="F1180" s="7" t="s">
        <v>8710</v>
      </c>
      <c r="G1180" s="134">
        <f t="shared" si="136"/>
        <v>1</v>
      </c>
      <c r="H1180" s="134" t="str">
        <f t="shared" si="137"/>
        <v/>
      </c>
      <c r="I1180" s="7" t="s">
        <v>158</v>
      </c>
      <c r="J1180" s="7" t="s">
        <v>2</v>
      </c>
      <c r="K1180" s="7"/>
      <c r="L1180" s="7"/>
      <c r="M1180" s="7"/>
      <c r="N1180" s="7" t="s">
        <v>170</v>
      </c>
      <c r="O1180" s="7" t="s">
        <v>162</v>
      </c>
      <c r="P1180" s="7" t="s">
        <v>6497</v>
      </c>
      <c r="Q1180" s="129">
        <v>46199</v>
      </c>
      <c r="R1180" s="130">
        <f t="shared" si="135"/>
        <v>46205</v>
      </c>
      <c r="S1180" s="131">
        <f t="shared" si="140"/>
        <v>6</v>
      </c>
      <c r="T1180" s="7" t="s">
        <v>173</v>
      </c>
      <c r="U1180" s="7" t="s">
        <v>274</v>
      </c>
      <c r="V1180" s="7"/>
      <c r="W1180" s="7"/>
      <c r="X1180" s="132">
        <f t="shared" si="138"/>
        <v>10</v>
      </c>
      <c r="Y1180" s="133"/>
      <c r="Z1180" s="133"/>
      <c r="AA1180" s="133"/>
    </row>
    <row r="1181" spans="1:27" hidden="1" x14ac:dyDescent="0.25">
      <c r="A1181" s="127">
        <v>1308</v>
      </c>
      <c r="B1181" s="128" t="str">
        <f t="shared" si="139"/>
        <v>UCQT</v>
      </c>
      <c r="C1181" s="128" t="str">
        <f>+VLOOKUP(U1181,Ходим!A:B,2,0)</f>
        <v>31206892150069</v>
      </c>
      <c r="D1181" s="128" t="str">
        <f>IFERROR(VLOOKUP($B:$B,[20]свод!$A:$AB,3,0)," ")</f>
        <v>Учқўрғон тумани</v>
      </c>
      <c r="E1181" s="7" t="s">
        <v>2321</v>
      </c>
      <c r="F1181" s="7" t="s">
        <v>8711</v>
      </c>
      <c r="G1181" s="134" t="str">
        <f t="shared" si="136"/>
        <v/>
      </c>
      <c r="H1181" s="134">
        <f t="shared" si="137"/>
        <v>1</v>
      </c>
      <c r="I1181" s="7" t="s">
        <v>157</v>
      </c>
      <c r="J1181" s="7" t="s">
        <v>2</v>
      </c>
      <c r="K1181" s="7"/>
      <c r="L1181" s="7"/>
      <c r="M1181" s="7"/>
      <c r="N1181" s="7" t="s">
        <v>170</v>
      </c>
      <c r="O1181" s="7" t="s">
        <v>161</v>
      </c>
      <c r="P1181" s="7" t="s">
        <v>6827</v>
      </c>
      <c r="Q1181" s="129">
        <v>46199</v>
      </c>
      <c r="R1181" s="130">
        <f t="shared" si="135"/>
        <v>46206</v>
      </c>
      <c r="S1181" s="131">
        <f t="shared" si="140"/>
        <v>7</v>
      </c>
      <c r="T1181" s="7" t="s">
        <v>175</v>
      </c>
      <c r="U1181" s="7" t="s">
        <v>318</v>
      </c>
      <c r="V1181" s="7"/>
      <c r="W1181" s="7"/>
      <c r="X1181" s="132">
        <f t="shared" si="138"/>
        <v>10</v>
      </c>
      <c r="Y1181" s="133"/>
      <c r="Z1181" s="133"/>
      <c r="AA1181" s="133"/>
    </row>
    <row r="1182" spans="1:27" hidden="1" x14ac:dyDescent="0.25">
      <c r="A1182" s="127">
        <v>1309</v>
      </c>
      <c r="B1182" s="128" t="str">
        <f t="shared" si="139"/>
        <v>POPT</v>
      </c>
      <c r="C1182" s="128" t="e">
        <f>+VLOOKUP(U1182,Ходим!A:B,2,0)</f>
        <v>#N/A</v>
      </c>
      <c r="D1182" s="128" t="str">
        <f>IFERROR(VLOOKUP($B:$B,[20]свод!$A:$AB,3,0)," ")</f>
        <v>Поп тумани</v>
      </c>
      <c r="E1182" s="7" t="s">
        <v>2322</v>
      </c>
      <c r="F1182" s="7" t="s">
        <v>8712</v>
      </c>
      <c r="G1182" s="134" t="str">
        <f t="shared" si="136"/>
        <v/>
      </c>
      <c r="H1182" s="134">
        <f t="shared" si="137"/>
        <v>1</v>
      </c>
      <c r="I1182" s="7" t="s">
        <v>159</v>
      </c>
      <c r="J1182" s="7" t="s">
        <v>137</v>
      </c>
      <c r="K1182" s="7"/>
      <c r="L1182" s="7" t="s">
        <v>166</v>
      </c>
      <c r="M1182" s="7" t="s">
        <v>998</v>
      </c>
      <c r="N1182" s="7" t="s">
        <v>410</v>
      </c>
      <c r="O1182" s="7" t="s">
        <v>163</v>
      </c>
      <c r="P1182" s="7" t="s">
        <v>6828</v>
      </c>
      <c r="Q1182" s="129">
        <v>46199</v>
      </c>
      <c r="R1182" s="130">
        <f t="shared" si="135"/>
        <v>46212</v>
      </c>
      <c r="S1182" s="131">
        <f t="shared" si="140"/>
        <v>13</v>
      </c>
      <c r="T1182" s="7" t="s">
        <v>240</v>
      </c>
      <c r="U1182" s="7"/>
      <c r="V1182" s="7"/>
      <c r="W1182" s="7">
        <v>20.5</v>
      </c>
      <c r="X1182" s="132">
        <f t="shared" si="138"/>
        <v>10</v>
      </c>
      <c r="Y1182" s="133"/>
      <c r="Z1182" s="133"/>
      <c r="AA1182" s="133"/>
    </row>
    <row r="1183" spans="1:27" hidden="1" x14ac:dyDescent="0.25">
      <c r="A1183" s="127">
        <v>1310</v>
      </c>
      <c r="B1183" s="128" t="str">
        <f t="shared" si="139"/>
        <v>NAMS</v>
      </c>
      <c r="C1183" s="128" t="str">
        <f>+VLOOKUP(U1183,Ходим!A:B,2,0)</f>
        <v>31601642170089</v>
      </c>
      <c r="D1183" s="128" t="str">
        <f>IFERROR(VLOOKUP($B:$B,[20]свод!$A:$AB,3,0)," ")</f>
        <v>Наманган шаҳар</v>
      </c>
      <c r="E1183" s="7" t="s">
        <v>2323</v>
      </c>
      <c r="F1183" s="7" t="s">
        <v>8713</v>
      </c>
      <c r="G1183" s="134">
        <f t="shared" si="136"/>
        <v>1</v>
      </c>
      <c r="H1183" s="134" t="str">
        <f t="shared" si="137"/>
        <v/>
      </c>
      <c r="I1183" s="7" t="s">
        <v>156</v>
      </c>
      <c r="J1183" s="7" t="s">
        <v>25</v>
      </c>
      <c r="K1183" s="7"/>
      <c r="L1183" s="7"/>
      <c r="M1183" s="7"/>
      <c r="N1183" s="7" t="s">
        <v>170</v>
      </c>
      <c r="O1183" s="7" t="s">
        <v>162</v>
      </c>
      <c r="P1183" s="7" t="s">
        <v>6741</v>
      </c>
      <c r="Q1183" s="129">
        <v>46199</v>
      </c>
      <c r="R1183" s="130">
        <f t="shared" si="135"/>
        <v>46212</v>
      </c>
      <c r="S1183" s="131">
        <f t="shared" si="140"/>
        <v>13</v>
      </c>
      <c r="T1183" s="7" t="s">
        <v>185</v>
      </c>
      <c r="U1183" s="7" t="s">
        <v>201</v>
      </c>
      <c r="V1183" s="7"/>
      <c r="W1183" s="7"/>
      <c r="X1183" s="132">
        <f t="shared" si="138"/>
        <v>10</v>
      </c>
      <c r="Y1183" s="133"/>
      <c r="Z1183" s="133"/>
      <c r="AA1183" s="133"/>
    </row>
    <row r="1184" spans="1:27" hidden="1" x14ac:dyDescent="0.25">
      <c r="A1184" s="127">
        <v>1311</v>
      </c>
      <c r="B1184" s="128" t="str">
        <f t="shared" si="139"/>
        <v>NAMS</v>
      </c>
      <c r="C1184" s="128" t="str">
        <f>+VLOOKUP(U1184,Ходим!A:B,2,0)</f>
        <v>51110025960044</v>
      </c>
      <c r="D1184" s="128" t="str">
        <f>IFERROR(VLOOKUP($B:$B,[20]свод!$A:$AB,3,0)," ")</f>
        <v>Наманган шаҳар</v>
      </c>
      <c r="E1184" s="7" t="s">
        <v>2324</v>
      </c>
      <c r="F1184" s="7" t="s">
        <v>8714</v>
      </c>
      <c r="G1184" s="134">
        <f t="shared" si="136"/>
        <v>1</v>
      </c>
      <c r="H1184" s="134" t="str">
        <f t="shared" si="137"/>
        <v/>
      </c>
      <c r="I1184" s="7" t="s">
        <v>156</v>
      </c>
      <c r="J1184" s="7" t="s">
        <v>25</v>
      </c>
      <c r="K1184" s="7"/>
      <c r="L1184" s="7"/>
      <c r="M1184" s="7"/>
      <c r="N1184" s="7" t="s">
        <v>170</v>
      </c>
      <c r="O1184" s="7" t="s">
        <v>162</v>
      </c>
      <c r="P1184" s="7" t="s">
        <v>6829</v>
      </c>
      <c r="Q1184" s="129">
        <v>46199</v>
      </c>
      <c r="R1184" s="130">
        <f t="shared" si="135"/>
        <v>46212</v>
      </c>
      <c r="S1184" s="131">
        <f t="shared" si="140"/>
        <v>13</v>
      </c>
      <c r="T1184" s="7" t="s">
        <v>173</v>
      </c>
      <c r="U1184" s="7" t="s">
        <v>294</v>
      </c>
      <c r="V1184" s="7"/>
      <c r="W1184" s="7"/>
      <c r="X1184" s="132">
        <f t="shared" si="138"/>
        <v>10</v>
      </c>
      <c r="Y1184" s="133"/>
      <c r="Z1184" s="133"/>
      <c r="AA1184" s="133"/>
    </row>
    <row r="1185" spans="1:27" hidden="1" x14ac:dyDescent="0.25">
      <c r="A1185" s="127">
        <v>1312</v>
      </c>
      <c r="B1185" s="128" t="str">
        <f t="shared" si="139"/>
        <v>NORT</v>
      </c>
      <c r="C1185" s="128" t="str">
        <f>+VLOOKUP(U1185,Ходим!A:B,2,0)</f>
        <v>32609882110022</v>
      </c>
      <c r="D1185" s="128" t="str">
        <f>IFERROR(VLOOKUP($B:$B,[20]свод!$A:$AB,3,0)," ")</f>
        <v>Норин тумани</v>
      </c>
      <c r="E1185" s="7" t="s">
        <v>2325</v>
      </c>
      <c r="F1185" s="7" t="s">
        <v>8715</v>
      </c>
      <c r="G1185" s="134">
        <f t="shared" si="136"/>
        <v>1</v>
      </c>
      <c r="H1185" s="134" t="str">
        <f t="shared" si="137"/>
        <v/>
      </c>
      <c r="I1185" s="7" t="s">
        <v>158</v>
      </c>
      <c r="J1185" s="7" t="s">
        <v>2</v>
      </c>
      <c r="K1185" s="7"/>
      <c r="L1185" s="7" t="s">
        <v>167</v>
      </c>
      <c r="M1185" s="7" t="s">
        <v>4976</v>
      </c>
      <c r="N1185" s="7" t="s">
        <v>170</v>
      </c>
      <c r="O1185" s="7" t="s">
        <v>162</v>
      </c>
      <c r="P1185" s="7" t="s">
        <v>6829</v>
      </c>
      <c r="Q1185" s="129">
        <v>46199</v>
      </c>
      <c r="R1185" s="130">
        <f t="shared" si="135"/>
        <v>46212</v>
      </c>
      <c r="S1185" s="131">
        <f t="shared" si="140"/>
        <v>13</v>
      </c>
      <c r="T1185" s="7" t="s">
        <v>210</v>
      </c>
      <c r="U1185" s="7" t="s">
        <v>300</v>
      </c>
      <c r="V1185" s="7"/>
      <c r="W1185" s="7">
        <v>0</v>
      </c>
      <c r="X1185" s="132">
        <f t="shared" si="138"/>
        <v>10</v>
      </c>
      <c r="Y1185" s="133"/>
      <c r="Z1185" s="133"/>
      <c r="AA1185" s="133"/>
    </row>
    <row r="1186" spans="1:27" hidden="1" x14ac:dyDescent="0.25">
      <c r="A1186" s="127">
        <v>1313</v>
      </c>
      <c r="B1186" s="128" t="str">
        <f t="shared" si="139"/>
        <v>UYCT</v>
      </c>
      <c r="C1186" s="128" t="str">
        <f>+VLOOKUP(U1186,Ходим!A:B,2,0)</f>
        <v>32002975930037</v>
      </c>
      <c r="D1186" s="128" t="str">
        <f>IFERROR(VLOOKUP($B:$B,[20]свод!$A:$AB,3,0)," ")</f>
        <v>Уйчи тумани</v>
      </c>
      <c r="E1186" s="7" t="s">
        <v>2326</v>
      </c>
      <c r="F1186" s="7" t="s">
        <v>8716</v>
      </c>
      <c r="G1186" s="134">
        <f t="shared" si="136"/>
        <v>1</v>
      </c>
      <c r="H1186" s="134" t="str">
        <f t="shared" si="137"/>
        <v/>
      </c>
      <c r="I1186" s="7" t="s">
        <v>158</v>
      </c>
      <c r="J1186" s="7" t="s">
        <v>2</v>
      </c>
      <c r="K1186" s="7"/>
      <c r="L1186" s="7" t="s">
        <v>167</v>
      </c>
      <c r="M1186" s="7" t="s">
        <v>4977</v>
      </c>
      <c r="N1186" s="7" t="s">
        <v>170</v>
      </c>
      <c r="O1186" s="7" t="s">
        <v>162</v>
      </c>
      <c r="P1186" s="7" t="s">
        <v>6830</v>
      </c>
      <c r="Q1186" s="129">
        <v>46199</v>
      </c>
      <c r="R1186" s="130">
        <f t="shared" si="135"/>
        <v>46206</v>
      </c>
      <c r="S1186" s="131">
        <f t="shared" si="140"/>
        <v>7</v>
      </c>
      <c r="T1186" s="7" t="s">
        <v>379</v>
      </c>
      <c r="U1186" s="7" t="s">
        <v>260</v>
      </c>
      <c r="V1186" s="7"/>
      <c r="W1186" s="7">
        <v>46.6</v>
      </c>
      <c r="X1186" s="132">
        <f t="shared" si="138"/>
        <v>10</v>
      </c>
      <c r="Y1186" s="133"/>
      <c r="Z1186" s="133"/>
      <c r="AA1186" s="133"/>
    </row>
    <row r="1187" spans="1:27" hidden="1" x14ac:dyDescent="0.25">
      <c r="A1187" s="127">
        <v>1314</v>
      </c>
      <c r="B1187" s="128" t="str">
        <f t="shared" si="139"/>
        <v>CHUT</v>
      </c>
      <c r="C1187" s="128" t="str">
        <f>+VLOOKUP(U1187,Ходим!A:B,2,0)</f>
        <v>30202885970013</v>
      </c>
      <c r="D1187" s="128" t="str">
        <f>IFERROR(VLOOKUP($B:$B,[20]свод!$A:$AB,3,0)," ")</f>
        <v>Чуст тумани</v>
      </c>
      <c r="E1187" s="7" t="s">
        <v>2327</v>
      </c>
      <c r="F1187" s="7" t="s">
        <v>8717</v>
      </c>
      <c r="G1187" s="134" t="str">
        <f t="shared" si="136"/>
        <v/>
      </c>
      <c r="H1187" s="134">
        <f t="shared" si="137"/>
        <v>1</v>
      </c>
      <c r="I1187" s="7" t="s">
        <v>157</v>
      </c>
      <c r="J1187" s="7" t="s">
        <v>134</v>
      </c>
      <c r="K1187" s="7"/>
      <c r="L1187" s="7"/>
      <c r="M1187" s="7"/>
      <c r="N1187" s="7" t="s">
        <v>170</v>
      </c>
      <c r="O1187" s="7" t="s">
        <v>161</v>
      </c>
      <c r="P1187" s="7" t="s">
        <v>6831</v>
      </c>
      <c r="Q1187" s="129">
        <v>46199</v>
      </c>
      <c r="R1187" s="130">
        <f t="shared" si="135"/>
        <v>46206</v>
      </c>
      <c r="S1187" s="131">
        <f t="shared" si="140"/>
        <v>7</v>
      </c>
      <c r="T1187" s="7" t="s">
        <v>178</v>
      </c>
      <c r="U1187" s="7" t="s">
        <v>289</v>
      </c>
      <c r="V1187" s="7"/>
      <c r="W1187" s="7"/>
      <c r="X1187" s="132">
        <f t="shared" si="138"/>
        <v>10</v>
      </c>
      <c r="Y1187" s="133"/>
      <c r="Z1187" s="133"/>
      <c r="AA1187" s="133"/>
    </row>
    <row r="1188" spans="1:27" hidden="1" x14ac:dyDescent="0.25">
      <c r="A1188" s="127">
        <v>1315</v>
      </c>
      <c r="B1188" s="128" t="str">
        <f t="shared" si="139"/>
        <v>KSST</v>
      </c>
      <c r="C1188" s="128" t="str">
        <f>+VLOOKUP(U1188,Ходим!A:B,2,0)</f>
        <v>50709025980034</v>
      </c>
      <c r="D1188" s="128" t="str">
        <f>IFERROR(VLOOKUP($B:$B,[20]свод!$A:$AB,3,0)," ")</f>
        <v>Косонсой тумани</v>
      </c>
      <c r="E1188" s="7" t="s">
        <v>2328</v>
      </c>
      <c r="F1188" s="7" t="s">
        <v>8718</v>
      </c>
      <c r="G1188" s="134">
        <f t="shared" si="136"/>
        <v>1</v>
      </c>
      <c r="H1188" s="134" t="str">
        <f t="shared" si="137"/>
        <v/>
      </c>
      <c r="I1188" s="7" t="s">
        <v>158</v>
      </c>
      <c r="J1188" s="7" t="s">
        <v>172</v>
      </c>
      <c r="K1188" s="7"/>
      <c r="L1188" s="7" t="s">
        <v>167</v>
      </c>
      <c r="M1188" s="7" t="s">
        <v>4978</v>
      </c>
      <c r="N1188" s="7" t="s">
        <v>170</v>
      </c>
      <c r="O1188" s="7" t="s">
        <v>162</v>
      </c>
      <c r="P1188" s="7" t="s">
        <v>6832</v>
      </c>
      <c r="Q1188" s="129">
        <v>46199</v>
      </c>
      <c r="R1188" s="130">
        <f t="shared" si="135"/>
        <v>46206</v>
      </c>
      <c r="S1188" s="131">
        <f t="shared" si="140"/>
        <v>7</v>
      </c>
      <c r="T1188" s="7" t="s">
        <v>180</v>
      </c>
      <c r="U1188" s="7" t="s">
        <v>286</v>
      </c>
      <c r="V1188" s="7"/>
      <c r="W1188" s="7">
        <v>208.38</v>
      </c>
      <c r="X1188" s="132">
        <f t="shared" si="138"/>
        <v>10</v>
      </c>
      <c r="Y1188" s="133"/>
      <c r="Z1188" s="133"/>
      <c r="AA1188" s="133"/>
    </row>
    <row r="1189" spans="1:27" hidden="1" x14ac:dyDescent="0.25">
      <c r="A1189" s="127">
        <v>1316</v>
      </c>
      <c r="B1189" s="128" t="str">
        <f t="shared" si="139"/>
        <v>YGQT</v>
      </c>
      <c r="C1189" s="128" t="str">
        <f>+VLOOKUP(U1189,Ходим!A:B,2,0)</f>
        <v>52010015950028</v>
      </c>
      <c r="D1189" s="128" t="str">
        <f>IFERROR(VLOOKUP($B:$B,[20]свод!$A:$AB,3,0)," ")</f>
        <v>Янгиқўрғон тумани</v>
      </c>
      <c r="E1189" s="7" t="s">
        <v>2329</v>
      </c>
      <c r="F1189" s="7" t="s">
        <v>8719</v>
      </c>
      <c r="G1189" s="134">
        <f t="shared" si="136"/>
        <v>1</v>
      </c>
      <c r="H1189" s="134" t="str">
        <f t="shared" si="137"/>
        <v/>
      </c>
      <c r="I1189" s="7" t="s">
        <v>158</v>
      </c>
      <c r="J1189" s="7" t="s">
        <v>2</v>
      </c>
      <c r="K1189" s="7"/>
      <c r="L1189" s="7" t="s">
        <v>167</v>
      </c>
      <c r="M1189" s="7" t="s">
        <v>4979</v>
      </c>
      <c r="N1189" s="7" t="s">
        <v>170</v>
      </c>
      <c r="O1189" s="7" t="s">
        <v>162</v>
      </c>
      <c r="P1189" s="7" t="s">
        <v>6832</v>
      </c>
      <c r="Q1189" s="129">
        <v>46199</v>
      </c>
      <c r="R1189" s="130">
        <f t="shared" si="135"/>
        <v>46206</v>
      </c>
      <c r="S1189" s="131">
        <f t="shared" si="140"/>
        <v>7</v>
      </c>
      <c r="T1189" s="7" t="s">
        <v>255</v>
      </c>
      <c r="U1189" s="7" t="s">
        <v>391</v>
      </c>
      <c r="V1189" s="7"/>
      <c r="W1189" s="7">
        <v>0</v>
      </c>
      <c r="X1189" s="132">
        <f t="shared" si="138"/>
        <v>10</v>
      </c>
      <c r="Y1189" s="133"/>
      <c r="Z1189" s="133"/>
      <c r="AA1189" s="133"/>
    </row>
    <row r="1190" spans="1:27" hidden="1" x14ac:dyDescent="0.25">
      <c r="A1190" s="127">
        <v>1317</v>
      </c>
      <c r="B1190" s="128" t="str">
        <f t="shared" si="139"/>
        <v>CHOT</v>
      </c>
      <c r="C1190" s="128" t="str">
        <f>+VLOOKUP(U1190,Ходим!A:B,2,0)</f>
        <v>30608892100030</v>
      </c>
      <c r="D1190" s="128" t="str">
        <f>IFERROR(VLOOKUP($B:$B,[20]свод!$A:$AB,3,0)," ")</f>
        <v>Чортоқ тумани</v>
      </c>
      <c r="E1190" s="7" t="s">
        <v>2330</v>
      </c>
      <c r="F1190" s="7" t="s">
        <v>8720</v>
      </c>
      <c r="G1190" s="134">
        <f t="shared" si="136"/>
        <v>1</v>
      </c>
      <c r="H1190" s="134" t="str">
        <f t="shared" si="137"/>
        <v/>
      </c>
      <c r="I1190" s="7" t="s">
        <v>154</v>
      </c>
      <c r="J1190" s="7" t="s">
        <v>172</v>
      </c>
      <c r="K1190" s="7"/>
      <c r="L1190" s="7" t="s">
        <v>167</v>
      </c>
      <c r="M1190" s="7" t="s">
        <v>4980</v>
      </c>
      <c r="N1190" s="7" t="s">
        <v>170</v>
      </c>
      <c r="O1190" s="7" t="s">
        <v>162</v>
      </c>
      <c r="P1190" s="7" t="s">
        <v>6832</v>
      </c>
      <c r="Q1190" s="129">
        <v>46199</v>
      </c>
      <c r="R1190" s="130">
        <f t="shared" si="135"/>
        <v>46206</v>
      </c>
      <c r="S1190" s="131">
        <f t="shared" si="140"/>
        <v>7</v>
      </c>
      <c r="T1190" s="7" t="s">
        <v>184</v>
      </c>
      <c r="U1190" s="7" t="s">
        <v>266</v>
      </c>
      <c r="V1190" s="7"/>
      <c r="W1190" s="7">
        <v>257.06</v>
      </c>
      <c r="X1190" s="132">
        <f t="shared" si="138"/>
        <v>10</v>
      </c>
      <c r="Y1190" s="133"/>
      <c r="Z1190" s="133"/>
      <c r="AA1190" s="133"/>
    </row>
    <row r="1191" spans="1:27" x14ac:dyDescent="0.25">
      <c r="A1191" s="127">
        <v>1318</v>
      </c>
      <c r="B1191" s="128" t="str">
        <f t="shared" si="139"/>
        <v>POPT</v>
      </c>
      <c r="C1191" s="128" t="str">
        <f>+VLOOKUP(U1191,Ходим!A:B,2,0)</f>
        <v>31503892210028</v>
      </c>
      <c r="D1191" s="128" t="str">
        <f>IFERROR(VLOOKUP($B:$B,[20]свод!$A:$AB,3,0)," ")</f>
        <v>Поп тумани</v>
      </c>
      <c r="E1191" s="7" t="s">
        <v>2331</v>
      </c>
      <c r="F1191" s="7" t="s">
        <v>8721</v>
      </c>
      <c r="G1191" s="134">
        <f t="shared" si="136"/>
        <v>1</v>
      </c>
      <c r="H1191" s="134" t="str">
        <f t="shared" si="137"/>
        <v/>
      </c>
      <c r="I1191" s="7" t="s">
        <v>158</v>
      </c>
      <c r="J1191" s="7" t="s">
        <v>1</v>
      </c>
      <c r="K1191" s="7"/>
      <c r="L1191" s="7" t="s">
        <v>167</v>
      </c>
      <c r="M1191" s="7" t="s">
        <v>4981</v>
      </c>
      <c r="N1191" s="7" t="s">
        <v>170</v>
      </c>
      <c r="O1191" s="7" t="s">
        <v>162</v>
      </c>
      <c r="P1191" s="7" t="s">
        <v>6833</v>
      </c>
      <c r="Q1191" s="129">
        <v>46199</v>
      </c>
      <c r="R1191" s="130">
        <f t="shared" si="135"/>
        <v>46196</v>
      </c>
      <c r="S1191" s="131">
        <f t="shared" si="140"/>
        <v>-3</v>
      </c>
      <c r="T1191" s="7" t="s">
        <v>240</v>
      </c>
      <c r="U1191" s="7" t="s">
        <v>285</v>
      </c>
      <c r="V1191" s="7"/>
      <c r="W1191" s="7">
        <v>1270.1500000000001</v>
      </c>
      <c r="X1191" s="132">
        <f t="shared" si="138"/>
        <v>10</v>
      </c>
      <c r="Y1191" s="133"/>
      <c r="Z1191" s="133"/>
      <c r="AA1191" s="133"/>
    </row>
    <row r="1192" spans="1:27" hidden="1" x14ac:dyDescent="0.25">
      <c r="A1192" s="127">
        <v>1321</v>
      </c>
      <c r="B1192" s="128" t="str">
        <f t="shared" si="139"/>
        <v>UYCT</v>
      </c>
      <c r="C1192" s="128" t="str">
        <f>+VLOOKUP(U1192,Ходим!A:B,2,0)</f>
        <v>31007985930029</v>
      </c>
      <c r="D1192" s="128" t="str">
        <f>IFERROR(VLOOKUP($B:$B,[20]свод!$A:$AB,3,0)," ")</f>
        <v>Уйчи тумани</v>
      </c>
      <c r="E1192" s="7" t="s">
        <v>2332</v>
      </c>
      <c r="F1192" s="7" t="s">
        <v>8722</v>
      </c>
      <c r="G1192" s="134" t="str">
        <f t="shared" si="136"/>
        <v/>
      </c>
      <c r="H1192" s="134">
        <f t="shared" si="137"/>
        <v>1</v>
      </c>
      <c r="I1192" s="7" t="s">
        <v>157</v>
      </c>
      <c r="J1192" s="7" t="s">
        <v>35</v>
      </c>
      <c r="K1192" s="7"/>
      <c r="L1192" s="7" t="s">
        <v>166</v>
      </c>
      <c r="M1192" s="7" t="s">
        <v>979</v>
      </c>
      <c r="N1192" s="7" t="s">
        <v>410</v>
      </c>
      <c r="O1192" s="7" t="s">
        <v>161</v>
      </c>
      <c r="P1192" s="7" t="s">
        <v>6416</v>
      </c>
      <c r="Q1192" s="129">
        <v>46199</v>
      </c>
      <c r="R1192" s="130">
        <f t="shared" si="135"/>
        <v>46211</v>
      </c>
      <c r="S1192" s="131">
        <f t="shared" si="140"/>
        <v>12</v>
      </c>
      <c r="T1192" s="7" t="s">
        <v>947</v>
      </c>
      <c r="U1192" s="7" t="s">
        <v>389</v>
      </c>
      <c r="V1192" s="7"/>
      <c r="W1192" s="7">
        <v>0</v>
      </c>
      <c r="X1192" s="132">
        <f t="shared" si="138"/>
        <v>10</v>
      </c>
      <c r="Y1192" s="133"/>
      <c r="Z1192" s="133"/>
      <c r="AA1192" s="133"/>
    </row>
    <row r="1193" spans="1:27" hidden="1" x14ac:dyDescent="0.25">
      <c r="A1193" s="127">
        <v>1322</v>
      </c>
      <c r="B1193" s="128" t="str">
        <f t="shared" si="139"/>
        <v>CHOT</v>
      </c>
      <c r="C1193" s="128" t="e">
        <f>+VLOOKUP(U1193,Ходим!A:B,2,0)</f>
        <v>#N/A</v>
      </c>
      <c r="D1193" s="128" t="str">
        <f>IFERROR(VLOOKUP($B:$B,[20]свод!$A:$AB,3,0)," ")</f>
        <v>Чортоқ тумани</v>
      </c>
      <c r="E1193" s="7" t="s">
        <v>2333</v>
      </c>
      <c r="F1193" s="7" t="s">
        <v>8723</v>
      </c>
      <c r="G1193" s="134" t="str">
        <f t="shared" si="136"/>
        <v/>
      </c>
      <c r="H1193" s="134">
        <f t="shared" si="137"/>
        <v>1</v>
      </c>
      <c r="I1193" s="7" t="s">
        <v>159</v>
      </c>
      <c r="J1193" s="7" t="s">
        <v>137</v>
      </c>
      <c r="K1193" s="7"/>
      <c r="L1193" s="7" t="s">
        <v>166</v>
      </c>
      <c r="M1193" s="7" t="s">
        <v>1039</v>
      </c>
      <c r="N1193" s="7" t="s">
        <v>170</v>
      </c>
      <c r="O1193" s="7" t="s">
        <v>163</v>
      </c>
      <c r="P1193" s="7" t="s">
        <v>6834</v>
      </c>
      <c r="Q1193" s="129">
        <v>46199</v>
      </c>
      <c r="R1193" s="130">
        <f t="shared" si="135"/>
        <v>46211</v>
      </c>
      <c r="S1193" s="131">
        <f t="shared" si="140"/>
        <v>12</v>
      </c>
      <c r="T1193" s="7" t="s">
        <v>10635</v>
      </c>
      <c r="U1193" s="7"/>
      <c r="V1193" s="7"/>
      <c r="W1193" s="7">
        <v>34.96</v>
      </c>
      <c r="X1193" s="132">
        <f t="shared" si="138"/>
        <v>10</v>
      </c>
      <c r="Y1193" s="133"/>
      <c r="Z1193" s="133"/>
      <c r="AA1193" s="133"/>
    </row>
    <row r="1194" spans="1:27" hidden="1" x14ac:dyDescent="0.25">
      <c r="A1194" s="127">
        <v>1323</v>
      </c>
      <c r="B1194" s="128" t="str">
        <f t="shared" si="139"/>
        <v>NAMS</v>
      </c>
      <c r="C1194" s="128" t="str">
        <f>+VLOOKUP(U1194,Ходим!A:B,2,0)</f>
        <v>52710005960025</v>
      </c>
      <c r="D1194" s="128" t="str">
        <f>IFERROR(VLOOKUP($B:$B,[20]свод!$A:$AB,3,0)," ")</f>
        <v>Наманган шаҳар</v>
      </c>
      <c r="E1194" s="7" t="s">
        <v>2334</v>
      </c>
      <c r="F1194" s="7" t="s">
        <v>8724</v>
      </c>
      <c r="G1194" s="134">
        <f t="shared" si="136"/>
        <v>1</v>
      </c>
      <c r="H1194" s="134" t="str">
        <f t="shared" si="137"/>
        <v/>
      </c>
      <c r="I1194" s="7" t="s">
        <v>158</v>
      </c>
      <c r="J1194" s="7" t="s">
        <v>2</v>
      </c>
      <c r="K1194" s="7"/>
      <c r="L1194" s="7"/>
      <c r="M1194" s="7"/>
      <c r="N1194" s="7" t="s">
        <v>170</v>
      </c>
      <c r="O1194" s="7" t="s">
        <v>162</v>
      </c>
      <c r="P1194" s="7" t="s">
        <v>6835</v>
      </c>
      <c r="Q1194" s="129">
        <v>46199</v>
      </c>
      <c r="R1194" s="130">
        <f t="shared" si="135"/>
        <v>46211</v>
      </c>
      <c r="S1194" s="131">
        <f t="shared" si="140"/>
        <v>12</v>
      </c>
      <c r="T1194" s="7" t="s">
        <v>185</v>
      </c>
      <c r="U1194" s="7" t="s">
        <v>274</v>
      </c>
      <c r="V1194" s="7"/>
      <c r="W1194" s="7"/>
      <c r="X1194" s="132">
        <f t="shared" si="138"/>
        <v>10</v>
      </c>
      <c r="Y1194" s="133"/>
      <c r="Z1194" s="133"/>
      <c r="AA1194" s="133"/>
    </row>
    <row r="1195" spans="1:27" hidden="1" x14ac:dyDescent="0.25">
      <c r="A1195" s="127">
        <v>1324</v>
      </c>
      <c r="B1195" s="128" t="str">
        <f t="shared" si="139"/>
        <v>UCQT</v>
      </c>
      <c r="C1195" s="128" t="str">
        <f>+VLOOKUP(U1195,Ходим!A:B,2,0)</f>
        <v>52405005940019</v>
      </c>
      <c r="D1195" s="128" t="str">
        <f>IFERROR(VLOOKUP($B:$B,[20]свод!$A:$AB,3,0)," ")</f>
        <v>Учқўрғон тумани</v>
      </c>
      <c r="E1195" s="7" t="s">
        <v>2335</v>
      </c>
      <c r="F1195" s="7" t="s">
        <v>8725</v>
      </c>
      <c r="G1195" s="134">
        <f t="shared" si="136"/>
        <v>1</v>
      </c>
      <c r="H1195" s="134" t="str">
        <f t="shared" si="137"/>
        <v/>
      </c>
      <c r="I1195" s="7" t="s">
        <v>156</v>
      </c>
      <c r="J1195" s="7" t="s">
        <v>22</v>
      </c>
      <c r="K1195" s="7"/>
      <c r="L1195" s="7" t="s">
        <v>167</v>
      </c>
      <c r="M1195" s="7" t="s">
        <v>4982</v>
      </c>
      <c r="N1195" s="7" t="s">
        <v>170</v>
      </c>
      <c r="O1195" s="7" t="s">
        <v>162</v>
      </c>
      <c r="P1195" s="7" t="s">
        <v>6836</v>
      </c>
      <c r="Q1195" s="129">
        <v>46199</v>
      </c>
      <c r="R1195" s="130">
        <f t="shared" si="135"/>
        <v>46206</v>
      </c>
      <c r="S1195" s="131">
        <f t="shared" si="140"/>
        <v>7</v>
      </c>
      <c r="T1195" s="7" t="s">
        <v>175</v>
      </c>
      <c r="U1195" s="7" t="s">
        <v>209</v>
      </c>
      <c r="V1195" s="7"/>
      <c r="W1195" s="7">
        <v>116</v>
      </c>
      <c r="X1195" s="132">
        <f t="shared" si="138"/>
        <v>10</v>
      </c>
      <c r="Y1195" s="133"/>
      <c r="Z1195" s="133"/>
      <c r="AA1195" s="133"/>
    </row>
    <row r="1196" spans="1:27" hidden="1" x14ac:dyDescent="0.25">
      <c r="A1196" s="127">
        <v>1325</v>
      </c>
      <c r="B1196" s="128" t="str">
        <f t="shared" si="139"/>
        <v>YGQT</v>
      </c>
      <c r="C1196" s="128" t="str">
        <f>+VLOOKUP(U1196,Ходим!A:B,2,0)</f>
        <v>30809995950021</v>
      </c>
      <c r="D1196" s="128" t="str">
        <f>IFERROR(VLOOKUP($B:$B,[20]свод!$A:$AB,3,0)," ")</f>
        <v>Янгиқўрғон тумани</v>
      </c>
      <c r="E1196" s="7" t="s">
        <v>2336</v>
      </c>
      <c r="F1196" s="7" t="s">
        <v>8726</v>
      </c>
      <c r="G1196" s="134" t="str">
        <f t="shared" si="136"/>
        <v/>
      </c>
      <c r="H1196" s="134">
        <f t="shared" si="137"/>
        <v>1</v>
      </c>
      <c r="I1196" s="7" t="s">
        <v>157</v>
      </c>
      <c r="J1196" s="7" t="s">
        <v>2</v>
      </c>
      <c r="K1196" s="7"/>
      <c r="L1196" s="7" t="s">
        <v>168</v>
      </c>
      <c r="M1196" s="7" t="s">
        <v>4983</v>
      </c>
      <c r="N1196" s="7" t="s">
        <v>170</v>
      </c>
      <c r="O1196" s="7" t="s">
        <v>161</v>
      </c>
      <c r="P1196" s="7" t="s">
        <v>6836</v>
      </c>
      <c r="Q1196" s="129">
        <v>46199</v>
      </c>
      <c r="R1196" s="130">
        <f t="shared" si="135"/>
        <v>46203</v>
      </c>
      <c r="S1196" s="131">
        <f t="shared" si="140"/>
        <v>4</v>
      </c>
      <c r="T1196" s="7" t="s">
        <v>255</v>
      </c>
      <c r="U1196" s="7" t="s">
        <v>223</v>
      </c>
      <c r="V1196" s="7"/>
      <c r="W1196" s="7">
        <v>0</v>
      </c>
      <c r="X1196" s="132">
        <f t="shared" si="138"/>
        <v>7</v>
      </c>
      <c r="Y1196" s="133"/>
      <c r="Z1196" s="133"/>
      <c r="AA1196" s="133"/>
    </row>
    <row r="1197" spans="1:27" hidden="1" x14ac:dyDescent="0.25">
      <c r="A1197" s="127">
        <v>1326</v>
      </c>
      <c r="B1197" s="128" t="str">
        <f t="shared" si="139"/>
        <v>CHUT</v>
      </c>
      <c r="C1197" s="128" t="str">
        <f>+VLOOKUP(U1197,Ходим!A:B,2,0)</f>
        <v>30409785970022</v>
      </c>
      <c r="D1197" s="128" t="str">
        <f>IFERROR(VLOOKUP($B:$B,[20]свод!$A:$AB,3,0)," ")</f>
        <v>Чуст тумани</v>
      </c>
      <c r="E1197" s="7" t="s">
        <v>2337</v>
      </c>
      <c r="F1197" s="7" t="s">
        <v>8727</v>
      </c>
      <c r="G1197" s="134" t="str">
        <f t="shared" si="136"/>
        <v/>
      </c>
      <c r="H1197" s="134">
        <f t="shared" si="137"/>
        <v>1</v>
      </c>
      <c r="I1197" s="7" t="s">
        <v>157</v>
      </c>
      <c r="J1197" s="7" t="s">
        <v>172</v>
      </c>
      <c r="K1197" s="7"/>
      <c r="L1197" s="7" t="s">
        <v>166</v>
      </c>
      <c r="M1197" s="7" t="s">
        <v>4984</v>
      </c>
      <c r="N1197" s="7" t="s">
        <v>170</v>
      </c>
      <c r="O1197" s="7" t="s">
        <v>161</v>
      </c>
      <c r="P1197" s="7" t="s">
        <v>6307</v>
      </c>
      <c r="Q1197" s="129">
        <v>46199</v>
      </c>
      <c r="R1197" s="130">
        <f t="shared" si="135"/>
        <v>46210</v>
      </c>
      <c r="S1197" s="131">
        <f t="shared" si="140"/>
        <v>11</v>
      </c>
      <c r="T1197" s="7" t="s">
        <v>178</v>
      </c>
      <c r="U1197" s="7" t="s">
        <v>191</v>
      </c>
      <c r="V1197" s="7"/>
      <c r="W1197" s="7">
        <v>0</v>
      </c>
      <c r="X1197" s="132">
        <f t="shared" si="138"/>
        <v>10</v>
      </c>
      <c r="Y1197" s="133"/>
      <c r="Z1197" s="133"/>
      <c r="AA1197" s="133"/>
    </row>
    <row r="1198" spans="1:27" hidden="1" x14ac:dyDescent="0.25">
      <c r="A1198" s="127">
        <v>1327</v>
      </c>
      <c r="B1198" s="128" t="str">
        <f t="shared" si="139"/>
        <v>NORT</v>
      </c>
      <c r="C1198" s="128" t="str">
        <f>+VLOOKUP(U1198,Ходим!A:B,2,0)</f>
        <v>32103985900068</v>
      </c>
      <c r="D1198" s="128" t="str">
        <f>IFERROR(VLOOKUP($B:$B,[20]свод!$A:$AB,3,0)," ")</f>
        <v>Норин тумани</v>
      </c>
      <c r="E1198" s="7" t="s">
        <v>2338</v>
      </c>
      <c r="F1198" s="7" t="s">
        <v>8728</v>
      </c>
      <c r="G1198" s="134">
        <f t="shared" si="136"/>
        <v>1</v>
      </c>
      <c r="H1198" s="134" t="str">
        <f t="shared" si="137"/>
        <v/>
      </c>
      <c r="I1198" s="7" t="s">
        <v>158</v>
      </c>
      <c r="J1198" s="7" t="s">
        <v>2</v>
      </c>
      <c r="K1198" s="7"/>
      <c r="L1198" s="7" t="s">
        <v>167</v>
      </c>
      <c r="M1198" s="7" t="s">
        <v>4985</v>
      </c>
      <c r="N1198" s="7" t="s">
        <v>170</v>
      </c>
      <c r="O1198" s="7" t="s">
        <v>162</v>
      </c>
      <c r="P1198" s="7" t="s">
        <v>6837</v>
      </c>
      <c r="Q1198" s="129">
        <v>46199</v>
      </c>
      <c r="R1198" s="130">
        <f t="shared" si="135"/>
        <v>46212</v>
      </c>
      <c r="S1198" s="131">
        <f t="shared" si="140"/>
        <v>13</v>
      </c>
      <c r="T1198" s="7" t="s">
        <v>210</v>
      </c>
      <c r="U1198" s="7" t="s">
        <v>327</v>
      </c>
      <c r="V1198" s="7"/>
      <c r="W1198" s="7">
        <v>208.26</v>
      </c>
      <c r="X1198" s="132">
        <f t="shared" si="138"/>
        <v>10</v>
      </c>
      <c r="Y1198" s="133"/>
      <c r="Z1198" s="133"/>
      <c r="AA1198" s="133"/>
    </row>
    <row r="1199" spans="1:27" hidden="1" x14ac:dyDescent="0.25">
      <c r="A1199" s="127">
        <v>1328</v>
      </c>
      <c r="B1199" s="128" t="str">
        <f t="shared" si="139"/>
        <v>NAMS</v>
      </c>
      <c r="C1199" s="128" t="str">
        <f>+VLOOKUP(U1199,Ходим!A:B,2,0)</f>
        <v>52710005960025</v>
      </c>
      <c r="D1199" s="128" t="str">
        <f>IFERROR(VLOOKUP($B:$B,[20]свод!$A:$AB,3,0)," ")</f>
        <v>Наманган шаҳар</v>
      </c>
      <c r="E1199" s="7" t="s">
        <v>2339</v>
      </c>
      <c r="F1199" s="7" t="s">
        <v>8729</v>
      </c>
      <c r="G1199" s="134">
        <f t="shared" si="136"/>
        <v>1</v>
      </c>
      <c r="H1199" s="134" t="str">
        <f t="shared" si="137"/>
        <v/>
      </c>
      <c r="I1199" s="7" t="s">
        <v>156</v>
      </c>
      <c r="J1199" s="7" t="s">
        <v>25</v>
      </c>
      <c r="K1199" s="7"/>
      <c r="L1199" s="7" t="s">
        <v>167</v>
      </c>
      <c r="M1199" s="7" t="s">
        <v>4986</v>
      </c>
      <c r="N1199" s="7" t="s">
        <v>170</v>
      </c>
      <c r="O1199" s="7" t="s">
        <v>162</v>
      </c>
      <c r="P1199" s="7" t="s">
        <v>6837</v>
      </c>
      <c r="Q1199" s="129">
        <v>46199</v>
      </c>
      <c r="R1199" s="130">
        <f t="shared" si="135"/>
        <v>46212</v>
      </c>
      <c r="S1199" s="131">
        <f t="shared" si="140"/>
        <v>13</v>
      </c>
      <c r="T1199" s="7" t="s">
        <v>173</v>
      </c>
      <c r="U1199" s="7" t="s">
        <v>274</v>
      </c>
      <c r="V1199" s="7"/>
      <c r="W1199" s="7">
        <v>223.61</v>
      </c>
      <c r="X1199" s="132">
        <f t="shared" si="138"/>
        <v>10</v>
      </c>
      <c r="Y1199" s="133"/>
      <c r="Z1199" s="133"/>
      <c r="AA1199" s="133"/>
    </row>
    <row r="1200" spans="1:27" hidden="1" x14ac:dyDescent="0.25">
      <c r="A1200" s="127">
        <v>1329</v>
      </c>
      <c r="B1200" s="128" t="str">
        <f t="shared" si="139"/>
        <v>CHOT</v>
      </c>
      <c r="C1200" s="128" t="str">
        <f>+VLOOKUP(U1200,Ходим!A:B,2,0)</f>
        <v>51408005890064</v>
      </c>
      <c r="D1200" s="128" t="str">
        <f>IFERROR(VLOOKUP($B:$B,[20]свод!$A:$AB,3,0)," ")</f>
        <v>Чортоқ тумани</v>
      </c>
      <c r="E1200" s="7" t="s">
        <v>2340</v>
      </c>
      <c r="F1200" s="7" t="s">
        <v>8730</v>
      </c>
      <c r="G1200" s="134">
        <f t="shared" si="136"/>
        <v>1</v>
      </c>
      <c r="H1200" s="134" t="str">
        <f t="shared" si="137"/>
        <v/>
      </c>
      <c r="I1200" s="7" t="s">
        <v>158</v>
      </c>
      <c r="J1200" s="7" t="s">
        <v>1</v>
      </c>
      <c r="K1200" s="7"/>
      <c r="L1200" s="7" t="s">
        <v>167</v>
      </c>
      <c r="M1200" s="7" t="s">
        <v>4987</v>
      </c>
      <c r="N1200" s="7" t="s">
        <v>410</v>
      </c>
      <c r="O1200" s="7" t="s">
        <v>162</v>
      </c>
      <c r="P1200" s="7" t="s">
        <v>6838</v>
      </c>
      <c r="Q1200" s="129">
        <v>46199</v>
      </c>
      <c r="R1200" s="130">
        <f t="shared" si="135"/>
        <v>46206</v>
      </c>
      <c r="S1200" s="131">
        <f t="shared" si="140"/>
        <v>7</v>
      </c>
      <c r="T1200" s="7" t="s">
        <v>184</v>
      </c>
      <c r="U1200" s="7" t="s">
        <v>409</v>
      </c>
      <c r="V1200" s="7"/>
      <c r="W1200" s="7">
        <v>385.36</v>
      </c>
      <c r="X1200" s="132">
        <f t="shared" si="138"/>
        <v>10</v>
      </c>
      <c r="Y1200" s="133"/>
      <c r="Z1200" s="133"/>
      <c r="AA1200" s="133"/>
    </row>
    <row r="1201" spans="1:27" x14ac:dyDescent="0.25">
      <c r="A1201" s="127">
        <v>1330</v>
      </c>
      <c r="B1201" s="128" t="str">
        <f t="shared" si="139"/>
        <v>UYCT</v>
      </c>
      <c r="C1201" s="128" t="str">
        <f>+VLOOKUP(U1201,Ходим!A:B,2,0)</f>
        <v>32002975930037</v>
      </c>
      <c r="D1201" s="128" t="str">
        <f>IFERROR(VLOOKUP($B:$B,[20]свод!$A:$AB,3,0)," ")</f>
        <v>Уйчи тумани</v>
      </c>
      <c r="E1201" s="7" t="s">
        <v>2341</v>
      </c>
      <c r="F1201" s="7" t="s">
        <v>8731</v>
      </c>
      <c r="G1201" s="134">
        <f t="shared" si="136"/>
        <v>1</v>
      </c>
      <c r="H1201" s="134" t="str">
        <f t="shared" si="137"/>
        <v/>
      </c>
      <c r="I1201" s="7" t="s">
        <v>158</v>
      </c>
      <c r="J1201" s="7" t="s">
        <v>134</v>
      </c>
      <c r="K1201" s="7"/>
      <c r="L1201" s="7" t="s">
        <v>167</v>
      </c>
      <c r="M1201" s="7" t="s">
        <v>4988</v>
      </c>
      <c r="N1201" s="7" t="s">
        <v>410</v>
      </c>
      <c r="O1201" s="7" t="s">
        <v>162</v>
      </c>
      <c r="P1201" s="7" t="s">
        <v>6839</v>
      </c>
      <c r="Q1201" s="129">
        <v>46199</v>
      </c>
      <c r="R1201" s="130">
        <f t="shared" si="135"/>
        <v>46199</v>
      </c>
      <c r="S1201" s="131">
        <f t="shared" si="140"/>
        <v>0</v>
      </c>
      <c r="T1201" s="7" t="s">
        <v>947</v>
      </c>
      <c r="U1201" s="7" t="s">
        <v>260</v>
      </c>
      <c r="V1201" s="7"/>
      <c r="W1201" s="7">
        <v>192.4</v>
      </c>
      <c r="X1201" s="132">
        <f t="shared" si="138"/>
        <v>10</v>
      </c>
      <c r="Y1201" s="133"/>
      <c r="Z1201" s="133"/>
      <c r="AA1201" s="133"/>
    </row>
    <row r="1202" spans="1:27" hidden="1" x14ac:dyDescent="0.25">
      <c r="A1202" s="127">
        <v>1331</v>
      </c>
      <c r="B1202" s="128" t="str">
        <f t="shared" si="139"/>
        <v>MINT</v>
      </c>
      <c r="C1202" s="128" t="str">
        <f>+VLOOKUP(U1202,Ходим!A:B,2,0)</f>
        <v>31102965920024</v>
      </c>
      <c r="D1202" s="128" t="str">
        <f>IFERROR(VLOOKUP($B:$B,[20]свод!$A:$AB,3,0)," ")</f>
        <v>Мингбулоқ тумани</v>
      </c>
      <c r="E1202" s="7" t="s">
        <v>2342</v>
      </c>
      <c r="F1202" s="7" t="s">
        <v>8732</v>
      </c>
      <c r="G1202" s="134">
        <f t="shared" si="136"/>
        <v>1</v>
      </c>
      <c r="H1202" s="134" t="str">
        <f t="shared" si="137"/>
        <v/>
      </c>
      <c r="I1202" s="7" t="s">
        <v>158</v>
      </c>
      <c r="J1202" s="7" t="s">
        <v>10</v>
      </c>
      <c r="K1202" s="7"/>
      <c r="L1202" s="7" t="s">
        <v>167</v>
      </c>
      <c r="M1202" s="7" t="s">
        <v>4989</v>
      </c>
      <c r="N1202" s="7" t="s">
        <v>170</v>
      </c>
      <c r="O1202" s="7" t="s">
        <v>162</v>
      </c>
      <c r="P1202" s="7" t="s">
        <v>6639</v>
      </c>
      <c r="Q1202" s="129">
        <v>46199</v>
      </c>
      <c r="R1202" s="130">
        <f t="shared" si="135"/>
        <v>46204</v>
      </c>
      <c r="S1202" s="131">
        <f t="shared" si="140"/>
        <v>5</v>
      </c>
      <c r="T1202" s="7" t="s">
        <v>220</v>
      </c>
      <c r="U1202" s="7" t="s">
        <v>317</v>
      </c>
      <c r="V1202" s="7"/>
      <c r="W1202" s="7">
        <v>503.97</v>
      </c>
      <c r="X1202" s="132">
        <f t="shared" si="138"/>
        <v>10</v>
      </c>
      <c r="Y1202" s="133"/>
      <c r="Z1202" s="133"/>
      <c r="AA1202" s="133"/>
    </row>
    <row r="1203" spans="1:27" hidden="1" x14ac:dyDescent="0.25">
      <c r="A1203" s="127">
        <v>1332</v>
      </c>
      <c r="B1203" s="128" t="str">
        <f t="shared" si="139"/>
        <v>CHOT</v>
      </c>
      <c r="C1203" s="128" t="str">
        <f>+VLOOKUP(U1203,Ходим!A:B,2,0)</f>
        <v>30510945890013</v>
      </c>
      <c r="D1203" s="128" t="str">
        <f>IFERROR(VLOOKUP($B:$B,[20]свод!$A:$AB,3,0)," ")</f>
        <v>Чортоқ тумани</v>
      </c>
      <c r="E1203" s="7" t="s">
        <v>2343</v>
      </c>
      <c r="F1203" s="7" t="s">
        <v>8733</v>
      </c>
      <c r="G1203" s="134">
        <f t="shared" si="136"/>
        <v>1</v>
      </c>
      <c r="H1203" s="134" t="str">
        <f t="shared" si="137"/>
        <v/>
      </c>
      <c r="I1203" s="7" t="s">
        <v>158</v>
      </c>
      <c r="J1203" s="7" t="s">
        <v>172</v>
      </c>
      <c r="K1203" s="7"/>
      <c r="L1203" s="7"/>
      <c r="M1203" s="7"/>
      <c r="N1203" s="7" t="s">
        <v>170</v>
      </c>
      <c r="O1203" s="7" t="s">
        <v>162</v>
      </c>
      <c r="P1203" s="7" t="s">
        <v>6838</v>
      </c>
      <c r="Q1203" s="129">
        <v>46199</v>
      </c>
      <c r="R1203" s="130">
        <f t="shared" si="135"/>
        <v>46206</v>
      </c>
      <c r="S1203" s="131">
        <f t="shared" si="140"/>
        <v>7</v>
      </c>
      <c r="T1203" s="7" t="s">
        <v>10635</v>
      </c>
      <c r="U1203" s="7" t="s">
        <v>185</v>
      </c>
      <c r="V1203" s="7"/>
      <c r="W1203" s="7"/>
      <c r="X1203" s="132">
        <f t="shared" si="138"/>
        <v>10</v>
      </c>
      <c r="Y1203" s="133"/>
      <c r="Z1203" s="133"/>
      <c r="AA1203" s="133"/>
    </row>
    <row r="1204" spans="1:27" hidden="1" x14ac:dyDescent="0.25">
      <c r="A1204" s="127">
        <v>1333</v>
      </c>
      <c r="B1204" s="128" t="str">
        <f t="shared" si="139"/>
        <v>POPT</v>
      </c>
      <c r="C1204" s="128" t="str">
        <f>+VLOOKUP(U1204,Ходим!A:B,2,0)</f>
        <v>32209966000029</v>
      </c>
      <c r="D1204" s="128" t="str">
        <f>IFERROR(VLOOKUP($B:$B,[20]свод!$A:$AB,3,0)," ")</f>
        <v>Поп тумани</v>
      </c>
      <c r="E1204" s="7" t="s">
        <v>2344</v>
      </c>
      <c r="F1204" s="7" t="s">
        <v>8734</v>
      </c>
      <c r="G1204" s="134">
        <f t="shared" si="136"/>
        <v>1</v>
      </c>
      <c r="H1204" s="134" t="str">
        <f t="shared" si="137"/>
        <v/>
      </c>
      <c r="I1204" s="7" t="s">
        <v>158</v>
      </c>
      <c r="J1204" s="7" t="s">
        <v>2</v>
      </c>
      <c r="K1204" s="7"/>
      <c r="L1204" s="7"/>
      <c r="M1204" s="7"/>
      <c r="N1204" s="7" t="s">
        <v>170</v>
      </c>
      <c r="O1204" s="7" t="s">
        <v>162</v>
      </c>
      <c r="P1204" s="7" t="s">
        <v>6840</v>
      </c>
      <c r="Q1204" s="129">
        <v>46199</v>
      </c>
      <c r="R1204" s="130">
        <f t="shared" si="135"/>
        <v>46206</v>
      </c>
      <c r="S1204" s="131">
        <f t="shared" si="140"/>
        <v>7</v>
      </c>
      <c r="T1204" s="7" t="s">
        <v>240</v>
      </c>
      <c r="U1204" s="7" t="s">
        <v>282</v>
      </c>
      <c r="V1204" s="7"/>
      <c r="W1204" s="7"/>
      <c r="X1204" s="132">
        <f t="shared" si="138"/>
        <v>10</v>
      </c>
      <c r="Y1204" s="133"/>
      <c r="Z1204" s="133"/>
      <c r="AA1204" s="133"/>
    </row>
    <row r="1205" spans="1:27" hidden="1" x14ac:dyDescent="0.25">
      <c r="A1205" s="127">
        <v>1334</v>
      </c>
      <c r="B1205" s="128" t="str">
        <f t="shared" si="139"/>
        <v>NAMS</v>
      </c>
      <c r="C1205" s="128" t="str">
        <f>+VLOOKUP(U1205,Ходим!A:B,2,0)</f>
        <v>32211885960016</v>
      </c>
      <c r="D1205" s="128" t="str">
        <f>IFERROR(VLOOKUP($B:$B,[20]свод!$A:$AB,3,0)," ")</f>
        <v>Наманган шаҳар</v>
      </c>
      <c r="E1205" s="7" t="s">
        <v>2345</v>
      </c>
      <c r="F1205" s="7" t="s">
        <v>8735</v>
      </c>
      <c r="G1205" s="134" t="str">
        <f t="shared" si="136"/>
        <v/>
      </c>
      <c r="H1205" s="134">
        <f t="shared" si="137"/>
        <v>1</v>
      </c>
      <c r="I1205" s="7" t="s">
        <v>155</v>
      </c>
      <c r="J1205" s="7" t="s">
        <v>25</v>
      </c>
      <c r="K1205" s="7"/>
      <c r="L1205" s="7" t="s">
        <v>166</v>
      </c>
      <c r="M1205" s="7" t="s">
        <v>4990</v>
      </c>
      <c r="N1205" s="7" t="s">
        <v>170</v>
      </c>
      <c r="O1205" s="7" t="s">
        <v>161</v>
      </c>
      <c r="P1205" s="7" t="s">
        <v>6841</v>
      </c>
      <c r="Q1205" s="129">
        <v>46199</v>
      </c>
      <c r="R1205" s="130">
        <f t="shared" si="135"/>
        <v>46210</v>
      </c>
      <c r="S1205" s="131">
        <f t="shared" si="140"/>
        <v>11</v>
      </c>
      <c r="T1205" s="7" t="s">
        <v>227</v>
      </c>
      <c r="U1205" s="7" t="s">
        <v>279</v>
      </c>
      <c r="V1205" s="7"/>
      <c r="W1205" s="7">
        <v>176</v>
      </c>
      <c r="X1205" s="132">
        <f t="shared" si="138"/>
        <v>12</v>
      </c>
      <c r="Y1205" s="133"/>
      <c r="Z1205" s="133"/>
      <c r="AA1205" s="133"/>
    </row>
    <row r="1206" spans="1:27" hidden="1" x14ac:dyDescent="0.25">
      <c r="A1206" s="127">
        <v>1335</v>
      </c>
      <c r="B1206" s="128" t="str">
        <f t="shared" si="139"/>
        <v>UYCT</v>
      </c>
      <c r="C1206" s="128" t="str">
        <f>+VLOOKUP(U1206,Ходим!A:B,2,0)</f>
        <v>52811025930077</v>
      </c>
      <c r="D1206" s="128" t="str">
        <f>IFERROR(VLOOKUP($B:$B,[20]свод!$A:$AB,3,0)," ")</f>
        <v>Уйчи тумани</v>
      </c>
      <c r="E1206" s="7" t="s">
        <v>2346</v>
      </c>
      <c r="F1206" s="7" t="s">
        <v>8736</v>
      </c>
      <c r="G1206" s="134">
        <f t="shared" si="136"/>
        <v>1</v>
      </c>
      <c r="H1206" s="134" t="str">
        <f t="shared" si="137"/>
        <v/>
      </c>
      <c r="I1206" s="7" t="s">
        <v>156</v>
      </c>
      <c r="J1206" s="7" t="s">
        <v>25</v>
      </c>
      <c r="K1206" s="7"/>
      <c r="L1206" s="7"/>
      <c r="M1206" s="7"/>
      <c r="N1206" s="7" t="s">
        <v>170</v>
      </c>
      <c r="O1206" s="7" t="s">
        <v>162</v>
      </c>
      <c r="P1206" s="7" t="s">
        <v>6842</v>
      </c>
      <c r="Q1206" s="129">
        <v>46199</v>
      </c>
      <c r="R1206" s="130">
        <f t="shared" si="135"/>
        <v>46212</v>
      </c>
      <c r="S1206" s="131">
        <f t="shared" si="140"/>
        <v>13</v>
      </c>
      <c r="T1206" s="7" t="s">
        <v>947</v>
      </c>
      <c r="U1206" s="7" t="s">
        <v>356</v>
      </c>
      <c r="V1206" s="7"/>
      <c r="W1206" s="7"/>
      <c r="X1206" s="132">
        <f t="shared" si="138"/>
        <v>10</v>
      </c>
      <c r="Y1206" s="133"/>
      <c r="Z1206" s="133"/>
      <c r="AA1206" s="133"/>
    </row>
    <row r="1207" spans="1:27" hidden="1" x14ac:dyDescent="0.25">
      <c r="A1207" s="127">
        <v>1336</v>
      </c>
      <c r="B1207" s="128" t="str">
        <f t="shared" si="139"/>
        <v>POPT</v>
      </c>
      <c r="C1207" s="128" t="str">
        <f>+VLOOKUP(U1207,Ходим!A:B,2,0)</f>
        <v>30609882120085</v>
      </c>
      <c r="D1207" s="128" t="str">
        <f>IFERROR(VLOOKUP($B:$B,[20]свод!$A:$AB,3,0)," ")</f>
        <v>Поп тумани</v>
      </c>
      <c r="E1207" s="7" t="s">
        <v>2347</v>
      </c>
      <c r="F1207" s="7" t="s">
        <v>8737</v>
      </c>
      <c r="G1207" s="134">
        <f t="shared" si="136"/>
        <v>1</v>
      </c>
      <c r="H1207" s="134" t="str">
        <f t="shared" si="137"/>
        <v/>
      </c>
      <c r="I1207" s="7" t="s">
        <v>156</v>
      </c>
      <c r="J1207" s="7" t="s">
        <v>25</v>
      </c>
      <c r="K1207" s="7"/>
      <c r="L1207" s="7" t="s">
        <v>167</v>
      </c>
      <c r="M1207" s="7" t="s">
        <v>4991</v>
      </c>
      <c r="N1207" s="7" t="s">
        <v>170</v>
      </c>
      <c r="O1207" s="7" t="s">
        <v>162</v>
      </c>
      <c r="P1207" s="7" t="s">
        <v>6842</v>
      </c>
      <c r="Q1207" s="129">
        <v>46199</v>
      </c>
      <c r="R1207" s="130">
        <f t="shared" si="135"/>
        <v>46212</v>
      </c>
      <c r="S1207" s="131">
        <f t="shared" si="140"/>
        <v>13</v>
      </c>
      <c r="T1207" s="7" t="s">
        <v>240</v>
      </c>
      <c r="U1207" s="7" t="s">
        <v>248</v>
      </c>
      <c r="V1207" s="7"/>
      <c r="W1207" s="7">
        <v>83.78</v>
      </c>
      <c r="X1207" s="132">
        <f t="shared" si="138"/>
        <v>10</v>
      </c>
      <c r="Y1207" s="133"/>
      <c r="Z1207" s="133"/>
      <c r="AA1207" s="133"/>
    </row>
    <row r="1208" spans="1:27" hidden="1" x14ac:dyDescent="0.25">
      <c r="A1208" s="127">
        <v>1337</v>
      </c>
      <c r="B1208" s="128" t="str">
        <f t="shared" si="139"/>
        <v>NAMS</v>
      </c>
      <c r="C1208" s="128" t="str">
        <f>+VLOOKUP(U1208,Ходим!A:B,2,0)</f>
        <v>30302965960014</v>
      </c>
      <c r="D1208" s="128" t="str">
        <f>IFERROR(VLOOKUP($B:$B,[20]свод!$A:$AB,3,0)," ")</f>
        <v>Наманган шаҳар</v>
      </c>
      <c r="E1208" s="7" t="s">
        <v>2348</v>
      </c>
      <c r="F1208" s="7" t="s">
        <v>8738</v>
      </c>
      <c r="G1208" s="134">
        <f t="shared" si="136"/>
        <v>1</v>
      </c>
      <c r="H1208" s="134" t="str">
        <f t="shared" si="137"/>
        <v/>
      </c>
      <c r="I1208" s="7" t="s">
        <v>156</v>
      </c>
      <c r="J1208" s="7" t="s">
        <v>25</v>
      </c>
      <c r="K1208" s="7"/>
      <c r="L1208" s="7"/>
      <c r="M1208" s="7"/>
      <c r="N1208" s="7" t="s">
        <v>170</v>
      </c>
      <c r="O1208" s="7" t="s">
        <v>162</v>
      </c>
      <c r="P1208" s="7" t="s">
        <v>6842</v>
      </c>
      <c r="Q1208" s="129">
        <v>46199</v>
      </c>
      <c r="R1208" s="130">
        <f t="shared" si="135"/>
        <v>46212</v>
      </c>
      <c r="S1208" s="131">
        <f t="shared" si="140"/>
        <v>13</v>
      </c>
      <c r="T1208" s="7" t="s">
        <v>173</v>
      </c>
      <c r="U1208" s="7" t="s">
        <v>304</v>
      </c>
      <c r="V1208" s="7"/>
      <c r="W1208" s="7"/>
      <c r="X1208" s="132">
        <f t="shared" si="138"/>
        <v>10</v>
      </c>
      <c r="Y1208" s="133"/>
      <c r="Z1208" s="133"/>
      <c r="AA1208" s="133"/>
    </row>
    <row r="1209" spans="1:27" hidden="1" x14ac:dyDescent="0.25">
      <c r="A1209" s="127">
        <v>1338</v>
      </c>
      <c r="B1209" s="128" t="str">
        <f t="shared" si="139"/>
        <v>UYCT</v>
      </c>
      <c r="C1209" s="128" t="str">
        <f>+VLOOKUP(U1209,Ходим!A:B,2,0)</f>
        <v>30309975930028</v>
      </c>
      <c r="D1209" s="128" t="str">
        <f>IFERROR(VLOOKUP($B:$B,[20]свод!$A:$AB,3,0)," ")</f>
        <v>Уйчи тумани</v>
      </c>
      <c r="E1209" s="7" t="s">
        <v>2349</v>
      </c>
      <c r="F1209" s="7" t="s">
        <v>8739</v>
      </c>
      <c r="G1209" s="134">
        <f t="shared" si="136"/>
        <v>1</v>
      </c>
      <c r="H1209" s="134" t="str">
        <f t="shared" si="137"/>
        <v/>
      </c>
      <c r="I1209" s="7" t="s">
        <v>158</v>
      </c>
      <c r="J1209" s="7" t="s">
        <v>2</v>
      </c>
      <c r="K1209" s="7"/>
      <c r="L1209" s="7" t="s">
        <v>167</v>
      </c>
      <c r="M1209" s="7" t="s">
        <v>4992</v>
      </c>
      <c r="N1209" s="7" t="s">
        <v>170</v>
      </c>
      <c r="O1209" s="7" t="s">
        <v>162</v>
      </c>
      <c r="P1209" s="7" t="s">
        <v>6843</v>
      </c>
      <c r="Q1209" s="129">
        <v>46199</v>
      </c>
      <c r="R1209" s="130">
        <f t="shared" si="135"/>
        <v>46212</v>
      </c>
      <c r="S1209" s="131">
        <f t="shared" si="140"/>
        <v>13</v>
      </c>
      <c r="T1209" s="7" t="s">
        <v>947</v>
      </c>
      <c r="U1209" s="7" t="s">
        <v>261</v>
      </c>
      <c r="V1209" s="7"/>
      <c r="W1209" s="7">
        <v>270.64</v>
      </c>
      <c r="X1209" s="132">
        <f t="shared" si="138"/>
        <v>10</v>
      </c>
      <c r="Y1209" s="133"/>
      <c r="Z1209" s="133"/>
      <c r="AA1209" s="133"/>
    </row>
    <row r="1210" spans="1:27" x14ac:dyDescent="0.25">
      <c r="A1210" s="127">
        <v>1339</v>
      </c>
      <c r="B1210" s="128" t="str">
        <f t="shared" si="139"/>
        <v>UYCT</v>
      </c>
      <c r="C1210" s="128" t="str">
        <f>+VLOOKUP(U1210,Ходим!A:B,2,0)</f>
        <v>50304035930044</v>
      </c>
      <c r="D1210" s="128" t="str">
        <f>IFERROR(VLOOKUP($B:$B,[20]свод!$A:$AB,3,0)," ")</f>
        <v>Уйчи тумани</v>
      </c>
      <c r="E1210" s="7" t="s">
        <v>2350</v>
      </c>
      <c r="F1210" s="7" t="s">
        <v>8740</v>
      </c>
      <c r="G1210" s="134">
        <f t="shared" si="136"/>
        <v>1</v>
      </c>
      <c r="H1210" s="134" t="str">
        <f t="shared" si="137"/>
        <v/>
      </c>
      <c r="I1210" s="7" t="s">
        <v>158</v>
      </c>
      <c r="J1210" s="7" t="s">
        <v>2</v>
      </c>
      <c r="K1210" s="7"/>
      <c r="L1210" s="7" t="s">
        <v>167</v>
      </c>
      <c r="M1210" s="7" t="s">
        <v>1089</v>
      </c>
      <c r="N1210" s="7" t="s">
        <v>410</v>
      </c>
      <c r="O1210" s="7" t="s">
        <v>162</v>
      </c>
      <c r="P1210" s="7" t="s">
        <v>6785</v>
      </c>
      <c r="Q1210" s="129">
        <v>46199</v>
      </c>
      <c r="R1210" s="130">
        <f t="shared" si="135"/>
        <v>46199</v>
      </c>
      <c r="S1210" s="131">
        <f t="shared" si="140"/>
        <v>0</v>
      </c>
      <c r="T1210" s="7" t="s">
        <v>947</v>
      </c>
      <c r="U1210" s="7" t="s">
        <v>956</v>
      </c>
      <c r="V1210" s="7"/>
      <c r="W1210" s="7">
        <v>0</v>
      </c>
      <c r="X1210" s="132">
        <f t="shared" si="138"/>
        <v>10</v>
      </c>
      <c r="Y1210" s="133"/>
      <c r="Z1210" s="133"/>
      <c r="AA1210" s="133"/>
    </row>
    <row r="1211" spans="1:27" hidden="1" x14ac:dyDescent="0.25">
      <c r="A1211" s="127">
        <v>1340</v>
      </c>
      <c r="B1211" s="128" t="str">
        <f t="shared" si="139"/>
        <v>NAMS</v>
      </c>
      <c r="C1211" s="128">
        <f>+VLOOKUP(U1211,Ходим!A:B,2,0)</f>
        <v>50510025960139</v>
      </c>
      <c r="D1211" s="128" t="str">
        <f>IFERROR(VLOOKUP($B:$B,[20]свод!$A:$AB,3,0)," ")</f>
        <v>Наманган шаҳар</v>
      </c>
      <c r="E1211" s="7" t="s">
        <v>2351</v>
      </c>
      <c r="F1211" s="7" t="s">
        <v>8741</v>
      </c>
      <c r="G1211" s="134">
        <f t="shared" si="136"/>
        <v>1</v>
      </c>
      <c r="H1211" s="134" t="str">
        <f t="shared" si="137"/>
        <v/>
      </c>
      <c r="I1211" s="7" t="s">
        <v>156</v>
      </c>
      <c r="J1211" s="7" t="s">
        <v>25</v>
      </c>
      <c r="K1211" s="7"/>
      <c r="L1211" s="7" t="s">
        <v>167</v>
      </c>
      <c r="M1211" s="7" t="s">
        <v>4993</v>
      </c>
      <c r="N1211" s="7" t="s">
        <v>170</v>
      </c>
      <c r="O1211" s="7" t="s">
        <v>162</v>
      </c>
      <c r="P1211" s="7" t="s">
        <v>6844</v>
      </c>
      <c r="Q1211" s="129">
        <v>46199</v>
      </c>
      <c r="R1211" s="130">
        <f t="shared" si="135"/>
        <v>46206</v>
      </c>
      <c r="S1211" s="131">
        <f t="shared" si="140"/>
        <v>7</v>
      </c>
      <c r="T1211" s="7" t="s">
        <v>173</v>
      </c>
      <c r="U1211" s="7" t="s">
        <v>955</v>
      </c>
      <c r="V1211" s="7"/>
      <c r="W1211" s="7">
        <v>0</v>
      </c>
      <c r="X1211" s="132">
        <f t="shared" si="138"/>
        <v>10</v>
      </c>
      <c r="Y1211" s="133"/>
      <c r="Z1211" s="133"/>
      <c r="AA1211" s="133"/>
    </row>
    <row r="1212" spans="1:27" x14ac:dyDescent="0.25">
      <c r="A1212" s="127">
        <v>1342</v>
      </c>
      <c r="B1212" s="128" t="str">
        <f t="shared" si="139"/>
        <v>MINT</v>
      </c>
      <c r="C1212" s="128" t="e">
        <f>+VLOOKUP(U1212,Ходим!A:B,2,0)</f>
        <v>#N/A</v>
      </c>
      <c r="D1212" s="128" t="str">
        <f>IFERROR(VLOOKUP($B:$B,[20]свод!$A:$AB,3,0)," ")</f>
        <v>Мингбулоқ тумани</v>
      </c>
      <c r="E1212" s="7" t="s">
        <v>2352</v>
      </c>
      <c r="F1212" s="7" t="s">
        <v>8742</v>
      </c>
      <c r="G1212" s="134">
        <f t="shared" si="136"/>
        <v>1</v>
      </c>
      <c r="H1212" s="134" t="str">
        <f t="shared" si="137"/>
        <v/>
      </c>
      <c r="I1212" s="7" t="s">
        <v>160</v>
      </c>
      <c r="J1212" s="7" t="s">
        <v>104</v>
      </c>
      <c r="K1212" s="7" t="s">
        <v>10625</v>
      </c>
      <c r="L1212" s="7" t="s">
        <v>167</v>
      </c>
      <c r="M1212" s="7" t="s">
        <v>4994</v>
      </c>
      <c r="N1212" s="7" t="s">
        <v>171</v>
      </c>
      <c r="O1212" s="7" t="s">
        <v>164</v>
      </c>
      <c r="P1212" s="7" t="s">
        <v>6845</v>
      </c>
      <c r="Q1212" s="129">
        <v>46199</v>
      </c>
      <c r="R1212" s="130">
        <f t="shared" si="135"/>
        <v>46199</v>
      </c>
      <c r="S1212" s="131">
        <f t="shared" si="140"/>
        <v>0</v>
      </c>
      <c r="T1212" s="7"/>
      <c r="U1212" s="7"/>
      <c r="V1212" s="7"/>
      <c r="W1212" s="7">
        <v>196.32</v>
      </c>
      <c r="X1212" s="132">
        <f t="shared" si="138"/>
        <v>1</v>
      </c>
      <c r="Y1212" s="133"/>
      <c r="Z1212" s="133"/>
      <c r="AA1212" s="133"/>
    </row>
    <row r="1213" spans="1:27" hidden="1" x14ac:dyDescent="0.25">
      <c r="A1213" s="127">
        <v>1343</v>
      </c>
      <c r="B1213" s="128" t="str">
        <f t="shared" si="139"/>
        <v>POPT</v>
      </c>
      <c r="C1213" s="128" t="str">
        <f>+VLOOKUP(U1213,Ходим!A:B,2,0)</f>
        <v>30608945910016</v>
      </c>
      <c r="D1213" s="128" t="str">
        <f>IFERROR(VLOOKUP($B:$B,[20]свод!$A:$AB,3,0)," ")</f>
        <v>Поп тумани</v>
      </c>
      <c r="E1213" s="7" t="s">
        <v>2353</v>
      </c>
      <c r="F1213" s="7" t="s">
        <v>8743</v>
      </c>
      <c r="G1213" s="134">
        <f t="shared" si="136"/>
        <v>1</v>
      </c>
      <c r="H1213" s="134" t="str">
        <f t="shared" si="137"/>
        <v/>
      </c>
      <c r="I1213" s="7" t="s">
        <v>156</v>
      </c>
      <c r="J1213" s="7" t="s">
        <v>25</v>
      </c>
      <c r="K1213" s="7"/>
      <c r="L1213" s="7"/>
      <c r="M1213" s="7"/>
      <c r="N1213" s="7" t="s">
        <v>170</v>
      </c>
      <c r="O1213" s="7" t="s">
        <v>162</v>
      </c>
      <c r="P1213" s="7" t="s">
        <v>6845</v>
      </c>
      <c r="Q1213" s="129">
        <v>46199</v>
      </c>
      <c r="R1213" s="130">
        <f t="shared" si="135"/>
        <v>46212</v>
      </c>
      <c r="S1213" s="131">
        <f t="shared" si="140"/>
        <v>13</v>
      </c>
      <c r="T1213" s="7" t="s">
        <v>240</v>
      </c>
      <c r="U1213" s="7" t="s">
        <v>295</v>
      </c>
      <c r="V1213" s="7"/>
      <c r="W1213" s="7"/>
      <c r="X1213" s="132">
        <f t="shared" si="138"/>
        <v>10</v>
      </c>
      <c r="Y1213" s="133"/>
      <c r="Z1213" s="133"/>
      <c r="AA1213" s="133"/>
    </row>
    <row r="1214" spans="1:27" hidden="1" x14ac:dyDescent="0.25">
      <c r="A1214" s="127">
        <v>1344</v>
      </c>
      <c r="B1214" s="128" t="str">
        <f t="shared" si="139"/>
        <v>CHOT</v>
      </c>
      <c r="C1214" s="128" t="str">
        <f>+VLOOKUP(U1214,Ходим!A:B,2,0)</f>
        <v>32906975890046</v>
      </c>
      <c r="D1214" s="128" t="str">
        <f>IFERROR(VLOOKUP($B:$B,[20]свод!$A:$AB,3,0)," ")</f>
        <v>Чортоқ тумани</v>
      </c>
      <c r="E1214" s="7" t="s">
        <v>2354</v>
      </c>
      <c r="F1214" s="7" t="s">
        <v>8744</v>
      </c>
      <c r="G1214" s="134">
        <f t="shared" si="136"/>
        <v>1</v>
      </c>
      <c r="H1214" s="134" t="str">
        <f t="shared" si="137"/>
        <v/>
      </c>
      <c r="I1214" s="7" t="s">
        <v>156</v>
      </c>
      <c r="J1214" s="7" t="s">
        <v>25</v>
      </c>
      <c r="K1214" s="7"/>
      <c r="L1214" s="7"/>
      <c r="M1214" s="7"/>
      <c r="N1214" s="7" t="s">
        <v>170</v>
      </c>
      <c r="O1214" s="7" t="s">
        <v>162</v>
      </c>
      <c r="P1214" s="7" t="s">
        <v>6766</v>
      </c>
      <c r="Q1214" s="129">
        <v>46199</v>
      </c>
      <c r="R1214" s="130">
        <f t="shared" si="135"/>
        <v>46212</v>
      </c>
      <c r="S1214" s="131">
        <f t="shared" si="140"/>
        <v>13</v>
      </c>
      <c r="T1214" s="7" t="s">
        <v>184</v>
      </c>
      <c r="U1214" s="7" t="s">
        <v>335</v>
      </c>
      <c r="V1214" s="7"/>
      <c r="W1214" s="7"/>
      <c r="X1214" s="132">
        <f t="shared" si="138"/>
        <v>10</v>
      </c>
      <c r="Y1214" s="133"/>
      <c r="Z1214" s="133"/>
      <c r="AA1214" s="133"/>
    </row>
    <row r="1215" spans="1:27" hidden="1" x14ac:dyDescent="0.25">
      <c r="A1215" s="127">
        <v>1345</v>
      </c>
      <c r="B1215" s="128" t="str">
        <f t="shared" si="139"/>
        <v>NAMS</v>
      </c>
      <c r="C1215" s="128" t="str">
        <f>+VLOOKUP(U1215,Ходим!A:B,2,0)</f>
        <v>31312985950011</v>
      </c>
      <c r="D1215" s="128" t="str">
        <f>IFERROR(VLOOKUP($B:$B,[20]свод!$A:$AB,3,0)," ")</f>
        <v>Наманган шаҳар</v>
      </c>
      <c r="E1215" s="7" t="s">
        <v>2355</v>
      </c>
      <c r="F1215" s="7" t="s">
        <v>8745</v>
      </c>
      <c r="G1215" s="134" t="str">
        <f t="shared" si="136"/>
        <v/>
      </c>
      <c r="H1215" s="134">
        <f t="shared" si="137"/>
        <v>1</v>
      </c>
      <c r="I1215" s="7" t="s">
        <v>154</v>
      </c>
      <c r="J1215" s="7" t="s">
        <v>13</v>
      </c>
      <c r="K1215" s="7"/>
      <c r="L1215" s="7" t="s">
        <v>166</v>
      </c>
      <c r="M1215" s="7" t="s">
        <v>4995</v>
      </c>
      <c r="N1215" s="7" t="s">
        <v>170</v>
      </c>
      <c r="O1215" s="7" t="s">
        <v>161</v>
      </c>
      <c r="P1215" s="7" t="s">
        <v>6846</v>
      </c>
      <c r="Q1215" s="129">
        <v>46199</v>
      </c>
      <c r="R1215" s="130">
        <f t="shared" ref="R1215:R1269" si="141">WORKDAY(P1215,X1215,$Y$1:$AA$1)</f>
        <v>46205</v>
      </c>
      <c r="S1215" s="131">
        <f t="shared" si="140"/>
        <v>6</v>
      </c>
      <c r="T1215" s="7" t="s">
        <v>227</v>
      </c>
      <c r="U1215" s="7" t="s">
        <v>303</v>
      </c>
      <c r="V1215" s="7"/>
      <c r="W1215" s="7">
        <v>379</v>
      </c>
      <c r="X1215" s="132">
        <f t="shared" si="138"/>
        <v>12</v>
      </c>
      <c r="Y1215" s="133"/>
      <c r="Z1215" s="133"/>
      <c r="AA1215" s="133"/>
    </row>
    <row r="1216" spans="1:27" hidden="1" x14ac:dyDescent="0.25">
      <c r="A1216" s="127">
        <v>1346</v>
      </c>
      <c r="B1216" s="128" t="str">
        <f t="shared" si="139"/>
        <v>YGQT</v>
      </c>
      <c r="C1216" s="128" t="e">
        <f>+VLOOKUP(U1216,Ходим!A:B,2,0)</f>
        <v>#N/A</v>
      </c>
      <c r="D1216" s="128" t="str">
        <f>IFERROR(VLOOKUP($B:$B,[20]свод!$A:$AB,3,0)," ")</f>
        <v>Янгиқўрғон тумани</v>
      </c>
      <c r="E1216" s="7" t="s">
        <v>2356</v>
      </c>
      <c r="F1216" s="7" t="s">
        <v>8746</v>
      </c>
      <c r="G1216" s="134" t="str">
        <f t="shared" si="136"/>
        <v/>
      </c>
      <c r="H1216" s="134">
        <f t="shared" si="137"/>
        <v>1</v>
      </c>
      <c r="I1216" s="7" t="s">
        <v>155</v>
      </c>
      <c r="J1216" s="7" t="s">
        <v>21</v>
      </c>
      <c r="K1216" s="7"/>
      <c r="L1216" s="7"/>
      <c r="M1216" s="7"/>
      <c r="N1216" s="7" t="s">
        <v>170</v>
      </c>
      <c r="O1216" s="7" t="s">
        <v>161</v>
      </c>
      <c r="P1216" s="7" t="s">
        <v>6847</v>
      </c>
      <c r="Q1216" s="129">
        <v>46199</v>
      </c>
      <c r="R1216" s="130">
        <f t="shared" si="141"/>
        <v>46212</v>
      </c>
      <c r="S1216" s="131">
        <f t="shared" si="140"/>
        <v>13</v>
      </c>
      <c r="T1216" s="7" t="s">
        <v>182</v>
      </c>
      <c r="U1216" s="7"/>
      <c r="V1216" s="7"/>
      <c r="W1216" s="7"/>
      <c r="X1216" s="132">
        <f t="shared" si="138"/>
        <v>10</v>
      </c>
      <c r="Y1216" s="133"/>
      <c r="Z1216" s="133"/>
      <c r="AA1216" s="133"/>
    </row>
    <row r="1217" spans="1:27" hidden="1" x14ac:dyDescent="0.25">
      <c r="A1217" s="127">
        <v>1347</v>
      </c>
      <c r="B1217" s="128" t="str">
        <f t="shared" si="139"/>
        <v>KSST</v>
      </c>
      <c r="C1217" s="128" t="str">
        <f>+VLOOKUP(U1217,Ходим!A:B,2,0)</f>
        <v>30703792190108</v>
      </c>
      <c r="D1217" s="128" t="str">
        <f>IFERROR(VLOOKUP($B:$B,[20]свод!$A:$AB,3,0)," ")</f>
        <v>Косонсой тумани</v>
      </c>
      <c r="E1217" s="7" t="s">
        <v>2357</v>
      </c>
      <c r="F1217" s="7" t="s">
        <v>8747</v>
      </c>
      <c r="G1217" s="134">
        <f t="shared" si="136"/>
        <v>1</v>
      </c>
      <c r="H1217" s="134" t="str">
        <f t="shared" si="137"/>
        <v/>
      </c>
      <c r="I1217" s="7" t="s">
        <v>158</v>
      </c>
      <c r="J1217" s="7" t="s">
        <v>2</v>
      </c>
      <c r="K1217" s="7"/>
      <c r="L1217" s="7" t="s">
        <v>167</v>
      </c>
      <c r="M1217" s="7" t="s">
        <v>4996</v>
      </c>
      <c r="N1217" s="7" t="s">
        <v>170</v>
      </c>
      <c r="O1217" s="7" t="s">
        <v>162</v>
      </c>
      <c r="P1217" s="7" t="s">
        <v>6848</v>
      </c>
      <c r="Q1217" s="129">
        <v>46199</v>
      </c>
      <c r="R1217" s="130">
        <f t="shared" si="141"/>
        <v>46206</v>
      </c>
      <c r="S1217" s="131">
        <f t="shared" si="140"/>
        <v>7</v>
      </c>
      <c r="T1217" s="7" t="s">
        <v>180</v>
      </c>
      <c r="U1217" s="7" t="s">
        <v>231</v>
      </c>
      <c r="V1217" s="7"/>
      <c r="W1217" s="7">
        <v>277.8</v>
      </c>
      <c r="X1217" s="132">
        <f t="shared" si="138"/>
        <v>10</v>
      </c>
      <c r="Y1217" s="133"/>
      <c r="Z1217" s="133"/>
      <c r="AA1217" s="133"/>
    </row>
    <row r="1218" spans="1:27" hidden="1" x14ac:dyDescent="0.25">
      <c r="A1218" s="127">
        <v>1348</v>
      </c>
      <c r="B1218" s="128" t="str">
        <f t="shared" si="139"/>
        <v>NAMS</v>
      </c>
      <c r="C1218" s="128" t="str">
        <f>+VLOOKUP(U1218,Ходим!A:B,2,0)</f>
        <v>30304915960053</v>
      </c>
      <c r="D1218" s="128" t="str">
        <f>IFERROR(VLOOKUP($B:$B,[20]свод!$A:$AB,3,0)," ")</f>
        <v>Наманган шаҳар</v>
      </c>
      <c r="E1218" s="7" t="s">
        <v>2358</v>
      </c>
      <c r="F1218" s="7" t="s">
        <v>8748</v>
      </c>
      <c r="G1218" s="134" t="str">
        <f t="shared" si="136"/>
        <v/>
      </c>
      <c r="H1218" s="134">
        <f t="shared" si="137"/>
        <v>1</v>
      </c>
      <c r="I1218" s="7" t="s">
        <v>155</v>
      </c>
      <c r="J1218" s="7" t="s">
        <v>25</v>
      </c>
      <c r="K1218" s="7"/>
      <c r="L1218" s="7" t="s">
        <v>166</v>
      </c>
      <c r="M1218" s="7" t="s">
        <v>4997</v>
      </c>
      <c r="N1218" s="7" t="s">
        <v>170</v>
      </c>
      <c r="O1218" s="7" t="s">
        <v>161</v>
      </c>
      <c r="P1218" s="7" t="s">
        <v>6849</v>
      </c>
      <c r="Q1218" s="129">
        <v>46199</v>
      </c>
      <c r="R1218" s="130">
        <f t="shared" si="141"/>
        <v>46223</v>
      </c>
      <c r="S1218" s="131">
        <f t="shared" si="140"/>
        <v>24</v>
      </c>
      <c r="T1218" s="7" t="s">
        <v>227</v>
      </c>
      <c r="U1218" s="7" t="s">
        <v>314</v>
      </c>
      <c r="V1218" s="7"/>
      <c r="W1218" s="7">
        <v>1549.67</v>
      </c>
      <c r="X1218" s="132">
        <f t="shared" si="138"/>
        <v>17</v>
      </c>
      <c r="Y1218" s="133"/>
      <c r="Z1218" s="133"/>
      <c r="AA1218" s="133"/>
    </row>
    <row r="1219" spans="1:27" x14ac:dyDescent="0.25">
      <c r="A1219" s="127">
        <v>1349</v>
      </c>
      <c r="B1219" s="128" t="str">
        <f t="shared" si="139"/>
        <v>POPT</v>
      </c>
      <c r="C1219" s="128" t="str">
        <f>+VLOOKUP(U1219,Ходим!A:B,2,0)</f>
        <v>31503892210028</v>
      </c>
      <c r="D1219" s="128" t="str">
        <f>IFERROR(VLOOKUP($B:$B,[20]свод!$A:$AB,3,0)," ")</f>
        <v>Поп тумани</v>
      </c>
      <c r="E1219" s="7" t="s">
        <v>2359</v>
      </c>
      <c r="F1219" s="7" t="s">
        <v>8749</v>
      </c>
      <c r="G1219" s="134">
        <f t="shared" ref="G1219:G1273" si="142">IF(OR(
I1219="Turar joy obyektning kadastr pasportini shakllantirish va davlat ro'yxatidan o'tkazish",
I1219="Turar kompozit"
),
1,
IF(OR(
I1219="Noturar kompozit",
I1219="Avtoyo'l va suv xo'jaligi obyektining kadastr pasportini shakllantirish va ro'yxatga olish",
I1219="Noturar obyektning kadastr pasportining kadastr pasportini shakllantirish va davlat ro'yxatidan o'tkazish"
),
"",
IF(OR(
I1219="Notarius uchun ma'lumotnoma (uz)",
I1219="Qurilishi tugallangan ko'chmas mulkni foydalanishga qabul qilish",
I1219="Umumiy foydalanishdagi ko'chmas mulk qismini yaratish",
I1219="Registratsiya (tashqi - UZKAD da bor)"
),
IF(OR(L1219="Turar yer maydoni",L1219="Yakka tartibdagi turar joy"),1,
IF(L1219="Noturar bino","",
IF(L1219="Noturar yer maydoni","",
IF(L1219="",IF(OR(O1219="Turar joy xizmati",O1219="Foydalanishga ruxsatnoma berish xizmati"),1,""),"")
))),
"")))</f>
        <v>1</v>
      </c>
      <c r="H1219" s="134" t="str">
        <f t="shared" ref="H1219:H1273" si="143">IF(OR(
I1219="Turar joy obyektning kadastr pasportini shakllantirish va davlat ro'yxatidan o'tkazish",
I1219="Turar kompozit"
),
"",
IF(OR(
I1219="Noturar kompozit",
I1219="Avtoyo'l va suv xo'jaligi obyektining kadastr pasportini shakllantirish va ro'yxatga olish",
I1219="Noturar obyektning kadastr pasportini shakllantirish va davlat ro'yxatidan o'tkazish"
),
1,
IF(OR(
I1219="Notarius uchun ma'lumotnoma (uz)",
I1219="Qurilishi tugallangan ko'chmas mulkni foydalanishga qabul qilish",
I1219="Umumiy foydalanishdagi ko'chmas mulk qismini yaratish",
I1219="Registratsiya (tashqi - UZKAD da bor)"
),
IF(OR(L1219="Turar yer maydoni",L1219="Yakka tartibdagi turar joy"),"",
IF(L1219="Noturar bino",1,
IF(L1219="Noturar yer maydoni",1,
IF(L1219="",IF(OR(O1219="Turar joy xizmati",O1219="Foydalanishga ruxsatnoma berish xizmati"),"",1),"")
))),
"")))</f>
        <v/>
      </c>
      <c r="I1219" s="7" t="s">
        <v>158</v>
      </c>
      <c r="J1219" s="7" t="s">
        <v>12</v>
      </c>
      <c r="K1219" s="7"/>
      <c r="L1219" s="7" t="s">
        <v>167</v>
      </c>
      <c r="M1219" s="7" t="s">
        <v>4998</v>
      </c>
      <c r="N1219" s="7" t="s">
        <v>170</v>
      </c>
      <c r="O1219" s="7" t="s">
        <v>162</v>
      </c>
      <c r="P1219" s="7" t="s">
        <v>6850</v>
      </c>
      <c r="Q1219" s="129">
        <v>46199</v>
      </c>
      <c r="R1219" s="130">
        <f t="shared" si="141"/>
        <v>46199</v>
      </c>
      <c r="S1219" s="131">
        <f t="shared" si="140"/>
        <v>0</v>
      </c>
      <c r="T1219" s="7" t="s">
        <v>214</v>
      </c>
      <c r="U1219" s="7" t="s">
        <v>285</v>
      </c>
      <c r="V1219" s="7"/>
      <c r="W1219" s="7">
        <v>302.83</v>
      </c>
      <c r="X1219" s="132">
        <f t="shared" si="138"/>
        <v>10</v>
      </c>
      <c r="Y1219" s="133"/>
      <c r="Z1219" s="133"/>
      <c r="AA1219" s="133"/>
    </row>
    <row r="1220" spans="1:27" hidden="1" x14ac:dyDescent="0.25">
      <c r="A1220" s="127">
        <v>1350</v>
      </c>
      <c r="B1220" s="128" t="str">
        <f t="shared" si="139"/>
        <v>CHOT</v>
      </c>
      <c r="C1220" s="128" t="str">
        <f>+VLOOKUP(U1220,Ходим!A:B,2,0)</f>
        <v>30510945890013</v>
      </c>
      <c r="D1220" s="128" t="str">
        <f>IFERROR(VLOOKUP($B:$B,[20]свод!$A:$AB,3,0)," ")</f>
        <v>Чортоқ тумани</v>
      </c>
      <c r="E1220" s="7" t="s">
        <v>2360</v>
      </c>
      <c r="F1220" s="7" t="s">
        <v>8750</v>
      </c>
      <c r="G1220" s="134" t="str">
        <f t="shared" si="142"/>
        <v/>
      </c>
      <c r="H1220" s="134">
        <f t="shared" si="143"/>
        <v>1</v>
      </c>
      <c r="I1220" s="7" t="s">
        <v>157</v>
      </c>
      <c r="J1220" s="7" t="s">
        <v>172</v>
      </c>
      <c r="K1220" s="7"/>
      <c r="L1220" s="7" t="s">
        <v>166</v>
      </c>
      <c r="M1220" s="7" t="s">
        <v>4999</v>
      </c>
      <c r="N1220" s="7" t="s">
        <v>410</v>
      </c>
      <c r="O1220" s="7" t="s">
        <v>161</v>
      </c>
      <c r="P1220" s="7" t="s">
        <v>6847</v>
      </c>
      <c r="Q1220" s="129">
        <v>46199</v>
      </c>
      <c r="R1220" s="130">
        <f t="shared" si="141"/>
        <v>46212</v>
      </c>
      <c r="S1220" s="131">
        <f t="shared" si="140"/>
        <v>13</v>
      </c>
      <c r="T1220" s="7" t="s">
        <v>10635</v>
      </c>
      <c r="U1220" s="7" t="s">
        <v>185</v>
      </c>
      <c r="V1220" s="7"/>
      <c r="W1220" s="7">
        <v>0</v>
      </c>
      <c r="X1220" s="132">
        <f t="shared" ref="X1220:X1266" si="144">IF(N1220="Kadastr muhandisi",3,
IF(N1220="UZKAD",5,
IF(V1220="FREE",5,
IF(I1220="Registratsiya (tashqi - UZKAD da bor)",1,
IF(I1220="Avtoyo'l va suv xo'jaligi obyektining kadastr pasportini shakllantirish va ro'yxatga olish",7,
IF(I1220="Notarius uchun ma'lumotnoma (uz)",1,
IF(I1220="Qurilishi tugallangan ko'chmas mulkni foydalanishga qabul qilish",10,
IF(OR(I1220="Turar joy obyektning kadastr pasportini shakllantirish va davlat ro'yxatidan o'tkazish",I1220="Turar kompozit"),
IF(L1220="Turar yer maydoni",7,10),
IF(OR(I1220="Noturar obyektning kadastr pasportini shakllantirish va davlat ro'yxatidan o'tkazish",I1220="Noturar kompozit"),
IF(O1220="Ko‘p yillik daraxtlar xizmati",15,
IF(OR(L1220="Noturar yer maydoni",L1220="Davlat tashkilotlaridan ijaraga olingan yer uchastkasi"),7,
IF(W1220&lt;100,10,IF(W1220&lt;=1000,12,IF(W1220&lt;=5000,17,IF(W1220&lt;=15000,22,IF(W1220&lt;=50000,28,37))))))),
IF(I1220="Umumiy foydalanishdagi ko'chmas mulk qismini yaratish",
IF(IF(TRIM(L1220)="",IF(OR(O1220="Turar joy xizmati",O1220="Yakka tartibdagi turar joy"),"Turar","Noturar"),IF(OR(L1220="Yakka tartibdagi turar joy",L1220="Turar joy xizmati"),"Turar","Noturar"))="Turar",
10,IF(W1220&lt;100,10,IF(W1220&lt;=1000,12,IF(W1220&lt;=5000,17,IF(W1220&lt;=15000,22,IF(W1220&lt;=50000,28,37)))))),
0))))))))))</f>
        <v>10</v>
      </c>
      <c r="Y1220" s="133"/>
      <c r="Z1220" s="133"/>
      <c r="AA1220" s="133"/>
    </row>
    <row r="1221" spans="1:27" hidden="1" x14ac:dyDescent="0.25">
      <c r="A1221" s="127">
        <v>1351</v>
      </c>
      <c r="B1221" s="128" t="str">
        <f t="shared" ref="B1221:B1266" si="145">LEFT(E1221,4)</f>
        <v>CHOT</v>
      </c>
      <c r="C1221" s="128" t="str">
        <f>+VLOOKUP(U1221,Ходим!A:B,2,0)</f>
        <v>30608892100030</v>
      </c>
      <c r="D1221" s="128" t="str">
        <f>IFERROR(VLOOKUP($B:$B,[20]свод!$A:$AB,3,0)," ")</f>
        <v>Чортоқ тумани</v>
      </c>
      <c r="E1221" s="7" t="s">
        <v>2361</v>
      </c>
      <c r="F1221" s="7" t="s">
        <v>8751</v>
      </c>
      <c r="G1221" s="134">
        <f t="shared" si="142"/>
        <v>1</v>
      </c>
      <c r="H1221" s="134" t="str">
        <f t="shared" si="143"/>
        <v/>
      </c>
      <c r="I1221" s="7" t="s">
        <v>158</v>
      </c>
      <c r="J1221" s="7" t="s">
        <v>1</v>
      </c>
      <c r="K1221" s="7"/>
      <c r="L1221" s="7" t="s">
        <v>167</v>
      </c>
      <c r="M1221" s="7" t="s">
        <v>5000</v>
      </c>
      <c r="N1221" s="7" t="s">
        <v>170</v>
      </c>
      <c r="O1221" s="7" t="s">
        <v>163</v>
      </c>
      <c r="P1221" s="7" t="s">
        <v>6380</v>
      </c>
      <c r="Q1221" s="129">
        <v>46199</v>
      </c>
      <c r="R1221" s="130">
        <f t="shared" si="141"/>
        <v>46211</v>
      </c>
      <c r="S1221" s="131">
        <f t="shared" ref="S1221:S1266" si="146">R1221-Q1221</f>
        <v>12</v>
      </c>
      <c r="T1221" s="7" t="s">
        <v>184</v>
      </c>
      <c r="U1221" s="7" t="s">
        <v>266</v>
      </c>
      <c r="V1221" s="7"/>
      <c r="W1221" s="7">
        <v>269.83</v>
      </c>
      <c r="X1221" s="132">
        <f t="shared" si="144"/>
        <v>10</v>
      </c>
      <c r="Y1221" s="133"/>
      <c r="Z1221" s="133"/>
      <c r="AA1221" s="133"/>
    </row>
    <row r="1222" spans="1:27" hidden="1" x14ac:dyDescent="0.25">
      <c r="A1222" s="127">
        <v>1355</v>
      </c>
      <c r="B1222" s="128" t="str">
        <f t="shared" si="145"/>
        <v>TORT</v>
      </c>
      <c r="C1222" s="128" t="str">
        <f>+VLOOKUP(U1222,Ходим!A:B,2,0)</f>
        <v>32211772130034</v>
      </c>
      <c r="D1222" s="128" t="str">
        <f>IFERROR(VLOOKUP($B:$B,[20]свод!$A:$AB,3,0)," ")</f>
        <v>Тўрақўрғон тумани</v>
      </c>
      <c r="E1222" s="7" t="s">
        <v>2362</v>
      </c>
      <c r="F1222" s="7" t="s">
        <v>8752</v>
      </c>
      <c r="G1222" s="134">
        <f t="shared" si="142"/>
        <v>1</v>
      </c>
      <c r="H1222" s="134" t="str">
        <f t="shared" si="143"/>
        <v/>
      </c>
      <c r="I1222" s="7" t="s">
        <v>158</v>
      </c>
      <c r="J1222" s="7" t="s">
        <v>2</v>
      </c>
      <c r="K1222" s="7"/>
      <c r="L1222" s="7"/>
      <c r="M1222" s="7"/>
      <c r="N1222" s="7" t="s">
        <v>170</v>
      </c>
      <c r="O1222" s="7" t="s">
        <v>162</v>
      </c>
      <c r="P1222" s="7" t="s">
        <v>6851</v>
      </c>
      <c r="Q1222" s="129">
        <v>46199</v>
      </c>
      <c r="R1222" s="130">
        <f t="shared" si="141"/>
        <v>46212</v>
      </c>
      <c r="S1222" s="131">
        <f t="shared" si="146"/>
        <v>13</v>
      </c>
      <c r="T1222" s="7" t="s">
        <v>203</v>
      </c>
      <c r="U1222" s="7" t="s">
        <v>270</v>
      </c>
      <c r="V1222" s="7"/>
      <c r="W1222" s="7"/>
      <c r="X1222" s="132">
        <f t="shared" si="144"/>
        <v>10</v>
      </c>
      <c r="Y1222" s="133"/>
      <c r="Z1222" s="133"/>
      <c r="AA1222" s="133"/>
    </row>
    <row r="1223" spans="1:27" hidden="1" x14ac:dyDescent="0.25">
      <c r="A1223" s="127">
        <v>1356</v>
      </c>
      <c r="B1223" s="128" t="str">
        <f t="shared" si="145"/>
        <v>NAMS</v>
      </c>
      <c r="C1223" s="128">
        <f>+VLOOKUP(U1223,Ходим!A:B,2,0)</f>
        <v>51006025960068</v>
      </c>
      <c r="D1223" s="128" t="str">
        <f>IFERROR(VLOOKUP($B:$B,[20]свод!$A:$AB,3,0)," ")</f>
        <v>Наманган шаҳар</v>
      </c>
      <c r="E1223" s="7" t="s">
        <v>2363</v>
      </c>
      <c r="F1223" s="7" t="s">
        <v>8753</v>
      </c>
      <c r="G1223" s="134">
        <f t="shared" si="142"/>
        <v>1</v>
      </c>
      <c r="H1223" s="134" t="str">
        <f t="shared" si="143"/>
        <v/>
      </c>
      <c r="I1223" s="7" t="s">
        <v>156</v>
      </c>
      <c r="J1223" s="7" t="s">
        <v>25</v>
      </c>
      <c r="K1223" s="7"/>
      <c r="L1223" s="7" t="s">
        <v>167</v>
      </c>
      <c r="M1223" s="7" t="s">
        <v>5001</v>
      </c>
      <c r="N1223" s="7" t="s">
        <v>170</v>
      </c>
      <c r="O1223" s="7" t="s">
        <v>163</v>
      </c>
      <c r="P1223" s="7" t="s">
        <v>6852</v>
      </c>
      <c r="Q1223" s="129">
        <v>46199</v>
      </c>
      <c r="R1223" s="130">
        <f t="shared" si="141"/>
        <v>46212</v>
      </c>
      <c r="S1223" s="131">
        <f t="shared" si="146"/>
        <v>13</v>
      </c>
      <c r="T1223" s="7" t="s">
        <v>173</v>
      </c>
      <c r="U1223" s="7" t="s">
        <v>944</v>
      </c>
      <c r="V1223" s="7"/>
      <c r="W1223" s="7">
        <v>819.34333400000003</v>
      </c>
      <c r="X1223" s="132">
        <f t="shared" si="144"/>
        <v>10</v>
      </c>
      <c r="Y1223" s="133"/>
      <c r="Z1223" s="133"/>
      <c r="AA1223" s="133"/>
    </row>
    <row r="1224" spans="1:27" hidden="1" x14ac:dyDescent="0.25">
      <c r="A1224" s="127">
        <v>1357</v>
      </c>
      <c r="B1224" s="128" t="str">
        <f t="shared" si="145"/>
        <v>NAMS</v>
      </c>
      <c r="C1224" s="128" t="str">
        <f>+VLOOKUP(U1224,Ходим!A:B,2,0)</f>
        <v>32207925880019</v>
      </c>
      <c r="D1224" s="128" t="str">
        <f>IFERROR(VLOOKUP($B:$B,[20]свод!$A:$AB,3,0)," ")</f>
        <v>Наманган шаҳар</v>
      </c>
      <c r="E1224" s="7" t="s">
        <v>2364</v>
      </c>
      <c r="F1224" s="7" t="s">
        <v>8754</v>
      </c>
      <c r="G1224" s="134" t="str">
        <f t="shared" si="142"/>
        <v/>
      </c>
      <c r="H1224" s="134">
        <f t="shared" si="143"/>
        <v>1</v>
      </c>
      <c r="I1224" s="7" t="s">
        <v>157</v>
      </c>
      <c r="J1224" s="7" t="s">
        <v>2</v>
      </c>
      <c r="K1224" s="7"/>
      <c r="L1224" s="7" t="s">
        <v>166</v>
      </c>
      <c r="M1224" s="7" t="s">
        <v>381</v>
      </c>
      <c r="N1224" s="7" t="s">
        <v>170</v>
      </c>
      <c r="O1224" s="7" t="s">
        <v>161</v>
      </c>
      <c r="P1224" s="7" t="s">
        <v>6853</v>
      </c>
      <c r="Q1224" s="129">
        <v>46199</v>
      </c>
      <c r="R1224" s="130">
        <f t="shared" si="141"/>
        <v>46206</v>
      </c>
      <c r="S1224" s="131">
        <f t="shared" si="146"/>
        <v>7</v>
      </c>
      <c r="T1224" s="7" t="s">
        <v>173</v>
      </c>
      <c r="U1224" s="7" t="s">
        <v>174</v>
      </c>
      <c r="V1224" s="7"/>
      <c r="W1224" s="7">
        <v>0</v>
      </c>
      <c r="X1224" s="132">
        <f t="shared" si="144"/>
        <v>10</v>
      </c>
      <c r="Y1224" s="133"/>
      <c r="Z1224" s="133"/>
      <c r="AA1224" s="133"/>
    </row>
    <row r="1225" spans="1:27" x14ac:dyDescent="0.25">
      <c r="A1225" s="127">
        <v>1358</v>
      </c>
      <c r="B1225" s="128" t="str">
        <f t="shared" si="145"/>
        <v>KSST</v>
      </c>
      <c r="C1225" s="128" t="str">
        <f>+VLOOKUP(U1225,Ходим!A:B,2,0)</f>
        <v>31611995980026</v>
      </c>
      <c r="D1225" s="128" t="str">
        <f>IFERROR(VLOOKUP($B:$B,[20]свод!$A:$AB,3,0)," ")</f>
        <v>Косонсой тумани</v>
      </c>
      <c r="E1225" s="7" t="s">
        <v>2365</v>
      </c>
      <c r="F1225" s="7" t="s">
        <v>8755</v>
      </c>
      <c r="G1225" s="134" t="str">
        <f t="shared" si="142"/>
        <v/>
      </c>
      <c r="H1225" s="134">
        <f t="shared" si="143"/>
        <v>1</v>
      </c>
      <c r="I1225" s="7" t="s">
        <v>157</v>
      </c>
      <c r="J1225" s="7" t="s">
        <v>1</v>
      </c>
      <c r="K1225" s="7"/>
      <c r="L1225" s="7" t="s">
        <v>166</v>
      </c>
      <c r="M1225" s="7" t="s">
        <v>5002</v>
      </c>
      <c r="N1225" s="7" t="s">
        <v>170</v>
      </c>
      <c r="O1225" s="7" t="s">
        <v>161</v>
      </c>
      <c r="P1225" s="7" t="s">
        <v>6854</v>
      </c>
      <c r="Q1225" s="129">
        <v>46199</v>
      </c>
      <c r="R1225" s="130">
        <f t="shared" si="141"/>
        <v>46199</v>
      </c>
      <c r="S1225" s="131">
        <f t="shared" si="146"/>
        <v>0</v>
      </c>
      <c r="T1225" s="7" t="s">
        <v>180</v>
      </c>
      <c r="U1225" s="7" t="s">
        <v>181</v>
      </c>
      <c r="V1225" s="7"/>
      <c r="W1225" s="7">
        <v>241.9</v>
      </c>
      <c r="X1225" s="132">
        <f t="shared" si="144"/>
        <v>12</v>
      </c>
      <c r="Y1225" s="133"/>
      <c r="Z1225" s="133"/>
      <c r="AA1225" s="133"/>
    </row>
    <row r="1226" spans="1:27" hidden="1" x14ac:dyDescent="0.25">
      <c r="A1226" s="127">
        <v>1359</v>
      </c>
      <c r="B1226" s="128" t="str">
        <f t="shared" si="145"/>
        <v>UCQT</v>
      </c>
      <c r="C1226" s="128" t="e">
        <f>+VLOOKUP(U1226,Ходим!A:B,2,0)</f>
        <v>#N/A</v>
      </c>
      <c r="D1226" s="128" t="str">
        <f>IFERROR(VLOOKUP($B:$B,[20]свод!$A:$AB,3,0)," ")</f>
        <v>Учқўрғон тумани</v>
      </c>
      <c r="E1226" s="7" t="s">
        <v>2366</v>
      </c>
      <c r="F1226" s="7" t="s">
        <v>8756</v>
      </c>
      <c r="G1226" s="134">
        <f t="shared" si="142"/>
        <v>1</v>
      </c>
      <c r="H1226" s="134" t="str">
        <f t="shared" si="143"/>
        <v/>
      </c>
      <c r="I1226" s="7" t="s">
        <v>156</v>
      </c>
      <c r="J1226" s="7" t="s">
        <v>11</v>
      </c>
      <c r="K1226" s="7"/>
      <c r="L1226" s="7" t="s">
        <v>167</v>
      </c>
      <c r="M1226" s="7" t="s">
        <v>5003</v>
      </c>
      <c r="N1226" s="7" t="s">
        <v>170</v>
      </c>
      <c r="O1226" s="7" t="s">
        <v>162</v>
      </c>
      <c r="P1226" s="7" t="s">
        <v>6855</v>
      </c>
      <c r="Q1226" s="129">
        <v>46199</v>
      </c>
      <c r="R1226" s="130">
        <f t="shared" si="141"/>
        <v>46212</v>
      </c>
      <c r="S1226" s="131">
        <f t="shared" si="146"/>
        <v>13</v>
      </c>
      <c r="T1226" s="7"/>
      <c r="U1226" s="7"/>
      <c r="V1226" s="7"/>
      <c r="W1226" s="7">
        <v>168.6</v>
      </c>
      <c r="X1226" s="132">
        <f t="shared" si="144"/>
        <v>10</v>
      </c>
      <c r="Y1226" s="133"/>
      <c r="Z1226" s="133"/>
      <c r="AA1226" s="133"/>
    </row>
    <row r="1227" spans="1:27" hidden="1" x14ac:dyDescent="0.25">
      <c r="A1227" s="127">
        <v>1360</v>
      </c>
      <c r="B1227" s="128" t="str">
        <f t="shared" si="145"/>
        <v>NAMS</v>
      </c>
      <c r="C1227" s="128">
        <f>+VLOOKUP(U1227,Ходим!A:B,2,0)</f>
        <v>50510025960139</v>
      </c>
      <c r="D1227" s="128" t="str">
        <f>IFERROR(VLOOKUP($B:$B,[20]свод!$A:$AB,3,0)," ")</f>
        <v>Наманган шаҳар</v>
      </c>
      <c r="E1227" s="7" t="s">
        <v>2367</v>
      </c>
      <c r="F1227" s="7" t="s">
        <v>8757</v>
      </c>
      <c r="G1227" s="134">
        <f t="shared" si="142"/>
        <v>1</v>
      </c>
      <c r="H1227" s="134" t="str">
        <f t="shared" si="143"/>
        <v/>
      </c>
      <c r="I1227" s="7" t="s">
        <v>156</v>
      </c>
      <c r="J1227" s="7" t="s">
        <v>25</v>
      </c>
      <c r="K1227" s="7"/>
      <c r="L1227" s="7"/>
      <c r="M1227" s="7"/>
      <c r="N1227" s="7" t="s">
        <v>170</v>
      </c>
      <c r="O1227" s="7" t="s">
        <v>162</v>
      </c>
      <c r="P1227" s="7" t="s">
        <v>6855</v>
      </c>
      <c r="Q1227" s="129">
        <v>46199</v>
      </c>
      <c r="R1227" s="130">
        <f t="shared" si="141"/>
        <v>46212</v>
      </c>
      <c r="S1227" s="131">
        <f t="shared" si="146"/>
        <v>13</v>
      </c>
      <c r="T1227" s="7" t="s">
        <v>173</v>
      </c>
      <c r="U1227" s="7" t="s">
        <v>955</v>
      </c>
      <c r="V1227" s="7"/>
      <c r="W1227" s="7"/>
      <c r="X1227" s="132">
        <f t="shared" si="144"/>
        <v>10</v>
      </c>
      <c r="Y1227" s="133"/>
      <c r="Z1227" s="133"/>
      <c r="AA1227" s="133"/>
    </row>
    <row r="1228" spans="1:27" hidden="1" x14ac:dyDescent="0.25">
      <c r="A1228" s="127">
        <v>1361</v>
      </c>
      <c r="B1228" s="128" t="str">
        <f t="shared" si="145"/>
        <v>NAMS</v>
      </c>
      <c r="C1228" s="128" t="str">
        <f>+VLOOKUP(U1228,Ходим!A:B,2,0)</f>
        <v>52710005960025</v>
      </c>
      <c r="D1228" s="128" t="str">
        <f>IFERROR(VLOOKUP($B:$B,[20]свод!$A:$AB,3,0)," ")</f>
        <v>Наманган шаҳар</v>
      </c>
      <c r="E1228" s="7" t="s">
        <v>2368</v>
      </c>
      <c r="F1228" s="7" t="s">
        <v>8758</v>
      </c>
      <c r="G1228" s="134">
        <f t="shared" si="142"/>
        <v>1</v>
      </c>
      <c r="H1228" s="134" t="str">
        <f t="shared" si="143"/>
        <v/>
      </c>
      <c r="I1228" s="7" t="s">
        <v>158</v>
      </c>
      <c r="J1228" s="7" t="s">
        <v>2</v>
      </c>
      <c r="K1228" s="7"/>
      <c r="L1228" s="7" t="s">
        <v>167</v>
      </c>
      <c r="M1228" s="7" t="s">
        <v>5004</v>
      </c>
      <c r="N1228" s="7" t="s">
        <v>170</v>
      </c>
      <c r="O1228" s="7" t="s">
        <v>162</v>
      </c>
      <c r="P1228" s="7" t="s">
        <v>6567</v>
      </c>
      <c r="Q1228" s="129">
        <v>46199</v>
      </c>
      <c r="R1228" s="130">
        <f t="shared" si="141"/>
        <v>46205</v>
      </c>
      <c r="S1228" s="131">
        <f t="shared" si="146"/>
        <v>6</v>
      </c>
      <c r="T1228" s="7" t="s">
        <v>173</v>
      </c>
      <c r="U1228" s="7" t="s">
        <v>274</v>
      </c>
      <c r="V1228" s="7"/>
      <c r="W1228" s="7">
        <v>358.30500000000001</v>
      </c>
      <c r="X1228" s="132">
        <f t="shared" si="144"/>
        <v>10</v>
      </c>
      <c r="Y1228" s="133"/>
      <c r="Z1228" s="133"/>
      <c r="AA1228" s="133"/>
    </row>
    <row r="1229" spans="1:27" hidden="1" x14ac:dyDescent="0.25">
      <c r="A1229" s="127">
        <v>1362</v>
      </c>
      <c r="B1229" s="128" t="str">
        <f t="shared" si="145"/>
        <v>YGQT</v>
      </c>
      <c r="C1229" s="128" t="str">
        <f>+VLOOKUP(U1229,Ходим!A:B,2,0)</f>
        <v>52410005950025</v>
      </c>
      <c r="D1229" s="128" t="str">
        <f>IFERROR(VLOOKUP($B:$B,[20]свод!$A:$AB,3,0)," ")</f>
        <v>Янгиқўрғон тумани</v>
      </c>
      <c r="E1229" s="7" t="s">
        <v>2369</v>
      </c>
      <c r="F1229" s="7" t="s">
        <v>8759</v>
      </c>
      <c r="G1229" s="134">
        <f t="shared" si="142"/>
        <v>1</v>
      </c>
      <c r="H1229" s="134" t="str">
        <f t="shared" si="143"/>
        <v/>
      </c>
      <c r="I1229" s="7" t="s">
        <v>158</v>
      </c>
      <c r="J1229" s="7" t="s">
        <v>2</v>
      </c>
      <c r="K1229" s="7"/>
      <c r="L1229" s="7" t="s">
        <v>167</v>
      </c>
      <c r="M1229" s="7" t="s">
        <v>5005</v>
      </c>
      <c r="N1229" s="7" t="s">
        <v>170</v>
      </c>
      <c r="O1229" s="7" t="s">
        <v>162</v>
      </c>
      <c r="P1229" s="7" t="s">
        <v>6610</v>
      </c>
      <c r="Q1229" s="129">
        <v>46199</v>
      </c>
      <c r="R1229" s="130">
        <f t="shared" si="141"/>
        <v>46205</v>
      </c>
      <c r="S1229" s="131">
        <f t="shared" si="146"/>
        <v>6</v>
      </c>
      <c r="T1229" s="7" t="s">
        <v>255</v>
      </c>
      <c r="U1229" s="7" t="s">
        <v>256</v>
      </c>
      <c r="V1229" s="7"/>
      <c r="W1229" s="7">
        <v>206.72499999999999</v>
      </c>
      <c r="X1229" s="132">
        <f t="shared" si="144"/>
        <v>10</v>
      </c>
      <c r="Y1229" s="133"/>
      <c r="Z1229" s="133"/>
      <c r="AA1229" s="133"/>
    </row>
    <row r="1230" spans="1:27" hidden="1" x14ac:dyDescent="0.25">
      <c r="A1230" s="127">
        <v>1363</v>
      </c>
      <c r="B1230" s="128" t="str">
        <f t="shared" si="145"/>
        <v>YGQT</v>
      </c>
      <c r="C1230" s="128" t="str">
        <f>+VLOOKUP(U1230,Ходим!A:B,2,0)</f>
        <v>30809995950021</v>
      </c>
      <c r="D1230" s="128" t="str">
        <f>IFERROR(VLOOKUP($B:$B,[20]свод!$A:$AB,3,0)," ")</f>
        <v>Янгиқўрғон тумани</v>
      </c>
      <c r="E1230" s="7" t="s">
        <v>2370</v>
      </c>
      <c r="F1230" s="7" t="s">
        <v>8760</v>
      </c>
      <c r="G1230" s="134">
        <f t="shared" si="142"/>
        <v>1</v>
      </c>
      <c r="H1230" s="134" t="str">
        <f t="shared" si="143"/>
        <v/>
      </c>
      <c r="I1230" s="7" t="s">
        <v>158</v>
      </c>
      <c r="J1230" s="7" t="s">
        <v>2</v>
      </c>
      <c r="K1230" s="7"/>
      <c r="L1230" s="7" t="s">
        <v>167</v>
      </c>
      <c r="M1230" s="7" t="s">
        <v>5006</v>
      </c>
      <c r="N1230" s="7" t="s">
        <v>170</v>
      </c>
      <c r="O1230" s="7" t="s">
        <v>162</v>
      </c>
      <c r="P1230" s="7" t="s">
        <v>6345</v>
      </c>
      <c r="Q1230" s="129">
        <v>46199</v>
      </c>
      <c r="R1230" s="130">
        <f t="shared" si="141"/>
        <v>46205</v>
      </c>
      <c r="S1230" s="131">
        <f t="shared" si="146"/>
        <v>6</v>
      </c>
      <c r="T1230" s="7" t="s">
        <v>255</v>
      </c>
      <c r="U1230" s="7" t="s">
        <v>223</v>
      </c>
      <c r="V1230" s="7"/>
      <c r="W1230" s="7">
        <v>461.4</v>
      </c>
      <c r="X1230" s="132">
        <f t="shared" si="144"/>
        <v>10</v>
      </c>
      <c r="Y1230" s="133"/>
      <c r="Z1230" s="133"/>
      <c r="AA1230" s="133"/>
    </row>
    <row r="1231" spans="1:27" hidden="1" x14ac:dyDescent="0.25">
      <c r="A1231" s="127">
        <v>1364</v>
      </c>
      <c r="B1231" s="128" t="str">
        <f t="shared" si="145"/>
        <v>TORT</v>
      </c>
      <c r="C1231" s="128" t="str">
        <f>+VLOOKUP(U1231,Ходим!A:B,2,0)</f>
        <v>50908015920034</v>
      </c>
      <c r="D1231" s="128" t="str">
        <f>IFERROR(VLOOKUP($B:$B,[20]свод!$A:$AB,3,0)," ")</f>
        <v>Тўрақўрғон тумани</v>
      </c>
      <c r="E1231" s="7" t="s">
        <v>2371</v>
      </c>
      <c r="F1231" s="7" t="s">
        <v>8761</v>
      </c>
      <c r="G1231" s="134">
        <f t="shared" si="142"/>
        <v>1</v>
      </c>
      <c r="H1231" s="134" t="str">
        <f t="shared" si="143"/>
        <v/>
      </c>
      <c r="I1231" s="7" t="s">
        <v>158</v>
      </c>
      <c r="J1231" s="7" t="s">
        <v>172</v>
      </c>
      <c r="K1231" s="7"/>
      <c r="L1231" s="7" t="s">
        <v>167</v>
      </c>
      <c r="M1231" s="7" t="s">
        <v>5007</v>
      </c>
      <c r="N1231" s="7" t="s">
        <v>170</v>
      </c>
      <c r="O1231" s="7" t="s">
        <v>162</v>
      </c>
      <c r="P1231" s="7" t="s">
        <v>6763</v>
      </c>
      <c r="Q1231" s="129">
        <v>46199</v>
      </c>
      <c r="R1231" s="130">
        <f t="shared" si="141"/>
        <v>46212</v>
      </c>
      <c r="S1231" s="131">
        <f t="shared" si="146"/>
        <v>13</v>
      </c>
      <c r="T1231" s="7" t="s">
        <v>203</v>
      </c>
      <c r="U1231" s="7" t="s">
        <v>205</v>
      </c>
      <c r="V1231" s="7"/>
      <c r="W1231" s="7">
        <v>311.57</v>
      </c>
      <c r="X1231" s="132">
        <f t="shared" si="144"/>
        <v>10</v>
      </c>
      <c r="Y1231" s="133"/>
      <c r="Z1231" s="133"/>
      <c r="AA1231" s="133"/>
    </row>
    <row r="1232" spans="1:27" hidden="1" x14ac:dyDescent="0.25">
      <c r="A1232" s="127">
        <v>1365</v>
      </c>
      <c r="B1232" s="128" t="str">
        <f t="shared" si="145"/>
        <v>NAMS</v>
      </c>
      <c r="C1232" s="128" t="str">
        <f>+VLOOKUP(U1232,Ходим!A:B,2,0)</f>
        <v>52601025870013</v>
      </c>
      <c r="D1232" s="128" t="str">
        <f>IFERROR(VLOOKUP($B:$B,[20]свод!$A:$AB,3,0)," ")</f>
        <v>Наманган шаҳар</v>
      </c>
      <c r="E1232" s="7" t="s">
        <v>2372</v>
      </c>
      <c r="F1232" s="7" t="s">
        <v>8762</v>
      </c>
      <c r="G1232" s="134">
        <f t="shared" si="142"/>
        <v>1</v>
      </c>
      <c r="H1232" s="134" t="str">
        <f t="shared" si="143"/>
        <v/>
      </c>
      <c r="I1232" s="7" t="s">
        <v>156</v>
      </c>
      <c r="J1232" s="7" t="s">
        <v>25</v>
      </c>
      <c r="K1232" s="7"/>
      <c r="L1232" s="7"/>
      <c r="M1232" s="7"/>
      <c r="N1232" s="7" t="s">
        <v>170</v>
      </c>
      <c r="O1232" s="7" t="s">
        <v>162</v>
      </c>
      <c r="P1232" s="7" t="s">
        <v>6856</v>
      </c>
      <c r="Q1232" s="129">
        <v>46199</v>
      </c>
      <c r="R1232" s="130">
        <f t="shared" si="141"/>
        <v>46212</v>
      </c>
      <c r="S1232" s="131">
        <f t="shared" si="146"/>
        <v>13</v>
      </c>
      <c r="T1232" s="7" t="s">
        <v>173</v>
      </c>
      <c r="U1232" s="7" t="s">
        <v>405</v>
      </c>
      <c r="V1232" s="7"/>
      <c r="W1232" s="7"/>
      <c r="X1232" s="132">
        <f t="shared" si="144"/>
        <v>10</v>
      </c>
      <c r="Y1232" s="133"/>
      <c r="Z1232" s="133"/>
      <c r="AA1232" s="133"/>
    </row>
    <row r="1233" spans="1:27" x14ac:dyDescent="0.25">
      <c r="A1233" s="127">
        <v>1366</v>
      </c>
      <c r="B1233" s="128" t="str">
        <f t="shared" si="145"/>
        <v>YGQT</v>
      </c>
      <c r="C1233" s="128" t="str">
        <f>+VLOOKUP(U1233,Ходим!A:B,2,0)</f>
        <v>52410005950025</v>
      </c>
      <c r="D1233" s="128" t="str">
        <f>IFERROR(VLOOKUP($B:$B,[20]свод!$A:$AB,3,0)," ")</f>
        <v>Янгиқўрғон тумани</v>
      </c>
      <c r="E1233" s="7" t="s">
        <v>2373</v>
      </c>
      <c r="F1233" s="7" t="s">
        <v>8763</v>
      </c>
      <c r="G1233" s="134">
        <f t="shared" si="142"/>
        <v>1</v>
      </c>
      <c r="H1233" s="134" t="str">
        <f t="shared" si="143"/>
        <v/>
      </c>
      <c r="I1233" s="7" t="s">
        <v>158</v>
      </c>
      <c r="J1233" s="7" t="s">
        <v>10</v>
      </c>
      <c r="K1233" s="7"/>
      <c r="L1233" s="7" t="s">
        <v>167</v>
      </c>
      <c r="M1233" s="7" t="s">
        <v>5008</v>
      </c>
      <c r="N1233" s="7" t="s">
        <v>170</v>
      </c>
      <c r="O1233" s="7" t="s">
        <v>162</v>
      </c>
      <c r="P1233" s="7" t="s">
        <v>6708</v>
      </c>
      <c r="Q1233" s="129">
        <v>46199</v>
      </c>
      <c r="R1233" s="130">
        <f t="shared" si="141"/>
        <v>46199</v>
      </c>
      <c r="S1233" s="131">
        <f t="shared" si="146"/>
        <v>0</v>
      </c>
      <c r="T1233" s="7" t="s">
        <v>255</v>
      </c>
      <c r="U1233" s="7" t="s">
        <v>256</v>
      </c>
      <c r="V1233" s="7"/>
      <c r="W1233" s="7">
        <v>395.98</v>
      </c>
      <c r="X1233" s="132">
        <f t="shared" si="144"/>
        <v>10</v>
      </c>
      <c r="Y1233" s="133"/>
      <c r="Z1233" s="133"/>
      <c r="AA1233" s="133"/>
    </row>
    <row r="1234" spans="1:27" hidden="1" x14ac:dyDescent="0.25">
      <c r="A1234" s="127">
        <v>1367</v>
      </c>
      <c r="B1234" s="128" t="str">
        <f t="shared" si="145"/>
        <v>NAMT</v>
      </c>
      <c r="C1234" s="128" t="e">
        <f>+VLOOKUP(U1234,Ходим!A:B,2,0)</f>
        <v>#N/A</v>
      </c>
      <c r="D1234" s="128" t="str">
        <f>IFERROR(VLOOKUP($B:$B,[20]свод!$A:$AB,3,0)," ")</f>
        <v>Наманган тумани</v>
      </c>
      <c r="E1234" s="7" t="s">
        <v>2374</v>
      </c>
      <c r="F1234" s="7" t="s">
        <v>8764</v>
      </c>
      <c r="G1234" s="134" t="str">
        <f t="shared" si="142"/>
        <v/>
      </c>
      <c r="H1234" s="134">
        <f t="shared" si="143"/>
        <v>1</v>
      </c>
      <c r="I1234" s="7" t="s">
        <v>159</v>
      </c>
      <c r="J1234" s="7" t="s">
        <v>137</v>
      </c>
      <c r="K1234" s="7"/>
      <c r="L1234" s="7" t="s">
        <v>166</v>
      </c>
      <c r="M1234" s="7" t="s">
        <v>5009</v>
      </c>
      <c r="N1234" s="7" t="s">
        <v>170</v>
      </c>
      <c r="O1234" s="7" t="s">
        <v>163</v>
      </c>
      <c r="P1234" s="7" t="s">
        <v>6857</v>
      </c>
      <c r="Q1234" s="129">
        <v>46199</v>
      </c>
      <c r="R1234" s="130">
        <f t="shared" si="141"/>
        <v>46212</v>
      </c>
      <c r="S1234" s="131">
        <f t="shared" si="146"/>
        <v>13</v>
      </c>
      <c r="T1234" s="7"/>
      <c r="U1234" s="7"/>
      <c r="V1234" s="7"/>
      <c r="W1234" s="7">
        <v>976.26</v>
      </c>
      <c r="X1234" s="132">
        <f t="shared" si="144"/>
        <v>10</v>
      </c>
      <c r="Y1234" s="133"/>
      <c r="Z1234" s="133"/>
      <c r="AA1234" s="133"/>
    </row>
    <row r="1235" spans="1:27" hidden="1" x14ac:dyDescent="0.25">
      <c r="A1235" s="127">
        <v>1368</v>
      </c>
      <c r="B1235" s="128" t="str">
        <f t="shared" si="145"/>
        <v>YGQT</v>
      </c>
      <c r="C1235" s="128" t="str">
        <f>+VLOOKUP(U1235,Ходим!A:B,2,0)</f>
        <v>52410005950025</v>
      </c>
      <c r="D1235" s="128" t="str">
        <f>IFERROR(VLOOKUP($B:$B,[20]свод!$A:$AB,3,0)," ")</f>
        <v>Янгиқўрғон тумани</v>
      </c>
      <c r="E1235" s="7" t="s">
        <v>2375</v>
      </c>
      <c r="F1235" s="7" t="s">
        <v>8765</v>
      </c>
      <c r="G1235" s="134" t="str">
        <f t="shared" si="142"/>
        <v/>
      </c>
      <c r="H1235" s="134">
        <f t="shared" si="143"/>
        <v>1</v>
      </c>
      <c r="I1235" s="7" t="s">
        <v>157</v>
      </c>
      <c r="J1235" s="7" t="s">
        <v>2</v>
      </c>
      <c r="K1235" s="7"/>
      <c r="L1235" s="7"/>
      <c r="M1235" s="7"/>
      <c r="N1235" s="7" t="s">
        <v>170</v>
      </c>
      <c r="O1235" s="7" t="s">
        <v>161</v>
      </c>
      <c r="P1235" s="7" t="s">
        <v>6858</v>
      </c>
      <c r="Q1235" s="129">
        <v>46199</v>
      </c>
      <c r="R1235" s="130">
        <f t="shared" si="141"/>
        <v>46206</v>
      </c>
      <c r="S1235" s="131">
        <f t="shared" si="146"/>
        <v>7</v>
      </c>
      <c r="T1235" s="7" t="s">
        <v>182</v>
      </c>
      <c r="U1235" s="7" t="s">
        <v>256</v>
      </c>
      <c r="V1235" s="7"/>
      <c r="W1235" s="7"/>
      <c r="X1235" s="132">
        <f t="shared" si="144"/>
        <v>10</v>
      </c>
      <c r="Y1235" s="133"/>
      <c r="Z1235" s="133"/>
      <c r="AA1235" s="133"/>
    </row>
    <row r="1236" spans="1:27" hidden="1" x14ac:dyDescent="0.25">
      <c r="A1236" s="127">
        <v>1369</v>
      </c>
      <c r="B1236" s="128" t="str">
        <f t="shared" si="145"/>
        <v>NAMS</v>
      </c>
      <c r="C1236" s="128" t="str">
        <f>+VLOOKUP(U1236,Ходим!A:B,2,0)</f>
        <v>51110025960044</v>
      </c>
      <c r="D1236" s="128" t="str">
        <f>IFERROR(VLOOKUP($B:$B,[20]свод!$A:$AB,3,0)," ")</f>
        <v>Наманган шаҳар</v>
      </c>
      <c r="E1236" s="7" t="s">
        <v>2376</v>
      </c>
      <c r="F1236" s="7" t="s">
        <v>8766</v>
      </c>
      <c r="G1236" s="134">
        <f t="shared" si="142"/>
        <v>1</v>
      </c>
      <c r="H1236" s="134" t="str">
        <f t="shared" si="143"/>
        <v/>
      </c>
      <c r="I1236" s="7" t="s">
        <v>158</v>
      </c>
      <c r="J1236" s="7" t="s">
        <v>2</v>
      </c>
      <c r="K1236" s="7"/>
      <c r="L1236" s="7"/>
      <c r="M1236" s="7"/>
      <c r="N1236" s="7" t="s">
        <v>170</v>
      </c>
      <c r="O1236" s="7" t="s">
        <v>162</v>
      </c>
      <c r="P1236" s="7" t="s">
        <v>6858</v>
      </c>
      <c r="Q1236" s="129">
        <v>46199</v>
      </c>
      <c r="R1236" s="130">
        <f t="shared" si="141"/>
        <v>46206</v>
      </c>
      <c r="S1236" s="131">
        <f t="shared" si="146"/>
        <v>7</v>
      </c>
      <c r="T1236" s="7" t="s">
        <v>173</v>
      </c>
      <c r="U1236" s="7" t="s">
        <v>294</v>
      </c>
      <c r="V1236" s="7"/>
      <c r="W1236" s="7"/>
      <c r="X1236" s="132">
        <f t="shared" si="144"/>
        <v>10</v>
      </c>
      <c r="Y1236" s="133"/>
      <c r="Z1236" s="133"/>
      <c r="AA1236" s="133"/>
    </row>
    <row r="1237" spans="1:27" hidden="1" x14ac:dyDescent="0.25">
      <c r="A1237" s="127">
        <v>1370</v>
      </c>
      <c r="B1237" s="128" t="str">
        <f t="shared" si="145"/>
        <v>UYCT</v>
      </c>
      <c r="C1237" s="128" t="str">
        <f>+VLOOKUP(U1237,Ходим!A:B,2,0)</f>
        <v>31101985930022</v>
      </c>
      <c r="D1237" s="128" t="str">
        <f>IFERROR(VLOOKUP($B:$B,[20]свод!$A:$AB,3,0)," ")</f>
        <v>Уйчи тумани</v>
      </c>
      <c r="E1237" s="7" t="s">
        <v>2377</v>
      </c>
      <c r="F1237" s="7" t="s">
        <v>8767</v>
      </c>
      <c r="G1237" s="134">
        <f t="shared" si="142"/>
        <v>1</v>
      </c>
      <c r="H1237" s="134" t="str">
        <f t="shared" si="143"/>
        <v/>
      </c>
      <c r="I1237" s="7" t="s">
        <v>156</v>
      </c>
      <c r="J1237" s="7" t="s">
        <v>25</v>
      </c>
      <c r="K1237" s="7"/>
      <c r="L1237" s="7"/>
      <c r="M1237" s="7"/>
      <c r="N1237" s="7" t="s">
        <v>170</v>
      </c>
      <c r="O1237" s="7" t="s">
        <v>162</v>
      </c>
      <c r="P1237" s="7" t="s">
        <v>6859</v>
      </c>
      <c r="Q1237" s="129">
        <v>46199</v>
      </c>
      <c r="R1237" s="130">
        <f t="shared" si="141"/>
        <v>46212</v>
      </c>
      <c r="S1237" s="131">
        <f t="shared" si="146"/>
        <v>13</v>
      </c>
      <c r="T1237" s="7" t="s">
        <v>947</v>
      </c>
      <c r="U1237" s="7" t="s">
        <v>299</v>
      </c>
      <c r="V1237" s="7"/>
      <c r="W1237" s="7"/>
      <c r="X1237" s="132">
        <f t="shared" si="144"/>
        <v>10</v>
      </c>
      <c r="Y1237" s="133"/>
      <c r="Z1237" s="133"/>
      <c r="AA1237" s="133"/>
    </row>
    <row r="1238" spans="1:27" hidden="1" x14ac:dyDescent="0.25">
      <c r="A1238" s="127">
        <v>1371</v>
      </c>
      <c r="B1238" s="128" t="str">
        <f t="shared" si="145"/>
        <v>NAMS</v>
      </c>
      <c r="C1238" s="128" t="str">
        <f>+VLOOKUP(U1238,Ходим!A:B,2,0)</f>
        <v>33012942170121</v>
      </c>
      <c r="D1238" s="128" t="str">
        <f>IFERROR(VLOOKUP($B:$B,[20]свод!$A:$AB,3,0)," ")</f>
        <v>Наманган шаҳар</v>
      </c>
      <c r="E1238" s="7" t="s">
        <v>2378</v>
      </c>
      <c r="F1238" s="7" t="s">
        <v>8768</v>
      </c>
      <c r="G1238" s="134">
        <f t="shared" si="142"/>
        <v>1</v>
      </c>
      <c r="H1238" s="134" t="str">
        <f t="shared" si="143"/>
        <v/>
      </c>
      <c r="I1238" s="7" t="s">
        <v>156</v>
      </c>
      <c r="J1238" s="7" t="s">
        <v>25</v>
      </c>
      <c r="K1238" s="7"/>
      <c r="L1238" s="7"/>
      <c r="M1238" s="7"/>
      <c r="N1238" s="7" t="s">
        <v>170</v>
      </c>
      <c r="O1238" s="7" t="s">
        <v>162</v>
      </c>
      <c r="P1238" s="7" t="s">
        <v>6860</v>
      </c>
      <c r="Q1238" s="129">
        <v>46199</v>
      </c>
      <c r="R1238" s="130">
        <f t="shared" si="141"/>
        <v>46206</v>
      </c>
      <c r="S1238" s="131">
        <f t="shared" si="146"/>
        <v>7</v>
      </c>
      <c r="T1238" s="7" t="s">
        <v>173</v>
      </c>
      <c r="U1238" s="7" t="s">
        <v>259</v>
      </c>
      <c r="V1238" s="7"/>
      <c r="W1238" s="7"/>
      <c r="X1238" s="132">
        <f t="shared" si="144"/>
        <v>10</v>
      </c>
      <c r="Y1238" s="133"/>
      <c r="Z1238" s="133"/>
      <c r="AA1238" s="133"/>
    </row>
    <row r="1239" spans="1:27" hidden="1" x14ac:dyDescent="0.25">
      <c r="A1239" s="127">
        <v>1373</v>
      </c>
      <c r="B1239" s="128" t="str">
        <f t="shared" si="145"/>
        <v>MINT</v>
      </c>
      <c r="C1239" s="128" t="str">
        <f>+VLOOKUP(U1239,Ходим!A:B,2,0)</f>
        <v>30906922130016</v>
      </c>
      <c r="D1239" s="128" t="str">
        <f>IFERROR(VLOOKUP($B:$B,[20]свод!$A:$AB,3,0)," ")</f>
        <v>Мингбулоқ тумани</v>
      </c>
      <c r="E1239" s="7" t="s">
        <v>2379</v>
      </c>
      <c r="F1239" s="7" t="s">
        <v>8769</v>
      </c>
      <c r="G1239" s="134">
        <f t="shared" si="142"/>
        <v>1</v>
      </c>
      <c r="H1239" s="134" t="str">
        <f t="shared" si="143"/>
        <v/>
      </c>
      <c r="I1239" s="7" t="s">
        <v>158</v>
      </c>
      <c r="J1239" s="7" t="s">
        <v>36</v>
      </c>
      <c r="K1239" s="7"/>
      <c r="L1239" s="7" t="s">
        <v>167</v>
      </c>
      <c r="M1239" s="7" t="s">
        <v>5010</v>
      </c>
      <c r="N1239" s="7" t="s">
        <v>410</v>
      </c>
      <c r="O1239" s="7" t="s">
        <v>162</v>
      </c>
      <c r="P1239" s="7" t="s">
        <v>6860</v>
      </c>
      <c r="Q1239" s="129">
        <v>46199</v>
      </c>
      <c r="R1239" s="130">
        <f t="shared" si="141"/>
        <v>46206</v>
      </c>
      <c r="S1239" s="131">
        <f t="shared" si="146"/>
        <v>7</v>
      </c>
      <c r="T1239" s="7" t="s">
        <v>220</v>
      </c>
      <c r="U1239" s="7" t="s">
        <v>178</v>
      </c>
      <c r="V1239" s="7"/>
      <c r="W1239" s="7">
        <v>92.43</v>
      </c>
      <c r="X1239" s="132">
        <f t="shared" si="144"/>
        <v>10</v>
      </c>
      <c r="Y1239" s="133"/>
      <c r="Z1239" s="133"/>
      <c r="AA1239" s="133"/>
    </row>
    <row r="1240" spans="1:27" hidden="1" x14ac:dyDescent="0.25">
      <c r="A1240" s="127">
        <v>1374</v>
      </c>
      <c r="B1240" s="128" t="str">
        <f t="shared" si="145"/>
        <v>KSST</v>
      </c>
      <c r="C1240" s="128" t="str">
        <f>+VLOOKUP(U1240,Ходим!A:B,2,0)</f>
        <v>52812015980061</v>
      </c>
      <c r="D1240" s="128" t="str">
        <f>IFERROR(VLOOKUP($B:$B,[20]свод!$A:$AB,3,0)," ")</f>
        <v>Косонсой тумани</v>
      </c>
      <c r="E1240" s="7" t="s">
        <v>2380</v>
      </c>
      <c r="F1240" s="7" t="s">
        <v>8770</v>
      </c>
      <c r="G1240" s="134">
        <f t="shared" si="142"/>
        <v>1</v>
      </c>
      <c r="H1240" s="134" t="str">
        <f t="shared" si="143"/>
        <v/>
      </c>
      <c r="I1240" s="7" t="s">
        <v>158</v>
      </c>
      <c r="J1240" s="7" t="s">
        <v>2</v>
      </c>
      <c r="K1240" s="7"/>
      <c r="L1240" s="7" t="s">
        <v>167</v>
      </c>
      <c r="M1240" s="7" t="s">
        <v>5011</v>
      </c>
      <c r="N1240" s="7" t="s">
        <v>410</v>
      </c>
      <c r="O1240" s="7" t="s">
        <v>162</v>
      </c>
      <c r="P1240" s="7" t="s">
        <v>6860</v>
      </c>
      <c r="Q1240" s="129">
        <v>46199</v>
      </c>
      <c r="R1240" s="130">
        <f t="shared" si="141"/>
        <v>46206</v>
      </c>
      <c r="S1240" s="131">
        <f t="shared" si="146"/>
        <v>7</v>
      </c>
      <c r="T1240" s="7" t="s">
        <v>180</v>
      </c>
      <c r="U1240" s="7" t="s">
        <v>307</v>
      </c>
      <c r="V1240" s="7"/>
      <c r="W1240" s="7">
        <v>0</v>
      </c>
      <c r="X1240" s="132">
        <f t="shared" si="144"/>
        <v>10</v>
      </c>
      <c r="Y1240" s="133"/>
      <c r="Z1240" s="133"/>
      <c r="AA1240" s="133"/>
    </row>
    <row r="1241" spans="1:27" hidden="1" x14ac:dyDescent="0.25">
      <c r="A1241" s="127">
        <v>1377</v>
      </c>
      <c r="B1241" s="128" t="str">
        <f t="shared" si="145"/>
        <v>NAMS</v>
      </c>
      <c r="C1241" s="128" t="str">
        <f>+VLOOKUP(U1241,Ходим!A:B,2,0)</f>
        <v>52503015960039</v>
      </c>
      <c r="D1241" s="128" t="str">
        <f>IFERROR(VLOOKUP($B:$B,[20]свод!$A:$AB,3,0)," ")</f>
        <v>Наманган шаҳар</v>
      </c>
      <c r="E1241" s="7" t="s">
        <v>2381</v>
      </c>
      <c r="F1241" s="7" t="s">
        <v>8771</v>
      </c>
      <c r="G1241" s="134">
        <f t="shared" si="142"/>
        <v>1</v>
      </c>
      <c r="H1241" s="134" t="str">
        <f t="shared" si="143"/>
        <v/>
      </c>
      <c r="I1241" s="7" t="s">
        <v>158</v>
      </c>
      <c r="J1241" s="7" t="s">
        <v>29</v>
      </c>
      <c r="K1241" s="7"/>
      <c r="L1241" s="7" t="s">
        <v>169</v>
      </c>
      <c r="M1241" s="7" t="s">
        <v>381</v>
      </c>
      <c r="N1241" s="7" t="s">
        <v>170</v>
      </c>
      <c r="O1241" s="7" t="s">
        <v>162</v>
      </c>
      <c r="P1241" s="7" t="s">
        <v>6861</v>
      </c>
      <c r="Q1241" s="129">
        <v>46199</v>
      </c>
      <c r="R1241" s="130">
        <f t="shared" si="141"/>
        <v>46203</v>
      </c>
      <c r="S1241" s="131">
        <f t="shared" si="146"/>
        <v>4</v>
      </c>
      <c r="T1241" s="7" t="s">
        <v>173</v>
      </c>
      <c r="U1241" s="7" t="s">
        <v>246</v>
      </c>
      <c r="V1241" s="7"/>
      <c r="W1241" s="7">
        <v>0</v>
      </c>
      <c r="X1241" s="132">
        <f t="shared" si="144"/>
        <v>7</v>
      </c>
      <c r="Y1241" s="133"/>
      <c r="Z1241" s="133"/>
      <c r="AA1241" s="133"/>
    </row>
    <row r="1242" spans="1:27" hidden="1" x14ac:dyDescent="0.25">
      <c r="A1242" s="127">
        <v>1378</v>
      </c>
      <c r="B1242" s="128" t="str">
        <f t="shared" si="145"/>
        <v>NAMS</v>
      </c>
      <c r="C1242" s="128" t="str">
        <f>+VLOOKUP(U1242,Ходим!A:B,2,0)</f>
        <v>52503015960039</v>
      </c>
      <c r="D1242" s="128" t="str">
        <f>IFERROR(VLOOKUP($B:$B,[20]свод!$A:$AB,3,0)," ")</f>
        <v>Наманган шаҳар</v>
      </c>
      <c r="E1242" s="7" t="s">
        <v>2382</v>
      </c>
      <c r="F1242" s="7" t="s">
        <v>8772</v>
      </c>
      <c r="G1242" s="134">
        <f t="shared" si="142"/>
        <v>1</v>
      </c>
      <c r="H1242" s="134" t="str">
        <f t="shared" si="143"/>
        <v/>
      </c>
      <c r="I1242" s="7" t="s">
        <v>158</v>
      </c>
      <c r="J1242" s="7" t="s">
        <v>13</v>
      </c>
      <c r="K1242" s="7"/>
      <c r="L1242" s="7" t="s">
        <v>167</v>
      </c>
      <c r="M1242" s="7" t="s">
        <v>381</v>
      </c>
      <c r="N1242" s="7" t="s">
        <v>170</v>
      </c>
      <c r="O1242" s="7" t="s">
        <v>162</v>
      </c>
      <c r="P1242" s="7" t="s">
        <v>6861</v>
      </c>
      <c r="Q1242" s="129">
        <v>46199</v>
      </c>
      <c r="R1242" s="130">
        <f t="shared" si="141"/>
        <v>46206</v>
      </c>
      <c r="S1242" s="131">
        <f t="shared" si="146"/>
        <v>7</v>
      </c>
      <c r="T1242" s="7" t="s">
        <v>173</v>
      </c>
      <c r="U1242" s="7" t="s">
        <v>246</v>
      </c>
      <c r="V1242" s="7"/>
      <c r="W1242" s="7">
        <v>0</v>
      </c>
      <c r="X1242" s="132">
        <f t="shared" si="144"/>
        <v>10</v>
      </c>
      <c r="Y1242" s="133"/>
      <c r="Z1242" s="133"/>
      <c r="AA1242" s="133"/>
    </row>
    <row r="1243" spans="1:27" hidden="1" x14ac:dyDescent="0.25">
      <c r="A1243" s="127">
        <v>1379</v>
      </c>
      <c r="B1243" s="128" t="str">
        <f t="shared" si="145"/>
        <v>KSST</v>
      </c>
      <c r="C1243" s="128" t="str">
        <f>+VLOOKUP(U1243,Ходим!A:B,2,0)</f>
        <v>31611995980026</v>
      </c>
      <c r="D1243" s="128" t="str">
        <f>IFERROR(VLOOKUP($B:$B,[20]свод!$A:$AB,3,0)," ")</f>
        <v>Косонсой тумани</v>
      </c>
      <c r="E1243" s="7" t="s">
        <v>2383</v>
      </c>
      <c r="F1243" s="7" t="s">
        <v>8773</v>
      </c>
      <c r="G1243" s="134">
        <f t="shared" si="142"/>
        <v>1</v>
      </c>
      <c r="H1243" s="134" t="str">
        <f t="shared" si="143"/>
        <v/>
      </c>
      <c r="I1243" s="7" t="s">
        <v>158</v>
      </c>
      <c r="J1243" s="7" t="s">
        <v>172</v>
      </c>
      <c r="K1243" s="7"/>
      <c r="L1243" s="7" t="s">
        <v>167</v>
      </c>
      <c r="M1243" s="7" t="s">
        <v>5012</v>
      </c>
      <c r="N1243" s="7" t="s">
        <v>170</v>
      </c>
      <c r="O1243" s="7" t="s">
        <v>162</v>
      </c>
      <c r="P1243" s="7" t="s">
        <v>6862</v>
      </c>
      <c r="Q1243" s="129">
        <v>46199</v>
      </c>
      <c r="R1243" s="130">
        <f t="shared" si="141"/>
        <v>46212</v>
      </c>
      <c r="S1243" s="131">
        <f t="shared" si="146"/>
        <v>13</v>
      </c>
      <c r="T1243" s="7" t="s">
        <v>180</v>
      </c>
      <c r="U1243" s="7" t="s">
        <v>181</v>
      </c>
      <c r="V1243" s="7"/>
      <c r="W1243" s="7">
        <v>227.4</v>
      </c>
      <c r="X1243" s="132">
        <f t="shared" si="144"/>
        <v>10</v>
      </c>
      <c r="Y1243" s="133"/>
      <c r="Z1243" s="133"/>
      <c r="AA1243" s="133"/>
    </row>
    <row r="1244" spans="1:27" hidden="1" x14ac:dyDescent="0.25">
      <c r="A1244" s="127">
        <v>1380</v>
      </c>
      <c r="B1244" s="128" t="str">
        <f t="shared" si="145"/>
        <v>NAMT</v>
      </c>
      <c r="C1244" s="128" t="str">
        <f>+VLOOKUP(U1244,Ходим!A:B,2,0)</f>
        <v>52012025880014</v>
      </c>
      <c r="D1244" s="128" t="str">
        <f>IFERROR(VLOOKUP($B:$B,[20]свод!$A:$AB,3,0)," ")</f>
        <v>Наманган тумани</v>
      </c>
      <c r="E1244" s="7" t="s">
        <v>2384</v>
      </c>
      <c r="F1244" s="7" t="s">
        <v>8774</v>
      </c>
      <c r="G1244" s="134">
        <f t="shared" si="142"/>
        <v>1</v>
      </c>
      <c r="H1244" s="134" t="str">
        <f t="shared" si="143"/>
        <v/>
      </c>
      <c r="I1244" s="7" t="s">
        <v>158</v>
      </c>
      <c r="J1244" s="7" t="s">
        <v>2</v>
      </c>
      <c r="K1244" s="7"/>
      <c r="L1244" s="7" t="s">
        <v>167</v>
      </c>
      <c r="M1244" s="7" t="s">
        <v>5013</v>
      </c>
      <c r="N1244" s="7" t="s">
        <v>170</v>
      </c>
      <c r="O1244" s="7" t="s">
        <v>162</v>
      </c>
      <c r="P1244" s="7" t="s">
        <v>6862</v>
      </c>
      <c r="Q1244" s="129">
        <v>46199</v>
      </c>
      <c r="R1244" s="130">
        <f t="shared" si="141"/>
        <v>46212</v>
      </c>
      <c r="S1244" s="131">
        <f t="shared" si="146"/>
        <v>13</v>
      </c>
      <c r="T1244" s="7" t="s">
        <v>193</v>
      </c>
      <c r="U1244" s="7" t="s">
        <v>216</v>
      </c>
      <c r="V1244" s="7"/>
      <c r="W1244" s="7">
        <v>367.55</v>
      </c>
      <c r="X1244" s="132">
        <f t="shared" si="144"/>
        <v>10</v>
      </c>
      <c r="Y1244" s="133"/>
      <c r="Z1244" s="133"/>
      <c r="AA1244" s="133"/>
    </row>
    <row r="1245" spans="1:27" hidden="1" x14ac:dyDescent="0.25">
      <c r="A1245" s="127">
        <v>1381</v>
      </c>
      <c r="B1245" s="128" t="str">
        <f t="shared" si="145"/>
        <v>MINT</v>
      </c>
      <c r="C1245" s="128" t="str">
        <f>+VLOOKUP(U1245,Ходим!A:B,2,0)</f>
        <v>31205995920018</v>
      </c>
      <c r="D1245" s="128" t="str">
        <f>IFERROR(VLOOKUP($B:$B,[20]свод!$A:$AB,3,0)," ")</f>
        <v>Мингбулоқ тумани</v>
      </c>
      <c r="E1245" s="7" t="s">
        <v>2385</v>
      </c>
      <c r="F1245" s="7" t="s">
        <v>8775</v>
      </c>
      <c r="G1245" s="134">
        <f t="shared" si="142"/>
        <v>1</v>
      </c>
      <c r="H1245" s="134" t="str">
        <f t="shared" si="143"/>
        <v/>
      </c>
      <c r="I1245" s="7" t="s">
        <v>158</v>
      </c>
      <c r="J1245" s="7" t="s">
        <v>10</v>
      </c>
      <c r="K1245" s="7"/>
      <c r="L1245" s="7" t="s">
        <v>167</v>
      </c>
      <c r="M1245" s="7" t="s">
        <v>5014</v>
      </c>
      <c r="N1245" s="7" t="s">
        <v>170</v>
      </c>
      <c r="O1245" s="7" t="s">
        <v>162</v>
      </c>
      <c r="P1245" s="7" t="s">
        <v>6863</v>
      </c>
      <c r="Q1245" s="129">
        <v>46199</v>
      </c>
      <c r="R1245" s="130">
        <f t="shared" si="141"/>
        <v>46202</v>
      </c>
      <c r="S1245" s="131">
        <f t="shared" si="146"/>
        <v>3</v>
      </c>
      <c r="T1245" s="7" t="s">
        <v>220</v>
      </c>
      <c r="U1245" s="7" t="s">
        <v>271</v>
      </c>
      <c r="V1245" s="7"/>
      <c r="W1245" s="7">
        <v>447.85</v>
      </c>
      <c r="X1245" s="132">
        <f t="shared" si="144"/>
        <v>10</v>
      </c>
      <c r="Y1245" s="133"/>
      <c r="Z1245" s="133"/>
      <c r="AA1245" s="133"/>
    </row>
    <row r="1246" spans="1:27" hidden="1" x14ac:dyDescent="0.25">
      <c r="A1246" s="127">
        <v>1382</v>
      </c>
      <c r="B1246" s="128" t="str">
        <f t="shared" si="145"/>
        <v>CHUT</v>
      </c>
      <c r="C1246" s="128" t="str">
        <f>+VLOOKUP(U1246,Ходим!A:B,2,0)</f>
        <v>30901882180031</v>
      </c>
      <c r="D1246" s="128" t="str">
        <f>IFERROR(VLOOKUP($B:$B,[20]свод!$A:$AB,3,0)," ")</f>
        <v>Чуст тумани</v>
      </c>
      <c r="E1246" s="7" t="s">
        <v>2386</v>
      </c>
      <c r="F1246" s="7" t="s">
        <v>8776</v>
      </c>
      <c r="G1246" s="134" t="str">
        <f t="shared" si="142"/>
        <v/>
      </c>
      <c r="H1246" s="134">
        <f t="shared" si="143"/>
        <v>1</v>
      </c>
      <c r="I1246" s="7" t="s">
        <v>157</v>
      </c>
      <c r="J1246" s="7" t="s">
        <v>172</v>
      </c>
      <c r="K1246" s="7"/>
      <c r="L1246" s="7" t="s">
        <v>166</v>
      </c>
      <c r="M1246" s="7" t="s">
        <v>5015</v>
      </c>
      <c r="N1246" s="7" t="s">
        <v>410</v>
      </c>
      <c r="O1246" s="7" t="s">
        <v>161</v>
      </c>
      <c r="P1246" s="7" t="s">
        <v>6439</v>
      </c>
      <c r="Q1246" s="129">
        <v>46199</v>
      </c>
      <c r="R1246" s="130">
        <f t="shared" si="141"/>
        <v>46211</v>
      </c>
      <c r="S1246" s="131">
        <f t="shared" si="146"/>
        <v>12</v>
      </c>
      <c r="T1246" s="7" t="s">
        <v>178</v>
      </c>
      <c r="U1246" s="7" t="s">
        <v>238</v>
      </c>
      <c r="V1246" s="7"/>
      <c r="W1246" s="7">
        <v>0</v>
      </c>
      <c r="X1246" s="132">
        <f t="shared" si="144"/>
        <v>10</v>
      </c>
      <c r="Y1246" s="133"/>
      <c r="Z1246" s="133"/>
      <c r="AA1246" s="133"/>
    </row>
    <row r="1247" spans="1:27" hidden="1" x14ac:dyDescent="0.25">
      <c r="A1247" s="127">
        <v>1383</v>
      </c>
      <c r="B1247" s="128" t="str">
        <f t="shared" si="145"/>
        <v>NAMT</v>
      </c>
      <c r="C1247" s="128" t="str">
        <f>+VLOOKUP(U1247,Ходим!A:B,2,0)</f>
        <v>52012025880014</v>
      </c>
      <c r="D1247" s="128" t="str">
        <f>IFERROR(VLOOKUP($B:$B,[20]свод!$A:$AB,3,0)," ")</f>
        <v>Наманган тумани</v>
      </c>
      <c r="E1247" s="7" t="s">
        <v>2387</v>
      </c>
      <c r="F1247" s="7" t="s">
        <v>8777</v>
      </c>
      <c r="G1247" s="134">
        <f t="shared" si="142"/>
        <v>1</v>
      </c>
      <c r="H1247" s="134" t="str">
        <f t="shared" si="143"/>
        <v/>
      </c>
      <c r="I1247" s="7" t="s">
        <v>158</v>
      </c>
      <c r="J1247" s="7" t="s">
        <v>2</v>
      </c>
      <c r="K1247" s="7"/>
      <c r="L1247" s="7" t="s">
        <v>167</v>
      </c>
      <c r="M1247" s="7" t="s">
        <v>5016</v>
      </c>
      <c r="N1247" s="7" t="s">
        <v>170</v>
      </c>
      <c r="O1247" s="7" t="s">
        <v>162</v>
      </c>
      <c r="P1247" s="7" t="s">
        <v>6822</v>
      </c>
      <c r="Q1247" s="129">
        <v>46199</v>
      </c>
      <c r="R1247" s="130">
        <f t="shared" si="141"/>
        <v>46212</v>
      </c>
      <c r="S1247" s="131">
        <f t="shared" si="146"/>
        <v>13</v>
      </c>
      <c r="T1247" s="7" t="s">
        <v>197</v>
      </c>
      <c r="U1247" s="7" t="s">
        <v>216</v>
      </c>
      <c r="V1247" s="7"/>
      <c r="W1247" s="7">
        <v>283.36</v>
      </c>
      <c r="X1247" s="132">
        <f t="shared" si="144"/>
        <v>10</v>
      </c>
      <c r="Y1247" s="133"/>
      <c r="Z1247" s="133"/>
      <c r="AA1247" s="133"/>
    </row>
    <row r="1248" spans="1:27" hidden="1" x14ac:dyDescent="0.25">
      <c r="A1248" s="127">
        <v>1384</v>
      </c>
      <c r="B1248" s="128" t="str">
        <f t="shared" si="145"/>
        <v>MINT</v>
      </c>
      <c r="C1248" s="128" t="str">
        <f>+VLOOKUP(U1248,Ходим!A:B,2,0)</f>
        <v>30910905990010</v>
      </c>
      <c r="D1248" s="128" t="str">
        <f>IFERROR(VLOOKUP($B:$B,[20]свод!$A:$AB,3,0)," ")</f>
        <v>Мингбулоқ тумани</v>
      </c>
      <c r="E1248" s="7" t="s">
        <v>2388</v>
      </c>
      <c r="F1248" s="7" t="s">
        <v>8778</v>
      </c>
      <c r="G1248" s="134">
        <f t="shared" si="142"/>
        <v>1</v>
      </c>
      <c r="H1248" s="134" t="str">
        <f t="shared" si="143"/>
        <v/>
      </c>
      <c r="I1248" s="7" t="s">
        <v>158</v>
      </c>
      <c r="J1248" s="7" t="s">
        <v>1</v>
      </c>
      <c r="K1248" s="7"/>
      <c r="L1248" s="7" t="s">
        <v>167</v>
      </c>
      <c r="M1248" s="7" t="s">
        <v>5017</v>
      </c>
      <c r="N1248" s="7" t="s">
        <v>170</v>
      </c>
      <c r="O1248" s="7" t="s">
        <v>162</v>
      </c>
      <c r="P1248" s="7" t="s">
        <v>6864</v>
      </c>
      <c r="Q1248" s="129">
        <v>46199</v>
      </c>
      <c r="R1248" s="130">
        <f t="shared" si="141"/>
        <v>46202</v>
      </c>
      <c r="S1248" s="131">
        <f t="shared" si="146"/>
        <v>3</v>
      </c>
      <c r="T1248" s="7" t="s">
        <v>220</v>
      </c>
      <c r="U1248" s="7" t="s">
        <v>221</v>
      </c>
      <c r="V1248" s="7"/>
      <c r="W1248" s="7">
        <v>471.58</v>
      </c>
      <c r="X1248" s="132">
        <f t="shared" si="144"/>
        <v>10</v>
      </c>
      <c r="Y1248" s="133"/>
      <c r="Z1248" s="133"/>
      <c r="AA1248" s="133"/>
    </row>
    <row r="1249" spans="1:27" hidden="1" x14ac:dyDescent="0.25">
      <c r="A1249" s="127">
        <v>1386</v>
      </c>
      <c r="B1249" s="128" t="str">
        <f t="shared" si="145"/>
        <v>CHUT</v>
      </c>
      <c r="C1249" s="128" t="str">
        <f>+VLOOKUP(U1249,Ходим!A:B,2,0)</f>
        <v>52508015970048</v>
      </c>
      <c r="D1249" s="128" t="str">
        <f>IFERROR(VLOOKUP($B:$B,[20]свод!$A:$AB,3,0)," ")</f>
        <v>Чуст тумани</v>
      </c>
      <c r="E1249" s="7" t="s">
        <v>2389</v>
      </c>
      <c r="F1249" s="7" t="s">
        <v>8779</v>
      </c>
      <c r="G1249" s="134">
        <f t="shared" si="142"/>
        <v>1</v>
      </c>
      <c r="H1249" s="134" t="str">
        <f t="shared" si="143"/>
        <v/>
      </c>
      <c r="I1249" s="7" t="s">
        <v>154</v>
      </c>
      <c r="J1249" s="7" t="s">
        <v>2</v>
      </c>
      <c r="K1249" s="7"/>
      <c r="L1249" s="7"/>
      <c r="M1249" s="7"/>
      <c r="N1249" s="7" t="s">
        <v>170</v>
      </c>
      <c r="O1249" s="7" t="s">
        <v>162</v>
      </c>
      <c r="P1249" s="7" t="s">
        <v>6865</v>
      </c>
      <c r="Q1249" s="129">
        <v>46199</v>
      </c>
      <c r="R1249" s="130">
        <f t="shared" si="141"/>
        <v>46206</v>
      </c>
      <c r="S1249" s="131">
        <f t="shared" si="146"/>
        <v>7</v>
      </c>
      <c r="T1249" s="7" t="s">
        <v>178</v>
      </c>
      <c r="U1249" s="7" t="s">
        <v>350</v>
      </c>
      <c r="V1249" s="7"/>
      <c r="W1249" s="7"/>
      <c r="X1249" s="132">
        <f t="shared" si="144"/>
        <v>10</v>
      </c>
      <c r="Y1249" s="133"/>
      <c r="Z1249" s="133"/>
      <c r="AA1249" s="133"/>
    </row>
    <row r="1250" spans="1:27" hidden="1" x14ac:dyDescent="0.25">
      <c r="A1250" s="127">
        <v>1387</v>
      </c>
      <c r="B1250" s="128" t="str">
        <f t="shared" si="145"/>
        <v>POPT</v>
      </c>
      <c r="C1250" s="128" t="str">
        <f>+VLOOKUP(U1250,Ходим!A:B,2,0)</f>
        <v>50902005910032</v>
      </c>
      <c r="D1250" s="128" t="str">
        <f>IFERROR(VLOOKUP($B:$B,[20]свод!$A:$AB,3,0)," ")</f>
        <v>Поп тумани</v>
      </c>
      <c r="E1250" s="7" t="s">
        <v>2390</v>
      </c>
      <c r="F1250" s="7" t="s">
        <v>8780</v>
      </c>
      <c r="G1250" s="134" t="str">
        <f t="shared" si="142"/>
        <v/>
      </c>
      <c r="H1250" s="134">
        <f t="shared" si="143"/>
        <v>1</v>
      </c>
      <c r="I1250" s="7" t="s">
        <v>157</v>
      </c>
      <c r="J1250" s="7" t="s">
        <v>2</v>
      </c>
      <c r="K1250" s="7"/>
      <c r="L1250" s="7" t="s">
        <v>166</v>
      </c>
      <c r="M1250" s="7" t="s">
        <v>5018</v>
      </c>
      <c r="N1250" s="7" t="s">
        <v>410</v>
      </c>
      <c r="O1250" s="7" t="s">
        <v>161</v>
      </c>
      <c r="P1250" s="7" t="s">
        <v>6865</v>
      </c>
      <c r="Q1250" s="129">
        <v>46199</v>
      </c>
      <c r="R1250" s="130">
        <f t="shared" si="141"/>
        <v>46217</v>
      </c>
      <c r="S1250" s="131">
        <f t="shared" si="146"/>
        <v>18</v>
      </c>
      <c r="T1250" s="7" t="s">
        <v>214</v>
      </c>
      <c r="U1250" s="7" t="s">
        <v>278</v>
      </c>
      <c r="V1250" s="7"/>
      <c r="W1250" s="7">
        <v>1753.6</v>
      </c>
      <c r="X1250" s="132">
        <f t="shared" si="144"/>
        <v>17</v>
      </c>
      <c r="Y1250" s="133"/>
      <c r="Z1250" s="133"/>
      <c r="AA1250" s="133"/>
    </row>
    <row r="1251" spans="1:27" hidden="1" x14ac:dyDescent="0.25">
      <c r="A1251" s="127">
        <v>1389</v>
      </c>
      <c r="B1251" s="128" t="str">
        <f t="shared" si="145"/>
        <v>UCQT</v>
      </c>
      <c r="C1251" s="128" t="e">
        <f>+VLOOKUP(U1251,Ходим!A:B,2,0)</f>
        <v>#N/A</v>
      </c>
      <c r="D1251" s="128" t="str">
        <f>IFERROR(VLOOKUP($B:$B,[20]свод!$A:$AB,3,0)," ")</f>
        <v>Учқўрғон тумани</v>
      </c>
      <c r="E1251" s="7" t="s">
        <v>2391</v>
      </c>
      <c r="F1251" s="7" t="s">
        <v>8781</v>
      </c>
      <c r="G1251" s="134">
        <f t="shared" si="142"/>
        <v>1</v>
      </c>
      <c r="H1251" s="134" t="str">
        <f t="shared" si="143"/>
        <v/>
      </c>
      <c r="I1251" s="7" t="s">
        <v>156</v>
      </c>
      <c r="J1251" s="7" t="s">
        <v>11</v>
      </c>
      <c r="K1251" s="7"/>
      <c r="L1251" s="7"/>
      <c r="M1251" s="7"/>
      <c r="N1251" s="7" t="s">
        <v>170</v>
      </c>
      <c r="O1251" s="7" t="s">
        <v>162</v>
      </c>
      <c r="P1251" s="7" t="s">
        <v>6866</v>
      </c>
      <c r="Q1251" s="129">
        <v>46199</v>
      </c>
      <c r="R1251" s="130">
        <f t="shared" si="141"/>
        <v>46212</v>
      </c>
      <c r="S1251" s="131">
        <f t="shared" si="146"/>
        <v>13</v>
      </c>
      <c r="T1251" s="7"/>
      <c r="U1251" s="7"/>
      <c r="V1251" s="7"/>
      <c r="W1251" s="7"/>
      <c r="X1251" s="132">
        <f t="shared" si="144"/>
        <v>10</v>
      </c>
      <c r="Y1251" s="133"/>
      <c r="Z1251" s="133"/>
      <c r="AA1251" s="133"/>
    </row>
    <row r="1252" spans="1:27" hidden="1" x14ac:dyDescent="0.25">
      <c r="A1252" s="127">
        <v>1390</v>
      </c>
      <c r="B1252" s="128" t="str">
        <f t="shared" si="145"/>
        <v>YGQT</v>
      </c>
      <c r="C1252" s="128" t="e">
        <f>+VLOOKUP(U1252,Ходим!A:B,2,0)</f>
        <v>#N/A</v>
      </c>
      <c r="D1252" s="128" t="str">
        <f>IFERROR(VLOOKUP($B:$B,[20]свод!$A:$AB,3,0)," ")</f>
        <v>Янгиқўрғон тумани</v>
      </c>
      <c r="E1252" s="7" t="s">
        <v>2392</v>
      </c>
      <c r="F1252" s="7" t="s">
        <v>8782</v>
      </c>
      <c r="G1252" s="134" t="str">
        <f t="shared" si="142"/>
        <v/>
      </c>
      <c r="H1252" s="134">
        <f t="shared" si="143"/>
        <v>1</v>
      </c>
      <c r="I1252" s="7" t="s">
        <v>155</v>
      </c>
      <c r="J1252" s="7" t="s">
        <v>21</v>
      </c>
      <c r="K1252" s="7"/>
      <c r="L1252" s="7" t="s">
        <v>166</v>
      </c>
      <c r="M1252" s="7" t="s">
        <v>5019</v>
      </c>
      <c r="N1252" s="7" t="s">
        <v>170</v>
      </c>
      <c r="O1252" s="7" t="s">
        <v>161</v>
      </c>
      <c r="P1252" s="7" t="s">
        <v>6866</v>
      </c>
      <c r="Q1252" s="129">
        <v>46199</v>
      </c>
      <c r="R1252" s="130">
        <f t="shared" si="141"/>
        <v>46212</v>
      </c>
      <c r="S1252" s="131">
        <f t="shared" si="146"/>
        <v>13</v>
      </c>
      <c r="T1252" s="7" t="s">
        <v>182</v>
      </c>
      <c r="U1252" s="7"/>
      <c r="V1252" s="7"/>
      <c r="W1252" s="7">
        <v>21.28</v>
      </c>
      <c r="X1252" s="132">
        <f t="shared" si="144"/>
        <v>10</v>
      </c>
      <c r="Y1252" s="133"/>
      <c r="Z1252" s="133"/>
      <c r="AA1252" s="133"/>
    </row>
    <row r="1253" spans="1:27" hidden="1" x14ac:dyDescent="0.25">
      <c r="A1253" s="127">
        <v>1391</v>
      </c>
      <c r="B1253" s="128" t="str">
        <f t="shared" si="145"/>
        <v>NAMS</v>
      </c>
      <c r="C1253" s="128" t="str">
        <f>+VLOOKUP(U1253,Ходим!A:B,2,0)</f>
        <v>30108932170088</v>
      </c>
      <c r="D1253" s="128" t="str">
        <f>IFERROR(VLOOKUP($B:$B,[20]свод!$A:$AB,3,0)," ")</f>
        <v>Наманган шаҳар</v>
      </c>
      <c r="E1253" s="7" t="s">
        <v>2393</v>
      </c>
      <c r="F1253" s="7" t="s">
        <v>8783</v>
      </c>
      <c r="G1253" s="134">
        <f t="shared" si="142"/>
        <v>1</v>
      </c>
      <c r="H1253" s="134" t="str">
        <f t="shared" si="143"/>
        <v/>
      </c>
      <c r="I1253" s="7" t="s">
        <v>156</v>
      </c>
      <c r="J1253" s="7" t="s">
        <v>25</v>
      </c>
      <c r="K1253" s="7"/>
      <c r="L1253" s="7"/>
      <c r="M1253" s="7"/>
      <c r="N1253" s="7" t="s">
        <v>170</v>
      </c>
      <c r="O1253" s="7" t="s">
        <v>162</v>
      </c>
      <c r="P1253" s="7" t="s">
        <v>6866</v>
      </c>
      <c r="Q1253" s="129">
        <v>46199</v>
      </c>
      <c r="R1253" s="130">
        <f t="shared" si="141"/>
        <v>46212</v>
      </c>
      <c r="S1253" s="131">
        <f t="shared" si="146"/>
        <v>13</v>
      </c>
      <c r="T1253" s="7" t="s">
        <v>173</v>
      </c>
      <c r="U1253" s="7" t="s">
        <v>329</v>
      </c>
      <c r="V1253" s="7"/>
      <c r="W1253" s="7"/>
      <c r="X1253" s="132">
        <f t="shared" si="144"/>
        <v>10</v>
      </c>
      <c r="Y1253" s="133"/>
      <c r="Z1253" s="133"/>
      <c r="AA1253" s="133"/>
    </row>
    <row r="1254" spans="1:27" hidden="1" x14ac:dyDescent="0.25">
      <c r="A1254" s="127">
        <v>1392</v>
      </c>
      <c r="B1254" s="128" t="str">
        <f t="shared" si="145"/>
        <v>NAMS</v>
      </c>
      <c r="C1254" s="128" t="str">
        <f>+VLOOKUP(U1254,Ходим!A:B,2,0)</f>
        <v>32207925880019</v>
      </c>
      <c r="D1254" s="128" t="str">
        <f>IFERROR(VLOOKUP($B:$B,[20]свод!$A:$AB,3,0)," ")</f>
        <v>Наманган шаҳар</v>
      </c>
      <c r="E1254" s="7" t="s">
        <v>2394</v>
      </c>
      <c r="F1254" s="7" t="s">
        <v>8784</v>
      </c>
      <c r="G1254" s="134">
        <f t="shared" si="142"/>
        <v>1</v>
      </c>
      <c r="H1254" s="134" t="str">
        <f t="shared" si="143"/>
        <v/>
      </c>
      <c r="I1254" s="7" t="s">
        <v>156</v>
      </c>
      <c r="J1254" s="7" t="s">
        <v>25</v>
      </c>
      <c r="K1254" s="7"/>
      <c r="L1254" s="7"/>
      <c r="M1254" s="7"/>
      <c r="N1254" s="7" t="s">
        <v>170</v>
      </c>
      <c r="O1254" s="7" t="s">
        <v>162</v>
      </c>
      <c r="P1254" s="7" t="s">
        <v>6866</v>
      </c>
      <c r="Q1254" s="129">
        <v>46199</v>
      </c>
      <c r="R1254" s="130">
        <f t="shared" si="141"/>
        <v>46212</v>
      </c>
      <c r="S1254" s="131">
        <f t="shared" si="146"/>
        <v>13</v>
      </c>
      <c r="T1254" s="7" t="s">
        <v>173</v>
      </c>
      <c r="U1254" s="7" t="s">
        <v>174</v>
      </c>
      <c r="V1254" s="7"/>
      <c r="W1254" s="7"/>
      <c r="X1254" s="132">
        <f t="shared" si="144"/>
        <v>10</v>
      </c>
      <c r="Y1254" s="133"/>
      <c r="Z1254" s="133"/>
      <c r="AA1254" s="133"/>
    </row>
    <row r="1255" spans="1:27" hidden="1" x14ac:dyDescent="0.25">
      <c r="A1255" s="127">
        <v>1393</v>
      </c>
      <c r="B1255" s="128" t="str">
        <f t="shared" si="145"/>
        <v>MINT</v>
      </c>
      <c r="C1255" s="128" t="e">
        <f>+VLOOKUP(U1255,Ходим!A:B,2,0)</f>
        <v>#N/A</v>
      </c>
      <c r="D1255" s="128" t="str">
        <f>IFERROR(VLOOKUP($B:$B,[20]свод!$A:$AB,3,0)," ")</f>
        <v>Мингбулоқ тумани</v>
      </c>
      <c r="E1255" s="7" t="s">
        <v>2395</v>
      </c>
      <c r="F1255" s="7" t="s">
        <v>8785</v>
      </c>
      <c r="G1255" s="134">
        <f t="shared" si="142"/>
        <v>1</v>
      </c>
      <c r="H1255" s="134" t="str">
        <f t="shared" si="143"/>
        <v/>
      </c>
      <c r="I1255" s="7" t="s">
        <v>156</v>
      </c>
      <c r="J1255" s="7" t="s">
        <v>11</v>
      </c>
      <c r="K1255" s="7"/>
      <c r="L1255" s="7"/>
      <c r="M1255" s="7"/>
      <c r="N1255" s="7" t="s">
        <v>170</v>
      </c>
      <c r="O1255" s="7" t="s">
        <v>162</v>
      </c>
      <c r="P1255" s="7" t="s">
        <v>6866</v>
      </c>
      <c r="Q1255" s="129">
        <v>46199</v>
      </c>
      <c r="R1255" s="130">
        <f t="shared" si="141"/>
        <v>46212</v>
      </c>
      <c r="S1255" s="131">
        <f t="shared" si="146"/>
        <v>13</v>
      </c>
      <c r="T1255" s="7"/>
      <c r="U1255" s="7"/>
      <c r="V1255" s="7"/>
      <c r="W1255" s="7"/>
      <c r="X1255" s="132">
        <f t="shared" si="144"/>
        <v>10</v>
      </c>
      <c r="Y1255" s="133"/>
      <c r="Z1255" s="133"/>
      <c r="AA1255" s="133"/>
    </row>
    <row r="1256" spans="1:27" hidden="1" x14ac:dyDescent="0.25">
      <c r="A1256" s="127">
        <v>1394</v>
      </c>
      <c r="B1256" s="128" t="str">
        <f t="shared" si="145"/>
        <v>KSST</v>
      </c>
      <c r="C1256" s="128" t="str">
        <f>+VLOOKUP(U1256,Ходим!A:B,2,0)</f>
        <v>31810912190036</v>
      </c>
      <c r="D1256" s="128" t="str">
        <f>IFERROR(VLOOKUP($B:$B,[20]свод!$A:$AB,3,0)," ")</f>
        <v>Косонсой тумани</v>
      </c>
      <c r="E1256" s="7" t="s">
        <v>2396</v>
      </c>
      <c r="F1256" s="7" t="s">
        <v>8786</v>
      </c>
      <c r="G1256" s="134">
        <f t="shared" si="142"/>
        <v>1</v>
      </c>
      <c r="H1256" s="134" t="str">
        <f t="shared" si="143"/>
        <v/>
      </c>
      <c r="I1256" s="7" t="s">
        <v>156</v>
      </c>
      <c r="J1256" s="7" t="s">
        <v>25</v>
      </c>
      <c r="K1256" s="7"/>
      <c r="L1256" s="7"/>
      <c r="M1256" s="7"/>
      <c r="N1256" s="7" t="s">
        <v>170</v>
      </c>
      <c r="O1256" s="7" t="s">
        <v>162</v>
      </c>
      <c r="P1256" s="7" t="s">
        <v>6866</v>
      </c>
      <c r="Q1256" s="129">
        <v>46199</v>
      </c>
      <c r="R1256" s="130">
        <f t="shared" si="141"/>
        <v>46212</v>
      </c>
      <c r="S1256" s="131">
        <f t="shared" si="146"/>
        <v>13</v>
      </c>
      <c r="T1256" s="7" t="s">
        <v>180</v>
      </c>
      <c r="U1256" s="7" t="s">
        <v>196</v>
      </c>
      <c r="V1256" s="7"/>
      <c r="W1256" s="7"/>
      <c r="X1256" s="132">
        <f t="shared" si="144"/>
        <v>10</v>
      </c>
      <c r="Y1256" s="133"/>
      <c r="Z1256" s="133"/>
      <c r="AA1256" s="133"/>
    </row>
    <row r="1257" spans="1:27" hidden="1" x14ac:dyDescent="0.25">
      <c r="A1257" s="127">
        <v>1395</v>
      </c>
      <c r="B1257" s="128" t="str">
        <f t="shared" si="145"/>
        <v>NAMS</v>
      </c>
      <c r="C1257" s="128" t="str">
        <f>+VLOOKUP(U1257,Ходим!A:B,2,0)</f>
        <v>31309932190035</v>
      </c>
      <c r="D1257" s="128" t="str">
        <f>IFERROR(VLOOKUP($B:$B,[20]свод!$A:$AB,3,0)," ")</f>
        <v>Наманган шаҳар</v>
      </c>
      <c r="E1257" s="7" t="s">
        <v>2397</v>
      </c>
      <c r="F1257" s="7" t="s">
        <v>8787</v>
      </c>
      <c r="G1257" s="134">
        <f t="shared" si="142"/>
        <v>1</v>
      </c>
      <c r="H1257" s="134" t="str">
        <f t="shared" si="143"/>
        <v/>
      </c>
      <c r="I1257" s="7" t="s">
        <v>156</v>
      </c>
      <c r="J1257" s="7" t="s">
        <v>25</v>
      </c>
      <c r="K1257" s="7"/>
      <c r="L1257" s="7"/>
      <c r="M1257" s="7"/>
      <c r="N1257" s="7" t="s">
        <v>170</v>
      </c>
      <c r="O1257" s="7" t="s">
        <v>162</v>
      </c>
      <c r="P1257" s="7" t="s">
        <v>6822</v>
      </c>
      <c r="Q1257" s="129">
        <v>46199</v>
      </c>
      <c r="R1257" s="130">
        <f t="shared" si="141"/>
        <v>46212</v>
      </c>
      <c r="S1257" s="131">
        <f t="shared" si="146"/>
        <v>13</v>
      </c>
      <c r="T1257" s="7" t="s">
        <v>185</v>
      </c>
      <c r="U1257" s="7" t="s">
        <v>237</v>
      </c>
      <c r="V1257" s="7"/>
      <c r="W1257" s="7"/>
      <c r="X1257" s="132">
        <f t="shared" si="144"/>
        <v>10</v>
      </c>
      <c r="Y1257" s="133"/>
      <c r="Z1257" s="133"/>
      <c r="AA1257" s="133"/>
    </row>
    <row r="1258" spans="1:27" hidden="1" x14ac:dyDescent="0.25">
      <c r="A1258" s="127">
        <v>1396</v>
      </c>
      <c r="B1258" s="128" t="str">
        <f t="shared" si="145"/>
        <v>NORT</v>
      </c>
      <c r="C1258" s="128" t="str">
        <f>+VLOOKUP(U1258,Ходим!A:B,2,0)</f>
        <v>51810035900046</v>
      </c>
      <c r="D1258" s="128" t="str">
        <f>IFERROR(VLOOKUP($B:$B,[20]свод!$A:$AB,3,0)," ")</f>
        <v>Норин тумани</v>
      </c>
      <c r="E1258" s="7" t="s">
        <v>2398</v>
      </c>
      <c r="F1258" s="7" t="s">
        <v>8788</v>
      </c>
      <c r="G1258" s="134">
        <f t="shared" si="142"/>
        <v>1</v>
      </c>
      <c r="H1258" s="134" t="str">
        <f t="shared" si="143"/>
        <v/>
      </c>
      <c r="I1258" s="7" t="s">
        <v>156</v>
      </c>
      <c r="J1258" s="7" t="s">
        <v>22</v>
      </c>
      <c r="K1258" s="7"/>
      <c r="L1258" s="7" t="s">
        <v>167</v>
      </c>
      <c r="M1258" s="7" t="s">
        <v>5020</v>
      </c>
      <c r="N1258" s="7" t="s">
        <v>170</v>
      </c>
      <c r="O1258" s="7" t="s">
        <v>162</v>
      </c>
      <c r="P1258" s="7" t="s">
        <v>6523</v>
      </c>
      <c r="Q1258" s="129">
        <v>46199</v>
      </c>
      <c r="R1258" s="130">
        <f t="shared" si="141"/>
        <v>46211</v>
      </c>
      <c r="S1258" s="131">
        <f t="shared" si="146"/>
        <v>12</v>
      </c>
      <c r="T1258" s="7" t="s">
        <v>210</v>
      </c>
      <c r="U1258" s="7" t="s">
        <v>400</v>
      </c>
      <c r="V1258" s="7"/>
      <c r="W1258" s="7">
        <v>0</v>
      </c>
      <c r="X1258" s="132">
        <f t="shared" si="144"/>
        <v>10</v>
      </c>
      <c r="Y1258" s="133"/>
      <c r="Z1258" s="133"/>
      <c r="AA1258" s="133"/>
    </row>
    <row r="1259" spans="1:27" hidden="1" x14ac:dyDescent="0.25">
      <c r="A1259" s="127">
        <v>1397</v>
      </c>
      <c r="B1259" s="128" t="str">
        <f t="shared" si="145"/>
        <v>KSST</v>
      </c>
      <c r="C1259" s="128" t="str">
        <f>+VLOOKUP(U1259,Ходим!A:B,2,0)</f>
        <v>31407932190092</v>
      </c>
      <c r="D1259" s="128" t="str">
        <f>IFERROR(VLOOKUP($B:$B,[20]свод!$A:$AB,3,0)," ")</f>
        <v>Косонсой тумани</v>
      </c>
      <c r="E1259" s="7" t="s">
        <v>2399</v>
      </c>
      <c r="F1259" s="7" t="s">
        <v>8789</v>
      </c>
      <c r="G1259" s="134">
        <f t="shared" si="142"/>
        <v>1</v>
      </c>
      <c r="H1259" s="134" t="str">
        <f t="shared" si="143"/>
        <v/>
      </c>
      <c r="I1259" s="7" t="s">
        <v>156</v>
      </c>
      <c r="J1259" s="7" t="s">
        <v>25</v>
      </c>
      <c r="K1259" s="7"/>
      <c r="L1259" s="7"/>
      <c r="M1259" s="7"/>
      <c r="N1259" s="7" t="s">
        <v>170</v>
      </c>
      <c r="O1259" s="7" t="s">
        <v>162</v>
      </c>
      <c r="P1259" s="7" t="s">
        <v>6867</v>
      </c>
      <c r="Q1259" s="129">
        <v>46199</v>
      </c>
      <c r="R1259" s="130">
        <f t="shared" si="141"/>
        <v>46212</v>
      </c>
      <c r="S1259" s="131">
        <f t="shared" si="146"/>
        <v>13</v>
      </c>
      <c r="T1259" s="7" t="s">
        <v>180</v>
      </c>
      <c r="U1259" s="7" t="s">
        <v>188</v>
      </c>
      <c r="V1259" s="7"/>
      <c r="W1259" s="7"/>
      <c r="X1259" s="132">
        <f t="shared" si="144"/>
        <v>10</v>
      </c>
      <c r="Y1259" s="133"/>
      <c r="Z1259" s="133"/>
      <c r="AA1259" s="133"/>
    </row>
    <row r="1260" spans="1:27" hidden="1" x14ac:dyDescent="0.25">
      <c r="A1260" s="127">
        <v>1398</v>
      </c>
      <c r="B1260" s="128" t="str">
        <f t="shared" si="145"/>
        <v>NAMS</v>
      </c>
      <c r="C1260" s="128" t="str">
        <f>+VLOOKUP(U1260,Ходим!A:B,2,0)</f>
        <v>32207925880019</v>
      </c>
      <c r="D1260" s="128" t="str">
        <f>IFERROR(VLOOKUP($B:$B,[20]свод!$A:$AB,3,0)," ")</f>
        <v>Наманган шаҳар</v>
      </c>
      <c r="E1260" s="7" t="s">
        <v>2400</v>
      </c>
      <c r="F1260" s="7" t="s">
        <v>8790</v>
      </c>
      <c r="G1260" s="134">
        <f t="shared" si="142"/>
        <v>1</v>
      </c>
      <c r="H1260" s="134" t="str">
        <f t="shared" si="143"/>
        <v/>
      </c>
      <c r="I1260" s="7" t="s">
        <v>156</v>
      </c>
      <c r="J1260" s="7" t="s">
        <v>25</v>
      </c>
      <c r="K1260" s="7"/>
      <c r="L1260" s="7"/>
      <c r="M1260" s="7"/>
      <c r="N1260" s="7" t="s">
        <v>170</v>
      </c>
      <c r="O1260" s="7" t="s">
        <v>162</v>
      </c>
      <c r="P1260" s="7" t="s">
        <v>6867</v>
      </c>
      <c r="Q1260" s="129">
        <v>46199</v>
      </c>
      <c r="R1260" s="130">
        <f t="shared" si="141"/>
        <v>46212</v>
      </c>
      <c r="S1260" s="131">
        <f t="shared" si="146"/>
        <v>13</v>
      </c>
      <c r="T1260" s="7" t="s">
        <v>173</v>
      </c>
      <c r="U1260" s="7" t="s">
        <v>174</v>
      </c>
      <c r="V1260" s="7"/>
      <c r="W1260" s="7"/>
      <c r="X1260" s="132">
        <f t="shared" si="144"/>
        <v>10</v>
      </c>
      <c r="Y1260" s="133"/>
      <c r="Z1260" s="133"/>
      <c r="AA1260" s="133"/>
    </row>
    <row r="1261" spans="1:27" hidden="1" x14ac:dyDescent="0.25">
      <c r="A1261" s="127">
        <v>1399</v>
      </c>
      <c r="B1261" s="128" t="str">
        <f t="shared" si="145"/>
        <v>KSST</v>
      </c>
      <c r="C1261" s="128" t="str">
        <f>+VLOOKUP(U1261,Ходим!A:B,2,0)</f>
        <v>31611995980026</v>
      </c>
      <c r="D1261" s="128" t="str">
        <f>IFERROR(VLOOKUP($B:$B,[20]свод!$A:$AB,3,0)," ")</f>
        <v>Косонсой тумани</v>
      </c>
      <c r="E1261" s="7" t="s">
        <v>2401</v>
      </c>
      <c r="F1261" s="7" t="s">
        <v>8791</v>
      </c>
      <c r="G1261" s="134">
        <f t="shared" si="142"/>
        <v>1</v>
      </c>
      <c r="H1261" s="134" t="str">
        <f t="shared" si="143"/>
        <v/>
      </c>
      <c r="I1261" s="7" t="s">
        <v>158</v>
      </c>
      <c r="J1261" s="7" t="s">
        <v>2</v>
      </c>
      <c r="K1261" s="7"/>
      <c r="L1261" s="7" t="s">
        <v>167</v>
      </c>
      <c r="M1261" s="7" t="s">
        <v>5021</v>
      </c>
      <c r="N1261" s="7" t="s">
        <v>170</v>
      </c>
      <c r="O1261" s="7" t="s">
        <v>162</v>
      </c>
      <c r="P1261" s="7" t="s">
        <v>6867</v>
      </c>
      <c r="Q1261" s="129">
        <v>46199</v>
      </c>
      <c r="R1261" s="130">
        <f t="shared" si="141"/>
        <v>46212</v>
      </c>
      <c r="S1261" s="131">
        <f t="shared" si="146"/>
        <v>13</v>
      </c>
      <c r="T1261" s="7" t="s">
        <v>180</v>
      </c>
      <c r="U1261" s="7" t="s">
        <v>181</v>
      </c>
      <c r="V1261" s="7"/>
      <c r="W1261" s="7">
        <v>919.32</v>
      </c>
      <c r="X1261" s="132">
        <f t="shared" si="144"/>
        <v>10</v>
      </c>
      <c r="Y1261" s="133"/>
      <c r="Z1261" s="133"/>
      <c r="AA1261" s="133"/>
    </row>
    <row r="1262" spans="1:27" hidden="1" x14ac:dyDescent="0.25">
      <c r="A1262" s="127">
        <v>1400</v>
      </c>
      <c r="B1262" s="128" t="str">
        <f t="shared" si="145"/>
        <v>KSST</v>
      </c>
      <c r="C1262" s="128" t="str">
        <f>+VLOOKUP(U1262,Ходим!A:B,2,0)</f>
        <v>31611995980026</v>
      </c>
      <c r="D1262" s="128" t="str">
        <f>IFERROR(VLOOKUP($B:$B,[20]свод!$A:$AB,3,0)," ")</f>
        <v>Косонсой тумани</v>
      </c>
      <c r="E1262" s="7" t="s">
        <v>2402</v>
      </c>
      <c r="F1262" s="7" t="s">
        <v>8792</v>
      </c>
      <c r="G1262" s="134">
        <f t="shared" si="142"/>
        <v>1</v>
      </c>
      <c r="H1262" s="134" t="str">
        <f t="shared" si="143"/>
        <v/>
      </c>
      <c r="I1262" s="7" t="s">
        <v>158</v>
      </c>
      <c r="J1262" s="7" t="s">
        <v>13</v>
      </c>
      <c r="K1262" s="7"/>
      <c r="L1262" s="7" t="s">
        <v>167</v>
      </c>
      <c r="M1262" s="7" t="s">
        <v>5022</v>
      </c>
      <c r="N1262" s="7" t="s">
        <v>170</v>
      </c>
      <c r="O1262" s="7" t="s">
        <v>162</v>
      </c>
      <c r="P1262" s="7" t="s">
        <v>6607</v>
      </c>
      <c r="Q1262" s="129">
        <v>46199</v>
      </c>
      <c r="R1262" s="130">
        <f t="shared" si="141"/>
        <v>46205</v>
      </c>
      <c r="S1262" s="131">
        <f t="shared" si="146"/>
        <v>6</v>
      </c>
      <c r="T1262" s="7" t="s">
        <v>180</v>
      </c>
      <c r="U1262" s="7" t="s">
        <v>181</v>
      </c>
      <c r="V1262" s="7"/>
      <c r="W1262" s="7">
        <v>734.99</v>
      </c>
      <c r="X1262" s="132">
        <f t="shared" si="144"/>
        <v>10</v>
      </c>
      <c r="Y1262" s="133"/>
      <c r="Z1262" s="133"/>
      <c r="AA1262" s="133"/>
    </row>
    <row r="1263" spans="1:27" hidden="1" x14ac:dyDescent="0.25">
      <c r="A1263" s="127">
        <v>1401</v>
      </c>
      <c r="B1263" s="128" t="str">
        <f t="shared" si="145"/>
        <v>NAMS</v>
      </c>
      <c r="C1263" s="128" t="str">
        <f>+VLOOKUP(U1263,Ходим!A:B,2,0)</f>
        <v>31309932190035</v>
      </c>
      <c r="D1263" s="128" t="str">
        <f>IFERROR(VLOOKUP($B:$B,[20]свод!$A:$AB,3,0)," ")</f>
        <v>Наманган шаҳар</v>
      </c>
      <c r="E1263" s="7" t="s">
        <v>2403</v>
      </c>
      <c r="F1263" s="7" t="s">
        <v>8793</v>
      </c>
      <c r="G1263" s="134">
        <f t="shared" si="142"/>
        <v>1</v>
      </c>
      <c r="H1263" s="134" t="str">
        <f t="shared" si="143"/>
        <v/>
      </c>
      <c r="I1263" s="7" t="s">
        <v>158</v>
      </c>
      <c r="J1263" s="7" t="s">
        <v>2</v>
      </c>
      <c r="K1263" s="7"/>
      <c r="L1263" s="7"/>
      <c r="M1263" s="7"/>
      <c r="N1263" s="7" t="s">
        <v>170</v>
      </c>
      <c r="O1263" s="7" t="s">
        <v>162</v>
      </c>
      <c r="P1263" s="7" t="s">
        <v>6868</v>
      </c>
      <c r="Q1263" s="129">
        <v>46199</v>
      </c>
      <c r="R1263" s="130">
        <f t="shared" si="141"/>
        <v>46206</v>
      </c>
      <c r="S1263" s="131">
        <f t="shared" si="146"/>
        <v>7</v>
      </c>
      <c r="T1263" s="7" t="s">
        <v>173</v>
      </c>
      <c r="U1263" s="7" t="s">
        <v>237</v>
      </c>
      <c r="V1263" s="7"/>
      <c r="W1263" s="7"/>
      <c r="X1263" s="132">
        <f t="shared" si="144"/>
        <v>10</v>
      </c>
      <c r="Y1263" s="133"/>
      <c r="Z1263" s="133"/>
      <c r="AA1263" s="133"/>
    </row>
    <row r="1264" spans="1:27" hidden="1" x14ac:dyDescent="0.25">
      <c r="A1264" s="127">
        <v>1402</v>
      </c>
      <c r="B1264" s="128" t="str">
        <f t="shared" si="145"/>
        <v>CHUT</v>
      </c>
      <c r="C1264" s="128" t="str">
        <f>+VLOOKUP(U1264,Ходим!A:B,2,0)</f>
        <v>32003822180063</v>
      </c>
      <c r="D1264" s="128" t="str">
        <f>IFERROR(VLOOKUP($B:$B,[20]свод!$A:$AB,3,0)," ")</f>
        <v>Чуст тумани</v>
      </c>
      <c r="E1264" s="7" t="s">
        <v>2404</v>
      </c>
      <c r="F1264" s="7" t="s">
        <v>8794</v>
      </c>
      <c r="G1264" s="134" t="str">
        <f t="shared" si="142"/>
        <v/>
      </c>
      <c r="H1264" s="134">
        <f t="shared" si="143"/>
        <v>1</v>
      </c>
      <c r="I1264" s="7" t="s">
        <v>157</v>
      </c>
      <c r="J1264" s="7" t="s">
        <v>2</v>
      </c>
      <c r="K1264" s="7"/>
      <c r="L1264" s="7" t="s">
        <v>168</v>
      </c>
      <c r="M1264" s="7" t="s">
        <v>5023</v>
      </c>
      <c r="N1264" s="7" t="s">
        <v>410</v>
      </c>
      <c r="O1264" s="7" t="s">
        <v>161</v>
      </c>
      <c r="P1264" s="7" t="s">
        <v>6869</v>
      </c>
      <c r="Q1264" s="129">
        <v>46199</v>
      </c>
      <c r="R1264" s="130">
        <f t="shared" si="141"/>
        <v>46203</v>
      </c>
      <c r="S1264" s="131">
        <f t="shared" si="146"/>
        <v>4</v>
      </c>
      <c r="T1264" s="7" t="s">
        <v>178</v>
      </c>
      <c r="U1264" s="7" t="s">
        <v>200</v>
      </c>
      <c r="V1264" s="7"/>
      <c r="W1264" s="7">
        <v>0</v>
      </c>
      <c r="X1264" s="132">
        <f t="shared" si="144"/>
        <v>7</v>
      </c>
      <c r="Y1264" s="133"/>
      <c r="Z1264" s="133"/>
      <c r="AA1264" s="133"/>
    </row>
    <row r="1265" spans="1:27" hidden="1" x14ac:dyDescent="0.25">
      <c r="A1265" s="127">
        <v>1403</v>
      </c>
      <c r="B1265" s="128" t="str">
        <f t="shared" si="145"/>
        <v>KSST</v>
      </c>
      <c r="C1265" s="128" t="str">
        <f>+VLOOKUP(U1265,Ходим!A:B,2,0)</f>
        <v>31407932190092</v>
      </c>
      <c r="D1265" s="128" t="str">
        <f>IFERROR(VLOOKUP($B:$B,[20]свод!$A:$AB,3,0)," ")</f>
        <v>Косонсой тумани</v>
      </c>
      <c r="E1265" s="7" t="s">
        <v>2405</v>
      </c>
      <c r="F1265" s="7" t="s">
        <v>8795</v>
      </c>
      <c r="G1265" s="134" t="str">
        <f t="shared" si="142"/>
        <v/>
      </c>
      <c r="H1265" s="134">
        <f t="shared" si="143"/>
        <v>1</v>
      </c>
      <c r="I1265" s="7" t="s">
        <v>155</v>
      </c>
      <c r="J1265" s="7" t="s">
        <v>22</v>
      </c>
      <c r="K1265" s="7"/>
      <c r="L1265" s="7"/>
      <c r="M1265" s="7"/>
      <c r="N1265" s="7" t="s">
        <v>410</v>
      </c>
      <c r="O1265" s="7" t="s">
        <v>161</v>
      </c>
      <c r="P1265" s="7" t="s">
        <v>6870</v>
      </c>
      <c r="Q1265" s="129">
        <v>46199</v>
      </c>
      <c r="R1265" s="130">
        <f t="shared" si="141"/>
        <v>46206</v>
      </c>
      <c r="S1265" s="131">
        <f t="shared" si="146"/>
        <v>7</v>
      </c>
      <c r="T1265" s="7" t="s">
        <v>180</v>
      </c>
      <c r="U1265" s="7" t="s">
        <v>188</v>
      </c>
      <c r="V1265" s="7"/>
      <c r="W1265" s="7"/>
      <c r="X1265" s="132">
        <f t="shared" si="144"/>
        <v>10</v>
      </c>
      <c r="Y1265" s="133"/>
      <c r="Z1265" s="133"/>
      <c r="AA1265" s="133"/>
    </row>
    <row r="1266" spans="1:27" hidden="1" x14ac:dyDescent="0.25">
      <c r="A1266" s="127">
        <v>1404</v>
      </c>
      <c r="B1266" s="128" t="str">
        <f t="shared" si="145"/>
        <v>TORT</v>
      </c>
      <c r="C1266" s="128" t="str">
        <f>+VLOOKUP(U1266,Ходим!A:B,2,0)</f>
        <v>51305035920029</v>
      </c>
      <c r="D1266" s="128" t="str">
        <f>IFERROR(VLOOKUP($B:$B,[20]свод!$A:$AB,3,0)," ")</f>
        <v>Тўрақўрғон тумани</v>
      </c>
      <c r="E1266" s="7" t="s">
        <v>2406</v>
      </c>
      <c r="F1266" s="7" t="s">
        <v>8796</v>
      </c>
      <c r="G1266" s="134">
        <f t="shared" si="142"/>
        <v>1</v>
      </c>
      <c r="H1266" s="134" t="str">
        <f t="shared" si="143"/>
        <v/>
      </c>
      <c r="I1266" s="7" t="s">
        <v>158</v>
      </c>
      <c r="J1266" s="7" t="s">
        <v>2</v>
      </c>
      <c r="K1266" s="7"/>
      <c r="L1266" s="7" t="s">
        <v>167</v>
      </c>
      <c r="M1266" s="7" t="s">
        <v>5024</v>
      </c>
      <c r="N1266" s="7" t="s">
        <v>170</v>
      </c>
      <c r="O1266" s="7" t="s">
        <v>162</v>
      </c>
      <c r="P1266" s="7" t="s">
        <v>6735</v>
      </c>
      <c r="Q1266" s="129">
        <v>46199</v>
      </c>
      <c r="R1266" s="130">
        <f t="shared" si="141"/>
        <v>46212</v>
      </c>
      <c r="S1266" s="131">
        <f t="shared" si="146"/>
        <v>13</v>
      </c>
      <c r="T1266" s="7" t="s">
        <v>203</v>
      </c>
      <c r="U1266" s="7" t="s">
        <v>316</v>
      </c>
      <c r="V1266" s="7"/>
      <c r="W1266" s="7">
        <v>380.44</v>
      </c>
      <c r="X1266" s="132">
        <f t="shared" si="144"/>
        <v>10</v>
      </c>
      <c r="Y1266" s="133"/>
      <c r="Z1266" s="133"/>
      <c r="AA1266" s="133"/>
    </row>
    <row r="1267" spans="1:27" hidden="1" x14ac:dyDescent="0.25">
      <c r="A1267" s="127">
        <v>1406</v>
      </c>
      <c r="B1267" s="128" t="str">
        <f t="shared" ref="B1267:B1320" si="147">LEFT(E1267,4)</f>
        <v>UCQT</v>
      </c>
      <c r="C1267" s="128" t="str">
        <f>+VLOOKUP(U1267,Ходим!A:B,2,0)</f>
        <v>30307955940049</v>
      </c>
      <c r="D1267" s="128" t="str">
        <f>IFERROR(VLOOKUP($B:$B,[20]свод!$A:$AB,3,0)," ")</f>
        <v>Учқўрғон тумани</v>
      </c>
      <c r="E1267" s="7" t="s">
        <v>2407</v>
      </c>
      <c r="F1267" s="7" t="s">
        <v>8797</v>
      </c>
      <c r="G1267" s="134">
        <f t="shared" si="142"/>
        <v>1</v>
      </c>
      <c r="H1267" s="134" t="str">
        <f t="shared" si="143"/>
        <v/>
      </c>
      <c r="I1267" s="7" t="s">
        <v>158</v>
      </c>
      <c r="J1267" s="7" t="s">
        <v>172</v>
      </c>
      <c r="K1267" s="7"/>
      <c r="L1267" s="7" t="s">
        <v>167</v>
      </c>
      <c r="M1267" s="7" t="s">
        <v>5025</v>
      </c>
      <c r="N1267" s="7" t="s">
        <v>170</v>
      </c>
      <c r="O1267" s="7" t="s">
        <v>162</v>
      </c>
      <c r="P1267" s="7" t="s">
        <v>6870</v>
      </c>
      <c r="Q1267" s="129">
        <v>46199</v>
      </c>
      <c r="R1267" s="130">
        <f t="shared" si="141"/>
        <v>46206</v>
      </c>
      <c r="S1267" s="131">
        <f t="shared" ref="S1267:S1320" si="148">R1267-Q1267</f>
        <v>7</v>
      </c>
      <c r="T1267" s="7" t="s">
        <v>175</v>
      </c>
      <c r="U1267" s="7" t="s">
        <v>306</v>
      </c>
      <c r="V1267" s="7"/>
      <c r="W1267" s="7">
        <v>196.9</v>
      </c>
      <c r="X1267" s="132">
        <f t="shared" ref="X1267:X1319" si="149">IF(N1267="Kadastr muhandisi",3,
IF(N1267="UZKAD",5,
IF(V1267="FREE",5,
IF(I1267="Registratsiya (tashqi - UZKAD da bor)",1,
IF(I1267="Avtoyo'l va suv xo'jaligi obyektining kadastr pasportini shakllantirish va ro'yxatga olish",7,
IF(I1267="Notarius uchun ma'lumotnoma (uz)",1,
IF(I1267="Qurilishi tugallangan ko'chmas mulkni foydalanishga qabul qilish",10,
IF(OR(I1267="Turar joy obyektning kadastr pasportini shakllantirish va davlat ro'yxatidan o'tkazish",I1267="Turar kompozit"),
IF(L1267="Turar yer maydoni",7,10),
IF(OR(I1267="Noturar obyektning kadastr pasportini shakllantirish va davlat ro'yxatidan o'tkazish",I1267="Noturar kompozit"),
IF(O1267="Ko‘p yillik daraxtlar xizmati",15,
IF(OR(L1267="Noturar yer maydoni",L1267="Davlat tashkilotlaridan ijaraga olingan yer uchastkasi"),7,
IF(W1267&lt;100,10,IF(W1267&lt;=1000,12,IF(W1267&lt;=5000,17,IF(W1267&lt;=15000,22,IF(W1267&lt;=50000,28,37))))))),
IF(I1267="Umumiy foydalanishdagi ko'chmas mulk qismini yaratish",
IF(IF(TRIM(L1267)="",IF(OR(O1267="Turar joy xizmati",O1267="Yakka tartibdagi turar joy"),"Turar","Noturar"),IF(OR(L1267="Yakka tartibdagi turar joy",L1267="Turar joy xizmati"),"Turar","Noturar"))="Turar",
10,IF(W1267&lt;100,10,IF(W1267&lt;=1000,12,IF(W1267&lt;=5000,17,IF(W1267&lt;=15000,22,IF(W1267&lt;=50000,28,37)))))),
0))))))))))</f>
        <v>10</v>
      </c>
      <c r="Y1267" s="133"/>
      <c r="Z1267" s="133"/>
      <c r="AA1267" s="133"/>
    </row>
    <row r="1268" spans="1:27" hidden="1" x14ac:dyDescent="0.25">
      <c r="A1268" s="127">
        <v>1407</v>
      </c>
      <c r="B1268" s="128" t="str">
        <f t="shared" si="147"/>
        <v>NAMT</v>
      </c>
      <c r="C1268" s="128">
        <f>+VLOOKUP(U1268,Ходим!A:B,2,0)</f>
        <v>32712932090068</v>
      </c>
      <c r="D1268" s="128" t="str">
        <f>IFERROR(VLOOKUP($B:$B,[20]свод!$A:$AB,3,0)," ")</f>
        <v>Наманган тумани</v>
      </c>
      <c r="E1268" s="7" t="s">
        <v>2408</v>
      </c>
      <c r="F1268" s="7" t="s">
        <v>8798</v>
      </c>
      <c r="G1268" s="134">
        <f t="shared" si="142"/>
        <v>1</v>
      </c>
      <c r="H1268" s="134" t="str">
        <f t="shared" si="143"/>
        <v/>
      </c>
      <c r="I1268" s="7" t="s">
        <v>158</v>
      </c>
      <c r="J1268" s="7" t="s">
        <v>2</v>
      </c>
      <c r="K1268" s="7"/>
      <c r="L1268" s="7" t="s">
        <v>167</v>
      </c>
      <c r="M1268" s="7" t="s">
        <v>5026</v>
      </c>
      <c r="N1268" s="7" t="s">
        <v>170</v>
      </c>
      <c r="O1268" s="7" t="s">
        <v>162</v>
      </c>
      <c r="P1268" s="7" t="s">
        <v>6870</v>
      </c>
      <c r="Q1268" s="129">
        <v>46199</v>
      </c>
      <c r="R1268" s="130">
        <f t="shared" si="141"/>
        <v>46206</v>
      </c>
      <c r="S1268" s="131">
        <f t="shared" si="148"/>
        <v>7</v>
      </c>
      <c r="T1268" s="7" t="s">
        <v>193</v>
      </c>
      <c r="U1268" s="7" t="s">
        <v>1016</v>
      </c>
      <c r="V1268" s="7"/>
      <c r="W1268" s="7">
        <v>60.8</v>
      </c>
      <c r="X1268" s="132">
        <f t="shared" si="149"/>
        <v>10</v>
      </c>
      <c r="Y1268" s="133"/>
      <c r="Z1268" s="133"/>
      <c r="AA1268" s="133"/>
    </row>
    <row r="1269" spans="1:27" hidden="1" x14ac:dyDescent="0.25">
      <c r="A1269" s="127">
        <v>1408</v>
      </c>
      <c r="B1269" s="128" t="str">
        <f t="shared" si="147"/>
        <v>UCQT</v>
      </c>
      <c r="C1269" s="128" t="str">
        <f>+VLOOKUP(U1269,Ходим!A:B,2,0)</f>
        <v>32805962150027</v>
      </c>
      <c r="D1269" s="128" t="str">
        <f>IFERROR(VLOOKUP($B:$B,[20]свод!$A:$AB,3,0)," ")</f>
        <v>Учқўрғон тумани</v>
      </c>
      <c r="E1269" s="7" t="s">
        <v>2409</v>
      </c>
      <c r="F1269" s="7" t="s">
        <v>8799</v>
      </c>
      <c r="G1269" s="134">
        <f t="shared" si="142"/>
        <v>1</v>
      </c>
      <c r="H1269" s="134" t="str">
        <f t="shared" si="143"/>
        <v/>
      </c>
      <c r="I1269" s="7" t="s">
        <v>158</v>
      </c>
      <c r="J1269" s="7" t="s">
        <v>2</v>
      </c>
      <c r="K1269" s="7"/>
      <c r="L1269" s="7" t="s">
        <v>167</v>
      </c>
      <c r="M1269" s="7" t="s">
        <v>5027</v>
      </c>
      <c r="N1269" s="7" t="s">
        <v>170</v>
      </c>
      <c r="O1269" s="7" t="s">
        <v>162</v>
      </c>
      <c r="P1269" s="7" t="s">
        <v>6668</v>
      </c>
      <c r="Q1269" s="129">
        <v>46199</v>
      </c>
      <c r="R1269" s="130">
        <f t="shared" si="141"/>
        <v>46204</v>
      </c>
      <c r="S1269" s="131">
        <f t="shared" si="148"/>
        <v>5</v>
      </c>
      <c r="T1269" s="7" t="s">
        <v>175</v>
      </c>
      <c r="U1269" s="7" t="s">
        <v>369</v>
      </c>
      <c r="V1269" s="7"/>
      <c r="W1269" s="7">
        <v>0</v>
      </c>
      <c r="X1269" s="132">
        <f t="shared" si="149"/>
        <v>10</v>
      </c>
      <c r="Y1269" s="133"/>
      <c r="Z1269" s="133"/>
      <c r="AA1269" s="133"/>
    </row>
    <row r="1270" spans="1:27" hidden="1" x14ac:dyDescent="0.25">
      <c r="A1270" s="127">
        <v>1409</v>
      </c>
      <c r="B1270" s="128" t="str">
        <f t="shared" si="147"/>
        <v>UYCT</v>
      </c>
      <c r="C1270" s="128" t="str">
        <f>+VLOOKUP(U1270,Ходим!A:B,2,0)</f>
        <v>31310995930032</v>
      </c>
      <c r="D1270" s="128" t="str">
        <f>IFERROR(VLOOKUP($B:$B,[20]свод!$A:$AB,3,0)," ")</f>
        <v>Уйчи тумани</v>
      </c>
      <c r="E1270" s="7" t="s">
        <v>2410</v>
      </c>
      <c r="F1270" s="7" t="s">
        <v>8800</v>
      </c>
      <c r="G1270" s="134">
        <f t="shared" si="142"/>
        <v>1</v>
      </c>
      <c r="H1270" s="134" t="str">
        <f t="shared" si="143"/>
        <v/>
      </c>
      <c r="I1270" s="7" t="s">
        <v>158</v>
      </c>
      <c r="J1270" s="7" t="s">
        <v>2</v>
      </c>
      <c r="K1270" s="7"/>
      <c r="L1270" s="7" t="s">
        <v>167</v>
      </c>
      <c r="M1270" s="7" t="s">
        <v>5028</v>
      </c>
      <c r="N1270" s="7" t="s">
        <v>170</v>
      </c>
      <c r="O1270" s="7" t="s">
        <v>162</v>
      </c>
      <c r="P1270" s="7" t="s">
        <v>6871</v>
      </c>
      <c r="Q1270" s="129">
        <v>46199</v>
      </c>
      <c r="R1270" s="130">
        <f t="shared" ref="R1270:R1328" si="150">WORKDAY(P1270,X1270,$Y$1:$AA$1)</f>
        <v>46206</v>
      </c>
      <c r="S1270" s="131">
        <f t="shared" si="148"/>
        <v>7</v>
      </c>
      <c r="T1270" s="7" t="s">
        <v>947</v>
      </c>
      <c r="U1270" s="7" t="s">
        <v>399</v>
      </c>
      <c r="V1270" s="7"/>
      <c r="W1270" s="7">
        <v>329.6</v>
      </c>
      <c r="X1270" s="132">
        <f t="shared" si="149"/>
        <v>10</v>
      </c>
      <c r="Y1270" s="133"/>
      <c r="Z1270" s="133"/>
      <c r="AA1270" s="133"/>
    </row>
    <row r="1271" spans="1:27" hidden="1" x14ac:dyDescent="0.25">
      <c r="A1271" s="127">
        <v>1410</v>
      </c>
      <c r="B1271" s="128" t="str">
        <f t="shared" si="147"/>
        <v>UCQT</v>
      </c>
      <c r="C1271" s="128" t="str">
        <f>+VLOOKUP(U1271,Ходим!A:B,2,0)</f>
        <v>32911835940021</v>
      </c>
      <c r="D1271" s="128" t="str">
        <f>IFERROR(VLOOKUP($B:$B,[20]свод!$A:$AB,3,0)," ")</f>
        <v>Учқўрғон тумани</v>
      </c>
      <c r="E1271" s="7" t="s">
        <v>2411</v>
      </c>
      <c r="F1271" s="7" t="s">
        <v>8801</v>
      </c>
      <c r="G1271" s="134">
        <f t="shared" si="142"/>
        <v>1</v>
      </c>
      <c r="H1271" s="134" t="str">
        <f t="shared" si="143"/>
        <v/>
      </c>
      <c r="I1271" s="7" t="s">
        <v>158</v>
      </c>
      <c r="J1271" s="7" t="s">
        <v>2</v>
      </c>
      <c r="K1271" s="7"/>
      <c r="L1271" s="7" t="s">
        <v>167</v>
      </c>
      <c r="M1271" s="7" t="s">
        <v>5029</v>
      </c>
      <c r="N1271" s="7" t="s">
        <v>170</v>
      </c>
      <c r="O1271" s="7" t="s">
        <v>162</v>
      </c>
      <c r="P1271" s="7" t="s">
        <v>6871</v>
      </c>
      <c r="Q1271" s="129">
        <v>46199</v>
      </c>
      <c r="R1271" s="130">
        <f t="shared" si="150"/>
        <v>46206</v>
      </c>
      <c r="S1271" s="131">
        <f t="shared" si="148"/>
        <v>7</v>
      </c>
      <c r="T1271" s="7" t="s">
        <v>175</v>
      </c>
      <c r="U1271" s="7" t="s">
        <v>321</v>
      </c>
      <c r="V1271" s="7"/>
      <c r="W1271" s="7">
        <v>0</v>
      </c>
      <c r="X1271" s="132">
        <f t="shared" si="149"/>
        <v>10</v>
      </c>
      <c r="Y1271" s="133"/>
      <c r="Z1271" s="133"/>
      <c r="AA1271" s="133"/>
    </row>
    <row r="1272" spans="1:27" hidden="1" x14ac:dyDescent="0.25">
      <c r="A1272" s="127">
        <v>1411</v>
      </c>
      <c r="B1272" s="128" t="str">
        <f t="shared" si="147"/>
        <v>UYCT</v>
      </c>
      <c r="C1272" s="128" t="e">
        <f>+VLOOKUP(U1272,Ходим!A:B,2,0)</f>
        <v>#N/A</v>
      </c>
      <c r="D1272" s="128" t="str">
        <f>IFERROR(VLOOKUP($B:$B,[20]свод!$A:$AB,3,0)," ")</f>
        <v>Уйчи тумани</v>
      </c>
      <c r="E1272" s="7" t="s">
        <v>2412</v>
      </c>
      <c r="F1272" s="7" t="s">
        <v>8802</v>
      </c>
      <c r="G1272" s="134">
        <f t="shared" si="142"/>
        <v>1</v>
      </c>
      <c r="H1272" s="134" t="str">
        <f t="shared" si="143"/>
        <v/>
      </c>
      <c r="I1272" s="7" t="s">
        <v>156</v>
      </c>
      <c r="J1272" s="7" t="s">
        <v>11</v>
      </c>
      <c r="K1272" s="7"/>
      <c r="L1272" s="7" t="s">
        <v>167</v>
      </c>
      <c r="M1272" s="7" t="s">
        <v>5030</v>
      </c>
      <c r="N1272" s="7" t="s">
        <v>410</v>
      </c>
      <c r="O1272" s="7" t="s">
        <v>162</v>
      </c>
      <c r="P1272" s="7" t="s">
        <v>6872</v>
      </c>
      <c r="Q1272" s="129">
        <v>46199</v>
      </c>
      <c r="R1272" s="130">
        <f t="shared" si="150"/>
        <v>46212</v>
      </c>
      <c r="S1272" s="131">
        <f t="shared" si="148"/>
        <v>13</v>
      </c>
      <c r="T1272" s="7"/>
      <c r="U1272" s="7"/>
      <c r="V1272" s="7"/>
      <c r="W1272" s="7">
        <v>62.7</v>
      </c>
      <c r="X1272" s="132">
        <f t="shared" si="149"/>
        <v>10</v>
      </c>
      <c r="Y1272" s="133"/>
      <c r="Z1272" s="133"/>
      <c r="AA1272" s="133"/>
    </row>
    <row r="1273" spans="1:27" hidden="1" x14ac:dyDescent="0.25">
      <c r="A1273" s="127">
        <v>1412</v>
      </c>
      <c r="B1273" s="128" t="str">
        <f t="shared" si="147"/>
        <v>NAMS</v>
      </c>
      <c r="C1273" s="128" t="str">
        <f>+VLOOKUP(U1273,Ходим!A:B,2,0)</f>
        <v>52601025870013</v>
      </c>
      <c r="D1273" s="128" t="str">
        <f>IFERROR(VLOOKUP($B:$B,[20]свод!$A:$AB,3,0)," ")</f>
        <v>Наманган шаҳар</v>
      </c>
      <c r="E1273" s="7" t="s">
        <v>2413</v>
      </c>
      <c r="F1273" s="7" t="s">
        <v>8803</v>
      </c>
      <c r="G1273" s="134">
        <f t="shared" si="142"/>
        <v>1</v>
      </c>
      <c r="H1273" s="134" t="str">
        <f t="shared" si="143"/>
        <v/>
      </c>
      <c r="I1273" s="7" t="s">
        <v>156</v>
      </c>
      <c r="J1273" s="7" t="s">
        <v>25</v>
      </c>
      <c r="K1273" s="7"/>
      <c r="L1273" s="7" t="s">
        <v>167</v>
      </c>
      <c r="M1273" s="7" t="s">
        <v>5031</v>
      </c>
      <c r="N1273" s="7" t="s">
        <v>170</v>
      </c>
      <c r="O1273" s="7" t="s">
        <v>162</v>
      </c>
      <c r="P1273" s="7" t="s">
        <v>6872</v>
      </c>
      <c r="Q1273" s="129">
        <v>46199</v>
      </c>
      <c r="R1273" s="130">
        <f t="shared" si="150"/>
        <v>46212</v>
      </c>
      <c r="S1273" s="131">
        <f t="shared" si="148"/>
        <v>13</v>
      </c>
      <c r="T1273" s="7" t="s">
        <v>173</v>
      </c>
      <c r="U1273" s="7" t="s">
        <v>405</v>
      </c>
      <c r="V1273" s="7"/>
      <c r="W1273" s="7">
        <v>0</v>
      </c>
      <c r="X1273" s="132">
        <f t="shared" si="149"/>
        <v>10</v>
      </c>
      <c r="Y1273" s="133"/>
      <c r="Z1273" s="133"/>
      <c r="AA1273" s="133"/>
    </row>
    <row r="1274" spans="1:27" hidden="1" x14ac:dyDescent="0.25">
      <c r="A1274" s="127">
        <v>1413</v>
      </c>
      <c r="B1274" s="128" t="str">
        <f t="shared" si="147"/>
        <v>MINT</v>
      </c>
      <c r="C1274" s="128" t="e">
        <f>+VLOOKUP(U1274,Ходим!A:B,2,0)</f>
        <v>#N/A</v>
      </c>
      <c r="D1274" s="128" t="str">
        <f>IFERROR(VLOOKUP($B:$B,[20]свод!$A:$AB,3,0)," ")</f>
        <v>Мингбулоқ тумани</v>
      </c>
      <c r="E1274" s="7" t="s">
        <v>2414</v>
      </c>
      <c r="F1274" s="7" t="s">
        <v>8804</v>
      </c>
      <c r="G1274" s="134">
        <f t="shared" ref="G1274:G1332" si="151">IF(OR(
I1274="Turar joy obyektning kadastr pasportini shakllantirish va davlat ro'yxatidan o'tkazish",
I1274="Turar kompozit"
),
1,
IF(OR(
I1274="Noturar kompozit",
I1274="Avtoyo'l va suv xo'jaligi obyektining kadastr pasportini shakllantirish va ro'yxatga olish",
I1274="Noturar obyektning kadastr pasportining kadastr pasportini shakllantirish va davlat ro'yxatidan o'tkazish"
),
"",
IF(OR(
I1274="Notarius uchun ma'lumotnoma (uz)",
I1274="Qurilishi tugallangan ko'chmas mulkni foydalanishga qabul qilish",
I1274="Umumiy foydalanishdagi ko'chmas mulk qismini yaratish",
I1274="Registratsiya (tashqi - UZKAD da bor)"
),
IF(OR(L1274="Turar yer maydoni",L1274="Yakka tartibdagi turar joy"),1,
IF(L1274="Noturar bino","",
IF(L1274="Noturar yer maydoni","",
IF(L1274="",IF(OR(O1274="Turar joy xizmati",O1274="Foydalanishga ruxsatnoma berish xizmati"),1,""),"")
))),
"")))</f>
        <v>1</v>
      </c>
      <c r="H1274" s="134" t="str">
        <f t="shared" ref="H1274:H1332" si="152">IF(OR(
I1274="Turar joy obyektning kadastr pasportini shakllantirish va davlat ro'yxatidan o'tkazish",
I1274="Turar kompozit"
),
"",
IF(OR(
I1274="Noturar kompozit",
I1274="Avtoyo'l va suv xo'jaligi obyektining kadastr pasportini shakllantirish va ro'yxatga olish",
I1274="Noturar obyektning kadastr pasportini shakllantirish va davlat ro'yxatidan o'tkazish"
),
1,
IF(OR(
I1274="Notarius uchun ma'lumotnoma (uz)",
I1274="Qurilishi tugallangan ko'chmas mulkni foydalanishga qabul qilish",
I1274="Umumiy foydalanishdagi ko'chmas mulk qismini yaratish",
I1274="Registratsiya (tashqi - UZKAD da bor)"
),
IF(OR(L1274="Turar yer maydoni",L1274="Yakka tartibdagi turar joy"),"",
IF(L1274="Noturar bino",1,
IF(L1274="Noturar yer maydoni",1,
IF(L1274="",IF(OR(O1274="Turar joy xizmati",O1274="Foydalanishga ruxsatnoma berish xizmati"),"",1),"")
))),
"")))</f>
        <v/>
      </c>
      <c r="I1274" s="7" t="s">
        <v>159</v>
      </c>
      <c r="J1274" s="7" t="s">
        <v>137</v>
      </c>
      <c r="K1274" s="7"/>
      <c r="L1274" s="7" t="s">
        <v>167</v>
      </c>
      <c r="M1274" s="7" t="s">
        <v>5032</v>
      </c>
      <c r="N1274" s="7" t="s">
        <v>410</v>
      </c>
      <c r="O1274" s="7" t="s">
        <v>163</v>
      </c>
      <c r="P1274" s="7" t="s">
        <v>6872</v>
      </c>
      <c r="Q1274" s="129">
        <v>46199</v>
      </c>
      <c r="R1274" s="130">
        <f t="shared" si="150"/>
        <v>46212</v>
      </c>
      <c r="S1274" s="131">
        <f t="shared" si="148"/>
        <v>13</v>
      </c>
      <c r="T1274" s="7"/>
      <c r="U1274" s="7"/>
      <c r="V1274" s="7"/>
      <c r="W1274" s="7">
        <v>397.28</v>
      </c>
      <c r="X1274" s="132">
        <f t="shared" si="149"/>
        <v>10</v>
      </c>
      <c r="Y1274" s="133"/>
      <c r="Z1274" s="133"/>
      <c r="AA1274" s="133"/>
    </row>
    <row r="1275" spans="1:27" hidden="1" x14ac:dyDescent="0.25">
      <c r="A1275" s="127">
        <v>1414</v>
      </c>
      <c r="B1275" s="128" t="str">
        <f t="shared" si="147"/>
        <v>TORT</v>
      </c>
      <c r="C1275" s="128" t="str">
        <f>+VLOOKUP(U1275,Ходим!A:B,2,0)</f>
        <v>31110892130070</v>
      </c>
      <c r="D1275" s="128" t="str">
        <f>IFERROR(VLOOKUP($B:$B,[20]свод!$A:$AB,3,0)," ")</f>
        <v>Тўрақўрғон тумани</v>
      </c>
      <c r="E1275" s="7" t="s">
        <v>2415</v>
      </c>
      <c r="F1275" s="7" t="s">
        <v>8805</v>
      </c>
      <c r="G1275" s="134">
        <f t="shared" si="151"/>
        <v>1</v>
      </c>
      <c r="H1275" s="134" t="str">
        <f t="shared" si="152"/>
        <v/>
      </c>
      <c r="I1275" s="7" t="s">
        <v>158</v>
      </c>
      <c r="J1275" s="7" t="s">
        <v>85</v>
      </c>
      <c r="K1275" s="7"/>
      <c r="L1275" s="7" t="s">
        <v>167</v>
      </c>
      <c r="M1275" s="7" t="s">
        <v>5033</v>
      </c>
      <c r="N1275" s="7" t="s">
        <v>170</v>
      </c>
      <c r="O1275" s="7" t="s">
        <v>162</v>
      </c>
      <c r="P1275" s="7" t="s">
        <v>6873</v>
      </c>
      <c r="Q1275" s="129">
        <v>46199</v>
      </c>
      <c r="R1275" s="130">
        <f t="shared" si="150"/>
        <v>46205</v>
      </c>
      <c r="S1275" s="131">
        <f t="shared" si="148"/>
        <v>6</v>
      </c>
      <c r="T1275" s="7" t="s">
        <v>203</v>
      </c>
      <c r="U1275" s="7" t="s">
        <v>297</v>
      </c>
      <c r="V1275" s="7"/>
      <c r="W1275" s="7">
        <v>211.9</v>
      </c>
      <c r="X1275" s="132">
        <f t="shared" si="149"/>
        <v>10</v>
      </c>
      <c r="Y1275" s="133"/>
      <c r="Z1275" s="133"/>
      <c r="AA1275" s="133"/>
    </row>
    <row r="1276" spans="1:27" x14ac:dyDescent="0.25">
      <c r="A1276" s="127">
        <v>1416</v>
      </c>
      <c r="B1276" s="128" t="str">
        <f t="shared" si="147"/>
        <v>NAMS</v>
      </c>
      <c r="C1276" s="128" t="str">
        <f>+VLOOKUP(U1276,Ходим!A:B,2,0)</f>
        <v>31608732170178</v>
      </c>
      <c r="D1276" s="128" t="str">
        <f>IFERROR(VLOOKUP($B:$B,[20]свод!$A:$AB,3,0)," ")</f>
        <v>Наманган шаҳар</v>
      </c>
      <c r="E1276" s="7" t="s">
        <v>976</v>
      </c>
      <c r="F1276" s="7" t="s">
        <v>980</v>
      </c>
      <c r="G1276" s="134">
        <f t="shared" si="151"/>
        <v>1</v>
      </c>
      <c r="H1276" s="134" t="str">
        <f t="shared" si="152"/>
        <v/>
      </c>
      <c r="I1276" s="7" t="s">
        <v>158</v>
      </c>
      <c r="J1276" s="7" t="s">
        <v>51</v>
      </c>
      <c r="K1276" s="7"/>
      <c r="L1276" s="7" t="s">
        <v>167</v>
      </c>
      <c r="M1276" s="7" t="s">
        <v>995</v>
      </c>
      <c r="N1276" s="7" t="s">
        <v>170</v>
      </c>
      <c r="O1276" s="7" t="s">
        <v>162</v>
      </c>
      <c r="P1276" s="7" t="s">
        <v>981</v>
      </c>
      <c r="Q1276" s="129">
        <v>46199</v>
      </c>
      <c r="R1276" s="130">
        <f t="shared" si="150"/>
        <v>46157</v>
      </c>
      <c r="S1276" s="131">
        <f t="shared" si="148"/>
        <v>-42</v>
      </c>
      <c r="T1276" s="7" t="s">
        <v>185</v>
      </c>
      <c r="U1276" s="7" t="s">
        <v>267</v>
      </c>
      <c r="V1276" s="7" t="s">
        <v>965</v>
      </c>
      <c r="W1276" s="7">
        <v>182.12</v>
      </c>
      <c r="X1276" s="132">
        <f t="shared" si="149"/>
        <v>5</v>
      </c>
      <c r="Y1276" s="133"/>
      <c r="Z1276" s="133"/>
      <c r="AA1276" s="133"/>
    </row>
    <row r="1277" spans="1:27" x14ac:dyDescent="0.25">
      <c r="A1277" s="127">
        <v>1417</v>
      </c>
      <c r="B1277" s="128" t="str">
        <f t="shared" si="147"/>
        <v>NAMS</v>
      </c>
      <c r="C1277" s="128" t="str">
        <f>+VLOOKUP(U1277,Ходим!A:B,2,0)</f>
        <v>30507995950053</v>
      </c>
      <c r="D1277" s="128" t="str">
        <f>IFERROR(VLOOKUP($B:$B,[20]свод!$A:$AB,3,0)," ")</f>
        <v>Наманган шаҳар</v>
      </c>
      <c r="E1277" s="7" t="s">
        <v>392</v>
      </c>
      <c r="F1277" s="7" t="s">
        <v>394</v>
      </c>
      <c r="G1277" s="134">
        <f t="shared" si="151"/>
        <v>1</v>
      </c>
      <c r="H1277" s="134" t="str">
        <f t="shared" si="152"/>
        <v/>
      </c>
      <c r="I1277" s="7" t="s">
        <v>158</v>
      </c>
      <c r="J1277" s="7" t="s">
        <v>51</v>
      </c>
      <c r="K1277" s="7" t="s">
        <v>396</v>
      </c>
      <c r="L1277" s="7" t="s">
        <v>167</v>
      </c>
      <c r="M1277" s="7" t="s">
        <v>393</v>
      </c>
      <c r="N1277" s="7" t="s">
        <v>170</v>
      </c>
      <c r="O1277" s="7" t="s">
        <v>162</v>
      </c>
      <c r="P1277" s="7" t="s">
        <v>395</v>
      </c>
      <c r="Q1277" s="129">
        <v>46199</v>
      </c>
      <c r="R1277" s="130">
        <f t="shared" si="150"/>
        <v>46111</v>
      </c>
      <c r="S1277" s="131">
        <f t="shared" si="148"/>
        <v>-88</v>
      </c>
      <c r="T1277" s="7" t="s">
        <v>234</v>
      </c>
      <c r="U1277" s="7" t="s">
        <v>195</v>
      </c>
      <c r="V1277" s="7" t="s">
        <v>359</v>
      </c>
      <c r="W1277" s="7">
        <v>232.35</v>
      </c>
      <c r="X1277" s="132">
        <f t="shared" si="149"/>
        <v>10</v>
      </c>
      <c r="Y1277" s="133"/>
      <c r="Z1277" s="133"/>
      <c r="AA1277" s="133"/>
    </row>
    <row r="1278" spans="1:27" hidden="1" x14ac:dyDescent="0.25">
      <c r="A1278" s="127">
        <v>1418</v>
      </c>
      <c r="B1278" s="128" t="str">
        <f t="shared" si="147"/>
        <v>UCQT</v>
      </c>
      <c r="C1278" s="128" t="e">
        <f>+VLOOKUP(U1278,Ходим!A:B,2,0)</f>
        <v>#N/A</v>
      </c>
      <c r="D1278" s="128" t="str">
        <f>IFERROR(VLOOKUP($B:$B,[20]свод!$A:$AB,3,0)," ")</f>
        <v>Учқўрғон тумани</v>
      </c>
      <c r="E1278" s="7" t="s">
        <v>2416</v>
      </c>
      <c r="F1278" s="7" t="s">
        <v>8806</v>
      </c>
      <c r="G1278" s="134">
        <f t="shared" si="151"/>
        <v>1</v>
      </c>
      <c r="H1278" s="134" t="str">
        <f t="shared" si="152"/>
        <v/>
      </c>
      <c r="I1278" s="7" t="s">
        <v>156</v>
      </c>
      <c r="J1278" s="7" t="s">
        <v>11</v>
      </c>
      <c r="K1278" s="7"/>
      <c r="L1278" s="7" t="s">
        <v>167</v>
      </c>
      <c r="M1278" s="7" t="s">
        <v>5034</v>
      </c>
      <c r="N1278" s="7" t="s">
        <v>170</v>
      </c>
      <c r="O1278" s="7" t="s">
        <v>162</v>
      </c>
      <c r="P1278" s="7" t="s">
        <v>6874</v>
      </c>
      <c r="Q1278" s="129">
        <v>46199</v>
      </c>
      <c r="R1278" s="130">
        <f t="shared" si="150"/>
        <v>46212</v>
      </c>
      <c r="S1278" s="131">
        <f t="shared" si="148"/>
        <v>13</v>
      </c>
      <c r="T1278" s="7"/>
      <c r="U1278" s="7"/>
      <c r="V1278" s="7"/>
      <c r="W1278" s="7">
        <v>144.21</v>
      </c>
      <c r="X1278" s="132">
        <f t="shared" si="149"/>
        <v>10</v>
      </c>
      <c r="Y1278" s="133"/>
      <c r="Z1278" s="133"/>
      <c r="AA1278" s="133"/>
    </row>
    <row r="1279" spans="1:27" hidden="1" x14ac:dyDescent="0.25">
      <c r="A1279" s="127">
        <v>1419</v>
      </c>
      <c r="B1279" s="128" t="str">
        <f t="shared" si="147"/>
        <v>KSST</v>
      </c>
      <c r="C1279" s="128" t="str">
        <f>+VLOOKUP(U1279,Ходим!A:B,2,0)</f>
        <v>31611995980026</v>
      </c>
      <c r="D1279" s="128" t="str">
        <f>IFERROR(VLOOKUP($B:$B,[20]свод!$A:$AB,3,0)," ")</f>
        <v>Косонсой тумани</v>
      </c>
      <c r="E1279" s="7" t="s">
        <v>2417</v>
      </c>
      <c r="F1279" s="7" t="s">
        <v>8807</v>
      </c>
      <c r="G1279" s="134">
        <f t="shared" si="151"/>
        <v>1</v>
      </c>
      <c r="H1279" s="134" t="str">
        <f t="shared" si="152"/>
        <v/>
      </c>
      <c r="I1279" s="7" t="s">
        <v>158</v>
      </c>
      <c r="J1279" s="7" t="s">
        <v>2</v>
      </c>
      <c r="K1279" s="7"/>
      <c r="L1279" s="7"/>
      <c r="M1279" s="7"/>
      <c r="N1279" s="7" t="s">
        <v>410</v>
      </c>
      <c r="O1279" s="7" t="s">
        <v>162</v>
      </c>
      <c r="P1279" s="7" t="s">
        <v>6874</v>
      </c>
      <c r="Q1279" s="129">
        <v>46199</v>
      </c>
      <c r="R1279" s="130">
        <f t="shared" si="150"/>
        <v>46212</v>
      </c>
      <c r="S1279" s="131">
        <f t="shared" si="148"/>
        <v>13</v>
      </c>
      <c r="T1279" s="7" t="s">
        <v>180</v>
      </c>
      <c r="U1279" s="7" t="s">
        <v>181</v>
      </c>
      <c r="V1279" s="7"/>
      <c r="W1279" s="7"/>
      <c r="X1279" s="132">
        <f t="shared" si="149"/>
        <v>10</v>
      </c>
      <c r="Y1279" s="133"/>
      <c r="Z1279" s="133"/>
      <c r="AA1279" s="133"/>
    </row>
    <row r="1280" spans="1:27" hidden="1" x14ac:dyDescent="0.25">
      <c r="A1280" s="127">
        <v>1420</v>
      </c>
      <c r="B1280" s="128" t="str">
        <f t="shared" si="147"/>
        <v>CHUT</v>
      </c>
      <c r="C1280" s="128" t="str">
        <f>+VLOOKUP(U1280,Ходим!A:B,2,0)</f>
        <v>33112995970023</v>
      </c>
      <c r="D1280" s="128" t="str">
        <f>IFERROR(VLOOKUP($B:$B,[20]свод!$A:$AB,3,0)," ")</f>
        <v>Чуст тумани</v>
      </c>
      <c r="E1280" s="7" t="s">
        <v>2418</v>
      </c>
      <c r="F1280" s="7" t="s">
        <v>8808</v>
      </c>
      <c r="G1280" s="134">
        <f t="shared" si="151"/>
        <v>1</v>
      </c>
      <c r="H1280" s="134" t="str">
        <f t="shared" si="152"/>
        <v/>
      </c>
      <c r="I1280" s="7" t="s">
        <v>156</v>
      </c>
      <c r="J1280" s="7" t="s">
        <v>25</v>
      </c>
      <c r="K1280" s="7"/>
      <c r="L1280" s="7"/>
      <c r="M1280" s="7"/>
      <c r="N1280" s="7" t="s">
        <v>170</v>
      </c>
      <c r="O1280" s="7" t="s">
        <v>162</v>
      </c>
      <c r="P1280" s="7" t="s">
        <v>6875</v>
      </c>
      <c r="Q1280" s="129">
        <v>46199</v>
      </c>
      <c r="R1280" s="130">
        <f t="shared" si="150"/>
        <v>46206</v>
      </c>
      <c r="S1280" s="131">
        <f t="shared" si="148"/>
        <v>7</v>
      </c>
      <c r="T1280" s="7" t="s">
        <v>178</v>
      </c>
      <c r="U1280" s="7" t="s">
        <v>179</v>
      </c>
      <c r="V1280" s="7"/>
      <c r="W1280" s="7"/>
      <c r="X1280" s="132">
        <f t="shared" si="149"/>
        <v>10</v>
      </c>
      <c r="Y1280" s="133"/>
      <c r="Z1280" s="133"/>
      <c r="AA1280" s="133"/>
    </row>
    <row r="1281" spans="1:27" hidden="1" x14ac:dyDescent="0.25">
      <c r="A1281" s="127">
        <v>1421</v>
      </c>
      <c r="B1281" s="128" t="str">
        <f t="shared" si="147"/>
        <v>NAMS</v>
      </c>
      <c r="C1281" s="128" t="str">
        <f>+VLOOKUP(U1281,Ходим!A:B,2,0)</f>
        <v>52503015960039</v>
      </c>
      <c r="D1281" s="128" t="str">
        <f>IFERROR(VLOOKUP($B:$B,[20]свод!$A:$AB,3,0)," ")</f>
        <v>Наманган шаҳар</v>
      </c>
      <c r="E1281" s="7" t="s">
        <v>2419</v>
      </c>
      <c r="F1281" s="7" t="s">
        <v>8809</v>
      </c>
      <c r="G1281" s="134">
        <f t="shared" si="151"/>
        <v>1</v>
      </c>
      <c r="H1281" s="134" t="str">
        <f t="shared" si="152"/>
        <v/>
      </c>
      <c r="I1281" s="7" t="s">
        <v>158</v>
      </c>
      <c r="J1281" s="7" t="s">
        <v>2</v>
      </c>
      <c r="K1281" s="7"/>
      <c r="L1281" s="7" t="s">
        <v>167</v>
      </c>
      <c r="M1281" s="7" t="s">
        <v>5035</v>
      </c>
      <c r="N1281" s="7" t="s">
        <v>410</v>
      </c>
      <c r="O1281" s="7" t="s">
        <v>162</v>
      </c>
      <c r="P1281" s="7" t="s">
        <v>6875</v>
      </c>
      <c r="Q1281" s="129">
        <v>46199</v>
      </c>
      <c r="R1281" s="130">
        <f t="shared" si="150"/>
        <v>46206</v>
      </c>
      <c r="S1281" s="131">
        <f t="shared" si="148"/>
        <v>7</v>
      </c>
      <c r="T1281" s="7" t="s">
        <v>173</v>
      </c>
      <c r="U1281" s="7" t="s">
        <v>246</v>
      </c>
      <c r="V1281" s="7"/>
      <c r="W1281" s="7">
        <v>0</v>
      </c>
      <c r="X1281" s="132">
        <f t="shared" si="149"/>
        <v>10</v>
      </c>
      <c r="Y1281" s="133"/>
      <c r="Z1281" s="133"/>
      <c r="AA1281" s="133"/>
    </row>
    <row r="1282" spans="1:27" hidden="1" x14ac:dyDescent="0.25">
      <c r="A1282" s="127">
        <v>1422</v>
      </c>
      <c r="B1282" s="128" t="str">
        <f t="shared" si="147"/>
        <v>NAMS</v>
      </c>
      <c r="C1282" s="128" t="str">
        <f>+VLOOKUP(U1282,Ходим!A:B,2,0)</f>
        <v>50308015960081</v>
      </c>
      <c r="D1282" s="128" t="str">
        <f>IFERROR(VLOOKUP($B:$B,[20]свод!$A:$AB,3,0)," ")</f>
        <v>Наманган шаҳар</v>
      </c>
      <c r="E1282" s="7" t="s">
        <v>2420</v>
      </c>
      <c r="F1282" s="7" t="s">
        <v>8810</v>
      </c>
      <c r="G1282" s="134">
        <f t="shared" si="151"/>
        <v>1</v>
      </c>
      <c r="H1282" s="134" t="str">
        <f t="shared" si="152"/>
        <v/>
      </c>
      <c r="I1282" s="7" t="s">
        <v>158</v>
      </c>
      <c r="J1282" s="7" t="s">
        <v>2</v>
      </c>
      <c r="K1282" s="7"/>
      <c r="L1282" s="7" t="s">
        <v>167</v>
      </c>
      <c r="M1282" s="7" t="s">
        <v>5036</v>
      </c>
      <c r="N1282" s="7" t="s">
        <v>170</v>
      </c>
      <c r="O1282" s="7" t="s">
        <v>162</v>
      </c>
      <c r="P1282" s="7" t="s">
        <v>6876</v>
      </c>
      <c r="Q1282" s="129">
        <v>46199</v>
      </c>
      <c r="R1282" s="130">
        <f t="shared" si="150"/>
        <v>46204</v>
      </c>
      <c r="S1282" s="131">
        <f t="shared" si="148"/>
        <v>5</v>
      </c>
      <c r="T1282" s="7" t="s">
        <v>173</v>
      </c>
      <c r="U1282" s="7" t="s">
        <v>375</v>
      </c>
      <c r="V1282" s="7"/>
      <c r="W1282" s="7">
        <v>216.91</v>
      </c>
      <c r="X1282" s="132">
        <f t="shared" si="149"/>
        <v>10</v>
      </c>
      <c r="Y1282" s="133"/>
      <c r="Z1282" s="133"/>
      <c r="AA1282" s="133"/>
    </row>
    <row r="1283" spans="1:27" hidden="1" x14ac:dyDescent="0.25">
      <c r="A1283" s="127">
        <v>1423</v>
      </c>
      <c r="B1283" s="128" t="str">
        <f t="shared" si="147"/>
        <v>NAMS</v>
      </c>
      <c r="C1283" s="128" t="str">
        <f>+VLOOKUP(U1283,Ходим!A:B,2,0)</f>
        <v>31007955980023</v>
      </c>
      <c r="D1283" s="128" t="str">
        <f>IFERROR(VLOOKUP($B:$B,[20]свод!$A:$AB,3,0)," ")</f>
        <v>Наманган шаҳар</v>
      </c>
      <c r="E1283" s="7" t="s">
        <v>2421</v>
      </c>
      <c r="F1283" s="7" t="s">
        <v>8811</v>
      </c>
      <c r="G1283" s="134">
        <f t="shared" si="151"/>
        <v>1</v>
      </c>
      <c r="H1283" s="134" t="str">
        <f t="shared" si="152"/>
        <v/>
      </c>
      <c r="I1283" s="7" t="s">
        <v>156</v>
      </c>
      <c r="J1283" s="7" t="s">
        <v>25</v>
      </c>
      <c r="K1283" s="7"/>
      <c r="L1283" s="7" t="s">
        <v>167</v>
      </c>
      <c r="M1283" s="7" t="s">
        <v>5037</v>
      </c>
      <c r="N1283" s="7" t="s">
        <v>170</v>
      </c>
      <c r="O1283" s="7" t="s">
        <v>162</v>
      </c>
      <c r="P1283" s="7" t="s">
        <v>6877</v>
      </c>
      <c r="Q1283" s="129">
        <v>46199</v>
      </c>
      <c r="R1283" s="130">
        <f t="shared" si="150"/>
        <v>46212</v>
      </c>
      <c r="S1283" s="131">
        <f t="shared" si="148"/>
        <v>13</v>
      </c>
      <c r="T1283" s="7" t="s">
        <v>173</v>
      </c>
      <c r="U1283" s="7" t="s">
        <v>207</v>
      </c>
      <c r="V1283" s="7"/>
      <c r="W1283" s="7">
        <v>109.58</v>
      </c>
      <c r="X1283" s="132">
        <f t="shared" si="149"/>
        <v>10</v>
      </c>
      <c r="Y1283" s="133"/>
      <c r="Z1283" s="133"/>
      <c r="AA1283" s="133"/>
    </row>
    <row r="1284" spans="1:27" hidden="1" x14ac:dyDescent="0.25">
      <c r="A1284" s="127">
        <v>1424</v>
      </c>
      <c r="B1284" s="128" t="str">
        <f t="shared" si="147"/>
        <v>NAMS</v>
      </c>
      <c r="C1284" s="128" t="str">
        <f>+VLOOKUP(U1284,Ходим!A:B,2,0)</f>
        <v>41006772170195</v>
      </c>
      <c r="D1284" s="128" t="str">
        <f>IFERROR(VLOOKUP($B:$B,[20]свод!$A:$AB,3,0)," ")</f>
        <v>Наманган шаҳар</v>
      </c>
      <c r="E1284" s="7" t="s">
        <v>2422</v>
      </c>
      <c r="F1284" s="7" t="s">
        <v>8812</v>
      </c>
      <c r="G1284" s="134" t="str">
        <f t="shared" si="151"/>
        <v/>
      </c>
      <c r="H1284" s="134">
        <f t="shared" si="152"/>
        <v>1</v>
      </c>
      <c r="I1284" s="7" t="s">
        <v>155</v>
      </c>
      <c r="J1284" s="7" t="s">
        <v>25</v>
      </c>
      <c r="K1284" s="7"/>
      <c r="L1284" s="7" t="s">
        <v>166</v>
      </c>
      <c r="M1284" s="7" t="s">
        <v>5038</v>
      </c>
      <c r="N1284" s="7" t="s">
        <v>170</v>
      </c>
      <c r="O1284" s="7" t="s">
        <v>161</v>
      </c>
      <c r="P1284" s="7" t="s">
        <v>6877</v>
      </c>
      <c r="Q1284" s="129">
        <v>46199</v>
      </c>
      <c r="R1284" s="130">
        <f t="shared" si="150"/>
        <v>46238</v>
      </c>
      <c r="S1284" s="131">
        <f t="shared" si="148"/>
        <v>39</v>
      </c>
      <c r="T1284" s="7" t="s">
        <v>227</v>
      </c>
      <c r="U1284" s="7" t="s">
        <v>338</v>
      </c>
      <c r="V1284" s="7"/>
      <c r="W1284" s="7">
        <v>37813.980000000003</v>
      </c>
      <c r="X1284" s="132">
        <f t="shared" si="149"/>
        <v>28</v>
      </c>
      <c r="Y1284" s="133"/>
      <c r="Z1284" s="133"/>
      <c r="AA1284" s="133"/>
    </row>
    <row r="1285" spans="1:27" hidden="1" x14ac:dyDescent="0.25">
      <c r="A1285" s="127">
        <v>1425</v>
      </c>
      <c r="B1285" s="128" t="str">
        <f t="shared" si="147"/>
        <v>NAMS</v>
      </c>
      <c r="C1285" s="128" t="str">
        <f>+VLOOKUP(U1285,Ходим!A:B,2,0)</f>
        <v>52107015960107</v>
      </c>
      <c r="D1285" s="128" t="str">
        <f>IFERROR(VLOOKUP($B:$B,[20]свод!$A:$AB,3,0)," ")</f>
        <v>Наманган шаҳар</v>
      </c>
      <c r="E1285" s="7" t="s">
        <v>2423</v>
      </c>
      <c r="F1285" s="7" t="s">
        <v>8813</v>
      </c>
      <c r="G1285" s="134">
        <f t="shared" si="151"/>
        <v>1</v>
      </c>
      <c r="H1285" s="134" t="str">
        <f t="shared" si="152"/>
        <v/>
      </c>
      <c r="I1285" s="7" t="s">
        <v>158</v>
      </c>
      <c r="J1285" s="7" t="s">
        <v>2</v>
      </c>
      <c r="K1285" s="7"/>
      <c r="L1285" s="7" t="s">
        <v>167</v>
      </c>
      <c r="M1285" s="7" t="s">
        <v>5039</v>
      </c>
      <c r="N1285" s="7" t="s">
        <v>170</v>
      </c>
      <c r="O1285" s="7" t="s">
        <v>162</v>
      </c>
      <c r="P1285" s="7" t="s">
        <v>6458</v>
      </c>
      <c r="Q1285" s="129">
        <v>46199</v>
      </c>
      <c r="R1285" s="130">
        <f t="shared" si="150"/>
        <v>46204</v>
      </c>
      <c r="S1285" s="131">
        <f t="shared" si="148"/>
        <v>5</v>
      </c>
      <c r="T1285" s="7" t="s">
        <v>173</v>
      </c>
      <c r="U1285" s="7" t="s">
        <v>348</v>
      </c>
      <c r="V1285" s="7"/>
      <c r="W1285" s="7">
        <v>135.33000000000001</v>
      </c>
      <c r="X1285" s="132">
        <f t="shared" si="149"/>
        <v>10</v>
      </c>
      <c r="Y1285" s="133"/>
      <c r="Z1285" s="133"/>
      <c r="AA1285" s="133"/>
    </row>
    <row r="1286" spans="1:27" hidden="1" x14ac:dyDescent="0.25">
      <c r="A1286" s="127">
        <v>1426</v>
      </c>
      <c r="B1286" s="128" t="str">
        <f t="shared" si="147"/>
        <v>NAMS</v>
      </c>
      <c r="C1286" s="128" t="str">
        <f>+VLOOKUP(U1286,Ходим!A:B,2,0)</f>
        <v>31608732170178</v>
      </c>
      <c r="D1286" s="128" t="str">
        <f>IFERROR(VLOOKUP($B:$B,[20]свод!$A:$AB,3,0)," ")</f>
        <v>Наманган шаҳар</v>
      </c>
      <c r="E1286" s="7" t="s">
        <v>2424</v>
      </c>
      <c r="F1286" s="7" t="s">
        <v>8814</v>
      </c>
      <c r="G1286" s="134">
        <f t="shared" si="151"/>
        <v>1</v>
      </c>
      <c r="H1286" s="134" t="str">
        <f t="shared" si="152"/>
        <v/>
      </c>
      <c r="I1286" s="7" t="s">
        <v>156</v>
      </c>
      <c r="J1286" s="7" t="s">
        <v>25</v>
      </c>
      <c r="K1286" s="7"/>
      <c r="L1286" s="7"/>
      <c r="M1286" s="7"/>
      <c r="N1286" s="7" t="s">
        <v>170</v>
      </c>
      <c r="O1286" s="7" t="s">
        <v>162</v>
      </c>
      <c r="P1286" s="7" t="s">
        <v>6878</v>
      </c>
      <c r="Q1286" s="129">
        <v>46199</v>
      </c>
      <c r="R1286" s="130">
        <f t="shared" si="150"/>
        <v>46206</v>
      </c>
      <c r="S1286" s="131">
        <f t="shared" si="148"/>
        <v>7</v>
      </c>
      <c r="T1286" s="7" t="s">
        <v>173</v>
      </c>
      <c r="U1286" s="7" t="s">
        <v>267</v>
      </c>
      <c r="V1286" s="7"/>
      <c r="W1286" s="7"/>
      <c r="X1286" s="132">
        <f t="shared" si="149"/>
        <v>10</v>
      </c>
      <c r="Y1286" s="133"/>
      <c r="Z1286" s="133"/>
      <c r="AA1286" s="133"/>
    </row>
    <row r="1287" spans="1:27" hidden="1" x14ac:dyDescent="0.25">
      <c r="A1287" s="127">
        <v>1427</v>
      </c>
      <c r="B1287" s="128" t="str">
        <f t="shared" si="147"/>
        <v>NAMS</v>
      </c>
      <c r="C1287" s="128" t="str">
        <f>+VLOOKUP(U1287,Ходим!A:B,2,0)</f>
        <v>30302942170072</v>
      </c>
      <c r="D1287" s="128" t="str">
        <f>IFERROR(VLOOKUP($B:$B,[20]свод!$A:$AB,3,0)," ")</f>
        <v>Наманган шаҳар</v>
      </c>
      <c r="E1287" s="7" t="s">
        <v>2425</v>
      </c>
      <c r="F1287" s="7" t="s">
        <v>8815</v>
      </c>
      <c r="G1287" s="134" t="str">
        <f t="shared" si="151"/>
        <v/>
      </c>
      <c r="H1287" s="134">
        <f t="shared" si="152"/>
        <v>1</v>
      </c>
      <c r="I1287" s="7" t="s">
        <v>157</v>
      </c>
      <c r="J1287" s="7" t="s">
        <v>2</v>
      </c>
      <c r="K1287" s="7"/>
      <c r="L1287" s="7"/>
      <c r="M1287" s="7"/>
      <c r="N1287" s="7" t="s">
        <v>410</v>
      </c>
      <c r="O1287" s="7" t="s">
        <v>161</v>
      </c>
      <c r="P1287" s="7" t="s">
        <v>6681</v>
      </c>
      <c r="Q1287" s="129">
        <v>46199</v>
      </c>
      <c r="R1287" s="130">
        <f t="shared" si="150"/>
        <v>46205</v>
      </c>
      <c r="S1287" s="131">
        <f t="shared" si="148"/>
        <v>6</v>
      </c>
      <c r="T1287" s="7" t="s">
        <v>173</v>
      </c>
      <c r="U1287" s="7" t="s">
        <v>325</v>
      </c>
      <c r="V1287" s="7"/>
      <c r="W1287" s="7"/>
      <c r="X1287" s="132">
        <f t="shared" si="149"/>
        <v>10</v>
      </c>
      <c r="Y1287" s="133"/>
      <c r="Z1287" s="133"/>
      <c r="AA1287" s="133"/>
    </row>
    <row r="1288" spans="1:27" hidden="1" x14ac:dyDescent="0.25">
      <c r="A1288" s="127">
        <v>1428</v>
      </c>
      <c r="B1288" s="128" t="str">
        <f t="shared" si="147"/>
        <v>CHUT</v>
      </c>
      <c r="C1288" s="128" t="str">
        <f>+VLOOKUP(U1288,Ходим!A:B,2,0)</f>
        <v>33112995970023</v>
      </c>
      <c r="D1288" s="128" t="str">
        <f>IFERROR(VLOOKUP($B:$B,[20]свод!$A:$AB,3,0)," ")</f>
        <v>Чуст тумани</v>
      </c>
      <c r="E1288" s="7" t="s">
        <v>2426</v>
      </c>
      <c r="F1288" s="7" t="s">
        <v>8816</v>
      </c>
      <c r="G1288" s="134" t="str">
        <f t="shared" si="151"/>
        <v/>
      </c>
      <c r="H1288" s="134">
        <f t="shared" si="152"/>
        <v>1</v>
      </c>
      <c r="I1288" s="7" t="s">
        <v>155</v>
      </c>
      <c r="J1288" s="7" t="s">
        <v>25</v>
      </c>
      <c r="K1288" s="7"/>
      <c r="L1288" s="7" t="s">
        <v>168</v>
      </c>
      <c r="M1288" s="7" t="s">
        <v>5040</v>
      </c>
      <c r="N1288" s="7" t="s">
        <v>410</v>
      </c>
      <c r="O1288" s="7" t="s">
        <v>161</v>
      </c>
      <c r="P1288" s="7" t="s">
        <v>6879</v>
      </c>
      <c r="Q1288" s="129">
        <v>46199</v>
      </c>
      <c r="R1288" s="130">
        <f t="shared" si="150"/>
        <v>46209</v>
      </c>
      <c r="S1288" s="131">
        <f t="shared" si="148"/>
        <v>10</v>
      </c>
      <c r="T1288" s="7" t="s">
        <v>178</v>
      </c>
      <c r="U1288" s="7" t="s">
        <v>179</v>
      </c>
      <c r="V1288" s="7"/>
      <c r="W1288" s="7">
        <v>0</v>
      </c>
      <c r="X1288" s="132">
        <f t="shared" si="149"/>
        <v>7</v>
      </c>
      <c r="Y1288" s="133"/>
      <c r="Z1288" s="133"/>
      <c r="AA1288" s="133"/>
    </row>
    <row r="1289" spans="1:27" hidden="1" x14ac:dyDescent="0.25">
      <c r="A1289" s="127">
        <v>1430</v>
      </c>
      <c r="B1289" s="128" t="str">
        <f t="shared" si="147"/>
        <v>NAMS</v>
      </c>
      <c r="C1289" s="128" t="str">
        <f>+VLOOKUP(U1289,Ходим!A:B,2,0)</f>
        <v>31309942170160</v>
      </c>
      <c r="D1289" s="128" t="str">
        <f>IFERROR(VLOOKUP($B:$B,[20]свод!$A:$AB,3,0)," ")</f>
        <v>Наманган шаҳар</v>
      </c>
      <c r="E1289" s="7" t="s">
        <v>2427</v>
      </c>
      <c r="F1289" s="7" t="s">
        <v>8817</v>
      </c>
      <c r="G1289" s="134" t="str">
        <f t="shared" si="151"/>
        <v/>
      </c>
      <c r="H1289" s="134">
        <f t="shared" si="152"/>
        <v>1</v>
      </c>
      <c r="I1289" s="7" t="s">
        <v>157</v>
      </c>
      <c r="J1289" s="7" t="s">
        <v>36</v>
      </c>
      <c r="K1289" s="7"/>
      <c r="L1289" s="7" t="s">
        <v>166</v>
      </c>
      <c r="M1289" s="7" t="s">
        <v>5041</v>
      </c>
      <c r="N1289" s="7" t="s">
        <v>410</v>
      </c>
      <c r="O1289" s="7" t="s">
        <v>161</v>
      </c>
      <c r="P1289" s="7" t="s">
        <v>6315</v>
      </c>
      <c r="Q1289" s="129">
        <v>46199</v>
      </c>
      <c r="R1289" s="130">
        <f t="shared" si="150"/>
        <v>46220</v>
      </c>
      <c r="S1289" s="131">
        <f t="shared" si="148"/>
        <v>21</v>
      </c>
      <c r="T1289" s="7" t="s">
        <v>185</v>
      </c>
      <c r="U1289" s="7" t="s">
        <v>333</v>
      </c>
      <c r="V1289" s="7"/>
      <c r="W1289" s="7">
        <v>12986.78</v>
      </c>
      <c r="X1289" s="132">
        <f t="shared" si="149"/>
        <v>22</v>
      </c>
      <c r="Y1289" s="133"/>
      <c r="Z1289" s="133"/>
      <c r="AA1289" s="133"/>
    </row>
    <row r="1290" spans="1:27" hidden="1" x14ac:dyDescent="0.25">
      <c r="A1290" s="127">
        <v>1431</v>
      </c>
      <c r="B1290" s="128" t="str">
        <f t="shared" si="147"/>
        <v>NAMS</v>
      </c>
      <c r="C1290" s="128">
        <f>+VLOOKUP(U1290,Ходим!A:B,2,0)</f>
        <v>51006025960068</v>
      </c>
      <c r="D1290" s="128" t="str">
        <f>IFERROR(VLOOKUP($B:$B,[20]свод!$A:$AB,3,0)," ")</f>
        <v>Наманган шаҳар</v>
      </c>
      <c r="E1290" s="7" t="s">
        <v>2428</v>
      </c>
      <c r="F1290" s="7" t="s">
        <v>8818</v>
      </c>
      <c r="G1290" s="134">
        <f t="shared" si="151"/>
        <v>1</v>
      </c>
      <c r="H1290" s="134" t="str">
        <f t="shared" si="152"/>
        <v/>
      </c>
      <c r="I1290" s="7" t="s">
        <v>156</v>
      </c>
      <c r="J1290" s="7" t="s">
        <v>25</v>
      </c>
      <c r="K1290" s="7"/>
      <c r="L1290" s="7"/>
      <c r="M1290" s="7"/>
      <c r="N1290" s="7" t="s">
        <v>170</v>
      </c>
      <c r="O1290" s="7" t="s">
        <v>162</v>
      </c>
      <c r="P1290" s="7" t="s">
        <v>6689</v>
      </c>
      <c r="Q1290" s="129">
        <v>46199</v>
      </c>
      <c r="R1290" s="130">
        <f t="shared" si="150"/>
        <v>46212</v>
      </c>
      <c r="S1290" s="131">
        <f t="shared" si="148"/>
        <v>13</v>
      </c>
      <c r="T1290" s="7" t="s">
        <v>173</v>
      </c>
      <c r="U1290" s="7" t="s">
        <v>944</v>
      </c>
      <c r="V1290" s="7"/>
      <c r="W1290" s="7"/>
      <c r="X1290" s="132">
        <f t="shared" si="149"/>
        <v>10</v>
      </c>
      <c r="Y1290" s="133"/>
      <c r="Z1290" s="133"/>
      <c r="AA1290" s="133"/>
    </row>
    <row r="1291" spans="1:27" hidden="1" x14ac:dyDescent="0.25">
      <c r="A1291" s="127">
        <v>1432</v>
      </c>
      <c r="B1291" s="128" t="str">
        <f t="shared" si="147"/>
        <v>NORT</v>
      </c>
      <c r="C1291" s="128" t="str">
        <f>+VLOOKUP(U1291,Ходим!A:B,2,0)</f>
        <v>31609962110019</v>
      </c>
      <c r="D1291" s="128" t="str">
        <f>IFERROR(VLOOKUP($B:$B,[20]свод!$A:$AB,3,0)," ")</f>
        <v>Норин тумани</v>
      </c>
      <c r="E1291" s="7" t="s">
        <v>2429</v>
      </c>
      <c r="F1291" s="7" t="s">
        <v>8819</v>
      </c>
      <c r="G1291" s="134">
        <f t="shared" si="151"/>
        <v>1</v>
      </c>
      <c r="H1291" s="134" t="str">
        <f t="shared" si="152"/>
        <v/>
      </c>
      <c r="I1291" s="7" t="s">
        <v>156</v>
      </c>
      <c r="J1291" s="7" t="s">
        <v>25</v>
      </c>
      <c r="K1291" s="7"/>
      <c r="L1291" s="7"/>
      <c r="M1291" s="7"/>
      <c r="N1291" s="7" t="s">
        <v>170</v>
      </c>
      <c r="O1291" s="7" t="s">
        <v>162</v>
      </c>
      <c r="P1291" s="7" t="s">
        <v>6880</v>
      </c>
      <c r="Q1291" s="129">
        <v>46199</v>
      </c>
      <c r="R1291" s="130">
        <f t="shared" si="150"/>
        <v>46212</v>
      </c>
      <c r="S1291" s="131">
        <f t="shared" si="148"/>
        <v>13</v>
      </c>
      <c r="T1291" s="7" t="s">
        <v>210</v>
      </c>
      <c r="U1291" s="7" t="s">
        <v>355</v>
      </c>
      <c r="V1291" s="7"/>
      <c r="W1291" s="7"/>
      <c r="X1291" s="132">
        <f t="shared" si="149"/>
        <v>10</v>
      </c>
      <c r="Y1291" s="133"/>
      <c r="Z1291" s="133"/>
      <c r="AA1291" s="133"/>
    </row>
    <row r="1292" spans="1:27" hidden="1" x14ac:dyDescent="0.25">
      <c r="A1292" s="127">
        <v>1434</v>
      </c>
      <c r="B1292" s="128" t="str">
        <f t="shared" si="147"/>
        <v>NORT</v>
      </c>
      <c r="C1292" s="128" t="str">
        <f>+VLOOKUP(U1292,Ходим!A:B,2,0)</f>
        <v>51304005900090</v>
      </c>
      <c r="D1292" s="128" t="str">
        <f>IFERROR(VLOOKUP($B:$B,[20]свод!$A:$AB,3,0)," ")</f>
        <v>Норин тумани</v>
      </c>
      <c r="E1292" s="7" t="s">
        <v>2430</v>
      </c>
      <c r="F1292" s="7" t="s">
        <v>8820</v>
      </c>
      <c r="G1292" s="134">
        <f t="shared" si="151"/>
        <v>1</v>
      </c>
      <c r="H1292" s="134" t="str">
        <f t="shared" si="152"/>
        <v/>
      </c>
      <c r="I1292" s="7" t="s">
        <v>158</v>
      </c>
      <c r="J1292" s="7" t="s">
        <v>1</v>
      </c>
      <c r="K1292" s="7"/>
      <c r="L1292" s="7" t="s">
        <v>167</v>
      </c>
      <c r="M1292" s="7" t="s">
        <v>5042</v>
      </c>
      <c r="N1292" s="7" t="s">
        <v>170</v>
      </c>
      <c r="O1292" s="7" t="s">
        <v>162</v>
      </c>
      <c r="P1292" s="7" t="s">
        <v>6453</v>
      </c>
      <c r="Q1292" s="129">
        <v>46199</v>
      </c>
      <c r="R1292" s="130">
        <f t="shared" si="150"/>
        <v>46205</v>
      </c>
      <c r="S1292" s="131">
        <f t="shared" si="148"/>
        <v>6</v>
      </c>
      <c r="T1292" s="7" t="s">
        <v>210</v>
      </c>
      <c r="U1292" s="7" t="s">
        <v>336</v>
      </c>
      <c r="V1292" s="7"/>
      <c r="W1292" s="7">
        <v>310.3</v>
      </c>
      <c r="X1292" s="132">
        <f t="shared" si="149"/>
        <v>10</v>
      </c>
      <c r="Y1292" s="133"/>
      <c r="Z1292" s="133"/>
      <c r="AA1292" s="133"/>
    </row>
    <row r="1293" spans="1:27" hidden="1" x14ac:dyDescent="0.25">
      <c r="A1293" s="127">
        <v>1435</v>
      </c>
      <c r="B1293" s="128" t="str">
        <f t="shared" si="147"/>
        <v>UCQT</v>
      </c>
      <c r="C1293" s="128" t="str">
        <f>+VLOOKUP(U1293,Ходим!A:B,2,0)</f>
        <v>42005872150022</v>
      </c>
      <c r="D1293" s="128" t="str">
        <f>IFERROR(VLOOKUP($B:$B,[20]свод!$A:$AB,3,0)," ")</f>
        <v>Учқўрғон тумани</v>
      </c>
      <c r="E1293" s="7" t="s">
        <v>2431</v>
      </c>
      <c r="F1293" s="7" t="s">
        <v>8821</v>
      </c>
      <c r="G1293" s="134">
        <f t="shared" si="151"/>
        <v>1</v>
      </c>
      <c r="H1293" s="134" t="str">
        <f t="shared" si="152"/>
        <v/>
      </c>
      <c r="I1293" s="7" t="s">
        <v>158</v>
      </c>
      <c r="J1293" s="7" t="s">
        <v>36</v>
      </c>
      <c r="K1293" s="7"/>
      <c r="L1293" s="7" t="s">
        <v>167</v>
      </c>
      <c r="M1293" s="7" t="s">
        <v>5043</v>
      </c>
      <c r="N1293" s="7" t="s">
        <v>170</v>
      </c>
      <c r="O1293" s="7" t="s">
        <v>162</v>
      </c>
      <c r="P1293" s="7" t="s">
        <v>6881</v>
      </c>
      <c r="Q1293" s="129">
        <v>46199</v>
      </c>
      <c r="R1293" s="130">
        <f t="shared" si="150"/>
        <v>46206</v>
      </c>
      <c r="S1293" s="131">
        <f t="shared" si="148"/>
        <v>7</v>
      </c>
      <c r="T1293" s="7" t="s">
        <v>175</v>
      </c>
      <c r="U1293" s="7" t="s">
        <v>176</v>
      </c>
      <c r="V1293" s="7"/>
      <c r="W1293" s="7">
        <v>0</v>
      </c>
      <c r="X1293" s="132">
        <f t="shared" si="149"/>
        <v>10</v>
      </c>
      <c r="Y1293" s="133"/>
      <c r="Z1293" s="133"/>
      <c r="AA1293" s="133"/>
    </row>
    <row r="1294" spans="1:27" hidden="1" x14ac:dyDescent="0.25">
      <c r="A1294" s="127">
        <v>1436</v>
      </c>
      <c r="B1294" s="128" t="str">
        <f t="shared" si="147"/>
        <v>POPT</v>
      </c>
      <c r="C1294" s="128" t="str">
        <f>+VLOOKUP(U1294,Ходим!A:B,2,0)</f>
        <v>32209966000029</v>
      </c>
      <c r="D1294" s="128" t="str">
        <f>IFERROR(VLOOKUP($B:$B,[20]свод!$A:$AB,3,0)," ")</f>
        <v>Поп тумани</v>
      </c>
      <c r="E1294" s="7" t="s">
        <v>2432</v>
      </c>
      <c r="F1294" s="7" t="s">
        <v>8822</v>
      </c>
      <c r="G1294" s="134">
        <f t="shared" si="151"/>
        <v>1</v>
      </c>
      <c r="H1294" s="134" t="str">
        <f t="shared" si="152"/>
        <v/>
      </c>
      <c r="I1294" s="7" t="s">
        <v>158</v>
      </c>
      <c r="J1294" s="7" t="s">
        <v>2</v>
      </c>
      <c r="K1294" s="7"/>
      <c r="L1294" s="7" t="s">
        <v>167</v>
      </c>
      <c r="M1294" s="7" t="s">
        <v>5044</v>
      </c>
      <c r="N1294" s="7" t="s">
        <v>410</v>
      </c>
      <c r="O1294" s="7" t="s">
        <v>162</v>
      </c>
      <c r="P1294" s="7" t="s">
        <v>6881</v>
      </c>
      <c r="Q1294" s="129">
        <v>46199</v>
      </c>
      <c r="R1294" s="130">
        <f t="shared" si="150"/>
        <v>46206</v>
      </c>
      <c r="S1294" s="131">
        <f t="shared" si="148"/>
        <v>7</v>
      </c>
      <c r="T1294" s="7" t="s">
        <v>214</v>
      </c>
      <c r="U1294" s="7" t="s">
        <v>282</v>
      </c>
      <c r="V1294" s="7"/>
      <c r="W1294" s="7">
        <v>101.55</v>
      </c>
      <c r="X1294" s="132">
        <f t="shared" si="149"/>
        <v>10</v>
      </c>
      <c r="Y1294" s="133"/>
      <c r="Z1294" s="133"/>
      <c r="AA1294" s="133"/>
    </row>
    <row r="1295" spans="1:27" hidden="1" x14ac:dyDescent="0.25">
      <c r="A1295" s="127">
        <v>1437</v>
      </c>
      <c r="B1295" s="128" t="str">
        <f t="shared" si="147"/>
        <v>NAMT</v>
      </c>
      <c r="C1295" s="128" t="str">
        <f>+VLOOKUP(U1295,Ходим!A:B,2,0)</f>
        <v>32607902090019</v>
      </c>
      <c r="D1295" s="128" t="str">
        <f>IFERROR(VLOOKUP($B:$B,[20]свод!$A:$AB,3,0)," ")</f>
        <v>Наманган тумани</v>
      </c>
      <c r="E1295" s="7" t="s">
        <v>2433</v>
      </c>
      <c r="F1295" s="7" t="s">
        <v>8823</v>
      </c>
      <c r="G1295" s="134">
        <f t="shared" si="151"/>
        <v>1</v>
      </c>
      <c r="H1295" s="134" t="str">
        <f t="shared" si="152"/>
        <v/>
      </c>
      <c r="I1295" s="7" t="s">
        <v>158</v>
      </c>
      <c r="J1295" s="7" t="s">
        <v>13</v>
      </c>
      <c r="K1295" s="7"/>
      <c r="L1295" s="7" t="s">
        <v>167</v>
      </c>
      <c r="M1295" s="7" t="s">
        <v>1139</v>
      </c>
      <c r="N1295" s="7" t="s">
        <v>410</v>
      </c>
      <c r="O1295" s="7" t="s">
        <v>162</v>
      </c>
      <c r="P1295" s="7" t="s">
        <v>6880</v>
      </c>
      <c r="Q1295" s="129">
        <v>46199</v>
      </c>
      <c r="R1295" s="130">
        <f t="shared" si="150"/>
        <v>46212</v>
      </c>
      <c r="S1295" s="131">
        <f t="shared" si="148"/>
        <v>13</v>
      </c>
      <c r="T1295" s="7" t="s">
        <v>197</v>
      </c>
      <c r="U1295" s="7" t="s">
        <v>243</v>
      </c>
      <c r="V1295" s="7"/>
      <c r="W1295" s="7">
        <v>0</v>
      </c>
      <c r="X1295" s="132">
        <f t="shared" si="149"/>
        <v>10</v>
      </c>
      <c r="Y1295" s="133"/>
      <c r="Z1295" s="133"/>
      <c r="AA1295" s="133"/>
    </row>
    <row r="1296" spans="1:27" x14ac:dyDescent="0.25">
      <c r="A1296" s="127">
        <v>1439</v>
      </c>
      <c r="B1296" s="128" t="str">
        <f t="shared" si="147"/>
        <v>MINT</v>
      </c>
      <c r="C1296" s="128" t="str">
        <f>+VLOOKUP(U1296,Ходим!A:B,2,0)</f>
        <v>53110035990017</v>
      </c>
      <c r="D1296" s="128" t="str">
        <f>IFERROR(VLOOKUP($B:$B,[20]свод!$A:$AB,3,0)," ")</f>
        <v>Мингбулоқ тумани</v>
      </c>
      <c r="E1296" s="7" t="s">
        <v>2434</v>
      </c>
      <c r="F1296" s="7" t="s">
        <v>8824</v>
      </c>
      <c r="G1296" s="134" t="str">
        <f t="shared" si="151"/>
        <v/>
      </c>
      <c r="H1296" s="134">
        <f t="shared" si="152"/>
        <v>1</v>
      </c>
      <c r="I1296" s="7" t="s">
        <v>157</v>
      </c>
      <c r="J1296" s="7" t="s">
        <v>13</v>
      </c>
      <c r="K1296" s="7"/>
      <c r="L1296" s="7" t="s">
        <v>168</v>
      </c>
      <c r="M1296" s="7" t="s">
        <v>5045</v>
      </c>
      <c r="N1296" s="7" t="s">
        <v>170</v>
      </c>
      <c r="O1296" s="7" t="s">
        <v>161</v>
      </c>
      <c r="P1296" s="7" t="s">
        <v>6882</v>
      </c>
      <c r="Q1296" s="129">
        <v>46199</v>
      </c>
      <c r="R1296" s="130">
        <f t="shared" si="150"/>
        <v>46199</v>
      </c>
      <c r="S1296" s="131">
        <f t="shared" si="148"/>
        <v>0</v>
      </c>
      <c r="T1296" s="7" t="s">
        <v>220</v>
      </c>
      <c r="U1296" s="7" t="s">
        <v>372</v>
      </c>
      <c r="V1296" s="7"/>
      <c r="W1296" s="7">
        <v>0</v>
      </c>
      <c r="X1296" s="132">
        <f t="shared" si="149"/>
        <v>7</v>
      </c>
      <c r="Y1296" s="133"/>
      <c r="Z1296" s="133"/>
      <c r="AA1296" s="133"/>
    </row>
    <row r="1297" spans="1:27" hidden="1" x14ac:dyDescent="0.25">
      <c r="A1297" s="127">
        <v>1441</v>
      </c>
      <c r="B1297" s="128" t="str">
        <f t="shared" si="147"/>
        <v>NAMS</v>
      </c>
      <c r="C1297" s="128" t="str">
        <f>+VLOOKUP(U1297,Ходим!A:B,2,0)</f>
        <v>41006772170195</v>
      </c>
      <c r="D1297" s="128" t="str">
        <f>IFERROR(VLOOKUP($B:$B,[20]свод!$A:$AB,3,0)," ")</f>
        <v>Наманган шаҳар</v>
      </c>
      <c r="E1297" s="7" t="s">
        <v>2435</v>
      </c>
      <c r="F1297" s="7" t="s">
        <v>8825</v>
      </c>
      <c r="G1297" s="134">
        <f t="shared" si="151"/>
        <v>1</v>
      </c>
      <c r="H1297" s="134" t="str">
        <f t="shared" si="152"/>
        <v/>
      </c>
      <c r="I1297" s="7" t="s">
        <v>156</v>
      </c>
      <c r="J1297" s="7" t="s">
        <v>22</v>
      </c>
      <c r="K1297" s="7"/>
      <c r="L1297" s="7" t="s">
        <v>167</v>
      </c>
      <c r="M1297" s="7" t="s">
        <v>5046</v>
      </c>
      <c r="N1297" s="7" t="s">
        <v>170</v>
      </c>
      <c r="O1297" s="7" t="s">
        <v>162</v>
      </c>
      <c r="P1297" s="7" t="s">
        <v>6726</v>
      </c>
      <c r="Q1297" s="129">
        <v>46199</v>
      </c>
      <c r="R1297" s="130">
        <f t="shared" si="150"/>
        <v>46212</v>
      </c>
      <c r="S1297" s="131">
        <f t="shared" si="148"/>
        <v>13</v>
      </c>
      <c r="T1297" s="7" t="s">
        <v>173</v>
      </c>
      <c r="U1297" s="7" t="s">
        <v>338</v>
      </c>
      <c r="V1297" s="7"/>
      <c r="W1297" s="7">
        <v>355.44</v>
      </c>
      <c r="X1297" s="132">
        <f t="shared" si="149"/>
        <v>10</v>
      </c>
      <c r="Y1297" s="133"/>
      <c r="Z1297" s="133"/>
      <c r="AA1297" s="133"/>
    </row>
    <row r="1298" spans="1:27" hidden="1" x14ac:dyDescent="0.25">
      <c r="A1298" s="127">
        <v>1442</v>
      </c>
      <c r="B1298" s="128" t="str">
        <f t="shared" si="147"/>
        <v>NORT</v>
      </c>
      <c r="C1298" s="128" t="str">
        <f>+VLOOKUP(U1298,Ходим!A:B,2,0)</f>
        <v>51304005900090</v>
      </c>
      <c r="D1298" s="128" t="str">
        <f>IFERROR(VLOOKUP($B:$B,[20]свод!$A:$AB,3,0)," ")</f>
        <v>Норин тумани</v>
      </c>
      <c r="E1298" s="7" t="s">
        <v>2436</v>
      </c>
      <c r="F1298" s="7" t="s">
        <v>8826</v>
      </c>
      <c r="G1298" s="134">
        <f t="shared" si="151"/>
        <v>1</v>
      </c>
      <c r="H1298" s="134" t="str">
        <f t="shared" si="152"/>
        <v/>
      </c>
      <c r="I1298" s="7" t="s">
        <v>158</v>
      </c>
      <c r="J1298" s="7" t="s">
        <v>13</v>
      </c>
      <c r="K1298" s="7"/>
      <c r="L1298" s="7" t="s">
        <v>167</v>
      </c>
      <c r="M1298" s="7" t="s">
        <v>5047</v>
      </c>
      <c r="N1298" s="7" t="s">
        <v>170</v>
      </c>
      <c r="O1298" s="7" t="s">
        <v>162</v>
      </c>
      <c r="P1298" s="7" t="s">
        <v>6745</v>
      </c>
      <c r="Q1298" s="129">
        <v>46199</v>
      </c>
      <c r="R1298" s="130">
        <f t="shared" si="150"/>
        <v>46206</v>
      </c>
      <c r="S1298" s="131">
        <f t="shared" si="148"/>
        <v>7</v>
      </c>
      <c r="T1298" s="7" t="s">
        <v>210</v>
      </c>
      <c r="U1298" s="7" t="s">
        <v>336</v>
      </c>
      <c r="V1298" s="7"/>
      <c r="W1298" s="7">
        <v>298.5</v>
      </c>
      <c r="X1298" s="132">
        <f t="shared" si="149"/>
        <v>10</v>
      </c>
      <c r="Y1298" s="133"/>
      <c r="Z1298" s="133"/>
      <c r="AA1298" s="133"/>
    </row>
    <row r="1299" spans="1:27" hidden="1" x14ac:dyDescent="0.25">
      <c r="A1299" s="127">
        <v>1443</v>
      </c>
      <c r="B1299" s="128" t="str">
        <f t="shared" si="147"/>
        <v>CHUT</v>
      </c>
      <c r="C1299" s="128" t="str">
        <f>+VLOOKUP(U1299,Ходим!A:B,2,0)</f>
        <v>31509882180058</v>
      </c>
      <c r="D1299" s="128" t="str">
        <f>IFERROR(VLOOKUP($B:$B,[20]свод!$A:$AB,3,0)," ")</f>
        <v>Чуст тумани</v>
      </c>
      <c r="E1299" s="7" t="s">
        <v>2437</v>
      </c>
      <c r="F1299" s="7" t="s">
        <v>8827</v>
      </c>
      <c r="G1299" s="134">
        <f t="shared" si="151"/>
        <v>1</v>
      </c>
      <c r="H1299" s="134" t="str">
        <f t="shared" si="152"/>
        <v/>
      </c>
      <c r="I1299" s="7" t="s">
        <v>156</v>
      </c>
      <c r="J1299" s="7" t="s">
        <v>25</v>
      </c>
      <c r="K1299" s="7"/>
      <c r="L1299" s="7" t="s">
        <v>167</v>
      </c>
      <c r="M1299" s="7" t="s">
        <v>5048</v>
      </c>
      <c r="N1299" s="7" t="s">
        <v>170</v>
      </c>
      <c r="O1299" s="7" t="s">
        <v>162</v>
      </c>
      <c r="P1299" s="7" t="s">
        <v>6883</v>
      </c>
      <c r="Q1299" s="129">
        <v>46199</v>
      </c>
      <c r="R1299" s="130">
        <f t="shared" si="150"/>
        <v>46212</v>
      </c>
      <c r="S1299" s="131">
        <f t="shared" si="148"/>
        <v>13</v>
      </c>
      <c r="T1299" s="7" t="s">
        <v>178</v>
      </c>
      <c r="U1299" s="7" t="s">
        <v>324</v>
      </c>
      <c r="V1299" s="7"/>
      <c r="W1299" s="7">
        <v>399.25</v>
      </c>
      <c r="X1299" s="132">
        <f t="shared" si="149"/>
        <v>10</v>
      </c>
      <c r="Y1299" s="133"/>
      <c r="Z1299" s="133"/>
      <c r="AA1299" s="133"/>
    </row>
    <row r="1300" spans="1:27" x14ac:dyDescent="0.25">
      <c r="A1300" s="127">
        <v>1444</v>
      </c>
      <c r="B1300" s="128" t="str">
        <f t="shared" si="147"/>
        <v>NAMS</v>
      </c>
      <c r="C1300" s="128" t="str">
        <f>+VLOOKUP(U1300,Ходим!A:B,2,0)</f>
        <v>30809892160183</v>
      </c>
      <c r="D1300" s="128" t="str">
        <f>IFERROR(VLOOKUP($B:$B,[20]свод!$A:$AB,3,0)," ")</f>
        <v>Наманган шаҳар</v>
      </c>
      <c r="E1300" s="7" t="s">
        <v>2438</v>
      </c>
      <c r="F1300" s="7" t="s">
        <v>8828</v>
      </c>
      <c r="G1300" s="134" t="str">
        <f t="shared" si="151"/>
        <v/>
      </c>
      <c r="H1300" s="134">
        <f t="shared" si="152"/>
        <v>1</v>
      </c>
      <c r="I1300" s="7" t="s">
        <v>154</v>
      </c>
      <c r="J1300" s="7" t="s">
        <v>1</v>
      </c>
      <c r="K1300" s="7"/>
      <c r="L1300" s="7" t="s">
        <v>166</v>
      </c>
      <c r="M1300" s="7" t="s">
        <v>5049</v>
      </c>
      <c r="N1300" s="7" t="s">
        <v>170</v>
      </c>
      <c r="O1300" s="7" t="s">
        <v>161</v>
      </c>
      <c r="P1300" s="7" t="s">
        <v>6884</v>
      </c>
      <c r="Q1300" s="129">
        <v>46199</v>
      </c>
      <c r="R1300" s="130">
        <f t="shared" si="150"/>
        <v>46198</v>
      </c>
      <c r="S1300" s="131">
        <f t="shared" si="148"/>
        <v>-1</v>
      </c>
      <c r="T1300" s="7" t="s">
        <v>227</v>
      </c>
      <c r="U1300" s="7" t="s">
        <v>192</v>
      </c>
      <c r="V1300" s="7"/>
      <c r="W1300" s="7">
        <v>488.21</v>
      </c>
      <c r="X1300" s="132">
        <f t="shared" si="149"/>
        <v>12</v>
      </c>
      <c r="Y1300" s="133"/>
      <c r="Z1300" s="133"/>
      <c r="AA1300" s="133"/>
    </row>
    <row r="1301" spans="1:27" x14ac:dyDescent="0.25">
      <c r="A1301" s="127">
        <v>1445</v>
      </c>
      <c r="B1301" s="128" t="str">
        <f t="shared" si="147"/>
        <v>POPT</v>
      </c>
      <c r="C1301" s="128" t="str">
        <f>+VLOOKUP(U1301,Ходим!A:B,2,0)</f>
        <v>30304872210053</v>
      </c>
      <c r="D1301" s="128" t="str">
        <f>IFERROR(VLOOKUP($B:$B,[20]свод!$A:$AB,3,0)," ")</f>
        <v>Поп тумани</v>
      </c>
      <c r="E1301" s="7" t="s">
        <v>2439</v>
      </c>
      <c r="F1301" s="7"/>
      <c r="G1301" s="134">
        <f t="shared" si="151"/>
        <v>1</v>
      </c>
      <c r="H1301" s="134" t="str">
        <f t="shared" si="152"/>
        <v/>
      </c>
      <c r="I1301" s="7" t="s">
        <v>154</v>
      </c>
      <c r="J1301" s="7" t="s">
        <v>145</v>
      </c>
      <c r="K1301" s="7"/>
      <c r="L1301" s="7" t="s">
        <v>167</v>
      </c>
      <c r="M1301" s="7" t="s">
        <v>5050</v>
      </c>
      <c r="N1301" s="7" t="s">
        <v>368</v>
      </c>
      <c r="O1301" s="7"/>
      <c r="P1301" s="7" t="s">
        <v>6885</v>
      </c>
      <c r="Q1301" s="129">
        <v>46199</v>
      </c>
      <c r="R1301" s="130">
        <f t="shared" si="150"/>
        <v>46199</v>
      </c>
      <c r="S1301" s="131">
        <f t="shared" si="148"/>
        <v>0</v>
      </c>
      <c r="T1301" s="7" t="s">
        <v>214</v>
      </c>
      <c r="U1301" s="7" t="s">
        <v>235</v>
      </c>
      <c r="V1301" s="7" t="s">
        <v>965</v>
      </c>
      <c r="W1301" s="7">
        <v>145.69999999999999</v>
      </c>
      <c r="X1301" s="132">
        <f t="shared" si="149"/>
        <v>5</v>
      </c>
      <c r="Y1301" s="133"/>
      <c r="Z1301" s="133"/>
      <c r="AA1301" s="133"/>
    </row>
    <row r="1302" spans="1:27" x14ac:dyDescent="0.25">
      <c r="A1302" s="127">
        <v>1446</v>
      </c>
      <c r="B1302" s="128" t="str">
        <f t="shared" si="147"/>
        <v>POPT</v>
      </c>
      <c r="C1302" s="128" t="str">
        <f>+VLOOKUP(U1302,Ходим!A:B,2,0)</f>
        <v>30608945910016</v>
      </c>
      <c r="D1302" s="128" t="str">
        <f>IFERROR(VLOOKUP($B:$B,[20]свод!$A:$AB,3,0)," ")</f>
        <v>Поп тумани</v>
      </c>
      <c r="E1302" s="7" t="s">
        <v>2440</v>
      </c>
      <c r="F1302" s="7" t="s">
        <v>8829</v>
      </c>
      <c r="G1302" s="134">
        <f t="shared" si="151"/>
        <v>1</v>
      </c>
      <c r="H1302" s="134" t="str">
        <f t="shared" si="152"/>
        <v/>
      </c>
      <c r="I1302" s="7" t="s">
        <v>158</v>
      </c>
      <c r="J1302" s="7" t="s">
        <v>1</v>
      </c>
      <c r="K1302" s="7"/>
      <c r="L1302" s="7" t="s">
        <v>167</v>
      </c>
      <c r="M1302" s="7" t="s">
        <v>5051</v>
      </c>
      <c r="N1302" s="7" t="s">
        <v>170</v>
      </c>
      <c r="O1302" s="7" t="s">
        <v>162</v>
      </c>
      <c r="P1302" s="7" t="s">
        <v>6886</v>
      </c>
      <c r="Q1302" s="129">
        <v>46199</v>
      </c>
      <c r="R1302" s="130">
        <f t="shared" si="150"/>
        <v>46197</v>
      </c>
      <c r="S1302" s="131">
        <f t="shared" si="148"/>
        <v>-2</v>
      </c>
      <c r="T1302" s="7" t="s">
        <v>240</v>
      </c>
      <c r="U1302" s="7" t="s">
        <v>295</v>
      </c>
      <c r="V1302" s="7"/>
      <c r="W1302" s="7">
        <v>181.22</v>
      </c>
      <c r="X1302" s="132">
        <f t="shared" si="149"/>
        <v>10</v>
      </c>
      <c r="Y1302" s="133"/>
      <c r="Z1302" s="133"/>
      <c r="AA1302" s="133"/>
    </row>
    <row r="1303" spans="1:27" hidden="1" x14ac:dyDescent="0.25">
      <c r="A1303" s="127">
        <v>1447</v>
      </c>
      <c r="B1303" s="128" t="str">
        <f t="shared" si="147"/>
        <v>POPT</v>
      </c>
      <c r="C1303" s="128" t="str">
        <f>+VLOOKUP(U1303,Ходим!A:B,2,0)</f>
        <v>30609882120085</v>
      </c>
      <c r="D1303" s="128" t="str">
        <f>IFERROR(VLOOKUP($B:$B,[20]свод!$A:$AB,3,0)," ")</f>
        <v>Поп тумани</v>
      </c>
      <c r="E1303" s="7" t="s">
        <v>2441</v>
      </c>
      <c r="F1303" s="7" t="s">
        <v>8830</v>
      </c>
      <c r="G1303" s="134" t="str">
        <f t="shared" si="151"/>
        <v/>
      </c>
      <c r="H1303" s="134">
        <f t="shared" si="152"/>
        <v>1</v>
      </c>
      <c r="I1303" s="7" t="s">
        <v>157</v>
      </c>
      <c r="J1303" s="7" t="s">
        <v>172</v>
      </c>
      <c r="K1303" s="7"/>
      <c r="L1303" s="7" t="s">
        <v>166</v>
      </c>
      <c r="M1303" s="7" t="s">
        <v>5052</v>
      </c>
      <c r="N1303" s="7" t="s">
        <v>170</v>
      </c>
      <c r="O1303" s="7" t="s">
        <v>161</v>
      </c>
      <c r="P1303" s="7" t="s">
        <v>6887</v>
      </c>
      <c r="Q1303" s="129">
        <v>46199</v>
      </c>
      <c r="R1303" s="130">
        <f t="shared" si="150"/>
        <v>46205</v>
      </c>
      <c r="S1303" s="131">
        <f t="shared" si="148"/>
        <v>6</v>
      </c>
      <c r="T1303" s="7" t="s">
        <v>214</v>
      </c>
      <c r="U1303" s="7" t="s">
        <v>248</v>
      </c>
      <c r="V1303" s="7"/>
      <c r="W1303" s="7">
        <v>17.489999999999998</v>
      </c>
      <c r="X1303" s="132">
        <f t="shared" si="149"/>
        <v>10</v>
      </c>
      <c r="Y1303" s="133"/>
      <c r="Z1303" s="133"/>
      <c r="AA1303" s="133"/>
    </row>
    <row r="1304" spans="1:27" hidden="1" x14ac:dyDescent="0.25">
      <c r="A1304" s="127">
        <v>1448</v>
      </c>
      <c r="B1304" s="128" t="str">
        <f t="shared" si="147"/>
        <v>NAMS</v>
      </c>
      <c r="C1304" s="128" t="str">
        <f>+VLOOKUP(U1304,Ходим!A:B,2,0)</f>
        <v>52407055960122</v>
      </c>
      <c r="D1304" s="128" t="str">
        <f>IFERROR(VLOOKUP($B:$B,[20]свод!$A:$AB,3,0)," ")</f>
        <v>Наманган шаҳар</v>
      </c>
      <c r="E1304" s="7" t="s">
        <v>2442</v>
      </c>
      <c r="F1304" s="7" t="s">
        <v>8831</v>
      </c>
      <c r="G1304" s="134">
        <f t="shared" si="151"/>
        <v>1</v>
      </c>
      <c r="H1304" s="134" t="str">
        <f t="shared" si="152"/>
        <v/>
      </c>
      <c r="I1304" s="7" t="s">
        <v>156</v>
      </c>
      <c r="J1304" s="7" t="s">
        <v>25</v>
      </c>
      <c r="K1304" s="7"/>
      <c r="L1304" s="7" t="s">
        <v>167</v>
      </c>
      <c r="M1304" s="7" t="s">
        <v>5053</v>
      </c>
      <c r="N1304" s="7" t="s">
        <v>170</v>
      </c>
      <c r="O1304" s="7" t="s">
        <v>162</v>
      </c>
      <c r="P1304" s="7" t="s">
        <v>6879</v>
      </c>
      <c r="Q1304" s="129">
        <v>46199</v>
      </c>
      <c r="R1304" s="130">
        <f t="shared" si="150"/>
        <v>46212</v>
      </c>
      <c r="S1304" s="131">
        <f t="shared" si="148"/>
        <v>13</v>
      </c>
      <c r="T1304" s="7" t="s">
        <v>173</v>
      </c>
      <c r="U1304" s="7" t="s">
        <v>345</v>
      </c>
      <c r="V1304" s="7"/>
      <c r="W1304" s="7">
        <v>241</v>
      </c>
      <c r="X1304" s="132">
        <f t="shared" si="149"/>
        <v>10</v>
      </c>
      <c r="Y1304" s="133"/>
      <c r="Z1304" s="133"/>
      <c r="AA1304" s="133"/>
    </row>
    <row r="1305" spans="1:27" hidden="1" x14ac:dyDescent="0.25">
      <c r="A1305" s="127">
        <v>1449</v>
      </c>
      <c r="B1305" s="128" t="str">
        <f t="shared" si="147"/>
        <v>CHUT</v>
      </c>
      <c r="C1305" s="128" t="str">
        <f>+VLOOKUP(U1305,Ходим!A:B,2,0)</f>
        <v>52508015970048</v>
      </c>
      <c r="D1305" s="128" t="str">
        <f>IFERROR(VLOOKUP($B:$B,[20]свод!$A:$AB,3,0)," ")</f>
        <v>Чуст тумани</v>
      </c>
      <c r="E1305" s="7" t="s">
        <v>2443</v>
      </c>
      <c r="F1305" s="7" t="s">
        <v>8832</v>
      </c>
      <c r="G1305" s="134" t="str">
        <f t="shared" si="151"/>
        <v/>
      </c>
      <c r="H1305" s="134">
        <f t="shared" si="152"/>
        <v>1</v>
      </c>
      <c r="I1305" s="7" t="s">
        <v>157</v>
      </c>
      <c r="J1305" s="7" t="s">
        <v>1</v>
      </c>
      <c r="K1305" s="7"/>
      <c r="L1305" s="7" t="s">
        <v>166</v>
      </c>
      <c r="M1305" s="7" t="s">
        <v>5054</v>
      </c>
      <c r="N1305" s="7" t="s">
        <v>170</v>
      </c>
      <c r="O1305" s="7" t="s">
        <v>161</v>
      </c>
      <c r="P1305" s="7" t="s">
        <v>6888</v>
      </c>
      <c r="Q1305" s="129">
        <v>46199</v>
      </c>
      <c r="R1305" s="130">
        <f t="shared" si="150"/>
        <v>46212</v>
      </c>
      <c r="S1305" s="131">
        <f t="shared" si="148"/>
        <v>13</v>
      </c>
      <c r="T1305" s="7" t="s">
        <v>178</v>
      </c>
      <c r="U1305" s="7" t="s">
        <v>350</v>
      </c>
      <c r="V1305" s="7"/>
      <c r="W1305" s="7">
        <v>186.96</v>
      </c>
      <c r="X1305" s="132">
        <f t="shared" si="149"/>
        <v>12</v>
      </c>
      <c r="Y1305" s="133"/>
      <c r="Z1305" s="133"/>
      <c r="AA1305" s="133"/>
    </row>
    <row r="1306" spans="1:27" hidden="1" x14ac:dyDescent="0.25">
      <c r="A1306" s="127">
        <v>1450</v>
      </c>
      <c r="B1306" s="128" t="str">
        <f t="shared" si="147"/>
        <v>CHUT</v>
      </c>
      <c r="C1306" s="128" t="str">
        <f>+VLOOKUP(U1306,Ходим!A:B,2,0)</f>
        <v>32006862180015</v>
      </c>
      <c r="D1306" s="128" t="str">
        <f>IFERROR(VLOOKUP($B:$B,[20]свод!$A:$AB,3,0)," ")</f>
        <v>Чуст тумани</v>
      </c>
      <c r="E1306" s="7" t="s">
        <v>2444</v>
      </c>
      <c r="F1306" s="7" t="s">
        <v>8833</v>
      </c>
      <c r="G1306" s="134" t="str">
        <f t="shared" si="151"/>
        <v/>
      </c>
      <c r="H1306" s="134">
        <f t="shared" si="152"/>
        <v>1</v>
      </c>
      <c r="I1306" s="7" t="s">
        <v>157</v>
      </c>
      <c r="J1306" s="7" t="s">
        <v>2</v>
      </c>
      <c r="K1306" s="7"/>
      <c r="L1306" s="7" t="s">
        <v>168</v>
      </c>
      <c r="M1306" s="7" t="s">
        <v>5055</v>
      </c>
      <c r="N1306" s="7" t="s">
        <v>410</v>
      </c>
      <c r="O1306" s="7" t="s">
        <v>161</v>
      </c>
      <c r="P1306" s="7" t="s">
        <v>6889</v>
      </c>
      <c r="Q1306" s="129">
        <v>46199</v>
      </c>
      <c r="R1306" s="130">
        <f t="shared" si="150"/>
        <v>46203</v>
      </c>
      <c r="S1306" s="131">
        <f t="shared" si="148"/>
        <v>4</v>
      </c>
      <c r="T1306" s="7" t="s">
        <v>178</v>
      </c>
      <c r="U1306" s="7" t="s">
        <v>347</v>
      </c>
      <c r="V1306" s="7"/>
      <c r="W1306" s="7">
        <v>0</v>
      </c>
      <c r="X1306" s="132">
        <f t="shared" si="149"/>
        <v>7</v>
      </c>
      <c r="Y1306" s="133"/>
      <c r="Z1306" s="133"/>
      <c r="AA1306" s="133"/>
    </row>
    <row r="1307" spans="1:27" hidden="1" x14ac:dyDescent="0.25">
      <c r="A1307" s="127">
        <v>1451</v>
      </c>
      <c r="B1307" s="128" t="str">
        <f t="shared" si="147"/>
        <v>CHUT</v>
      </c>
      <c r="C1307" s="128" t="str">
        <f>+VLOOKUP(U1307,Ходим!A:B,2,0)</f>
        <v>32304995970021</v>
      </c>
      <c r="D1307" s="128" t="str">
        <f>IFERROR(VLOOKUP($B:$B,[20]свод!$A:$AB,3,0)," ")</f>
        <v>Чуст тумани</v>
      </c>
      <c r="E1307" s="7" t="s">
        <v>2445</v>
      </c>
      <c r="F1307" s="7" t="s">
        <v>8834</v>
      </c>
      <c r="G1307" s="134" t="str">
        <f t="shared" si="151"/>
        <v/>
      </c>
      <c r="H1307" s="134">
        <f t="shared" si="152"/>
        <v>1</v>
      </c>
      <c r="I1307" s="7" t="s">
        <v>155</v>
      </c>
      <c r="J1307" s="7" t="s">
        <v>22</v>
      </c>
      <c r="K1307" s="7"/>
      <c r="L1307" s="7" t="s">
        <v>168</v>
      </c>
      <c r="M1307" s="7" t="s">
        <v>5056</v>
      </c>
      <c r="N1307" s="7" t="s">
        <v>410</v>
      </c>
      <c r="O1307" s="7" t="s">
        <v>161</v>
      </c>
      <c r="P1307" s="7" t="s">
        <v>6889</v>
      </c>
      <c r="Q1307" s="129">
        <v>46199</v>
      </c>
      <c r="R1307" s="130">
        <f t="shared" si="150"/>
        <v>46203</v>
      </c>
      <c r="S1307" s="131">
        <f t="shared" si="148"/>
        <v>4</v>
      </c>
      <c r="T1307" s="7" t="s">
        <v>178</v>
      </c>
      <c r="U1307" s="7" t="s">
        <v>938</v>
      </c>
      <c r="V1307" s="7"/>
      <c r="W1307" s="7">
        <v>0</v>
      </c>
      <c r="X1307" s="132">
        <f t="shared" si="149"/>
        <v>7</v>
      </c>
      <c r="Y1307" s="133"/>
      <c r="Z1307" s="133"/>
      <c r="AA1307" s="133"/>
    </row>
    <row r="1308" spans="1:27" hidden="1" x14ac:dyDescent="0.25">
      <c r="A1308" s="127">
        <v>1452</v>
      </c>
      <c r="B1308" s="128" t="str">
        <f t="shared" si="147"/>
        <v>NAMS</v>
      </c>
      <c r="C1308" s="128" t="str">
        <f>+VLOOKUP(U1308,Ходим!A:B,2,0)</f>
        <v>51110025960044</v>
      </c>
      <c r="D1308" s="128" t="str">
        <f>IFERROR(VLOOKUP($B:$B,[20]свод!$A:$AB,3,0)," ")</f>
        <v>Наманган шаҳар</v>
      </c>
      <c r="E1308" s="7" t="s">
        <v>2446</v>
      </c>
      <c r="F1308" s="7" t="s">
        <v>8835</v>
      </c>
      <c r="G1308" s="134">
        <f t="shared" si="151"/>
        <v>1</v>
      </c>
      <c r="H1308" s="134" t="str">
        <f t="shared" si="152"/>
        <v/>
      </c>
      <c r="I1308" s="7" t="s">
        <v>158</v>
      </c>
      <c r="J1308" s="7" t="s">
        <v>2</v>
      </c>
      <c r="K1308" s="7"/>
      <c r="L1308" s="7"/>
      <c r="M1308" s="7"/>
      <c r="N1308" s="7" t="s">
        <v>170</v>
      </c>
      <c r="O1308" s="7" t="s">
        <v>162</v>
      </c>
      <c r="P1308" s="7" t="s">
        <v>6889</v>
      </c>
      <c r="Q1308" s="129">
        <v>46199</v>
      </c>
      <c r="R1308" s="130">
        <f t="shared" si="150"/>
        <v>46206</v>
      </c>
      <c r="S1308" s="131">
        <f t="shared" si="148"/>
        <v>7</v>
      </c>
      <c r="T1308" s="7" t="s">
        <v>173</v>
      </c>
      <c r="U1308" s="7" t="s">
        <v>294</v>
      </c>
      <c r="V1308" s="7"/>
      <c r="W1308" s="7"/>
      <c r="X1308" s="132">
        <f t="shared" si="149"/>
        <v>10</v>
      </c>
      <c r="Y1308" s="133"/>
      <c r="Z1308" s="133"/>
      <c r="AA1308" s="133"/>
    </row>
    <row r="1309" spans="1:27" hidden="1" x14ac:dyDescent="0.25">
      <c r="A1309" s="127">
        <v>1453</v>
      </c>
      <c r="B1309" s="128" t="str">
        <f t="shared" si="147"/>
        <v>NAMS</v>
      </c>
      <c r="C1309" s="128" t="str">
        <f>+VLOOKUP(U1309,Ходим!A:B,2,0)</f>
        <v>30108932170088</v>
      </c>
      <c r="D1309" s="128" t="str">
        <f>IFERROR(VLOOKUP($B:$B,[20]свод!$A:$AB,3,0)," ")</f>
        <v>Наманган шаҳар</v>
      </c>
      <c r="E1309" s="7" t="s">
        <v>2447</v>
      </c>
      <c r="F1309" s="7" t="s">
        <v>8836</v>
      </c>
      <c r="G1309" s="134">
        <f t="shared" si="151"/>
        <v>1</v>
      </c>
      <c r="H1309" s="134" t="str">
        <f t="shared" si="152"/>
        <v/>
      </c>
      <c r="I1309" s="7" t="s">
        <v>158</v>
      </c>
      <c r="J1309" s="7" t="s">
        <v>2</v>
      </c>
      <c r="K1309" s="7"/>
      <c r="L1309" s="7" t="s">
        <v>167</v>
      </c>
      <c r="M1309" s="7" t="s">
        <v>5057</v>
      </c>
      <c r="N1309" s="7" t="s">
        <v>170</v>
      </c>
      <c r="O1309" s="7" t="s">
        <v>162</v>
      </c>
      <c r="P1309" s="7" t="s">
        <v>6889</v>
      </c>
      <c r="Q1309" s="129">
        <v>46199</v>
      </c>
      <c r="R1309" s="130">
        <f t="shared" si="150"/>
        <v>46206</v>
      </c>
      <c r="S1309" s="131">
        <f t="shared" si="148"/>
        <v>7</v>
      </c>
      <c r="T1309" s="7" t="s">
        <v>173</v>
      </c>
      <c r="U1309" s="7" t="s">
        <v>329</v>
      </c>
      <c r="V1309" s="7"/>
      <c r="W1309" s="7">
        <v>0</v>
      </c>
      <c r="X1309" s="132">
        <f t="shared" si="149"/>
        <v>10</v>
      </c>
      <c r="Y1309" s="133"/>
      <c r="Z1309" s="133"/>
      <c r="AA1309" s="133"/>
    </row>
    <row r="1310" spans="1:27" x14ac:dyDescent="0.25">
      <c r="A1310" s="127">
        <v>1454</v>
      </c>
      <c r="B1310" s="128" t="str">
        <f t="shared" si="147"/>
        <v>NAMS</v>
      </c>
      <c r="C1310" s="128" t="str">
        <f>+VLOOKUP(U1310,Ходим!A:B,2,0)</f>
        <v>51110025960044</v>
      </c>
      <c r="D1310" s="128" t="str">
        <f>IFERROR(VLOOKUP($B:$B,[20]свод!$A:$AB,3,0)," ")</f>
        <v>Наманган шаҳар</v>
      </c>
      <c r="E1310" s="7" t="s">
        <v>1021</v>
      </c>
      <c r="F1310" s="7" t="s">
        <v>1062</v>
      </c>
      <c r="G1310" s="134">
        <f t="shared" si="151"/>
        <v>1</v>
      </c>
      <c r="H1310" s="134" t="str">
        <f t="shared" si="152"/>
        <v/>
      </c>
      <c r="I1310" s="7" t="s">
        <v>158</v>
      </c>
      <c r="J1310" s="7" t="s">
        <v>1137</v>
      </c>
      <c r="K1310" s="7"/>
      <c r="L1310" s="7" t="s">
        <v>167</v>
      </c>
      <c r="M1310" s="7" t="s">
        <v>5058</v>
      </c>
      <c r="N1310" s="7" t="s">
        <v>170</v>
      </c>
      <c r="O1310" s="7" t="s">
        <v>162</v>
      </c>
      <c r="P1310" s="7" t="s">
        <v>1065</v>
      </c>
      <c r="Q1310" s="129">
        <v>46199</v>
      </c>
      <c r="R1310" s="130">
        <f t="shared" si="150"/>
        <v>46189</v>
      </c>
      <c r="S1310" s="131">
        <f t="shared" si="148"/>
        <v>-10</v>
      </c>
      <c r="T1310" s="7" t="s">
        <v>234</v>
      </c>
      <c r="U1310" s="7" t="s">
        <v>294</v>
      </c>
      <c r="V1310" s="7" t="s">
        <v>359</v>
      </c>
      <c r="W1310" s="7">
        <v>562.32000000000005</v>
      </c>
      <c r="X1310" s="132">
        <f t="shared" si="149"/>
        <v>10</v>
      </c>
      <c r="Y1310" s="133"/>
      <c r="Z1310" s="133"/>
      <c r="AA1310" s="133"/>
    </row>
    <row r="1311" spans="1:27" x14ac:dyDescent="0.25">
      <c r="A1311" s="127">
        <v>1455</v>
      </c>
      <c r="B1311" s="128" t="str">
        <f t="shared" si="147"/>
        <v>MINT</v>
      </c>
      <c r="C1311" s="128" t="str">
        <f>+VLOOKUP(U1311,Ходим!A:B,2,0)</f>
        <v>31205995920018</v>
      </c>
      <c r="D1311" s="128" t="str">
        <f>IFERROR(VLOOKUP($B:$B,[20]свод!$A:$AB,3,0)," ")</f>
        <v>Мингбулоқ тумани</v>
      </c>
      <c r="E1311" s="7" t="s">
        <v>2448</v>
      </c>
      <c r="F1311" s="7" t="s">
        <v>8837</v>
      </c>
      <c r="G1311" s="134" t="str">
        <f t="shared" si="151"/>
        <v/>
      </c>
      <c r="H1311" s="134">
        <f t="shared" si="152"/>
        <v>1</v>
      </c>
      <c r="I1311" s="7" t="s">
        <v>157</v>
      </c>
      <c r="J1311" s="7" t="s">
        <v>10</v>
      </c>
      <c r="K1311" s="7"/>
      <c r="L1311" s="7" t="s">
        <v>166</v>
      </c>
      <c r="M1311" s="7" t="s">
        <v>5059</v>
      </c>
      <c r="N1311" s="7" t="s">
        <v>170</v>
      </c>
      <c r="O1311" s="7" t="s">
        <v>161</v>
      </c>
      <c r="P1311" s="7" t="s">
        <v>6890</v>
      </c>
      <c r="Q1311" s="129">
        <v>46199</v>
      </c>
      <c r="R1311" s="130">
        <f t="shared" si="150"/>
        <v>46199</v>
      </c>
      <c r="S1311" s="131">
        <f t="shared" si="148"/>
        <v>0</v>
      </c>
      <c r="T1311" s="7" t="s">
        <v>220</v>
      </c>
      <c r="U1311" s="7" t="s">
        <v>271</v>
      </c>
      <c r="V1311" s="7"/>
      <c r="W1311" s="7">
        <v>163.1</v>
      </c>
      <c r="X1311" s="132">
        <f t="shared" si="149"/>
        <v>12</v>
      </c>
      <c r="Y1311" s="133"/>
      <c r="Z1311" s="133"/>
      <c r="AA1311" s="133"/>
    </row>
    <row r="1312" spans="1:27" hidden="1" x14ac:dyDescent="0.25">
      <c r="A1312" s="127">
        <v>1456</v>
      </c>
      <c r="B1312" s="128" t="str">
        <f t="shared" si="147"/>
        <v>KSST</v>
      </c>
      <c r="C1312" s="128" t="str">
        <f>+VLOOKUP(U1312,Ходим!A:B,2,0)</f>
        <v>52812015980061</v>
      </c>
      <c r="D1312" s="128" t="str">
        <f>IFERROR(VLOOKUP($B:$B,[20]свод!$A:$AB,3,0)," ")</f>
        <v>Косонсой тумани</v>
      </c>
      <c r="E1312" s="7" t="s">
        <v>2449</v>
      </c>
      <c r="F1312" s="7" t="s">
        <v>8838</v>
      </c>
      <c r="G1312" s="134" t="str">
        <f t="shared" si="151"/>
        <v/>
      </c>
      <c r="H1312" s="134">
        <f t="shared" si="152"/>
        <v>1</v>
      </c>
      <c r="I1312" s="7" t="s">
        <v>157</v>
      </c>
      <c r="J1312" s="7" t="s">
        <v>13</v>
      </c>
      <c r="K1312" s="7"/>
      <c r="L1312" s="7" t="s">
        <v>166</v>
      </c>
      <c r="M1312" s="7" t="s">
        <v>1142</v>
      </c>
      <c r="N1312" s="7" t="s">
        <v>170</v>
      </c>
      <c r="O1312" s="7" t="s">
        <v>161</v>
      </c>
      <c r="P1312" s="7" t="s">
        <v>6878</v>
      </c>
      <c r="Q1312" s="129">
        <v>46199</v>
      </c>
      <c r="R1312" s="130">
        <f t="shared" si="150"/>
        <v>46206</v>
      </c>
      <c r="S1312" s="131">
        <f t="shared" si="148"/>
        <v>7</v>
      </c>
      <c r="T1312" s="7" t="s">
        <v>180</v>
      </c>
      <c r="U1312" s="7" t="s">
        <v>307</v>
      </c>
      <c r="V1312" s="7"/>
      <c r="W1312" s="7">
        <v>0</v>
      </c>
      <c r="X1312" s="132">
        <f t="shared" si="149"/>
        <v>10</v>
      </c>
      <c r="Y1312" s="133"/>
      <c r="Z1312" s="133"/>
      <c r="AA1312" s="133"/>
    </row>
    <row r="1313" spans="1:27" hidden="1" x14ac:dyDescent="0.25">
      <c r="A1313" s="127">
        <v>1457</v>
      </c>
      <c r="B1313" s="128" t="str">
        <f t="shared" si="147"/>
        <v>CHUT</v>
      </c>
      <c r="C1313" s="128" t="str">
        <f>+VLOOKUP(U1313,Ходим!A:B,2,0)</f>
        <v>30901882180031</v>
      </c>
      <c r="D1313" s="128" t="str">
        <f>IFERROR(VLOOKUP($B:$B,[20]свод!$A:$AB,3,0)," ")</f>
        <v>Чуст тумани</v>
      </c>
      <c r="E1313" s="7" t="s">
        <v>2450</v>
      </c>
      <c r="F1313" s="7" t="s">
        <v>8839</v>
      </c>
      <c r="G1313" s="134" t="str">
        <f t="shared" si="151"/>
        <v/>
      </c>
      <c r="H1313" s="134">
        <f t="shared" si="152"/>
        <v>1</v>
      </c>
      <c r="I1313" s="7" t="s">
        <v>155</v>
      </c>
      <c r="J1313" s="7" t="s">
        <v>22</v>
      </c>
      <c r="K1313" s="7"/>
      <c r="L1313" s="7" t="s">
        <v>166</v>
      </c>
      <c r="M1313" s="7" t="s">
        <v>5060</v>
      </c>
      <c r="N1313" s="7" t="s">
        <v>170</v>
      </c>
      <c r="O1313" s="7" t="s">
        <v>161</v>
      </c>
      <c r="P1313" s="7" t="s">
        <v>6891</v>
      </c>
      <c r="Q1313" s="129">
        <v>46199</v>
      </c>
      <c r="R1313" s="130">
        <f t="shared" si="150"/>
        <v>46210</v>
      </c>
      <c r="S1313" s="131">
        <f t="shared" si="148"/>
        <v>11</v>
      </c>
      <c r="T1313" s="7" t="s">
        <v>178</v>
      </c>
      <c r="U1313" s="7" t="s">
        <v>238</v>
      </c>
      <c r="V1313" s="7"/>
      <c r="W1313" s="7">
        <v>0</v>
      </c>
      <c r="X1313" s="132">
        <f t="shared" si="149"/>
        <v>10</v>
      </c>
      <c r="Y1313" s="133"/>
      <c r="Z1313" s="133"/>
      <c r="AA1313" s="133"/>
    </row>
    <row r="1314" spans="1:27" hidden="1" x14ac:dyDescent="0.25">
      <c r="A1314" s="127">
        <v>1458</v>
      </c>
      <c r="B1314" s="128" t="str">
        <f t="shared" si="147"/>
        <v>NAMS</v>
      </c>
      <c r="C1314" s="128" t="str">
        <f>+VLOOKUP(U1314,Ходим!A:B,2,0)</f>
        <v>52503015960039</v>
      </c>
      <c r="D1314" s="128" t="str">
        <f>IFERROR(VLOOKUP($B:$B,[20]свод!$A:$AB,3,0)," ")</f>
        <v>Наманган шаҳар</v>
      </c>
      <c r="E1314" s="7" t="s">
        <v>2451</v>
      </c>
      <c r="F1314" s="7" t="s">
        <v>8840</v>
      </c>
      <c r="G1314" s="134">
        <f t="shared" si="151"/>
        <v>1</v>
      </c>
      <c r="H1314" s="134" t="str">
        <f t="shared" si="152"/>
        <v/>
      </c>
      <c r="I1314" s="7" t="s">
        <v>158</v>
      </c>
      <c r="J1314" s="7" t="s">
        <v>1</v>
      </c>
      <c r="K1314" s="7"/>
      <c r="L1314" s="7" t="s">
        <v>167</v>
      </c>
      <c r="M1314" s="7" t="s">
        <v>5061</v>
      </c>
      <c r="N1314" s="7" t="s">
        <v>170</v>
      </c>
      <c r="O1314" s="7" t="s">
        <v>162</v>
      </c>
      <c r="P1314" s="7" t="s">
        <v>6892</v>
      </c>
      <c r="Q1314" s="129">
        <v>46199</v>
      </c>
      <c r="R1314" s="130">
        <f t="shared" si="150"/>
        <v>46206</v>
      </c>
      <c r="S1314" s="131">
        <f t="shared" si="148"/>
        <v>7</v>
      </c>
      <c r="T1314" s="7" t="s">
        <v>185</v>
      </c>
      <c r="U1314" s="7" t="s">
        <v>246</v>
      </c>
      <c r="V1314" s="7"/>
      <c r="W1314" s="7">
        <v>406.2</v>
      </c>
      <c r="X1314" s="132">
        <f t="shared" si="149"/>
        <v>10</v>
      </c>
      <c r="Y1314" s="133"/>
      <c r="Z1314" s="133"/>
      <c r="AA1314" s="133"/>
    </row>
    <row r="1315" spans="1:27" hidden="1" x14ac:dyDescent="0.25">
      <c r="A1315" s="127">
        <v>1459</v>
      </c>
      <c r="B1315" s="128" t="str">
        <f t="shared" si="147"/>
        <v>KSST</v>
      </c>
      <c r="C1315" s="128" t="str">
        <f>+VLOOKUP(U1315,Ходим!A:B,2,0)</f>
        <v>50709025980034</v>
      </c>
      <c r="D1315" s="128" t="str">
        <f>IFERROR(VLOOKUP($B:$B,[20]свод!$A:$AB,3,0)," ")</f>
        <v>Косонсой тумани</v>
      </c>
      <c r="E1315" s="7" t="s">
        <v>2452</v>
      </c>
      <c r="F1315" s="7" t="s">
        <v>8841</v>
      </c>
      <c r="G1315" s="134" t="str">
        <f t="shared" si="151"/>
        <v/>
      </c>
      <c r="H1315" s="134">
        <f t="shared" si="152"/>
        <v>1</v>
      </c>
      <c r="I1315" s="7" t="s">
        <v>157</v>
      </c>
      <c r="J1315" s="7" t="s">
        <v>2</v>
      </c>
      <c r="K1315" s="7"/>
      <c r="L1315" s="7"/>
      <c r="M1315" s="7"/>
      <c r="N1315" s="7" t="s">
        <v>410</v>
      </c>
      <c r="O1315" s="7" t="s">
        <v>161</v>
      </c>
      <c r="P1315" s="7" t="s">
        <v>6892</v>
      </c>
      <c r="Q1315" s="129">
        <v>46199</v>
      </c>
      <c r="R1315" s="130">
        <f t="shared" si="150"/>
        <v>46206</v>
      </c>
      <c r="S1315" s="131">
        <f t="shared" si="148"/>
        <v>7</v>
      </c>
      <c r="T1315" s="7" t="s">
        <v>180</v>
      </c>
      <c r="U1315" s="7" t="s">
        <v>286</v>
      </c>
      <c r="V1315" s="7"/>
      <c r="W1315" s="7"/>
      <c r="X1315" s="132">
        <f t="shared" si="149"/>
        <v>10</v>
      </c>
      <c r="Y1315" s="133"/>
      <c r="Z1315" s="133"/>
      <c r="AA1315" s="133"/>
    </row>
    <row r="1316" spans="1:27" hidden="1" x14ac:dyDescent="0.25">
      <c r="A1316" s="127">
        <v>1460</v>
      </c>
      <c r="B1316" s="128" t="str">
        <f t="shared" si="147"/>
        <v>UYCT</v>
      </c>
      <c r="C1316" s="128" t="str">
        <f>+VLOOKUP(U1316,Ходим!A:B,2,0)</f>
        <v>51501005930032</v>
      </c>
      <c r="D1316" s="128" t="str">
        <f>IFERROR(VLOOKUP($B:$B,[20]свод!$A:$AB,3,0)," ")</f>
        <v>Уйчи тумани</v>
      </c>
      <c r="E1316" s="7" t="s">
        <v>2453</v>
      </c>
      <c r="F1316" s="7" t="s">
        <v>8842</v>
      </c>
      <c r="G1316" s="134">
        <f t="shared" si="151"/>
        <v>1</v>
      </c>
      <c r="H1316" s="134" t="str">
        <f t="shared" si="152"/>
        <v/>
      </c>
      <c r="I1316" s="7" t="s">
        <v>158</v>
      </c>
      <c r="J1316" s="7" t="s">
        <v>2</v>
      </c>
      <c r="K1316" s="7"/>
      <c r="L1316" s="7"/>
      <c r="M1316" s="7"/>
      <c r="N1316" s="7" t="s">
        <v>410</v>
      </c>
      <c r="O1316" s="7" t="s">
        <v>162</v>
      </c>
      <c r="P1316" s="7" t="s">
        <v>6893</v>
      </c>
      <c r="Q1316" s="129">
        <v>46199</v>
      </c>
      <c r="R1316" s="130">
        <f t="shared" si="150"/>
        <v>46212</v>
      </c>
      <c r="S1316" s="131">
        <f t="shared" si="148"/>
        <v>13</v>
      </c>
      <c r="T1316" s="7" t="s">
        <v>947</v>
      </c>
      <c r="U1316" s="7" t="s">
        <v>326</v>
      </c>
      <c r="V1316" s="7"/>
      <c r="W1316" s="7"/>
      <c r="X1316" s="132">
        <f t="shared" si="149"/>
        <v>10</v>
      </c>
      <c r="Y1316" s="133"/>
      <c r="Z1316" s="133"/>
      <c r="AA1316" s="133"/>
    </row>
    <row r="1317" spans="1:27" hidden="1" x14ac:dyDescent="0.25">
      <c r="A1317" s="127">
        <v>1461</v>
      </c>
      <c r="B1317" s="128" t="str">
        <f t="shared" si="147"/>
        <v>CHUT</v>
      </c>
      <c r="C1317" s="128" t="str">
        <f>+VLOOKUP(U1317,Ходим!A:B,2,0)</f>
        <v>52801005970043</v>
      </c>
      <c r="D1317" s="128" t="str">
        <f>IFERROR(VLOOKUP($B:$B,[20]свод!$A:$AB,3,0)," ")</f>
        <v>Чуст тумани</v>
      </c>
      <c r="E1317" s="7" t="s">
        <v>2454</v>
      </c>
      <c r="F1317" s="7" t="s">
        <v>8843</v>
      </c>
      <c r="G1317" s="134" t="str">
        <f t="shared" si="151"/>
        <v/>
      </c>
      <c r="H1317" s="134">
        <f t="shared" si="152"/>
        <v>1</v>
      </c>
      <c r="I1317" s="7" t="s">
        <v>157</v>
      </c>
      <c r="J1317" s="7" t="s">
        <v>2</v>
      </c>
      <c r="K1317" s="7"/>
      <c r="L1317" s="7" t="s">
        <v>168</v>
      </c>
      <c r="M1317" s="7" t="s">
        <v>5062</v>
      </c>
      <c r="N1317" s="7" t="s">
        <v>410</v>
      </c>
      <c r="O1317" s="7" t="s">
        <v>161</v>
      </c>
      <c r="P1317" s="7" t="s">
        <v>6892</v>
      </c>
      <c r="Q1317" s="129">
        <v>46199</v>
      </c>
      <c r="R1317" s="130">
        <f t="shared" si="150"/>
        <v>46203</v>
      </c>
      <c r="S1317" s="131">
        <f t="shared" si="148"/>
        <v>4</v>
      </c>
      <c r="T1317" s="7" t="s">
        <v>178</v>
      </c>
      <c r="U1317" s="7" t="s">
        <v>387</v>
      </c>
      <c r="V1317" s="7"/>
      <c r="W1317" s="7">
        <v>0</v>
      </c>
      <c r="X1317" s="132">
        <f t="shared" si="149"/>
        <v>7</v>
      </c>
      <c r="Y1317" s="133"/>
      <c r="Z1317" s="133"/>
      <c r="AA1317" s="133"/>
    </row>
    <row r="1318" spans="1:27" hidden="1" x14ac:dyDescent="0.25">
      <c r="A1318" s="127">
        <v>1462</v>
      </c>
      <c r="B1318" s="128" t="str">
        <f t="shared" si="147"/>
        <v>NAMT</v>
      </c>
      <c r="C1318" s="128" t="str">
        <f>+VLOOKUP(U1318,Ходим!A:B,2,0)</f>
        <v>32607902090019</v>
      </c>
      <c r="D1318" s="128" t="str">
        <f>IFERROR(VLOOKUP($B:$B,[20]свод!$A:$AB,3,0)," ")</f>
        <v>Наманган тумани</v>
      </c>
      <c r="E1318" s="7" t="s">
        <v>2455</v>
      </c>
      <c r="F1318" s="7" t="s">
        <v>8844</v>
      </c>
      <c r="G1318" s="134">
        <f t="shared" si="151"/>
        <v>1</v>
      </c>
      <c r="H1318" s="134" t="str">
        <f t="shared" si="152"/>
        <v/>
      </c>
      <c r="I1318" s="7" t="s">
        <v>158</v>
      </c>
      <c r="J1318" s="7" t="s">
        <v>2</v>
      </c>
      <c r="K1318" s="7"/>
      <c r="L1318" s="7" t="s">
        <v>167</v>
      </c>
      <c r="M1318" s="7" t="s">
        <v>5063</v>
      </c>
      <c r="N1318" s="7" t="s">
        <v>170</v>
      </c>
      <c r="O1318" s="7" t="s">
        <v>162</v>
      </c>
      <c r="P1318" s="7" t="s">
        <v>6892</v>
      </c>
      <c r="Q1318" s="129">
        <v>46199</v>
      </c>
      <c r="R1318" s="130">
        <f t="shared" si="150"/>
        <v>46206</v>
      </c>
      <c r="S1318" s="131">
        <f t="shared" si="148"/>
        <v>7</v>
      </c>
      <c r="T1318" s="7" t="s">
        <v>193</v>
      </c>
      <c r="U1318" s="7" t="s">
        <v>243</v>
      </c>
      <c r="V1318" s="7"/>
      <c r="W1318" s="7">
        <v>0</v>
      </c>
      <c r="X1318" s="132">
        <f t="shared" si="149"/>
        <v>10</v>
      </c>
      <c r="Y1318" s="133"/>
      <c r="Z1318" s="133"/>
      <c r="AA1318" s="133"/>
    </row>
    <row r="1319" spans="1:27" hidden="1" x14ac:dyDescent="0.25">
      <c r="A1319" s="127">
        <v>1463</v>
      </c>
      <c r="B1319" s="128" t="str">
        <f t="shared" si="147"/>
        <v>NAMS</v>
      </c>
      <c r="C1319" s="128">
        <f>+VLOOKUP(U1319,Ходим!A:B,2,0)</f>
        <v>52004005950071</v>
      </c>
      <c r="D1319" s="128" t="str">
        <f>IFERROR(VLOOKUP($B:$B,[20]свод!$A:$AB,3,0)," ")</f>
        <v>Наманган шаҳар</v>
      </c>
      <c r="E1319" s="7" t="s">
        <v>2456</v>
      </c>
      <c r="F1319" s="7" t="s">
        <v>8845</v>
      </c>
      <c r="G1319" s="134">
        <f t="shared" si="151"/>
        <v>1</v>
      </c>
      <c r="H1319" s="134" t="str">
        <f t="shared" si="152"/>
        <v/>
      </c>
      <c r="I1319" s="7" t="s">
        <v>158</v>
      </c>
      <c r="J1319" s="7" t="s">
        <v>2</v>
      </c>
      <c r="K1319" s="7"/>
      <c r="L1319" s="7" t="s">
        <v>167</v>
      </c>
      <c r="M1319" s="7" t="s">
        <v>5064</v>
      </c>
      <c r="N1319" s="7" t="s">
        <v>170</v>
      </c>
      <c r="O1319" s="7" t="s">
        <v>162</v>
      </c>
      <c r="P1319" s="7" t="s">
        <v>6892</v>
      </c>
      <c r="Q1319" s="129">
        <v>46199</v>
      </c>
      <c r="R1319" s="130">
        <f t="shared" si="150"/>
        <v>46206</v>
      </c>
      <c r="S1319" s="131">
        <f t="shared" si="148"/>
        <v>7</v>
      </c>
      <c r="T1319" s="7" t="s">
        <v>173</v>
      </c>
      <c r="U1319" s="7" t="s">
        <v>1015</v>
      </c>
      <c r="V1319" s="7"/>
      <c r="W1319" s="7">
        <v>422.39</v>
      </c>
      <c r="X1319" s="132">
        <f t="shared" si="149"/>
        <v>10</v>
      </c>
      <c r="Y1319" s="133"/>
      <c r="Z1319" s="133"/>
      <c r="AA1319" s="133"/>
    </row>
    <row r="1320" spans="1:27" hidden="1" x14ac:dyDescent="0.25">
      <c r="A1320" s="127">
        <v>1464</v>
      </c>
      <c r="B1320" s="128" t="str">
        <f t="shared" si="147"/>
        <v>KSST</v>
      </c>
      <c r="C1320" s="128" t="str">
        <f>+VLOOKUP(U1320,Ходим!A:B,2,0)</f>
        <v>50709025980034</v>
      </c>
      <c r="D1320" s="128" t="str">
        <f>IFERROR(VLOOKUP($B:$B,[20]свод!$A:$AB,3,0)," ")</f>
        <v>Косонсой тумани</v>
      </c>
      <c r="E1320" s="7" t="s">
        <v>2457</v>
      </c>
      <c r="F1320" s="7" t="s">
        <v>8846</v>
      </c>
      <c r="G1320" s="134" t="str">
        <f t="shared" si="151"/>
        <v/>
      </c>
      <c r="H1320" s="134">
        <f t="shared" si="152"/>
        <v>1</v>
      </c>
      <c r="I1320" s="7" t="s">
        <v>157</v>
      </c>
      <c r="J1320" s="7" t="s">
        <v>2</v>
      </c>
      <c r="K1320" s="7"/>
      <c r="L1320" s="7"/>
      <c r="M1320" s="7"/>
      <c r="N1320" s="7" t="s">
        <v>410</v>
      </c>
      <c r="O1320" s="7" t="s">
        <v>161</v>
      </c>
      <c r="P1320" s="7" t="s">
        <v>6892</v>
      </c>
      <c r="Q1320" s="129">
        <v>46199</v>
      </c>
      <c r="R1320" s="130">
        <f t="shared" si="150"/>
        <v>46206</v>
      </c>
      <c r="S1320" s="131">
        <f t="shared" si="148"/>
        <v>7</v>
      </c>
      <c r="T1320" s="7" t="s">
        <v>180</v>
      </c>
      <c r="U1320" s="7" t="s">
        <v>286</v>
      </c>
      <c r="V1320" s="7"/>
      <c r="W1320" s="7"/>
      <c r="X1320" s="132">
        <f t="shared" ref="X1320:X1380" si="153">IF(N1320="Kadastr muhandisi",3,
IF(N1320="UZKAD",5,
IF(V1320="FREE",5,
IF(I1320="Registratsiya (tashqi - UZKAD da bor)",1,
IF(I1320="Avtoyo'l va suv xo'jaligi obyektining kadastr pasportini shakllantirish va ro'yxatga olish",7,
IF(I1320="Notarius uchun ma'lumotnoma (uz)",1,
IF(I1320="Qurilishi tugallangan ko'chmas mulkni foydalanishga qabul qilish",10,
IF(OR(I1320="Turar joy obyektning kadastr pasportini shakllantirish va davlat ro'yxatidan o'tkazish",I1320="Turar kompozit"),
IF(L1320="Turar yer maydoni",7,10),
IF(OR(I1320="Noturar obyektning kadastr pasportini shakllantirish va davlat ro'yxatidan o'tkazish",I1320="Noturar kompozit"),
IF(O1320="Ko‘p yillik daraxtlar xizmati",15,
IF(OR(L1320="Noturar yer maydoni",L1320="Davlat tashkilotlaridan ijaraga olingan yer uchastkasi"),7,
IF(W1320&lt;100,10,IF(W1320&lt;=1000,12,IF(W1320&lt;=5000,17,IF(W1320&lt;=15000,22,IF(W1320&lt;=50000,28,37))))))),
IF(I1320="Umumiy foydalanishdagi ko'chmas mulk qismini yaratish",
IF(IF(TRIM(L1320)="",IF(OR(O1320="Turar joy xizmati",O1320="Yakka tartibdagi turar joy"),"Turar","Noturar"),IF(OR(L1320="Yakka tartibdagi turar joy",L1320="Turar joy xizmati"),"Turar","Noturar"))="Turar",
10,IF(W1320&lt;100,10,IF(W1320&lt;=1000,12,IF(W1320&lt;=5000,17,IF(W1320&lt;=15000,22,IF(W1320&lt;=50000,28,37)))))),
0))))))))))</f>
        <v>10</v>
      </c>
      <c r="Y1320" s="133"/>
      <c r="Z1320" s="133"/>
      <c r="AA1320" s="133"/>
    </row>
    <row r="1321" spans="1:27" hidden="1" x14ac:dyDescent="0.25">
      <c r="A1321" s="127">
        <v>1465</v>
      </c>
      <c r="B1321" s="128" t="str">
        <f t="shared" ref="B1321:B1380" si="154">LEFT(E1321,4)</f>
        <v>NAMS</v>
      </c>
      <c r="C1321" s="128" t="str">
        <f>+VLOOKUP(U1321,Ходим!A:B,2,0)</f>
        <v>30108932170088</v>
      </c>
      <c r="D1321" s="128" t="str">
        <f>IFERROR(VLOOKUP($B:$B,[20]свод!$A:$AB,3,0)," ")</f>
        <v>Наманган шаҳар</v>
      </c>
      <c r="E1321" s="7" t="s">
        <v>2458</v>
      </c>
      <c r="F1321" s="7" t="s">
        <v>8847</v>
      </c>
      <c r="G1321" s="134">
        <f t="shared" si="151"/>
        <v>1</v>
      </c>
      <c r="H1321" s="134" t="str">
        <f t="shared" si="152"/>
        <v/>
      </c>
      <c r="I1321" s="7" t="s">
        <v>156</v>
      </c>
      <c r="J1321" s="7" t="s">
        <v>22</v>
      </c>
      <c r="K1321" s="7"/>
      <c r="L1321" s="7" t="s">
        <v>167</v>
      </c>
      <c r="M1321" s="7" t="s">
        <v>5065</v>
      </c>
      <c r="N1321" s="7" t="s">
        <v>170</v>
      </c>
      <c r="O1321" s="7" t="s">
        <v>162</v>
      </c>
      <c r="P1321" s="7" t="s">
        <v>6893</v>
      </c>
      <c r="Q1321" s="129">
        <v>46199</v>
      </c>
      <c r="R1321" s="130">
        <f t="shared" si="150"/>
        <v>46212</v>
      </c>
      <c r="S1321" s="131">
        <f t="shared" ref="S1321:S1380" si="155">R1321-Q1321</f>
        <v>13</v>
      </c>
      <c r="T1321" s="7" t="s">
        <v>173</v>
      </c>
      <c r="U1321" s="7" t="s">
        <v>329</v>
      </c>
      <c r="V1321" s="7"/>
      <c r="W1321" s="7">
        <v>0</v>
      </c>
      <c r="X1321" s="132">
        <f t="shared" si="153"/>
        <v>10</v>
      </c>
      <c r="Y1321" s="133"/>
      <c r="Z1321" s="133"/>
      <c r="AA1321" s="133"/>
    </row>
    <row r="1322" spans="1:27" hidden="1" x14ac:dyDescent="0.25">
      <c r="A1322" s="127">
        <v>1466</v>
      </c>
      <c r="B1322" s="128" t="str">
        <f t="shared" si="154"/>
        <v>CHUT</v>
      </c>
      <c r="C1322" s="128" t="str">
        <f>+VLOOKUP(U1322,Ходим!A:B,2,0)</f>
        <v>52508015970048</v>
      </c>
      <c r="D1322" s="128" t="str">
        <f>IFERROR(VLOOKUP($B:$B,[20]свод!$A:$AB,3,0)," ")</f>
        <v>Чуст тумани</v>
      </c>
      <c r="E1322" s="7" t="s">
        <v>2459</v>
      </c>
      <c r="F1322" s="7" t="s">
        <v>8848</v>
      </c>
      <c r="G1322" s="134" t="str">
        <f t="shared" si="151"/>
        <v/>
      </c>
      <c r="H1322" s="134">
        <f t="shared" si="152"/>
        <v>1</v>
      </c>
      <c r="I1322" s="7" t="s">
        <v>157</v>
      </c>
      <c r="J1322" s="7" t="s">
        <v>172</v>
      </c>
      <c r="K1322" s="7"/>
      <c r="L1322" s="7" t="s">
        <v>168</v>
      </c>
      <c r="M1322" s="7" t="s">
        <v>5066</v>
      </c>
      <c r="N1322" s="7" t="s">
        <v>410</v>
      </c>
      <c r="O1322" s="7" t="s">
        <v>161</v>
      </c>
      <c r="P1322" s="7" t="s">
        <v>6894</v>
      </c>
      <c r="Q1322" s="129">
        <v>46199</v>
      </c>
      <c r="R1322" s="130">
        <f t="shared" si="150"/>
        <v>46203</v>
      </c>
      <c r="S1322" s="131">
        <f t="shared" si="155"/>
        <v>4</v>
      </c>
      <c r="T1322" s="7" t="s">
        <v>178</v>
      </c>
      <c r="U1322" s="7" t="s">
        <v>350</v>
      </c>
      <c r="V1322" s="7"/>
      <c r="W1322" s="7">
        <v>0</v>
      </c>
      <c r="X1322" s="132">
        <f t="shared" si="153"/>
        <v>7</v>
      </c>
      <c r="Y1322" s="133"/>
      <c r="Z1322" s="133"/>
      <c r="AA1322" s="133"/>
    </row>
    <row r="1323" spans="1:27" hidden="1" x14ac:dyDescent="0.25">
      <c r="A1323" s="127">
        <v>1467</v>
      </c>
      <c r="B1323" s="128" t="str">
        <f t="shared" si="154"/>
        <v>NAMS</v>
      </c>
      <c r="C1323" s="128" t="str">
        <f>+VLOOKUP(U1323,Ходим!A:B,2,0)</f>
        <v>31007955980023</v>
      </c>
      <c r="D1323" s="128" t="str">
        <f>IFERROR(VLOOKUP($B:$B,[20]свод!$A:$AB,3,0)," ")</f>
        <v>Наманган шаҳар</v>
      </c>
      <c r="E1323" s="7" t="s">
        <v>2460</v>
      </c>
      <c r="F1323" s="7" t="s">
        <v>8849</v>
      </c>
      <c r="G1323" s="134">
        <f t="shared" si="151"/>
        <v>1</v>
      </c>
      <c r="H1323" s="134" t="str">
        <f t="shared" si="152"/>
        <v/>
      </c>
      <c r="I1323" s="7" t="s">
        <v>156</v>
      </c>
      <c r="J1323" s="7" t="s">
        <v>25</v>
      </c>
      <c r="K1323" s="7"/>
      <c r="L1323" s="7"/>
      <c r="M1323" s="7"/>
      <c r="N1323" s="7" t="s">
        <v>170</v>
      </c>
      <c r="O1323" s="7" t="s">
        <v>162</v>
      </c>
      <c r="P1323" s="7" t="s">
        <v>6894</v>
      </c>
      <c r="Q1323" s="129">
        <v>46199</v>
      </c>
      <c r="R1323" s="130">
        <f t="shared" si="150"/>
        <v>46206</v>
      </c>
      <c r="S1323" s="131">
        <f t="shared" si="155"/>
        <v>7</v>
      </c>
      <c r="T1323" s="7" t="s">
        <v>173</v>
      </c>
      <c r="U1323" s="7" t="s">
        <v>207</v>
      </c>
      <c r="V1323" s="7"/>
      <c r="W1323" s="7"/>
      <c r="X1323" s="132">
        <f t="shared" si="153"/>
        <v>10</v>
      </c>
      <c r="Y1323" s="133"/>
      <c r="Z1323" s="133"/>
      <c r="AA1323" s="133"/>
    </row>
    <row r="1324" spans="1:27" hidden="1" x14ac:dyDescent="0.25">
      <c r="A1324" s="127">
        <v>1468</v>
      </c>
      <c r="B1324" s="128" t="str">
        <f t="shared" si="154"/>
        <v>YGQT</v>
      </c>
      <c r="C1324" s="128" t="str">
        <f>+VLOOKUP(U1324,Ходим!A:B,2,0)</f>
        <v>30903902160122</v>
      </c>
      <c r="D1324" s="128" t="str">
        <f>IFERROR(VLOOKUP($B:$B,[20]свод!$A:$AB,3,0)," ")</f>
        <v>Янгиқўрғон тумани</v>
      </c>
      <c r="E1324" s="7" t="s">
        <v>2461</v>
      </c>
      <c r="F1324" s="7" t="s">
        <v>8850</v>
      </c>
      <c r="G1324" s="134" t="str">
        <f t="shared" si="151"/>
        <v/>
      </c>
      <c r="H1324" s="134">
        <f t="shared" si="152"/>
        <v>1</v>
      </c>
      <c r="I1324" s="7" t="s">
        <v>157</v>
      </c>
      <c r="J1324" s="7" t="s">
        <v>172</v>
      </c>
      <c r="K1324" s="7"/>
      <c r="L1324" s="7"/>
      <c r="M1324" s="7"/>
      <c r="N1324" s="7" t="s">
        <v>170</v>
      </c>
      <c r="O1324" s="7" t="s">
        <v>161</v>
      </c>
      <c r="P1324" s="7" t="s">
        <v>6894</v>
      </c>
      <c r="Q1324" s="129">
        <v>46199</v>
      </c>
      <c r="R1324" s="130">
        <f t="shared" si="150"/>
        <v>46206</v>
      </c>
      <c r="S1324" s="131">
        <f t="shared" si="155"/>
        <v>7</v>
      </c>
      <c r="T1324" s="7" t="s">
        <v>255</v>
      </c>
      <c r="U1324" s="7" t="s">
        <v>230</v>
      </c>
      <c r="V1324" s="7"/>
      <c r="W1324" s="7"/>
      <c r="X1324" s="132">
        <f t="shared" si="153"/>
        <v>10</v>
      </c>
      <c r="Y1324" s="133"/>
      <c r="Z1324" s="133"/>
      <c r="AA1324" s="133"/>
    </row>
    <row r="1325" spans="1:27" hidden="1" x14ac:dyDescent="0.25">
      <c r="A1325" s="127">
        <v>1469</v>
      </c>
      <c r="B1325" s="128" t="str">
        <f t="shared" si="154"/>
        <v>KSST</v>
      </c>
      <c r="C1325" s="128" t="str">
        <f>+VLOOKUP(U1325,Ходим!A:B,2,0)</f>
        <v>50709025980034</v>
      </c>
      <c r="D1325" s="128" t="str">
        <f>IFERROR(VLOOKUP($B:$B,[20]свод!$A:$AB,3,0)," ")</f>
        <v>Косонсой тумани</v>
      </c>
      <c r="E1325" s="7" t="s">
        <v>2462</v>
      </c>
      <c r="F1325" s="7" t="s">
        <v>8851</v>
      </c>
      <c r="G1325" s="134" t="str">
        <f t="shared" si="151"/>
        <v/>
      </c>
      <c r="H1325" s="134">
        <f t="shared" si="152"/>
        <v>1</v>
      </c>
      <c r="I1325" s="7" t="s">
        <v>157</v>
      </c>
      <c r="J1325" s="7" t="s">
        <v>2</v>
      </c>
      <c r="K1325" s="7"/>
      <c r="L1325" s="7"/>
      <c r="M1325" s="7"/>
      <c r="N1325" s="7" t="s">
        <v>410</v>
      </c>
      <c r="O1325" s="7" t="s">
        <v>161</v>
      </c>
      <c r="P1325" s="7" t="s">
        <v>6894</v>
      </c>
      <c r="Q1325" s="129">
        <v>46199</v>
      </c>
      <c r="R1325" s="130">
        <f t="shared" si="150"/>
        <v>46206</v>
      </c>
      <c r="S1325" s="131">
        <f t="shared" si="155"/>
        <v>7</v>
      </c>
      <c r="T1325" s="7" t="s">
        <v>180</v>
      </c>
      <c r="U1325" s="7" t="s">
        <v>286</v>
      </c>
      <c r="V1325" s="7"/>
      <c r="W1325" s="7"/>
      <c r="X1325" s="132">
        <f t="shared" si="153"/>
        <v>10</v>
      </c>
      <c r="Y1325" s="133"/>
      <c r="Z1325" s="133"/>
      <c r="AA1325" s="133"/>
    </row>
    <row r="1326" spans="1:27" hidden="1" x14ac:dyDescent="0.25">
      <c r="A1326" s="127">
        <v>1470</v>
      </c>
      <c r="B1326" s="128" t="str">
        <f t="shared" si="154"/>
        <v>CHUT</v>
      </c>
      <c r="C1326" s="128" t="str">
        <f>+VLOOKUP(U1326,Ходим!A:B,2,0)</f>
        <v>31509882180058</v>
      </c>
      <c r="D1326" s="128" t="str">
        <f>IFERROR(VLOOKUP($B:$B,[20]свод!$A:$AB,3,0)," ")</f>
        <v>Чуст тумани</v>
      </c>
      <c r="E1326" s="7" t="s">
        <v>2463</v>
      </c>
      <c r="F1326" s="7" t="s">
        <v>8852</v>
      </c>
      <c r="G1326" s="134" t="str">
        <f t="shared" si="151"/>
        <v/>
      </c>
      <c r="H1326" s="134">
        <f t="shared" si="152"/>
        <v>1</v>
      </c>
      <c r="I1326" s="7" t="s">
        <v>157</v>
      </c>
      <c r="J1326" s="7" t="s">
        <v>172</v>
      </c>
      <c r="K1326" s="7"/>
      <c r="L1326" s="7" t="s">
        <v>168</v>
      </c>
      <c r="M1326" s="7" t="s">
        <v>5067</v>
      </c>
      <c r="N1326" s="7" t="s">
        <v>410</v>
      </c>
      <c r="O1326" s="7" t="s">
        <v>161</v>
      </c>
      <c r="P1326" s="7" t="s">
        <v>6894</v>
      </c>
      <c r="Q1326" s="129">
        <v>46199</v>
      </c>
      <c r="R1326" s="130">
        <f t="shared" si="150"/>
        <v>46203</v>
      </c>
      <c r="S1326" s="131">
        <f t="shared" si="155"/>
        <v>4</v>
      </c>
      <c r="T1326" s="7" t="s">
        <v>178</v>
      </c>
      <c r="U1326" s="7" t="s">
        <v>324</v>
      </c>
      <c r="V1326" s="7"/>
      <c r="W1326" s="7">
        <v>0</v>
      </c>
      <c r="X1326" s="132">
        <f t="shared" si="153"/>
        <v>7</v>
      </c>
      <c r="Y1326" s="133"/>
      <c r="Z1326" s="133"/>
      <c r="AA1326" s="133"/>
    </row>
    <row r="1327" spans="1:27" hidden="1" x14ac:dyDescent="0.25">
      <c r="A1327" s="127">
        <v>1471</v>
      </c>
      <c r="B1327" s="128" t="str">
        <f t="shared" si="154"/>
        <v>CHUT</v>
      </c>
      <c r="C1327" s="128" t="str">
        <f>+VLOOKUP(U1327,Ходим!A:B,2,0)</f>
        <v>32006862180015</v>
      </c>
      <c r="D1327" s="128" t="str">
        <f>IFERROR(VLOOKUP($B:$B,[20]свод!$A:$AB,3,0)," ")</f>
        <v>Чуст тумани</v>
      </c>
      <c r="E1327" s="7" t="s">
        <v>2464</v>
      </c>
      <c r="F1327" s="7" t="s">
        <v>8853</v>
      </c>
      <c r="G1327" s="134">
        <f t="shared" si="151"/>
        <v>1</v>
      </c>
      <c r="H1327" s="134" t="str">
        <f t="shared" si="152"/>
        <v/>
      </c>
      <c r="I1327" s="7" t="s">
        <v>156</v>
      </c>
      <c r="J1327" s="7" t="s">
        <v>25</v>
      </c>
      <c r="K1327" s="7"/>
      <c r="L1327" s="7"/>
      <c r="M1327" s="7"/>
      <c r="N1327" s="7" t="s">
        <v>170</v>
      </c>
      <c r="O1327" s="7" t="s">
        <v>162</v>
      </c>
      <c r="P1327" s="7" t="s">
        <v>6895</v>
      </c>
      <c r="Q1327" s="129">
        <v>46199</v>
      </c>
      <c r="R1327" s="130">
        <f t="shared" si="150"/>
        <v>46212</v>
      </c>
      <c r="S1327" s="131">
        <f t="shared" si="155"/>
        <v>13</v>
      </c>
      <c r="T1327" s="7" t="s">
        <v>178</v>
      </c>
      <c r="U1327" s="7" t="s">
        <v>347</v>
      </c>
      <c r="V1327" s="7"/>
      <c r="W1327" s="7"/>
      <c r="X1327" s="132">
        <f t="shared" si="153"/>
        <v>10</v>
      </c>
      <c r="Y1327" s="133"/>
      <c r="Z1327" s="133"/>
      <c r="AA1327" s="133"/>
    </row>
    <row r="1328" spans="1:27" x14ac:dyDescent="0.25">
      <c r="A1328" s="127">
        <v>1472</v>
      </c>
      <c r="B1328" s="128" t="str">
        <f t="shared" si="154"/>
        <v>TORT</v>
      </c>
      <c r="C1328" s="128" t="str">
        <f>+VLOOKUP(U1328,Ходим!A:B,2,0)</f>
        <v>30708792130017</v>
      </c>
      <c r="D1328" s="128" t="str">
        <f>IFERROR(VLOOKUP($B:$B,[20]свод!$A:$AB,3,0)," ")</f>
        <v>Тўрақўрғон тумани</v>
      </c>
      <c r="E1328" s="7" t="s">
        <v>2465</v>
      </c>
      <c r="F1328" s="7" t="s">
        <v>8854</v>
      </c>
      <c r="G1328" s="134">
        <f t="shared" si="151"/>
        <v>1</v>
      </c>
      <c r="H1328" s="134" t="str">
        <f t="shared" si="152"/>
        <v/>
      </c>
      <c r="I1328" s="7" t="s">
        <v>158</v>
      </c>
      <c r="J1328" s="7" t="s">
        <v>1</v>
      </c>
      <c r="K1328" s="7"/>
      <c r="L1328" s="7" t="s">
        <v>167</v>
      </c>
      <c r="M1328" s="7" t="s">
        <v>5068</v>
      </c>
      <c r="N1328" s="7" t="s">
        <v>170</v>
      </c>
      <c r="O1328" s="7" t="s">
        <v>162</v>
      </c>
      <c r="P1328" s="7" t="s">
        <v>6664</v>
      </c>
      <c r="Q1328" s="129">
        <v>46199</v>
      </c>
      <c r="R1328" s="130">
        <f t="shared" si="150"/>
        <v>46199</v>
      </c>
      <c r="S1328" s="131">
        <f t="shared" si="155"/>
        <v>0</v>
      </c>
      <c r="T1328" s="7" t="s">
        <v>203</v>
      </c>
      <c r="U1328" s="7" t="s">
        <v>204</v>
      </c>
      <c r="V1328" s="7"/>
      <c r="W1328" s="7">
        <v>46</v>
      </c>
      <c r="X1328" s="132">
        <f t="shared" si="153"/>
        <v>10</v>
      </c>
      <c r="Y1328" s="133"/>
      <c r="Z1328" s="133"/>
      <c r="AA1328" s="133"/>
    </row>
    <row r="1329" spans="1:27" hidden="1" x14ac:dyDescent="0.25">
      <c r="A1329" s="127">
        <v>1473</v>
      </c>
      <c r="B1329" s="128" t="str">
        <f t="shared" si="154"/>
        <v>NAMS</v>
      </c>
      <c r="C1329" s="128" t="str">
        <f>+VLOOKUP(U1329,Ходим!A:B,2,0)</f>
        <v>51406015960142</v>
      </c>
      <c r="D1329" s="128" t="str">
        <f>IFERROR(VLOOKUP($B:$B,[20]свод!$A:$AB,3,0)," ")</f>
        <v>Наманган шаҳар</v>
      </c>
      <c r="E1329" s="7" t="s">
        <v>2466</v>
      </c>
      <c r="F1329" s="7" t="s">
        <v>8855</v>
      </c>
      <c r="G1329" s="134">
        <f t="shared" si="151"/>
        <v>1</v>
      </c>
      <c r="H1329" s="134" t="str">
        <f t="shared" si="152"/>
        <v/>
      </c>
      <c r="I1329" s="7" t="s">
        <v>158</v>
      </c>
      <c r="J1329" s="7" t="s">
        <v>1</v>
      </c>
      <c r="K1329" s="7"/>
      <c r="L1329" s="7" t="s">
        <v>167</v>
      </c>
      <c r="M1329" s="7" t="s">
        <v>5069</v>
      </c>
      <c r="N1329" s="7" t="s">
        <v>170</v>
      </c>
      <c r="O1329" s="7" t="s">
        <v>162</v>
      </c>
      <c r="P1329" s="7" t="s">
        <v>6896</v>
      </c>
      <c r="Q1329" s="129">
        <v>46199</v>
      </c>
      <c r="R1329" s="130">
        <f t="shared" ref="R1329:R1390" si="156">WORKDAY(P1329,X1329,$Y$1:$AA$1)</f>
        <v>46206</v>
      </c>
      <c r="S1329" s="131">
        <f t="shared" si="155"/>
        <v>7</v>
      </c>
      <c r="T1329" s="7" t="s">
        <v>185</v>
      </c>
      <c r="U1329" s="7" t="s">
        <v>349</v>
      </c>
      <c r="V1329" s="7"/>
      <c r="W1329" s="7">
        <v>405.62</v>
      </c>
      <c r="X1329" s="132">
        <f t="shared" si="153"/>
        <v>10</v>
      </c>
      <c r="Y1329" s="133"/>
      <c r="Z1329" s="133"/>
      <c r="AA1329" s="133"/>
    </row>
    <row r="1330" spans="1:27" hidden="1" x14ac:dyDescent="0.25">
      <c r="A1330" s="127">
        <v>1474</v>
      </c>
      <c r="B1330" s="128" t="str">
        <f t="shared" si="154"/>
        <v>YGQT</v>
      </c>
      <c r="C1330" s="128" t="str">
        <f>+VLOOKUP(U1330,Ходим!A:B,2,0)</f>
        <v>52410005950025</v>
      </c>
      <c r="D1330" s="128" t="str">
        <f>IFERROR(VLOOKUP($B:$B,[20]свод!$A:$AB,3,0)," ")</f>
        <v>Янгиқўрғон тумани</v>
      </c>
      <c r="E1330" s="7" t="s">
        <v>2467</v>
      </c>
      <c r="F1330" s="7" t="s">
        <v>8856</v>
      </c>
      <c r="G1330" s="134">
        <f t="shared" si="151"/>
        <v>1</v>
      </c>
      <c r="H1330" s="134" t="str">
        <f t="shared" si="152"/>
        <v/>
      </c>
      <c r="I1330" s="7" t="s">
        <v>158</v>
      </c>
      <c r="J1330" s="7" t="s">
        <v>2</v>
      </c>
      <c r="K1330" s="7" t="s">
        <v>10626</v>
      </c>
      <c r="L1330" s="7" t="s">
        <v>167</v>
      </c>
      <c r="M1330" s="7" t="s">
        <v>5070</v>
      </c>
      <c r="N1330" s="7" t="s">
        <v>171</v>
      </c>
      <c r="O1330" s="7" t="s">
        <v>164</v>
      </c>
      <c r="P1330" s="7" t="s">
        <v>6896</v>
      </c>
      <c r="Q1330" s="129">
        <v>46199</v>
      </c>
      <c r="R1330" s="130">
        <f t="shared" si="156"/>
        <v>46206</v>
      </c>
      <c r="S1330" s="131">
        <f t="shared" si="155"/>
        <v>7</v>
      </c>
      <c r="T1330" s="7" t="s">
        <v>182</v>
      </c>
      <c r="U1330" s="7" t="s">
        <v>256</v>
      </c>
      <c r="V1330" s="7"/>
      <c r="W1330" s="7">
        <v>0</v>
      </c>
      <c r="X1330" s="132">
        <f t="shared" si="153"/>
        <v>10</v>
      </c>
      <c r="Y1330" s="133"/>
      <c r="Z1330" s="133"/>
      <c r="AA1330" s="133"/>
    </row>
    <row r="1331" spans="1:27" hidden="1" x14ac:dyDescent="0.25">
      <c r="A1331" s="127">
        <v>1475</v>
      </c>
      <c r="B1331" s="128" t="str">
        <f t="shared" si="154"/>
        <v>NAMS</v>
      </c>
      <c r="C1331" s="128" t="str">
        <f>+VLOOKUP(U1331,Ходим!A:B,2,0)</f>
        <v>33012942170121</v>
      </c>
      <c r="D1331" s="128" t="str">
        <f>IFERROR(VLOOKUP($B:$B,[20]свод!$A:$AB,3,0)," ")</f>
        <v>Наманган шаҳар</v>
      </c>
      <c r="E1331" s="7" t="s">
        <v>2468</v>
      </c>
      <c r="F1331" s="7" t="s">
        <v>8857</v>
      </c>
      <c r="G1331" s="134">
        <f t="shared" si="151"/>
        <v>1</v>
      </c>
      <c r="H1331" s="134" t="str">
        <f t="shared" si="152"/>
        <v/>
      </c>
      <c r="I1331" s="7" t="s">
        <v>156</v>
      </c>
      <c r="J1331" s="7" t="s">
        <v>25</v>
      </c>
      <c r="K1331" s="7"/>
      <c r="L1331" s="7"/>
      <c r="M1331" s="7"/>
      <c r="N1331" s="7" t="s">
        <v>170</v>
      </c>
      <c r="O1331" s="7" t="s">
        <v>162</v>
      </c>
      <c r="P1331" s="7" t="s">
        <v>6896</v>
      </c>
      <c r="Q1331" s="129">
        <v>46199</v>
      </c>
      <c r="R1331" s="130">
        <f t="shared" si="156"/>
        <v>46206</v>
      </c>
      <c r="S1331" s="131">
        <f t="shared" si="155"/>
        <v>7</v>
      </c>
      <c r="T1331" s="7" t="s">
        <v>173</v>
      </c>
      <c r="U1331" s="7" t="s">
        <v>259</v>
      </c>
      <c r="V1331" s="7"/>
      <c r="W1331" s="7"/>
      <c r="X1331" s="132">
        <f t="shared" si="153"/>
        <v>10</v>
      </c>
      <c r="Y1331" s="133"/>
      <c r="Z1331" s="133"/>
      <c r="AA1331" s="133"/>
    </row>
    <row r="1332" spans="1:27" hidden="1" x14ac:dyDescent="0.25">
      <c r="A1332" s="127">
        <v>1476</v>
      </c>
      <c r="B1332" s="128" t="str">
        <f t="shared" si="154"/>
        <v>CHUT</v>
      </c>
      <c r="C1332" s="128" t="str">
        <f>+VLOOKUP(U1332,Ходим!A:B,2,0)</f>
        <v>30202885970013</v>
      </c>
      <c r="D1332" s="128" t="str">
        <f>IFERROR(VLOOKUP($B:$B,[20]свод!$A:$AB,3,0)," ")</f>
        <v>Чуст тумани</v>
      </c>
      <c r="E1332" s="7" t="s">
        <v>2469</v>
      </c>
      <c r="F1332" s="7" t="s">
        <v>8858</v>
      </c>
      <c r="G1332" s="134" t="str">
        <f t="shared" si="151"/>
        <v/>
      </c>
      <c r="H1332" s="134">
        <f t="shared" si="152"/>
        <v>1</v>
      </c>
      <c r="I1332" s="7" t="s">
        <v>157</v>
      </c>
      <c r="J1332" s="7" t="s">
        <v>172</v>
      </c>
      <c r="K1332" s="7"/>
      <c r="L1332" s="7" t="s">
        <v>168</v>
      </c>
      <c r="M1332" s="7" t="s">
        <v>5071</v>
      </c>
      <c r="N1332" s="7" t="s">
        <v>410</v>
      </c>
      <c r="O1332" s="7" t="s">
        <v>161</v>
      </c>
      <c r="P1332" s="7" t="s">
        <v>6896</v>
      </c>
      <c r="Q1332" s="129">
        <v>46199</v>
      </c>
      <c r="R1332" s="130">
        <f t="shared" si="156"/>
        <v>46203</v>
      </c>
      <c r="S1332" s="131">
        <f t="shared" si="155"/>
        <v>4</v>
      </c>
      <c r="T1332" s="7" t="s">
        <v>178</v>
      </c>
      <c r="U1332" s="7" t="s">
        <v>289</v>
      </c>
      <c r="V1332" s="7"/>
      <c r="W1332" s="7">
        <v>0</v>
      </c>
      <c r="X1332" s="132">
        <f t="shared" si="153"/>
        <v>7</v>
      </c>
      <c r="Y1332" s="133"/>
      <c r="Z1332" s="133"/>
      <c r="AA1332" s="133"/>
    </row>
    <row r="1333" spans="1:27" hidden="1" x14ac:dyDescent="0.25">
      <c r="A1333" s="127">
        <v>1477</v>
      </c>
      <c r="B1333" s="128" t="str">
        <f t="shared" si="154"/>
        <v>NAMS</v>
      </c>
      <c r="C1333" s="128" t="str">
        <f>+VLOOKUP(U1333,Ходим!A:B,2,0)</f>
        <v>51911035960011</v>
      </c>
      <c r="D1333" s="128" t="str">
        <f>IFERROR(VLOOKUP($B:$B,[20]свод!$A:$AB,3,0)," ")</f>
        <v>Наманган шаҳар</v>
      </c>
      <c r="E1333" s="7" t="s">
        <v>2470</v>
      </c>
      <c r="F1333" s="7" t="s">
        <v>8859</v>
      </c>
      <c r="G1333" s="134">
        <f t="shared" ref="G1333:G1394" si="157">IF(OR(
I1333="Turar joy obyektning kadastr pasportini shakllantirish va davlat ro'yxatidan o'tkazish",
I1333="Turar kompozit"
),
1,
IF(OR(
I1333="Noturar kompozit",
I1333="Avtoyo'l va suv xo'jaligi obyektining kadastr pasportini shakllantirish va ro'yxatga olish",
I1333="Noturar obyektning kadastr pasportining kadastr pasportini shakllantirish va davlat ro'yxatidan o'tkazish"
),
"",
IF(OR(
I1333="Notarius uchun ma'lumotnoma (uz)",
I1333="Qurilishi tugallangan ko'chmas mulkni foydalanishga qabul qilish",
I1333="Umumiy foydalanishdagi ko'chmas mulk qismini yaratish",
I1333="Registratsiya (tashqi - UZKAD da bor)"
),
IF(OR(L1333="Turar yer maydoni",L1333="Yakka tartibdagi turar joy"),1,
IF(L1333="Noturar bino","",
IF(L1333="Noturar yer maydoni","",
IF(L1333="",IF(OR(O1333="Turar joy xizmati",O1333="Foydalanishga ruxsatnoma berish xizmati"),1,""),"")
))),
"")))</f>
        <v>1</v>
      </c>
      <c r="H1333" s="134" t="str">
        <f t="shared" ref="H1333:H1394" si="158">IF(OR(
I1333="Turar joy obyektning kadastr pasportini shakllantirish va davlat ro'yxatidan o'tkazish",
I1333="Turar kompozit"
),
"",
IF(OR(
I1333="Noturar kompozit",
I1333="Avtoyo'l va suv xo'jaligi obyektining kadastr pasportini shakllantirish va ro'yxatga olish",
I1333="Noturar obyektning kadastr pasportini shakllantirish va davlat ro'yxatidan o'tkazish"
),
1,
IF(OR(
I1333="Notarius uchun ma'lumotnoma (uz)",
I1333="Qurilishi tugallangan ko'chmas mulkni foydalanishga qabul qilish",
I1333="Umumiy foydalanishdagi ko'chmas mulk qismini yaratish",
I1333="Registratsiya (tashqi - UZKAD da bor)"
),
IF(OR(L1333="Turar yer maydoni",L1333="Yakka tartibdagi turar joy"),"",
IF(L1333="Noturar bino",1,
IF(L1333="Noturar yer maydoni",1,
IF(L1333="",IF(OR(O1333="Turar joy xizmati",O1333="Foydalanishga ruxsatnoma berish xizmati"),"",1),"")
))),
"")))</f>
        <v/>
      </c>
      <c r="I1333" s="7" t="s">
        <v>158</v>
      </c>
      <c r="J1333" s="7" t="s">
        <v>1</v>
      </c>
      <c r="K1333" s="7"/>
      <c r="L1333" s="7" t="s">
        <v>167</v>
      </c>
      <c r="M1333" s="7" t="s">
        <v>5072</v>
      </c>
      <c r="N1333" s="7" t="s">
        <v>170</v>
      </c>
      <c r="O1333" s="7" t="s">
        <v>162</v>
      </c>
      <c r="P1333" s="7" t="s">
        <v>6564</v>
      </c>
      <c r="Q1333" s="129">
        <v>46199</v>
      </c>
      <c r="R1333" s="130">
        <f t="shared" si="156"/>
        <v>46205</v>
      </c>
      <c r="S1333" s="131">
        <f t="shared" si="155"/>
        <v>6</v>
      </c>
      <c r="T1333" s="7" t="s">
        <v>185</v>
      </c>
      <c r="U1333" s="7" t="s">
        <v>371</v>
      </c>
      <c r="V1333" s="7"/>
      <c r="W1333" s="7">
        <v>319.39</v>
      </c>
      <c r="X1333" s="132">
        <f t="shared" si="153"/>
        <v>10</v>
      </c>
      <c r="Y1333" s="133"/>
      <c r="Z1333" s="133"/>
      <c r="AA1333" s="133"/>
    </row>
    <row r="1334" spans="1:27" hidden="1" x14ac:dyDescent="0.25">
      <c r="A1334" s="127">
        <v>1478</v>
      </c>
      <c r="B1334" s="128" t="str">
        <f t="shared" si="154"/>
        <v>NAMS</v>
      </c>
      <c r="C1334" s="128" t="str">
        <f>+VLOOKUP(U1334,Ходим!A:B,2,0)</f>
        <v>30809892160183</v>
      </c>
      <c r="D1334" s="128" t="str">
        <f>IFERROR(VLOOKUP($B:$B,[20]свод!$A:$AB,3,0)," ")</f>
        <v>Наманган шаҳар</v>
      </c>
      <c r="E1334" s="7" t="s">
        <v>2471</v>
      </c>
      <c r="F1334" s="7" t="s">
        <v>8860</v>
      </c>
      <c r="G1334" s="134" t="str">
        <f t="shared" si="157"/>
        <v/>
      </c>
      <c r="H1334" s="134">
        <f t="shared" si="158"/>
        <v>1</v>
      </c>
      <c r="I1334" s="7" t="s">
        <v>157</v>
      </c>
      <c r="J1334" s="7" t="s">
        <v>36</v>
      </c>
      <c r="K1334" s="7"/>
      <c r="L1334" s="7" t="s">
        <v>166</v>
      </c>
      <c r="M1334" s="7" t="s">
        <v>5073</v>
      </c>
      <c r="N1334" s="7" t="s">
        <v>410</v>
      </c>
      <c r="O1334" s="7" t="s">
        <v>163</v>
      </c>
      <c r="P1334" s="7" t="s">
        <v>6897</v>
      </c>
      <c r="Q1334" s="129">
        <v>46199</v>
      </c>
      <c r="R1334" s="130">
        <f t="shared" si="156"/>
        <v>46213</v>
      </c>
      <c r="S1334" s="131">
        <f t="shared" si="155"/>
        <v>14</v>
      </c>
      <c r="T1334" s="7" t="s">
        <v>185</v>
      </c>
      <c r="U1334" s="7" t="s">
        <v>192</v>
      </c>
      <c r="V1334" s="7"/>
      <c r="W1334" s="7">
        <v>4253.09</v>
      </c>
      <c r="X1334" s="132">
        <f t="shared" si="153"/>
        <v>17</v>
      </c>
      <c r="Y1334" s="133"/>
      <c r="Z1334" s="133"/>
      <c r="AA1334" s="133"/>
    </row>
    <row r="1335" spans="1:27" hidden="1" x14ac:dyDescent="0.25">
      <c r="A1335" s="127">
        <v>1479</v>
      </c>
      <c r="B1335" s="128" t="str">
        <f t="shared" si="154"/>
        <v>POPT</v>
      </c>
      <c r="C1335" s="128" t="str">
        <f>+VLOOKUP(U1335,Ходим!A:B,2,0)</f>
        <v>31103842180041</v>
      </c>
      <c r="D1335" s="128" t="str">
        <f>IFERROR(VLOOKUP($B:$B,[20]свод!$A:$AB,3,0)," ")</f>
        <v>Поп тумани</v>
      </c>
      <c r="E1335" s="7" t="s">
        <v>2472</v>
      </c>
      <c r="F1335" s="7" t="s">
        <v>8861</v>
      </c>
      <c r="G1335" s="134">
        <f t="shared" si="157"/>
        <v>1</v>
      </c>
      <c r="H1335" s="134" t="str">
        <f t="shared" si="158"/>
        <v/>
      </c>
      <c r="I1335" s="7" t="s">
        <v>158</v>
      </c>
      <c r="J1335" s="7" t="s">
        <v>16</v>
      </c>
      <c r="K1335" s="7"/>
      <c r="L1335" s="7" t="s">
        <v>167</v>
      </c>
      <c r="M1335" s="7" t="s">
        <v>5074</v>
      </c>
      <c r="N1335" s="7" t="s">
        <v>170</v>
      </c>
      <c r="O1335" s="7" t="s">
        <v>162</v>
      </c>
      <c r="P1335" s="7" t="s">
        <v>6898</v>
      </c>
      <c r="Q1335" s="129">
        <v>46199</v>
      </c>
      <c r="R1335" s="130">
        <f t="shared" si="156"/>
        <v>46202</v>
      </c>
      <c r="S1335" s="131">
        <f t="shared" si="155"/>
        <v>3</v>
      </c>
      <c r="T1335" s="7" t="s">
        <v>214</v>
      </c>
      <c r="U1335" s="7" t="s">
        <v>337</v>
      </c>
      <c r="V1335" s="7"/>
      <c r="W1335" s="7">
        <v>335.7</v>
      </c>
      <c r="X1335" s="132">
        <f t="shared" si="153"/>
        <v>10</v>
      </c>
      <c r="Y1335" s="133"/>
      <c r="Z1335" s="133"/>
      <c r="AA1335" s="133"/>
    </row>
    <row r="1336" spans="1:27" hidden="1" x14ac:dyDescent="0.25">
      <c r="A1336" s="127">
        <v>1480</v>
      </c>
      <c r="B1336" s="128" t="str">
        <f t="shared" si="154"/>
        <v>POPT</v>
      </c>
      <c r="C1336" s="128" t="str">
        <f>+VLOOKUP(U1336,Ходим!A:B,2,0)</f>
        <v>50310025910024</v>
      </c>
      <c r="D1336" s="128" t="str">
        <f>IFERROR(VLOOKUP($B:$B,[20]свод!$A:$AB,3,0)," ")</f>
        <v>Поп тумани</v>
      </c>
      <c r="E1336" s="7" t="s">
        <v>2473</v>
      </c>
      <c r="F1336" s="7" t="s">
        <v>8862</v>
      </c>
      <c r="G1336" s="134">
        <f t="shared" si="157"/>
        <v>1</v>
      </c>
      <c r="H1336" s="134" t="str">
        <f t="shared" si="158"/>
        <v/>
      </c>
      <c r="I1336" s="7" t="s">
        <v>156</v>
      </c>
      <c r="J1336" s="7" t="s">
        <v>25</v>
      </c>
      <c r="K1336" s="7"/>
      <c r="L1336" s="7"/>
      <c r="M1336" s="7"/>
      <c r="N1336" s="7" t="s">
        <v>170</v>
      </c>
      <c r="O1336" s="7" t="s">
        <v>163</v>
      </c>
      <c r="P1336" s="7" t="s">
        <v>6899</v>
      </c>
      <c r="Q1336" s="129">
        <v>46199</v>
      </c>
      <c r="R1336" s="130">
        <f t="shared" si="156"/>
        <v>46212</v>
      </c>
      <c r="S1336" s="131">
        <f t="shared" si="155"/>
        <v>13</v>
      </c>
      <c r="T1336" s="7" t="s">
        <v>240</v>
      </c>
      <c r="U1336" s="7" t="s">
        <v>964</v>
      </c>
      <c r="V1336" s="7"/>
      <c r="W1336" s="7"/>
      <c r="X1336" s="132">
        <f t="shared" si="153"/>
        <v>10</v>
      </c>
      <c r="Y1336" s="133"/>
      <c r="Z1336" s="133"/>
      <c r="AA1336" s="133"/>
    </row>
    <row r="1337" spans="1:27" hidden="1" x14ac:dyDescent="0.25">
      <c r="A1337" s="127">
        <v>1481</v>
      </c>
      <c r="B1337" s="128" t="str">
        <f t="shared" si="154"/>
        <v>MINT</v>
      </c>
      <c r="C1337" s="128" t="e">
        <f>+VLOOKUP(U1337,Ходим!A:B,2,0)</f>
        <v>#N/A</v>
      </c>
      <c r="D1337" s="128" t="str">
        <f>IFERROR(VLOOKUP($B:$B,[20]свод!$A:$AB,3,0)," ")</f>
        <v>Мингбулоқ тумани</v>
      </c>
      <c r="E1337" s="7" t="s">
        <v>2474</v>
      </c>
      <c r="F1337" s="7" t="s">
        <v>8863</v>
      </c>
      <c r="G1337" s="134">
        <f t="shared" si="157"/>
        <v>1</v>
      </c>
      <c r="H1337" s="134" t="str">
        <f t="shared" si="158"/>
        <v/>
      </c>
      <c r="I1337" s="7" t="s">
        <v>159</v>
      </c>
      <c r="J1337" s="7" t="s">
        <v>137</v>
      </c>
      <c r="K1337" s="7"/>
      <c r="L1337" s="7" t="s">
        <v>167</v>
      </c>
      <c r="M1337" s="7" t="s">
        <v>5075</v>
      </c>
      <c r="N1337" s="7" t="s">
        <v>410</v>
      </c>
      <c r="O1337" s="7" t="s">
        <v>163</v>
      </c>
      <c r="P1337" s="7" t="s">
        <v>6899</v>
      </c>
      <c r="Q1337" s="129">
        <v>46199</v>
      </c>
      <c r="R1337" s="130">
        <f t="shared" si="156"/>
        <v>46212</v>
      </c>
      <c r="S1337" s="131">
        <f t="shared" si="155"/>
        <v>13</v>
      </c>
      <c r="T1337" s="7"/>
      <c r="U1337" s="7"/>
      <c r="V1337" s="7"/>
      <c r="W1337" s="7">
        <v>106.5</v>
      </c>
      <c r="X1337" s="132">
        <f t="shared" si="153"/>
        <v>10</v>
      </c>
      <c r="Y1337" s="133"/>
      <c r="Z1337" s="133"/>
      <c r="AA1337" s="133"/>
    </row>
    <row r="1338" spans="1:27" hidden="1" x14ac:dyDescent="0.25">
      <c r="A1338" s="127">
        <v>1482</v>
      </c>
      <c r="B1338" s="128" t="str">
        <f t="shared" si="154"/>
        <v>TORT</v>
      </c>
      <c r="C1338" s="128" t="str">
        <f>+VLOOKUP(U1338,Ходим!A:B,2,0)</f>
        <v>52603025920015</v>
      </c>
      <c r="D1338" s="128" t="str">
        <f>IFERROR(VLOOKUP($B:$B,[20]свод!$A:$AB,3,0)," ")</f>
        <v>Тўрақўрғон тумани</v>
      </c>
      <c r="E1338" s="7" t="s">
        <v>2475</v>
      </c>
      <c r="F1338" s="7" t="s">
        <v>8864</v>
      </c>
      <c r="G1338" s="134">
        <f t="shared" si="157"/>
        <v>1</v>
      </c>
      <c r="H1338" s="134" t="str">
        <f t="shared" si="158"/>
        <v/>
      </c>
      <c r="I1338" s="7" t="s">
        <v>156</v>
      </c>
      <c r="J1338" s="7" t="s">
        <v>25</v>
      </c>
      <c r="K1338" s="7"/>
      <c r="L1338" s="7"/>
      <c r="M1338" s="7"/>
      <c r="N1338" s="7" t="s">
        <v>410</v>
      </c>
      <c r="O1338" s="7" t="s">
        <v>162</v>
      </c>
      <c r="P1338" s="7" t="s">
        <v>6899</v>
      </c>
      <c r="Q1338" s="129">
        <v>46199</v>
      </c>
      <c r="R1338" s="130">
        <f t="shared" si="156"/>
        <v>46212</v>
      </c>
      <c r="S1338" s="131">
        <f t="shared" si="155"/>
        <v>13</v>
      </c>
      <c r="T1338" s="7" t="s">
        <v>203</v>
      </c>
      <c r="U1338" s="7" t="s">
        <v>374</v>
      </c>
      <c r="V1338" s="7"/>
      <c r="W1338" s="7"/>
      <c r="X1338" s="132">
        <f t="shared" si="153"/>
        <v>10</v>
      </c>
      <c r="Y1338" s="133"/>
      <c r="Z1338" s="133"/>
      <c r="AA1338" s="133"/>
    </row>
    <row r="1339" spans="1:27" hidden="1" x14ac:dyDescent="0.25">
      <c r="A1339" s="127">
        <v>1483</v>
      </c>
      <c r="B1339" s="128" t="str">
        <f t="shared" si="154"/>
        <v>NAMS</v>
      </c>
      <c r="C1339" s="128" t="str">
        <f>+VLOOKUP(U1339,Ходим!A:B,2,0)</f>
        <v>31309932190035</v>
      </c>
      <c r="D1339" s="128" t="str">
        <f>IFERROR(VLOOKUP($B:$B,[20]свод!$A:$AB,3,0)," ")</f>
        <v>Наманган шаҳар</v>
      </c>
      <c r="E1339" s="7" t="s">
        <v>2476</v>
      </c>
      <c r="F1339" s="7" t="s">
        <v>8865</v>
      </c>
      <c r="G1339" s="134">
        <f t="shared" si="157"/>
        <v>1</v>
      </c>
      <c r="H1339" s="134" t="str">
        <f t="shared" si="158"/>
        <v/>
      </c>
      <c r="I1339" s="7" t="s">
        <v>158</v>
      </c>
      <c r="J1339" s="7" t="s">
        <v>2</v>
      </c>
      <c r="K1339" s="7"/>
      <c r="L1339" s="7"/>
      <c r="M1339" s="7"/>
      <c r="N1339" s="7" t="s">
        <v>170</v>
      </c>
      <c r="O1339" s="7" t="s">
        <v>162</v>
      </c>
      <c r="P1339" s="7" t="s">
        <v>6694</v>
      </c>
      <c r="Q1339" s="129">
        <v>46199</v>
      </c>
      <c r="R1339" s="130">
        <f t="shared" si="156"/>
        <v>46206</v>
      </c>
      <c r="S1339" s="131">
        <f t="shared" si="155"/>
        <v>7</v>
      </c>
      <c r="T1339" s="7" t="s">
        <v>173</v>
      </c>
      <c r="U1339" s="7" t="s">
        <v>237</v>
      </c>
      <c r="V1339" s="7"/>
      <c r="W1339" s="7"/>
      <c r="X1339" s="132">
        <f t="shared" si="153"/>
        <v>10</v>
      </c>
      <c r="Y1339" s="133"/>
      <c r="Z1339" s="133"/>
      <c r="AA1339" s="133"/>
    </row>
    <row r="1340" spans="1:27" hidden="1" x14ac:dyDescent="0.25">
      <c r="A1340" s="127">
        <v>1484</v>
      </c>
      <c r="B1340" s="128" t="str">
        <f t="shared" si="154"/>
        <v>KSST</v>
      </c>
      <c r="C1340" s="128" t="str">
        <f>+VLOOKUP(U1340,Ходим!A:B,2,0)</f>
        <v>32910975980025</v>
      </c>
      <c r="D1340" s="128" t="str">
        <f>IFERROR(VLOOKUP($B:$B,[20]свод!$A:$AB,3,0)," ")</f>
        <v>Косонсой тумани</v>
      </c>
      <c r="E1340" s="7" t="s">
        <v>2477</v>
      </c>
      <c r="F1340" s="7" t="s">
        <v>8866</v>
      </c>
      <c r="G1340" s="134">
        <f t="shared" si="157"/>
        <v>1</v>
      </c>
      <c r="H1340" s="134" t="str">
        <f t="shared" si="158"/>
        <v/>
      </c>
      <c r="I1340" s="7" t="s">
        <v>158</v>
      </c>
      <c r="J1340" s="7" t="s">
        <v>2</v>
      </c>
      <c r="K1340" s="7"/>
      <c r="L1340" s="7" t="s">
        <v>167</v>
      </c>
      <c r="M1340" s="7" t="s">
        <v>5076</v>
      </c>
      <c r="N1340" s="7" t="s">
        <v>170</v>
      </c>
      <c r="O1340" s="7" t="s">
        <v>162</v>
      </c>
      <c r="P1340" s="7" t="s">
        <v>6694</v>
      </c>
      <c r="Q1340" s="129">
        <v>46199</v>
      </c>
      <c r="R1340" s="130">
        <f t="shared" si="156"/>
        <v>46206</v>
      </c>
      <c r="S1340" s="131">
        <f t="shared" si="155"/>
        <v>7</v>
      </c>
      <c r="T1340" s="7" t="s">
        <v>180</v>
      </c>
      <c r="U1340" s="7" t="s">
        <v>187</v>
      </c>
      <c r="V1340" s="7"/>
      <c r="W1340" s="7">
        <v>94.31</v>
      </c>
      <c r="X1340" s="132">
        <f t="shared" si="153"/>
        <v>10</v>
      </c>
      <c r="Y1340" s="133"/>
      <c r="Z1340" s="133"/>
      <c r="AA1340" s="133"/>
    </row>
    <row r="1341" spans="1:27" hidden="1" x14ac:dyDescent="0.25">
      <c r="A1341" s="127">
        <v>1485</v>
      </c>
      <c r="B1341" s="128" t="str">
        <f t="shared" si="154"/>
        <v>CHUT</v>
      </c>
      <c r="C1341" s="128" t="str">
        <f>+VLOOKUP(U1341,Ходим!A:B,2,0)</f>
        <v>30202885970013</v>
      </c>
      <c r="D1341" s="128" t="str">
        <f>IFERROR(VLOOKUP($B:$B,[20]свод!$A:$AB,3,0)," ")</f>
        <v>Чуст тумани</v>
      </c>
      <c r="E1341" s="7" t="s">
        <v>2478</v>
      </c>
      <c r="F1341" s="7" t="s">
        <v>8867</v>
      </c>
      <c r="G1341" s="134" t="str">
        <f t="shared" si="157"/>
        <v/>
      </c>
      <c r="H1341" s="134">
        <f t="shared" si="158"/>
        <v>1</v>
      </c>
      <c r="I1341" s="7" t="s">
        <v>157</v>
      </c>
      <c r="J1341" s="7" t="s">
        <v>172</v>
      </c>
      <c r="K1341" s="7"/>
      <c r="L1341" s="7" t="s">
        <v>168</v>
      </c>
      <c r="M1341" s="7" t="s">
        <v>5077</v>
      </c>
      <c r="N1341" s="7" t="s">
        <v>410</v>
      </c>
      <c r="O1341" s="7" t="s">
        <v>161</v>
      </c>
      <c r="P1341" s="7" t="s">
        <v>6694</v>
      </c>
      <c r="Q1341" s="129">
        <v>46199</v>
      </c>
      <c r="R1341" s="130">
        <f t="shared" si="156"/>
        <v>46203</v>
      </c>
      <c r="S1341" s="131">
        <f t="shared" si="155"/>
        <v>4</v>
      </c>
      <c r="T1341" s="7" t="s">
        <v>178</v>
      </c>
      <c r="U1341" s="7" t="s">
        <v>289</v>
      </c>
      <c r="V1341" s="7"/>
      <c r="W1341" s="7">
        <v>0</v>
      </c>
      <c r="X1341" s="132">
        <f t="shared" si="153"/>
        <v>7</v>
      </c>
      <c r="Y1341" s="133"/>
      <c r="Z1341" s="133"/>
      <c r="AA1341" s="133"/>
    </row>
    <row r="1342" spans="1:27" hidden="1" x14ac:dyDescent="0.25">
      <c r="A1342" s="127">
        <v>1486</v>
      </c>
      <c r="B1342" s="128" t="str">
        <f t="shared" si="154"/>
        <v>KSST</v>
      </c>
      <c r="C1342" s="128" t="str">
        <f>+VLOOKUP(U1342,Ходим!A:B,2,0)</f>
        <v>30411985980017</v>
      </c>
      <c r="D1342" s="128" t="str">
        <f>IFERROR(VLOOKUP($B:$B,[20]свод!$A:$AB,3,0)," ")</f>
        <v>Косонсой тумани</v>
      </c>
      <c r="E1342" s="7" t="s">
        <v>2479</v>
      </c>
      <c r="F1342" s="7" t="s">
        <v>8868</v>
      </c>
      <c r="G1342" s="134">
        <f t="shared" si="157"/>
        <v>1</v>
      </c>
      <c r="H1342" s="134" t="str">
        <f t="shared" si="158"/>
        <v/>
      </c>
      <c r="I1342" s="7" t="s">
        <v>158</v>
      </c>
      <c r="J1342" s="7" t="s">
        <v>36</v>
      </c>
      <c r="K1342" s="7"/>
      <c r="L1342" s="7" t="s">
        <v>167</v>
      </c>
      <c r="M1342" s="7" t="s">
        <v>5078</v>
      </c>
      <c r="N1342" s="7" t="s">
        <v>170</v>
      </c>
      <c r="O1342" s="7" t="s">
        <v>162</v>
      </c>
      <c r="P1342" s="7" t="s">
        <v>6323</v>
      </c>
      <c r="Q1342" s="129">
        <v>46199</v>
      </c>
      <c r="R1342" s="130">
        <f t="shared" si="156"/>
        <v>46204</v>
      </c>
      <c r="S1342" s="131">
        <f t="shared" si="155"/>
        <v>5</v>
      </c>
      <c r="T1342" s="7" t="s">
        <v>180</v>
      </c>
      <c r="U1342" s="7" t="s">
        <v>360</v>
      </c>
      <c r="V1342" s="7"/>
      <c r="W1342" s="7">
        <v>102.95</v>
      </c>
      <c r="X1342" s="132">
        <f t="shared" si="153"/>
        <v>10</v>
      </c>
      <c r="Y1342" s="133"/>
      <c r="Z1342" s="133"/>
      <c r="AA1342" s="133"/>
    </row>
    <row r="1343" spans="1:27" x14ac:dyDescent="0.25">
      <c r="A1343" s="127">
        <v>1487</v>
      </c>
      <c r="B1343" s="128" t="str">
        <f t="shared" si="154"/>
        <v>TORT</v>
      </c>
      <c r="C1343" s="128" t="str">
        <f>+VLOOKUP(U1343,Ходим!A:B,2,0)</f>
        <v>30708792130017</v>
      </c>
      <c r="D1343" s="128" t="str">
        <f>IFERROR(VLOOKUP($B:$B,[20]свод!$A:$AB,3,0)," ")</f>
        <v>Тўрақўрғон тумани</v>
      </c>
      <c r="E1343" s="7" t="s">
        <v>2480</v>
      </c>
      <c r="F1343" s="7" t="s">
        <v>8869</v>
      </c>
      <c r="G1343" s="134">
        <f t="shared" si="157"/>
        <v>1</v>
      </c>
      <c r="H1343" s="134" t="str">
        <f t="shared" si="158"/>
        <v/>
      </c>
      <c r="I1343" s="7" t="s">
        <v>158</v>
      </c>
      <c r="J1343" s="7" t="s">
        <v>1</v>
      </c>
      <c r="K1343" s="7"/>
      <c r="L1343" s="7" t="s">
        <v>167</v>
      </c>
      <c r="M1343" s="7" t="s">
        <v>5079</v>
      </c>
      <c r="N1343" s="7" t="s">
        <v>170</v>
      </c>
      <c r="O1343" s="7" t="s">
        <v>162</v>
      </c>
      <c r="P1343" s="7" t="s">
        <v>6664</v>
      </c>
      <c r="Q1343" s="129">
        <v>46199</v>
      </c>
      <c r="R1343" s="130">
        <f t="shared" si="156"/>
        <v>46199</v>
      </c>
      <c r="S1343" s="131">
        <f t="shared" si="155"/>
        <v>0</v>
      </c>
      <c r="T1343" s="7" t="s">
        <v>203</v>
      </c>
      <c r="U1343" s="7" t="s">
        <v>204</v>
      </c>
      <c r="V1343" s="7"/>
      <c r="W1343" s="7">
        <v>164.86</v>
      </c>
      <c r="X1343" s="132">
        <f t="shared" si="153"/>
        <v>10</v>
      </c>
      <c r="Y1343" s="133"/>
      <c r="Z1343" s="133"/>
      <c r="AA1343" s="133"/>
    </row>
    <row r="1344" spans="1:27" hidden="1" x14ac:dyDescent="0.25">
      <c r="A1344" s="127">
        <v>1488</v>
      </c>
      <c r="B1344" s="128" t="str">
        <f t="shared" si="154"/>
        <v>YGQT</v>
      </c>
      <c r="C1344" s="128" t="str">
        <f>+VLOOKUP(U1344,Ходим!A:B,2,0)</f>
        <v>30107965950010</v>
      </c>
      <c r="D1344" s="128" t="str">
        <f>IFERROR(VLOOKUP($B:$B,[20]свод!$A:$AB,3,0)," ")</f>
        <v>Янгиқўрғон тумани</v>
      </c>
      <c r="E1344" s="7" t="s">
        <v>2481</v>
      </c>
      <c r="F1344" s="7" t="s">
        <v>8870</v>
      </c>
      <c r="G1344" s="134">
        <f t="shared" si="157"/>
        <v>1</v>
      </c>
      <c r="H1344" s="134" t="str">
        <f t="shared" si="158"/>
        <v/>
      </c>
      <c r="I1344" s="7" t="s">
        <v>154</v>
      </c>
      <c r="J1344" s="7" t="s">
        <v>1</v>
      </c>
      <c r="K1344" s="7"/>
      <c r="L1344" s="7" t="s">
        <v>167</v>
      </c>
      <c r="M1344" s="7" t="s">
        <v>5080</v>
      </c>
      <c r="N1344" s="7" t="s">
        <v>170</v>
      </c>
      <c r="O1344" s="7" t="s">
        <v>162</v>
      </c>
      <c r="P1344" s="7" t="s">
        <v>6900</v>
      </c>
      <c r="Q1344" s="129">
        <v>46199</v>
      </c>
      <c r="R1344" s="130">
        <f t="shared" si="156"/>
        <v>46202</v>
      </c>
      <c r="S1344" s="131">
        <f t="shared" si="155"/>
        <v>3</v>
      </c>
      <c r="T1344" s="7" t="s">
        <v>255</v>
      </c>
      <c r="U1344" s="7" t="s">
        <v>244</v>
      </c>
      <c r="V1344" s="7"/>
      <c r="W1344" s="7">
        <v>37.630000000000003</v>
      </c>
      <c r="X1344" s="132">
        <f t="shared" si="153"/>
        <v>10</v>
      </c>
      <c r="Y1344" s="133"/>
      <c r="Z1344" s="133"/>
      <c r="AA1344" s="133"/>
    </row>
    <row r="1345" spans="1:27" hidden="1" x14ac:dyDescent="0.25">
      <c r="A1345" s="127">
        <v>1489</v>
      </c>
      <c r="B1345" s="128" t="str">
        <f t="shared" si="154"/>
        <v>MINT</v>
      </c>
      <c r="C1345" s="128" t="str">
        <f>+VLOOKUP(U1345,Ходим!A:B,2,0)</f>
        <v>31205995920018</v>
      </c>
      <c r="D1345" s="128" t="str">
        <f>IFERROR(VLOOKUP($B:$B,[20]свод!$A:$AB,3,0)," ")</f>
        <v>Мингбулоқ тумани</v>
      </c>
      <c r="E1345" s="7" t="s">
        <v>2482</v>
      </c>
      <c r="F1345" s="7" t="s">
        <v>8871</v>
      </c>
      <c r="G1345" s="134">
        <f t="shared" si="157"/>
        <v>1</v>
      </c>
      <c r="H1345" s="134" t="str">
        <f t="shared" si="158"/>
        <v/>
      </c>
      <c r="I1345" s="7" t="s">
        <v>158</v>
      </c>
      <c r="J1345" s="7" t="s">
        <v>2</v>
      </c>
      <c r="K1345" s="7"/>
      <c r="L1345" s="7" t="s">
        <v>167</v>
      </c>
      <c r="M1345" s="7" t="s">
        <v>5081</v>
      </c>
      <c r="N1345" s="7" t="s">
        <v>170</v>
      </c>
      <c r="O1345" s="7" t="s">
        <v>162</v>
      </c>
      <c r="P1345" s="7" t="s">
        <v>6901</v>
      </c>
      <c r="Q1345" s="129">
        <v>46199</v>
      </c>
      <c r="R1345" s="130">
        <f t="shared" si="156"/>
        <v>46206</v>
      </c>
      <c r="S1345" s="131">
        <f t="shared" si="155"/>
        <v>7</v>
      </c>
      <c r="T1345" s="7" t="s">
        <v>220</v>
      </c>
      <c r="U1345" s="7" t="s">
        <v>271</v>
      </c>
      <c r="V1345" s="7"/>
      <c r="W1345" s="7">
        <v>124</v>
      </c>
      <c r="X1345" s="132">
        <f t="shared" si="153"/>
        <v>10</v>
      </c>
      <c r="Y1345" s="133"/>
      <c r="Z1345" s="133"/>
      <c r="AA1345" s="133"/>
    </row>
    <row r="1346" spans="1:27" hidden="1" x14ac:dyDescent="0.25">
      <c r="A1346" s="127">
        <v>1490</v>
      </c>
      <c r="B1346" s="128" t="str">
        <f t="shared" si="154"/>
        <v>POPT</v>
      </c>
      <c r="C1346" s="128" t="str">
        <f>+VLOOKUP(U1346,Ходим!A:B,2,0)</f>
        <v>51605005910024</v>
      </c>
      <c r="D1346" s="128" t="str">
        <f>IFERROR(VLOOKUP($B:$B,[20]свод!$A:$AB,3,0)," ")</f>
        <v>Поп тумани</v>
      </c>
      <c r="E1346" s="7" t="s">
        <v>2483</v>
      </c>
      <c r="F1346" s="7" t="s">
        <v>8872</v>
      </c>
      <c r="G1346" s="134">
        <f t="shared" si="157"/>
        <v>1</v>
      </c>
      <c r="H1346" s="134" t="str">
        <f t="shared" si="158"/>
        <v/>
      </c>
      <c r="I1346" s="7" t="s">
        <v>158</v>
      </c>
      <c r="J1346" s="7" t="s">
        <v>2</v>
      </c>
      <c r="K1346" s="7"/>
      <c r="L1346" s="7"/>
      <c r="M1346" s="7"/>
      <c r="N1346" s="7" t="s">
        <v>410</v>
      </c>
      <c r="O1346" s="7" t="s">
        <v>162</v>
      </c>
      <c r="P1346" s="7" t="s">
        <v>6901</v>
      </c>
      <c r="Q1346" s="129">
        <v>46199</v>
      </c>
      <c r="R1346" s="130">
        <f t="shared" si="156"/>
        <v>46206</v>
      </c>
      <c r="S1346" s="131">
        <f t="shared" si="155"/>
        <v>7</v>
      </c>
      <c r="T1346" s="7" t="s">
        <v>240</v>
      </c>
      <c r="U1346" s="7" t="s">
        <v>241</v>
      </c>
      <c r="V1346" s="7"/>
      <c r="W1346" s="7"/>
      <c r="X1346" s="132">
        <f t="shared" si="153"/>
        <v>10</v>
      </c>
      <c r="Y1346" s="133"/>
      <c r="Z1346" s="133"/>
      <c r="AA1346" s="133"/>
    </row>
    <row r="1347" spans="1:27" hidden="1" x14ac:dyDescent="0.25">
      <c r="A1347" s="127">
        <v>1491</v>
      </c>
      <c r="B1347" s="128" t="str">
        <f t="shared" si="154"/>
        <v>CHUT</v>
      </c>
      <c r="C1347" s="128" t="str">
        <f>+VLOOKUP(U1347,Ходим!A:B,2,0)</f>
        <v>33112995970023</v>
      </c>
      <c r="D1347" s="128" t="str">
        <f>IFERROR(VLOOKUP($B:$B,[20]свод!$A:$AB,3,0)," ")</f>
        <v>Чуст тумани</v>
      </c>
      <c r="E1347" s="7" t="s">
        <v>2484</v>
      </c>
      <c r="F1347" s="7" t="s">
        <v>8873</v>
      </c>
      <c r="G1347" s="134" t="str">
        <f t="shared" si="157"/>
        <v/>
      </c>
      <c r="H1347" s="134">
        <f t="shared" si="158"/>
        <v>1</v>
      </c>
      <c r="I1347" s="7" t="s">
        <v>157</v>
      </c>
      <c r="J1347" s="7" t="s">
        <v>172</v>
      </c>
      <c r="K1347" s="7"/>
      <c r="L1347" s="7" t="s">
        <v>168</v>
      </c>
      <c r="M1347" s="7" t="s">
        <v>5082</v>
      </c>
      <c r="N1347" s="7" t="s">
        <v>410</v>
      </c>
      <c r="O1347" s="7" t="s">
        <v>161</v>
      </c>
      <c r="P1347" s="7" t="s">
        <v>6901</v>
      </c>
      <c r="Q1347" s="129">
        <v>46199</v>
      </c>
      <c r="R1347" s="130">
        <f t="shared" si="156"/>
        <v>46203</v>
      </c>
      <c r="S1347" s="131">
        <f t="shared" si="155"/>
        <v>4</v>
      </c>
      <c r="T1347" s="7" t="s">
        <v>178</v>
      </c>
      <c r="U1347" s="7" t="s">
        <v>179</v>
      </c>
      <c r="V1347" s="7"/>
      <c r="W1347" s="7">
        <v>0</v>
      </c>
      <c r="X1347" s="132">
        <f t="shared" si="153"/>
        <v>7</v>
      </c>
      <c r="Y1347" s="133"/>
      <c r="Z1347" s="133"/>
      <c r="AA1347" s="133"/>
    </row>
    <row r="1348" spans="1:27" hidden="1" x14ac:dyDescent="0.25">
      <c r="A1348" s="127">
        <v>1492</v>
      </c>
      <c r="B1348" s="128" t="str">
        <f t="shared" si="154"/>
        <v>NAMS</v>
      </c>
      <c r="C1348" s="128" t="str">
        <f>+VLOOKUP(U1348,Ходим!A:B,2,0)</f>
        <v>31309932190035</v>
      </c>
      <c r="D1348" s="128" t="str">
        <f>IFERROR(VLOOKUP($B:$B,[20]свод!$A:$AB,3,0)," ")</f>
        <v>Наманган шаҳар</v>
      </c>
      <c r="E1348" s="7" t="s">
        <v>2485</v>
      </c>
      <c r="F1348" s="7" t="s">
        <v>8874</v>
      </c>
      <c r="G1348" s="134">
        <f t="shared" si="157"/>
        <v>1</v>
      </c>
      <c r="H1348" s="134" t="str">
        <f t="shared" si="158"/>
        <v/>
      </c>
      <c r="I1348" s="7" t="s">
        <v>158</v>
      </c>
      <c r="J1348" s="7" t="s">
        <v>13</v>
      </c>
      <c r="K1348" s="7"/>
      <c r="L1348" s="7" t="s">
        <v>167</v>
      </c>
      <c r="M1348" s="7" t="s">
        <v>5083</v>
      </c>
      <c r="N1348" s="7" t="s">
        <v>170</v>
      </c>
      <c r="O1348" s="7" t="s">
        <v>162</v>
      </c>
      <c r="P1348" s="7" t="s">
        <v>6901</v>
      </c>
      <c r="Q1348" s="129">
        <v>46199</v>
      </c>
      <c r="R1348" s="130">
        <f t="shared" si="156"/>
        <v>46206</v>
      </c>
      <c r="S1348" s="131">
        <f t="shared" si="155"/>
        <v>7</v>
      </c>
      <c r="T1348" s="7" t="s">
        <v>173</v>
      </c>
      <c r="U1348" s="7" t="s">
        <v>237</v>
      </c>
      <c r="V1348" s="7"/>
      <c r="W1348" s="7">
        <v>275.49</v>
      </c>
      <c r="X1348" s="132">
        <f t="shared" si="153"/>
        <v>10</v>
      </c>
      <c r="Y1348" s="133"/>
      <c r="Z1348" s="133"/>
      <c r="AA1348" s="133"/>
    </row>
    <row r="1349" spans="1:27" hidden="1" x14ac:dyDescent="0.25">
      <c r="A1349" s="127">
        <v>1493</v>
      </c>
      <c r="B1349" s="128" t="str">
        <f t="shared" si="154"/>
        <v>NAMT</v>
      </c>
      <c r="C1349" s="128" t="str">
        <f>+VLOOKUP(U1349,Ходим!A:B,2,0)</f>
        <v>32607902090019</v>
      </c>
      <c r="D1349" s="128" t="str">
        <f>IFERROR(VLOOKUP($B:$B,[20]свод!$A:$AB,3,0)," ")</f>
        <v>Наманган тумани</v>
      </c>
      <c r="E1349" s="7" t="s">
        <v>2486</v>
      </c>
      <c r="F1349" s="7" t="s">
        <v>8875</v>
      </c>
      <c r="G1349" s="134">
        <f t="shared" si="157"/>
        <v>1</v>
      </c>
      <c r="H1349" s="134" t="str">
        <f t="shared" si="158"/>
        <v/>
      </c>
      <c r="I1349" s="7" t="s">
        <v>158</v>
      </c>
      <c r="J1349" s="7" t="s">
        <v>13</v>
      </c>
      <c r="K1349" s="7"/>
      <c r="L1349" s="7" t="s">
        <v>167</v>
      </c>
      <c r="M1349" s="7" t="s">
        <v>5084</v>
      </c>
      <c r="N1349" s="7" t="s">
        <v>170</v>
      </c>
      <c r="O1349" s="7" t="s">
        <v>162</v>
      </c>
      <c r="P1349" s="7" t="s">
        <v>6901</v>
      </c>
      <c r="Q1349" s="129">
        <v>46199</v>
      </c>
      <c r="R1349" s="130">
        <f t="shared" si="156"/>
        <v>46206</v>
      </c>
      <c r="S1349" s="131">
        <f t="shared" si="155"/>
        <v>7</v>
      </c>
      <c r="T1349" s="7" t="s">
        <v>193</v>
      </c>
      <c r="U1349" s="7" t="s">
        <v>243</v>
      </c>
      <c r="V1349" s="7"/>
      <c r="W1349" s="7">
        <v>0</v>
      </c>
      <c r="X1349" s="132">
        <f t="shared" si="153"/>
        <v>10</v>
      </c>
      <c r="Y1349" s="133"/>
      <c r="Z1349" s="133"/>
      <c r="AA1349" s="133"/>
    </row>
    <row r="1350" spans="1:27" hidden="1" x14ac:dyDescent="0.25">
      <c r="A1350" s="127">
        <v>1494</v>
      </c>
      <c r="B1350" s="128" t="str">
        <f t="shared" si="154"/>
        <v>NAMS</v>
      </c>
      <c r="C1350" s="128" t="str">
        <f>+VLOOKUP(U1350,Ходим!A:B,2,0)</f>
        <v>31007955980023</v>
      </c>
      <c r="D1350" s="128" t="str">
        <f>IFERROR(VLOOKUP($B:$B,[20]свод!$A:$AB,3,0)," ")</f>
        <v>Наманган шаҳар</v>
      </c>
      <c r="E1350" s="7" t="s">
        <v>2487</v>
      </c>
      <c r="F1350" s="7" t="s">
        <v>8876</v>
      </c>
      <c r="G1350" s="134">
        <f t="shared" si="157"/>
        <v>1</v>
      </c>
      <c r="H1350" s="134" t="str">
        <f t="shared" si="158"/>
        <v/>
      </c>
      <c r="I1350" s="7" t="s">
        <v>156</v>
      </c>
      <c r="J1350" s="7" t="s">
        <v>25</v>
      </c>
      <c r="K1350" s="7"/>
      <c r="L1350" s="7"/>
      <c r="M1350" s="7"/>
      <c r="N1350" s="7" t="s">
        <v>170</v>
      </c>
      <c r="O1350" s="7" t="s">
        <v>162</v>
      </c>
      <c r="P1350" s="7" t="s">
        <v>6901</v>
      </c>
      <c r="Q1350" s="129">
        <v>46199</v>
      </c>
      <c r="R1350" s="130">
        <f t="shared" si="156"/>
        <v>46206</v>
      </c>
      <c r="S1350" s="131">
        <f t="shared" si="155"/>
        <v>7</v>
      </c>
      <c r="T1350" s="7" t="s">
        <v>173</v>
      </c>
      <c r="U1350" s="7" t="s">
        <v>207</v>
      </c>
      <c r="V1350" s="7"/>
      <c r="W1350" s="7"/>
      <c r="X1350" s="132">
        <f t="shared" si="153"/>
        <v>10</v>
      </c>
      <c r="Y1350" s="133"/>
      <c r="Z1350" s="133"/>
      <c r="AA1350" s="133"/>
    </row>
    <row r="1351" spans="1:27" hidden="1" x14ac:dyDescent="0.25">
      <c r="A1351" s="127">
        <v>1495</v>
      </c>
      <c r="B1351" s="128" t="str">
        <f t="shared" si="154"/>
        <v>CHOT</v>
      </c>
      <c r="C1351" s="128" t="str">
        <f>+VLOOKUP(U1351,Ходим!A:B,2,0)</f>
        <v>30608892100030</v>
      </c>
      <c r="D1351" s="128" t="str">
        <f>IFERROR(VLOOKUP($B:$B,[20]свод!$A:$AB,3,0)," ")</f>
        <v>Чортоқ тумани</v>
      </c>
      <c r="E1351" s="7" t="s">
        <v>2488</v>
      </c>
      <c r="F1351" s="7" t="s">
        <v>8877</v>
      </c>
      <c r="G1351" s="134">
        <f t="shared" si="157"/>
        <v>1</v>
      </c>
      <c r="H1351" s="134" t="str">
        <f t="shared" si="158"/>
        <v/>
      </c>
      <c r="I1351" s="7" t="s">
        <v>158</v>
      </c>
      <c r="J1351" s="7" t="s">
        <v>1</v>
      </c>
      <c r="K1351" s="7"/>
      <c r="L1351" s="7" t="s">
        <v>167</v>
      </c>
      <c r="M1351" s="7" t="s">
        <v>5085</v>
      </c>
      <c r="N1351" s="7" t="s">
        <v>170</v>
      </c>
      <c r="O1351" s="7" t="s">
        <v>162</v>
      </c>
      <c r="P1351" s="7" t="s">
        <v>6902</v>
      </c>
      <c r="Q1351" s="129">
        <v>46199</v>
      </c>
      <c r="R1351" s="130">
        <f t="shared" si="156"/>
        <v>46204</v>
      </c>
      <c r="S1351" s="131">
        <f t="shared" si="155"/>
        <v>5</v>
      </c>
      <c r="T1351" s="7" t="s">
        <v>184</v>
      </c>
      <c r="U1351" s="7" t="s">
        <v>266</v>
      </c>
      <c r="V1351" s="7"/>
      <c r="W1351" s="7">
        <v>267.77</v>
      </c>
      <c r="X1351" s="132">
        <f t="shared" si="153"/>
        <v>10</v>
      </c>
      <c r="Y1351" s="133"/>
      <c r="Z1351" s="133"/>
      <c r="AA1351" s="133"/>
    </row>
    <row r="1352" spans="1:27" hidden="1" x14ac:dyDescent="0.25">
      <c r="A1352" s="127">
        <v>1496</v>
      </c>
      <c r="B1352" s="128" t="str">
        <f t="shared" si="154"/>
        <v>KSST</v>
      </c>
      <c r="C1352" s="128" t="e">
        <f>+VLOOKUP(U1352,Ходим!A:B,2,0)</f>
        <v>#N/A</v>
      </c>
      <c r="D1352" s="128" t="str">
        <f>IFERROR(VLOOKUP($B:$B,[20]свод!$A:$AB,3,0)," ")</f>
        <v>Косонсой тумани</v>
      </c>
      <c r="E1352" s="7" t="s">
        <v>2489</v>
      </c>
      <c r="F1352" s="7" t="s">
        <v>8878</v>
      </c>
      <c r="G1352" s="134">
        <f t="shared" si="157"/>
        <v>1</v>
      </c>
      <c r="H1352" s="134" t="str">
        <f t="shared" si="158"/>
        <v/>
      </c>
      <c r="I1352" s="7" t="s">
        <v>156</v>
      </c>
      <c r="J1352" s="7" t="s">
        <v>25</v>
      </c>
      <c r="K1352" s="7"/>
      <c r="L1352" s="7" t="s">
        <v>167</v>
      </c>
      <c r="M1352" s="7" t="s">
        <v>5086</v>
      </c>
      <c r="N1352" s="7" t="s">
        <v>170</v>
      </c>
      <c r="O1352" s="7" t="s">
        <v>162</v>
      </c>
      <c r="P1352" s="7" t="s">
        <v>6903</v>
      </c>
      <c r="Q1352" s="129">
        <v>46199</v>
      </c>
      <c r="R1352" s="130">
        <f t="shared" si="156"/>
        <v>46212</v>
      </c>
      <c r="S1352" s="131">
        <f t="shared" si="155"/>
        <v>13</v>
      </c>
      <c r="T1352" s="7" t="s">
        <v>180</v>
      </c>
      <c r="U1352" s="7" t="s">
        <v>10634</v>
      </c>
      <c r="V1352" s="7"/>
      <c r="W1352" s="7">
        <v>149.47</v>
      </c>
      <c r="X1352" s="132">
        <f t="shared" si="153"/>
        <v>10</v>
      </c>
      <c r="Y1352" s="133"/>
      <c r="Z1352" s="133"/>
      <c r="AA1352" s="133"/>
    </row>
    <row r="1353" spans="1:27" hidden="1" x14ac:dyDescent="0.25">
      <c r="A1353" s="127">
        <v>1497</v>
      </c>
      <c r="B1353" s="128" t="str">
        <f t="shared" si="154"/>
        <v>UYCT</v>
      </c>
      <c r="C1353" s="128" t="str">
        <f>+VLOOKUP(U1353,Ходим!A:B,2,0)</f>
        <v>31101985930022</v>
      </c>
      <c r="D1353" s="128" t="str">
        <f>IFERROR(VLOOKUP($B:$B,[20]свод!$A:$AB,3,0)," ")</f>
        <v>Уйчи тумани</v>
      </c>
      <c r="E1353" s="7" t="s">
        <v>2490</v>
      </c>
      <c r="F1353" s="7" t="s">
        <v>8879</v>
      </c>
      <c r="G1353" s="134">
        <f t="shared" si="157"/>
        <v>1</v>
      </c>
      <c r="H1353" s="134" t="str">
        <f t="shared" si="158"/>
        <v/>
      </c>
      <c r="I1353" s="7" t="s">
        <v>158</v>
      </c>
      <c r="J1353" s="7" t="s">
        <v>35</v>
      </c>
      <c r="K1353" s="7"/>
      <c r="L1353" s="7" t="s">
        <v>167</v>
      </c>
      <c r="M1353" s="7" t="s">
        <v>5087</v>
      </c>
      <c r="N1353" s="7" t="s">
        <v>170</v>
      </c>
      <c r="O1353" s="7" t="s">
        <v>162</v>
      </c>
      <c r="P1353" s="7" t="s">
        <v>6328</v>
      </c>
      <c r="Q1353" s="129">
        <v>46199</v>
      </c>
      <c r="R1353" s="130">
        <f t="shared" si="156"/>
        <v>46204</v>
      </c>
      <c r="S1353" s="131">
        <f t="shared" si="155"/>
        <v>5</v>
      </c>
      <c r="T1353" s="7" t="s">
        <v>947</v>
      </c>
      <c r="U1353" s="7" t="s">
        <v>299</v>
      </c>
      <c r="V1353" s="7"/>
      <c r="W1353" s="7">
        <v>269.42</v>
      </c>
      <c r="X1353" s="132">
        <f t="shared" si="153"/>
        <v>10</v>
      </c>
      <c r="Y1353" s="133"/>
      <c r="Z1353" s="133"/>
      <c r="AA1353" s="133"/>
    </row>
    <row r="1354" spans="1:27" x14ac:dyDescent="0.25">
      <c r="A1354" s="127">
        <v>1498</v>
      </c>
      <c r="B1354" s="128" t="str">
        <f t="shared" si="154"/>
        <v>TORT</v>
      </c>
      <c r="C1354" s="128" t="str">
        <f>+VLOOKUP(U1354,Ходим!A:B,2,0)</f>
        <v>30708792130017</v>
      </c>
      <c r="D1354" s="128" t="str">
        <f>IFERROR(VLOOKUP($B:$B,[20]свод!$A:$AB,3,0)," ")</f>
        <v>Тўрақўрғон тумани</v>
      </c>
      <c r="E1354" s="7" t="s">
        <v>2491</v>
      </c>
      <c r="F1354" s="7" t="s">
        <v>8880</v>
      </c>
      <c r="G1354" s="134">
        <f t="shared" si="157"/>
        <v>1</v>
      </c>
      <c r="H1354" s="134" t="str">
        <f t="shared" si="158"/>
        <v/>
      </c>
      <c r="I1354" s="7" t="s">
        <v>158</v>
      </c>
      <c r="J1354" s="7" t="s">
        <v>1</v>
      </c>
      <c r="K1354" s="7"/>
      <c r="L1354" s="7" t="s">
        <v>167</v>
      </c>
      <c r="M1354" s="7" t="s">
        <v>5088</v>
      </c>
      <c r="N1354" s="7" t="s">
        <v>170</v>
      </c>
      <c r="O1354" s="7" t="s">
        <v>162</v>
      </c>
      <c r="P1354" s="7" t="s">
        <v>6672</v>
      </c>
      <c r="Q1354" s="129">
        <v>46199</v>
      </c>
      <c r="R1354" s="130">
        <f t="shared" si="156"/>
        <v>46199</v>
      </c>
      <c r="S1354" s="131">
        <f t="shared" si="155"/>
        <v>0</v>
      </c>
      <c r="T1354" s="7" t="s">
        <v>203</v>
      </c>
      <c r="U1354" s="7" t="s">
        <v>204</v>
      </c>
      <c r="V1354" s="7"/>
      <c r="W1354" s="7">
        <v>129.21</v>
      </c>
      <c r="X1354" s="132">
        <f t="shared" si="153"/>
        <v>10</v>
      </c>
      <c r="Y1354" s="133"/>
      <c r="Z1354" s="133"/>
      <c r="AA1354" s="133"/>
    </row>
    <row r="1355" spans="1:27" hidden="1" x14ac:dyDescent="0.25">
      <c r="A1355" s="127">
        <v>1499</v>
      </c>
      <c r="B1355" s="128" t="str">
        <f t="shared" si="154"/>
        <v>NAMT</v>
      </c>
      <c r="C1355" s="128" t="str">
        <f>+VLOOKUP(U1355,Ходим!A:B,2,0)</f>
        <v>32610955880027</v>
      </c>
      <c r="D1355" s="128" t="str">
        <f>IFERROR(VLOOKUP($B:$B,[20]свод!$A:$AB,3,0)," ")</f>
        <v>Наманган тумани</v>
      </c>
      <c r="E1355" s="7" t="s">
        <v>2492</v>
      </c>
      <c r="F1355" s="7" t="s">
        <v>8881</v>
      </c>
      <c r="G1355" s="134">
        <f t="shared" si="157"/>
        <v>1</v>
      </c>
      <c r="H1355" s="134" t="str">
        <f t="shared" si="158"/>
        <v/>
      </c>
      <c r="I1355" s="7" t="s">
        <v>158</v>
      </c>
      <c r="J1355" s="7" t="s">
        <v>2</v>
      </c>
      <c r="K1355" s="7"/>
      <c r="L1355" s="7" t="s">
        <v>167</v>
      </c>
      <c r="M1355" s="7" t="s">
        <v>5089</v>
      </c>
      <c r="N1355" s="7" t="s">
        <v>170</v>
      </c>
      <c r="O1355" s="7" t="s">
        <v>162</v>
      </c>
      <c r="P1355" s="7" t="s">
        <v>6904</v>
      </c>
      <c r="Q1355" s="129">
        <v>46199</v>
      </c>
      <c r="R1355" s="130">
        <f t="shared" si="156"/>
        <v>46206</v>
      </c>
      <c r="S1355" s="131">
        <f t="shared" si="155"/>
        <v>7</v>
      </c>
      <c r="T1355" s="7" t="s">
        <v>197</v>
      </c>
      <c r="U1355" s="7" t="s">
        <v>288</v>
      </c>
      <c r="V1355" s="7"/>
      <c r="W1355" s="7">
        <v>0</v>
      </c>
      <c r="X1355" s="132">
        <f t="shared" si="153"/>
        <v>10</v>
      </c>
      <c r="Y1355" s="133"/>
      <c r="Z1355" s="133"/>
      <c r="AA1355" s="133"/>
    </row>
    <row r="1356" spans="1:27" hidden="1" x14ac:dyDescent="0.25">
      <c r="A1356" s="127">
        <v>1500</v>
      </c>
      <c r="B1356" s="128" t="str">
        <f t="shared" si="154"/>
        <v>CHUT</v>
      </c>
      <c r="C1356" s="128" t="str">
        <f>+VLOOKUP(U1356,Ходим!A:B,2,0)</f>
        <v>50905015970078</v>
      </c>
      <c r="D1356" s="128" t="str">
        <f>IFERROR(VLOOKUP($B:$B,[20]свод!$A:$AB,3,0)," ")</f>
        <v>Чуст тумани</v>
      </c>
      <c r="E1356" s="7" t="s">
        <v>2493</v>
      </c>
      <c r="F1356" s="7" t="s">
        <v>8882</v>
      </c>
      <c r="G1356" s="134" t="str">
        <f t="shared" si="157"/>
        <v/>
      </c>
      <c r="H1356" s="134">
        <f t="shared" si="158"/>
        <v>1</v>
      </c>
      <c r="I1356" s="7" t="s">
        <v>157</v>
      </c>
      <c r="J1356" s="7" t="s">
        <v>172</v>
      </c>
      <c r="K1356" s="7"/>
      <c r="L1356" s="7" t="s">
        <v>168</v>
      </c>
      <c r="M1356" s="7" t="s">
        <v>5090</v>
      </c>
      <c r="N1356" s="7" t="s">
        <v>410</v>
      </c>
      <c r="O1356" s="7" t="s">
        <v>161</v>
      </c>
      <c r="P1356" s="7" t="s">
        <v>6904</v>
      </c>
      <c r="Q1356" s="129">
        <v>46199</v>
      </c>
      <c r="R1356" s="130">
        <f t="shared" si="156"/>
        <v>46203</v>
      </c>
      <c r="S1356" s="131">
        <f t="shared" si="155"/>
        <v>4</v>
      </c>
      <c r="T1356" s="7" t="s">
        <v>178</v>
      </c>
      <c r="U1356" s="7" t="s">
        <v>521</v>
      </c>
      <c r="V1356" s="7"/>
      <c r="W1356" s="7">
        <v>0</v>
      </c>
      <c r="X1356" s="132">
        <f t="shared" si="153"/>
        <v>7</v>
      </c>
      <c r="Y1356" s="133"/>
      <c r="Z1356" s="133"/>
      <c r="AA1356" s="133"/>
    </row>
    <row r="1357" spans="1:27" hidden="1" x14ac:dyDescent="0.25">
      <c r="A1357" s="127">
        <v>1501</v>
      </c>
      <c r="B1357" s="128" t="str">
        <f t="shared" si="154"/>
        <v>NAMS</v>
      </c>
      <c r="C1357" s="128" t="str">
        <f>+VLOOKUP(U1357,Ходим!A:B,2,0)</f>
        <v>53008015960094</v>
      </c>
      <c r="D1357" s="128" t="str">
        <f>IFERROR(VLOOKUP($B:$B,[20]свод!$A:$AB,3,0)," ")</f>
        <v>Наманган шаҳар</v>
      </c>
      <c r="E1357" s="7" t="s">
        <v>2494</v>
      </c>
      <c r="F1357" s="7" t="s">
        <v>8883</v>
      </c>
      <c r="G1357" s="134">
        <f t="shared" si="157"/>
        <v>1</v>
      </c>
      <c r="H1357" s="134" t="str">
        <f t="shared" si="158"/>
        <v/>
      </c>
      <c r="I1357" s="7" t="s">
        <v>156</v>
      </c>
      <c r="J1357" s="7" t="s">
        <v>25</v>
      </c>
      <c r="K1357" s="7"/>
      <c r="L1357" s="7"/>
      <c r="M1357" s="7"/>
      <c r="N1357" s="7" t="s">
        <v>170</v>
      </c>
      <c r="O1357" s="7" t="s">
        <v>162</v>
      </c>
      <c r="P1357" s="7" t="s">
        <v>6904</v>
      </c>
      <c r="Q1357" s="129">
        <v>46199</v>
      </c>
      <c r="R1357" s="130">
        <f t="shared" si="156"/>
        <v>46206</v>
      </c>
      <c r="S1357" s="131">
        <f t="shared" si="155"/>
        <v>7</v>
      </c>
      <c r="T1357" s="7" t="s">
        <v>173</v>
      </c>
      <c r="U1357" s="7" t="s">
        <v>403</v>
      </c>
      <c r="V1357" s="7"/>
      <c r="W1357" s="7"/>
      <c r="X1357" s="132">
        <f t="shared" si="153"/>
        <v>10</v>
      </c>
      <c r="Y1357" s="133"/>
      <c r="Z1357" s="133"/>
      <c r="AA1357" s="133"/>
    </row>
    <row r="1358" spans="1:27" hidden="1" x14ac:dyDescent="0.25">
      <c r="A1358" s="127">
        <v>1502</v>
      </c>
      <c r="B1358" s="128" t="str">
        <f t="shared" si="154"/>
        <v>UYCT</v>
      </c>
      <c r="C1358" s="128" t="str">
        <f>+VLOOKUP(U1358,Ходим!A:B,2,0)</f>
        <v>31101985930022</v>
      </c>
      <c r="D1358" s="128" t="str">
        <f>IFERROR(VLOOKUP($B:$B,[20]свод!$A:$AB,3,0)," ")</f>
        <v>Уйчи тумани</v>
      </c>
      <c r="E1358" s="7" t="s">
        <v>2495</v>
      </c>
      <c r="F1358" s="7" t="s">
        <v>8884</v>
      </c>
      <c r="G1358" s="134">
        <f t="shared" si="157"/>
        <v>1</v>
      </c>
      <c r="H1358" s="134" t="str">
        <f t="shared" si="158"/>
        <v/>
      </c>
      <c r="I1358" s="7" t="s">
        <v>158</v>
      </c>
      <c r="J1358" s="7" t="s">
        <v>2</v>
      </c>
      <c r="K1358" s="7"/>
      <c r="L1358" s="7"/>
      <c r="M1358" s="7"/>
      <c r="N1358" s="7" t="s">
        <v>410</v>
      </c>
      <c r="O1358" s="7" t="s">
        <v>162</v>
      </c>
      <c r="P1358" s="7" t="s">
        <v>6904</v>
      </c>
      <c r="Q1358" s="129">
        <v>46199</v>
      </c>
      <c r="R1358" s="130">
        <f t="shared" si="156"/>
        <v>46206</v>
      </c>
      <c r="S1358" s="131">
        <f t="shared" si="155"/>
        <v>7</v>
      </c>
      <c r="T1358" s="7" t="s">
        <v>947</v>
      </c>
      <c r="U1358" s="7" t="s">
        <v>299</v>
      </c>
      <c r="V1358" s="7"/>
      <c r="W1358" s="7"/>
      <c r="X1358" s="132">
        <f t="shared" si="153"/>
        <v>10</v>
      </c>
      <c r="Y1358" s="133"/>
      <c r="Z1358" s="133"/>
      <c r="AA1358" s="133"/>
    </row>
    <row r="1359" spans="1:27" hidden="1" x14ac:dyDescent="0.25">
      <c r="A1359" s="127">
        <v>1503</v>
      </c>
      <c r="B1359" s="128" t="str">
        <f t="shared" si="154"/>
        <v>KSST</v>
      </c>
      <c r="C1359" s="128" t="str">
        <f>+VLOOKUP(U1359,Ходим!A:B,2,0)</f>
        <v>31810912190036</v>
      </c>
      <c r="D1359" s="128" t="str">
        <f>IFERROR(VLOOKUP($B:$B,[20]свод!$A:$AB,3,0)," ")</f>
        <v>Косонсой тумани</v>
      </c>
      <c r="E1359" s="7" t="s">
        <v>2496</v>
      </c>
      <c r="F1359" s="7" t="s">
        <v>8885</v>
      </c>
      <c r="G1359" s="134">
        <f t="shared" si="157"/>
        <v>1</v>
      </c>
      <c r="H1359" s="134" t="str">
        <f t="shared" si="158"/>
        <v/>
      </c>
      <c r="I1359" s="7" t="s">
        <v>158</v>
      </c>
      <c r="J1359" s="7" t="s">
        <v>172</v>
      </c>
      <c r="K1359" s="7"/>
      <c r="L1359" s="7" t="s">
        <v>167</v>
      </c>
      <c r="M1359" s="7" t="s">
        <v>5091</v>
      </c>
      <c r="N1359" s="7" t="s">
        <v>170</v>
      </c>
      <c r="O1359" s="7" t="s">
        <v>162</v>
      </c>
      <c r="P1359" s="7" t="s">
        <v>6904</v>
      </c>
      <c r="Q1359" s="129">
        <v>46199</v>
      </c>
      <c r="R1359" s="130">
        <f t="shared" si="156"/>
        <v>46206</v>
      </c>
      <c r="S1359" s="131">
        <f t="shared" si="155"/>
        <v>7</v>
      </c>
      <c r="T1359" s="7" t="s">
        <v>180</v>
      </c>
      <c r="U1359" s="7" t="s">
        <v>196</v>
      </c>
      <c r="V1359" s="7"/>
      <c r="W1359" s="7">
        <v>205.8</v>
      </c>
      <c r="X1359" s="132">
        <f t="shared" si="153"/>
        <v>10</v>
      </c>
      <c r="Y1359" s="133"/>
      <c r="Z1359" s="133"/>
      <c r="AA1359" s="133"/>
    </row>
    <row r="1360" spans="1:27" hidden="1" x14ac:dyDescent="0.25">
      <c r="A1360" s="127">
        <v>1504</v>
      </c>
      <c r="B1360" s="128" t="str">
        <f t="shared" si="154"/>
        <v>CHUT</v>
      </c>
      <c r="C1360" s="128" t="str">
        <f>+VLOOKUP(U1360,Ходим!A:B,2,0)</f>
        <v>33112995970023</v>
      </c>
      <c r="D1360" s="128" t="str">
        <f>IFERROR(VLOOKUP($B:$B,[20]свод!$A:$AB,3,0)," ")</f>
        <v>Чуст тумани</v>
      </c>
      <c r="E1360" s="7" t="s">
        <v>2497</v>
      </c>
      <c r="F1360" s="7" t="s">
        <v>8886</v>
      </c>
      <c r="G1360" s="134" t="str">
        <f t="shared" si="157"/>
        <v/>
      </c>
      <c r="H1360" s="134">
        <f t="shared" si="158"/>
        <v>1</v>
      </c>
      <c r="I1360" s="7" t="s">
        <v>157</v>
      </c>
      <c r="J1360" s="7" t="s">
        <v>172</v>
      </c>
      <c r="K1360" s="7"/>
      <c r="L1360" s="7" t="s">
        <v>168</v>
      </c>
      <c r="M1360" s="7" t="s">
        <v>5092</v>
      </c>
      <c r="N1360" s="7" t="s">
        <v>410</v>
      </c>
      <c r="O1360" s="7" t="s">
        <v>161</v>
      </c>
      <c r="P1360" s="7" t="s">
        <v>6904</v>
      </c>
      <c r="Q1360" s="129">
        <v>46199</v>
      </c>
      <c r="R1360" s="130">
        <f t="shared" si="156"/>
        <v>46203</v>
      </c>
      <c r="S1360" s="131">
        <f t="shared" si="155"/>
        <v>4</v>
      </c>
      <c r="T1360" s="7" t="s">
        <v>178</v>
      </c>
      <c r="U1360" s="7" t="s">
        <v>179</v>
      </c>
      <c r="V1360" s="7"/>
      <c r="W1360" s="7">
        <v>0</v>
      </c>
      <c r="X1360" s="132">
        <f t="shared" si="153"/>
        <v>7</v>
      </c>
      <c r="Y1360" s="133"/>
      <c r="Z1360" s="133"/>
      <c r="AA1360" s="133"/>
    </row>
    <row r="1361" spans="1:27" hidden="1" x14ac:dyDescent="0.25">
      <c r="A1361" s="127">
        <v>1505</v>
      </c>
      <c r="B1361" s="128" t="str">
        <f t="shared" si="154"/>
        <v>CHUT</v>
      </c>
      <c r="C1361" s="128" t="str">
        <f>+VLOOKUP(U1361,Ходим!A:B,2,0)</f>
        <v>50905015970078</v>
      </c>
      <c r="D1361" s="128" t="str">
        <f>IFERROR(VLOOKUP($B:$B,[20]свод!$A:$AB,3,0)," ")</f>
        <v>Чуст тумани</v>
      </c>
      <c r="E1361" s="7" t="s">
        <v>2498</v>
      </c>
      <c r="F1361" s="7" t="s">
        <v>8887</v>
      </c>
      <c r="G1361" s="134" t="str">
        <f t="shared" si="157"/>
        <v/>
      </c>
      <c r="H1361" s="134">
        <f t="shared" si="158"/>
        <v>1</v>
      </c>
      <c r="I1361" s="7" t="s">
        <v>157</v>
      </c>
      <c r="J1361" s="7" t="s">
        <v>172</v>
      </c>
      <c r="K1361" s="7"/>
      <c r="L1361" s="7" t="s">
        <v>168</v>
      </c>
      <c r="M1361" s="7" t="s">
        <v>5093</v>
      </c>
      <c r="N1361" s="7" t="s">
        <v>410</v>
      </c>
      <c r="O1361" s="7" t="s">
        <v>161</v>
      </c>
      <c r="P1361" s="7" t="s">
        <v>6904</v>
      </c>
      <c r="Q1361" s="129">
        <v>46199</v>
      </c>
      <c r="R1361" s="130">
        <f t="shared" si="156"/>
        <v>46203</v>
      </c>
      <c r="S1361" s="131">
        <f t="shared" si="155"/>
        <v>4</v>
      </c>
      <c r="T1361" s="7" t="s">
        <v>178</v>
      </c>
      <c r="U1361" s="7" t="s">
        <v>521</v>
      </c>
      <c r="V1361" s="7"/>
      <c r="W1361" s="7">
        <v>0</v>
      </c>
      <c r="X1361" s="132">
        <f t="shared" si="153"/>
        <v>7</v>
      </c>
      <c r="Y1361" s="133"/>
      <c r="Z1361" s="133"/>
      <c r="AA1361" s="133"/>
    </row>
    <row r="1362" spans="1:27" hidden="1" x14ac:dyDescent="0.25">
      <c r="A1362" s="127">
        <v>1506</v>
      </c>
      <c r="B1362" s="128" t="str">
        <f t="shared" si="154"/>
        <v>NAMS</v>
      </c>
      <c r="C1362" s="128" t="str">
        <f>+VLOOKUP(U1362,Ходим!A:B,2,0)</f>
        <v>52407055960122</v>
      </c>
      <c r="D1362" s="128" t="str">
        <f>IFERROR(VLOOKUP($B:$B,[20]свод!$A:$AB,3,0)," ")</f>
        <v>Наманган шаҳар</v>
      </c>
      <c r="E1362" s="7" t="s">
        <v>2499</v>
      </c>
      <c r="F1362" s="7" t="s">
        <v>8888</v>
      </c>
      <c r="G1362" s="134">
        <f t="shared" si="157"/>
        <v>1</v>
      </c>
      <c r="H1362" s="134" t="str">
        <f t="shared" si="158"/>
        <v/>
      </c>
      <c r="I1362" s="7" t="s">
        <v>158</v>
      </c>
      <c r="J1362" s="7" t="s">
        <v>2</v>
      </c>
      <c r="K1362" s="7"/>
      <c r="L1362" s="7" t="s">
        <v>167</v>
      </c>
      <c r="M1362" s="7" t="s">
        <v>5094</v>
      </c>
      <c r="N1362" s="7" t="s">
        <v>170</v>
      </c>
      <c r="O1362" s="7" t="s">
        <v>162</v>
      </c>
      <c r="P1362" s="7" t="s">
        <v>6362</v>
      </c>
      <c r="Q1362" s="129">
        <v>46199</v>
      </c>
      <c r="R1362" s="130">
        <f t="shared" si="156"/>
        <v>46211</v>
      </c>
      <c r="S1362" s="131">
        <f t="shared" si="155"/>
        <v>12</v>
      </c>
      <c r="T1362" s="7" t="s">
        <v>173</v>
      </c>
      <c r="U1362" s="7" t="s">
        <v>345</v>
      </c>
      <c r="V1362" s="7"/>
      <c r="W1362" s="7">
        <v>530.11</v>
      </c>
      <c r="X1362" s="132">
        <f t="shared" si="153"/>
        <v>10</v>
      </c>
      <c r="Y1362" s="133"/>
      <c r="Z1362" s="133"/>
      <c r="AA1362" s="133"/>
    </row>
    <row r="1363" spans="1:27" hidden="1" x14ac:dyDescent="0.25">
      <c r="A1363" s="127">
        <v>1507</v>
      </c>
      <c r="B1363" s="128" t="str">
        <f t="shared" si="154"/>
        <v>UYCT</v>
      </c>
      <c r="C1363" s="128" t="str">
        <f>+VLOOKUP(U1363,Ходим!A:B,2,0)</f>
        <v>32002975930037</v>
      </c>
      <c r="D1363" s="128" t="str">
        <f>IFERROR(VLOOKUP($B:$B,[20]свод!$A:$AB,3,0)," ")</f>
        <v>Уйчи тумани</v>
      </c>
      <c r="E1363" s="7" t="s">
        <v>2500</v>
      </c>
      <c r="F1363" s="7" t="s">
        <v>8889</v>
      </c>
      <c r="G1363" s="134" t="str">
        <f t="shared" si="157"/>
        <v/>
      </c>
      <c r="H1363" s="134">
        <f t="shared" si="158"/>
        <v>1</v>
      </c>
      <c r="I1363" s="7" t="s">
        <v>154</v>
      </c>
      <c r="J1363" s="7" t="s">
        <v>134</v>
      </c>
      <c r="K1363" s="7"/>
      <c r="L1363" s="7"/>
      <c r="M1363" s="7"/>
      <c r="N1363" s="7" t="s">
        <v>170</v>
      </c>
      <c r="O1363" s="7" t="s">
        <v>161</v>
      </c>
      <c r="P1363" s="7" t="s">
        <v>6575</v>
      </c>
      <c r="Q1363" s="129">
        <v>46199</v>
      </c>
      <c r="R1363" s="130">
        <f t="shared" si="156"/>
        <v>46205</v>
      </c>
      <c r="S1363" s="131">
        <f t="shared" si="155"/>
        <v>6</v>
      </c>
      <c r="T1363" s="7" t="s">
        <v>947</v>
      </c>
      <c r="U1363" s="7" t="s">
        <v>260</v>
      </c>
      <c r="V1363" s="7"/>
      <c r="W1363" s="7"/>
      <c r="X1363" s="132">
        <f t="shared" si="153"/>
        <v>10</v>
      </c>
      <c r="Y1363" s="133"/>
      <c r="Z1363" s="133"/>
      <c r="AA1363" s="133"/>
    </row>
    <row r="1364" spans="1:27" hidden="1" x14ac:dyDescent="0.25">
      <c r="A1364" s="127">
        <v>1508</v>
      </c>
      <c r="B1364" s="128" t="str">
        <f t="shared" si="154"/>
        <v>NAMS</v>
      </c>
      <c r="C1364" s="128" t="str">
        <f>+VLOOKUP(U1364,Ходим!A:B,2,0)</f>
        <v>52710005960025</v>
      </c>
      <c r="D1364" s="128" t="str">
        <f>IFERROR(VLOOKUP($B:$B,[20]свод!$A:$AB,3,0)," ")</f>
        <v>Наманган шаҳар</v>
      </c>
      <c r="E1364" s="7" t="s">
        <v>2501</v>
      </c>
      <c r="F1364" s="7" t="s">
        <v>8890</v>
      </c>
      <c r="G1364" s="134">
        <f t="shared" si="157"/>
        <v>1</v>
      </c>
      <c r="H1364" s="134" t="str">
        <f t="shared" si="158"/>
        <v/>
      </c>
      <c r="I1364" s="7" t="s">
        <v>156</v>
      </c>
      <c r="J1364" s="7" t="s">
        <v>25</v>
      </c>
      <c r="K1364" s="7"/>
      <c r="L1364" s="7"/>
      <c r="M1364" s="7"/>
      <c r="N1364" s="7" t="s">
        <v>170</v>
      </c>
      <c r="O1364" s="7" t="s">
        <v>162</v>
      </c>
      <c r="P1364" s="7" t="s">
        <v>6905</v>
      </c>
      <c r="Q1364" s="129">
        <v>46199</v>
      </c>
      <c r="R1364" s="130">
        <f t="shared" si="156"/>
        <v>46212</v>
      </c>
      <c r="S1364" s="131">
        <f t="shared" si="155"/>
        <v>13</v>
      </c>
      <c r="T1364" s="7" t="s">
        <v>173</v>
      </c>
      <c r="U1364" s="7" t="s">
        <v>274</v>
      </c>
      <c r="V1364" s="7"/>
      <c r="W1364" s="7"/>
      <c r="X1364" s="132">
        <f t="shared" si="153"/>
        <v>10</v>
      </c>
      <c r="Y1364" s="133"/>
      <c r="Z1364" s="133"/>
      <c r="AA1364" s="133"/>
    </row>
    <row r="1365" spans="1:27" hidden="1" x14ac:dyDescent="0.25">
      <c r="A1365" s="127">
        <v>1509</v>
      </c>
      <c r="B1365" s="128" t="str">
        <f t="shared" si="154"/>
        <v>NAMS</v>
      </c>
      <c r="C1365" s="128" t="str">
        <f>+VLOOKUP(U1365,Ходим!A:B,2,0)</f>
        <v>51110025960044</v>
      </c>
      <c r="D1365" s="128" t="str">
        <f>IFERROR(VLOOKUP($B:$B,[20]свод!$A:$AB,3,0)," ")</f>
        <v>Наманган шаҳар</v>
      </c>
      <c r="E1365" s="7" t="s">
        <v>2502</v>
      </c>
      <c r="F1365" s="7" t="s">
        <v>8891</v>
      </c>
      <c r="G1365" s="134">
        <f t="shared" si="157"/>
        <v>1</v>
      </c>
      <c r="H1365" s="134" t="str">
        <f t="shared" si="158"/>
        <v/>
      </c>
      <c r="I1365" s="7" t="s">
        <v>156</v>
      </c>
      <c r="J1365" s="7" t="s">
        <v>25</v>
      </c>
      <c r="K1365" s="7"/>
      <c r="L1365" s="7"/>
      <c r="M1365" s="7"/>
      <c r="N1365" s="7" t="s">
        <v>170</v>
      </c>
      <c r="O1365" s="7" t="s">
        <v>162</v>
      </c>
      <c r="P1365" s="7" t="s">
        <v>6905</v>
      </c>
      <c r="Q1365" s="129">
        <v>46199</v>
      </c>
      <c r="R1365" s="130">
        <f t="shared" si="156"/>
        <v>46212</v>
      </c>
      <c r="S1365" s="131">
        <f t="shared" si="155"/>
        <v>13</v>
      </c>
      <c r="T1365" s="7" t="s">
        <v>173</v>
      </c>
      <c r="U1365" s="7" t="s">
        <v>294</v>
      </c>
      <c r="V1365" s="7"/>
      <c r="W1365" s="7"/>
      <c r="X1365" s="132">
        <f t="shared" si="153"/>
        <v>10</v>
      </c>
      <c r="Y1365" s="133"/>
      <c r="Z1365" s="133"/>
      <c r="AA1365" s="133"/>
    </row>
    <row r="1366" spans="1:27" hidden="1" x14ac:dyDescent="0.25">
      <c r="A1366" s="127">
        <v>1510</v>
      </c>
      <c r="B1366" s="128" t="str">
        <f t="shared" si="154"/>
        <v>TORT</v>
      </c>
      <c r="C1366" s="128" t="str">
        <f>+VLOOKUP(U1366,Ходим!A:B,2,0)</f>
        <v>30708792130017</v>
      </c>
      <c r="D1366" s="128" t="str">
        <f>IFERROR(VLOOKUP($B:$B,[20]свод!$A:$AB,3,0)," ")</f>
        <v>Тўрақўрғон тумани</v>
      </c>
      <c r="E1366" s="7" t="s">
        <v>2503</v>
      </c>
      <c r="F1366" s="7" t="s">
        <v>8892</v>
      </c>
      <c r="G1366" s="134">
        <f t="shared" si="157"/>
        <v>1</v>
      </c>
      <c r="H1366" s="134" t="str">
        <f t="shared" si="158"/>
        <v/>
      </c>
      <c r="I1366" s="7" t="s">
        <v>156</v>
      </c>
      <c r="J1366" s="7" t="s">
        <v>25</v>
      </c>
      <c r="K1366" s="7"/>
      <c r="L1366" s="7"/>
      <c r="M1366" s="7"/>
      <c r="N1366" s="7" t="s">
        <v>410</v>
      </c>
      <c r="O1366" s="7" t="s">
        <v>162</v>
      </c>
      <c r="P1366" s="7" t="s">
        <v>6905</v>
      </c>
      <c r="Q1366" s="129">
        <v>46199</v>
      </c>
      <c r="R1366" s="130">
        <f t="shared" si="156"/>
        <v>46212</v>
      </c>
      <c r="S1366" s="131">
        <f t="shared" si="155"/>
        <v>13</v>
      </c>
      <c r="T1366" s="7" t="s">
        <v>203</v>
      </c>
      <c r="U1366" s="7" t="s">
        <v>204</v>
      </c>
      <c r="V1366" s="7"/>
      <c r="W1366" s="7"/>
      <c r="X1366" s="132">
        <f t="shared" si="153"/>
        <v>10</v>
      </c>
      <c r="Y1366" s="133"/>
      <c r="Z1366" s="133"/>
      <c r="AA1366" s="133"/>
    </row>
    <row r="1367" spans="1:27" hidden="1" x14ac:dyDescent="0.25">
      <c r="A1367" s="127">
        <v>1511</v>
      </c>
      <c r="B1367" s="128" t="str">
        <f t="shared" si="154"/>
        <v>KSST</v>
      </c>
      <c r="C1367" s="128" t="str">
        <f>+VLOOKUP(U1367,Ходим!A:B,2,0)</f>
        <v>31810912190036</v>
      </c>
      <c r="D1367" s="128" t="str">
        <f>IFERROR(VLOOKUP($B:$B,[20]свод!$A:$AB,3,0)," ")</f>
        <v>Косонсой тумани</v>
      </c>
      <c r="E1367" s="7" t="s">
        <v>2504</v>
      </c>
      <c r="F1367" s="7" t="s">
        <v>8893</v>
      </c>
      <c r="G1367" s="134" t="str">
        <f t="shared" si="157"/>
        <v/>
      </c>
      <c r="H1367" s="134">
        <f t="shared" si="158"/>
        <v>1</v>
      </c>
      <c r="I1367" s="7" t="s">
        <v>157</v>
      </c>
      <c r="J1367" s="7" t="s">
        <v>172</v>
      </c>
      <c r="K1367" s="7"/>
      <c r="L1367" s="7" t="s">
        <v>166</v>
      </c>
      <c r="M1367" s="7" t="s">
        <v>5095</v>
      </c>
      <c r="N1367" s="7" t="s">
        <v>410</v>
      </c>
      <c r="O1367" s="7" t="s">
        <v>161</v>
      </c>
      <c r="P1367" s="7" t="s">
        <v>6906</v>
      </c>
      <c r="Q1367" s="129">
        <v>46199</v>
      </c>
      <c r="R1367" s="130">
        <f t="shared" si="156"/>
        <v>46206</v>
      </c>
      <c r="S1367" s="131">
        <f t="shared" si="155"/>
        <v>7</v>
      </c>
      <c r="T1367" s="7" t="s">
        <v>180</v>
      </c>
      <c r="U1367" s="7" t="s">
        <v>196</v>
      </c>
      <c r="V1367" s="7"/>
      <c r="W1367" s="7">
        <v>0</v>
      </c>
      <c r="X1367" s="132">
        <f t="shared" si="153"/>
        <v>10</v>
      </c>
      <c r="Y1367" s="133"/>
      <c r="Z1367" s="133"/>
      <c r="AA1367" s="133"/>
    </row>
    <row r="1368" spans="1:27" hidden="1" x14ac:dyDescent="0.25">
      <c r="A1368" s="127">
        <v>1512</v>
      </c>
      <c r="B1368" s="128" t="str">
        <f t="shared" si="154"/>
        <v>NORT</v>
      </c>
      <c r="C1368" s="128" t="str">
        <f>+VLOOKUP(U1368,Ходим!A:B,2,0)</f>
        <v>31609962110019</v>
      </c>
      <c r="D1368" s="128" t="str">
        <f>IFERROR(VLOOKUP($B:$B,[20]свод!$A:$AB,3,0)," ")</f>
        <v>Норин тумани</v>
      </c>
      <c r="E1368" s="7" t="s">
        <v>2505</v>
      </c>
      <c r="F1368" s="7" t="s">
        <v>8894</v>
      </c>
      <c r="G1368" s="134" t="str">
        <f t="shared" si="157"/>
        <v/>
      </c>
      <c r="H1368" s="134">
        <f t="shared" si="158"/>
        <v>1</v>
      </c>
      <c r="I1368" s="7" t="s">
        <v>157</v>
      </c>
      <c r="J1368" s="7" t="s">
        <v>2</v>
      </c>
      <c r="K1368" s="7"/>
      <c r="L1368" s="7" t="s">
        <v>166</v>
      </c>
      <c r="M1368" s="7" t="s">
        <v>1040</v>
      </c>
      <c r="N1368" s="7" t="s">
        <v>170</v>
      </c>
      <c r="O1368" s="7" t="s">
        <v>161</v>
      </c>
      <c r="P1368" s="7" t="s">
        <v>6906</v>
      </c>
      <c r="Q1368" s="129">
        <v>46199</v>
      </c>
      <c r="R1368" s="130">
        <f t="shared" si="156"/>
        <v>46206</v>
      </c>
      <c r="S1368" s="131">
        <f t="shared" si="155"/>
        <v>7</v>
      </c>
      <c r="T1368" s="7" t="s">
        <v>210</v>
      </c>
      <c r="U1368" s="7" t="s">
        <v>355</v>
      </c>
      <c r="V1368" s="7"/>
      <c r="W1368" s="7">
        <v>0</v>
      </c>
      <c r="X1368" s="132">
        <f t="shared" si="153"/>
        <v>10</v>
      </c>
      <c r="Y1368" s="133"/>
      <c r="Z1368" s="133"/>
      <c r="AA1368" s="133"/>
    </row>
    <row r="1369" spans="1:27" hidden="1" x14ac:dyDescent="0.25">
      <c r="A1369" s="127">
        <v>1513</v>
      </c>
      <c r="B1369" s="128" t="str">
        <f t="shared" si="154"/>
        <v>NORT</v>
      </c>
      <c r="C1369" s="128" t="str">
        <f>+VLOOKUP(U1369,Ходим!A:B,2,0)</f>
        <v>32103985900068</v>
      </c>
      <c r="D1369" s="128" t="str">
        <f>IFERROR(VLOOKUP($B:$B,[20]свод!$A:$AB,3,0)," ")</f>
        <v>Норин тумани</v>
      </c>
      <c r="E1369" s="7" t="s">
        <v>2506</v>
      </c>
      <c r="F1369" s="7" t="s">
        <v>8895</v>
      </c>
      <c r="G1369" s="134" t="str">
        <f t="shared" si="157"/>
        <v/>
      </c>
      <c r="H1369" s="134">
        <f t="shared" si="158"/>
        <v>1</v>
      </c>
      <c r="I1369" s="7" t="s">
        <v>154</v>
      </c>
      <c r="J1369" s="7" t="s">
        <v>2</v>
      </c>
      <c r="K1369" s="7"/>
      <c r="L1369" s="7" t="s">
        <v>166</v>
      </c>
      <c r="M1369" s="7" t="s">
        <v>5096</v>
      </c>
      <c r="N1369" s="7" t="s">
        <v>170</v>
      </c>
      <c r="O1369" s="7" t="s">
        <v>161</v>
      </c>
      <c r="P1369" s="7" t="s">
        <v>6906</v>
      </c>
      <c r="Q1369" s="129">
        <v>46199</v>
      </c>
      <c r="R1369" s="130">
        <f t="shared" si="156"/>
        <v>46206</v>
      </c>
      <c r="S1369" s="131">
        <f t="shared" si="155"/>
        <v>7</v>
      </c>
      <c r="T1369" s="7" t="s">
        <v>210</v>
      </c>
      <c r="U1369" s="7" t="s">
        <v>327</v>
      </c>
      <c r="V1369" s="7"/>
      <c r="W1369" s="7">
        <v>0</v>
      </c>
      <c r="X1369" s="132">
        <f t="shared" si="153"/>
        <v>10</v>
      </c>
      <c r="Y1369" s="133"/>
      <c r="Z1369" s="133"/>
      <c r="AA1369" s="133"/>
    </row>
    <row r="1370" spans="1:27" hidden="1" x14ac:dyDescent="0.25">
      <c r="A1370" s="127">
        <v>1514</v>
      </c>
      <c r="B1370" s="128" t="str">
        <f t="shared" si="154"/>
        <v>NORT</v>
      </c>
      <c r="C1370" s="128" t="str">
        <f>+VLOOKUP(U1370,Ходим!A:B,2,0)</f>
        <v>32103985900068</v>
      </c>
      <c r="D1370" s="128" t="str">
        <f>IFERROR(VLOOKUP($B:$B,[20]свод!$A:$AB,3,0)," ")</f>
        <v>Норин тумани</v>
      </c>
      <c r="E1370" s="7" t="s">
        <v>2507</v>
      </c>
      <c r="F1370" s="7" t="s">
        <v>8896</v>
      </c>
      <c r="G1370" s="134" t="str">
        <f t="shared" si="157"/>
        <v/>
      </c>
      <c r="H1370" s="134">
        <f t="shared" si="158"/>
        <v>1</v>
      </c>
      <c r="I1370" s="7" t="s">
        <v>154</v>
      </c>
      <c r="J1370" s="7" t="s">
        <v>2</v>
      </c>
      <c r="K1370" s="7"/>
      <c r="L1370" s="7" t="s">
        <v>166</v>
      </c>
      <c r="M1370" s="7" t="s">
        <v>5097</v>
      </c>
      <c r="N1370" s="7" t="s">
        <v>170</v>
      </c>
      <c r="O1370" s="7" t="s">
        <v>161</v>
      </c>
      <c r="P1370" s="7" t="s">
        <v>6906</v>
      </c>
      <c r="Q1370" s="129">
        <v>46199</v>
      </c>
      <c r="R1370" s="130">
        <f t="shared" si="156"/>
        <v>46206</v>
      </c>
      <c r="S1370" s="131">
        <f t="shared" si="155"/>
        <v>7</v>
      </c>
      <c r="T1370" s="7" t="s">
        <v>210</v>
      </c>
      <c r="U1370" s="7" t="s">
        <v>327</v>
      </c>
      <c r="V1370" s="7"/>
      <c r="W1370" s="7">
        <v>0</v>
      </c>
      <c r="X1370" s="132">
        <f t="shared" si="153"/>
        <v>10</v>
      </c>
      <c r="Y1370" s="133"/>
      <c r="Z1370" s="133"/>
      <c r="AA1370" s="133"/>
    </row>
    <row r="1371" spans="1:27" hidden="1" x14ac:dyDescent="0.25">
      <c r="A1371" s="127">
        <v>1515</v>
      </c>
      <c r="B1371" s="128" t="str">
        <f t="shared" si="154"/>
        <v>NAMT</v>
      </c>
      <c r="C1371" s="128" t="str">
        <f>+VLOOKUP(U1371,Ходим!A:B,2,0)</f>
        <v>32204892090133</v>
      </c>
      <c r="D1371" s="128" t="str">
        <f>IFERROR(VLOOKUP($B:$B,[20]свод!$A:$AB,3,0)," ")</f>
        <v>Наманган тумани</v>
      </c>
      <c r="E1371" s="7" t="s">
        <v>2508</v>
      </c>
      <c r="F1371" s="7" t="s">
        <v>8897</v>
      </c>
      <c r="G1371" s="134">
        <f t="shared" si="157"/>
        <v>1</v>
      </c>
      <c r="H1371" s="134" t="str">
        <f t="shared" si="158"/>
        <v/>
      </c>
      <c r="I1371" s="7" t="s">
        <v>158</v>
      </c>
      <c r="J1371" s="7" t="s">
        <v>2</v>
      </c>
      <c r="K1371" s="7"/>
      <c r="L1371" s="7" t="s">
        <v>167</v>
      </c>
      <c r="M1371" s="7" t="s">
        <v>5098</v>
      </c>
      <c r="N1371" s="7" t="s">
        <v>410</v>
      </c>
      <c r="O1371" s="7" t="s">
        <v>162</v>
      </c>
      <c r="P1371" s="7" t="s">
        <v>6906</v>
      </c>
      <c r="Q1371" s="129">
        <v>46199</v>
      </c>
      <c r="R1371" s="130">
        <f t="shared" si="156"/>
        <v>46206</v>
      </c>
      <c r="S1371" s="131">
        <f t="shared" si="155"/>
        <v>7</v>
      </c>
      <c r="T1371" s="7" t="s">
        <v>193</v>
      </c>
      <c r="U1371" s="7" t="s">
        <v>198</v>
      </c>
      <c r="V1371" s="7"/>
      <c r="W1371" s="7">
        <v>139.88999999999999</v>
      </c>
      <c r="X1371" s="132">
        <f t="shared" si="153"/>
        <v>10</v>
      </c>
      <c r="Y1371" s="133"/>
      <c r="Z1371" s="133"/>
      <c r="AA1371" s="133"/>
    </row>
    <row r="1372" spans="1:27" hidden="1" x14ac:dyDescent="0.25">
      <c r="A1372" s="127">
        <v>1516</v>
      </c>
      <c r="B1372" s="128" t="str">
        <f t="shared" si="154"/>
        <v>CHOT</v>
      </c>
      <c r="C1372" s="128" t="str">
        <f>+VLOOKUP(U1372,Ходим!A:B,2,0)</f>
        <v>30308922100022</v>
      </c>
      <c r="D1372" s="128" t="str">
        <f>IFERROR(VLOOKUP($B:$B,[20]свод!$A:$AB,3,0)," ")</f>
        <v>Чортоқ тумани</v>
      </c>
      <c r="E1372" s="7" t="s">
        <v>2509</v>
      </c>
      <c r="F1372" s="7" t="s">
        <v>8898</v>
      </c>
      <c r="G1372" s="134" t="str">
        <f t="shared" si="157"/>
        <v/>
      </c>
      <c r="H1372" s="134">
        <f t="shared" si="158"/>
        <v>1</v>
      </c>
      <c r="I1372" s="7" t="s">
        <v>157</v>
      </c>
      <c r="J1372" s="7" t="s">
        <v>172</v>
      </c>
      <c r="K1372" s="7"/>
      <c r="L1372" s="7" t="s">
        <v>166</v>
      </c>
      <c r="M1372" s="7" t="s">
        <v>5099</v>
      </c>
      <c r="N1372" s="7" t="s">
        <v>170</v>
      </c>
      <c r="O1372" s="7" t="s">
        <v>161</v>
      </c>
      <c r="P1372" s="7" t="s">
        <v>6901</v>
      </c>
      <c r="Q1372" s="129">
        <v>46199</v>
      </c>
      <c r="R1372" s="130">
        <f t="shared" si="156"/>
        <v>46206</v>
      </c>
      <c r="S1372" s="131">
        <f t="shared" si="155"/>
        <v>7</v>
      </c>
      <c r="T1372" s="7" t="s">
        <v>10635</v>
      </c>
      <c r="U1372" s="7" t="s">
        <v>190</v>
      </c>
      <c r="V1372" s="7"/>
      <c r="W1372" s="7">
        <v>0</v>
      </c>
      <c r="X1372" s="132">
        <f t="shared" si="153"/>
        <v>10</v>
      </c>
      <c r="Y1372" s="133"/>
      <c r="Z1372" s="133"/>
      <c r="AA1372" s="133"/>
    </row>
    <row r="1373" spans="1:27" hidden="1" x14ac:dyDescent="0.25">
      <c r="A1373" s="127">
        <v>1517</v>
      </c>
      <c r="B1373" s="128" t="str">
        <f t="shared" si="154"/>
        <v>NAMS</v>
      </c>
      <c r="C1373" s="128" t="str">
        <f>+VLOOKUP(U1373,Ходим!A:B,2,0)</f>
        <v>41006772170195</v>
      </c>
      <c r="D1373" s="128" t="str">
        <f>IFERROR(VLOOKUP($B:$B,[20]свод!$A:$AB,3,0)," ")</f>
        <v>Наманган шаҳар</v>
      </c>
      <c r="E1373" s="7" t="s">
        <v>2510</v>
      </c>
      <c r="F1373" s="7" t="s">
        <v>8899</v>
      </c>
      <c r="G1373" s="134" t="str">
        <f t="shared" si="157"/>
        <v/>
      </c>
      <c r="H1373" s="134">
        <f t="shared" si="158"/>
        <v>1</v>
      </c>
      <c r="I1373" s="7" t="s">
        <v>157</v>
      </c>
      <c r="J1373" s="7" t="s">
        <v>16</v>
      </c>
      <c r="K1373" s="7"/>
      <c r="L1373" s="7" t="s">
        <v>166</v>
      </c>
      <c r="M1373" s="7" t="s">
        <v>5100</v>
      </c>
      <c r="N1373" s="7" t="s">
        <v>170</v>
      </c>
      <c r="O1373" s="7" t="s">
        <v>161</v>
      </c>
      <c r="P1373" s="7" t="s">
        <v>6907</v>
      </c>
      <c r="Q1373" s="129">
        <v>46199</v>
      </c>
      <c r="R1373" s="130">
        <f t="shared" si="156"/>
        <v>46223</v>
      </c>
      <c r="S1373" s="131">
        <f t="shared" si="155"/>
        <v>24</v>
      </c>
      <c r="T1373" s="7" t="s">
        <v>173</v>
      </c>
      <c r="U1373" s="7" t="s">
        <v>338</v>
      </c>
      <c r="V1373" s="7"/>
      <c r="W1373" s="7">
        <v>19627.46</v>
      </c>
      <c r="X1373" s="132">
        <f t="shared" si="153"/>
        <v>28</v>
      </c>
      <c r="Y1373" s="133"/>
      <c r="Z1373" s="133"/>
      <c r="AA1373" s="133"/>
    </row>
    <row r="1374" spans="1:27" hidden="1" x14ac:dyDescent="0.25">
      <c r="A1374" s="127">
        <v>1518</v>
      </c>
      <c r="B1374" s="128" t="str">
        <f t="shared" si="154"/>
        <v>CHUT</v>
      </c>
      <c r="C1374" s="128" t="str">
        <f>+VLOOKUP(U1374,Ходим!A:B,2,0)</f>
        <v>30409785970022</v>
      </c>
      <c r="D1374" s="128" t="str">
        <f>IFERROR(VLOOKUP($B:$B,[20]свод!$A:$AB,3,0)," ")</f>
        <v>Чуст тумани</v>
      </c>
      <c r="E1374" s="7" t="s">
        <v>2511</v>
      </c>
      <c r="F1374" s="7" t="s">
        <v>8900</v>
      </c>
      <c r="G1374" s="134" t="str">
        <f t="shared" si="157"/>
        <v/>
      </c>
      <c r="H1374" s="134">
        <f t="shared" si="158"/>
        <v>1</v>
      </c>
      <c r="I1374" s="7" t="s">
        <v>157</v>
      </c>
      <c r="J1374" s="7" t="s">
        <v>2</v>
      </c>
      <c r="K1374" s="7"/>
      <c r="L1374" s="7" t="s">
        <v>168</v>
      </c>
      <c r="M1374" s="7" t="s">
        <v>5101</v>
      </c>
      <c r="N1374" s="7" t="s">
        <v>410</v>
      </c>
      <c r="O1374" s="7" t="s">
        <v>161</v>
      </c>
      <c r="P1374" s="7" t="s">
        <v>6908</v>
      </c>
      <c r="Q1374" s="129">
        <v>46199</v>
      </c>
      <c r="R1374" s="130">
        <f t="shared" si="156"/>
        <v>46203</v>
      </c>
      <c r="S1374" s="131">
        <f t="shared" si="155"/>
        <v>4</v>
      </c>
      <c r="T1374" s="7" t="s">
        <v>178</v>
      </c>
      <c r="U1374" s="7" t="s">
        <v>191</v>
      </c>
      <c r="V1374" s="7"/>
      <c r="W1374" s="7">
        <v>0</v>
      </c>
      <c r="X1374" s="132">
        <f t="shared" si="153"/>
        <v>7</v>
      </c>
      <c r="Y1374" s="133"/>
      <c r="Z1374" s="133"/>
      <c r="AA1374" s="133"/>
    </row>
    <row r="1375" spans="1:27" hidden="1" x14ac:dyDescent="0.25">
      <c r="A1375" s="127">
        <v>1519</v>
      </c>
      <c r="B1375" s="128" t="str">
        <f t="shared" si="154"/>
        <v>NAMT</v>
      </c>
      <c r="C1375" s="128" t="str">
        <f>+VLOOKUP(U1375,Ходим!A:B,2,0)</f>
        <v>32610955880027</v>
      </c>
      <c r="D1375" s="128" t="str">
        <f>IFERROR(VLOOKUP($B:$B,[20]свод!$A:$AB,3,0)," ")</f>
        <v>Наманган тумани</v>
      </c>
      <c r="E1375" s="7" t="s">
        <v>2512</v>
      </c>
      <c r="F1375" s="7" t="s">
        <v>8901</v>
      </c>
      <c r="G1375" s="134">
        <f t="shared" si="157"/>
        <v>1</v>
      </c>
      <c r="H1375" s="134" t="str">
        <f t="shared" si="158"/>
        <v/>
      </c>
      <c r="I1375" s="7" t="s">
        <v>158</v>
      </c>
      <c r="J1375" s="7" t="s">
        <v>2</v>
      </c>
      <c r="K1375" s="7"/>
      <c r="L1375" s="7" t="s">
        <v>167</v>
      </c>
      <c r="M1375" s="7" t="s">
        <v>5102</v>
      </c>
      <c r="N1375" s="7" t="s">
        <v>170</v>
      </c>
      <c r="O1375" s="7" t="s">
        <v>162</v>
      </c>
      <c r="P1375" s="7" t="s">
        <v>6908</v>
      </c>
      <c r="Q1375" s="129">
        <v>46199</v>
      </c>
      <c r="R1375" s="130">
        <f t="shared" si="156"/>
        <v>46206</v>
      </c>
      <c r="S1375" s="131">
        <f t="shared" si="155"/>
        <v>7</v>
      </c>
      <c r="T1375" s="7" t="s">
        <v>197</v>
      </c>
      <c r="U1375" s="7" t="s">
        <v>288</v>
      </c>
      <c r="V1375" s="7"/>
      <c r="W1375" s="7">
        <v>176.2</v>
      </c>
      <c r="X1375" s="132">
        <f t="shared" si="153"/>
        <v>10</v>
      </c>
      <c r="Y1375" s="133"/>
      <c r="Z1375" s="133"/>
      <c r="AA1375" s="133"/>
    </row>
    <row r="1376" spans="1:27" hidden="1" x14ac:dyDescent="0.25">
      <c r="A1376" s="127">
        <v>1520</v>
      </c>
      <c r="B1376" s="128" t="str">
        <f t="shared" si="154"/>
        <v>MINT</v>
      </c>
      <c r="C1376" s="128" t="e">
        <f>+VLOOKUP(U1376,Ходим!A:B,2,0)</f>
        <v>#N/A</v>
      </c>
      <c r="D1376" s="128" t="str">
        <f>IFERROR(VLOOKUP($B:$B,[20]свод!$A:$AB,3,0)," ")</f>
        <v>Мингбулоқ тумани</v>
      </c>
      <c r="E1376" s="7" t="s">
        <v>2513</v>
      </c>
      <c r="F1376" s="7" t="s">
        <v>8902</v>
      </c>
      <c r="G1376" s="134">
        <f t="shared" si="157"/>
        <v>1</v>
      </c>
      <c r="H1376" s="134" t="str">
        <f t="shared" si="158"/>
        <v/>
      </c>
      <c r="I1376" s="7" t="s">
        <v>156</v>
      </c>
      <c r="J1376" s="7" t="s">
        <v>11</v>
      </c>
      <c r="K1376" s="7"/>
      <c r="L1376" s="7" t="s">
        <v>167</v>
      </c>
      <c r="M1376" s="7" t="s">
        <v>5103</v>
      </c>
      <c r="N1376" s="7" t="s">
        <v>170</v>
      </c>
      <c r="O1376" s="7" t="s">
        <v>162</v>
      </c>
      <c r="P1376" s="7" t="s">
        <v>6909</v>
      </c>
      <c r="Q1376" s="129">
        <v>46199</v>
      </c>
      <c r="R1376" s="130">
        <f t="shared" si="156"/>
        <v>46212</v>
      </c>
      <c r="S1376" s="131">
        <f t="shared" si="155"/>
        <v>13</v>
      </c>
      <c r="T1376" s="7"/>
      <c r="U1376" s="7"/>
      <c r="V1376" s="7"/>
      <c r="W1376" s="7">
        <v>246.54</v>
      </c>
      <c r="X1376" s="132">
        <f t="shared" si="153"/>
        <v>10</v>
      </c>
      <c r="Y1376" s="133"/>
      <c r="Z1376" s="133"/>
      <c r="AA1376" s="133"/>
    </row>
    <row r="1377" spans="1:27" hidden="1" x14ac:dyDescent="0.25">
      <c r="A1377" s="127">
        <v>1521</v>
      </c>
      <c r="B1377" s="128" t="str">
        <f t="shared" si="154"/>
        <v>NAMS</v>
      </c>
      <c r="C1377" s="128" t="str">
        <f>+VLOOKUP(U1377,Ходим!A:B,2,0)</f>
        <v>33012942170121</v>
      </c>
      <c r="D1377" s="128" t="str">
        <f>IFERROR(VLOOKUP($B:$B,[20]свод!$A:$AB,3,0)," ")</f>
        <v>Наманган шаҳар</v>
      </c>
      <c r="E1377" s="7" t="s">
        <v>2514</v>
      </c>
      <c r="F1377" s="7" t="s">
        <v>8903</v>
      </c>
      <c r="G1377" s="134">
        <f t="shared" si="157"/>
        <v>1</v>
      </c>
      <c r="H1377" s="134" t="str">
        <f t="shared" si="158"/>
        <v/>
      </c>
      <c r="I1377" s="7" t="s">
        <v>156</v>
      </c>
      <c r="J1377" s="7" t="s">
        <v>25</v>
      </c>
      <c r="K1377" s="7"/>
      <c r="L1377" s="7"/>
      <c r="M1377" s="7"/>
      <c r="N1377" s="7" t="s">
        <v>170</v>
      </c>
      <c r="O1377" s="7" t="s">
        <v>162</v>
      </c>
      <c r="P1377" s="7" t="s">
        <v>6909</v>
      </c>
      <c r="Q1377" s="129">
        <v>46199</v>
      </c>
      <c r="R1377" s="130">
        <f t="shared" si="156"/>
        <v>46212</v>
      </c>
      <c r="S1377" s="131">
        <f t="shared" si="155"/>
        <v>13</v>
      </c>
      <c r="T1377" s="7" t="s">
        <v>173</v>
      </c>
      <c r="U1377" s="7" t="s">
        <v>259</v>
      </c>
      <c r="V1377" s="7"/>
      <c r="W1377" s="7"/>
      <c r="X1377" s="132">
        <f t="shared" si="153"/>
        <v>10</v>
      </c>
      <c r="Y1377" s="133"/>
      <c r="Z1377" s="133"/>
      <c r="AA1377" s="133"/>
    </row>
    <row r="1378" spans="1:27" hidden="1" x14ac:dyDescent="0.25">
      <c r="A1378" s="127">
        <v>1522</v>
      </c>
      <c r="B1378" s="128" t="str">
        <f t="shared" si="154"/>
        <v>NAMS</v>
      </c>
      <c r="C1378" s="128">
        <f>+VLOOKUP(U1378,Ходим!A:B,2,0)</f>
        <v>50510025960139</v>
      </c>
      <c r="D1378" s="128" t="str">
        <f>IFERROR(VLOOKUP($B:$B,[20]свод!$A:$AB,3,0)," ")</f>
        <v>Наманган шаҳар</v>
      </c>
      <c r="E1378" s="7" t="s">
        <v>2515</v>
      </c>
      <c r="F1378" s="7" t="s">
        <v>8904</v>
      </c>
      <c r="G1378" s="134">
        <f t="shared" si="157"/>
        <v>1</v>
      </c>
      <c r="H1378" s="134" t="str">
        <f t="shared" si="158"/>
        <v/>
      </c>
      <c r="I1378" s="7" t="s">
        <v>156</v>
      </c>
      <c r="J1378" s="7" t="s">
        <v>25</v>
      </c>
      <c r="K1378" s="7"/>
      <c r="L1378" s="7"/>
      <c r="M1378" s="7"/>
      <c r="N1378" s="7" t="s">
        <v>170</v>
      </c>
      <c r="O1378" s="7" t="s">
        <v>162</v>
      </c>
      <c r="P1378" s="7" t="s">
        <v>6909</v>
      </c>
      <c r="Q1378" s="129">
        <v>46199</v>
      </c>
      <c r="R1378" s="130">
        <f t="shared" si="156"/>
        <v>46212</v>
      </c>
      <c r="S1378" s="131">
        <f t="shared" si="155"/>
        <v>13</v>
      </c>
      <c r="T1378" s="7" t="s">
        <v>173</v>
      </c>
      <c r="U1378" s="7" t="s">
        <v>955</v>
      </c>
      <c r="V1378" s="7"/>
      <c r="W1378" s="7"/>
      <c r="X1378" s="132">
        <f t="shared" si="153"/>
        <v>10</v>
      </c>
      <c r="Y1378" s="133"/>
      <c r="Z1378" s="133"/>
      <c r="AA1378" s="133"/>
    </row>
    <row r="1379" spans="1:27" hidden="1" x14ac:dyDescent="0.25">
      <c r="A1379" s="127">
        <v>1523</v>
      </c>
      <c r="B1379" s="128" t="str">
        <f t="shared" si="154"/>
        <v>TORT</v>
      </c>
      <c r="C1379" s="128" t="str">
        <f>+VLOOKUP(U1379,Ходим!A:B,2,0)</f>
        <v>30702995920011</v>
      </c>
      <c r="D1379" s="128" t="str">
        <f>IFERROR(VLOOKUP($B:$B,[20]свод!$A:$AB,3,0)," ")</f>
        <v>Тўрақўрғон тумани</v>
      </c>
      <c r="E1379" s="7" t="s">
        <v>2516</v>
      </c>
      <c r="F1379" s="7" t="s">
        <v>8905</v>
      </c>
      <c r="G1379" s="134">
        <f t="shared" si="157"/>
        <v>1</v>
      </c>
      <c r="H1379" s="134" t="str">
        <f t="shared" si="158"/>
        <v/>
      </c>
      <c r="I1379" s="7" t="s">
        <v>156</v>
      </c>
      <c r="J1379" s="7" t="s">
        <v>25</v>
      </c>
      <c r="K1379" s="7"/>
      <c r="L1379" s="7" t="s">
        <v>167</v>
      </c>
      <c r="M1379" s="7" t="s">
        <v>5104</v>
      </c>
      <c r="N1379" s="7" t="s">
        <v>170</v>
      </c>
      <c r="O1379" s="7" t="s">
        <v>163</v>
      </c>
      <c r="P1379" s="7" t="s">
        <v>6910</v>
      </c>
      <c r="Q1379" s="129">
        <v>46199</v>
      </c>
      <c r="R1379" s="130">
        <f t="shared" si="156"/>
        <v>46212</v>
      </c>
      <c r="S1379" s="131">
        <f t="shared" si="155"/>
        <v>13</v>
      </c>
      <c r="T1379" s="7" t="s">
        <v>203</v>
      </c>
      <c r="U1379" s="7" t="s">
        <v>341</v>
      </c>
      <c r="V1379" s="7"/>
      <c r="W1379" s="7">
        <v>320.27</v>
      </c>
      <c r="X1379" s="132">
        <f t="shared" si="153"/>
        <v>10</v>
      </c>
      <c r="Y1379" s="133"/>
      <c r="Z1379" s="133"/>
      <c r="AA1379" s="133"/>
    </row>
    <row r="1380" spans="1:27" hidden="1" x14ac:dyDescent="0.25">
      <c r="A1380" s="127">
        <v>1524</v>
      </c>
      <c r="B1380" s="128" t="str">
        <f t="shared" si="154"/>
        <v>MINT</v>
      </c>
      <c r="C1380" s="128" t="str">
        <f>+VLOOKUP(U1380,Ходим!A:B,2,0)</f>
        <v>51604025990014</v>
      </c>
      <c r="D1380" s="128" t="str">
        <f>IFERROR(VLOOKUP($B:$B,[20]свод!$A:$AB,3,0)," ")</f>
        <v>Мингбулоқ тумани</v>
      </c>
      <c r="E1380" s="7" t="s">
        <v>2517</v>
      </c>
      <c r="F1380" s="7" t="s">
        <v>8906</v>
      </c>
      <c r="G1380" s="134">
        <f t="shared" si="157"/>
        <v>1</v>
      </c>
      <c r="H1380" s="134" t="str">
        <f t="shared" si="158"/>
        <v/>
      </c>
      <c r="I1380" s="7" t="s">
        <v>158</v>
      </c>
      <c r="J1380" s="7" t="s">
        <v>2</v>
      </c>
      <c r="K1380" s="7"/>
      <c r="L1380" s="7" t="s">
        <v>167</v>
      </c>
      <c r="M1380" s="7" t="s">
        <v>5105</v>
      </c>
      <c r="N1380" s="7" t="s">
        <v>410</v>
      </c>
      <c r="O1380" s="7" t="s">
        <v>162</v>
      </c>
      <c r="P1380" s="7" t="s">
        <v>6911</v>
      </c>
      <c r="Q1380" s="129">
        <v>46199</v>
      </c>
      <c r="R1380" s="130">
        <f t="shared" si="156"/>
        <v>46206</v>
      </c>
      <c r="S1380" s="131">
        <f t="shared" si="155"/>
        <v>7</v>
      </c>
      <c r="T1380" s="7" t="s">
        <v>220</v>
      </c>
      <c r="U1380" s="7" t="s">
        <v>252</v>
      </c>
      <c r="V1380" s="7"/>
      <c r="W1380" s="7">
        <v>318.83999999999997</v>
      </c>
      <c r="X1380" s="132">
        <f t="shared" si="153"/>
        <v>10</v>
      </c>
      <c r="Y1380" s="133"/>
      <c r="Z1380" s="133"/>
      <c r="AA1380" s="133"/>
    </row>
    <row r="1381" spans="1:27" hidden="1" x14ac:dyDescent="0.25">
      <c r="A1381" s="127">
        <v>1526</v>
      </c>
      <c r="B1381" s="128" t="str">
        <f t="shared" ref="B1381:B1439" si="159">LEFT(E1381,4)</f>
        <v>NAMS</v>
      </c>
      <c r="C1381" s="128" t="str">
        <f>+VLOOKUP(U1381,Ходим!A:B,2,0)</f>
        <v>53008015960094</v>
      </c>
      <c r="D1381" s="128" t="str">
        <f>IFERROR(VLOOKUP($B:$B,[20]свод!$A:$AB,3,0)," ")</f>
        <v>Наманган шаҳар</v>
      </c>
      <c r="E1381" s="7" t="s">
        <v>2518</v>
      </c>
      <c r="F1381" s="7" t="s">
        <v>8907</v>
      </c>
      <c r="G1381" s="134">
        <f t="shared" si="157"/>
        <v>1</v>
      </c>
      <c r="H1381" s="134" t="str">
        <f t="shared" si="158"/>
        <v/>
      </c>
      <c r="I1381" s="7" t="s">
        <v>158</v>
      </c>
      <c r="J1381" s="7" t="s">
        <v>12</v>
      </c>
      <c r="K1381" s="7"/>
      <c r="L1381" s="7" t="s">
        <v>167</v>
      </c>
      <c r="M1381" s="7" t="s">
        <v>5106</v>
      </c>
      <c r="N1381" s="7" t="s">
        <v>170</v>
      </c>
      <c r="O1381" s="7" t="s">
        <v>162</v>
      </c>
      <c r="P1381" s="7" t="s">
        <v>6820</v>
      </c>
      <c r="Q1381" s="129">
        <v>46199</v>
      </c>
      <c r="R1381" s="130">
        <f t="shared" si="156"/>
        <v>46206</v>
      </c>
      <c r="S1381" s="131">
        <f t="shared" ref="S1381:S1439" si="160">R1381-Q1381</f>
        <v>7</v>
      </c>
      <c r="T1381" s="7" t="s">
        <v>173</v>
      </c>
      <c r="U1381" s="7" t="s">
        <v>403</v>
      </c>
      <c r="V1381" s="7"/>
      <c r="W1381" s="7">
        <v>223.33</v>
      </c>
      <c r="X1381" s="132">
        <f t="shared" ref="X1381:X1439" si="161">IF(N1381="Kadastr muhandisi",3,
IF(N1381="UZKAD",5,
IF(V1381="FREE",5,
IF(I1381="Registratsiya (tashqi - UZKAD da bor)",1,
IF(I1381="Avtoyo'l va suv xo'jaligi obyektining kadastr pasportini shakllantirish va ro'yxatga olish",7,
IF(I1381="Notarius uchun ma'lumotnoma (uz)",1,
IF(I1381="Qurilishi tugallangan ko'chmas mulkni foydalanishga qabul qilish",10,
IF(OR(I1381="Turar joy obyektning kadastr pasportini shakllantirish va davlat ro'yxatidan o'tkazish",I1381="Turar kompozit"),
IF(L1381="Turar yer maydoni",7,10),
IF(OR(I1381="Noturar obyektning kadastr pasportini shakllantirish va davlat ro'yxatidan o'tkazish",I1381="Noturar kompozit"),
IF(O1381="Ko‘p yillik daraxtlar xizmati",15,
IF(OR(L1381="Noturar yer maydoni",L1381="Davlat tashkilotlaridan ijaraga olingan yer uchastkasi"),7,
IF(W1381&lt;100,10,IF(W1381&lt;=1000,12,IF(W1381&lt;=5000,17,IF(W1381&lt;=15000,22,IF(W1381&lt;=50000,28,37))))))),
IF(I1381="Umumiy foydalanishdagi ko'chmas mulk qismini yaratish",
IF(IF(TRIM(L1381)="",IF(OR(O1381="Turar joy xizmati",O1381="Yakka tartibdagi turar joy"),"Turar","Noturar"),IF(OR(L1381="Yakka tartibdagi turar joy",L1381="Turar joy xizmati"),"Turar","Noturar"))="Turar",
10,IF(W1381&lt;100,10,IF(W1381&lt;=1000,12,IF(W1381&lt;=5000,17,IF(W1381&lt;=15000,22,IF(W1381&lt;=50000,28,37)))))),
0))))))))))</f>
        <v>10</v>
      </c>
      <c r="Y1381" s="133"/>
      <c r="Z1381" s="133"/>
      <c r="AA1381" s="133"/>
    </row>
    <row r="1382" spans="1:27" hidden="1" x14ac:dyDescent="0.25">
      <c r="A1382" s="127">
        <v>1527</v>
      </c>
      <c r="B1382" s="128" t="str">
        <f t="shared" si="159"/>
        <v>NAMS</v>
      </c>
      <c r="C1382" s="128" t="str">
        <f>+VLOOKUP(U1382,Ходим!A:B,2,0)</f>
        <v>51406015960142</v>
      </c>
      <c r="D1382" s="128" t="str">
        <f>IFERROR(VLOOKUP($B:$B,[20]свод!$A:$AB,3,0)," ")</f>
        <v>Наманган шаҳар</v>
      </c>
      <c r="E1382" s="7" t="s">
        <v>2519</v>
      </c>
      <c r="F1382" s="7" t="s">
        <v>8908</v>
      </c>
      <c r="G1382" s="134">
        <f t="shared" si="157"/>
        <v>1</v>
      </c>
      <c r="H1382" s="134" t="str">
        <f t="shared" si="158"/>
        <v/>
      </c>
      <c r="I1382" s="7" t="s">
        <v>158</v>
      </c>
      <c r="J1382" s="7" t="s">
        <v>1</v>
      </c>
      <c r="K1382" s="7"/>
      <c r="L1382" s="7" t="s">
        <v>167</v>
      </c>
      <c r="M1382" s="7" t="s">
        <v>5107</v>
      </c>
      <c r="N1382" s="7" t="s">
        <v>410</v>
      </c>
      <c r="O1382" s="7" t="s">
        <v>162</v>
      </c>
      <c r="P1382" s="7" t="s">
        <v>6678</v>
      </c>
      <c r="Q1382" s="129">
        <v>46199</v>
      </c>
      <c r="R1382" s="130">
        <f t="shared" si="156"/>
        <v>46205</v>
      </c>
      <c r="S1382" s="131">
        <f t="shared" si="160"/>
        <v>6</v>
      </c>
      <c r="T1382" s="7" t="s">
        <v>185</v>
      </c>
      <c r="U1382" s="7" t="s">
        <v>349</v>
      </c>
      <c r="V1382" s="7"/>
      <c r="W1382" s="7">
        <v>196.5</v>
      </c>
      <c r="X1382" s="132">
        <f t="shared" si="161"/>
        <v>10</v>
      </c>
      <c r="Y1382" s="133"/>
      <c r="Z1382" s="133"/>
      <c r="AA1382" s="133"/>
    </row>
    <row r="1383" spans="1:27" hidden="1" x14ac:dyDescent="0.25">
      <c r="A1383" s="127">
        <v>1528</v>
      </c>
      <c r="B1383" s="128" t="str">
        <f t="shared" si="159"/>
        <v>UYCT</v>
      </c>
      <c r="C1383" s="128" t="str">
        <f>+VLOOKUP(U1383,Ходим!A:B,2,0)</f>
        <v>31310995930032</v>
      </c>
      <c r="D1383" s="128" t="str">
        <f>IFERROR(VLOOKUP($B:$B,[20]свод!$A:$AB,3,0)," ")</f>
        <v>Уйчи тумани</v>
      </c>
      <c r="E1383" s="7" t="s">
        <v>2520</v>
      </c>
      <c r="F1383" s="7" t="s">
        <v>8909</v>
      </c>
      <c r="G1383" s="134">
        <f t="shared" si="157"/>
        <v>1</v>
      </c>
      <c r="H1383" s="134" t="str">
        <f t="shared" si="158"/>
        <v/>
      </c>
      <c r="I1383" s="7" t="s">
        <v>158</v>
      </c>
      <c r="J1383" s="7" t="s">
        <v>35</v>
      </c>
      <c r="K1383" s="7"/>
      <c r="L1383" s="7" t="s">
        <v>167</v>
      </c>
      <c r="M1383" s="7" t="s">
        <v>5108</v>
      </c>
      <c r="N1383" s="7" t="s">
        <v>170</v>
      </c>
      <c r="O1383" s="7" t="s">
        <v>162</v>
      </c>
      <c r="P1383" s="7" t="s">
        <v>6642</v>
      </c>
      <c r="Q1383" s="129">
        <v>46199</v>
      </c>
      <c r="R1383" s="130">
        <f t="shared" si="156"/>
        <v>46210</v>
      </c>
      <c r="S1383" s="131">
        <f t="shared" si="160"/>
        <v>11</v>
      </c>
      <c r="T1383" s="7" t="s">
        <v>947</v>
      </c>
      <c r="U1383" s="7" t="s">
        <v>399</v>
      </c>
      <c r="V1383" s="7"/>
      <c r="W1383" s="7">
        <v>543.17999999999995</v>
      </c>
      <c r="X1383" s="132">
        <f t="shared" si="161"/>
        <v>10</v>
      </c>
      <c r="Y1383" s="133"/>
      <c r="Z1383" s="133"/>
      <c r="AA1383" s="133"/>
    </row>
    <row r="1384" spans="1:27" x14ac:dyDescent="0.25">
      <c r="A1384" s="127">
        <v>1529</v>
      </c>
      <c r="B1384" s="128" t="str">
        <f t="shared" si="159"/>
        <v>POPT</v>
      </c>
      <c r="C1384" s="128" t="str">
        <f>+VLOOKUP(U1384,Ходим!A:B,2,0)</f>
        <v>30608945910016</v>
      </c>
      <c r="D1384" s="128" t="str">
        <f>IFERROR(VLOOKUP($B:$B,[20]свод!$A:$AB,3,0)," ")</f>
        <v>Поп тумани</v>
      </c>
      <c r="E1384" s="7" t="s">
        <v>2521</v>
      </c>
      <c r="F1384" s="7" t="s">
        <v>8910</v>
      </c>
      <c r="G1384" s="134" t="str">
        <f t="shared" si="157"/>
        <v/>
      </c>
      <c r="H1384" s="134">
        <f t="shared" si="158"/>
        <v>1</v>
      </c>
      <c r="I1384" s="7" t="s">
        <v>157</v>
      </c>
      <c r="J1384" s="7" t="s">
        <v>1</v>
      </c>
      <c r="K1384" s="7"/>
      <c r="L1384" s="7" t="s">
        <v>168</v>
      </c>
      <c r="M1384" s="7" t="s">
        <v>5109</v>
      </c>
      <c r="N1384" s="7" t="s">
        <v>410</v>
      </c>
      <c r="O1384" s="7" t="s">
        <v>161</v>
      </c>
      <c r="P1384" s="7" t="s">
        <v>6912</v>
      </c>
      <c r="Q1384" s="129">
        <v>46199</v>
      </c>
      <c r="R1384" s="130">
        <f t="shared" si="156"/>
        <v>46196</v>
      </c>
      <c r="S1384" s="131">
        <f t="shared" si="160"/>
        <v>-3</v>
      </c>
      <c r="T1384" s="7" t="s">
        <v>240</v>
      </c>
      <c r="U1384" s="7" t="s">
        <v>295</v>
      </c>
      <c r="V1384" s="7"/>
      <c r="W1384" s="7">
        <v>0</v>
      </c>
      <c r="X1384" s="132">
        <f t="shared" si="161"/>
        <v>7</v>
      </c>
      <c r="Y1384" s="133"/>
      <c r="Z1384" s="133"/>
      <c r="AA1384" s="133"/>
    </row>
    <row r="1385" spans="1:27" hidden="1" x14ac:dyDescent="0.25">
      <c r="A1385" s="127">
        <v>1530</v>
      </c>
      <c r="B1385" s="128" t="str">
        <f t="shared" si="159"/>
        <v>TORT</v>
      </c>
      <c r="C1385" s="128" t="str">
        <f>+VLOOKUP(U1385,Ходим!A:B,2,0)</f>
        <v>32801762130050</v>
      </c>
      <c r="D1385" s="128" t="str">
        <f>IFERROR(VLOOKUP($B:$B,[20]свод!$A:$AB,3,0)," ")</f>
        <v>Тўрақўрғон тумани</v>
      </c>
      <c r="E1385" s="7" t="s">
        <v>2522</v>
      </c>
      <c r="F1385" s="7" t="s">
        <v>8911</v>
      </c>
      <c r="G1385" s="134" t="str">
        <f t="shared" si="157"/>
        <v/>
      </c>
      <c r="H1385" s="134">
        <f t="shared" si="158"/>
        <v>1</v>
      </c>
      <c r="I1385" s="7" t="s">
        <v>157</v>
      </c>
      <c r="J1385" s="7" t="s">
        <v>2</v>
      </c>
      <c r="K1385" s="7"/>
      <c r="L1385" s="7" t="s">
        <v>166</v>
      </c>
      <c r="M1385" s="7" t="s">
        <v>5110</v>
      </c>
      <c r="N1385" s="7" t="s">
        <v>170</v>
      </c>
      <c r="O1385" s="7" t="s">
        <v>161</v>
      </c>
      <c r="P1385" s="7" t="s">
        <v>6828</v>
      </c>
      <c r="Q1385" s="129">
        <v>46199</v>
      </c>
      <c r="R1385" s="130">
        <f t="shared" si="156"/>
        <v>46216</v>
      </c>
      <c r="S1385" s="131">
        <f t="shared" si="160"/>
        <v>17</v>
      </c>
      <c r="T1385" s="7" t="s">
        <v>203</v>
      </c>
      <c r="U1385" s="7" t="s">
        <v>206</v>
      </c>
      <c r="V1385" s="7"/>
      <c r="W1385" s="7">
        <v>911.54</v>
      </c>
      <c r="X1385" s="132">
        <f t="shared" si="161"/>
        <v>12</v>
      </c>
      <c r="Y1385" s="133"/>
      <c r="Z1385" s="133"/>
      <c r="AA1385" s="133"/>
    </row>
    <row r="1386" spans="1:27" x14ac:dyDescent="0.25">
      <c r="A1386" s="127">
        <v>1531</v>
      </c>
      <c r="B1386" s="128" t="str">
        <f t="shared" si="159"/>
        <v>TORT</v>
      </c>
      <c r="C1386" s="128" t="str">
        <f>+VLOOKUP(U1386,Ходим!A:B,2,0)</f>
        <v>40302922130046</v>
      </c>
      <c r="D1386" s="128" t="str">
        <f>IFERROR(VLOOKUP($B:$B,[20]свод!$A:$AB,3,0)," ")</f>
        <v>Тўрақўрғон тумани</v>
      </c>
      <c r="E1386" s="7" t="s">
        <v>2523</v>
      </c>
      <c r="F1386" s="7" t="s">
        <v>8912</v>
      </c>
      <c r="G1386" s="134">
        <f t="shared" si="157"/>
        <v>1</v>
      </c>
      <c r="H1386" s="134" t="str">
        <f t="shared" si="158"/>
        <v/>
      </c>
      <c r="I1386" s="7" t="s">
        <v>158</v>
      </c>
      <c r="J1386" s="7" t="s">
        <v>55</v>
      </c>
      <c r="K1386" s="7"/>
      <c r="L1386" s="7" t="s">
        <v>167</v>
      </c>
      <c r="M1386" s="7" t="s">
        <v>5111</v>
      </c>
      <c r="N1386" s="7" t="s">
        <v>170</v>
      </c>
      <c r="O1386" s="7" t="s">
        <v>162</v>
      </c>
      <c r="P1386" s="7" t="s">
        <v>6913</v>
      </c>
      <c r="Q1386" s="129">
        <v>46199</v>
      </c>
      <c r="R1386" s="130">
        <f t="shared" si="156"/>
        <v>46190</v>
      </c>
      <c r="S1386" s="131">
        <f t="shared" si="160"/>
        <v>-9</v>
      </c>
      <c r="T1386" s="7" t="s">
        <v>203</v>
      </c>
      <c r="U1386" s="7" t="s">
        <v>258</v>
      </c>
      <c r="V1386" s="7" t="s">
        <v>965</v>
      </c>
      <c r="W1386" s="7">
        <v>305.43</v>
      </c>
      <c r="X1386" s="132">
        <f t="shared" si="161"/>
        <v>5</v>
      </c>
      <c r="Y1386" s="133"/>
      <c r="Z1386" s="133"/>
      <c r="AA1386" s="133"/>
    </row>
    <row r="1387" spans="1:27" hidden="1" x14ac:dyDescent="0.25">
      <c r="A1387" s="127">
        <v>1532</v>
      </c>
      <c r="B1387" s="128" t="str">
        <f t="shared" si="159"/>
        <v>NAMS</v>
      </c>
      <c r="C1387" s="128" t="str">
        <f>+VLOOKUP(U1387,Ходим!A:B,2,0)</f>
        <v>53008015960094</v>
      </c>
      <c r="D1387" s="128" t="str">
        <f>IFERROR(VLOOKUP($B:$B,[20]свод!$A:$AB,3,0)," ")</f>
        <v>Наманган шаҳар</v>
      </c>
      <c r="E1387" s="7" t="s">
        <v>2524</v>
      </c>
      <c r="F1387" s="7" t="s">
        <v>8913</v>
      </c>
      <c r="G1387" s="134">
        <f t="shared" si="157"/>
        <v>1</v>
      </c>
      <c r="H1387" s="134" t="str">
        <f t="shared" si="158"/>
        <v/>
      </c>
      <c r="I1387" s="7" t="s">
        <v>158</v>
      </c>
      <c r="J1387" s="7" t="s">
        <v>1</v>
      </c>
      <c r="K1387" s="7"/>
      <c r="L1387" s="7" t="s">
        <v>167</v>
      </c>
      <c r="M1387" s="7" t="s">
        <v>5112</v>
      </c>
      <c r="N1387" s="7" t="s">
        <v>170</v>
      </c>
      <c r="O1387" s="7" t="s">
        <v>162</v>
      </c>
      <c r="P1387" s="7" t="s">
        <v>6610</v>
      </c>
      <c r="Q1387" s="129">
        <v>46199</v>
      </c>
      <c r="R1387" s="130">
        <f t="shared" si="156"/>
        <v>46205</v>
      </c>
      <c r="S1387" s="131">
        <f t="shared" si="160"/>
        <v>6</v>
      </c>
      <c r="T1387" s="7" t="s">
        <v>185</v>
      </c>
      <c r="U1387" s="7" t="s">
        <v>403</v>
      </c>
      <c r="V1387" s="7"/>
      <c r="W1387" s="7">
        <v>356.17</v>
      </c>
      <c r="X1387" s="132">
        <f t="shared" si="161"/>
        <v>10</v>
      </c>
      <c r="Y1387" s="133"/>
      <c r="Z1387" s="133"/>
      <c r="AA1387" s="133"/>
    </row>
    <row r="1388" spans="1:27" hidden="1" x14ac:dyDescent="0.25">
      <c r="A1388" s="127">
        <v>1533</v>
      </c>
      <c r="B1388" s="128" t="str">
        <f t="shared" si="159"/>
        <v>NAMS</v>
      </c>
      <c r="C1388" s="128" t="str">
        <f>+VLOOKUP(U1388,Ходим!A:B,2,0)</f>
        <v>30108932170088</v>
      </c>
      <c r="D1388" s="128" t="str">
        <f>IFERROR(VLOOKUP($B:$B,[20]свод!$A:$AB,3,0)," ")</f>
        <v>Наманган шаҳар</v>
      </c>
      <c r="E1388" s="7" t="s">
        <v>2525</v>
      </c>
      <c r="F1388" s="7" t="s">
        <v>8914</v>
      </c>
      <c r="G1388" s="134">
        <f t="shared" si="157"/>
        <v>1</v>
      </c>
      <c r="H1388" s="134" t="str">
        <f t="shared" si="158"/>
        <v/>
      </c>
      <c r="I1388" s="7" t="s">
        <v>156</v>
      </c>
      <c r="J1388" s="7" t="s">
        <v>25</v>
      </c>
      <c r="K1388" s="7"/>
      <c r="L1388" s="7" t="s">
        <v>167</v>
      </c>
      <c r="M1388" s="7" t="s">
        <v>5113</v>
      </c>
      <c r="N1388" s="7" t="s">
        <v>170</v>
      </c>
      <c r="O1388" s="7" t="s">
        <v>162</v>
      </c>
      <c r="P1388" s="7" t="s">
        <v>6879</v>
      </c>
      <c r="Q1388" s="129">
        <v>46199</v>
      </c>
      <c r="R1388" s="130">
        <f t="shared" si="156"/>
        <v>46212</v>
      </c>
      <c r="S1388" s="131">
        <f t="shared" si="160"/>
        <v>13</v>
      </c>
      <c r="T1388" s="7" t="s">
        <v>173</v>
      </c>
      <c r="U1388" s="7" t="s">
        <v>329</v>
      </c>
      <c r="V1388" s="7"/>
      <c r="W1388" s="7">
        <v>326.75</v>
      </c>
      <c r="X1388" s="132">
        <f t="shared" si="161"/>
        <v>10</v>
      </c>
      <c r="Y1388" s="133"/>
      <c r="Z1388" s="133"/>
      <c r="AA1388" s="133"/>
    </row>
    <row r="1389" spans="1:27" x14ac:dyDescent="0.25">
      <c r="A1389" s="127">
        <v>1535</v>
      </c>
      <c r="B1389" s="128" t="str">
        <f t="shared" si="159"/>
        <v>CHUT</v>
      </c>
      <c r="C1389" s="128" t="str">
        <f>+VLOOKUP(U1389,Ходим!A:B,2,0)</f>
        <v>31509882180058</v>
      </c>
      <c r="D1389" s="128" t="str">
        <f>IFERROR(VLOOKUP($B:$B,[20]свод!$A:$AB,3,0)," ")</f>
        <v>Чуст тумани</v>
      </c>
      <c r="E1389" s="7" t="s">
        <v>2526</v>
      </c>
      <c r="F1389" s="7" t="s">
        <v>8915</v>
      </c>
      <c r="G1389" s="134">
        <f t="shared" si="157"/>
        <v>1</v>
      </c>
      <c r="H1389" s="134" t="str">
        <f t="shared" si="158"/>
        <v/>
      </c>
      <c r="I1389" s="7" t="s">
        <v>158</v>
      </c>
      <c r="J1389" s="7" t="s">
        <v>2</v>
      </c>
      <c r="K1389" s="7"/>
      <c r="L1389" s="7" t="s">
        <v>167</v>
      </c>
      <c r="M1389" s="7" t="s">
        <v>5114</v>
      </c>
      <c r="N1389" s="7" t="s">
        <v>410</v>
      </c>
      <c r="O1389" s="7" t="s">
        <v>162</v>
      </c>
      <c r="P1389" s="7" t="s">
        <v>6914</v>
      </c>
      <c r="Q1389" s="129">
        <v>46199</v>
      </c>
      <c r="R1389" s="130">
        <f t="shared" si="156"/>
        <v>46199</v>
      </c>
      <c r="S1389" s="131">
        <f t="shared" si="160"/>
        <v>0</v>
      </c>
      <c r="T1389" s="7" t="s">
        <v>178</v>
      </c>
      <c r="U1389" s="7" t="s">
        <v>324</v>
      </c>
      <c r="V1389" s="7"/>
      <c r="W1389" s="7">
        <v>234.82</v>
      </c>
      <c r="X1389" s="132">
        <f t="shared" si="161"/>
        <v>10</v>
      </c>
      <c r="Y1389" s="133"/>
      <c r="Z1389" s="133"/>
      <c r="AA1389" s="133"/>
    </row>
    <row r="1390" spans="1:27" hidden="1" x14ac:dyDescent="0.25">
      <c r="A1390" s="127">
        <v>1536</v>
      </c>
      <c r="B1390" s="128" t="str">
        <f t="shared" si="159"/>
        <v>CHUT</v>
      </c>
      <c r="C1390" s="128" t="str">
        <f>+VLOOKUP(U1390,Ходим!A:B,2,0)</f>
        <v>50905015970078</v>
      </c>
      <c r="D1390" s="128" t="str">
        <f>IFERROR(VLOOKUP($B:$B,[20]свод!$A:$AB,3,0)," ")</f>
        <v>Чуст тумани</v>
      </c>
      <c r="E1390" s="7" t="s">
        <v>2527</v>
      </c>
      <c r="F1390" s="7" t="s">
        <v>8916</v>
      </c>
      <c r="G1390" s="134">
        <f t="shared" si="157"/>
        <v>1</v>
      </c>
      <c r="H1390" s="134" t="str">
        <f t="shared" si="158"/>
        <v/>
      </c>
      <c r="I1390" s="7" t="s">
        <v>158</v>
      </c>
      <c r="J1390" s="7" t="s">
        <v>172</v>
      </c>
      <c r="K1390" s="7"/>
      <c r="L1390" s="7"/>
      <c r="M1390" s="7"/>
      <c r="N1390" s="7" t="s">
        <v>410</v>
      </c>
      <c r="O1390" s="7" t="s">
        <v>162</v>
      </c>
      <c r="P1390" s="7" t="s">
        <v>6915</v>
      </c>
      <c r="Q1390" s="129">
        <v>46199</v>
      </c>
      <c r="R1390" s="130">
        <f t="shared" si="156"/>
        <v>46206</v>
      </c>
      <c r="S1390" s="131">
        <f t="shared" si="160"/>
        <v>7</v>
      </c>
      <c r="T1390" s="7" t="s">
        <v>178</v>
      </c>
      <c r="U1390" s="7" t="s">
        <v>521</v>
      </c>
      <c r="V1390" s="7"/>
      <c r="W1390" s="7"/>
      <c r="X1390" s="132">
        <f t="shared" si="161"/>
        <v>10</v>
      </c>
      <c r="Y1390" s="133"/>
      <c r="Z1390" s="133"/>
      <c r="AA1390" s="133"/>
    </row>
    <row r="1391" spans="1:27" hidden="1" x14ac:dyDescent="0.25">
      <c r="A1391" s="127">
        <v>1537</v>
      </c>
      <c r="B1391" s="128" t="str">
        <f t="shared" si="159"/>
        <v>YGQT</v>
      </c>
      <c r="C1391" s="128" t="str">
        <f>+VLOOKUP(U1391,Ходим!A:B,2,0)</f>
        <v>31108942160081</v>
      </c>
      <c r="D1391" s="128" t="str">
        <f>IFERROR(VLOOKUP($B:$B,[20]свод!$A:$AB,3,0)," ")</f>
        <v>Янгиқўрғон тумани</v>
      </c>
      <c r="E1391" s="7" t="s">
        <v>2528</v>
      </c>
      <c r="F1391" s="7" t="s">
        <v>8917</v>
      </c>
      <c r="G1391" s="134">
        <f t="shared" si="157"/>
        <v>1</v>
      </c>
      <c r="H1391" s="134" t="str">
        <f t="shared" si="158"/>
        <v/>
      </c>
      <c r="I1391" s="7" t="s">
        <v>158</v>
      </c>
      <c r="J1391" s="7" t="s">
        <v>36</v>
      </c>
      <c r="K1391" s="7"/>
      <c r="L1391" s="7" t="s">
        <v>167</v>
      </c>
      <c r="M1391" s="7" t="s">
        <v>5115</v>
      </c>
      <c r="N1391" s="7" t="s">
        <v>410</v>
      </c>
      <c r="O1391" s="7" t="s">
        <v>162</v>
      </c>
      <c r="P1391" s="7" t="s">
        <v>6915</v>
      </c>
      <c r="Q1391" s="129">
        <v>46199</v>
      </c>
      <c r="R1391" s="130">
        <f t="shared" ref="R1391:R1453" si="162">WORKDAY(P1391,X1391,$Y$1:$AA$1)</f>
        <v>46206</v>
      </c>
      <c r="S1391" s="131">
        <f t="shared" si="160"/>
        <v>7</v>
      </c>
      <c r="T1391" s="7" t="s">
        <v>255</v>
      </c>
      <c r="U1391" s="7" t="s">
        <v>228</v>
      </c>
      <c r="V1391" s="7"/>
      <c r="W1391" s="7">
        <v>284</v>
      </c>
      <c r="X1391" s="132">
        <f t="shared" si="161"/>
        <v>10</v>
      </c>
      <c r="Y1391" s="133"/>
      <c r="Z1391" s="133"/>
      <c r="AA1391" s="133"/>
    </row>
    <row r="1392" spans="1:27" hidden="1" x14ac:dyDescent="0.25">
      <c r="A1392" s="127">
        <v>1538</v>
      </c>
      <c r="B1392" s="128" t="str">
        <f t="shared" si="159"/>
        <v>MINT</v>
      </c>
      <c r="C1392" s="128" t="e">
        <f>+VLOOKUP(U1392,Ходим!A:B,2,0)</f>
        <v>#N/A</v>
      </c>
      <c r="D1392" s="128" t="str">
        <f>IFERROR(VLOOKUP($B:$B,[20]свод!$A:$AB,3,0)," ")</f>
        <v>Мингбулоқ тумани</v>
      </c>
      <c r="E1392" s="7" t="s">
        <v>2529</v>
      </c>
      <c r="F1392" s="7" t="s">
        <v>8918</v>
      </c>
      <c r="G1392" s="134">
        <f t="shared" si="157"/>
        <v>1</v>
      </c>
      <c r="H1392" s="134" t="str">
        <f t="shared" si="158"/>
        <v/>
      </c>
      <c r="I1392" s="7" t="s">
        <v>159</v>
      </c>
      <c r="J1392" s="7" t="s">
        <v>137</v>
      </c>
      <c r="K1392" s="7"/>
      <c r="L1392" s="7" t="s">
        <v>167</v>
      </c>
      <c r="M1392" s="7" t="s">
        <v>5116</v>
      </c>
      <c r="N1392" s="7" t="s">
        <v>170</v>
      </c>
      <c r="O1392" s="7" t="s">
        <v>163</v>
      </c>
      <c r="P1392" s="7" t="s">
        <v>6916</v>
      </c>
      <c r="Q1392" s="129">
        <v>46199</v>
      </c>
      <c r="R1392" s="130">
        <f t="shared" si="162"/>
        <v>46212</v>
      </c>
      <c r="S1392" s="131">
        <f t="shared" si="160"/>
        <v>13</v>
      </c>
      <c r="T1392" s="7"/>
      <c r="U1392" s="7"/>
      <c r="V1392" s="7"/>
      <c r="W1392" s="7">
        <v>492.96</v>
      </c>
      <c r="X1392" s="132">
        <f t="shared" si="161"/>
        <v>10</v>
      </c>
      <c r="Y1392" s="133"/>
      <c r="Z1392" s="133"/>
      <c r="AA1392" s="133"/>
    </row>
    <row r="1393" spans="1:27" hidden="1" x14ac:dyDescent="0.25">
      <c r="A1393" s="127">
        <v>1539</v>
      </c>
      <c r="B1393" s="128" t="str">
        <f t="shared" si="159"/>
        <v>POPT</v>
      </c>
      <c r="C1393" s="128" t="str">
        <f>+VLOOKUP(U1393,Ходим!A:B,2,0)</f>
        <v>30808922120014</v>
      </c>
      <c r="D1393" s="128" t="str">
        <f>IFERROR(VLOOKUP($B:$B,[20]свод!$A:$AB,3,0)," ")</f>
        <v>Поп тумани</v>
      </c>
      <c r="E1393" s="7" t="s">
        <v>2530</v>
      </c>
      <c r="F1393" s="7" t="s">
        <v>8919</v>
      </c>
      <c r="G1393" s="134">
        <f t="shared" si="157"/>
        <v>1</v>
      </c>
      <c r="H1393" s="134" t="str">
        <f t="shared" si="158"/>
        <v/>
      </c>
      <c r="I1393" s="7" t="s">
        <v>154</v>
      </c>
      <c r="J1393" s="7" t="s">
        <v>2</v>
      </c>
      <c r="K1393" s="7"/>
      <c r="L1393" s="7" t="s">
        <v>167</v>
      </c>
      <c r="M1393" s="7" t="s">
        <v>5117</v>
      </c>
      <c r="N1393" s="7" t="s">
        <v>410</v>
      </c>
      <c r="O1393" s="7" t="s">
        <v>162</v>
      </c>
      <c r="P1393" s="7" t="s">
        <v>6915</v>
      </c>
      <c r="Q1393" s="129">
        <v>46199</v>
      </c>
      <c r="R1393" s="130">
        <f t="shared" si="162"/>
        <v>46206</v>
      </c>
      <c r="S1393" s="131">
        <f t="shared" si="160"/>
        <v>7</v>
      </c>
      <c r="T1393" s="7" t="s">
        <v>214</v>
      </c>
      <c r="U1393" s="7" t="s">
        <v>242</v>
      </c>
      <c r="V1393" s="7"/>
      <c r="W1393" s="7">
        <v>260.49</v>
      </c>
      <c r="X1393" s="132">
        <f t="shared" si="161"/>
        <v>10</v>
      </c>
      <c r="Y1393" s="133"/>
      <c r="Z1393" s="133"/>
      <c r="AA1393" s="133"/>
    </row>
    <row r="1394" spans="1:27" hidden="1" x14ac:dyDescent="0.25">
      <c r="A1394" s="127">
        <v>1540</v>
      </c>
      <c r="B1394" s="128" t="str">
        <f t="shared" si="159"/>
        <v>CHUT</v>
      </c>
      <c r="C1394" s="128" t="str">
        <f>+VLOOKUP(U1394,Ходим!A:B,2,0)</f>
        <v>32003822180063</v>
      </c>
      <c r="D1394" s="128" t="str">
        <f>IFERROR(VLOOKUP($B:$B,[20]свод!$A:$AB,3,0)," ")</f>
        <v>Чуст тумани</v>
      </c>
      <c r="E1394" s="7" t="s">
        <v>2531</v>
      </c>
      <c r="F1394" s="7" t="s">
        <v>8920</v>
      </c>
      <c r="G1394" s="134" t="str">
        <f t="shared" si="157"/>
        <v/>
      </c>
      <c r="H1394" s="134">
        <f t="shared" si="158"/>
        <v>1</v>
      </c>
      <c r="I1394" s="7" t="s">
        <v>157</v>
      </c>
      <c r="J1394" s="7" t="s">
        <v>2</v>
      </c>
      <c r="K1394" s="7"/>
      <c r="L1394" s="7" t="s">
        <v>168</v>
      </c>
      <c r="M1394" s="7" t="s">
        <v>5118</v>
      </c>
      <c r="N1394" s="7" t="s">
        <v>410</v>
      </c>
      <c r="O1394" s="7" t="s">
        <v>161</v>
      </c>
      <c r="P1394" s="7" t="s">
        <v>6915</v>
      </c>
      <c r="Q1394" s="129">
        <v>46199</v>
      </c>
      <c r="R1394" s="130">
        <f t="shared" si="162"/>
        <v>46203</v>
      </c>
      <c r="S1394" s="131">
        <f t="shared" si="160"/>
        <v>4</v>
      </c>
      <c r="T1394" s="7" t="s">
        <v>178</v>
      </c>
      <c r="U1394" s="7" t="s">
        <v>200</v>
      </c>
      <c r="V1394" s="7"/>
      <c r="W1394" s="7">
        <v>0</v>
      </c>
      <c r="X1394" s="132">
        <f t="shared" si="161"/>
        <v>7</v>
      </c>
      <c r="Y1394" s="133"/>
      <c r="Z1394" s="133"/>
      <c r="AA1394" s="133"/>
    </row>
    <row r="1395" spans="1:27" hidden="1" x14ac:dyDescent="0.25">
      <c r="A1395" s="127">
        <v>1541</v>
      </c>
      <c r="B1395" s="128" t="str">
        <f t="shared" si="159"/>
        <v>NAMS</v>
      </c>
      <c r="C1395" s="128" t="str">
        <f>+VLOOKUP(U1395,Ходим!A:B,2,0)</f>
        <v>31601642170089</v>
      </c>
      <c r="D1395" s="128" t="str">
        <f>IFERROR(VLOOKUP($B:$B,[20]свод!$A:$AB,3,0)," ")</f>
        <v>Наманган шаҳар</v>
      </c>
      <c r="E1395" s="7" t="s">
        <v>2532</v>
      </c>
      <c r="F1395" s="7" t="s">
        <v>8921</v>
      </c>
      <c r="G1395" s="134">
        <f t="shared" ref="G1395:G1457" si="163">IF(OR(
I1395="Turar joy obyektning kadastr pasportini shakllantirish va davlat ro'yxatidan o'tkazish",
I1395="Turar kompozit"
),
1,
IF(OR(
I1395="Noturar kompozit",
I1395="Avtoyo'l va suv xo'jaligi obyektining kadastr pasportini shakllantirish va ro'yxatga olish",
I1395="Noturar obyektning kadastr pasportining kadastr pasportini shakllantirish va davlat ro'yxatidan o'tkazish"
),
"",
IF(OR(
I1395="Notarius uchun ma'lumotnoma (uz)",
I1395="Qurilishi tugallangan ko'chmas mulkni foydalanishga qabul qilish",
I1395="Umumiy foydalanishdagi ko'chmas mulk qismini yaratish",
I1395="Registratsiya (tashqi - UZKAD da bor)"
),
IF(OR(L1395="Turar yer maydoni",L1395="Yakka tartibdagi turar joy"),1,
IF(L1395="Noturar bino","",
IF(L1395="Noturar yer maydoni","",
IF(L1395="",IF(OR(O1395="Turar joy xizmati",O1395="Foydalanishga ruxsatnoma berish xizmati"),1,""),"")
))),
"")))</f>
        <v>1</v>
      </c>
      <c r="H1395" s="134" t="str">
        <f t="shared" ref="H1395:H1457" si="164">IF(OR(
I1395="Turar joy obyektning kadastr pasportini shakllantirish va davlat ro'yxatidan o'tkazish",
I1395="Turar kompozit"
),
"",
IF(OR(
I1395="Noturar kompozit",
I1395="Avtoyo'l va suv xo'jaligi obyektining kadastr pasportini shakllantirish va ro'yxatga olish",
I1395="Noturar obyektning kadastr pasportini shakllantirish va davlat ro'yxatidan o'tkazish"
),
1,
IF(OR(
I1395="Notarius uchun ma'lumotnoma (uz)",
I1395="Qurilishi tugallangan ko'chmas mulkni foydalanishga qabul qilish",
I1395="Umumiy foydalanishdagi ko'chmas mulk qismini yaratish",
I1395="Registratsiya (tashqi - UZKAD da bor)"
),
IF(OR(L1395="Turar yer maydoni",L1395="Yakka tartibdagi turar joy"),"",
IF(L1395="Noturar bino",1,
IF(L1395="Noturar yer maydoni",1,
IF(L1395="",IF(OR(O1395="Turar joy xizmati",O1395="Foydalanishga ruxsatnoma berish xizmati"),"",1),"")
))),
"")))</f>
        <v/>
      </c>
      <c r="I1395" s="7" t="s">
        <v>156</v>
      </c>
      <c r="J1395" s="7" t="s">
        <v>25</v>
      </c>
      <c r="K1395" s="7"/>
      <c r="L1395" s="7"/>
      <c r="M1395" s="7"/>
      <c r="N1395" s="7" t="s">
        <v>170</v>
      </c>
      <c r="O1395" s="7" t="s">
        <v>162</v>
      </c>
      <c r="P1395" s="7" t="s">
        <v>6811</v>
      </c>
      <c r="Q1395" s="129">
        <v>46199</v>
      </c>
      <c r="R1395" s="130">
        <f t="shared" si="162"/>
        <v>46212</v>
      </c>
      <c r="S1395" s="131">
        <f t="shared" si="160"/>
        <v>13</v>
      </c>
      <c r="T1395" s="7" t="s">
        <v>185</v>
      </c>
      <c r="U1395" s="7" t="s">
        <v>201</v>
      </c>
      <c r="V1395" s="7"/>
      <c r="W1395" s="7"/>
      <c r="X1395" s="132">
        <f t="shared" si="161"/>
        <v>10</v>
      </c>
      <c r="Y1395" s="133"/>
      <c r="Z1395" s="133"/>
      <c r="AA1395" s="133"/>
    </row>
    <row r="1396" spans="1:27" hidden="1" x14ac:dyDescent="0.25">
      <c r="A1396" s="127">
        <v>1542</v>
      </c>
      <c r="B1396" s="128" t="str">
        <f t="shared" si="159"/>
        <v>NAMS</v>
      </c>
      <c r="C1396" s="128" t="str">
        <f>+VLOOKUP(U1396,Ходим!A:B,2,0)</f>
        <v>30302965960014</v>
      </c>
      <c r="D1396" s="128" t="str">
        <f>IFERROR(VLOOKUP($B:$B,[20]свод!$A:$AB,3,0)," ")</f>
        <v>Наманган шаҳар</v>
      </c>
      <c r="E1396" s="7" t="s">
        <v>2533</v>
      </c>
      <c r="F1396" s="7" t="s">
        <v>8922</v>
      </c>
      <c r="G1396" s="134">
        <f t="shared" si="163"/>
        <v>1</v>
      </c>
      <c r="H1396" s="134" t="str">
        <f t="shared" si="164"/>
        <v/>
      </c>
      <c r="I1396" s="7" t="s">
        <v>156</v>
      </c>
      <c r="J1396" s="7" t="s">
        <v>25</v>
      </c>
      <c r="K1396" s="7"/>
      <c r="L1396" s="7"/>
      <c r="M1396" s="7"/>
      <c r="N1396" s="7" t="s">
        <v>170</v>
      </c>
      <c r="O1396" s="7" t="s">
        <v>162</v>
      </c>
      <c r="P1396" s="7" t="s">
        <v>6842</v>
      </c>
      <c r="Q1396" s="129">
        <v>46199</v>
      </c>
      <c r="R1396" s="130">
        <f t="shared" si="162"/>
        <v>46212</v>
      </c>
      <c r="S1396" s="131">
        <f t="shared" si="160"/>
        <v>13</v>
      </c>
      <c r="T1396" s="7" t="s">
        <v>173</v>
      </c>
      <c r="U1396" s="7" t="s">
        <v>304</v>
      </c>
      <c r="V1396" s="7"/>
      <c r="W1396" s="7"/>
      <c r="X1396" s="132">
        <f t="shared" si="161"/>
        <v>10</v>
      </c>
      <c r="Y1396" s="133"/>
      <c r="Z1396" s="133"/>
      <c r="AA1396" s="133"/>
    </row>
    <row r="1397" spans="1:27" hidden="1" x14ac:dyDescent="0.25">
      <c r="A1397" s="127">
        <v>1543</v>
      </c>
      <c r="B1397" s="128" t="str">
        <f t="shared" si="159"/>
        <v>NAMS</v>
      </c>
      <c r="C1397" s="128" t="str">
        <f>+VLOOKUP(U1397,Ходим!A:B,2,0)</f>
        <v>30302965960014</v>
      </c>
      <c r="D1397" s="128" t="str">
        <f>IFERROR(VLOOKUP($B:$B,[20]свод!$A:$AB,3,0)," ")</f>
        <v>Наманган шаҳар</v>
      </c>
      <c r="E1397" s="7" t="s">
        <v>2534</v>
      </c>
      <c r="F1397" s="7" t="s">
        <v>8923</v>
      </c>
      <c r="G1397" s="134">
        <f t="shared" si="163"/>
        <v>1</v>
      </c>
      <c r="H1397" s="134" t="str">
        <f t="shared" si="164"/>
        <v/>
      </c>
      <c r="I1397" s="7" t="s">
        <v>156</v>
      </c>
      <c r="J1397" s="7" t="s">
        <v>25</v>
      </c>
      <c r="K1397" s="7"/>
      <c r="L1397" s="7"/>
      <c r="M1397" s="7"/>
      <c r="N1397" s="7" t="s">
        <v>170</v>
      </c>
      <c r="O1397" s="7" t="s">
        <v>162</v>
      </c>
      <c r="P1397" s="7" t="s">
        <v>6842</v>
      </c>
      <c r="Q1397" s="129">
        <v>46199</v>
      </c>
      <c r="R1397" s="130">
        <f t="shared" si="162"/>
        <v>46212</v>
      </c>
      <c r="S1397" s="131">
        <f t="shared" si="160"/>
        <v>13</v>
      </c>
      <c r="T1397" s="7" t="s">
        <v>173</v>
      </c>
      <c r="U1397" s="7" t="s">
        <v>304</v>
      </c>
      <c r="V1397" s="7"/>
      <c r="W1397" s="7"/>
      <c r="X1397" s="132">
        <f t="shared" si="161"/>
        <v>10</v>
      </c>
      <c r="Y1397" s="133"/>
      <c r="Z1397" s="133"/>
      <c r="AA1397" s="133"/>
    </row>
    <row r="1398" spans="1:27" hidden="1" x14ac:dyDescent="0.25">
      <c r="A1398" s="127">
        <v>1544</v>
      </c>
      <c r="B1398" s="128" t="str">
        <f t="shared" si="159"/>
        <v>CHUT</v>
      </c>
      <c r="C1398" s="128" t="str">
        <f>+VLOOKUP(U1398,Ходим!A:B,2,0)</f>
        <v>32003822180063</v>
      </c>
      <c r="D1398" s="128" t="str">
        <f>IFERROR(VLOOKUP($B:$B,[20]свод!$A:$AB,3,0)," ")</f>
        <v>Чуст тумани</v>
      </c>
      <c r="E1398" s="7" t="s">
        <v>2535</v>
      </c>
      <c r="F1398" s="7" t="s">
        <v>8924</v>
      </c>
      <c r="G1398" s="134" t="str">
        <f t="shared" si="163"/>
        <v/>
      </c>
      <c r="H1398" s="134">
        <f t="shared" si="164"/>
        <v>1</v>
      </c>
      <c r="I1398" s="7" t="s">
        <v>157</v>
      </c>
      <c r="J1398" s="7" t="s">
        <v>2</v>
      </c>
      <c r="K1398" s="7"/>
      <c r="L1398" s="7" t="s">
        <v>168</v>
      </c>
      <c r="M1398" s="7" t="s">
        <v>5119</v>
      </c>
      <c r="N1398" s="7" t="s">
        <v>410</v>
      </c>
      <c r="O1398" s="7" t="s">
        <v>161</v>
      </c>
      <c r="P1398" s="7" t="s">
        <v>6917</v>
      </c>
      <c r="Q1398" s="129">
        <v>46199</v>
      </c>
      <c r="R1398" s="130">
        <f t="shared" si="162"/>
        <v>46203</v>
      </c>
      <c r="S1398" s="131">
        <f t="shared" si="160"/>
        <v>4</v>
      </c>
      <c r="T1398" s="7" t="s">
        <v>178</v>
      </c>
      <c r="U1398" s="7" t="s">
        <v>200</v>
      </c>
      <c r="V1398" s="7"/>
      <c r="W1398" s="7">
        <v>0</v>
      </c>
      <c r="X1398" s="132">
        <f t="shared" si="161"/>
        <v>7</v>
      </c>
      <c r="Y1398" s="133"/>
      <c r="Z1398" s="133"/>
      <c r="AA1398" s="133"/>
    </row>
    <row r="1399" spans="1:27" hidden="1" x14ac:dyDescent="0.25">
      <c r="A1399" s="127">
        <v>1545</v>
      </c>
      <c r="B1399" s="128" t="str">
        <f t="shared" si="159"/>
        <v>KSST</v>
      </c>
      <c r="C1399" s="128" t="str">
        <f>+VLOOKUP(U1399,Ходим!A:B,2,0)</f>
        <v>52812015980061</v>
      </c>
      <c r="D1399" s="128" t="str">
        <f>IFERROR(VLOOKUP($B:$B,[20]свод!$A:$AB,3,0)," ")</f>
        <v>Косонсой тумани</v>
      </c>
      <c r="E1399" s="7" t="s">
        <v>2536</v>
      </c>
      <c r="F1399" s="7" t="s">
        <v>8925</v>
      </c>
      <c r="G1399" s="134" t="str">
        <f t="shared" si="163"/>
        <v/>
      </c>
      <c r="H1399" s="134">
        <f t="shared" si="164"/>
        <v>1</v>
      </c>
      <c r="I1399" s="7" t="s">
        <v>154</v>
      </c>
      <c r="J1399" s="7" t="s">
        <v>1</v>
      </c>
      <c r="K1399" s="7"/>
      <c r="L1399" s="7" t="s">
        <v>166</v>
      </c>
      <c r="M1399" s="7" t="s">
        <v>5120</v>
      </c>
      <c r="N1399" s="7" t="s">
        <v>410</v>
      </c>
      <c r="O1399" s="7" t="s">
        <v>161</v>
      </c>
      <c r="P1399" s="7" t="s">
        <v>6917</v>
      </c>
      <c r="Q1399" s="129">
        <v>46199</v>
      </c>
      <c r="R1399" s="130">
        <f t="shared" si="162"/>
        <v>46210</v>
      </c>
      <c r="S1399" s="131">
        <f t="shared" si="160"/>
        <v>11</v>
      </c>
      <c r="T1399" s="7" t="s">
        <v>180</v>
      </c>
      <c r="U1399" s="7" t="s">
        <v>307</v>
      </c>
      <c r="V1399" s="7"/>
      <c r="W1399" s="7">
        <v>315.98</v>
      </c>
      <c r="X1399" s="132">
        <f t="shared" si="161"/>
        <v>12</v>
      </c>
      <c r="Y1399" s="133"/>
      <c r="Z1399" s="133"/>
      <c r="AA1399" s="133"/>
    </row>
    <row r="1400" spans="1:27" hidden="1" x14ac:dyDescent="0.25">
      <c r="A1400" s="127">
        <v>1546</v>
      </c>
      <c r="B1400" s="128" t="str">
        <f t="shared" si="159"/>
        <v>UYCT</v>
      </c>
      <c r="C1400" s="128" t="str">
        <f>+VLOOKUP(U1400,Ходим!A:B,2,0)</f>
        <v>31007942140083</v>
      </c>
      <c r="D1400" s="128" t="str">
        <f>IFERROR(VLOOKUP($B:$B,[20]свод!$A:$AB,3,0)," ")</f>
        <v>Уйчи тумани</v>
      </c>
      <c r="E1400" s="7" t="s">
        <v>2537</v>
      </c>
      <c r="F1400" s="7" t="s">
        <v>8926</v>
      </c>
      <c r="G1400" s="134" t="str">
        <f t="shared" si="163"/>
        <v/>
      </c>
      <c r="H1400" s="134">
        <f t="shared" si="164"/>
        <v>1</v>
      </c>
      <c r="I1400" s="7" t="s">
        <v>155</v>
      </c>
      <c r="J1400" s="7" t="s">
        <v>25</v>
      </c>
      <c r="K1400" s="7"/>
      <c r="L1400" s="7" t="s">
        <v>166</v>
      </c>
      <c r="M1400" s="7" t="s">
        <v>5121</v>
      </c>
      <c r="N1400" s="7" t="s">
        <v>170</v>
      </c>
      <c r="O1400" s="7" t="s">
        <v>161</v>
      </c>
      <c r="P1400" s="7" t="s">
        <v>6918</v>
      </c>
      <c r="Q1400" s="129">
        <v>46199</v>
      </c>
      <c r="R1400" s="130">
        <f t="shared" si="162"/>
        <v>46223</v>
      </c>
      <c r="S1400" s="131">
        <f t="shared" si="160"/>
        <v>24</v>
      </c>
      <c r="T1400" s="7" t="s">
        <v>947</v>
      </c>
      <c r="U1400" s="7" t="s">
        <v>263</v>
      </c>
      <c r="V1400" s="7"/>
      <c r="W1400" s="7">
        <v>2204.1</v>
      </c>
      <c r="X1400" s="132">
        <f t="shared" si="161"/>
        <v>17</v>
      </c>
      <c r="Y1400" s="133"/>
      <c r="Z1400" s="133"/>
      <c r="AA1400" s="133"/>
    </row>
    <row r="1401" spans="1:27" hidden="1" x14ac:dyDescent="0.25">
      <c r="A1401" s="127">
        <v>1547</v>
      </c>
      <c r="B1401" s="128" t="str">
        <f t="shared" si="159"/>
        <v>UYCT</v>
      </c>
      <c r="C1401" s="128" t="str">
        <f>+VLOOKUP(U1401,Ходим!A:B,2,0)</f>
        <v>31004952140036</v>
      </c>
      <c r="D1401" s="128" t="str">
        <f>IFERROR(VLOOKUP($B:$B,[20]свод!$A:$AB,3,0)," ")</f>
        <v>Уйчи тумани</v>
      </c>
      <c r="E1401" s="7" t="s">
        <v>2538</v>
      </c>
      <c r="F1401" s="7" t="s">
        <v>8927</v>
      </c>
      <c r="G1401" s="134">
        <f t="shared" si="163"/>
        <v>1</v>
      </c>
      <c r="H1401" s="134" t="str">
        <f t="shared" si="164"/>
        <v/>
      </c>
      <c r="I1401" s="7" t="s">
        <v>158</v>
      </c>
      <c r="J1401" s="7" t="s">
        <v>1</v>
      </c>
      <c r="K1401" s="7"/>
      <c r="L1401" s="7" t="s">
        <v>167</v>
      </c>
      <c r="M1401" s="7" t="s">
        <v>5122</v>
      </c>
      <c r="N1401" s="7" t="s">
        <v>170</v>
      </c>
      <c r="O1401" s="7" t="s">
        <v>162</v>
      </c>
      <c r="P1401" s="7" t="s">
        <v>6918</v>
      </c>
      <c r="Q1401" s="129">
        <v>46199</v>
      </c>
      <c r="R1401" s="130">
        <f t="shared" si="162"/>
        <v>46212</v>
      </c>
      <c r="S1401" s="131">
        <f t="shared" si="160"/>
        <v>13</v>
      </c>
      <c r="T1401" s="7" t="s">
        <v>379</v>
      </c>
      <c r="U1401" s="7" t="s">
        <v>331</v>
      </c>
      <c r="V1401" s="7"/>
      <c r="W1401" s="7">
        <v>261.60000000000002</v>
      </c>
      <c r="X1401" s="132">
        <f t="shared" si="161"/>
        <v>10</v>
      </c>
      <c r="Y1401" s="133"/>
      <c r="Z1401" s="133"/>
      <c r="AA1401" s="133"/>
    </row>
    <row r="1402" spans="1:27" hidden="1" x14ac:dyDescent="0.25">
      <c r="A1402" s="127">
        <v>1548</v>
      </c>
      <c r="B1402" s="128" t="str">
        <f t="shared" si="159"/>
        <v>NAMS</v>
      </c>
      <c r="C1402" s="128">
        <f>+VLOOKUP(U1402,Ходим!A:B,2,0)</f>
        <v>50703045960050</v>
      </c>
      <c r="D1402" s="128" t="str">
        <f>IFERROR(VLOOKUP($B:$B,[20]свод!$A:$AB,3,0)," ")</f>
        <v>Наманган шаҳар</v>
      </c>
      <c r="E1402" s="7" t="s">
        <v>2539</v>
      </c>
      <c r="F1402" s="7" t="s">
        <v>8928</v>
      </c>
      <c r="G1402" s="134">
        <f t="shared" si="163"/>
        <v>1</v>
      </c>
      <c r="H1402" s="134" t="str">
        <f t="shared" si="164"/>
        <v/>
      </c>
      <c r="I1402" s="7" t="s">
        <v>156</v>
      </c>
      <c r="J1402" s="7" t="s">
        <v>25</v>
      </c>
      <c r="K1402" s="7"/>
      <c r="L1402" s="7"/>
      <c r="M1402" s="7"/>
      <c r="N1402" s="7" t="s">
        <v>170</v>
      </c>
      <c r="O1402" s="7" t="s">
        <v>162</v>
      </c>
      <c r="P1402" s="7" t="s">
        <v>6877</v>
      </c>
      <c r="Q1402" s="129">
        <v>46199</v>
      </c>
      <c r="R1402" s="130">
        <f t="shared" si="162"/>
        <v>46212</v>
      </c>
      <c r="S1402" s="131">
        <f t="shared" si="160"/>
        <v>13</v>
      </c>
      <c r="T1402" s="7" t="s">
        <v>173</v>
      </c>
      <c r="U1402" s="7" t="s">
        <v>948</v>
      </c>
      <c r="V1402" s="7"/>
      <c r="W1402" s="7"/>
      <c r="X1402" s="132">
        <f t="shared" si="161"/>
        <v>10</v>
      </c>
      <c r="Y1402" s="133"/>
      <c r="Z1402" s="133"/>
      <c r="AA1402" s="133"/>
    </row>
    <row r="1403" spans="1:27" hidden="1" x14ac:dyDescent="0.25">
      <c r="A1403" s="127">
        <v>1549</v>
      </c>
      <c r="B1403" s="128" t="str">
        <f t="shared" si="159"/>
        <v>UYCT</v>
      </c>
      <c r="C1403" s="128" t="str">
        <f>+VLOOKUP(U1403,Ходим!A:B,2,0)</f>
        <v>31310995930032</v>
      </c>
      <c r="D1403" s="128" t="str">
        <f>IFERROR(VLOOKUP($B:$B,[20]свод!$A:$AB,3,0)," ")</f>
        <v>Уйчи тумани</v>
      </c>
      <c r="E1403" s="7" t="s">
        <v>2540</v>
      </c>
      <c r="F1403" s="7" t="s">
        <v>8929</v>
      </c>
      <c r="G1403" s="134">
        <f t="shared" si="163"/>
        <v>1</v>
      </c>
      <c r="H1403" s="134" t="str">
        <f t="shared" si="164"/>
        <v/>
      </c>
      <c r="I1403" s="7" t="s">
        <v>158</v>
      </c>
      <c r="J1403" s="7" t="s">
        <v>35</v>
      </c>
      <c r="K1403" s="7"/>
      <c r="L1403" s="7" t="s">
        <v>167</v>
      </c>
      <c r="M1403" s="7" t="s">
        <v>5123</v>
      </c>
      <c r="N1403" s="7" t="s">
        <v>170</v>
      </c>
      <c r="O1403" s="7" t="s">
        <v>162</v>
      </c>
      <c r="P1403" s="7" t="s">
        <v>6919</v>
      </c>
      <c r="Q1403" s="129">
        <v>46199</v>
      </c>
      <c r="R1403" s="130">
        <f t="shared" si="162"/>
        <v>46202</v>
      </c>
      <c r="S1403" s="131">
        <f t="shared" si="160"/>
        <v>3</v>
      </c>
      <c r="T1403" s="7" t="s">
        <v>947</v>
      </c>
      <c r="U1403" s="7" t="s">
        <v>399</v>
      </c>
      <c r="V1403" s="7"/>
      <c r="W1403" s="7">
        <v>180.14</v>
      </c>
      <c r="X1403" s="132">
        <f t="shared" si="161"/>
        <v>10</v>
      </c>
      <c r="Y1403" s="133"/>
      <c r="Z1403" s="133"/>
      <c r="AA1403" s="133"/>
    </row>
    <row r="1404" spans="1:27" hidden="1" x14ac:dyDescent="0.25">
      <c r="A1404" s="127">
        <v>1550</v>
      </c>
      <c r="B1404" s="128" t="str">
        <f t="shared" si="159"/>
        <v>NAMS</v>
      </c>
      <c r="C1404" s="128">
        <f>+VLOOKUP(U1404,Ходим!A:B,2,0)</f>
        <v>51003005980014</v>
      </c>
      <c r="D1404" s="128" t="str">
        <f>IFERROR(VLOOKUP($B:$B,[20]свод!$A:$AB,3,0)," ")</f>
        <v>Наманган шаҳар</v>
      </c>
      <c r="E1404" s="7" t="s">
        <v>2541</v>
      </c>
      <c r="F1404" s="7" t="s">
        <v>8930</v>
      </c>
      <c r="G1404" s="134">
        <f t="shared" si="163"/>
        <v>1</v>
      </c>
      <c r="H1404" s="134" t="str">
        <f t="shared" si="164"/>
        <v/>
      </c>
      <c r="I1404" s="7" t="s">
        <v>156</v>
      </c>
      <c r="J1404" s="7" t="s">
        <v>25</v>
      </c>
      <c r="K1404" s="7"/>
      <c r="L1404" s="7"/>
      <c r="M1404" s="7"/>
      <c r="N1404" s="7" t="s">
        <v>170</v>
      </c>
      <c r="O1404" s="7" t="s">
        <v>162</v>
      </c>
      <c r="P1404" s="7" t="s">
        <v>6877</v>
      </c>
      <c r="Q1404" s="129">
        <v>46199</v>
      </c>
      <c r="R1404" s="130">
        <f t="shared" si="162"/>
        <v>46212</v>
      </c>
      <c r="S1404" s="131">
        <f t="shared" si="160"/>
        <v>13</v>
      </c>
      <c r="T1404" s="7" t="s">
        <v>173</v>
      </c>
      <c r="U1404" s="7" t="s">
        <v>949</v>
      </c>
      <c r="V1404" s="7"/>
      <c r="W1404" s="7"/>
      <c r="X1404" s="132">
        <f t="shared" si="161"/>
        <v>10</v>
      </c>
      <c r="Y1404" s="133"/>
      <c r="Z1404" s="133"/>
      <c r="AA1404" s="133"/>
    </row>
    <row r="1405" spans="1:27" hidden="1" x14ac:dyDescent="0.25">
      <c r="A1405" s="127">
        <v>1551</v>
      </c>
      <c r="B1405" s="128" t="str">
        <f t="shared" si="159"/>
        <v>NAMS</v>
      </c>
      <c r="C1405" s="128" t="str">
        <f>+VLOOKUP(U1405,Ходим!A:B,2,0)</f>
        <v>51110025960044</v>
      </c>
      <c r="D1405" s="128" t="str">
        <f>IFERROR(VLOOKUP($B:$B,[20]свод!$A:$AB,3,0)," ")</f>
        <v>Наманган шаҳар</v>
      </c>
      <c r="E1405" s="7" t="s">
        <v>2542</v>
      </c>
      <c r="F1405" s="7" t="s">
        <v>8931</v>
      </c>
      <c r="G1405" s="134">
        <f t="shared" si="163"/>
        <v>1</v>
      </c>
      <c r="H1405" s="134" t="str">
        <f t="shared" si="164"/>
        <v/>
      </c>
      <c r="I1405" s="7" t="s">
        <v>156</v>
      </c>
      <c r="J1405" s="7" t="s">
        <v>25</v>
      </c>
      <c r="K1405" s="7"/>
      <c r="L1405" s="7"/>
      <c r="M1405" s="7"/>
      <c r="N1405" s="7" t="s">
        <v>170</v>
      </c>
      <c r="O1405" s="7" t="s">
        <v>162</v>
      </c>
      <c r="P1405" s="7" t="s">
        <v>6916</v>
      </c>
      <c r="Q1405" s="129">
        <v>46199</v>
      </c>
      <c r="R1405" s="130">
        <f t="shared" si="162"/>
        <v>46212</v>
      </c>
      <c r="S1405" s="131">
        <f t="shared" si="160"/>
        <v>13</v>
      </c>
      <c r="T1405" s="7" t="s">
        <v>173</v>
      </c>
      <c r="U1405" s="7" t="s">
        <v>294</v>
      </c>
      <c r="V1405" s="7"/>
      <c r="W1405" s="7"/>
      <c r="X1405" s="132">
        <f t="shared" si="161"/>
        <v>10</v>
      </c>
      <c r="Y1405" s="133"/>
      <c r="Z1405" s="133"/>
      <c r="AA1405" s="133"/>
    </row>
    <row r="1406" spans="1:27" hidden="1" x14ac:dyDescent="0.25">
      <c r="A1406" s="127">
        <v>1552</v>
      </c>
      <c r="B1406" s="128" t="str">
        <f t="shared" si="159"/>
        <v>MINT</v>
      </c>
      <c r="C1406" s="128" t="str">
        <f>+VLOOKUP(U1406,Ходим!A:B,2,0)</f>
        <v>31710662200035</v>
      </c>
      <c r="D1406" s="128" t="str">
        <f>IFERROR(VLOOKUP($B:$B,[20]свод!$A:$AB,3,0)," ")</f>
        <v>Мингбулоқ тумани</v>
      </c>
      <c r="E1406" s="7" t="s">
        <v>2543</v>
      </c>
      <c r="F1406" s="7" t="s">
        <v>8932</v>
      </c>
      <c r="G1406" s="134">
        <f t="shared" si="163"/>
        <v>1</v>
      </c>
      <c r="H1406" s="134" t="str">
        <f t="shared" si="164"/>
        <v/>
      </c>
      <c r="I1406" s="7" t="s">
        <v>158</v>
      </c>
      <c r="J1406" s="7" t="s">
        <v>1</v>
      </c>
      <c r="K1406" s="7"/>
      <c r="L1406" s="7" t="s">
        <v>167</v>
      </c>
      <c r="M1406" s="7" t="s">
        <v>5124</v>
      </c>
      <c r="N1406" s="7" t="s">
        <v>170</v>
      </c>
      <c r="O1406" s="7" t="s">
        <v>162</v>
      </c>
      <c r="P1406" s="7" t="s">
        <v>6920</v>
      </c>
      <c r="Q1406" s="129">
        <v>46199</v>
      </c>
      <c r="R1406" s="130">
        <f t="shared" si="162"/>
        <v>46202</v>
      </c>
      <c r="S1406" s="131">
        <f t="shared" si="160"/>
        <v>3</v>
      </c>
      <c r="T1406" s="7" t="s">
        <v>220</v>
      </c>
      <c r="U1406" s="7" t="s">
        <v>268</v>
      </c>
      <c r="V1406" s="7"/>
      <c r="W1406" s="7">
        <v>148.75</v>
      </c>
      <c r="X1406" s="132">
        <f t="shared" si="161"/>
        <v>10</v>
      </c>
      <c r="Y1406" s="133"/>
      <c r="Z1406" s="133"/>
      <c r="AA1406" s="133"/>
    </row>
    <row r="1407" spans="1:27" hidden="1" x14ac:dyDescent="0.25">
      <c r="A1407" s="127">
        <v>1553</v>
      </c>
      <c r="B1407" s="128" t="str">
        <f t="shared" si="159"/>
        <v>UCQT</v>
      </c>
      <c r="C1407" s="128" t="e">
        <f>+VLOOKUP(U1407,Ходим!A:B,2,0)</f>
        <v>#N/A</v>
      </c>
      <c r="D1407" s="128" t="str">
        <f>IFERROR(VLOOKUP($B:$B,[20]свод!$A:$AB,3,0)," ")</f>
        <v>Учқўрғон тумани</v>
      </c>
      <c r="E1407" s="7" t="s">
        <v>2544</v>
      </c>
      <c r="F1407" s="7" t="s">
        <v>8933</v>
      </c>
      <c r="G1407" s="134">
        <f t="shared" si="163"/>
        <v>1</v>
      </c>
      <c r="H1407" s="134" t="str">
        <f t="shared" si="164"/>
        <v/>
      </c>
      <c r="I1407" s="7" t="s">
        <v>156</v>
      </c>
      <c r="J1407" s="7" t="s">
        <v>11</v>
      </c>
      <c r="K1407" s="7"/>
      <c r="L1407" s="7"/>
      <c r="M1407" s="7"/>
      <c r="N1407" s="7" t="s">
        <v>170</v>
      </c>
      <c r="O1407" s="7" t="s">
        <v>162</v>
      </c>
      <c r="P1407" s="7" t="s">
        <v>6921</v>
      </c>
      <c r="Q1407" s="129">
        <v>46199</v>
      </c>
      <c r="R1407" s="130">
        <f t="shared" si="162"/>
        <v>46212</v>
      </c>
      <c r="S1407" s="131">
        <f t="shared" si="160"/>
        <v>13</v>
      </c>
      <c r="T1407" s="7"/>
      <c r="U1407" s="7"/>
      <c r="V1407" s="7"/>
      <c r="W1407" s="7"/>
      <c r="X1407" s="132">
        <f t="shared" si="161"/>
        <v>10</v>
      </c>
      <c r="Y1407" s="133"/>
      <c r="Z1407" s="133"/>
      <c r="AA1407" s="133"/>
    </row>
    <row r="1408" spans="1:27" hidden="1" x14ac:dyDescent="0.25">
      <c r="A1408" s="127">
        <v>1554</v>
      </c>
      <c r="B1408" s="128" t="str">
        <f t="shared" si="159"/>
        <v>CHUT</v>
      </c>
      <c r="C1408" s="128" t="str">
        <f>+VLOOKUP(U1408,Ходим!A:B,2,0)</f>
        <v>32511965970037</v>
      </c>
      <c r="D1408" s="128" t="str">
        <f>IFERROR(VLOOKUP($B:$B,[20]свод!$A:$AB,3,0)," ")</f>
        <v>Чуст тумани</v>
      </c>
      <c r="E1408" s="7" t="s">
        <v>2545</v>
      </c>
      <c r="F1408" s="7" t="s">
        <v>8934</v>
      </c>
      <c r="G1408" s="134" t="str">
        <f t="shared" si="163"/>
        <v/>
      </c>
      <c r="H1408" s="134">
        <f t="shared" si="164"/>
        <v>1</v>
      </c>
      <c r="I1408" s="7" t="s">
        <v>155</v>
      </c>
      <c r="J1408" s="7" t="s">
        <v>22</v>
      </c>
      <c r="K1408" s="7"/>
      <c r="L1408" s="7" t="s">
        <v>168</v>
      </c>
      <c r="M1408" s="7" t="s">
        <v>5125</v>
      </c>
      <c r="N1408" s="7" t="s">
        <v>410</v>
      </c>
      <c r="O1408" s="7" t="s">
        <v>161</v>
      </c>
      <c r="P1408" s="7" t="s">
        <v>6921</v>
      </c>
      <c r="Q1408" s="129">
        <v>46199</v>
      </c>
      <c r="R1408" s="130">
        <f t="shared" si="162"/>
        <v>46209</v>
      </c>
      <c r="S1408" s="131">
        <f t="shared" si="160"/>
        <v>10</v>
      </c>
      <c r="T1408" s="7" t="s">
        <v>178</v>
      </c>
      <c r="U1408" s="7" t="s">
        <v>351</v>
      </c>
      <c r="V1408" s="7"/>
      <c r="W1408" s="7">
        <v>0</v>
      </c>
      <c r="X1408" s="132">
        <f t="shared" si="161"/>
        <v>7</v>
      </c>
      <c r="Y1408" s="133"/>
      <c r="Z1408" s="133"/>
      <c r="AA1408" s="133"/>
    </row>
    <row r="1409" spans="1:27" hidden="1" x14ac:dyDescent="0.25">
      <c r="A1409" s="127">
        <v>1555</v>
      </c>
      <c r="B1409" s="128" t="str">
        <f t="shared" si="159"/>
        <v>KSST</v>
      </c>
      <c r="C1409" s="128" t="e">
        <f>+VLOOKUP(U1409,Ходим!A:B,2,0)</f>
        <v>#N/A</v>
      </c>
      <c r="D1409" s="128" t="str">
        <f>IFERROR(VLOOKUP($B:$B,[20]свод!$A:$AB,3,0)," ")</f>
        <v>Косонсой тумани</v>
      </c>
      <c r="E1409" s="7" t="s">
        <v>2546</v>
      </c>
      <c r="F1409" s="7" t="s">
        <v>8935</v>
      </c>
      <c r="G1409" s="134">
        <f t="shared" si="163"/>
        <v>1</v>
      </c>
      <c r="H1409" s="134" t="str">
        <f t="shared" si="164"/>
        <v/>
      </c>
      <c r="I1409" s="7" t="s">
        <v>156</v>
      </c>
      <c r="J1409" s="7" t="s">
        <v>25</v>
      </c>
      <c r="K1409" s="7"/>
      <c r="L1409" s="7"/>
      <c r="M1409" s="7"/>
      <c r="N1409" s="7" t="s">
        <v>170</v>
      </c>
      <c r="O1409" s="7" t="s">
        <v>162</v>
      </c>
      <c r="P1409" s="7" t="s">
        <v>6921</v>
      </c>
      <c r="Q1409" s="129">
        <v>46199</v>
      </c>
      <c r="R1409" s="130">
        <f t="shared" si="162"/>
        <v>46212</v>
      </c>
      <c r="S1409" s="131">
        <f t="shared" si="160"/>
        <v>13</v>
      </c>
      <c r="T1409" s="7" t="s">
        <v>180</v>
      </c>
      <c r="U1409" s="7" t="s">
        <v>10636</v>
      </c>
      <c r="V1409" s="7"/>
      <c r="W1409" s="7"/>
      <c r="X1409" s="132">
        <f t="shared" si="161"/>
        <v>10</v>
      </c>
      <c r="Y1409" s="133"/>
      <c r="Z1409" s="133"/>
      <c r="AA1409" s="133"/>
    </row>
    <row r="1410" spans="1:27" hidden="1" x14ac:dyDescent="0.25">
      <c r="A1410" s="127">
        <v>1556</v>
      </c>
      <c r="B1410" s="128" t="str">
        <f t="shared" si="159"/>
        <v>UCQT</v>
      </c>
      <c r="C1410" s="128" t="str">
        <f>+VLOOKUP(U1410,Ходим!A:B,2,0)</f>
        <v>30307955940049</v>
      </c>
      <c r="D1410" s="128" t="str">
        <f>IFERROR(VLOOKUP($B:$B,[20]свод!$A:$AB,3,0)," ")</f>
        <v>Учқўрғон тумани</v>
      </c>
      <c r="E1410" s="7" t="s">
        <v>2547</v>
      </c>
      <c r="F1410" s="7" t="s">
        <v>8936</v>
      </c>
      <c r="G1410" s="134">
        <f t="shared" si="163"/>
        <v>1</v>
      </c>
      <c r="H1410" s="134" t="str">
        <f t="shared" si="164"/>
        <v/>
      </c>
      <c r="I1410" s="7" t="s">
        <v>158</v>
      </c>
      <c r="J1410" s="7" t="s">
        <v>172</v>
      </c>
      <c r="K1410" s="7"/>
      <c r="L1410" s="7" t="s">
        <v>167</v>
      </c>
      <c r="M1410" s="7" t="s">
        <v>5126</v>
      </c>
      <c r="N1410" s="7" t="s">
        <v>170</v>
      </c>
      <c r="O1410" s="7" t="s">
        <v>162</v>
      </c>
      <c r="P1410" s="7" t="s">
        <v>6922</v>
      </c>
      <c r="Q1410" s="129">
        <v>46199</v>
      </c>
      <c r="R1410" s="130">
        <f t="shared" si="162"/>
        <v>46202</v>
      </c>
      <c r="S1410" s="131">
        <f t="shared" si="160"/>
        <v>3</v>
      </c>
      <c r="T1410" s="7" t="s">
        <v>175</v>
      </c>
      <c r="U1410" s="7" t="s">
        <v>306</v>
      </c>
      <c r="V1410" s="7"/>
      <c r="W1410" s="7">
        <v>357.94</v>
      </c>
      <c r="X1410" s="132">
        <f t="shared" si="161"/>
        <v>10</v>
      </c>
      <c r="Y1410" s="133"/>
      <c r="Z1410" s="133"/>
      <c r="AA1410" s="133"/>
    </row>
    <row r="1411" spans="1:27" hidden="1" x14ac:dyDescent="0.25">
      <c r="A1411" s="127">
        <v>1557</v>
      </c>
      <c r="B1411" s="128" t="str">
        <f t="shared" si="159"/>
        <v>CHUT</v>
      </c>
      <c r="C1411" s="128" t="str">
        <f>+VLOOKUP(U1411,Ходим!A:B,2,0)</f>
        <v>32003822180063</v>
      </c>
      <c r="D1411" s="128" t="str">
        <f>IFERROR(VLOOKUP($B:$B,[20]свод!$A:$AB,3,0)," ")</f>
        <v>Чуст тумани</v>
      </c>
      <c r="E1411" s="7" t="s">
        <v>2548</v>
      </c>
      <c r="F1411" s="7" t="s">
        <v>8937</v>
      </c>
      <c r="G1411" s="134" t="str">
        <f t="shared" si="163"/>
        <v/>
      </c>
      <c r="H1411" s="134">
        <f t="shared" si="164"/>
        <v>1</v>
      </c>
      <c r="I1411" s="7" t="s">
        <v>157</v>
      </c>
      <c r="J1411" s="7" t="s">
        <v>2</v>
      </c>
      <c r="K1411" s="7"/>
      <c r="L1411" s="7" t="s">
        <v>168</v>
      </c>
      <c r="M1411" s="7" t="s">
        <v>5127</v>
      </c>
      <c r="N1411" s="7" t="s">
        <v>410</v>
      </c>
      <c r="O1411" s="7" t="s">
        <v>161</v>
      </c>
      <c r="P1411" s="7" t="s">
        <v>6923</v>
      </c>
      <c r="Q1411" s="129">
        <v>46199</v>
      </c>
      <c r="R1411" s="130">
        <f t="shared" si="162"/>
        <v>46203</v>
      </c>
      <c r="S1411" s="131">
        <f t="shared" si="160"/>
        <v>4</v>
      </c>
      <c r="T1411" s="7" t="s">
        <v>178</v>
      </c>
      <c r="U1411" s="7" t="s">
        <v>200</v>
      </c>
      <c r="V1411" s="7"/>
      <c r="W1411" s="7">
        <v>0</v>
      </c>
      <c r="X1411" s="132">
        <f t="shared" si="161"/>
        <v>7</v>
      </c>
      <c r="Y1411" s="133"/>
      <c r="Z1411" s="133"/>
      <c r="AA1411" s="133"/>
    </row>
    <row r="1412" spans="1:27" x14ac:dyDescent="0.25">
      <c r="A1412" s="127">
        <v>1558</v>
      </c>
      <c r="B1412" s="128" t="str">
        <f t="shared" si="159"/>
        <v>CHUT</v>
      </c>
      <c r="C1412" s="128" t="str">
        <f>+VLOOKUP(U1412,Ходим!A:B,2,0)</f>
        <v>30901882180031</v>
      </c>
      <c r="D1412" s="128" t="str">
        <f>IFERROR(VLOOKUP($B:$B,[20]свод!$A:$AB,3,0)," ")</f>
        <v>Чуст тумани</v>
      </c>
      <c r="E1412" s="7" t="s">
        <v>2549</v>
      </c>
      <c r="F1412" s="7" t="s">
        <v>8938</v>
      </c>
      <c r="G1412" s="134">
        <f t="shared" si="163"/>
        <v>1</v>
      </c>
      <c r="H1412" s="134" t="str">
        <f t="shared" si="164"/>
        <v/>
      </c>
      <c r="I1412" s="7" t="s">
        <v>158</v>
      </c>
      <c r="J1412" s="7" t="s">
        <v>1</v>
      </c>
      <c r="K1412" s="7"/>
      <c r="L1412" s="7" t="s">
        <v>167</v>
      </c>
      <c r="M1412" s="7" t="s">
        <v>5128</v>
      </c>
      <c r="N1412" s="7" t="s">
        <v>170</v>
      </c>
      <c r="O1412" s="7" t="s">
        <v>162</v>
      </c>
      <c r="P1412" s="7" t="s">
        <v>6924</v>
      </c>
      <c r="Q1412" s="129">
        <v>46199</v>
      </c>
      <c r="R1412" s="130">
        <f t="shared" si="162"/>
        <v>46199</v>
      </c>
      <c r="S1412" s="131">
        <f t="shared" si="160"/>
        <v>0</v>
      </c>
      <c r="T1412" s="7" t="s">
        <v>178</v>
      </c>
      <c r="U1412" s="7" t="s">
        <v>238</v>
      </c>
      <c r="V1412" s="7"/>
      <c r="W1412" s="7">
        <v>545.03</v>
      </c>
      <c r="X1412" s="132">
        <f t="shared" si="161"/>
        <v>10</v>
      </c>
      <c r="Y1412" s="133"/>
      <c r="Z1412" s="133"/>
      <c r="AA1412" s="133"/>
    </row>
    <row r="1413" spans="1:27" x14ac:dyDescent="0.25">
      <c r="A1413" s="127">
        <v>1559</v>
      </c>
      <c r="B1413" s="128" t="str">
        <f t="shared" si="159"/>
        <v>TORT</v>
      </c>
      <c r="C1413" s="128" t="str">
        <f>+VLOOKUP(U1413,Ходим!A:B,2,0)</f>
        <v>30612832130021</v>
      </c>
      <c r="D1413" s="128" t="str">
        <f>IFERROR(VLOOKUP($B:$B,[20]свод!$A:$AB,3,0)," ")</f>
        <v>Тўрақўрғон тумани</v>
      </c>
      <c r="E1413" s="7" t="s">
        <v>2550</v>
      </c>
      <c r="F1413" s="7" t="s">
        <v>8939</v>
      </c>
      <c r="G1413" s="134">
        <f t="shared" si="163"/>
        <v>1</v>
      </c>
      <c r="H1413" s="134" t="str">
        <f t="shared" si="164"/>
        <v/>
      </c>
      <c r="I1413" s="7" t="s">
        <v>158</v>
      </c>
      <c r="J1413" s="7" t="s">
        <v>1</v>
      </c>
      <c r="K1413" s="7"/>
      <c r="L1413" s="7" t="s">
        <v>167</v>
      </c>
      <c r="M1413" s="7" t="s">
        <v>5129</v>
      </c>
      <c r="N1413" s="7" t="s">
        <v>410</v>
      </c>
      <c r="O1413" s="7" t="s">
        <v>162</v>
      </c>
      <c r="P1413" s="7" t="s">
        <v>6925</v>
      </c>
      <c r="Q1413" s="129">
        <v>46199</v>
      </c>
      <c r="R1413" s="130">
        <f t="shared" si="162"/>
        <v>46199</v>
      </c>
      <c r="S1413" s="131">
        <f t="shared" si="160"/>
        <v>0</v>
      </c>
      <c r="T1413" s="7" t="s">
        <v>203</v>
      </c>
      <c r="U1413" s="7" t="s">
        <v>342</v>
      </c>
      <c r="V1413" s="7"/>
      <c r="W1413" s="7">
        <v>315.89999999999998</v>
      </c>
      <c r="X1413" s="132">
        <f t="shared" si="161"/>
        <v>10</v>
      </c>
      <c r="Y1413" s="133"/>
      <c r="Z1413" s="133"/>
      <c r="AA1413" s="133"/>
    </row>
    <row r="1414" spans="1:27" hidden="1" x14ac:dyDescent="0.25">
      <c r="A1414" s="127">
        <v>1560</v>
      </c>
      <c r="B1414" s="128" t="str">
        <f t="shared" si="159"/>
        <v>UYCT</v>
      </c>
      <c r="C1414" s="128" t="str">
        <f>+VLOOKUP(U1414,Ходим!A:B,2,0)</f>
        <v>31007942140083</v>
      </c>
      <c r="D1414" s="128" t="str">
        <f>IFERROR(VLOOKUP($B:$B,[20]свод!$A:$AB,3,0)," ")</f>
        <v>Уйчи тумани</v>
      </c>
      <c r="E1414" s="7" t="s">
        <v>2551</v>
      </c>
      <c r="F1414" s="7" t="s">
        <v>8940</v>
      </c>
      <c r="G1414" s="134">
        <f t="shared" si="163"/>
        <v>1</v>
      </c>
      <c r="H1414" s="134" t="str">
        <f t="shared" si="164"/>
        <v/>
      </c>
      <c r="I1414" s="7" t="s">
        <v>158</v>
      </c>
      <c r="J1414" s="7" t="s">
        <v>2</v>
      </c>
      <c r="K1414" s="7"/>
      <c r="L1414" s="7"/>
      <c r="M1414" s="7"/>
      <c r="N1414" s="7" t="s">
        <v>170</v>
      </c>
      <c r="O1414" s="7" t="s">
        <v>162</v>
      </c>
      <c r="P1414" s="7" t="s">
        <v>6649</v>
      </c>
      <c r="Q1414" s="129">
        <v>46199</v>
      </c>
      <c r="R1414" s="130">
        <f t="shared" si="162"/>
        <v>46204</v>
      </c>
      <c r="S1414" s="131">
        <f t="shared" si="160"/>
        <v>5</v>
      </c>
      <c r="T1414" s="7" t="s">
        <v>379</v>
      </c>
      <c r="U1414" s="7" t="s">
        <v>263</v>
      </c>
      <c r="V1414" s="7"/>
      <c r="W1414" s="7"/>
      <c r="X1414" s="132">
        <f t="shared" si="161"/>
        <v>10</v>
      </c>
      <c r="Y1414" s="133"/>
      <c r="Z1414" s="133"/>
      <c r="AA1414" s="133"/>
    </row>
    <row r="1415" spans="1:27" hidden="1" x14ac:dyDescent="0.25">
      <c r="A1415" s="127">
        <v>1561</v>
      </c>
      <c r="B1415" s="128" t="str">
        <f t="shared" si="159"/>
        <v>TORT</v>
      </c>
      <c r="C1415" s="128" t="str">
        <f>+VLOOKUP(U1415,Ходим!A:B,2,0)</f>
        <v>31704782130035</v>
      </c>
      <c r="D1415" s="128" t="str">
        <f>IFERROR(VLOOKUP($B:$B,[20]свод!$A:$AB,3,0)," ")</f>
        <v>Тўрақўрғон тумани</v>
      </c>
      <c r="E1415" s="7" t="s">
        <v>2552</v>
      </c>
      <c r="F1415" s="7" t="s">
        <v>8941</v>
      </c>
      <c r="G1415" s="134" t="str">
        <f t="shared" si="163"/>
        <v/>
      </c>
      <c r="H1415" s="134">
        <f t="shared" si="164"/>
        <v>1</v>
      </c>
      <c r="I1415" s="7" t="s">
        <v>157</v>
      </c>
      <c r="J1415" s="7" t="s">
        <v>2</v>
      </c>
      <c r="K1415" s="7"/>
      <c r="L1415" s="7" t="s">
        <v>166</v>
      </c>
      <c r="M1415" s="7" t="s">
        <v>5130</v>
      </c>
      <c r="N1415" s="7" t="s">
        <v>410</v>
      </c>
      <c r="O1415" s="7" t="s">
        <v>161</v>
      </c>
      <c r="P1415" s="7" t="s">
        <v>6926</v>
      </c>
      <c r="Q1415" s="129">
        <v>46199</v>
      </c>
      <c r="R1415" s="130">
        <f t="shared" si="162"/>
        <v>46203</v>
      </c>
      <c r="S1415" s="131">
        <f t="shared" si="160"/>
        <v>4</v>
      </c>
      <c r="T1415" s="7" t="s">
        <v>203</v>
      </c>
      <c r="U1415" s="7" t="s">
        <v>344</v>
      </c>
      <c r="V1415" s="7"/>
      <c r="W1415" s="7">
        <v>216.96</v>
      </c>
      <c r="X1415" s="132">
        <f t="shared" si="161"/>
        <v>12</v>
      </c>
      <c r="Y1415" s="133"/>
      <c r="Z1415" s="133"/>
      <c r="AA1415" s="133"/>
    </row>
    <row r="1416" spans="1:27" hidden="1" x14ac:dyDescent="0.25">
      <c r="A1416" s="127">
        <v>1562</v>
      </c>
      <c r="B1416" s="128" t="str">
        <f t="shared" si="159"/>
        <v>NAMT</v>
      </c>
      <c r="C1416" s="128" t="str">
        <f>+VLOOKUP(U1416,Ходим!A:B,2,0)</f>
        <v>32607902090019</v>
      </c>
      <c r="D1416" s="128" t="str">
        <f>IFERROR(VLOOKUP($B:$B,[20]свод!$A:$AB,3,0)," ")</f>
        <v>Наманган тумани</v>
      </c>
      <c r="E1416" s="7" t="s">
        <v>2553</v>
      </c>
      <c r="F1416" s="7" t="s">
        <v>8942</v>
      </c>
      <c r="G1416" s="134">
        <f t="shared" si="163"/>
        <v>1</v>
      </c>
      <c r="H1416" s="134" t="str">
        <f t="shared" si="164"/>
        <v/>
      </c>
      <c r="I1416" s="7" t="s">
        <v>158</v>
      </c>
      <c r="J1416" s="7" t="s">
        <v>2</v>
      </c>
      <c r="K1416" s="7"/>
      <c r="L1416" s="7" t="s">
        <v>167</v>
      </c>
      <c r="M1416" s="7" t="s">
        <v>5131</v>
      </c>
      <c r="N1416" s="7" t="s">
        <v>410</v>
      </c>
      <c r="O1416" s="7" t="s">
        <v>162</v>
      </c>
      <c r="P1416" s="7" t="s">
        <v>6865</v>
      </c>
      <c r="Q1416" s="129">
        <v>46199</v>
      </c>
      <c r="R1416" s="130">
        <f t="shared" si="162"/>
        <v>46206</v>
      </c>
      <c r="S1416" s="131">
        <f t="shared" si="160"/>
        <v>7</v>
      </c>
      <c r="T1416" s="7" t="s">
        <v>193</v>
      </c>
      <c r="U1416" s="7" t="s">
        <v>243</v>
      </c>
      <c r="V1416" s="7"/>
      <c r="W1416" s="7">
        <v>170.88</v>
      </c>
      <c r="X1416" s="132">
        <f t="shared" si="161"/>
        <v>10</v>
      </c>
      <c r="Y1416" s="133"/>
      <c r="Z1416" s="133"/>
      <c r="AA1416" s="133"/>
    </row>
    <row r="1417" spans="1:27" x14ac:dyDescent="0.25">
      <c r="A1417" s="127">
        <v>1563</v>
      </c>
      <c r="B1417" s="128" t="str">
        <f t="shared" si="159"/>
        <v>TORT</v>
      </c>
      <c r="C1417" s="128" t="str">
        <f>+VLOOKUP(U1417,Ходим!A:B,2,0)</f>
        <v>50908015920034</v>
      </c>
      <c r="D1417" s="128" t="str">
        <f>IFERROR(VLOOKUP($B:$B,[20]свод!$A:$AB,3,0)," ")</f>
        <v>Тўрақўрғон тумани</v>
      </c>
      <c r="E1417" s="7" t="s">
        <v>2554</v>
      </c>
      <c r="F1417" s="7" t="s">
        <v>8943</v>
      </c>
      <c r="G1417" s="134">
        <f t="shared" si="163"/>
        <v>1</v>
      </c>
      <c r="H1417" s="134" t="str">
        <f t="shared" si="164"/>
        <v/>
      </c>
      <c r="I1417" s="7" t="s">
        <v>158</v>
      </c>
      <c r="J1417" s="7" t="s">
        <v>1</v>
      </c>
      <c r="K1417" s="7"/>
      <c r="L1417" s="7" t="s">
        <v>167</v>
      </c>
      <c r="M1417" s="7" t="s">
        <v>5132</v>
      </c>
      <c r="N1417" s="7" t="s">
        <v>170</v>
      </c>
      <c r="O1417" s="7" t="s">
        <v>163</v>
      </c>
      <c r="P1417" s="7" t="s">
        <v>6927</v>
      </c>
      <c r="Q1417" s="129">
        <v>46199</v>
      </c>
      <c r="R1417" s="130">
        <f t="shared" si="162"/>
        <v>46199</v>
      </c>
      <c r="S1417" s="131">
        <f t="shared" si="160"/>
        <v>0</v>
      </c>
      <c r="T1417" s="7" t="s">
        <v>309</v>
      </c>
      <c r="U1417" s="7" t="s">
        <v>205</v>
      </c>
      <c r="V1417" s="7"/>
      <c r="W1417" s="7">
        <v>383.6</v>
      </c>
      <c r="X1417" s="132">
        <f t="shared" si="161"/>
        <v>10</v>
      </c>
      <c r="Y1417" s="133"/>
      <c r="Z1417" s="133"/>
      <c r="AA1417" s="133"/>
    </row>
    <row r="1418" spans="1:27" x14ac:dyDescent="0.25">
      <c r="A1418" s="127">
        <v>1564</v>
      </c>
      <c r="B1418" s="128" t="str">
        <f t="shared" si="159"/>
        <v>UYCT</v>
      </c>
      <c r="C1418" s="128" t="str">
        <f>+VLOOKUP(U1418,Ходим!A:B,2,0)</f>
        <v>30510922140032</v>
      </c>
      <c r="D1418" s="128" t="str">
        <f>IFERROR(VLOOKUP($B:$B,[20]свод!$A:$AB,3,0)," ")</f>
        <v>Уйчи тумани</v>
      </c>
      <c r="E1418" s="7" t="s">
        <v>2555</v>
      </c>
      <c r="F1418" s="7" t="s">
        <v>8944</v>
      </c>
      <c r="G1418" s="134">
        <f t="shared" si="163"/>
        <v>1</v>
      </c>
      <c r="H1418" s="134" t="str">
        <f t="shared" si="164"/>
        <v/>
      </c>
      <c r="I1418" s="7" t="s">
        <v>158</v>
      </c>
      <c r="J1418" s="7" t="s">
        <v>23</v>
      </c>
      <c r="K1418" s="7"/>
      <c r="L1418" s="7" t="s">
        <v>167</v>
      </c>
      <c r="M1418" s="7" t="s">
        <v>5133</v>
      </c>
      <c r="N1418" s="7" t="s">
        <v>170</v>
      </c>
      <c r="O1418" s="7" t="s">
        <v>162</v>
      </c>
      <c r="P1418" s="7" t="s">
        <v>6778</v>
      </c>
      <c r="Q1418" s="129">
        <v>46199</v>
      </c>
      <c r="R1418" s="130">
        <f t="shared" si="162"/>
        <v>46199</v>
      </c>
      <c r="S1418" s="131">
        <f t="shared" si="160"/>
        <v>0</v>
      </c>
      <c r="T1418" s="7" t="s">
        <v>947</v>
      </c>
      <c r="U1418" s="7" t="s">
        <v>199</v>
      </c>
      <c r="V1418" s="7" t="s">
        <v>965</v>
      </c>
      <c r="W1418" s="7">
        <v>221.78</v>
      </c>
      <c r="X1418" s="132">
        <f t="shared" si="161"/>
        <v>5</v>
      </c>
      <c r="Y1418" s="133"/>
      <c r="Z1418" s="133"/>
      <c r="AA1418" s="133"/>
    </row>
    <row r="1419" spans="1:27" hidden="1" x14ac:dyDescent="0.25">
      <c r="A1419" s="127">
        <v>1565</v>
      </c>
      <c r="B1419" s="128" t="str">
        <f t="shared" si="159"/>
        <v>NAMT</v>
      </c>
      <c r="C1419" s="128" t="str">
        <f>+VLOOKUP(U1419,Ходим!A:B,2,0)</f>
        <v>32204892090133</v>
      </c>
      <c r="D1419" s="128" t="str">
        <f>IFERROR(VLOOKUP($B:$B,[20]свод!$A:$AB,3,0)," ")</f>
        <v>Наманган тумани</v>
      </c>
      <c r="E1419" s="7" t="s">
        <v>2556</v>
      </c>
      <c r="F1419" s="7" t="s">
        <v>8945</v>
      </c>
      <c r="G1419" s="134">
        <f t="shared" si="163"/>
        <v>1</v>
      </c>
      <c r="H1419" s="134" t="str">
        <f t="shared" si="164"/>
        <v/>
      </c>
      <c r="I1419" s="7" t="s">
        <v>158</v>
      </c>
      <c r="J1419" s="7" t="s">
        <v>2</v>
      </c>
      <c r="K1419" s="7"/>
      <c r="L1419" s="7" t="s">
        <v>167</v>
      </c>
      <c r="M1419" s="7" t="s">
        <v>5134</v>
      </c>
      <c r="N1419" s="7" t="s">
        <v>410</v>
      </c>
      <c r="O1419" s="7" t="s">
        <v>162</v>
      </c>
      <c r="P1419" s="7" t="s">
        <v>6928</v>
      </c>
      <c r="Q1419" s="129">
        <v>46199</v>
      </c>
      <c r="R1419" s="130">
        <f t="shared" si="162"/>
        <v>46206</v>
      </c>
      <c r="S1419" s="131">
        <f t="shared" si="160"/>
        <v>7</v>
      </c>
      <c r="T1419" s="7" t="s">
        <v>193</v>
      </c>
      <c r="U1419" s="7" t="s">
        <v>198</v>
      </c>
      <c r="V1419" s="7"/>
      <c r="W1419" s="7">
        <v>228.23</v>
      </c>
      <c r="X1419" s="132">
        <f t="shared" si="161"/>
        <v>10</v>
      </c>
      <c r="Y1419" s="133"/>
      <c r="Z1419" s="133"/>
      <c r="AA1419" s="133"/>
    </row>
    <row r="1420" spans="1:27" hidden="1" x14ac:dyDescent="0.25">
      <c r="A1420" s="127">
        <v>1566</v>
      </c>
      <c r="B1420" s="128" t="str">
        <f t="shared" si="159"/>
        <v>YGQT</v>
      </c>
      <c r="C1420" s="128" t="str">
        <f>+VLOOKUP(U1420,Ходим!A:B,2,0)</f>
        <v>30502995950058</v>
      </c>
      <c r="D1420" s="128" t="str">
        <f>IFERROR(VLOOKUP($B:$B,[20]свод!$A:$AB,3,0)," ")</f>
        <v>Янгиқўрғон тумани</v>
      </c>
      <c r="E1420" s="7" t="s">
        <v>2557</v>
      </c>
      <c r="F1420" s="7" t="s">
        <v>8946</v>
      </c>
      <c r="G1420" s="134">
        <f t="shared" si="163"/>
        <v>1</v>
      </c>
      <c r="H1420" s="134" t="str">
        <f t="shared" si="164"/>
        <v/>
      </c>
      <c r="I1420" s="7" t="s">
        <v>158</v>
      </c>
      <c r="J1420" s="7" t="s">
        <v>10</v>
      </c>
      <c r="K1420" s="7"/>
      <c r="L1420" s="7" t="s">
        <v>167</v>
      </c>
      <c r="M1420" s="7" t="s">
        <v>5135</v>
      </c>
      <c r="N1420" s="7" t="s">
        <v>170</v>
      </c>
      <c r="O1420" s="7" t="s">
        <v>162</v>
      </c>
      <c r="P1420" s="7" t="s">
        <v>6929</v>
      </c>
      <c r="Q1420" s="129">
        <v>46199</v>
      </c>
      <c r="R1420" s="130">
        <f t="shared" si="162"/>
        <v>46203</v>
      </c>
      <c r="S1420" s="131">
        <f t="shared" si="160"/>
        <v>4</v>
      </c>
      <c r="T1420" s="7" t="s">
        <v>255</v>
      </c>
      <c r="U1420" s="7" t="s">
        <v>340</v>
      </c>
      <c r="V1420" s="7"/>
      <c r="W1420" s="7">
        <v>149.01</v>
      </c>
      <c r="X1420" s="132">
        <f t="shared" si="161"/>
        <v>10</v>
      </c>
      <c r="Y1420" s="133"/>
      <c r="Z1420" s="133"/>
      <c r="AA1420" s="133"/>
    </row>
    <row r="1421" spans="1:27" x14ac:dyDescent="0.25">
      <c r="A1421" s="127">
        <v>1567</v>
      </c>
      <c r="B1421" s="128" t="str">
        <f t="shared" si="159"/>
        <v>NAMS</v>
      </c>
      <c r="C1421" s="128" t="str">
        <f>+VLOOKUP(U1421,Ходим!A:B,2,0)</f>
        <v>52107015960107</v>
      </c>
      <c r="D1421" s="128" t="str">
        <f>IFERROR(VLOOKUP($B:$B,[20]свод!$A:$AB,3,0)," ")</f>
        <v>Наманган шаҳар</v>
      </c>
      <c r="E1421" s="7" t="s">
        <v>2558</v>
      </c>
      <c r="F1421" s="7" t="s">
        <v>8947</v>
      </c>
      <c r="G1421" s="134" t="str">
        <f t="shared" si="163"/>
        <v/>
      </c>
      <c r="H1421" s="134">
        <f t="shared" si="164"/>
        <v>1</v>
      </c>
      <c r="I1421" s="7" t="s">
        <v>157</v>
      </c>
      <c r="J1421" s="7" t="s">
        <v>1</v>
      </c>
      <c r="K1421" s="7"/>
      <c r="L1421" s="7" t="s">
        <v>168</v>
      </c>
      <c r="M1421" s="7" t="s">
        <v>5136</v>
      </c>
      <c r="N1421" s="7" t="s">
        <v>410</v>
      </c>
      <c r="O1421" s="7" t="s">
        <v>161</v>
      </c>
      <c r="P1421" s="7" t="s">
        <v>6930</v>
      </c>
      <c r="Q1421" s="129">
        <v>46199</v>
      </c>
      <c r="R1421" s="130">
        <f t="shared" si="162"/>
        <v>46196</v>
      </c>
      <c r="S1421" s="131">
        <f t="shared" si="160"/>
        <v>-3</v>
      </c>
      <c r="T1421" s="7" t="s">
        <v>227</v>
      </c>
      <c r="U1421" s="7" t="s">
        <v>348</v>
      </c>
      <c r="V1421" s="7"/>
      <c r="W1421" s="7">
        <v>0</v>
      </c>
      <c r="X1421" s="132">
        <f t="shared" si="161"/>
        <v>7</v>
      </c>
      <c r="Y1421" s="133"/>
      <c r="Z1421" s="133"/>
      <c r="AA1421" s="133"/>
    </row>
    <row r="1422" spans="1:27" hidden="1" x14ac:dyDescent="0.25">
      <c r="A1422" s="127">
        <v>1568</v>
      </c>
      <c r="B1422" s="128" t="str">
        <f t="shared" si="159"/>
        <v>TORT</v>
      </c>
      <c r="C1422" s="128" t="str">
        <f>+VLOOKUP(U1422,Ходим!A:B,2,0)</f>
        <v>50908015920034</v>
      </c>
      <c r="D1422" s="128" t="str">
        <f>IFERROR(VLOOKUP($B:$B,[20]свод!$A:$AB,3,0)," ")</f>
        <v>Тўрақўрғон тумани</v>
      </c>
      <c r="E1422" s="7" t="s">
        <v>2559</v>
      </c>
      <c r="F1422" s="7" t="s">
        <v>8948</v>
      </c>
      <c r="G1422" s="134">
        <f t="shared" si="163"/>
        <v>1</v>
      </c>
      <c r="H1422" s="134" t="str">
        <f t="shared" si="164"/>
        <v/>
      </c>
      <c r="I1422" s="7" t="s">
        <v>156</v>
      </c>
      <c r="J1422" s="7" t="s">
        <v>25</v>
      </c>
      <c r="K1422" s="7"/>
      <c r="L1422" s="7"/>
      <c r="M1422" s="7"/>
      <c r="N1422" s="7" t="s">
        <v>170</v>
      </c>
      <c r="O1422" s="7" t="s">
        <v>162</v>
      </c>
      <c r="P1422" s="7" t="s">
        <v>6931</v>
      </c>
      <c r="Q1422" s="129">
        <v>46199</v>
      </c>
      <c r="R1422" s="130">
        <f t="shared" si="162"/>
        <v>46212</v>
      </c>
      <c r="S1422" s="131">
        <f t="shared" si="160"/>
        <v>13</v>
      </c>
      <c r="T1422" s="7" t="s">
        <v>203</v>
      </c>
      <c r="U1422" s="7" t="s">
        <v>205</v>
      </c>
      <c r="V1422" s="7"/>
      <c r="W1422" s="7"/>
      <c r="X1422" s="132">
        <f t="shared" si="161"/>
        <v>10</v>
      </c>
      <c r="Y1422" s="133"/>
      <c r="Z1422" s="133"/>
      <c r="AA1422" s="133"/>
    </row>
    <row r="1423" spans="1:27" hidden="1" x14ac:dyDescent="0.25">
      <c r="A1423" s="127">
        <v>1569</v>
      </c>
      <c r="B1423" s="128" t="str">
        <f t="shared" si="159"/>
        <v>CHOT</v>
      </c>
      <c r="C1423" s="128" t="str">
        <f>+VLOOKUP(U1423,Ходим!A:B,2,0)</f>
        <v>30308922100022</v>
      </c>
      <c r="D1423" s="128" t="str">
        <f>IFERROR(VLOOKUP($B:$B,[20]свод!$A:$AB,3,0)," ")</f>
        <v>Чортоқ тумани</v>
      </c>
      <c r="E1423" s="7" t="s">
        <v>2560</v>
      </c>
      <c r="F1423" s="7" t="s">
        <v>8949</v>
      </c>
      <c r="G1423" s="134">
        <f t="shared" si="163"/>
        <v>1</v>
      </c>
      <c r="H1423" s="134" t="str">
        <f t="shared" si="164"/>
        <v/>
      </c>
      <c r="I1423" s="7" t="s">
        <v>158</v>
      </c>
      <c r="J1423" s="7" t="s">
        <v>172</v>
      </c>
      <c r="K1423" s="7"/>
      <c r="L1423" s="7" t="s">
        <v>167</v>
      </c>
      <c r="M1423" s="7" t="s">
        <v>5137</v>
      </c>
      <c r="N1423" s="7" t="s">
        <v>170</v>
      </c>
      <c r="O1423" s="7" t="s">
        <v>162</v>
      </c>
      <c r="P1423" s="7" t="s">
        <v>6932</v>
      </c>
      <c r="Q1423" s="129">
        <v>46199</v>
      </c>
      <c r="R1423" s="130">
        <f t="shared" si="162"/>
        <v>46206</v>
      </c>
      <c r="S1423" s="131">
        <f t="shared" si="160"/>
        <v>7</v>
      </c>
      <c r="T1423" s="7" t="s">
        <v>184</v>
      </c>
      <c r="U1423" s="7" t="s">
        <v>190</v>
      </c>
      <c r="V1423" s="7"/>
      <c r="W1423" s="7">
        <v>0</v>
      </c>
      <c r="X1423" s="132">
        <f t="shared" si="161"/>
        <v>10</v>
      </c>
      <c r="Y1423" s="133"/>
      <c r="Z1423" s="133"/>
      <c r="AA1423" s="133"/>
    </row>
    <row r="1424" spans="1:27" hidden="1" x14ac:dyDescent="0.25">
      <c r="A1424" s="127">
        <v>1570</v>
      </c>
      <c r="B1424" s="128" t="str">
        <f t="shared" si="159"/>
        <v>UYCT</v>
      </c>
      <c r="C1424" s="128" t="str">
        <f>+VLOOKUP(U1424,Ходим!A:B,2,0)</f>
        <v>31004952140036</v>
      </c>
      <c r="D1424" s="128" t="str">
        <f>IFERROR(VLOOKUP($B:$B,[20]свод!$A:$AB,3,0)," ")</f>
        <v>Уйчи тумани</v>
      </c>
      <c r="E1424" s="7" t="s">
        <v>2561</v>
      </c>
      <c r="F1424" s="7" t="s">
        <v>8950</v>
      </c>
      <c r="G1424" s="134" t="str">
        <f t="shared" si="163"/>
        <v/>
      </c>
      <c r="H1424" s="134">
        <f t="shared" si="164"/>
        <v>1</v>
      </c>
      <c r="I1424" s="7" t="s">
        <v>157</v>
      </c>
      <c r="J1424" s="7" t="s">
        <v>2</v>
      </c>
      <c r="K1424" s="7"/>
      <c r="L1424" s="7" t="s">
        <v>166</v>
      </c>
      <c r="M1424" s="7" t="s">
        <v>5138</v>
      </c>
      <c r="N1424" s="7" t="s">
        <v>170</v>
      </c>
      <c r="O1424" s="7" t="s">
        <v>161</v>
      </c>
      <c r="P1424" s="7" t="s">
        <v>6932</v>
      </c>
      <c r="Q1424" s="129">
        <v>46199</v>
      </c>
      <c r="R1424" s="130">
        <f t="shared" si="162"/>
        <v>46206</v>
      </c>
      <c r="S1424" s="131">
        <f t="shared" si="160"/>
        <v>7</v>
      </c>
      <c r="T1424" s="7" t="s">
        <v>379</v>
      </c>
      <c r="U1424" s="7" t="s">
        <v>331</v>
      </c>
      <c r="V1424" s="7"/>
      <c r="W1424" s="7">
        <v>0</v>
      </c>
      <c r="X1424" s="132">
        <f t="shared" si="161"/>
        <v>10</v>
      </c>
      <c r="Y1424" s="133"/>
      <c r="Z1424" s="133"/>
      <c r="AA1424" s="133"/>
    </row>
    <row r="1425" spans="1:27" x14ac:dyDescent="0.25">
      <c r="A1425" s="127">
        <v>1571</v>
      </c>
      <c r="B1425" s="128" t="str">
        <f t="shared" si="159"/>
        <v>UYCT</v>
      </c>
      <c r="C1425" s="128" t="str">
        <f>+VLOOKUP(U1425,Ходим!A:B,2,0)</f>
        <v>51501005930032</v>
      </c>
      <c r="D1425" s="128" t="str">
        <f>IFERROR(VLOOKUP($B:$B,[20]свод!$A:$AB,3,0)," ")</f>
        <v>Уйчи тумани</v>
      </c>
      <c r="E1425" s="7" t="s">
        <v>2562</v>
      </c>
      <c r="F1425" s="7" t="s">
        <v>8951</v>
      </c>
      <c r="G1425" s="134">
        <f t="shared" si="163"/>
        <v>1</v>
      </c>
      <c r="H1425" s="134" t="str">
        <f t="shared" si="164"/>
        <v/>
      </c>
      <c r="I1425" s="7" t="s">
        <v>158</v>
      </c>
      <c r="J1425" s="7" t="s">
        <v>1</v>
      </c>
      <c r="K1425" s="7"/>
      <c r="L1425" s="7" t="s">
        <v>167</v>
      </c>
      <c r="M1425" s="7" t="s">
        <v>5139</v>
      </c>
      <c r="N1425" s="7" t="s">
        <v>170</v>
      </c>
      <c r="O1425" s="7" t="s">
        <v>162</v>
      </c>
      <c r="P1425" s="7" t="s">
        <v>6933</v>
      </c>
      <c r="Q1425" s="129">
        <v>46199</v>
      </c>
      <c r="R1425" s="130">
        <f t="shared" si="162"/>
        <v>46199</v>
      </c>
      <c r="S1425" s="131">
        <f t="shared" si="160"/>
        <v>0</v>
      </c>
      <c r="T1425" s="7" t="s">
        <v>379</v>
      </c>
      <c r="U1425" s="7" t="s">
        <v>326</v>
      </c>
      <c r="V1425" s="7"/>
      <c r="W1425" s="7">
        <v>317</v>
      </c>
      <c r="X1425" s="132">
        <f t="shared" si="161"/>
        <v>10</v>
      </c>
      <c r="Y1425" s="133"/>
      <c r="Z1425" s="133"/>
      <c r="AA1425" s="133"/>
    </row>
    <row r="1426" spans="1:27" hidden="1" x14ac:dyDescent="0.25">
      <c r="A1426" s="127">
        <v>1572</v>
      </c>
      <c r="B1426" s="128" t="str">
        <f t="shared" si="159"/>
        <v>UYCT</v>
      </c>
      <c r="C1426" s="128" t="str">
        <f>+VLOOKUP(U1426,Ходим!A:B,2,0)</f>
        <v>31310995930032</v>
      </c>
      <c r="D1426" s="128" t="str">
        <f>IFERROR(VLOOKUP($B:$B,[20]свод!$A:$AB,3,0)," ")</f>
        <v>Уйчи тумани</v>
      </c>
      <c r="E1426" s="7" t="s">
        <v>2563</v>
      </c>
      <c r="F1426" s="7" t="s">
        <v>8952</v>
      </c>
      <c r="G1426" s="134" t="str">
        <f t="shared" si="163"/>
        <v/>
      </c>
      <c r="H1426" s="134">
        <f t="shared" si="164"/>
        <v>1</v>
      </c>
      <c r="I1426" s="7" t="s">
        <v>157</v>
      </c>
      <c r="J1426" s="7" t="s">
        <v>35</v>
      </c>
      <c r="K1426" s="7"/>
      <c r="L1426" s="7" t="s">
        <v>168</v>
      </c>
      <c r="M1426" s="7" t="s">
        <v>5140</v>
      </c>
      <c r="N1426" s="7" t="s">
        <v>170</v>
      </c>
      <c r="O1426" s="7" t="s">
        <v>161</v>
      </c>
      <c r="P1426" s="7" t="s">
        <v>6932</v>
      </c>
      <c r="Q1426" s="129">
        <v>46199</v>
      </c>
      <c r="R1426" s="130">
        <f t="shared" si="162"/>
        <v>46203</v>
      </c>
      <c r="S1426" s="131">
        <f t="shared" si="160"/>
        <v>4</v>
      </c>
      <c r="T1426" s="7" t="s">
        <v>947</v>
      </c>
      <c r="U1426" s="7" t="s">
        <v>399</v>
      </c>
      <c r="V1426" s="7"/>
      <c r="W1426" s="7">
        <v>0</v>
      </c>
      <c r="X1426" s="132">
        <f t="shared" si="161"/>
        <v>7</v>
      </c>
      <c r="Y1426" s="133"/>
      <c r="Z1426" s="133"/>
      <c r="AA1426" s="133"/>
    </row>
    <row r="1427" spans="1:27" hidden="1" x14ac:dyDescent="0.25">
      <c r="A1427" s="127">
        <v>1573</v>
      </c>
      <c r="B1427" s="128" t="str">
        <f t="shared" si="159"/>
        <v>KSST</v>
      </c>
      <c r="C1427" s="128" t="e">
        <f>+VLOOKUP(U1427,Ходим!A:B,2,0)</f>
        <v>#N/A</v>
      </c>
      <c r="D1427" s="128" t="str">
        <f>IFERROR(VLOOKUP($B:$B,[20]свод!$A:$AB,3,0)," ")</f>
        <v>Косонсой тумани</v>
      </c>
      <c r="E1427" s="7" t="s">
        <v>2564</v>
      </c>
      <c r="F1427" s="7" t="s">
        <v>8953</v>
      </c>
      <c r="G1427" s="134" t="str">
        <f t="shared" si="163"/>
        <v/>
      </c>
      <c r="H1427" s="134">
        <f t="shared" si="164"/>
        <v>1</v>
      </c>
      <c r="I1427" s="7" t="s">
        <v>157</v>
      </c>
      <c r="J1427" s="7" t="s">
        <v>172</v>
      </c>
      <c r="K1427" s="7"/>
      <c r="L1427" s="7"/>
      <c r="M1427" s="7"/>
      <c r="N1427" s="7" t="s">
        <v>410</v>
      </c>
      <c r="O1427" s="7" t="s">
        <v>161</v>
      </c>
      <c r="P1427" s="7" t="s">
        <v>6932</v>
      </c>
      <c r="Q1427" s="129">
        <v>46199</v>
      </c>
      <c r="R1427" s="130">
        <f t="shared" si="162"/>
        <v>46206</v>
      </c>
      <c r="S1427" s="131">
        <f t="shared" si="160"/>
        <v>7</v>
      </c>
      <c r="T1427" s="7" t="s">
        <v>180</v>
      </c>
      <c r="U1427" s="7" t="s">
        <v>10636</v>
      </c>
      <c r="V1427" s="7"/>
      <c r="W1427" s="7"/>
      <c r="X1427" s="132">
        <f t="shared" si="161"/>
        <v>10</v>
      </c>
      <c r="Y1427" s="133"/>
      <c r="Z1427" s="133"/>
      <c r="AA1427" s="133"/>
    </row>
    <row r="1428" spans="1:27" x14ac:dyDescent="0.25">
      <c r="A1428" s="127">
        <v>1574</v>
      </c>
      <c r="B1428" s="128" t="str">
        <f t="shared" si="159"/>
        <v>POPT</v>
      </c>
      <c r="C1428" s="128" t="str">
        <f>+VLOOKUP(U1428,Ходим!A:B,2,0)</f>
        <v>32209966000029</v>
      </c>
      <c r="D1428" s="128" t="str">
        <f>IFERROR(VLOOKUP($B:$B,[20]свод!$A:$AB,3,0)," ")</f>
        <v>Поп тумани</v>
      </c>
      <c r="E1428" s="7" t="s">
        <v>2565</v>
      </c>
      <c r="F1428" s="7" t="s">
        <v>8954</v>
      </c>
      <c r="G1428" s="134" t="str">
        <f t="shared" si="163"/>
        <v/>
      </c>
      <c r="H1428" s="134">
        <f t="shared" si="164"/>
        <v>1</v>
      </c>
      <c r="I1428" s="7" t="s">
        <v>157</v>
      </c>
      <c r="J1428" s="7" t="s">
        <v>29</v>
      </c>
      <c r="K1428" s="7"/>
      <c r="L1428" s="7" t="s">
        <v>168</v>
      </c>
      <c r="M1428" s="7" t="s">
        <v>385</v>
      </c>
      <c r="N1428" s="7" t="s">
        <v>410</v>
      </c>
      <c r="O1428" s="7" t="s">
        <v>161</v>
      </c>
      <c r="P1428" s="7" t="s">
        <v>6934</v>
      </c>
      <c r="Q1428" s="129">
        <v>46199</v>
      </c>
      <c r="R1428" s="130">
        <f t="shared" si="162"/>
        <v>46196</v>
      </c>
      <c r="S1428" s="131">
        <f t="shared" si="160"/>
        <v>-3</v>
      </c>
      <c r="T1428" s="7" t="s">
        <v>214</v>
      </c>
      <c r="U1428" s="7" t="s">
        <v>282</v>
      </c>
      <c r="V1428" s="7"/>
      <c r="W1428" s="7">
        <v>0</v>
      </c>
      <c r="X1428" s="132">
        <f t="shared" si="161"/>
        <v>7</v>
      </c>
      <c r="Y1428" s="133"/>
      <c r="Z1428" s="133"/>
      <c r="AA1428" s="133"/>
    </row>
    <row r="1429" spans="1:27" x14ac:dyDescent="0.25">
      <c r="A1429" s="127">
        <v>1575</v>
      </c>
      <c r="B1429" s="128" t="str">
        <f t="shared" si="159"/>
        <v>NAMS</v>
      </c>
      <c r="C1429" s="128" t="str">
        <f>+VLOOKUP(U1429,Ходим!A:B,2,0)</f>
        <v>31408622170123</v>
      </c>
      <c r="D1429" s="128" t="str">
        <f>IFERROR(VLOOKUP($B:$B,[20]свод!$A:$AB,3,0)," ")</f>
        <v>Наманган шаҳар</v>
      </c>
      <c r="E1429" s="7" t="s">
        <v>2566</v>
      </c>
      <c r="F1429" s="7" t="s">
        <v>8955</v>
      </c>
      <c r="G1429" s="134" t="str">
        <f t="shared" si="163"/>
        <v/>
      </c>
      <c r="H1429" s="134">
        <f t="shared" si="164"/>
        <v>1</v>
      </c>
      <c r="I1429" s="7" t="s">
        <v>157</v>
      </c>
      <c r="J1429" s="7" t="s">
        <v>1137</v>
      </c>
      <c r="K1429" s="7"/>
      <c r="L1429" s="7" t="s">
        <v>168</v>
      </c>
      <c r="M1429" s="7" t="s">
        <v>5141</v>
      </c>
      <c r="N1429" s="7" t="s">
        <v>410</v>
      </c>
      <c r="O1429" s="7" t="s">
        <v>161</v>
      </c>
      <c r="P1429" s="7" t="s">
        <v>6935</v>
      </c>
      <c r="Q1429" s="129">
        <v>46199</v>
      </c>
      <c r="R1429" s="130">
        <f t="shared" si="162"/>
        <v>46198</v>
      </c>
      <c r="S1429" s="131">
        <f t="shared" si="160"/>
        <v>-1</v>
      </c>
      <c r="T1429" s="7" t="s">
        <v>983</v>
      </c>
      <c r="U1429" s="7" t="s">
        <v>402</v>
      </c>
      <c r="V1429" s="7" t="s">
        <v>965</v>
      </c>
      <c r="W1429" s="7">
        <v>0</v>
      </c>
      <c r="X1429" s="132">
        <f t="shared" si="161"/>
        <v>5</v>
      </c>
      <c r="Y1429" s="133"/>
      <c r="Z1429" s="133"/>
      <c r="AA1429" s="133"/>
    </row>
    <row r="1430" spans="1:27" hidden="1" x14ac:dyDescent="0.25">
      <c r="A1430" s="127">
        <v>1577</v>
      </c>
      <c r="B1430" s="128" t="str">
        <f t="shared" si="159"/>
        <v>NAMS</v>
      </c>
      <c r="C1430" s="128" t="str">
        <f>+VLOOKUP(U1430,Ходим!A:B,2,0)</f>
        <v>30402942170073</v>
      </c>
      <c r="D1430" s="128" t="str">
        <f>IFERROR(VLOOKUP($B:$B,[20]свод!$A:$AB,3,0)," ")</f>
        <v>Наманган шаҳар</v>
      </c>
      <c r="E1430" s="7" t="s">
        <v>2567</v>
      </c>
      <c r="F1430" s="7" t="s">
        <v>8956</v>
      </c>
      <c r="G1430" s="134" t="str">
        <f t="shared" si="163"/>
        <v/>
      </c>
      <c r="H1430" s="134">
        <f t="shared" si="164"/>
        <v>1</v>
      </c>
      <c r="I1430" s="7" t="s">
        <v>157</v>
      </c>
      <c r="J1430" s="7" t="s">
        <v>2</v>
      </c>
      <c r="K1430" s="7"/>
      <c r="L1430" s="7" t="s">
        <v>168</v>
      </c>
      <c r="M1430" s="7" t="s">
        <v>5142</v>
      </c>
      <c r="N1430" s="7" t="s">
        <v>170</v>
      </c>
      <c r="O1430" s="7" t="s">
        <v>161</v>
      </c>
      <c r="P1430" s="7" t="s">
        <v>6936</v>
      </c>
      <c r="Q1430" s="129">
        <v>46199</v>
      </c>
      <c r="R1430" s="130">
        <f t="shared" si="162"/>
        <v>46203</v>
      </c>
      <c r="S1430" s="131">
        <f t="shared" si="160"/>
        <v>4</v>
      </c>
      <c r="T1430" s="7" t="s">
        <v>173</v>
      </c>
      <c r="U1430" s="7" t="s">
        <v>388</v>
      </c>
      <c r="V1430" s="7"/>
      <c r="W1430" s="7">
        <v>0</v>
      </c>
      <c r="X1430" s="132">
        <f t="shared" si="161"/>
        <v>7</v>
      </c>
      <c r="Y1430" s="133"/>
      <c r="Z1430" s="133"/>
      <c r="AA1430" s="133"/>
    </row>
    <row r="1431" spans="1:27" hidden="1" x14ac:dyDescent="0.25">
      <c r="A1431" s="127">
        <v>1578</v>
      </c>
      <c r="B1431" s="128" t="str">
        <f t="shared" si="159"/>
        <v>TORT</v>
      </c>
      <c r="C1431" s="128" t="str">
        <f>+VLOOKUP(U1431,Ходим!A:B,2,0)</f>
        <v>40302922130046</v>
      </c>
      <c r="D1431" s="128" t="str">
        <f>IFERROR(VLOOKUP($B:$B,[20]свод!$A:$AB,3,0)," ")</f>
        <v>Тўрақўрғон тумани</v>
      </c>
      <c r="E1431" s="7" t="s">
        <v>2568</v>
      </c>
      <c r="F1431" s="7" t="s">
        <v>8957</v>
      </c>
      <c r="G1431" s="134">
        <f t="shared" si="163"/>
        <v>1</v>
      </c>
      <c r="H1431" s="134" t="str">
        <f t="shared" si="164"/>
        <v/>
      </c>
      <c r="I1431" s="7" t="s">
        <v>158</v>
      </c>
      <c r="J1431" s="7" t="s">
        <v>13</v>
      </c>
      <c r="K1431" s="7"/>
      <c r="L1431" s="7" t="s">
        <v>167</v>
      </c>
      <c r="M1431" s="7" t="s">
        <v>1125</v>
      </c>
      <c r="N1431" s="7" t="s">
        <v>170</v>
      </c>
      <c r="O1431" s="7" t="s">
        <v>162</v>
      </c>
      <c r="P1431" s="7" t="s">
        <v>6320</v>
      </c>
      <c r="Q1431" s="129">
        <v>46199</v>
      </c>
      <c r="R1431" s="130">
        <f t="shared" si="162"/>
        <v>46204</v>
      </c>
      <c r="S1431" s="131">
        <f t="shared" si="160"/>
        <v>5</v>
      </c>
      <c r="T1431" s="7" t="s">
        <v>203</v>
      </c>
      <c r="U1431" s="7" t="s">
        <v>258</v>
      </c>
      <c r="V1431" s="7"/>
      <c r="W1431" s="7">
        <v>0</v>
      </c>
      <c r="X1431" s="132">
        <f t="shared" si="161"/>
        <v>10</v>
      </c>
      <c r="Y1431" s="133"/>
      <c r="Z1431" s="133"/>
      <c r="AA1431" s="133"/>
    </row>
    <row r="1432" spans="1:27" hidden="1" x14ac:dyDescent="0.25">
      <c r="A1432" s="127">
        <v>1579</v>
      </c>
      <c r="B1432" s="128" t="str">
        <f t="shared" si="159"/>
        <v>TORT</v>
      </c>
      <c r="C1432" s="128" t="str">
        <f>+VLOOKUP(U1432,Ходим!A:B,2,0)</f>
        <v>30708792130017</v>
      </c>
      <c r="D1432" s="128" t="str">
        <f>IFERROR(VLOOKUP($B:$B,[20]свод!$A:$AB,3,0)," ")</f>
        <v>Тўрақўрғон тумани</v>
      </c>
      <c r="E1432" s="7" t="s">
        <v>2569</v>
      </c>
      <c r="F1432" s="7" t="s">
        <v>8958</v>
      </c>
      <c r="G1432" s="134">
        <f t="shared" si="163"/>
        <v>1</v>
      </c>
      <c r="H1432" s="134" t="str">
        <f t="shared" si="164"/>
        <v/>
      </c>
      <c r="I1432" s="7" t="s">
        <v>158</v>
      </c>
      <c r="J1432" s="7" t="s">
        <v>13</v>
      </c>
      <c r="K1432" s="7"/>
      <c r="L1432" s="7" t="s">
        <v>167</v>
      </c>
      <c r="M1432" s="7" t="s">
        <v>5143</v>
      </c>
      <c r="N1432" s="7" t="s">
        <v>170</v>
      </c>
      <c r="O1432" s="7" t="s">
        <v>163</v>
      </c>
      <c r="P1432" s="7" t="s">
        <v>6937</v>
      </c>
      <c r="Q1432" s="129">
        <v>46199</v>
      </c>
      <c r="R1432" s="130">
        <f t="shared" si="162"/>
        <v>46212</v>
      </c>
      <c r="S1432" s="131">
        <f t="shared" si="160"/>
        <v>13</v>
      </c>
      <c r="T1432" s="7" t="s">
        <v>203</v>
      </c>
      <c r="U1432" s="7" t="s">
        <v>204</v>
      </c>
      <c r="V1432" s="7"/>
      <c r="W1432" s="7">
        <v>206.4</v>
      </c>
      <c r="X1432" s="132">
        <f t="shared" si="161"/>
        <v>10</v>
      </c>
      <c r="Y1432" s="133"/>
      <c r="Z1432" s="133"/>
      <c r="AA1432" s="133"/>
    </row>
    <row r="1433" spans="1:27" x14ac:dyDescent="0.25">
      <c r="A1433" s="127">
        <v>1580</v>
      </c>
      <c r="B1433" s="128" t="str">
        <f t="shared" si="159"/>
        <v>UYCT</v>
      </c>
      <c r="C1433" s="128" t="str">
        <f>+VLOOKUP(U1433,Ходим!A:B,2,0)</f>
        <v>31004952140036</v>
      </c>
      <c r="D1433" s="128" t="str">
        <f>IFERROR(VLOOKUP($B:$B,[20]свод!$A:$AB,3,0)," ")</f>
        <v>Уйчи тумани</v>
      </c>
      <c r="E1433" s="7" t="s">
        <v>2570</v>
      </c>
      <c r="F1433" s="7" t="s">
        <v>8959</v>
      </c>
      <c r="G1433" s="134" t="str">
        <f t="shared" si="163"/>
        <v/>
      </c>
      <c r="H1433" s="134">
        <f t="shared" si="164"/>
        <v>1</v>
      </c>
      <c r="I1433" s="7" t="s">
        <v>157</v>
      </c>
      <c r="J1433" s="7" t="s">
        <v>1</v>
      </c>
      <c r="K1433" s="7"/>
      <c r="L1433" s="7" t="s">
        <v>166</v>
      </c>
      <c r="M1433" s="7" t="s">
        <v>5144</v>
      </c>
      <c r="N1433" s="7" t="s">
        <v>170</v>
      </c>
      <c r="O1433" s="7" t="s">
        <v>161</v>
      </c>
      <c r="P1433" s="7" t="s">
        <v>6938</v>
      </c>
      <c r="Q1433" s="129">
        <v>46199</v>
      </c>
      <c r="R1433" s="130">
        <f t="shared" si="162"/>
        <v>46199</v>
      </c>
      <c r="S1433" s="131">
        <f t="shared" si="160"/>
        <v>0</v>
      </c>
      <c r="T1433" s="7" t="s">
        <v>947</v>
      </c>
      <c r="U1433" s="7" t="s">
        <v>331</v>
      </c>
      <c r="V1433" s="7"/>
      <c r="W1433" s="7">
        <v>63</v>
      </c>
      <c r="X1433" s="132">
        <f t="shared" si="161"/>
        <v>10</v>
      </c>
      <c r="Y1433" s="133"/>
      <c r="Z1433" s="133"/>
      <c r="AA1433" s="133"/>
    </row>
    <row r="1434" spans="1:27" hidden="1" x14ac:dyDescent="0.25">
      <c r="A1434" s="127">
        <v>1581</v>
      </c>
      <c r="B1434" s="128" t="str">
        <f t="shared" si="159"/>
        <v>YGQT</v>
      </c>
      <c r="C1434" s="128" t="str">
        <f>+VLOOKUP(U1434,Ходим!A:B,2,0)</f>
        <v>31005985950058</v>
      </c>
      <c r="D1434" s="128" t="str">
        <f>IFERROR(VLOOKUP($B:$B,[20]свод!$A:$AB,3,0)," ")</f>
        <v>Янгиқўрғон тумани</v>
      </c>
      <c r="E1434" s="7" t="s">
        <v>2571</v>
      </c>
      <c r="F1434" s="7" t="s">
        <v>8960</v>
      </c>
      <c r="G1434" s="134">
        <f t="shared" si="163"/>
        <v>1</v>
      </c>
      <c r="H1434" s="134" t="str">
        <f t="shared" si="164"/>
        <v/>
      </c>
      <c r="I1434" s="7" t="s">
        <v>158</v>
      </c>
      <c r="J1434" s="7" t="s">
        <v>10</v>
      </c>
      <c r="K1434" s="7"/>
      <c r="L1434" s="7" t="s">
        <v>167</v>
      </c>
      <c r="M1434" s="7" t="s">
        <v>5145</v>
      </c>
      <c r="N1434" s="7" t="s">
        <v>170</v>
      </c>
      <c r="O1434" s="7" t="s">
        <v>162</v>
      </c>
      <c r="P1434" s="7" t="s">
        <v>6939</v>
      </c>
      <c r="Q1434" s="129">
        <v>46199</v>
      </c>
      <c r="R1434" s="130">
        <f t="shared" si="162"/>
        <v>46206</v>
      </c>
      <c r="S1434" s="131">
        <f t="shared" si="160"/>
        <v>7</v>
      </c>
      <c r="T1434" s="7" t="s">
        <v>182</v>
      </c>
      <c r="U1434" s="7" t="s">
        <v>311</v>
      </c>
      <c r="V1434" s="7"/>
      <c r="W1434" s="7">
        <v>765.38</v>
      </c>
      <c r="X1434" s="132">
        <f t="shared" si="161"/>
        <v>10</v>
      </c>
      <c r="Y1434" s="133"/>
      <c r="Z1434" s="133"/>
      <c r="AA1434" s="133"/>
    </row>
    <row r="1435" spans="1:27" hidden="1" x14ac:dyDescent="0.25">
      <c r="A1435" s="127">
        <v>1582</v>
      </c>
      <c r="B1435" s="128" t="str">
        <f t="shared" si="159"/>
        <v>CHUT</v>
      </c>
      <c r="C1435" s="128" t="str">
        <f>+VLOOKUP(U1435,Ходим!A:B,2,0)</f>
        <v>30409785970022</v>
      </c>
      <c r="D1435" s="128" t="str">
        <f>IFERROR(VLOOKUP($B:$B,[20]свод!$A:$AB,3,0)," ")</f>
        <v>Чуст тумани</v>
      </c>
      <c r="E1435" s="7" t="s">
        <v>2572</v>
      </c>
      <c r="F1435" s="7" t="s">
        <v>8961</v>
      </c>
      <c r="G1435" s="134">
        <f t="shared" si="163"/>
        <v>1</v>
      </c>
      <c r="H1435" s="134" t="str">
        <f t="shared" si="164"/>
        <v/>
      </c>
      <c r="I1435" s="7" t="s">
        <v>156</v>
      </c>
      <c r="J1435" s="7" t="s">
        <v>22</v>
      </c>
      <c r="K1435" s="7"/>
      <c r="L1435" s="7" t="s">
        <v>167</v>
      </c>
      <c r="M1435" s="7" t="s">
        <v>5146</v>
      </c>
      <c r="N1435" s="7" t="s">
        <v>170</v>
      </c>
      <c r="O1435" s="7" t="s">
        <v>162</v>
      </c>
      <c r="P1435" s="7" t="s">
        <v>6801</v>
      </c>
      <c r="Q1435" s="129">
        <v>46199</v>
      </c>
      <c r="R1435" s="130">
        <f t="shared" si="162"/>
        <v>46212</v>
      </c>
      <c r="S1435" s="131">
        <f t="shared" si="160"/>
        <v>13</v>
      </c>
      <c r="T1435" s="7" t="s">
        <v>178</v>
      </c>
      <c r="U1435" s="7" t="s">
        <v>191</v>
      </c>
      <c r="V1435" s="7"/>
      <c r="W1435" s="7">
        <v>365.27</v>
      </c>
      <c r="X1435" s="132">
        <f t="shared" si="161"/>
        <v>10</v>
      </c>
      <c r="Y1435" s="133"/>
      <c r="Z1435" s="133"/>
      <c r="AA1435" s="133"/>
    </row>
    <row r="1436" spans="1:27" hidden="1" x14ac:dyDescent="0.25">
      <c r="A1436" s="127">
        <v>1583</v>
      </c>
      <c r="B1436" s="128" t="str">
        <f t="shared" si="159"/>
        <v>CHUT</v>
      </c>
      <c r="C1436" s="128" t="str">
        <f>+VLOOKUP(U1436,Ходим!A:B,2,0)</f>
        <v>32511965970037</v>
      </c>
      <c r="D1436" s="128" t="str">
        <f>IFERROR(VLOOKUP($B:$B,[20]свод!$A:$AB,3,0)," ")</f>
        <v>Чуст тумани</v>
      </c>
      <c r="E1436" s="7" t="s">
        <v>2573</v>
      </c>
      <c r="F1436" s="7" t="s">
        <v>8962</v>
      </c>
      <c r="G1436" s="134">
        <f t="shared" si="163"/>
        <v>1</v>
      </c>
      <c r="H1436" s="134" t="str">
        <f t="shared" si="164"/>
        <v/>
      </c>
      <c r="I1436" s="7" t="s">
        <v>156</v>
      </c>
      <c r="J1436" s="7" t="s">
        <v>22</v>
      </c>
      <c r="K1436" s="7"/>
      <c r="L1436" s="7"/>
      <c r="M1436" s="7"/>
      <c r="N1436" s="7" t="s">
        <v>170</v>
      </c>
      <c r="O1436" s="7" t="s">
        <v>162</v>
      </c>
      <c r="P1436" s="7" t="s">
        <v>6874</v>
      </c>
      <c r="Q1436" s="129">
        <v>46199</v>
      </c>
      <c r="R1436" s="130">
        <f t="shared" si="162"/>
        <v>46212</v>
      </c>
      <c r="S1436" s="131">
        <f t="shared" si="160"/>
        <v>13</v>
      </c>
      <c r="T1436" s="7" t="s">
        <v>178</v>
      </c>
      <c r="U1436" s="7" t="s">
        <v>351</v>
      </c>
      <c r="V1436" s="7"/>
      <c r="W1436" s="7"/>
      <c r="X1436" s="132">
        <f t="shared" si="161"/>
        <v>10</v>
      </c>
      <c r="Y1436" s="133"/>
      <c r="Z1436" s="133"/>
      <c r="AA1436" s="133"/>
    </row>
    <row r="1437" spans="1:27" hidden="1" x14ac:dyDescent="0.25">
      <c r="A1437" s="127">
        <v>1584</v>
      </c>
      <c r="B1437" s="128" t="str">
        <f t="shared" si="159"/>
        <v>YGQT</v>
      </c>
      <c r="C1437" s="128" t="e">
        <f>+VLOOKUP(U1437,Ходим!A:B,2,0)</f>
        <v>#N/A</v>
      </c>
      <c r="D1437" s="128" t="str">
        <f>IFERROR(VLOOKUP($B:$B,[20]свод!$A:$AB,3,0)," ")</f>
        <v>Янгиқўрғон тумани</v>
      </c>
      <c r="E1437" s="7" t="s">
        <v>2574</v>
      </c>
      <c r="F1437" s="7" t="s">
        <v>8963</v>
      </c>
      <c r="G1437" s="134">
        <f t="shared" si="163"/>
        <v>1</v>
      </c>
      <c r="H1437" s="134" t="str">
        <f t="shared" si="164"/>
        <v/>
      </c>
      <c r="I1437" s="7" t="s">
        <v>156</v>
      </c>
      <c r="J1437" s="7" t="s">
        <v>21</v>
      </c>
      <c r="K1437" s="7"/>
      <c r="L1437" s="7"/>
      <c r="M1437" s="7"/>
      <c r="N1437" s="7" t="s">
        <v>170</v>
      </c>
      <c r="O1437" s="7" t="s">
        <v>162</v>
      </c>
      <c r="P1437" s="7" t="s">
        <v>6940</v>
      </c>
      <c r="Q1437" s="129">
        <v>46199</v>
      </c>
      <c r="R1437" s="130">
        <f t="shared" si="162"/>
        <v>46212</v>
      </c>
      <c r="S1437" s="131">
        <f t="shared" si="160"/>
        <v>13</v>
      </c>
      <c r="T1437" s="7" t="s">
        <v>182</v>
      </c>
      <c r="U1437" s="7"/>
      <c r="V1437" s="7"/>
      <c r="W1437" s="7"/>
      <c r="X1437" s="132">
        <f t="shared" si="161"/>
        <v>10</v>
      </c>
      <c r="Y1437" s="133"/>
      <c r="Z1437" s="133"/>
      <c r="AA1437" s="133"/>
    </row>
    <row r="1438" spans="1:27" x14ac:dyDescent="0.25">
      <c r="A1438" s="127">
        <v>1585</v>
      </c>
      <c r="B1438" s="128" t="str">
        <f t="shared" si="159"/>
        <v>UCQT</v>
      </c>
      <c r="C1438" s="128" t="str">
        <f>+VLOOKUP(U1438,Ходим!A:B,2,0)</f>
        <v>32911835940021</v>
      </c>
      <c r="D1438" s="128" t="str">
        <f>IFERROR(VLOOKUP($B:$B,[20]свод!$A:$AB,3,0)," ")</f>
        <v>Учқўрғон тумани</v>
      </c>
      <c r="E1438" s="7" t="s">
        <v>2575</v>
      </c>
      <c r="F1438" s="7" t="s">
        <v>8964</v>
      </c>
      <c r="G1438" s="134">
        <f t="shared" si="163"/>
        <v>1</v>
      </c>
      <c r="H1438" s="134" t="str">
        <f t="shared" si="164"/>
        <v/>
      </c>
      <c r="I1438" s="7" t="s">
        <v>158</v>
      </c>
      <c r="J1438" s="7" t="s">
        <v>2</v>
      </c>
      <c r="K1438" s="7"/>
      <c r="L1438" s="7" t="s">
        <v>167</v>
      </c>
      <c r="M1438" s="7" t="s">
        <v>5147</v>
      </c>
      <c r="N1438" s="7" t="s">
        <v>170</v>
      </c>
      <c r="O1438" s="7" t="s">
        <v>162</v>
      </c>
      <c r="P1438" s="7" t="s">
        <v>6941</v>
      </c>
      <c r="Q1438" s="129">
        <v>46199</v>
      </c>
      <c r="R1438" s="130">
        <f t="shared" si="162"/>
        <v>46199</v>
      </c>
      <c r="S1438" s="131">
        <f t="shared" si="160"/>
        <v>0</v>
      </c>
      <c r="T1438" s="7" t="s">
        <v>175</v>
      </c>
      <c r="U1438" s="7" t="s">
        <v>321</v>
      </c>
      <c r="V1438" s="7"/>
      <c r="W1438" s="7">
        <v>185</v>
      </c>
      <c r="X1438" s="132">
        <f t="shared" si="161"/>
        <v>10</v>
      </c>
      <c r="Y1438" s="133"/>
      <c r="Z1438" s="133"/>
      <c r="AA1438" s="133"/>
    </row>
    <row r="1439" spans="1:27" x14ac:dyDescent="0.25">
      <c r="A1439" s="127">
        <v>1586</v>
      </c>
      <c r="B1439" s="128" t="str">
        <f t="shared" si="159"/>
        <v>TORT</v>
      </c>
      <c r="C1439" s="128" t="str">
        <f>+VLOOKUP(U1439,Ходим!A:B,2,0)</f>
        <v>31701915920077</v>
      </c>
      <c r="D1439" s="128" t="str">
        <f>IFERROR(VLOOKUP($B:$B,[20]свод!$A:$AB,3,0)," ")</f>
        <v>Тўрақўрғон тумани</v>
      </c>
      <c r="E1439" s="7" t="s">
        <v>2576</v>
      </c>
      <c r="F1439" s="7" t="s">
        <v>8965</v>
      </c>
      <c r="G1439" s="134">
        <f t="shared" si="163"/>
        <v>1</v>
      </c>
      <c r="H1439" s="134" t="str">
        <f t="shared" si="164"/>
        <v/>
      </c>
      <c r="I1439" s="7" t="s">
        <v>158</v>
      </c>
      <c r="J1439" s="7" t="s">
        <v>1</v>
      </c>
      <c r="K1439" s="7"/>
      <c r="L1439" s="7" t="s">
        <v>167</v>
      </c>
      <c r="M1439" s="7" t="s">
        <v>5148</v>
      </c>
      <c r="N1439" s="7" t="s">
        <v>170</v>
      </c>
      <c r="O1439" s="7" t="s">
        <v>162</v>
      </c>
      <c r="P1439" s="7" t="s">
        <v>6941</v>
      </c>
      <c r="Q1439" s="129">
        <v>46199</v>
      </c>
      <c r="R1439" s="130">
        <f t="shared" si="162"/>
        <v>46199</v>
      </c>
      <c r="S1439" s="131">
        <f t="shared" si="160"/>
        <v>0</v>
      </c>
      <c r="T1439" s="7" t="s">
        <v>203</v>
      </c>
      <c r="U1439" s="7" t="s">
        <v>332</v>
      </c>
      <c r="V1439" s="7"/>
      <c r="W1439" s="7">
        <v>449.46</v>
      </c>
      <c r="X1439" s="132">
        <f t="shared" si="161"/>
        <v>10</v>
      </c>
      <c r="Y1439" s="133"/>
      <c r="Z1439" s="133"/>
      <c r="AA1439" s="133"/>
    </row>
    <row r="1440" spans="1:27" x14ac:dyDescent="0.25">
      <c r="A1440" s="127">
        <v>1587</v>
      </c>
      <c r="B1440" s="128" t="str">
        <f t="shared" ref="B1440:B1499" si="165">LEFT(E1440,4)</f>
        <v>NAMS</v>
      </c>
      <c r="C1440" s="128" t="str">
        <f>+VLOOKUP(U1440,Ходим!A:B,2,0)</f>
        <v>32211885960016</v>
      </c>
      <c r="D1440" s="128" t="str">
        <f>IFERROR(VLOOKUP($B:$B,[20]свод!$A:$AB,3,0)," ")</f>
        <v>Наманган шаҳар</v>
      </c>
      <c r="E1440" s="7" t="s">
        <v>2577</v>
      </c>
      <c r="F1440" s="7" t="s">
        <v>8966</v>
      </c>
      <c r="G1440" s="134" t="str">
        <f t="shared" si="163"/>
        <v/>
      </c>
      <c r="H1440" s="134">
        <f t="shared" si="164"/>
        <v>1</v>
      </c>
      <c r="I1440" s="7" t="s">
        <v>154</v>
      </c>
      <c r="J1440" s="7" t="s">
        <v>1</v>
      </c>
      <c r="K1440" s="7"/>
      <c r="L1440" s="7" t="s">
        <v>166</v>
      </c>
      <c r="M1440" s="7" t="s">
        <v>5149</v>
      </c>
      <c r="N1440" s="7" t="s">
        <v>170</v>
      </c>
      <c r="O1440" s="7" t="s">
        <v>161</v>
      </c>
      <c r="P1440" s="7" t="s">
        <v>6942</v>
      </c>
      <c r="Q1440" s="129">
        <v>46199</v>
      </c>
      <c r="R1440" s="130">
        <f t="shared" si="162"/>
        <v>46199</v>
      </c>
      <c r="S1440" s="131">
        <f t="shared" ref="S1440:S1499" si="166">R1440-Q1440</f>
        <v>0</v>
      </c>
      <c r="T1440" s="7" t="s">
        <v>227</v>
      </c>
      <c r="U1440" s="7" t="s">
        <v>279</v>
      </c>
      <c r="V1440" s="7"/>
      <c r="W1440" s="7">
        <v>69.650000000000006</v>
      </c>
      <c r="X1440" s="132">
        <f t="shared" ref="X1440:X1498" si="167">IF(N1440="Kadastr muhandisi",3,
IF(N1440="UZKAD",5,
IF(V1440="FREE",5,
IF(I1440="Registratsiya (tashqi - UZKAD da bor)",1,
IF(I1440="Avtoyo'l va suv xo'jaligi obyektining kadastr pasportini shakllantirish va ro'yxatga olish",7,
IF(I1440="Notarius uchun ma'lumotnoma (uz)",1,
IF(I1440="Qurilishi tugallangan ko'chmas mulkni foydalanishga qabul qilish",10,
IF(OR(I1440="Turar joy obyektning kadastr pasportini shakllantirish va davlat ro'yxatidan o'tkazish",I1440="Turar kompozit"),
IF(L1440="Turar yer maydoni",7,10),
IF(OR(I1440="Noturar obyektning kadastr pasportini shakllantirish va davlat ro'yxatidan o'tkazish",I1440="Noturar kompozit"),
IF(O1440="Ko‘p yillik daraxtlar xizmati",15,
IF(OR(L1440="Noturar yer maydoni",L1440="Davlat tashkilotlaridan ijaraga olingan yer uchastkasi"),7,
IF(W1440&lt;100,10,IF(W1440&lt;=1000,12,IF(W1440&lt;=5000,17,IF(W1440&lt;=15000,22,IF(W1440&lt;=50000,28,37))))))),
IF(I1440="Umumiy foydalanishdagi ko'chmas mulk qismini yaratish",
IF(IF(TRIM(L1440)="",IF(OR(O1440="Turar joy xizmati",O1440="Yakka tartibdagi turar joy"),"Turar","Noturar"),IF(OR(L1440="Yakka tartibdagi turar joy",L1440="Turar joy xizmati"),"Turar","Noturar"))="Turar",
10,IF(W1440&lt;100,10,IF(W1440&lt;=1000,12,IF(W1440&lt;=5000,17,IF(W1440&lt;=15000,22,IF(W1440&lt;=50000,28,37)))))),
0))))))))))</f>
        <v>10</v>
      </c>
      <c r="Y1440" s="133"/>
      <c r="Z1440" s="133"/>
      <c r="AA1440" s="133"/>
    </row>
    <row r="1441" spans="1:27" hidden="1" x14ac:dyDescent="0.25">
      <c r="A1441" s="127">
        <v>1588</v>
      </c>
      <c r="B1441" s="128" t="str">
        <f t="shared" si="165"/>
        <v>NAMT</v>
      </c>
      <c r="C1441" s="128" t="str">
        <f>+VLOOKUP(U1441,Ходим!A:B,2,0)</f>
        <v>50706025880010</v>
      </c>
      <c r="D1441" s="128" t="str">
        <f>IFERROR(VLOOKUP($B:$B,[20]свод!$A:$AB,3,0)," ")</f>
        <v>Наманган тумани</v>
      </c>
      <c r="E1441" s="7" t="s">
        <v>2578</v>
      </c>
      <c r="F1441" s="7" t="s">
        <v>8967</v>
      </c>
      <c r="G1441" s="134" t="str">
        <f t="shared" si="163"/>
        <v/>
      </c>
      <c r="H1441" s="134">
        <f t="shared" si="164"/>
        <v>1</v>
      </c>
      <c r="I1441" s="7" t="s">
        <v>157</v>
      </c>
      <c r="J1441" s="7" t="s">
        <v>13</v>
      </c>
      <c r="K1441" s="7"/>
      <c r="L1441" s="7" t="s">
        <v>166</v>
      </c>
      <c r="M1441" s="7" t="s">
        <v>5150</v>
      </c>
      <c r="N1441" s="7" t="s">
        <v>170</v>
      </c>
      <c r="O1441" s="7" t="s">
        <v>161</v>
      </c>
      <c r="P1441" s="7" t="s">
        <v>6943</v>
      </c>
      <c r="Q1441" s="129">
        <v>46199</v>
      </c>
      <c r="R1441" s="130">
        <f t="shared" si="162"/>
        <v>46217</v>
      </c>
      <c r="S1441" s="131">
        <f t="shared" si="166"/>
        <v>18</v>
      </c>
      <c r="T1441" s="7" t="s">
        <v>193</v>
      </c>
      <c r="U1441" s="7" t="s">
        <v>397</v>
      </c>
      <c r="V1441" s="7"/>
      <c r="W1441" s="7">
        <v>2866</v>
      </c>
      <c r="X1441" s="132">
        <f t="shared" si="167"/>
        <v>17</v>
      </c>
      <c r="Y1441" s="133"/>
      <c r="Z1441" s="133"/>
      <c r="AA1441" s="133"/>
    </row>
    <row r="1442" spans="1:27" hidden="1" x14ac:dyDescent="0.25">
      <c r="A1442" s="127">
        <v>1589</v>
      </c>
      <c r="B1442" s="128" t="str">
        <f t="shared" si="165"/>
        <v>POPT</v>
      </c>
      <c r="C1442" s="128" t="str">
        <f>+VLOOKUP(U1442,Ходим!A:B,2,0)</f>
        <v>33107902120019</v>
      </c>
      <c r="D1442" s="128" t="str">
        <f>IFERROR(VLOOKUP($B:$B,[20]свод!$A:$AB,3,0)," ")</f>
        <v>Поп тумани</v>
      </c>
      <c r="E1442" s="7" t="s">
        <v>2579</v>
      </c>
      <c r="F1442" s="7" t="s">
        <v>8968</v>
      </c>
      <c r="G1442" s="134" t="str">
        <f t="shared" si="163"/>
        <v/>
      </c>
      <c r="H1442" s="134">
        <f t="shared" si="164"/>
        <v>1</v>
      </c>
      <c r="I1442" s="7" t="s">
        <v>155</v>
      </c>
      <c r="J1442" s="7" t="s">
        <v>25</v>
      </c>
      <c r="K1442" s="7"/>
      <c r="L1442" s="7" t="s">
        <v>168</v>
      </c>
      <c r="M1442" s="7" t="s">
        <v>5151</v>
      </c>
      <c r="N1442" s="7" t="s">
        <v>170</v>
      </c>
      <c r="O1442" s="7" t="s">
        <v>161</v>
      </c>
      <c r="P1442" s="7" t="s">
        <v>6944</v>
      </c>
      <c r="Q1442" s="129">
        <v>46199</v>
      </c>
      <c r="R1442" s="130">
        <f t="shared" si="162"/>
        <v>46209</v>
      </c>
      <c r="S1442" s="131">
        <f t="shared" si="166"/>
        <v>10</v>
      </c>
      <c r="T1442" s="7" t="s">
        <v>240</v>
      </c>
      <c r="U1442" s="7" t="s">
        <v>224</v>
      </c>
      <c r="V1442" s="7"/>
      <c r="W1442" s="7">
        <v>0</v>
      </c>
      <c r="X1442" s="132">
        <f t="shared" si="167"/>
        <v>7</v>
      </c>
      <c r="Y1442" s="133"/>
      <c r="Z1442" s="133"/>
      <c r="AA1442" s="133"/>
    </row>
    <row r="1443" spans="1:27" hidden="1" x14ac:dyDescent="0.25">
      <c r="A1443" s="127">
        <v>1590</v>
      </c>
      <c r="B1443" s="128" t="str">
        <f t="shared" si="165"/>
        <v>YGQT</v>
      </c>
      <c r="C1443" s="128" t="e">
        <f>+VLOOKUP(U1443,Ходим!A:B,2,0)</f>
        <v>#N/A</v>
      </c>
      <c r="D1443" s="128" t="str">
        <f>IFERROR(VLOOKUP($B:$B,[20]свод!$A:$AB,3,0)," ")</f>
        <v>Янгиқўрғон тумани</v>
      </c>
      <c r="E1443" s="7" t="s">
        <v>2580</v>
      </c>
      <c r="F1443" s="7" t="s">
        <v>8969</v>
      </c>
      <c r="G1443" s="134">
        <f t="shared" si="163"/>
        <v>1</v>
      </c>
      <c r="H1443" s="134" t="str">
        <f t="shared" si="164"/>
        <v/>
      </c>
      <c r="I1443" s="7" t="s">
        <v>156</v>
      </c>
      <c r="J1443" s="7" t="s">
        <v>21</v>
      </c>
      <c r="K1443" s="7"/>
      <c r="L1443" s="7"/>
      <c r="M1443" s="7"/>
      <c r="N1443" s="7" t="s">
        <v>410</v>
      </c>
      <c r="O1443" s="7" t="s">
        <v>162</v>
      </c>
      <c r="P1443" s="7" t="s">
        <v>6944</v>
      </c>
      <c r="Q1443" s="129">
        <v>46199</v>
      </c>
      <c r="R1443" s="130">
        <f t="shared" si="162"/>
        <v>46212</v>
      </c>
      <c r="S1443" s="131">
        <f t="shared" si="166"/>
        <v>13</v>
      </c>
      <c r="T1443" s="7" t="s">
        <v>182</v>
      </c>
      <c r="U1443" s="7"/>
      <c r="V1443" s="7"/>
      <c r="W1443" s="7"/>
      <c r="X1443" s="132">
        <f t="shared" si="167"/>
        <v>10</v>
      </c>
      <c r="Y1443" s="133"/>
      <c r="Z1443" s="133"/>
      <c r="AA1443" s="133"/>
    </row>
    <row r="1444" spans="1:27" hidden="1" x14ac:dyDescent="0.25">
      <c r="A1444" s="127">
        <v>1591</v>
      </c>
      <c r="B1444" s="128" t="str">
        <f t="shared" si="165"/>
        <v>NAMT</v>
      </c>
      <c r="C1444" s="128" t="str">
        <f>+VLOOKUP(U1444,Ходим!A:B,2,0)</f>
        <v>32204892090133</v>
      </c>
      <c r="D1444" s="128" t="str">
        <f>IFERROR(VLOOKUP($B:$B,[20]свод!$A:$AB,3,0)," ")</f>
        <v>Наманган тумани</v>
      </c>
      <c r="E1444" s="7" t="s">
        <v>2581</v>
      </c>
      <c r="F1444" s="7" t="s">
        <v>8970</v>
      </c>
      <c r="G1444" s="134" t="str">
        <f t="shared" si="163"/>
        <v/>
      </c>
      <c r="H1444" s="134">
        <f t="shared" si="164"/>
        <v>1</v>
      </c>
      <c r="I1444" s="7" t="s">
        <v>157</v>
      </c>
      <c r="J1444" s="7" t="s">
        <v>2</v>
      </c>
      <c r="K1444" s="7"/>
      <c r="L1444" s="7" t="s">
        <v>166</v>
      </c>
      <c r="M1444" s="7" t="s">
        <v>5152</v>
      </c>
      <c r="N1444" s="7" t="s">
        <v>170</v>
      </c>
      <c r="O1444" s="7" t="s">
        <v>161</v>
      </c>
      <c r="P1444" s="7" t="s">
        <v>6945</v>
      </c>
      <c r="Q1444" s="129">
        <v>46199</v>
      </c>
      <c r="R1444" s="130">
        <f t="shared" si="162"/>
        <v>46210</v>
      </c>
      <c r="S1444" s="131">
        <f t="shared" si="166"/>
        <v>11</v>
      </c>
      <c r="T1444" s="7" t="s">
        <v>193</v>
      </c>
      <c r="U1444" s="7" t="s">
        <v>198</v>
      </c>
      <c r="V1444" s="7"/>
      <c r="W1444" s="7">
        <v>164.32</v>
      </c>
      <c r="X1444" s="132">
        <f t="shared" si="167"/>
        <v>12</v>
      </c>
      <c r="Y1444" s="133"/>
      <c r="Z1444" s="133"/>
      <c r="AA1444" s="133"/>
    </row>
    <row r="1445" spans="1:27" x14ac:dyDescent="0.25">
      <c r="A1445" s="127">
        <v>1592</v>
      </c>
      <c r="B1445" s="128" t="str">
        <f t="shared" si="165"/>
        <v>KSST</v>
      </c>
      <c r="C1445" s="128" t="str">
        <f>+VLOOKUP(U1445,Ходим!A:B,2,0)</f>
        <v>31611995980026</v>
      </c>
      <c r="D1445" s="128" t="str">
        <f>IFERROR(VLOOKUP($B:$B,[20]свод!$A:$AB,3,0)," ")</f>
        <v>Косонсой тумани</v>
      </c>
      <c r="E1445" s="7" t="s">
        <v>2582</v>
      </c>
      <c r="F1445" s="7" t="s">
        <v>8971</v>
      </c>
      <c r="G1445" s="134">
        <f t="shared" si="163"/>
        <v>1</v>
      </c>
      <c r="H1445" s="134" t="str">
        <f t="shared" si="164"/>
        <v/>
      </c>
      <c r="I1445" s="7" t="s">
        <v>158</v>
      </c>
      <c r="J1445" s="7" t="s">
        <v>1</v>
      </c>
      <c r="K1445" s="7"/>
      <c r="L1445" s="7" t="s">
        <v>167</v>
      </c>
      <c r="M1445" s="7" t="s">
        <v>1032</v>
      </c>
      <c r="N1445" s="7" t="s">
        <v>170</v>
      </c>
      <c r="O1445" s="7" t="s">
        <v>162</v>
      </c>
      <c r="P1445" s="7" t="s">
        <v>6946</v>
      </c>
      <c r="Q1445" s="129">
        <v>46199</v>
      </c>
      <c r="R1445" s="130">
        <f t="shared" si="162"/>
        <v>46199</v>
      </c>
      <c r="S1445" s="131">
        <f t="shared" si="166"/>
        <v>0</v>
      </c>
      <c r="T1445" s="7" t="s">
        <v>180</v>
      </c>
      <c r="U1445" s="7" t="s">
        <v>181</v>
      </c>
      <c r="V1445" s="7"/>
      <c r="W1445" s="7">
        <v>412.54</v>
      </c>
      <c r="X1445" s="132">
        <f t="shared" si="167"/>
        <v>10</v>
      </c>
      <c r="Y1445" s="133"/>
      <c r="Z1445" s="133"/>
      <c r="AA1445" s="133"/>
    </row>
    <row r="1446" spans="1:27" hidden="1" x14ac:dyDescent="0.25">
      <c r="A1446" s="127">
        <v>1593</v>
      </c>
      <c r="B1446" s="128" t="str">
        <f t="shared" si="165"/>
        <v>NAMT</v>
      </c>
      <c r="C1446" s="128" t="str">
        <f>+VLOOKUP(U1446,Ходим!A:B,2,0)</f>
        <v>31702942090041</v>
      </c>
      <c r="D1446" s="128" t="str">
        <f>IFERROR(VLOOKUP($B:$B,[20]свод!$A:$AB,3,0)," ")</f>
        <v>Наманган тумани</v>
      </c>
      <c r="E1446" s="7" t="s">
        <v>2583</v>
      </c>
      <c r="F1446" s="7" t="s">
        <v>8972</v>
      </c>
      <c r="G1446" s="134" t="str">
        <f t="shared" si="163"/>
        <v/>
      </c>
      <c r="H1446" s="134">
        <f t="shared" si="164"/>
        <v>1</v>
      </c>
      <c r="I1446" s="7" t="s">
        <v>157</v>
      </c>
      <c r="J1446" s="7" t="s">
        <v>2</v>
      </c>
      <c r="K1446" s="7"/>
      <c r="L1446" s="7" t="s">
        <v>166</v>
      </c>
      <c r="M1446" s="7" t="s">
        <v>5153</v>
      </c>
      <c r="N1446" s="7" t="s">
        <v>170</v>
      </c>
      <c r="O1446" s="7" t="s">
        <v>161</v>
      </c>
      <c r="P1446" s="7" t="s">
        <v>6945</v>
      </c>
      <c r="Q1446" s="129">
        <v>46199</v>
      </c>
      <c r="R1446" s="130">
        <f t="shared" si="162"/>
        <v>46210</v>
      </c>
      <c r="S1446" s="131">
        <f t="shared" si="166"/>
        <v>11</v>
      </c>
      <c r="T1446" s="7" t="s">
        <v>193</v>
      </c>
      <c r="U1446" s="7" t="s">
        <v>194</v>
      </c>
      <c r="V1446" s="7"/>
      <c r="W1446" s="7">
        <v>661</v>
      </c>
      <c r="X1446" s="132">
        <f t="shared" si="167"/>
        <v>12</v>
      </c>
      <c r="Y1446" s="133"/>
      <c r="Z1446" s="133"/>
      <c r="AA1446" s="133"/>
    </row>
    <row r="1447" spans="1:27" hidden="1" x14ac:dyDescent="0.25">
      <c r="A1447" s="127">
        <v>1594</v>
      </c>
      <c r="B1447" s="128" t="str">
        <f t="shared" si="165"/>
        <v>NAMT</v>
      </c>
      <c r="C1447" s="128" t="str">
        <f>+VLOOKUP(U1447,Ходим!A:B,2,0)</f>
        <v>32610955880027</v>
      </c>
      <c r="D1447" s="128" t="str">
        <f>IFERROR(VLOOKUP($B:$B,[20]свод!$A:$AB,3,0)," ")</f>
        <v>Наманган тумани</v>
      </c>
      <c r="E1447" s="7" t="s">
        <v>2584</v>
      </c>
      <c r="F1447" s="7" t="s">
        <v>8973</v>
      </c>
      <c r="G1447" s="134" t="str">
        <f t="shared" si="163"/>
        <v/>
      </c>
      <c r="H1447" s="134">
        <f t="shared" si="164"/>
        <v>1</v>
      </c>
      <c r="I1447" s="7" t="s">
        <v>157</v>
      </c>
      <c r="J1447" s="7" t="s">
        <v>13</v>
      </c>
      <c r="K1447" s="7"/>
      <c r="L1447" s="7" t="s">
        <v>166</v>
      </c>
      <c r="M1447" s="7" t="s">
        <v>5154</v>
      </c>
      <c r="N1447" s="7" t="s">
        <v>170</v>
      </c>
      <c r="O1447" s="7" t="s">
        <v>161</v>
      </c>
      <c r="P1447" s="7" t="s">
        <v>6945</v>
      </c>
      <c r="Q1447" s="129">
        <v>46199</v>
      </c>
      <c r="R1447" s="130">
        <f t="shared" si="162"/>
        <v>46217</v>
      </c>
      <c r="S1447" s="131">
        <f t="shared" si="166"/>
        <v>18</v>
      </c>
      <c r="T1447" s="7" t="s">
        <v>197</v>
      </c>
      <c r="U1447" s="7" t="s">
        <v>288</v>
      </c>
      <c r="V1447" s="7"/>
      <c r="W1447" s="7">
        <v>1186.0999999999999</v>
      </c>
      <c r="X1447" s="132">
        <f t="shared" si="167"/>
        <v>17</v>
      </c>
      <c r="Y1447" s="133"/>
      <c r="Z1447" s="133"/>
      <c r="AA1447" s="133"/>
    </row>
    <row r="1448" spans="1:27" hidden="1" x14ac:dyDescent="0.25">
      <c r="A1448" s="127">
        <v>1595</v>
      </c>
      <c r="B1448" s="128" t="str">
        <f t="shared" si="165"/>
        <v>NAMT</v>
      </c>
      <c r="C1448" s="128">
        <f>+VLOOKUP(U1448,Ходим!A:B,2,0)</f>
        <v>52908045880018</v>
      </c>
      <c r="D1448" s="128" t="str">
        <f>IFERROR(VLOOKUP($B:$B,[20]свод!$A:$AB,3,0)," ")</f>
        <v>Наманган тумани</v>
      </c>
      <c r="E1448" s="7" t="s">
        <v>2585</v>
      </c>
      <c r="F1448" s="7" t="s">
        <v>8974</v>
      </c>
      <c r="G1448" s="134" t="str">
        <f t="shared" si="163"/>
        <v/>
      </c>
      <c r="H1448" s="134">
        <f t="shared" si="164"/>
        <v>1</v>
      </c>
      <c r="I1448" s="7" t="s">
        <v>157</v>
      </c>
      <c r="J1448" s="7" t="s">
        <v>2</v>
      </c>
      <c r="K1448" s="7"/>
      <c r="L1448" s="7" t="s">
        <v>166</v>
      </c>
      <c r="M1448" s="7" t="s">
        <v>5155</v>
      </c>
      <c r="N1448" s="7" t="s">
        <v>170</v>
      </c>
      <c r="O1448" s="7" t="s">
        <v>161</v>
      </c>
      <c r="P1448" s="7" t="s">
        <v>6945</v>
      </c>
      <c r="Q1448" s="129">
        <v>46199</v>
      </c>
      <c r="R1448" s="130">
        <f t="shared" si="162"/>
        <v>46210</v>
      </c>
      <c r="S1448" s="131">
        <f t="shared" si="166"/>
        <v>11</v>
      </c>
      <c r="T1448" s="7" t="s">
        <v>193</v>
      </c>
      <c r="U1448" s="7" t="s">
        <v>982</v>
      </c>
      <c r="V1448" s="7"/>
      <c r="W1448" s="7">
        <v>245.18</v>
      </c>
      <c r="X1448" s="132">
        <f t="shared" si="167"/>
        <v>12</v>
      </c>
      <c r="Y1448" s="133"/>
      <c r="Z1448" s="133"/>
      <c r="AA1448" s="133"/>
    </row>
    <row r="1449" spans="1:27" hidden="1" x14ac:dyDescent="0.25">
      <c r="A1449" s="127">
        <v>1596</v>
      </c>
      <c r="B1449" s="128" t="str">
        <f t="shared" si="165"/>
        <v>NAMT</v>
      </c>
      <c r="C1449" s="128" t="str">
        <f>+VLOOKUP(U1449,Ходим!A:B,2,0)</f>
        <v>32610955880027</v>
      </c>
      <c r="D1449" s="128" t="str">
        <f>IFERROR(VLOOKUP($B:$B,[20]свод!$A:$AB,3,0)," ")</f>
        <v>Наманган тумани</v>
      </c>
      <c r="E1449" s="7" t="s">
        <v>2586</v>
      </c>
      <c r="F1449" s="7" t="s">
        <v>8975</v>
      </c>
      <c r="G1449" s="134" t="str">
        <f t="shared" si="163"/>
        <v/>
      </c>
      <c r="H1449" s="134">
        <f t="shared" si="164"/>
        <v>1</v>
      </c>
      <c r="I1449" s="7" t="s">
        <v>157</v>
      </c>
      <c r="J1449" s="7" t="s">
        <v>13</v>
      </c>
      <c r="K1449" s="7"/>
      <c r="L1449" s="7" t="s">
        <v>166</v>
      </c>
      <c r="M1449" s="7" t="s">
        <v>5156</v>
      </c>
      <c r="N1449" s="7" t="s">
        <v>170</v>
      </c>
      <c r="O1449" s="7" t="s">
        <v>161</v>
      </c>
      <c r="P1449" s="7" t="s">
        <v>6945</v>
      </c>
      <c r="Q1449" s="129">
        <v>46199</v>
      </c>
      <c r="R1449" s="130">
        <f t="shared" si="162"/>
        <v>46210</v>
      </c>
      <c r="S1449" s="131">
        <f t="shared" si="166"/>
        <v>11</v>
      </c>
      <c r="T1449" s="7" t="s">
        <v>197</v>
      </c>
      <c r="U1449" s="7" t="s">
        <v>288</v>
      </c>
      <c r="V1449" s="7"/>
      <c r="W1449" s="7">
        <v>360.89</v>
      </c>
      <c r="X1449" s="132">
        <f t="shared" si="167"/>
        <v>12</v>
      </c>
      <c r="Y1449" s="133"/>
      <c r="Z1449" s="133"/>
      <c r="AA1449" s="133"/>
    </row>
    <row r="1450" spans="1:27" x14ac:dyDescent="0.25">
      <c r="A1450" s="127">
        <v>1597</v>
      </c>
      <c r="B1450" s="128" t="str">
        <f t="shared" si="165"/>
        <v>UYCT</v>
      </c>
      <c r="C1450" s="128" t="str">
        <f>+VLOOKUP(U1450,Ходим!A:B,2,0)</f>
        <v>52811025930077</v>
      </c>
      <c r="D1450" s="128" t="str">
        <f>IFERROR(VLOOKUP($B:$B,[20]свод!$A:$AB,3,0)," ")</f>
        <v>Уйчи тумани</v>
      </c>
      <c r="E1450" s="7" t="s">
        <v>2587</v>
      </c>
      <c r="F1450" s="7" t="s">
        <v>8976</v>
      </c>
      <c r="G1450" s="134">
        <f t="shared" si="163"/>
        <v>1</v>
      </c>
      <c r="H1450" s="134" t="str">
        <f t="shared" si="164"/>
        <v/>
      </c>
      <c r="I1450" s="7" t="s">
        <v>158</v>
      </c>
      <c r="J1450" s="7" t="s">
        <v>1</v>
      </c>
      <c r="K1450" s="7"/>
      <c r="L1450" s="7" t="s">
        <v>167</v>
      </c>
      <c r="M1450" s="7" t="s">
        <v>5157</v>
      </c>
      <c r="N1450" s="7" t="s">
        <v>170</v>
      </c>
      <c r="O1450" s="7" t="s">
        <v>162</v>
      </c>
      <c r="P1450" s="7" t="s">
        <v>6947</v>
      </c>
      <c r="Q1450" s="129">
        <v>46199</v>
      </c>
      <c r="R1450" s="130">
        <f t="shared" si="162"/>
        <v>46198</v>
      </c>
      <c r="S1450" s="131">
        <f t="shared" si="166"/>
        <v>-1</v>
      </c>
      <c r="T1450" s="7" t="s">
        <v>947</v>
      </c>
      <c r="U1450" s="7" t="s">
        <v>356</v>
      </c>
      <c r="V1450" s="7"/>
      <c r="W1450" s="7">
        <v>251.7</v>
      </c>
      <c r="X1450" s="132">
        <f t="shared" si="167"/>
        <v>10</v>
      </c>
      <c r="Y1450" s="133"/>
      <c r="Z1450" s="133"/>
      <c r="AA1450" s="133"/>
    </row>
    <row r="1451" spans="1:27" hidden="1" x14ac:dyDescent="0.25">
      <c r="A1451" s="127">
        <v>1598</v>
      </c>
      <c r="B1451" s="128" t="str">
        <f t="shared" si="165"/>
        <v>NAMS</v>
      </c>
      <c r="C1451" s="128" t="str">
        <f>+VLOOKUP(U1451,Ходим!A:B,2,0)</f>
        <v>51911035960011</v>
      </c>
      <c r="D1451" s="128" t="str">
        <f>IFERROR(VLOOKUP($B:$B,[20]свод!$A:$AB,3,0)," ")</f>
        <v>Наманган шаҳар</v>
      </c>
      <c r="E1451" s="7" t="s">
        <v>2588</v>
      </c>
      <c r="F1451" s="7" t="s">
        <v>8977</v>
      </c>
      <c r="G1451" s="134">
        <f t="shared" si="163"/>
        <v>1</v>
      </c>
      <c r="H1451" s="134" t="str">
        <f t="shared" si="164"/>
        <v/>
      </c>
      <c r="I1451" s="7" t="s">
        <v>158</v>
      </c>
      <c r="J1451" s="7" t="s">
        <v>16</v>
      </c>
      <c r="K1451" s="7"/>
      <c r="L1451" s="7" t="s">
        <v>167</v>
      </c>
      <c r="M1451" s="7" t="s">
        <v>5158</v>
      </c>
      <c r="N1451" s="7" t="s">
        <v>170</v>
      </c>
      <c r="O1451" s="7" t="s">
        <v>162</v>
      </c>
      <c r="P1451" s="7" t="s">
        <v>6539</v>
      </c>
      <c r="Q1451" s="129">
        <v>46199</v>
      </c>
      <c r="R1451" s="130">
        <f t="shared" si="162"/>
        <v>46211</v>
      </c>
      <c r="S1451" s="131">
        <f t="shared" si="166"/>
        <v>12</v>
      </c>
      <c r="T1451" s="7" t="s">
        <v>173</v>
      </c>
      <c r="U1451" s="7" t="s">
        <v>371</v>
      </c>
      <c r="V1451" s="7"/>
      <c r="W1451" s="7">
        <v>44.67</v>
      </c>
      <c r="X1451" s="132">
        <f t="shared" si="167"/>
        <v>10</v>
      </c>
      <c r="Y1451" s="133"/>
      <c r="Z1451" s="133"/>
      <c r="AA1451" s="133"/>
    </row>
    <row r="1452" spans="1:27" hidden="1" x14ac:dyDescent="0.25">
      <c r="A1452" s="127">
        <v>1599</v>
      </c>
      <c r="B1452" s="128" t="str">
        <f t="shared" si="165"/>
        <v>CHUT</v>
      </c>
      <c r="C1452" s="128" t="e">
        <f>+VLOOKUP(U1452,Ходим!A:B,2,0)</f>
        <v>#N/A</v>
      </c>
      <c r="D1452" s="128" t="str">
        <f>IFERROR(VLOOKUP($B:$B,[20]свод!$A:$AB,3,0)," ")</f>
        <v>Чуст тумани</v>
      </c>
      <c r="E1452" s="7" t="s">
        <v>2589</v>
      </c>
      <c r="F1452" s="7" t="s">
        <v>8978</v>
      </c>
      <c r="G1452" s="134" t="str">
        <f t="shared" si="163"/>
        <v/>
      </c>
      <c r="H1452" s="134">
        <f t="shared" si="164"/>
        <v>1</v>
      </c>
      <c r="I1452" s="7" t="s">
        <v>155</v>
      </c>
      <c r="J1452" s="7" t="s">
        <v>11</v>
      </c>
      <c r="K1452" s="7"/>
      <c r="L1452" s="7" t="s">
        <v>168</v>
      </c>
      <c r="M1452" s="7" t="s">
        <v>5159</v>
      </c>
      <c r="N1452" s="7" t="s">
        <v>410</v>
      </c>
      <c r="O1452" s="7" t="s">
        <v>161</v>
      </c>
      <c r="P1452" s="7" t="s">
        <v>6948</v>
      </c>
      <c r="Q1452" s="129">
        <v>46199</v>
      </c>
      <c r="R1452" s="130">
        <f t="shared" si="162"/>
        <v>46209</v>
      </c>
      <c r="S1452" s="131">
        <f t="shared" si="166"/>
        <v>10</v>
      </c>
      <c r="T1452" s="7"/>
      <c r="U1452" s="7"/>
      <c r="V1452" s="7"/>
      <c r="W1452" s="7">
        <v>0</v>
      </c>
      <c r="X1452" s="132">
        <f t="shared" si="167"/>
        <v>7</v>
      </c>
      <c r="Y1452" s="133"/>
      <c r="Z1452" s="133"/>
      <c r="AA1452" s="133"/>
    </row>
    <row r="1453" spans="1:27" hidden="1" x14ac:dyDescent="0.25">
      <c r="A1453" s="127">
        <v>1600</v>
      </c>
      <c r="B1453" s="128" t="str">
        <f t="shared" si="165"/>
        <v>TORT</v>
      </c>
      <c r="C1453" s="128" t="str">
        <f>+VLOOKUP(U1453,Ходим!A:B,2,0)</f>
        <v>50908015920034</v>
      </c>
      <c r="D1453" s="128" t="str">
        <f>IFERROR(VLOOKUP($B:$B,[20]свод!$A:$AB,3,0)," ")</f>
        <v>Тўрақўрғон тумани</v>
      </c>
      <c r="E1453" s="7" t="s">
        <v>2590</v>
      </c>
      <c r="F1453" s="7" t="s">
        <v>8979</v>
      </c>
      <c r="G1453" s="134">
        <f t="shared" si="163"/>
        <v>1</v>
      </c>
      <c r="H1453" s="134" t="str">
        <f t="shared" si="164"/>
        <v/>
      </c>
      <c r="I1453" s="7" t="s">
        <v>158</v>
      </c>
      <c r="J1453" s="7" t="s">
        <v>172</v>
      </c>
      <c r="K1453" s="7"/>
      <c r="L1453" s="7" t="s">
        <v>167</v>
      </c>
      <c r="M1453" s="7" t="s">
        <v>5160</v>
      </c>
      <c r="N1453" s="7" t="s">
        <v>410</v>
      </c>
      <c r="O1453" s="7" t="s">
        <v>162</v>
      </c>
      <c r="P1453" s="7" t="s">
        <v>6352</v>
      </c>
      <c r="Q1453" s="129">
        <v>46199</v>
      </c>
      <c r="R1453" s="130">
        <f t="shared" si="162"/>
        <v>46204</v>
      </c>
      <c r="S1453" s="131">
        <f t="shared" si="166"/>
        <v>5</v>
      </c>
      <c r="T1453" s="7" t="s">
        <v>203</v>
      </c>
      <c r="U1453" s="7" t="s">
        <v>205</v>
      </c>
      <c r="V1453" s="7"/>
      <c r="W1453" s="7">
        <v>93.65</v>
      </c>
      <c r="X1453" s="132">
        <f t="shared" si="167"/>
        <v>10</v>
      </c>
      <c r="Y1453" s="133"/>
      <c r="Z1453" s="133"/>
      <c r="AA1453" s="133"/>
    </row>
    <row r="1454" spans="1:27" hidden="1" x14ac:dyDescent="0.25">
      <c r="A1454" s="127">
        <v>1601</v>
      </c>
      <c r="B1454" s="128" t="str">
        <f t="shared" si="165"/>
        <v>MINT</v>
      </c>
      <c r="C1454" s="128" t="str">
        <f>+VLOOKUP(U1454,Ходим!A:B,2,0)</f>
        <v>51604025990014</v>
      </c>
      <c r="D1454" s="128" t="str">
        <f>IFERROR(VLOOKUP($B:$B,[20]свод!$A:$AB,3,0)," ")</f>
        <v>Мингбулоқ тумани</v>
      </c>
      <c r="E1454" s="7" t="s">
        <v>2591</v>
      </c>
      <c r="F1454" s="7" t="s">
        <v>8980</v>
      </c>
      <c r="G1454" s="134" t="str">
        <f t="shared" si="163"/>
        <v/>
      </c>
      <c r="H1454" s="134">
        <f t="shared" si="164"/>
        <v>1</v>
      </c>
      <c r="I1454" s="7" t="s">
        <v>157</v>
      </c>
      <c r="J1454" s="7" t="s">
        <v>12</v>
      </c>
      <c r="K1454" s="7"/>
      <c r="L1454" s="7" t="s">
        <v>168</v>
      </c>
      <c r="M1454" s="7" t="s">
        <v>5161</v>
      </c>
      <c r="N1454" s="7" t="s">
        <v>170</v>
      </c>
      <c r="O1454" s="7" t="s">
        <v>161</v>
      </c>
      <c r="P1454" s="7" t="s">
        <v>6932</v>
      </c>
      <c r="Q1454" s="129">
        <v>46199</v>
      </c>
      <c r="R1454" s="130">
        <f t="shared" ref="R1454:R1516" si="168">WORKDAY(P1454,X1454,$Y$1:$AA$1)</f>
        <v>46203</v>
      </c>
      <c r="S1454" s="131">
        <f t="shared" si="166"/>
        <v>4</v>
      </c>
      <c r="T1454" s="7" t="s">
        <v>220</v>
      </c>
      <c r="U1454" s="7" t="s">
        <v>252</v>
      </c>
      <c r="V1454" s="7"/>
      <c r="W1454" s="7">
        <v>0</v>
      </c>
      <c r="X1454" s="132">
        <f t="shared" si="167"/>
        <v>7</v>
      </c>
      <c r="Y1454" s="133"/>
      <c r="Z1454" s="133"/>
      <c r="AA1454" s="133"/>
    </row>
    <row r="1455" spans="1:27" hidden="1" x14ac:dyDescent="0.25">
      <c r="A1455" s="127">
        <v>1602</v>
      </c>
      <c r="B1455" s="128" t="str">
        <f t="shared" si="165"/>
        <v>CHOT</v>
      </c>
      <c r="C1455" s="128" t="str">
        <f>+VLOOKUP(U1455,Ходим!A:B,2,0)</f>
        <v>50310015890046</v>
      </c>
      <c r="D1455" s="128" t="str">
        <f>IFERROR(VLOOKUP($B:$B,[20]свод!$A:$AB,3,0)," ")</f>
        <v>Чортоқ тумани</v>
      </c>
      <c r="E1455" s="7" t="s">
        <v>2592</v>
      </c>
      <c r="F1455" s="7" t="s">
        <v>8981</v>
      </c>
      <c r="G1455" s="134">
        <f t="shared" si="163"/>
        <v>1</v>
      </c>
      <c r="H1455" s="134" t="str">
        <f t="shared" si="164"/>
        <v/>
      </c>
      <c r="I1455" s="7" t="s">
        <v>158</v>
      </c>
      <c r="J1455" s="7" t="s">
        <v>2</v>
      </c>
      <c r="K1455" s="7"/>
      <c r="L1455" s="7" t="s">
        <v>167</v>
      </c>
      <c r="M1455" s="7" t="s">
        <v>5162</v>
      </c>
      <c r="N1455" s="7" t="s">
        <v>170</v>
      </c>
      <c r="O1455" s="7" t="s">
        <v>162</v>
      </c>
      <c r="P1455" s="7" t="s">
        <v>6877</v>
      </c>
      <c r="Q1455" s="129">
        <v>46199</v>
      </c>
      <c r="R1455" s="130">
        <f t="shared" si="168"/>
        <v>46212</v>
      </c>
      <c r="S1455" s="131">
        <f t="shared" si="166"/>
        <v>13</v>
      </c>
      <c r="T1455" s="7" t="s">
        <v>184</v>
      </c>
      <c r="U1455" s="7" t="s">
        <v>404</v>
      </c>
      <c r="V1455" s="7"/>
      <c r="W1455" s="7">
        <v>0</v>
      </c>
      <c r="X1455" s="132">
        <f t="shared" si="167"/>
        <v>10</v>
      </c>
      <c r="Y1455" s="133"/>
      <c r="Z1455" s="133"/>
      <c r="AA1455" s="133"/>
    </row>
    <row r="1456" spans="1:27" x14ac:dyDescent="0.25">
      <c r="A1456" s="127">
        <v>1603</v>
      </c>
      <c r="B1456" s="128" t="str">
        <f t="shared" si="165"/>
        <v>KSST</v>
      </c>
      <c r="C1456" s="128" t="str">
        <f>+VLOOKUP(U1456,Ходим!A:B,2,0)</f>
        <v>30703792190108</v>
      </c>
      <c r="D1456" s="128" t="str">
        <f>IFERROR(VLOOKUP($B:$B,[20]свод!$A:$AB,3,0)," ")</f>
        <v>Косонсой тумани</v>
      </c>
      <c r="E1456" s="7" t="s">
        <v>2593</v>
      </c>
      <c r="F1456" s="7" t="s">
        <v>8982</v>
      </c>
      <c r="G1456" s="134">
        <f t="shared" si="163"/>
        <v>1</v>
      </c>
      <c r="H1456" s="134" t="str">
        <f t="shared" si="164"/>
        <v/>
      </c>
      <c r="I1456" s="7" t="s">
        <v>158</v>
      </c>
      <c r="J1456" s="7" t="s">
        <v>1</v>
      </c>
      <c r="K1456" s="7"/>
      <c r="L1456" s="7" t="s">
        <v>167</v>
      </c>
      <c r="M1456" s="7" t="s">
        <v>5163</v>
      </c>
      <c r="N1456" s="7" t="s">
        <v>170</v>
      </c>
      <c r="O1456" s="7" t="s">
        <v>162</v>
      </c>
      <c r="P1456" s="7" t="s">
        <v>6441</v>
      </c>
      <c r="Q1456" s="129">
        <v>46199</v>
      </c>
      <c r="R1456" s="130">
        <f t="shared" si="168"/>
        <v>46199</v>
      </c>
      <c r="S1456" s="131">
        <f t="shared" si="166"/>
        <v>0</v>
      </c>
      <c r="T1456" s="7" t="s">
        <v>180</v>
      </c>
      <c r="U1456" s="7" t="s">
        <v>231</v>
      </c>
      <c r="V1456" s="7"/>
      <c r="W1456" s="7">
        <v>329.34</v>
      </c>
      <c r="X1456" s="132">
        <f t="shared" si="167"/>
        <v>10</v>
      </c>
      <c r="Y1456" s="133"/>
      <c r="Z1456" s="133"/>
      <c r="AA1456" s="133"/>
    </row>
    <row r="1457" spans="1:27" x14ac:dyDescent="0.25">
      <c r="A1457" s="127">
        <v>1604</v>
      </c>
      <c r="B1457" s="128" t="str">
        <f t="shared" si="165"/>
        <v>KSST</v>
      </c>
      <c r="C1457" s="128" t="str">
        <f>+VLOOKUP(U1457,Ходим!A:B,2,0)</f>
        <v>50709025980034</v>
      </c>
      <c r="D1457" s="128" t="str">
        <f>IFERROR(VLOOKUP($B:$B,[20]свод!$A:$AB,3,0)," ")</f>
        <v>Косонсой тумани</v>
      </c>
      <c r="E1457" s="7" t="s">
        <v>2594</v>
      </c>
      <c r="F1457" s="7" t="s">
        <v>8983</v>
      </c>
      <c r="G1457" s="134">
        <f t="shared" si="163"/>
        <v>1</v>
      </c>
      <c r="H1457" s="134" t="str">
        <f t="shared" si="164"/>
        <v/>
      </c>
      <c r="I1457" s="7" t="s">
        <v>158</v>
      </c>
      <c r="J1457" s="7" t="s">
        <v>1</v>
      </c>
      <c r="K1457" s="7"/>
      <c r="L1457" s="7" t="s">
        <v>167</v>
      </c>
      <c r="M1457" s="7" t="s">
        <v>5164</v>
      </c>
      <c r="N1457" s="7" t="s">
        <v>170</v>
      </c>
      <c r="O1457" s="7" t="s">
        <v>162</v>
      </c>
      <c r="P1457" s="7" t="s">
        <v>6441</v>
      </c>
      <c r="Q1457" s="129">
        <v>46199</v>
      </c>
      <c r="R1457" s="130">
        <f t="shared" si="168"/>
        <v>46199</v>
      </c>
      <c r="S1457" s="131">
        <f t="shared" si="166"/>
        <v>0</v>
      </c>
      <c r="T1457" s="7" t="s">
        <v>180</v>
      </c>
      <c r="U1457" s="7" t="s">
        <v>286</v>
      </c>
      <c r="V1457" s="7"/>
      <c r="W1457" s="7">
        <v>253.33</v>
      </c>
      <c r="X1457" s="132">
        <f t="shared" si="167"/>
        <v>10</v>
      </c>
      <c r="Y1457" s="133"/>
      <c r="Z1457" s="133"/>
      <c r="AA1457" s="133"/>
    </row>
    <row r="1458" spans="1:27" hidden="1" x14ac:dyDescent="0.25">
      <c r="A1458" s="127">
        <v>1605</v>
      </c>
      <c r="B1458" s="128" t="str">
        <f t="shared" si="165"/>
        <v>NORT</v>
      </c>
      <c r="C1458" s="128" t="str">
        <f>+VLOOKUP(U1458,Ходим!A:B,2,0)</f>
        <v>51304005900090</v>
      </c>
      <c r="D1458" s="128" t="str">
        <f>IFERROR(VLOOKUP($B:$B,[20]свод!$A:$AB,3,0)," ")</f>
        <v>Норин тумани</v>
      </c>
      <c r="E1458" s="7" t="s">
        <v>2595</v>
      </c>
      <c r="F1458" s="7" t="s">
        <v>8984</v>
      </c>
      <c r="G1458" s="134">
        <f t="shared" ref="G1458:G1520" si="169">IF(OR(
I1458="Turar joy obyektning kadastr pasportini shakllantirish va davlat ro'yxatidan o'tkazish",
I1458="Turar kompozit"
),
1,
IF(OR(
I1458="Noturar kompozit",
I1458="Avtoyo'l va suv xo'jaligi obyektining kadastr pasportini shakllantirish va ro'yxatga olish",
I1458="Noturar obyektning kadastr pasportining kadastr pasportini shakllantirish va davlat ro'yxatidan o'tkazish"
),
"",
IF(OR(
I1458="Notarius uchun ma'lumotnoma (uz)",
I1458="Qurilishi tugallangan ko'chmas mulkni foydalanishga qabul qilish",
I1458="Umumiy foydalanishdagi ko'chmas mulk qismini yaratish",
I1458="Registratsiya (tashqi - UZKAD da bor)"
),
IF(OR(L1458="Turar yer maydoni",L1458="Yakka tartibdagi turar joy"),1,
IF(L1458="Noturar bino","",
IF(L1458="Noturar yer maydoni","",
IF(L1458="",IF(OR(O1458="Turar joy xizmati",O1458="Foydalanishga ruxsatnoma berish xizmati"),1,""),"")
))),
"")))</f>
        <v>1</v>
      </c>
      <c r="H1458" s="134" t="str">
        <f t="shared" ref="H1458:H1520" si="170">IF(OR(
I1458="Turar joy obyektning kadastr pasportini shakllantirish va davlat ro'yxatidan o'tkazish",
I1458="Turar kompozit"
),
"",
IF(OR(
I1458="Noturar kompozit",
I1458="Avtoyo'l va suv xo'jaligi obyektining kadastr pasportini shakllantirish va ro'yxatga olish",
I1458="Noturar obyektning kadastr pasportini shakllantirish va davlat ro'yxatidan o'tkazish"
),
1,
IF(OR(
I1458="Notarius uchun ma'lumotnoma (uz)",
I1458="Qurilishi tugallangan ko'chmas mulkni foydalanishga qabul qilish",
I1458="Umumiy foydalanishdagi ko'chmas mulk qismini yaratish",
I1458="Registratsiya (tashqi - UZKAD da bor)"
),
IF(OR(L1458="Turar yer maydoni",L1458="Yakka tartibdagi turar joy"),"",
IF(L1458="Noturar bino",1,
IF(L1458="Noturar yer maydoni",1,
IF(L1458="",IF(OR(O1458="Turar joy xizmati",O1458="Foydalanishga ruxsatnoma berish xizmati"),"",1),"")
))),
"")))</f>
        <v/>
      </c>
      <c r="I1458" s="7" t="s">
        <v>158</v>
      </c>
      <c r="J1458" s="7" t="s">
        <v>36</v>
      </c>
      <c r="K1458" s="7"/>
      <c r="L1458" s="7" t="s">
        <v>167</v>
      </c>
      <c r="M1458" s="7" t="s">
        <v>5165</v>
      </c>
      <c r="N1458" s="7" t="s">
        <v>170</v>
      </c>
      <c r="O1458" s="7" t="s">
        <v>162</v>
      </c>
      <c r="P1458" s="7" t="s">
        <v>6949</v>
      </c>
      <c r="Q1458" s="129">
        <v>46199</v>
      </c>
      <c r="R1458" s="130">
        <f t="shared" si="168"/>
        <v>46204</v>
      </c>
      <c r="S1458" s="131">
        <f t="shared" si="166"/>
        <v>5</v>
      </c>
      <c r="T1458" s="7" t="s">
        <v>210</v>
      </c>
      <c r="U1458" s="7" t="s">
        <v>336</v>
      </c>
      <c r="V1458" s="7"/>
      <c r="W1458" s="7">
        <v>171.45</v>
      </c>
      <c r="X1458" s="132">
        <f t="shared" si="167"/>
        <v>10</v>
      </c>
      <c r="Y1458" s="133"/>
      <c r="Z1458" s="133"/>
      <c r="AA1458" s="133"/>
    </row>
    <row r="1459" spans="1:27" hidden="1" x14ac:dyDescent="0.25">
      <c r="A1459" s="127">
        <v>1606</v>
      </c>
      <c r="B1459" s="128" t="str">
        <f t="shared" si="165"/>
        <v>UYCT</v>
      </c>
      <c r="C1459" s="128" t="str">
        <f>+VLOOKUP(U1459,Ходим!A:B,2,0)</f>
        <v>53007005930024</v>
      </c>
      <c r="D1459" s="128" t="str">
        <f>IFERROR(VLOOKUP($B:$B,[20]свод!$A:$AB,3,0)," ")</f>
        <v>Уйчи тумани</v>
      </c>
      <c r="E1459" s="7" t="s">
        <v>2596</v>
      </c>
      <c r="F1459" s="7" t="s">
        <v>8985</v>
      </c>
      <c r="G1459" s="134">
        <f t="shared" si="169"/>
        <v>1</v>
      </c>
      <c r="H1459" s="134" t="str">
        <f t="shared" si="170"/>
        <v/>
      </c>
      <c r="I1459" s="7" t="s">
        <v>158</v>
      </c>
      <c r="J1459" s="7" t="s">
        <v>2</v>
      </c>
      <c r="K1459" s="7"/>
      <c r="L1459" s="7"/>
      <c r="M1459" s="7"/>
      <c r="N1459" s="7" t="s">
        <v>170</v>
      </c>
      <c r="O1459" s="7" t="s">
        <v>162</v>
      </c>
      <c r="P1459" s="7" t="s">
        <v>6950</v>
      </c>
      <c r="Q1459" s="129">
        <v>46199</v>
      </c>
      <c r="R1459" s="130">
        <f t="shared" si="168"/>
        <v>46209</v>
      </c>
      <c r="S1459" s="131">
        <f t="shared" si="166"/>
        <v>10</v>
      </c>
      <c r="T1459" s="7" t="s">
        <v>947</v>
      </c>
      <c r="U1459" s="7" t="s">
        <v>378</v>
      </c>
      <c r="V1459" s="7"/>
      <c r="W1459" s="7"/>
      <c r="X1459" s="132">
        <f t="shared" si="167"/>
        <v>10</v>
      </c>
      <c r="Y1459" s="133"/>
      <c r="Z1459" s="133"/>
      <c r="AA1459" s="133"/>
    </row>
    <row r="1460" spans="1:27" hidden="1" x14ac:dyDescent="0.25">
      <c r="A1460" s="127">
        <v>1607</v>
      </c>
      <c r="B1460" s="128" t="str">
        <f t="shared" si="165"/>
        <v>NAMT</v>
      </c>
      <c r="C1460" s="128" t="str">
        <f>+VLOOKUP(U1460,Ходим!A:B,2,0)</f>
        <v>31702942090041</v>
      </c>
      <c r="D1460" s="128" t="str">
        <f>IFERROR(VLOOKUP($B:$B,[20]свод!$A:$AB,3,0)," ")</f>
        <v>Наманган тумани</v>
      </c>
      <c r="E1460" s="7" t="s">
        <v>2597</v>
      </c>
      <c r="F1460" s="7" t="s">
        <v>8986</v>
      </c>
      <c r="G1460" s="134" t="str">
        <f t="shared" si="169"/>
        <v/>
      </c>
      <c r="H1460" s="134">
        <f t="shared" si="170"/>
        <v>1</v>
      </c>
      <c r="I1460" s="7" t="s">
        <v>157</v>
      </c>
      <c r="J1460" s="7" t="s">
        <v>2</v>
      </c>
      <c r="K1460" s="7"/>
      <c r="L1460" s="7" t="s">
        <v>166</v>
      </c>
      <c r="M1460" s="7" t="s">
        <v>5166</v>
      </c>
      <c r="N1460" s="7" t="s">
        <v>170</v>
      </c>
      <c r="O1460" s="7" t="s">
        <v>161</v>
      </c>
      <c r="P1460" s="7" t="s">
        <v>6951</v>
      </c>
      <c r="Q1460" s="129">
        <v>46199</v>
      </c>
      <c r="R1460" s="130">
        <f t="shared" si="168"/>
        <v>46210</v>
      </c>
      <c r="S1460" s="131">
        <f t="shared" si="166"/>
        <v>11</v>
      </c>
      <c r="T1460" s="7" t="s">
        <v>193</v>
      </c>
      <c r="U1460" s="7" t="s">
        <v>194</v>
      </c>
      <c r="V1460" s="7"/>
      <c r="W1460" s="7">
        <v>404</v>
      </c>
      <c r="X1460" s="132">
        <f t="shared" si="167"/>
        <v>12</v>
      </c>
      <c r="Y1460" s="133"/>
      <c r="Z1460" s="133"/>
      <c r="AA1460" s="133"/>
    </row>
    <row r="1461" spans="1:27" hidden="1" x14ac:dyDescent="0.25">
      <c r="A1461" s="127">
        <v>1608</v>
      </c>
      <c r="B1461" s="128" t="str">
        <f t="shared" si="165"/>
        <v>NAMT</v>
      </c>
      <c r="C1461" s="128" t="str">
        <f>+VLOOKUP(U1461,Ходим!A:B,2,0)</f>
        <v>40306812090034</v>
      </c>
      <c r="D1461" s="128" t="str">
        <f>IFERROR(VLOOKUP($B:$B,[20]свод!$A:$AB,3,0)," ")</f>
        <v>Наманган тумани</v>
      </c>
      <c r="E1461" s="7" t="s">
        <v>2598</v>
      </c>
      <c r="F1461" s="7" t="s">
        <v>8987</v>
      </c>
      <c r="G1461" s="134" t="str">
        <f t="shared" si="169"/>
        <v/>
      </c>
      <c r="H1461" s="134">
        <f t="shared" si="170"/>
        <v>1</v>
      </c>
      <c r="I1461" s="7" t="s">
        <v>157</v>
      </c>
      <c r="J1461" s="7" t="s">
        <v>2</v>
      </c>
      <c r="K1461" s="7"/>
      <c r="L1461" s="7" t="s">
        <v>166</v>
      </c>
      <c r="M1461" s="7" t="s">
        <v>5167</v>
      </c>
      <c r="N1461" s="7" t="s">
        <v>170</v>
      </c>
      <c r="O1461" s="7" t="s">
        <v>161</v>
      </c>
      <c r="P1461" s="7" t="s">
        <v>6951</v>
      </c>
      <c r="Q1461" s="129">
        <v>46199</v>
      </c>
      <c r="R1461" s="130">
        <f t="shared" si="168"/>
        <v>46217</v>
      </c>
      <c r="S1461" s="131">
        <f t="shared" si="166"/>
        <v>18</v>
      </c>
      <c r="T1461" s="7" t="s">
        <v>197</v>
      </c>
      <c r="U1461" s="7" t="s">
        <v>273</v>
      </c>
      <c r="V1461" s="7"/>
      <c r="W1461" s="7">
        <v>1267</v>
      </c>
      <c r="X1461" s="132">
        <f t="shared" si="167"/>
        <v>17</v>
      </c>
      <c r="Y1461" s="133"/>
      <c r="Z1461" s="133"/>
      <c r="AA1461" s="133"/>
    </row>
    <row r="1462" spans="1:27" hidden="1" x14ac:dyDescent="0.25">
      <c r="A1462" s="127">
        <v>1609</v>
      </c>
      <c r="B1462" s="128" t="str">
        <f t="shared" si="165"/>
        <v>YGQT</v>
      </c>
      <c r="C1462" s="128" t="str">
        <f>+VLOOKUP(U1462,Ходим!A:B,2,0)</f>
        <v>50110025950020</v>
      </c>
      <c r="D1462" s="128" t="str">
        <f>IFERROR(VLOOKUP($B:$B,[20]свод!$A:$AB,3,0)," ")</f>
        <v>Янгиқўрғон тумани</v>
      </c>
      <c r="E1462" s="7" t="s">
        <v>2599</v>
      </c>
      <c r="F1462" s="7" t="s">
        <v>8988</v>
      </c>
      <c r="G1462" s="134" t="str">
        <f t="shared" si="169"/>
        <v/>
      </c>
      <c r="H1462" s="134">
        <f t="shared" si="170"/>
        <v>1</v>
      </c>
      <c r="I1462" s="7" t="s">
        <v>157</v>
      </c>
      <c r="J1462" s="7" t="s">
        <v>36</v>
      </c>
      <c r="K1462" s="7"/>
      <c r="L1462" s="7" t="s">
        <v>166</v>
      </c>
      <c r="M1462" s="7" t="s">
        <v>5168</v>
      </c>
      <c r="N1462" s="7" t="s">
        <v>410</v>
      </c>
      <c r="O1462" s="7" t="s">
        <v>161</v>
      </c>
      <c r="P1462" s="7" t="s">
        <v>6951</v>
      </c>
      <c r="Q1462" s="129">
        <v>46199</v>
      </c>
      <c r="R1462" s="130">
        <f t="shared" si="168"/>
        <v>46210</v>
      </c>
      <c r="S1462" s="131">
        <f t="shared" si="166"/>
        <v>11</v>
      </c>
      <c r="T1462" s="7" t="s">
        <v>255</v>
      </c>
      <c r="U1462" s="7" t="s">
        <v>208</v>
      </c>
      <c r="V1462" s="7"/>
      <c r="W1462" s="7">
        <v>142.30000000000001</v>
      </c>
      <c r="X1462" s="132">
        <f t="shared" si="167"/>
        <v>12</v>
      </c>
      <c r="Y1462" s="133"/>
      <c r="Z1462" s="133"/>
      <c r="AA1462" s="133"/>
    </row>
    <row r="1463" spans="1:27" hidden="1" x14ac:dyDescent="0.25">
      <c r="A1463" s="127">
        <v>1610</v>
      </c>
      <c r="B1463" s="128" t="str">
        <f t="shared" si="165"/>
        <v>POPT</v>
      </c>
      <c r="C1463" s="128" t="str">
        <f>+VLOOKUP(U1463,Ходим!A:B,2,0)</f>
        <v>31503892210028</v>
      </c>
      <c r="D1463" s="128" t="str">
        <f>IFERROR(VLOOKUP($B:$B,[20]свод!$A:$AB,3,0)," ")</f>
        <v>Поп тумани</v>
      </c>
      <c r="E1463" s="7" t="s">
        <v>2600</v>
      </c>
      <c r="F1463" s="7" t="s">
        <v>8989</v>
      </c>
      <c r="G1463" s="134" t="str">
        <f t="shared" si="169"/>
        <v/>
      </c>
      <c r="H1463" s="134">
        <f t="shared" si="170"/>
        <v>1</v>
      </c>
      <c r="I1463" s="7" t="s">
        <v>155</v>
      </c>
      <c r="J1463" s="7" t="s">
        <v>25</v>
      </c>
      <c r="K1463" s="7"/>
      <c r="L1463" s="7" t="s">
        <v>166</v>
      </c>
      <c r="M1463" s="7" t="s">
        <v>5169</v>
      </c>
      <c r="N1463" s="7" t="s">
        <v>410</v>
      </c>
      <c r="O1463" s="7" t="s">
        <v>163</v>
      </c>
      <c r="P1463" s="7" t="s">
        <v>6952</v>
      </c>
      <c r="Q1463" s="129">
        <v>46199</v>
      </c>
      <c r="R1463" s="130">
        <f t="shared" si="168"/>
        <v>46216</v>
      </c>
      <c r="S1463" s="131">
        <f t="shared" si="166"/>
        <v>17</v>
      </c>
      <c r="T1463" s="7" t="s">
        <v>240</v>
      </c>
      <c r="U1463" s="7" t="s">
        <v>285</v>
      </c>
      <c r="V1463" s="7"/>
      <c r="W1463" s="7">
        <v>164</v>
      </c>
      <c r="X1463" s="132">
        <f t="shared" si="167"/>
        <v>12</v>
      </c>
      <c r="Y1463" s="133"/>
      <c r="Z1463" s="133"/>
      <c r="AA1463" s="133"/>
    </row>
    <row r="1464" spans="1:27" hidden="1" x14ac:dyDescent="0.25">
      <c r="A1464" s="127">
        <v>1611</v>
      </c>
      <c r="B1464" s="128" t="str">
        <f t="shared" si="165"/>
        <v>NAMS</v>
      </c>
      <c r="C1464" s="128" t="str">
        <f>+VLOOKUP(U1464,Ходим!A:B,2,0)</f>
        <v>30304915960053</v>
      </c>
      <c r="D1464" s="128" t="str">
        <f>IFERROR(VLOOKUP($B:$B,[20]свод!$A:$AB,3,0)," ")</f>
        <v>Наманган шаҳар</v>
      </c>
      <c r="E1464" s="7" t="s">
        <v>2601</v>
      </c>
      <c r="F1464" s="7" t="s">
        <v>8990</v>
      </c>
      <c r="G1464" s="134" t="str">
        <f t="shared" si="169"/>
        <v/>
      </c>
      <c r="H1464" s="134">
        <f t="shared" si="170"/>
        <v>1</v>
      </c>
      <c r="I1464" s="7" t="s">
        <v>157</v>
      </c>
      <c r="J1464" s="7" t="s">
        <v>1</v>
      </c>
      <c r="K1464" s="7"/>
      <c r="L1464" s="7" t="s">
        <v>166</v>
      </c>
      <c r="M1464" s="7" t="s">
        <v>5170</v>
      </c>
      <c r="N1464" s="7" t="s">
        <v>170</v>
      </c>
      <c r="O1464" s="7" t="s">
        <v>161</v>
      </c>
      <c r="P1464" s="7" t="s">
        <v>6953</v>
      </c>
      <c r="Q1464" s="129">
        <v>46199</v>
      </c>
      <c r="R1464" s="130">
        <f t="shared" si="168"/>
        <v>46206</v>
      </c>
      <c r="S1464" s="131">
        <f t="shared" si="166"/>
        <v>7</v>
      </c>
      <c r="T1464" s="7" t="s">
        <v>227</v>
      </c>
      <c r="U1464" s="7" t="s">
        <v>314</v>
      </c>
      <c r="V1464" s="7"/>
      <c r="W1464" s="7">
        <v>568.03</v>
      </c>
      <c r="X1464" s="132">
        <f t="shared" si="167"/>
        <v>12</v>
      </c>
      <c r="Y1464" s="133"/>
      <c r="Z1464" s="133"/>
      <c r="AA1464" s="133"/>
    </row>
    <row r="1465" spans="1:27" x14ac:dyDescent="0.25">
      <c r="A1465" s="127">
        <v>1612</v>
      </c>
      <c r="B1465" s="128" t="str">
        <f t="shared" si="165"/>
        <v>YGQT</v>
      </c>
      <c r="C1465" s="128" t="str">
        <f>+VLOOKUP(U1465,Ходим!A:B,2,0)</f>
        <v>33103892160125</v>
      </c>
      <c r="D1465" s="128" t="str">
        <f>IFERROR(VLOOKUP($B:$B,[20]свод!$A:$AB,3,0)," ")</f>
        <v>Янгиқўрғон тумани</v>
      </c>
      <c r="E1465" s="7" t="s">
        <v>2602</v>
      </c>
      <c r="F1465" s="7" t="s">
        <v>8991</v>
      </c>
      <c r="G1465" s="134" t="str">
        <f t="shared" si="169"/>
        <v/>
      </c>
      <c r="H1465" s="134">
        <f t="shared" si="170"/>
        <v>1</v>
      </c>
      <c r="I1465" s="7" t="s">
        <v>157</v>
      </c>
      <c r="J1465" s="7" t="s">
        <v>2</v>
      </c>
      <c r="K1465" s="7"/>
      <c r="L1465" s="7"/>
      <c r="M1465" s="7"/>
      <c r="N1465" s="7" t="s">
        <v>410</v>
      </c>
      <c r="O1465" s="7" t="s">
        <v>161</v>
      </c>
      <c r="P1465" s="7" t="s">
        <v>6954</v>
      </c>
      <c r="Q1465" s="129">
        <v>46199</v>
      </c>
      <c r="R1465" s="130">
        <f t="shared" si="168"/>
        <v>46199</v>
      </c>
      <c r="S1465" s="131">
        <f t="shared" si="166"/>
        <v>0</v>
      </c>
      <c r="T1465" s="7" t="s">
        <v>255</v>
      </c>
      <c r="U1465" s="7" t="s">
        <v>183</v>
      </c>
      <c r="V1465" s="7"/>
      <c r="W1465" s="7"/>
      <c r="X1465" s="132">
        <f t="shared" si="167"/>
        <v>10</v>
      </c>
      <c r="Y1465" s="133"/>
      <c r="Z1465" s="133"/>
      <c r="AA1465" s="133"/>
    </row>
    <row r="1466" spans="1:27" hidden="1" x14ac:dyDescent="0.25">
      <c r="A1466" s="127">
        <v>1613</v>
      </c>
      <c r="B1466" s="128" t="str">
        <f t="shared" si="165"/>
        <v>YGQT</v>
      </c>
      <c r="C1466" s="128" t="e">
        <f>+VLOOKUP(U1466,Ходим!A:B,2,0)</f>
        <v>#N/A</v>
      </c>
      <c r="D1466" s="128" t="str">
        <f>IFERROR(VLOOKUP($B:$B,[20]свод!$A:$AB,3,0)," ")</f>
        <v>Янгиқўрғон тумани</v>
      </c>
      <c r="E1466" s="7" t="s">
        <v>2603</v>
      </c>
      <c r="F1466" s="7" t="s">
        <v>8992</v>
      </c>
      <c r="G1466" s="134">
        <f t="shared" si="169"/>
        <v>1</v>
      </c>
      <c r="H1466" s="134" t="str">
        <f t="shared" si="170"/>
        <v/>
      </c>
      <c r="I1466" s="7" t="s">
        <v>156</v>
      </c>
      <c r="J1466" s="7" t="s">
        <v>21</v>
      </c>
      <c r="K1466" s="7"/>
      <c r="L1466" s="7"/>
      <c r="M1466" s="7"/>
      <c r="N1466" s="7" t="s">
        <v>410</v>
      </c>
      <c r="O1466" s="7" t="s">
        <v>162</v>
      </c>
      <c r="P1466" s="7" t="s">
        <v>6955</v>
      </c>
      <c r="Q1466" s="129">
        <v>46199</v>
      </c>
      <c r="R1466" s="130">
        <f t="shared" si="168"/>
        <v>46212</v>
      </c>
      <c r="S1466" s="131">
        <f t="shared" si="166"/>
        <v>13</v>
      </c>
      <c r="T1466" s="7" t="s">
        <v>182</v>
      </c>
      <c r="U1466" s="7"/>
      <c r="V1466" s="7"/>
      <c r="W1466" s="7"/>
      <c r="X1466" s="132">
        <f t="shared" si="167"/>
        <v>10</v>
      </c>
      <c r="Y1466" s="133"/>
      <c r="Z1466" s="133"/>
      <c r="AA1466" s="133"/>
    </row>
    <row r="1467" spans="1:27" x14ac:dyDescent="0.25">
      <c r="A1467" s="127">
        <v>1614</v>
      </c>
      <c r="B1467" s="128" t="str">
        <f t="shared" si="165"/>
        <v>KSST</v>
      </c>
      <c r="C1467" s="128" t="str">
        <f>+VLOOKUP(U1467,Ходим!A:B,2,0)</f>
        <v>52812015980061</v>
      </c>
      <c r="D1467" s="128" t="str">
        <f>IFERROR(VLOOKUP($B:$B,[20]свод!$A:$AB,3,0)," ")</f>
        <v>Косонсой тумани</v>
      </c>
      <c r="E1467" s="7" t="s">
        <v>2604</v>
      </c>
      <c r="F1467" s="7" t="s">
        <v>8993</v>
      </c>
      <c r="G1467" s="134">
        <f t="shared" si="169"/>
        <v>1</v>
      </c>
      <c r="H1467" s="134" t="str">
        <f t="shared" si="170"/>
        <v/>
      </c>
      <c r="I1467" s="7" t="s">
        <v>158</v>
      </c>
      <c r="J1467" s="7" t="s">
        <v>1</v>
      </c>
      <c r="K1467" s="7"/>
      <c r="L1467" s="7" t="s">
        <v>167</v>
      </c>
      <c r="M1467" s="7" t="s">
        <v>5171</v>
      </c>
      <c r="N1467" s="7" t="s">
        <v>170</v>
      </c>
      <c r="O1467" s="7" t="s">
        <v>162</v>
      </c>
      <c r="P1467" s="7" t="s">
        <v>6956</v>
      </c>
      <c r="Q1467" s="129">
        <v>46199</v>
      </c>
      <c r="R1467" s="130">
        <f t="shared" si="168"/>
        <v>46199</v>
      </c>
      <c r="S1467" s="131">
        <f t="shared" si="166"/>
        <v>0</v>
      </c>
      <c r="T1467" s="7" t="s">
        <v>180</v>
      </c>
      <c r="U1467" s="7" t="s">
        <v>307</v>
      </c>
      <c r="V1467" s="7"/>
      <c r="W1467" s="7">
        <v>208.84</v>
      </c>
      <c r="X1467" s="132">
        <f t="shared" si="167"/>
        <v>10</v>
      </c>
      <c r="Y1467" s="133"/>
      <c r="Z1467" s="133"/>
      <c r="AA1467" s="133"/>
    </row>
    <row r="1468" spans="1:27" hidden="1" x14ac:dyDescent="0.25">
      <c r="A1468" s="127">
        <v>1615</v>
      </c>
      <c r="B1468" s="128" t="str">
        <f t="shared" si="165"/>
        <v>CHOT</v>
      </c>
      <c r="C1468" s="128" t="str">
        <f>+VLOOKUP(U1468,Ходим!A:B,2,0)</f>
        <v>50310015890046</v>
      </c>
      <c r="D1468" s="128" t="str">
        <f>IFERROR(VLOOKUP($B:$B,[20]свод!$A:$AB,3,0)," ")</f>
        <v>Чортоқ тумани</v>
      </c>
      <c r="E1468" s="7" t="s">
        <v>2605</v>
      </c>
      <c r="F1468" s="7" t="s">
        <v>8994</v>
      </c>
      <c r="G1468" s="134" t="str">
        <f t="shared" si="169"/>
        <v/>
      </c>
      <c r="H1468" s="134">
        <f t="shared" si="170"/>
        <v>1</v>
      </c>
      <c r="I1468" s="7" t="s">
        <v>154</v>
      </c>
      <c r="J1468" s="7" t="s">
        <v>1</v>
      </c>
      <c r="K1468" s="7"/>
      <c r="L1468" s="7" t="s">
        <v>166</v>
      </c>
      <c r="M1468" s="7" t="s">
        <v>5172</v>
      </c>
      <c r="N1468" s="7" t="s">
        <v>170</v>
      </c>
      <c r="O1468" s="7" t="s">
        <v>161</v>
      </c>
      <c r="P1468" s="7" t="s">
        <v>6957</v>
      </c>
      <c r="Q1468" s="129">
        <v>46199</v>
      </c>
      <c r="R1468" s="130">
        <f t="shared" si="168"/>
        <v>46206</v>
      </c>
      <c r="S1468" s="131">
        <f t="shared" si="166"/>
        <v>7</v>
      </c>
      <c r="T1468" s="7" t="s">
        <v>184</v>
      </c>
      <c r="U1468" s="7" t="s">
        <v>404</v>
      </c>
      <c r="V1468" s="7"/>
      <c r="W1468" s="7">
        <v>37.5</v>
      </c>
      <c r="X1468" s="132">
        <f t="shared" si="167"/>
        <v>10</v>
      </c>
      <c r="Y1468" s="133"/>
      <c r="Z1468" s="133"/>
      <c r="AA1468" s="133"/>
    </row>
    <row r="1469" spans="1:27" hidden="1" x14ac:dyDescent="0.25">
      <c r="A1469" s="127">
        <v>1616</v>
      </c>
      <c r="B1469" s="128" t="str">
        <f t="shared" si="165"/>
        <v>NAMS</v>
      </c>
      <c r="C1469" s="128" t="str">
        <f>+VLOOKUP(U1469,Ходим!A:B,2,0)</f>
        <v>53008015960094</v>
      </c>
      <c r="D1469" s="128" t="str">
        <f>IFERROR(VLOOKUP($B:$B,[20]свод!$A:$AB,3,0)," ")</f>
        <v>Наманган шаҳар</v>
      </c>
      <c r="E1469" s="7" t="s">
        <v>2606</v>
      </c>
      <c r="F1469" s="7" t="s">
        <v>8995</v>
      </c>
      <c r="G1469" s="134">
        <f t="shared" si="169"/>
        <v>1</v>
      </c>
      <c r="H1469" s="134" t="str">
        <f t="shared" si="170"/>
        <v/>
      </c>
      <c r="I1469" s="7" t="s">
        <v>156</v>
      </c>
      <c r="J1469" s="7" t="s">
        <v>25</v>
      </c>
      <c r="K1469" s="7"/>
      <c r="L1469" s="7"/>
      <c r="M1469" s="7"/>
      <c r="N1469" s="7" t="s">
        <v>170</v>
      </c>
      <c r="O1469" s="7" t="s">
        <v>163</v>
      </c>
      <c r="P1469" s="7" t="s">
        <v>6957</v>
      </c>
      <c r="Q1469" s="129">
        <v>46199</v>
      </c>
      <c r="R1469" s="130">
        <f t="shared" si="168"/>
        <v>46206</v>
      </c>
      <c r="S1469" s="131">
        <f t="shared" si="166"/>
        <v>7</v>
      </c>
      <c r="T1469" s="7" t="s">
        <v>173</v>
      </c>
      <c r="U1469" s="7" t="s">
        <v>403</v>
      </c>
      <c r="V1469" s="7"/>
      <c r="W1469" s="7"/>
      <c r="X1469" s="132">
        <f t="shared" si="167"/>
        <v>10</v>
      </c>
      <c r="Y1469" s="133"/>
      <c r="Z1469" s="133"/>
      <c r="AA1469" s="133"/>
    </row>
    <row r="1470" spans="1:27" x14ac:dyDescent="0.25">
      <c r="A1470" s="127">
        <v>1617</v>
      </c>
      <c r="B1470" s="128" t="str">
        <f t="shared" si="165"/>
        <v>NAMS</v>
      </c>
      <c r="C1470" s="128" t="str">
        <f>+VLOOKUP(U1470,Ходим!A:B,2,0)</f>
        <v>32407752170062</v>
      </c>
      <c r="D1470" s="128" t="str">
        <f>IFERROR(VLOOKUP($B:$B,[20]свод!$A:$AB,3,0)," ")</f>
        <v>Наманган шаҳар</v>
      </c>
      <c r="E1470" s="7" t="s">
        <v>2607</v>
      </c>
      <c r="F1470" s="7" t="s">
        <v>8996</v>
      </c>
      <c r="G1470" s="134">
        <f t="shared" si="169"/>
        <v>1</v>
      </c>
      <c r="H1470" s="134" t="str">
        <f t="shared" si="170"/>
        <v/>
      </c>
      <c r="I1470" s="7" t="s">
        <v>158</v>
      </c>
      <c r="J1470" s="7" t="s">
        <v>2</v>
      </c>
      <c r="K1470" s="7"/>
      <c r="L1470" s="7" t="s">
        <v>167</v>
      </c>
      <c r="M1470" s="7" t="s">
        <v>5173</v>
      </c>
      <c r="N1470" s="7" t="s">
        <v>170</v>
      </c>
      <c r="O1470" s="7" t="s">
        <v>162</v>
      </c>
      <c r="P1470" s="7" t="s">
        <v>6958</v>
      </c>
      <c r="Q1470" s="129">
        <v>46199</v>
      </c>
      <c r="R1470" s="130">
        <f t="shared" si="168"/>
        <v>46199</v>
      </c>
      <c r="S1470" s="131">
        <f t="shared" si="166"/>
        <v>0</v>
      </c>
      <c r="T1470" s="7" t="s">
        <v>173</v>
      </c>
      <c r="U1470" s="7" t="s">
        <v>264</v>
      </c>
      <c r="V1470" s="7"/>
      <c r="W1470" s="7">
        <v>0</v>
      </c>
      <c r="X1470" s="132">
        <f t="shared" si="167"/>
        <v>10</v>
      </c>
      <c r="Y1470" s="133"/>
      <c r="Z1470" s="133"/>
      <c r="AA1470" s="133"/>
    </row>
    <row r="1471" spans="1:27" hidden="1" x14ac:dyDescent="0.25">
      <c r="A1471" s="127">
        <v>1618</v>
      </c>
      <c r="B1471" s="128" t="str">
        <f t="shared" si="165"/>
        <v>NAMS</v>
      </c>
      <c r="C1471" s="128" t="str">
        <f>+VLOOKUP(U1471,Ходим!A:B,2,0)</f>
        <v>31007955980023</v>
      </c>
      <c r="D1471" s="128" t="str">
        <f>IFERROR(VLOOKUP($B:$B,[20]свод!$A:$AB,3,0)," ")</f>
        <v>Наманган шаҳар</v>
      </c>
      <c r="E1471" s="7" t="s">
        <v>2608</v>
      </c>
      <c r="F1471" s="7" t="s">
        <v>8997</v>
      </c>
      <c r="G1471" s="134">
        <f t="shared" si="169"/>
        <v>1</v>
      </c>
      <c r="H1471" s="134" t="str">
        <f t="shared" si="170"/>
        <v/>
      </c>
      <c r="I1471" s="7" t="s">
        <v>156</v>
      </c>
      <c r="J1471" s="7" t="s">
        <v>25</v>
      </c>
      <c r="K1471" s="7"/>
      <c r="L1471" s="7" t="s">
        <v>167</v>
      </c>
      <c r="M1471" s="7" t="s">
        <v>5174</v>
      </c>
      <c r="N1471" s="7" t="s">
        <v>170</v>
      </c>
      <c r="O1471" s="7" t="s">
        <v>162</v>
      </c>
      <c r="P1471" s="7" t="s">
        <v>6957</v>
      </c>
      <c r="Q1471" s="129">
        <v>46199</v>
      </c>
      <c r="R1471" s="130">
        <f t="shared" si="168"/>
        <v>46206</v>
      </c>
      <c r="S1471" s="131">
        <f t="shared" si="166"/>
        <v>7</v>
      </c>
      <c r="T1471" s="7" t="s">
        <v>173</v>
      </c>
      <c r="U1471" s="7" t="s">
        <v>207</v>
      </c>
      <c r="V1471" s="7"/>
      <c r="W1471" s="7">
        <v>51.5</v>
      </c>
      <c r="X1471" s="132">
        <f t="shared" si="167"/>
        <v>10</v>
      </c>
      <c r="Y1471" s="133"/>
      <c r="Z1471" s="133"/>
      <c r="AA1471" s="133"/>
    </row>
    <row r="1472" spans="1:27" hidden="1" x14ac:dyDescent="0.25">
      <c r="A1472" s="127">
        <v>1619</v>
      </c>
      <c r="B1472" s="128" t="str">
        <f t="shared" si="165"/>
        <v>MINT</v>
      </c>
      <c r="C1472" s="128" t="str">
        <f>+VLOOKUP(U1472,Ходим!A:B,2,0)</f>
        <v>31205995920018</v>
      </c>
      <c r="D1472" s="128" t="str">
        <f>IFERROR(VLOOKUP($B:$B,[20]свод!$A:$AB,3,0)," ")</f>
        <v>Мингбулоқ тумани</v>
      </c>
      <c r="E1472" s="7" t="s">
        <v>2609</v>
      </c>
      <c r="F1472" s="7" t="s">
        <v>8998</v>
      </c>
      <c r="G1472" s="134">
        <f t="shared" si="169"/>
        <v>1</v>
      </c>
      <c r="H1472" s="134" t="str">
        <f t="shared" si="170"/>
        <v/>
      </c>
      <c r="I1472" s="7" t="s">
        <v>158</v>
      </c>
      <c r="J1472" s="7" t="s">
        <v>172</v>
      </c>
      <c r="K1472" s="7"/>
      <c r="L1472" s="7" t="s">
        <v>167</v>
      </c>
      <c r="M1472" s="7" t="s">
        <v>5175</v>
      </c>
      <c r="N1472" s="7" t="s">
        <v>170</v>
      </c>
      <c r="O1472" s="7" t="s">
        <v>162</v>
      </c>
      <c r="P1472" s="7" t="s">
        <v>6957</v>
      </c>
      <c r="Q1472" s="129">
        <v>46199</v>
      </c>
      <c r="R1472" s="130">
        <f t="shared" si="168"/>
        <v>46206</v>
      </c>
      <c r="S1472" s="131">
        <f t="shared" si="166"/>
        <v>7</v>
      </c>
      <c r="T1472" s="7" t="s">
        <v>220</v>
      </c>
      <c r="U1472" s="7" t="s">
        <v>271</v>
      </c>
      <c r="V1472" s="7"/>
      <c r="W1472" s="7">
        <v>363.68</v>
      </c>
      <c r="X1472" s="132">
        <f t="shared" si="167"/>
        <v>10</v>
      </c>
      <c r="Y1472" s="133"/>
      <c r="Z1472" s="133"/>
      <c r="AA1472" s="133"/>
    </row>
    <row r="1473" spans="1:27" hidden="1" x14ac:dyDescent="0.25">
      <c r="A1473" s="127">
        <v>1620</v>
      </c>
      <c r="B1473" s="128" t="str">
        <f t="shared" si="165"/>
        <v>POPT</v>
      </c>
      <c r="C1473" s="128" t="str">
        <f>+VLOOKUP(U1473,Ходим!A:B,2,0)</f>
        <v>51605005910024</v>
      </c>
      <c r="D1473" s="128" t="str">
        <f>IFERROR(VLOOKUP($B:$B,[20]свод!$A:$AB,3,0)," ")</f>
        <v>Поп тумани</v>
      </c>
      <c r="E1473" s="7" t="s">
        <v>2610</v>
      </c>
      <c r="F1473" s="7" t="s">
        <v>8999</v>
      </c>
      <c r="G1473" s="134">
        <f t="shared" si="169"/>
        <v>1</v>
      </c>
      <c r="H1473" s="134" t="str">
        <f t="shared" si="170"/>
        <v/>
      </c>
      <c r="I1473" s="7" t="s">
        <v>158</v>
      </c>
      <c r="J1473" s="7" t="s">
        <v>2</v>
      </c>
      <c r="K1473" s="7"/>
      <c r="L1473" s="7" t="s">
        <v>167</v>
      </c>
      <c r="M1473" s="7" t="s">
        <v>5176</v>
      </c>
      <c r="N1473" s="7" t="s">
        <v>170</v>
      </c>
      <c r="O1473" s="7" t="s">
        <v>162</v>
      </c>
      <c r="P1473" s="7" t="s">
        <v>6957</v>
      </c>
      <c r="Q1473" s="129">
        <v>46199</v>
      </c>
      <c r="R1473" s="130">
        <f t="shared" si="168"/>
        <v>46206</v>
      </c>
      <c r="S1473" s="131">
        <f t="shared" si="166"/>
        <v>7</v>
      </c>
      <c r="T1473" s="7" t="s">
        <v>214</v>
      </c>
      <c r="U1473" s="7" t="s">
        <v>241</v>
      </c>
      <c r="V1473" s="7"/>
      <c r="W1473" s="7">
        <v>43.65</v>
      </c>
      <c r="X1473" s="132">
        <f t="shared" si="167"/>
        <v>10</v>
      </c>
      <c r="Y1473" s="133"/>
      <c r="Z1473" s="133"/>
      <c r="AA1473" s="133"/>
    </row>
    <row r="1474" spans="1:27" hidden="1" x14ac:dyDescent="0.25">
      <c r="A1474" s="127">
        <v>1621</v>
      </c>
      <c r="B1474" s="128" t="str">
        <f t="shared" si="165"/>
        <v>NAMS</v>
      </c>
      <c r="C1474" s="128" t="str">
        <f>+VLOOKUP(U1474,Ходим!A:B,2,0)</f>
        <v>52601025870013</v>
      </c>
      <c r="D1474" s="128" t="str">
        <f>IFERROR(VLOOKUP($B:$B,[20]свод!$A:$AB,3,0)," ")</f>
        <v>Наманган шаҳар</v>
      </c>
      <c r="E1474" s="7" t="s">
        <v>2611</v>
      </c>
      <c r="F1474" s="7" t="s">
        <v>9000</v>
      </c>
      <c r="G1474" s="134">
        <f t="shared" si="169"/>
        <v>1</v>
      </c>
      <c r="H1474" s="134" t="str">
        <f t="shared" si="170"/>
        <v/>
      </c>
      <c r="I1474" s="7" t="s">
        <v>158</v>
      </c>
      <c r="J1474" s="7" t="s">
        <v>2</v>
      </c>
      <c r="K1474" s="7"/>
      <c r="L1474" s="7" t="s">
        <v>167</v>
      </c>
      <c r="M1474" s="7" t="s">
        <v>5177</v>
      </c>
      <c r="N1474" s="7" t="s">
        <v>170</v>
      </c>
      <c r="O1474" s="7" t="s">
        <v>162</v>
      </c>
      <c r="P1474" s="7" t="s">
        <v>6957</v>
      </c>
      <c r="Q1474" s="129">
        <v>46199</v>
      </c>
      <c r="R1474" s="130">
        <f t="shared" si="168"/>
        <v>46206</v>
      </c>
      <c r="S1474" s="131">
        <f t="shared" si="166"/>
        <v>7</v>
      </c>
      <c r="T1474" s="7" t="s">
        <v>173</v>
      </c>
      <c r="U1474" s="7" t="s">
        <v>405</v>
      </c>
      <c r="V1474" s="7"/>
      <c r="W1474" s="7">
        <v>206.8</v>
      </c>
      <c r="X1474" s="132">
        <f t="shared" si="167"/>
        <v>10</v>
      </c>
      <c r="Y1474" s="133"/>
      <c r="Z1474" s="133"/>
      <c r="AA1474" s="133"/>
    </row>
    <row r="1475" spans="1:27" hidden="1" x14ac:dyDescent="0.25">
      <c r="A1475" s="127">
        <v>1622</v>
      </c>
      <c r="B1475" s="128" t="str">
        <f t="shared" si="165"/>
        <v>NORT</v>
      </c>
      <c r="C1475" s="128" t="str">
        <f>+VLOOKUP(U1475,Ходим!A:B,2,0)</f>
        <v>32907985900051</v>
      </c>
      <c r="D1475" s="128" t="str">
        <f>IFERROR(VLOOKUP($B:$B,[20]свод!$A:$AB,3,0)," ")</f>
        <v>Норин тумани</v>
      </c>
      <c r="E1475" s="7" t="s">
        <v>2612</v>
      </c>
      <c r="F1475" s="7" t="s">
        <v>9001</v>
      </c>
      <c r="G1475" s="134">
        <f t="shared" si="169"/>
        <v>1</v>
      </c>
      <c r="H1475" s="134" t="str">
        <f t="shared" si="170"/>
        <v/>
      </c>
      <c r="I1475" s="7" t="s">
        <v>158</v>
      </c>
      <c r="J1475" s="7" t="s">
        <v>84</v>
      </c>
      <c r="K1475" s="7"/>
      <c r="L1475" s="7" t="s">
        <v>167</v>
      </c>
      <c r="M1475" s="7" t="s">
        <v>1054</v>
      </c>
      <c r="N1475" s="7" t="s">
        <v>170</v>
      </c>
      <c r="O1475" s="7" t="s">
        <v>162</v>
      </c>
      <c r="P1475" s="7" t="s">
        <v>6957</v>
      </c>
      <c r="Q1475" s="129">
        <v>46199</v>
      </c>
      <c r="R1475" s="130">
        <f t="shared" si="168"/>
        <v>46206</v>
      </c>
      <c r="S1475" s="131">
        <f t="shared" si="166"/>
        <v>7</v>
      </c>
      <c r="T1475" s="7" t="s">
        <v>210</v>
      </c>
      <c r="U1475" s="7" t="s">
        <v>293</v>
      </c>
      <c r="V1475" s="7"/>
      <c r="W1475" s="7">
        <v>245.3</v>
      </c>
      <c r="X1475" s="132">
        <f t="shared" si="167"/>
        <v>10</v>
      </c>
      <c r="Y1475" s="133"/>
      <c r="Z1475" s="133"/>
      <c r="AA1475" s="133"/>
    </row>
    <row r="1476" spans="1:27" x14ac:dyDescent="0.25">
      <c r="A1476" s="127">
        <v>1623</v>
      </c>
      <c r="B1476" s="128" t="str">
        <f t="shared" si="165"/>
        <v>UCQT</v>
      </c>
      <c r="C1476" s="128" t="str">
        <f>+VLOOKUP(U1476,Ходим!A:B,2,0)</f>
        <v>31206892150069</v>
      </c>
      <c r="D1476" s="128" t="str">
        <f>IFERROR(VLOOKUP($B:$B,[20]свод!$A:$AB,3,0)," ")</f>
        <v>Учқўрғон тумани</v>
      </c>
      <c r="E1476" s="7" t="s">
        <v>2613</v>
      </c>
      <c r="F1476" s="7" t="s">
        <v>9002</v>
      </c>
      <c r="G1476" s="134">
        <f t="shared" si="169"/>
        <v>1</v>
      </c>
      <c r="H1476" s="134" t="str">
        <f t="shared" si="170"/>
        <v/>
      </c>
      <c r="I1476" s="7" t="s">
        <v>158</v>
      </c>
      <c r="J1476" s="7" t="s">
        <v>134</v>
      </c>
      <c r="K1476" s="7"/>
      <c r="L1476" s="7" t="s">
        <v>167</v>
      </c>
      <c r="M1476" s="7" t="s">
        <v>5178</v>
      </c>
      <c r="N1476" s="7" t="s">
        <v>170</v>
      </c>
      <c r="O1476" s="7" t="s">
        <v>162</v>
      </c>
      <c r="P1476" s="7" t="s">
        <v>6959</v>
      </c>
      <c r="Q1476" s="129">
        <v>46199</v>
      </c>
      <c r="R1476" s="130">
        <f t="shared" si="168"/>
        <v>46199</v>
      </c>
      <c r="S1476" s="131">
        <f t="shared" si="166"/>
        <v>0</v>
      </c>
      <c r="T1476" s="7" t="s">
        <v>175</v>
      </c>
      <c r="U1476" s="7" t="s">
        <v>318</v>
      </c>
      <c r="V1476" s="7"/>
      <c r="W1476" s="7">
        <v>119.89</v>
      </c>
      <c r="X1476" s="132">
        <f t="shared" si="167"/>
        <v>10</v>
      </c>
      <c r="Y1476" s="133"/>
      <c r="Z1476" s="133"/>
      <c r="AA1476" s="133"/>
    </row>
    <row r="1477" spans="1:27" hidden="1" x14ac:dyDescent="0.25">
      <c r="A1477" s="127">
        <v>1624</v>
      </c>
      <c r="B1477" s="128" t="str">
        <f t="shared" si="165"/>
        <v>TORT</v>
      </c>
      <c r="C1477" s="128" t="str">
        <f>+VLOOKUP(U1477,Ходим!A:B,2,0)</f>
        <v>31306842130078</v>
      </c>
      <c r="D1477" s="128" t="str">
        <f>IFERROR(VLOOKUP($B:$B,[20]свод!$A:$AB,3,0)," ")</f>
        <v>Тўрақўрғон тумани</v>
      </c>
      <c r="E1477" s="7" t="s">
        <v>2614</v>
      </c>
      <c r="F1477" s="7" t="s">
        <v>9003</v>
      </c>
      <c r="G1477" s="134">
        <f t="shared" si="169"/>
        <v>1</v>
      </c>
      <c r="H1477" s="134" t="str">
        <f t="shared" si="170"/>
        <v/>
      </c>
      <c r="I1477" s="7" t="s">
        <v>158</v>
      </c>
      <c r="J1477" s="7" t="s">
        <v>1</v>
      </c>
      <c r="K1477" s="7"/>
      <c r="L1477" s="7" t="s">
        <v>167</v>
      </c>
      <c r="M1477" s="7" t="s">
        <v>5179</v>
      </c>
      <c r="N1477" s="7" t="s">
        <v>170</v>
      </c>
      <c r="O1477" s="7" t="s">
        <v>163</v>
      </c>
      <c r="P1477" s="7" t="s">
        <v>6349</v>
      </c>
      <c r="Q1477" s="129">
        <v>46199</v>
      </c>
      <c r="R1477" s="130">
        <f t="shared" si="168"/>
        <v>46204</v>
      </c>
      <c r="S1477" s="131">
        <f t="shared" si="166"/>
        <v>5</v>
      </c>
      <c r="T1477" s="7" t="s">
        <v>203</v>
      </c>
      <c r="U1477" s="7" t="s">
        <v>219</v>
      </c>
      <c r="V1477" s="7"/>
      <c r="W1477" s="7">
        <v>492.36</v>
      </c>
      <c r="X1477" s="132">
        <f t="shared" si="167"/>
        <v>10</v>
      </c>
      <c r="Y1477" s="133"/>
      <c r="Z1477" s="133"/>
      <c r="AA1477" s="133"/>
    </row>
    <row r="1478" spans="1:27" hidden="1" x14ac:dyDescent="0.25">
      <c r="A1478" s="127">
        <v>1625</v>
      </c>
      <c r="B1478" s="128" t="str">
        <f t="shared" si="165"/>
        <v>YGQT</v>
      </c>
      <c r="C1478" s="128" t="str">
        <f>+VLOOKUP(U1478,Ходим!A:B,2,0)</f>
        <v>31005985950058</v>
      </c>
      <c r="D1478" s="128" t="str">
        <f>IFERROR(VLOOKUP($B:$B,[20]свод!$A:$AB,3,0)," ")</f>
        <v>Янгиқўрғон тумани</v>
      </c>
      <c r="E1478" s="7" t="s">
        <v>2615</v>
      </c>
      <c r="F1478" s="7" t="s">
        <v>9004</v>
      </c>
      <c r="G1478" s="134">
        <f t="shared" si="169"/>
        <v>1</v>
      </c>
      <c r="H1478" s="134" t="str">
        <f t="shared" si="170"/>
        <v/>
      </c>
      <c r="I1478" s="7" t="s">
        <v>158</v>
      </c>
      <c r="J1478" s="7" t="s">
        <v>10</v>
      </c>
      <c r="K1478" s="7"/>
      <c r="L1478" s="7" t="s">
        <v>167</v>
      </c>
      <c r="M1478" s="7" t="s">
        <v>5180</v>
      </c>
      <c r="N1478" s="7" t="s">
        <v>170</v>
      </c>
      <c r="O1478" s="7" t="s">
        <v>162</v>
      </c>
      <c r="P1478" s="7" t="s">
        <v>6960</v>
      </c>
      <c r="Q1478" s="129">
        <v>46199</v>
      </c>
      <c r="R1478" s="130">
        <f t="shared" si="168"/>
        <v>46206</v>
      </c>
      <c r="S1478" s="131">
        <f t="shared" si="166"/>
        <v>7</v>
      </c>
      <c r="T1478" s="7" t="s">
        <v>182</v>
      </c>
      <c r="U1478" s="7" t="s">
        <v>311</v>
      </c>
      <c r="V1478" s="7"/>
      <c r="W1478" s="7">
        <v>333.64</v>
      </c>
      <c r="X1478" s="132">
        <f t="shared" si="167"/>
        <v>10</v>
      </c>
      <c r="Y1478" s="133"/>
      <c r="Z1478" s="133"/>
      <c r="AA1478" s="133"/>
    </row>
    <row r="1479" spans="1:27" hidden="1" x14ac:dyDescent="0.25">
      <c r="A1479" s="127">
        <v>1626</v>
      </c>
      <c r="B1479" s="128" t="str">
        <f t="shared" si="165"/>
        <v>KSST</v>
      </c>
      <c r="C1479" s="128" t="str">
        <f>+VLOOKUP(U1479,Ходим!A:B,2,0)</f>
        <v>52812015980061</v>
      </c>
      <c r="D1479" s="128" t="str">
        <f>IFERROR(VLOOKUP($B:$B,[20]свод!$A:$AB,3,0)," ")</f>
        <v>Косонсой тумани</v>
      </c>
      <c r="E1479" s="7" t="s">
        <v>2616</v>
      </c>
      <c r="F1479" s="7" t="s">
        <v>9005</v>
      </c>
      <c r="G1479" s="134">
        <f t="shared" si="169"/>
        <v>1</v>
      </c>
      <c r="H1479" s="134" t="str">
        <f t="shared" si="170"/>
        <v/>
      </c>
      <c r="I1479" s="7" t="s">
        <v>158</v>
      </c>
      <c r="J1479" s="7" t="s">
        <v>2</v>
      </c>
      <c r="K1479" s="7"/>
      <c r="L1479" s="7" t="s">
        <v>167</v>
      </c>
      <c r="M1479" s="7" t="s">
        <v>5181</v>
      </c>
      <c r="N1479" s="7" t="s">
        <v>170</v>
      </c>
      <c r="O1479" s="7" t="s">
        <v>162</v>
      </c>
      <c r="P1479" s="7" t="s">
        <v>6961</v>
      </c>
      <c r="Q1479" s="129">
        <v>46199</v>
      </c>
      <c r="R1479" s="130">
        <f t="shared" si="168"/>
        <v>46206</v>
      </c>
      <c r="S1479" s="131">
        <f t="shared" si="166"/>
        <v>7</v>
      </c>
      <c r="T1479" s="7" t="s">
        <v>180</v>
      </c>
      <c r="U1479" s="7" t="s">
        <v>307</v>
      </c>
      <c r="V1479" s="7"/>
      <c r="W1479" s="7">
        <v>164</v>
      </c>
      <c r="X1479" s="132">
        <f t="shared" si="167"/>
        <v>10</v>
      </c>
      <c r="Y1479" s="133"/>
      <c r="Z1479" s="133"/>
      <c r="AA1479" s="133"/>
    </row>
    <row r="1480" spans="1:27" hidden="1" x14ac:dyDescent="0.25">
      <c r="A1480" s="127">
        <v>1627</v>
      </c>
      <c r="B1480" s="128" t="str">
        <f t="shared" si="165"/>
        <v>NAMS</v>
      </c>
      <c r="C1480" s="128" t="str">
        <f>+VLOOKUP(U1480,Ходим!A:B,2,0)</f>
        <v>31608732170178</v>
      </c>
      <c r="D1480" s="128" t="str">
        <f>IFERROR(VLOOKUP($B:$B,[20]свод!$A:$AB,3,0)," ")</f>
        <v>Наманган шаҳар</v>
      </c>
      <c r="E1480" s="7" t="s">
        <v>2617</v>
      </c>
      <c r="F1480" s="7" t="s">
        <v>9006</v>
      </c>
      <c r="G1480" s="134">
        <f t="shared" si="169"/>
        <v>1</v>
      </c>
      <c r="H1480" s="134" t="str">
        <f t="shared" si="170"/>
        <v/>
      </c>
      <c r="I1480" s="7" t="s">
        <v>156</v>
      </c>
      <c r="J1480" s="7" t="s">
        <v>25</v>
      </c>
      <c r="K1480" s="7"/>
      <c r="L1480" s="7"/>
      <c r="M1480" s="7"/>
      <c r="N1480" s="7" t="s">
        <v>170</v>
      </c>
      <c r="O1480" s="7" t="s">
        <v>162</v>
      </c>
      <c r="P1480" s="7" t="s">
        <v>6961</v>
      </c>
      <c r="Q1480" s="129">
        <v>46199</v>
      </c>
      <c r="R1480" s="130">
        <f t="shared" si="168"/>
        <v>46206</v>
      </c>
      <c r="S1480" s="131">
        <f t="shared" si="166"/>
        <v>7</v>
      </c>
      <c r="T1480" s="7" t="s">
        <v>173</v>
      </c>
      <c r="U1480" s="7" t="s">
        <v>267</v>
      </c>
      <c r="V1480" s="7"/>
      <c r="W1480" s="7"/>
      <c r="X1480" s="132">
        <f t="shared" si="167"/>
        <v>10</v>
      </c>
      <c r="Y1480" s="133"/>
      <c r="Z1480" s="133"/>
      <c r="AA1480" s="133"/>
    </row>
    <row r="1481" spans="1:27" hidden="1" x14ac:dyDescent="0.25">
      <c r="A1481" s="127">
        <v>1628</v>
      </c>
      <c r="B1481" s="128" t="str">
        <f t="shared" si="165"/>
        <v>NAMT</v>
      </c>
      <c r="C1481" s="128">
        <f>+VLOOKUP(U1481,Ходим!A:B,2,0)</f>
        <v>52908045880018</v>
      </c>
      <c r="D1481" s="128" t="str">
        <f>IFERROR(VLOOKUP($B:$B,[20]свод!$A:$AB,3,0)," ")</f>
        <v>Наманган тумани</v>
      </c>
      <c r="E1481" s="7" t="s">
        <v>2618</v>
      </c>
      <c r="F1481" s="7" t="s">
        <v>9007</v>
      </c>
      <c r="G1481" s="134" t="str">
        <f t="shared" si="169"/>
        <v/>
      </c>
      <c r="H1481" s="134">
        <f t="shared" si="170"/>
        <v>1</v>
      </c>
      <c r="I1481" s="7" t="s">
        <v>157</v>
      </c>
      <c r="J1481" s="7" t="s">
        <v>2</v>
      </c>
      <c r="K1481" s="7"/>
      <c r="L1481" s="7" t="s">
        <v>166</v>
      </c>
      <c r="M1481" s="7" t="s">
        <v>5182</v>
      </c>
      <c r="N1481" s="7" t="s">
        <v>170</v>
      </c>
      <c r="O1481" s="7" t="s">
        <v>161</v>
      </c>
      <c r="P1481" s="7" t="s">
        <v>6962</v>
      </c>
      <c r="Q1481" s="129">
        <v>46199</v>
      </c>
      <c r="R1481" s="130">
        <f t="shared" si="168"/>
        <v>46206</v>
      </c>
      <c r="S1481" s="131">
        <f t="shared" si="166"/>
        <v>7</v>
      </c>
      <c r="T1481" s="7" t="s">
        <v>193</v>
      </c>
      <c r="U1481" s="7" t="s">
        <v>982</v>
      </c>
      <c r="V1481" s="7"/>
      <c r="W1481" s="7">
        <v>37.9</v>
      </c>
      <c r="X1481" s="132">
        <f t="shared" si="167"/>
        <v>10</v>
      </c>
      <c r="Y1481" s="133"/>
      <c r="Z1481" s="133"/>
      <c r="AA1481" s="133"/>
    </row>
    <row r="1482" spans="1:27" hidden="1" x14ac:dyDescent="0.25">
      <c r="A1482" s="127">
        <v>1629</v>
      </c>
      <c r="B1482" s="128" t="str">
        <f t="shared" si="165"/>
        <v>NAMS</v>
      </c>
      <c r="C1482" s="128" t="str">
        <f>+VLOOKUP(U1482,Ходим!A:B,2,0)</f>
        <v>50308015960081</v>
      </c>
      <c r="D1482" s="128" t="str">
        <f>IFERROR(VLOOKUP($B:$B,[20]свод!$A:$AB,3,0)," ")</f>
        <v>Наманган шаҳар</v>
      </c>
      <c r="E1482" s="7" t="s">
        <v>2619</v>
      </c>
      <c r="F1482" s="7" t="s">
        <v>9008</v>
      </c>
      <c r="G1482" s="134">
        <f t="shared" si="169"/>
        <v>1</v>
      </c>
      <c r="H1482" s="134" t="str">
        <f t="shared" si="170"/>
        <v/>
      </c>
      <c r="I1482" s="7" t="s">
        <v>156</v>
      </c>
      <c r="J1482" s="7" t="s">
        <v>25</v>
      </c>
      <c r="K1482" s="7"/>
      <c r="L1482" s="7" t="s">
        <v>167</v>
      </c>
      <c r="M1482" s="7" t="s">
        <v>1037</v>
      </c>
      <c r="N1482" s="7" t="s">
        <v>170</v>
      </c>
      <c r="O1482" s="7" t="s">
        <v>162</v>
      </c>
      <c r="P1482" s="7" t="s">
        <v>6717</v>
      </c>
      <c r="Q1482" s="129">
        <v>46199</v>
      </c>
      <c r="R1482" s="130">
        <f t="shared" si="168"/>
        <v>46206</v>
      </c>
      <c r="S1482" s="131">
        <f t="shared" si="166"/>
        <v>7</v>
      </c>
      <c r="T1482" s="7" t="s">
        <v>173</v>
      </c>
      <c r="U1482" s="7" t="s">
        <v>375</v>
      </c>
      <c r="V1482" s="7"/>
      <c r="W1482" s="7">
        <v>187.2</v>
      </c>
      <c r="X1482" s="132">
        <f t="shared" si="167"/>
        <v>10</v>
      </c>
      <c r="Y1482" s="133"/>
      <c r="Z1482" s="133"/>
      <c r="AA1482" s="133"/>
    </row>
    <row r="1483" spans="1:27" hidden="1" x14ac:dyDescent="0.25">
      <c r="A1483" s="127">
        <v>1630</v>
      </c>
      <c r="B1483" s="128" t="str">
        <f t="shared" si="165"/>
        <v>CHOT</v>
      </c>
      <c r="C1483" s="128" t="str">
        <f>+VLOOKUP(U1483,Ходим!A:B,2,0)</f>
        <v>30308922100022</v>
      </c>
      <c r="D1483" s="128" t="str">
        <f>IFERROR(VLOOKUP($B:$B,[20]свод!$A:$AB,3,0)," ")</f>
        <v>Чортоқ тумани</v>
      </c>
      <c r="E1483" s="7" t="s">
        <v>2620</v>
      </c>
      <c r="F1483" s="7" t="s">
        <v>9009</v>
      </c>
      <c r="G1483" s="134" t="str">
        <f t="shared" si="169"/>
        <v/>
      </c>
      <c r="H1483" s="134">
        <f t="shared" si="170"/>
        <v>1</v>
      </c>
      <c r="I1483" s="7" t="s">
        <v>157</v>
      </c>
      <c r="J1483" s="7" t="s">
        <v>2</v>
      </c>
      <c r="K1483" s="7"/>
      <c r="L1483" s="7" t="s">
        <v>166</v>
      </c>
      <c r="M1483" s="7" t="s">
        <v>5183</v>
      </c>
      <c r="N1483" s="7" t="s">
        <v>410</v>
      </c>
      <c r="O1483" s="7" t="s">
        <v>161</v>
      </c>
      <c r="P1483" s="7" t="s">
        <v>6335</v>
      </c>
      <c r="Q1483" s="129">
        <v>46199</v>
      </c>
      <c r="R1483" s="130">
        <f t="shared" si="168"/>
        <v>46213</v>
      </c>
      <c r="S1483" s="131">
        <f t="shared" si="166"/>
        <v>14</v>
      </c>
      <c r="T1483" s="7" t="s">
        <v>184</v>
      </c>
      <c r="U1483" s="7" t="s">
        <v>190</v>
      </c>
      <c r="V1483" s="7"/>
      <c r="W1483" s="7">
        <v>1332</v>
      </c>
      <c r="X1483" s="132">
        <f t="shared" si="167"/>
        <v>17</v>
      </c>
      <c r="Y1483" s="133"/>
      <c r="Z1483" s="133"/>
      <c r="AA1483" s="133"/>
    </row>
    <row r="1484" spans="1:27" hidden="1" x14ac:dyDescent="0.25">
      <c r="A1484" s="127">
        <v>1631</v>
      </c>
      <c r="B1484" s="128" t="str">
        <f t="shared" si="165"/>
        <v>NAMS</v>
      </c>
      <c r="C1484" s="128" t="str">
        <f>+VLOOKUP(U1484,Ходим!A:B,2,0)</f>
        <v>53008015960094</v>
      </c>
      <c r="D1484" s="128" t="str">
        <f>IFERROR(VLOOKUP($B:$B,[20]свод!$A:$AB,3,0)," ")</f>
        <v>Наманган шаҳар</v>
      </c>
      <c r="E1484" s="7" t="s">
        <v>2621</v>
      </c>
      <c r="F1484" s="7" t="s">
        <v>9010</v>
      </c>
      <c r="G1484" s="134">
        <f t="shared" si="169"/>
        <v>1</v>
      </c>
      <c r="H1484" s="134" t="str">
        <f t="shared" si="170"/>
        <v/>
      </c>
      <c r="I1484" s="7" t="s">
        <v>156</v>
      </c>
      <c r="J1484" s="7" t="s">
        <v>25</v>
      </c>
      <c r="K1484" s="7"/>
      <c r="L1484" s="7" t="s">
        <v>167</v>
      </c>
      <c r="M1484" s="7" t="s">
        <v>5184</v>
      </c>
      <c r="N1484" s="7" t="s">
        <v>410</v>
      </c>
      <c r="O1484" s="7" t="s">
        <v>162</v>
      </c>
      <c r="P1484" s="7" t="s">
        <v>6963</v>
      </c>
      <c r="Q1484" s="129">
        <v>46199</v>
      </c>
      <c r="R1484" s="130">
        <f t="shared" si="168"/>
        <v>46212</v>
      </c>
      <c r="S1484" s="131">
        <f t="shared" si="166"/>
        <v>13</v>
      </c>
      <c r="T1484" s="7" t="s">
        <v>173</v>
      </c>
      <c r="U1484" s="7" t="s">
        <v>403</v>
      </c>
      <c r="V1484" s="7"/>
      <c r="W1484" s="7">
        <v>235.83</v>
      </c>
      <c r="X1484" s="132">
        <f t="shared" si="167"/>
        <v>10</v>
      </c>
      <c r="Y1484" s="133"/>
      <c r="Z1484" s="133"/>
      <c r="AA1484" s="133"/>
    </row>
    <row r="1485" spans="1:27" hidden="1" x14ac:dyDescent="0.25">
      <c r="A1485" s="127">
        <v>1632</v>
      </c>
      <c r="B1485" s="128" t="str">
        <f t="shared" si="165"/>
        <v>TORT</v>
      </c>
      <c r="C1485" s="128" t="str">
        <f>+VLOOKUP(U1485,Ходим!A:B,2,0)</f>
        <v>40302922130046</v>
      </c>
      <c r="D1485" s="128" t="str">
        <f>IFERROR(VLOOKUP($B:$B,[20]свод!$A:$AB,3,0)," ")</f>
        <v>Тўрақўрғон тумани</v>
      </c>
      <c r="E1485" s="7" t="s">
        <v>2622</v>
      </c>
      <c r="F1485" s="7" t="s">
        <v>9011</v>
      </c>
      <c r="G1485" s="134">
        <f t="shared" si="169"/>
        <v>1</v>
      </c>
      <c r="H1485" s="134" t="str">
        <f t="shared" si="170"/>
        <v/>
      </c>
      <c r="I1485" s="7" t="s">
        <v>158</v>
      </c>
      <c r="J1485" s="7" t="s">
        <v>1</v>
      </c>
      <c r="K1485" s="7"/>
      <c r="L1485" s="7" t="s">
        <v>167</v>
      </c>
      <c r="M1485" s="7" t="s">
        <v>5185</v>
      </c>
      <c r="N1485" s="7" t="s">
        <v>170</v>
      </c>
      <c r="O1485" s="7" t="s">
        <v>162</v>
      </c>
      <c r="P1485" s="7" t="s">
        <v>6964</v>
      </c>
      <c r="Q1485" s="129">
        <v>46199</v>
      </c>
      <c r="R1485" s="130">
        <f t="shared" si="168"/>
        <v>46202</v>
      </c>
      <c r="S1485" s="131">
        <f t="shared" si="166"/>
        <v>3</v>
      </c>
      <c r="T1485" s="7" t="s">
        <v>203</v>
      </c>
      <c r="U1485" s="7" t="s">
        <v>258</v>
      </c>
      <c r="V1485" s="7"/>
      <c r="W1485" s="7">
        <v>168.79</v>
      </c>
      <c r="X1485" s="132">
        <f t="shared" si="167"/>
        <v>10</v>
      </c>
      <c r="Y1485" s="133"/>
      <c r="Z1485" s="133"/>
      <c r="AA1485" s="133"/>
    </row>
    <row r="1486" spans="1:27" hidden="1" x14ac:dyDescent="0.25">
      <c r="A1486" s="127">
        <v>1633</v>
      </c>
      <c r="B1486" s="128" t="str">
        <f t="shared" si="165"/>
        <v>POPT</v>
      </c>
      <c r="C1486" s="128" t="str">
        <f>+VLOOKUP(U1486,Ходим!A:B,2,0)</f>
        <v>32901912210017</v>
      </c>
      <c r="D1486" s="128" t="str">
        <f>IFERROR(VLOOKUP($B:$B,[20]свод!$A:$AB,3,0)," ")</f>
        <v>Поп тумани</v>
      </c>
      <c r="E1486" s="7" t="s">
        <v>2623</v>
      </c>
      <c r="F1486" s="7" t="s">
        <v>9012</v>
      </c>
      <c r="G1486" s="134" t="str">
        <f t="shared" si="169"/>
        <v/>
      </c>
      <c r="H1486" s="134">
        <f t="shared" si="170"/>
        <v>1</v>
      </c>
      <c r="I1486" s="7" t="s">
        <v>155</v>
      </c>
      <c r="J1486" s="7" t="s">
        <v>25</v>
      </c>
      <c r="K1486" s="7"/>
      <c r="L1486" s="7" t="s">
        <v>166</v>
      </c>
      <c r="M1486" s="7" t="s">
        <v>1000</v>
      </c>
      <c r="N1486" s="7" t="s">
        <v>410</v>
      </c>
      <c r="O1486" s="7" t="s">
        <v>161</v>
      </c>
      <c r="P1486" s="7" t="s">
        <v>6965</v>
      </c>
      <c r="Q1486" s="129">
        <v>46199</v>
      </c>
      <c r="R1486" s="130">
        <f t="shared" si="168"/>
        <v>46202</v>
      </c>
      <c r="S1486" s="131">
        <f t="shared" si="166"/>
        <v>3</v>
      </c>
      <c r="T1486" s="7" t="s">
        <v>214</v>
      </c>
      <c r="U1486" s="7" t="s">
        <v>215</v>
      </c>
      <c r="V1486" s="7"/>
      <c r="W1486" s="7">
        <v>0</v>
      </c>
      <c r="X1486" s="132">
        <f t="shared" si="167"/>
        <v>10</v>
      </c>
      <c r="Y1486" s="133"/>
      <c r="Z1486" s="133"/>
      <c r="AA1486" s="133"/>
    </row>
    <row r="1487" spans="1:27" x14ac:dyDescent="0.25">
      <c r="A1487" s="127">
        <v>1634</v>
      </c>
      <c r="B1487" s="128" t="str">
        <f t="shared" si="165"/>
        <v>TORT</v>
      </c>
      <c r="C1487" s="128" t="str">
        <f>+VLOOKUP(U1487,Ходим!A:B,2,0)</f>
        <v>50908015920034</v>
      </c>
      <c r="D1487" s="128" t="str">
        <f>IFERROR(VLOOKUP($B:$B,[20]свод!$A:$AB,3,0)," ")</f>
        <v>Тўрақўрғон тумани</v>
      </c>
      <c r="E1487" s="7" t="s">
        <v>2624</v>
      </c>
      <c r="F1487" s="7" t="s">
        <v>9013</v>
      </c>
      <c r="G1487" s="134">
        <f t="shared" si="169"/>
        <v>1</v>
      </c>
      <c r="H1487" s="134" t="str">
        <f t="shared" si="170"/>
        <v/>
      </c>
      <c r="I1487" s="7" t="s">
        <v>158</v>
      </c>
      <c r="J1487" s="7" t="s">
        <v>1</v>
      </c>
      <c r="K1487" s="7"/>
      <c r="L1487" s="7" t="s">
        <v>167</v>
      </c>
      <c r="M1487" s="7" t="s">
        <v>5186</v>
      </c>
      <c r="N1487" s="7" t="s">
        <v>170</v>
      </c>
      <c r="O1487" s="7" t="s">
        <v>162</v>
      </c>
      <c r="P1487" s="7" t="s">
        <v>6926</v>
      </c>
      <c r="Q1487" s="129">
        <v>46199</v>
      </c>
      <c r="R1487" s="130">
        <f t="shared" si="168"/>
        <v>46199</v>
      </c>
      <c r="S1487" s="131">
        <f t="shared" si="166"/>
        <v>0</v>
      </c>
      <c r="T1487" s="7" t="s">
        <v>203</v>
      </c>
      <c r="U1487" s="7" t="s">
        <v>205</v>
      </c>
      <c r="V1487" s="7"/>
      <c r="W1487" s="7">
        <v>346.37</v>
      </c>
      <c r="X1487" s="132">
        <f t="shared" si="167"/>
        <v>10</v>
      </c>
      <c r="Y1487" s="133"/>
      <c r="Z1487" s="133"/>
      <c r="AA1487" s="133"/>
    </row>
    <row r="1488" spans="1:27" hidden="1" x14ac:dyDescent="0.25">
      <c r="A1488" s="127">
        <v>1635</v>
      </c>
      <c r="B1488" s="128" t="str">
        <f t="shared" si="165"/>
        <v>NORT</v>
      </c>
      <c r="C1488" s="128" t="str">
        <f>+VLOOKUP(U1488,Ходим!A:B,2,0)</f>
        <v>30902932150046</v>
      </c>
      <c r="D1488" s="128" t="str">
        <f>IFERROR(VLOOKUP($B:$B,[20]свод!$A:$AB,3,0)," ")</f>
        <v>Норин тумани</v>
      </c>
      <c r="E1488" s="7" t="s">
        <v>2625</v>
      </c>
      <c r="F1488" s="7" t="s">
        <v>9014</v>
      </c>
      <c r="G1488" s="134">
        <f t="shared" si="169"/>
        <v>1</v>
      </c>
      <c r="H1488" s="134" t="str">
        <f t="shared" si="170"/>
        <v/>
      </c>
      <c r="I1488" s="7" t="s">
        <v>158</v>
      </c>
      <c r="J1488" s="7" t="s">
        <v>36</v>
      </c>
      <c r="K1488" s="7"/>
      <c r="L1488" s="7" t="s">
        <v>167</v>
      </c>
      <c r="M1488" s="7" t="s">
        <v>5187</v>
      </c>
      <c r="N1488" s="7" t="s">
        <v>170</v>
      </c>
      <c r="O1488" s="7" t="s">
        <v>162</v>
      </c>
      <c r="P1488" s="7" t="s">
        <v>6962</v>
      </c>
      <c r="Q1488" s="129">
        <v>46199</v>
      </c>
      <c r="R1488" s="130">
        <f t="shared" si="168"/>
        <v>46206</v>
      </c>
      <c r="S1488" s="131">
        <f t="shared" si="166"/>
        <v>7</v>
      </c>
      <c r="T1488" s="7" t="s">
        <v>210</v>
      </c>
      <c r="U1488" s="7" t="s">
        <v>245</v>
      </c>
      <c r="V1488" s="7"/>
      <c r="W1488" s="7">
        <v>101.28</v>
      </c>
      <c r="X1488" s="132">
        <f t="shared" si="167"/>
        <v>10</v>
      </c>
      <c r="Y1488" s="133"/>
      <c r="Z1488" s="133"/>
      <c r="AA1488" s="133"/>
    </row>
    <row r="1489" spans="1:27" hidden="1" x14ac:dyDescent="0.25">
      <c r="A1489" s="127">
        <v>1636</v>
      </c>
      <c r="B1489" s="128" t="str">
        <f t="shared" si="165"/>
        <v>YGQT</v>
      </c>
      <c r="C1489" s="128" t="str">
        <f>+VLOOKUP(U1489,Ходим!A:B,2,0)</f>
        <v>30502995950058</v>
      </c>
      <c r="D1489" s="128" t="str">
        <f>IFERROR(VLOOKUP($B:$B,[20]свод!$A:$AB,3,0)," ")</f>
        <v>Янгиқўрғон тумани</v>
      </c>
      <c r="E1489" s="7" t="s">
        <v>2626</v>
      </c>
      <c r="F1489" s="7" t="s">
        <v>9015</v>
      </c>
      <c r="G1489" s="134">
        <f t="shared" si="169"/>
        <v>1</v>
      </c>
      <c r="H1489" s="134" t="str">
        <f t="shared" si="170"/>
        <v/>
      </c>
      <c r="I1489" s="7" t="s">
        <v>156</v>
      </c>
      <c r="J1489" s="7" t="s">
        <v>25</v>
      </c>
      <c r="K1489" s="7"/>
      <c r="L1489" s="7" t="s">
        <v>167</v>
      </c>
      <c r="M1489" s="7" t="s">
        <v>5188</v>
      </c>
      <c r="N1489" s="7" t="s">
        <v>170</v>
      </c>
      <c r="O1489" s="7" t="s">
        <v>162</v>
      </c>
      <c r="P1489" s="7" t="s">
        <v>6717</v>
      </c>
      <c r="Q1489" s="129">
        <v>46199</v>
      </c>
      <c r="R1489" s="130">
        <f t="shared" si="168"/>
        <v>46206</v>
      </c>
      <c r="S1489" s="131">
        <f t="shared" si="166"/>
        <v>7</v>
      </c>
      <c r="T1489" s="7" t="s">
        <v>182</v>
      </c>
      <c r="U1489" s="7" t="s">
        <v>340</v>
      </c>
      <c r="V1489" s="7"/>
      <c r="W1489" s="7">
        <v>131.41</v>
      </c>
      <c r="X1489" s="132">
        <f t="shared" si="167"/>
        <v>10</v>
      </c>
      <c r="Y1489" s="133"/>
      <c r="Z1489" s="133"/>
      <c r="AA1489" s="133"/>
    </row>
    <row r="1490" spans="1:27" x14ac:dyDescent="0.25">
      <c r="A1490" s="127">
        <v>1637</v>
      </c>
      <c r="B1490" s="128" t="str">
        <f t="shared" si="165"/>
        <v>TORT</v>
      </c>
      <c r="C1490" s="128" t="str">
        <f>+VLOOKUP(U1490,Ходим!A:B,2,0)</f>
        <v>50908015920034</v>
      </c>
      <c r="D1490" s="128" t="str">
        <f>IFERROR(VLOOKUP($B:$B,[20]свод!$A:$AB,3,0)," ")</f>
        <v>Тўрақўрғон тумани</v>
      </c>
      <c r="E1490" s="7" t="s">
        <v>2627</v>
      </c>
      <c r="F1490" s="7" t="s">
        <v>9016</v>
      </c>
      <c r="G1490" s="134">
        <f t="shared" si="169"/>
        <v>1</v>
      </c>
      <c r="H1490" s="134" t="str">
        <f t="shared" si="170"/>
        <v/>
      </c>
      <c r="I1490" s="7" t="s">
        <v>158</v>
      </c>
      <c r="J1490" s="7" t="s">
        <v>1</v>
      </c>
      <c r="K1490" s="7"/>
      <c r="L1490" s="7" t="s">
        <v>167</v>
      </c>
      <c r="M1490" s="7" t="s">
        <v>5189</v>
      </c>
      <c r="N1490" s="7" t="s">
        <v>170</v>
      </c>
      <c r="O1490" s="7" t="s">
        <v>162</v>
      </c>
      <c r="P1490" s="7" t="s">
        <v>6927</v>
      </c>
      <c r="Q1490" s="129">
        <v>46199</v>
      </c>
      <c r="R1490" s="130">
        <f t="shared" si="168"/>
        <v>46199</v>
      </c>
      <c r="S1490" s="131">
        <f t="shared" si="166"/>
        <v>0</v>
      </c>
      <c r="T1490" s="7" t="s">
        <v>203</v>
      </c>
      <c r="U1490" s="7" t="s">
        <v>205</v>
      </c>
      <c r="V1490" s="7"/>
      <c r="W1490" s="7">
        <v>301.82</v>
      </c>
      <c r="X1490" s="132">
        <f t="shared" si="167"/>
        <v>10</v>
      </c>
      <c r="Y1490" s="133"/>
      <c r="Z1490" s="133"/>
      <c r="AA1490" s="133"/>
    </row>
    <row r="1491" spans="1:27" hidden="1" x14ac:dyDescent="0.25">
      <c r="A1491" s="127">
        <v>1638</v>
      </c>
      <c r="B1491" s="128" t="str">
        <f t="shared" si="165"/>
        <v>NAMS</v>
      </c>
      <c r="C1491" s="128" t="str">
        <f>+VLOOKUP(U1491,Ходим!A:B,2,0)</f>
        <v>30108932170088</v>
      </c>
      <c r="D1491" s="128" t="str">
        <f>IFERROR(VLOOKUP($B:$B,[20]свод!$A:$AB,3,0)," ")</f>
        <v>Наманган шаҳар</v>
      </c>
      <c r="E1491" s="7" t="s">
        <v>2628</v>
      </c>
      <c r="F1491" s="7" t="s">
        <v>9017</v>
      </c>
      <c r="G1491" s="134">
        <f t="shared" si="169"/>
        <v>1</v>
      </c>
      <c r="H1491" s="134" t="str">
        <f t="shared" si="170"/>
        <v/>
      </c>
      <c r="I1491" s="7" t="s">
        <v>156</v>
      </c>
      <c r="J1491" s="7" t="s">
        <v>22</v>
      </c>
      <c r="K1491" s="7"/>
      <c r="L1491" s="7"/>
      <c r="M1491" s="7"/>
      <c r="N1491" s="7" t="s">
        <v>170</v>
      </c>
      <c r="O1491" s="7" t="s">
        <v>162</v>
      </c>
      <c r="P1491" s="7" t="s">
        <v>6966</v>
      </c>
      <c r="Q1491" s="129">
        <v>46199</v>
      </c>
      <c r="R1491" s="130">
        <f t="shared" si="168"/>
        <v>46206</v>
      </c>
      <c r="S1491" s="131">
        <f t="shared" si="166"/>
        <v>7</v>
      </c>
      <c r="T1491" s="7" t="s">
        <v>173</v>
      </c>
      <c r="U1491" s="7" t="s">
        <v>329</v>
      </c>
      <c r="V1491" s="7"/>
      <c r="W1491" s="7"/>
      <c r="X1491" s="132">
        <f t="shared" si="167"/>
        <v>10</v>
      </c>
      <c r="Y1491" s="133"/>
      <c r="Z1491" s="133"/>
      <c r="AA1491" s="133"/>
    </row>
    <row r="1492" spans="1:27" hidden="1" x14ac:dyDescent="0.25">
      <c r="A1492" s="127">
        <v>1639</v>
      </c>
      <c r="B1492" s="128" t="str">
        <f t="shared" si="165"/>
        <v>NAMS</v>
      </c>
      <c r="C1492" s="128" t="str">
        <f>+VLOOKUP(U1492,Ходим!A:B,2,0)</f>
        <v>32207925880019</v>
      </c>
      <c r="D1492" s="128" t="str">
        <f>IFERROR(VLOOKUP($B:$B,[20]свод!$A:$AB,3,0)," ")</f>
        <v>Наманган шаҳар</v>
      </c>
      <c r="E1492" s="7" t="s">
        <v>2629</v>
      </c>
      <c r="F1492" s="7" t="s">
        <v>9018</v>
      </c>
      <c r="G1492" s="134">
        <f t="shared" si="169"/>
        <v>1</v>
      </c>
      <c r="H1492" s="134" t="str">
        <f t="shared" si="170"/>
        <v/>
      </c>
      <c r="I1492" s="7" t="s">
        <v>158</v>
      </c>
      <c r="J1492" s="7" t="s">
        <v>2</v>
      </c>
      <c r="K1492" s="7"/>
      <c r="L1492" s="7"/>
      <c r="M1492" s="7"/>
      <c r="N1492" s="7" t="s">
        <v>410</v>
      </c>
      <c r="O1492" s="7" t="s">
        <v>162</v>
      </c>
      <c r="P1492" s="7" t="s">
        <v>6966</v>
      </c>
      <c r="Q1492" s="129">
        <v>46199</v>
      </c>
      <c r="R1492" s="130">
        <f t="shared" si="168"/>
        <v>46206</v>
      </c>
      <c r="S1492" s="131">
        <f t="shared" si="166"/>
        <v>7</v>
      </c>
      <c r="T1492" s="7" t="s">
        <v>173</v>
      </c>
      <c r="U1492" s="7" t="s">
        <v>174</v>
      </c>
      <c r="V1492" s="7"/>
      <c r="W1492" s="7"/>
      <c r="X1492" s="132">
        <f t="shared" si="167"/>
        <v>10</v>
      </c>
      <c r="Y1492" s="133"/>
      <c r="Z1492" s="133"/>
      <c r="AA1492" s="133"/>
    </row>
    <row r="1493" spans="1:27" hidden="1" x14ac:dyDescent="0.25">
      <c r="A1493" s="127">
        <v>1640</v>
      </c>
      <c r="B1493" s="128" t="str">
        <f t="shared" si="165"/>
        <v>NAMS</v>
      </c>
      <c r="C1493" s="128" t="str">
        <f>+VLOOKUP(U1493,Ходим!A:B,2,0)</f>
        <v>53008015960094</v>
      </c>
      <c r="D1493" s="128" t="str">
        <f>IFERROR(VLOOKUP($B:$B,[20]свод!$A:$AB,3,0)," ")</f>
        <v>Наманган шаҳар</v>
      </c>
      <c r="E1493" s="7" t="s">
        <v>2630</v>
      </c>
      <c r="F1493" s="7" t="s">
        <v>9019</v>
      </c>
      <c r="G1493" s="134">
        <f t="shared" si="169"/>
        <v>1</v>
      </c>
      <c r="H1493" s="134" t="str">
        <f t="shared" si="170"/>
        <v/>
      </c>
      <c r="I1493" s="7" t="s">
        <v>156</v>
      </c>
      <c r="J1493" s="7" t="s">
        <v>25</v>
      </c>
      <c r="K1493" s="7"/>
      <c r="L1493" s="7"/>
      <c r="M1493" s="7"/>
      <c r="N1493" s="7" t="s">
        <v>170</v>
      </c>
      <c r="O1493" s="7" t="s">
        <v>162</v>
      </c>
      <c r="P1493" s="7" t="s">
        <v>6966</v>
      </c>
      <c r="Q1493" s="129">
        <v>46199</v>
      </c>
      <c r="R1493" s="130">
        <f t="shared" si="168"/>
        <v>46206</v>
      </c>
      <c r="S1493" s="131">
        <f t="shared" si="166"/>
        <v>7</v>
      </c>
      <c r="T1493" s="7" t="s">
        <v>173</v>
      </c>
      <c r="U1493" s="7" t="s">
        <v>403</v>
      </c>
      <c r="V1493" s="7"/>
      <c r="W1493" s="7"/>
      <c r="X1493" s="132">
        <f t="shared" si="167"/>
        <v>10</v>
      </c>
      <c r="Y1493" s="133"/>
      <c r="Z1493" s="133"/>
      <c r="AA1493" s="133"/>
    </row>
    <row r="1494" spans="1:27" hidden="1" x14ac:dyDescent="0.25">
      <c r="A1494" s="127">
        <v>1641</v>
      </c>
      <c r="B1494" s="128" t="str">
        <f t="shared" si="165"/>
        <v>UCQT</v>
      </c>
      <c r="C1494" s="128" t="str">
        <f>+VLOOKUP(U1494,Ходим!A:B,2,0)</f>
        <v>31206892150069</v>
      </c>
      <c r="D1494" s="128" t="str">
        <f>IFERROR(VLOOKUP($B:$B,[20]свод!$A:$AB,3,0)," ")</f>
        <v>Учқўрғон тумани</v>
      </c>
      <c r="E1494" s="7" t="s">
        <v>2631</v>
      </c>
      <c r="F1494" s="7" t="s">
        <v>9020</v>
      </c>
      <c r="G1494" s="134" t="str">
        <f t="shared" si="169"/>
        <v/>
      </c>
      <c r="H1494" s="134">
        <f t="shared" si="170"/>
        <v>1</v>
      </c>
      <c r="I1494" s="7" t="s">
        <v>157</v>
      </c>
      <c r="J1494" s="7" t="s">
        <v>172</v>
      </c>
      <c r="K1494" s="7"/>
      <c r="L1494" s="7"/>
      <c r="M1494" s="7"/>
      <c r="N1494" s="7" t="s">
        <v>170</v>
      </c>
      <c r="O1494" s="7" t="s">
        <v>161</v>
      </c>
      <c r="P1494" s="7" t="s">
        <v>6727</v>
      </c>
      <c r="Q1494" s="129">
        <v>46199</v>
      </c>
      <c r="R1494" s="130">
        <f t="shared" si="168"/>
        <v>46202</v>
      </c>
      <c r="S1494" s="131">
        <f t="shared" si="166"/>
        <v>3</v>
      </c>
      <c r="T1494" s="7" t="s">
        <v>175</v>
      </c>
      <c r="U1494" s="7" t="s">
        <v>318</v>
      </c>
      <c r="V1494" s="7"/>
      <c r="W1494" s="7"/>
      <c r="X1494" s="132">
        <f t="shared" si="167"/>
        <v>10</v>
      </c>
      <c r="Y1494" s="133"/>
      <c r="Z1494" s="133"/>
      <c r="AA1494" s="133"/>
    </row>
    <row r="1495" spans="1:27" x14ac:dyDescent="0.25">
      <c r="A1495" s="127">
        <v>1642</v>
      </c>
      <c r="B1495" s="128" t="str">
        <f t="shared" si="165"/>
        <v>NAMS</v>
      </c>
      <c r="C1495" s="128" t="str">
        <f>+VLOOKUP(U1495,Ходим!A:B,2,0)</f>
        <v>31309932190035</v>
      </c>
      <c r="D1495" s="128" t="str">
        <f>IFERROR(VLOOKUP($B:$B,[20]свод!$A:$AB,3,0)," ")</f>
        <v>Наманган шаҳар</v>
      </c>
      <c r="E1495" s="7" t="s">
        <v>2632</v>
      </c>
      <c r="F1495" s="7" t="s">
        <v>9021</v>
      </c>
      <c r="G1495" s="134">
        <f t="shared" si="169"/>
        <v>1</v>
      </c>
      <c r="H1495" s="134" t="str">
        <f t="shared" si="170"/>
        <v/>
      </c>
      <c r="I1495" s="7" t="s">
        <v>158</v>
      </c>
      <c r="J1495" s="7" t="s">
        <v>9</v>
      </c>
      <c r="K1495" s="7"/>
      <c r="L1495" s="7" t="s">
        <v>167</v>
      </c>
      <c r="M1495" s="7" t="s">
        <v>1075</v>
      </c>
      <c r="N1495" s="7" t="s">
        <v>170</v>
      </c>
      <c r="O1495" s="7" t="s">
        <v>162</v>
      </c>
      <c r="P1495" s="7" t="s">
        <v>6967</v>
      </c>
      <c r="Q1495" s="129">
        <v>46199</v>
      </c>
      <c r="R1495" s="130">
        <f t="shared" si="168"/>
        <v>46199</v>
      </c>
      <c r="S1495" s="131">
        <f t="shared" si="166"/>
        <v>0</v>
      </c>
      <c r="T1495" s="7" t="s">
        <v>983</v>
      </c>
      <c r="U1495" s="7" t="s">
        <v>237</v>
      </c>
      <c r="V1495" s="7" t="s">
        <v>965</v>
      </c>
      <c r="W1495" s="7">
        <v>492.83</v>
      </c>
      <c r="X1495" s="132">
        <f t="shared" si="167"/>
        <v>5</v>
      </c>
      <c r="Y1495" s="133"/>
      <c r="Z1495" s="133"/>
      <c r="AA1495" s="133"/>
    </row>
    <row r="1496" spans="1:27" hidden="1" x14ac:dyDescent="0.25">
      <c r="A1496" s="127">
        <v>1643</v>
      </c>
      <c r="B1496" s="128" t="str">
        <f t="shared" si="165"/>
        <v>NAMS</v>
      </c>
      <c r="C1496" s="128" t="str">
        <f>+VLOOKUP(U1496,Ходим!A:B,2,0)</f>
        <v>30108932170088</v>
      </c>
      <c r="D1496" s="128" t="str">
        <f>IFERROR(VLOOKUP($B:$B,[20]свод!$A:$AB,3,0)," ")</f>
        <v>Наманган шаҳар</v>
      </c>
      <c r="E1496" s="7" t="s">
        <v>2633</v>
      </c>
      <c r="F1496" s="7" t="s">
        <v>9022</v>
      </c>
      <c r="G1496" s="134">
        <f t="shared" si="169"/>
        <v>1</v>
      </c>
      <c r="H1496" s="134" t="str">
        <f t="shared" si="170"/>
        <v/>
      </c>
      <c r="I1496" s="7" t="s">
        <v>158</v>
      </c>
      <c r="J1496" s="7" t="s">
        <v>2</v>
      </c>
      <c r="K1496" s="7"/>
      <c r="L1496" s="7" t="s">
        <v>167</v>
      </c>
      <c r="M1496" s="7" t="s">
        <v>5190</v>
      </c>
      <c r="N1496" s="7" t="s">
        <v>170</v>
      </c>
      <c r="O1496" s="7" t="s">
        <v>162</v>
      </c>
      <c r="P1496" s="7" t="s">
        <v>6717</v>
      </c>
      <c r="Q1496" s="129">
        <v>46199</v>
      </c>
      <c r="R1496" s="130">
        <f t="shared" si="168"/>
        <v>46206</v>
      </c>
      <c r="S1496" s="131">
        <f t="shared" si="166"/>
        <v>7</v>
      </c>
      <c r="T1496" s="7" t="s">
        <v>185</v>
      </c>
      <c r="U1496" s="7" t="s">
        <v>329</v>
      </c>
      <c r="V1496" s="7"/>
      <c r="W1496" s="7">
        <v>435.09</v>
      </c>
      <c r="X1496" s="132">
        <f t="shared" si="167"/>
        <v>10</v>
      </c>
      <c r="Y1496" s="133"/>
      <c r="Z1496" s="133"/>
      <c r="AA1496" s="133"/>
    </row>
    <row r="1497" spans="1:27" hidden="1" x14ac:dyDescent="0.25">
      <c r="A1497" s="127">
        <v>1645</v>
      </c>
      <c r="B1497" s="128" t="str">
        <f t="shared" si="165"/>
        <v>TORT</v>
      </c>
      <c r="C1497" s="128" t="str">
        <f>+VLOOKUP(U1497,Ходим!A:B,2,0)</f>
        <v>31110892130070</v>
      </c>
      <c r="D1497" s="128" t="str">
        <f>IFERROR(VLOOKUP($B:$B,[20]свод!$A:$AB,3,0)," ")</f>
        <v>Тўрақўрғон тумани</v>
      </c>
      <c r="E1497" s="7" t="s">
        <v>2634</v>
      </c>
      <c r="F1497" s="7" t="s">
        <v>9023</v>
      </c>
      <c r="G1497" s="134" t="str">
        <f t="shared" si="169"/>
        <v/>
      </c>
      <c r="H1497" s="134">
        <f t="shared" si="170"/>
        <v>1</v>
      </c>
      <c r="I1497" s="7" t="s">
        <v>157</v>
      </c>
      <c r="J1497" s="7" t="s">
        <v>2</v>
      </c>
      <c r="K1497" s="7"/>
      <c r="L1497" s="7" t="s">
        <v>168</v>
      </c>
      <c r="M1497" s="7" t="s">
        <v>5191</v>
      </c>
      <c r="N1497" s="7" t="s">
        <v>170</v>
      </c>
      <c r="O1497" s="7" t="s">
        <v>161</v>
      </c>
      <c r="P1497" s="7" t="s">
        <v>6717</v>
      </c>
      <c r="Q1497" s="129">
        <v>46199</v>
      </c>
      <c r="R1497" s="130">
        <f t="shared" si="168"/>
        <v>46203</v>
      </c>
      <c r="S1497" s="131">
        <f t="shared" si="166"/>
        <v>4</v>
      </c>
      <c r="T1497" s="7" t="s">
        <v>203</v>
      </c>
      <c r="U1497" s="7" t="s">
        <v>297</v>
      </c>
      <c r="V1497" s="7"/>
      <c r="W1497" s="7">
        <v>0</v>
      </c>
      <c r="X1497" s="132">
        <f t="shared" si="167"/>
        <v>7</v>
      </c>
      <c r="Y1497" s="133"/>
      <c r="Z1497" s="133"/>
      <c r="AA1497" s="133"/>
    </row>
    <row r="1498" spans="1:27" hidden="1" x14ac:dyDescent="0.25">
      <c r="A1498" s="127">
        <v>1646</v>
      </c>
      <c r="B1498" s="128" t="str">
        <f t="shared" si="165"/>
        <v>YGQT</v>
      </c>
      <c r="C1498" s="128" t="str">
        <f>+VLOOKUP(U1498,Ходим!A:B,2,0)</f>
        <v>31501762160017</v>
      </c>
      <c r="D1498" s="128" t="str">
        <f>IFERROR(VLOOKUP($B:$B,[20]свод!$A:$AB,3,0)," ")</f>
        <v>Янгиқўрғон тумани</v>
      </c>
      <c r="E1498" s="7" t="s">
        <v>2635</v>
      </c>
      <c r="F1498" s="7" t="s">
        <v>9024</v>
      </c>
      <c r="G1498" s="134" t="str">
        <f t="shared" si="169"/>
        <v/>
      </c>
      <c r="H1498" s="134">
        <f t="shared" si="170"/>
        <v>1</v>
      </c>
      <c r="I1498" s="7" t="s">
        <v>157</v>
      </c>
      <c r="J1498" s="7" t="s">
        <v>12</v>
      </c>
      <c r="K1498" s="7"/>
      <c r="L1498" s="7" t="s">
        <v>168</v>
      </c>
      <c r="M1498" s="7" t="s">
        <v>5192</v>
      </c>
      <c r="N1498" s="7" t="s">
        <v>170</v>
      </c>
      <c r="O1498" s="7" t="s">
        <v>161</v>
      </c>
      <c r="P1498" s="7" t="s">
        <v>6717</v>
      </c>
      <c r="Q1498" s="129">
        <v>46199</v>
      </c>
      <c r="R1498" s="130">
        <f t="shared" si="168"/>
        <v>46203</v>
      </c>
      <c r="S1498" s="131">
        <f t="shared" si="166"/>
        <v>4</v>
      </c>
      <c r="T1498" s="7" t="s">
        <v>255</v>
      </c>
      <c r="U1498" s="7" t="s">
        <v>275</v>
      </c>
      <c r="V1498" s="7"/>
      <c r="W1498" s="7">
        <v>0</v>
      </c>
      <c r="X1498" s="132">
        <f t="shared" si="167"/>
        <v>7</v>
      </c>
      <c r="Y1498" s="133"/>
      <c r="Z1498" s="133"/>
      <c r="AA1498" s="133"/>
    </row>
    <row r="1499" spans="1:27" hidden="1" x14ac:dyDescent="0.25">
      <c r="A1499" s="127">
        <v>1647</v>
      </c>
      <c r="B1499" s="128" t="str">
        <f t="shared" si="165"/>
        <v>TORT</v>
      </c>
      <c r="C1499" s="128" t="str">
        <f>+VLOOKUP(U1499,Ходим!A:B,2,0)</f>
        <v>50908015920034</v>
      </c>
      <c r="D1499" s="128" t="str">
        <f>IFERROR(VLOOKUP($B:$B,[20]свод!$A:$AB,3,0)," ")</f>
        <v>Тўрақўрғон тумани</v>
      </c>
      <c r="E1499" s="7" t="s">
        <v>2636</v>
      </c>
      <c r="F1499" s="7" t="s">
        <v>9025</v>
      </c>
      <c r="G1499" s="134">
        <f t="shared" si="169"/>
        <v>1</v>
      </c>
      <c r="H1499" s="134" t="str">
        <f t="shared" si="170"/>
        <v/>
      </c>
      <c r="I1499" s="7" t="s">
        <v>158</v>
      </c>
      <c r="J1499" s="7" t="s">
        <v>2</v>
      </c>
      <c r="K1499" s="7"/>
      <c r="L1499" s="7" t="s">
        <v>167</v>
      </c>
      <c r="M1499" s="7" t="s">
        <v>5193</v>
      </c>
      <c r="N1499" s="7" t="s">
        <v>170</v>
      </c>
      <c r="O1499" s="7" t="s">
        <v>162</v>
      </c>
      <c r="P1499" s="7" t="s">
        <v>6968</v>
      </c>
      <c r="Q1499" s="129">
        <v>46199</v>
      </c>
      <c r="R1499" s="130">
        <f t="shared" si="168"/>
        <v>46210</v>
      </c>
      <c r="S1499" s="131">
        <f t="shared" si="166"/>
        <v>11</v>
      </c>
      <c r="T1499" s="7" t="s">
        <v>203</v>
      </c>
      <c r="U1499" s="7" t="s">
        <v>205</v>
      </c>
      <c r="V1499" s="7"/>
      <c r="W1499" s="7">
        <v>290.86</v>
      </c>
      <c r="X1499" s="132">
        <f t="shared" ref="X1499:X1559" si="171">IF(N1499="Kadastr muhandisi",3,
IF(N1499="UZKAD",5,
IF(V1499="FREE",5,
IF(I1499="Registratsiya (tashqi - UZKAD da bor)",1,
IF(I1499="Avtoyo'l va suv xo'jaligi obyektining kadastr pasportini shakllantirish va ro'yxatga olish",7,
IF(I1499="Notarius uchun ma'lumotnoma (uz)",1,
IF(I1499="Qurilishi tugallangan ko'chmas mulkni foydalanishga qabul qilish",10,
IF(OR(I1499="Turar joy obyektning kadastr pasportini shakllantirish va davlat ro'yxatidan o'tkazish",I1499="Turar kompozit"),
IF(L1499="Turar yer maydoni",7,10),
IF(OR(I1499="Noturar obyektning kadastr pasportini shakllantirish va davlat ro'yxatidan o'tkazish",I1499="Noturar kompozit"),
IF(O1499="Ko‘p yillik daraxtlar xizmati",15,
IF(OR(L1499="Noturar yer maydoni",L1499="Davlat tashkilotlaridan ijaraga olingan yer uchastkasi"),7,
IF(W1499&lt;100,10,IF(W1499&lt;=1000,12,IF(W1499&lt;=5000,17,IF(W1499&lt;=15000,22,IF(W1499&lt;=50000,28,37))))))),
IF(I1499="Umumiy foydalanishdagi ko'chmas mulk qismini yaratish",
IF(IF(TRIM(L1499)="",IF(OR(O1499="Turar joy xizmati",O1499="Yakka tartibdagi turar joy"),"Turar","Noturar"),IF(OR(L1499="Yakka tartibdagi turar joy",L1499="Turar joy xizmati"),"Turar","Noturar"))="Turar",
10,IF(W1499&lt;100,10,IF(W1499&lt;=1000,12,IF(W1499&lt;=5000,17,IF(W1499&lt;=15000,22,IF(W1499&lt;=50000,28,37)))))),
0))))))))))</f>
        <v>10</v>
      </c>
      <c r="Y1499" s="133"/>
      <c r="Z1499" s="133"/>
      <c r="AA1499" s="133"/>
    </row>
    <row r="1500" spans="1:27" x14ac:dyDescent="0.25">
      <c r="A1500" s="127">
        <v>1648</v>
      </c>
      <c r="B1500" s="128" t="str">
        <f t="shared" ref="B1500:B1560" si="172">LEFT(E1500,4)</f>
        <v>POPT</v>
      </c>
      <c r="C1500" s="128" t="str">
        <f>+VLOOKUP(U1500,Ходим!A:B,2,0)</f>
        <v>30201995910023</v>
      </c>
      <c r="D1500" s="128" t="str">
        <f>IFERROR(VLOOKUP($B:$B,[20]свод!$A:$AB,3,0)," ")</f>
        <v>Поп тумани</v>
      </c>
      <c r="E1500" s="7" t="s">
        <v>2637</v>
      </c>
      <c r="F1500" s="7" t="s">
        <v>9026</v>
      </c>
      <c r="G1500" s="134">
        <f t="shared" si="169"/>
        <v>1</v>
      </c>
      <c r="H1500" s="134" t="str">
        <f t="shared" si="170"/>
        <v/>
      </c>
      <c r="I1500" s="7" t="s">
        <v>156</v>
      </c>
      <c r="J1500" s="7" t="s">
        <v>25</v>
      </c>
      <c r="K1500" s="7"/>
      <c r="L1500" s="7"/>
      <c r="M1500" s="7"/>
      <c r="N1500" s="7" t="s">
        <v>410</v>
      </c>
      <c r="O1500" s="7" t="s">
        <v>162</v>
      </c>
      <c r="P1500" s="7" t="s">
        <v>6969</v>
      </c>
      <c r="Q1500" s="129">
        <v>46199</v>
      </c>
      <c r="R1500" s="130">
        <f t="shared" si="168"/>
        <v>46199</v>
      </c>
      <c r="S1500" s="131">
        <f t="shared" ref="S1500:S1560" si="173">R1500-Q1500</f>
        <v>0</v>
      </c>
      <c r="T1500" s="7" t="s">
        <v>214</v>
      </c>
      <c r="U1500" s="7" t="s">
        <v>353</v>
      </c>
      <c r="V1500" s="7"/>
      <c r="W1500" s="7"/>
      <c r="X1500" s="132">
        <f t="shared" si="171"/>
        <v>10</v>
      </c>
      <c r="Y1500" s="133"/>
      <c r="Z1500" s="133"/>
      <c r="AA1500" s="133"/>
    </row>
    <row r="1501" spans="1:27" x14ac:dyDescent="0.25">
      <c r="A1501" s="127">
        <v>1649</v>
      </c>
      <c r="B1501" s="128" t="str">
        <f t="shared" si="172"/>
        <v>POPT</v>
      </c>
      <c r="C1501" s="128" t="str">
        <f>+VLOOKUP(U1501,Ходим!A:B,2,0)</f>
        <v>30808922120014</v>
      </c>
      <c r="D1501" s="128" t="str">
        <f>IFERROR(VLOOKUP($B:$B,[20]свод!$A:$AB,3,0)," ")</f>
        <v>Поп тумани</v>
      </c>
      <c r="E1501" s="7" t="s">
        <v>2638</v>
      </c>
      <c r="F1501" s="7" t="s">
        <v>9027</v>
      </c>
      <c r="G1501" s="134">
        <f t="shared" si="169"/>
        <v>1</v>
      </c>
      <c r="H1501" s="134" t="str">
        <f t="shared" si="170"/>
        <v/>
      </c>
      <c r="I1501" s="7" t="s">
        <v>158</v>
      </c>
      <c r="J1501" s="7" t="s">
        <v>2</v>
      </c>
      <c r="K1501" s="7"/>
      <c r="L1501" s="7" t="s">
        <v>167</v>
      </c>
      <c r="M1501" s="7" t="s">
        <v>5194</v>
      </c>
      <c r="N1501" s="7" t="s">
        <v>170</v>
      </c>
      <c r="O1501" s="7" t="s">
        <v>162</v>
      </c>
      <c r="P1501" s="7" t="s">
        <v>6970</v>
      </c>
      <c r="Q1501" s="129">
        <v>46199</v>
      </c>
      <c r="R1501" s="130">
        <f t="shared" si="168"/>
        <v>46199</v>
      </c>
      <c r="S1501" s="131">
        <f t="shared" si="173"/>
        <v>0</v>
      </c>
      <c r="T1501" s="7" t="s">
        <v>214</v>
      </c>
      <c r="U1501" s="7" t="s">
        <v>242</v>
      </c>
      <c r="V1501" s="7"/>
      <c r="W1501" s="7">
        <v>171.58</v>
      </c>
      <c r="X1501" s="132">
        <f t="shared" si="171"/>
        <v>10</v>
      </c>
      <c r="Y1501" s="133"/>
      <c r="Z1501" s="133"/>
      <c r="AA1501" s="133"/>
    </row>
    <row r="1502" spans="1:27" hidden="1" x14ac:dyDescent="0.25">
      <c r="A1502" s="127">
        <v>1650</v>
      </c>
      <c r="B1502" s="128" t="str">
        <f t="shared" si="172"/>
        <v>CHOT</v>
      </c>
      <c r="C1502" s="128" t="str">
        <f>+VLOOKUP(U1502,Ходим!A:B,2,0)</f>
        <v>50205015890036</v>
      </c>
      <c r="D1502" s="128" t="str">
        <f>IFERROR(VLOOKUP($B:$B,[20]свод!$A:$AB,3,0)," ")</f>
        <v>Чортоқ тумани</v>
      </c>
      <c r="E1502" s="7" t="s">
        <v>2639</v>
      </c>
      <c r="F1502" s="7" t="s">
        <v>9028</v>
      </c>
      <c r="G1502" s="134" t="str">
        <f t="shared" si="169"/>
        <v/>
      </c>
      <c r="H1502" s="134">
        <f t="shared" si="170"/>
        <v>1</v>
      </c>
      <c r="I1502" s="7" t="s">
        <v>157</v>
      </c>
      <c r="J1502" s="7" t="s">
        <v>2</v>
      </c>
      <c r="K1502" s="7"/>
      <c r="L1502" s="7" t="s">
        <v>166</v>
      </c>
      <c r="M1502" s="7" t="s">
        <v>5195</v>
      </c>
      <c r="N1502" s="7" t="s">
        <v>170</v>
      </c>
      <c r="O1502" s="7" t="s">
        <v>161</v>
      </c>
      <c r="P1502" s="7" t="s">
        <v>6290</v>
      </c>
      <c r="Q1502" s="129">
        <v>46199</v>
      </c>
      <c r="R1502" s="130">
        <f t="shared" si="168"/>
        <v>46204</v>
      </c>
      <c r="S1502" s="131">
        <f t="shared" si="173"/>
        <v>5</v>
      </c>
      <c r="T1502" s="7" t="s">
        <v>184</v>
      </c>
      <c r="U1502" s="7" t="s">
        <v>251</v>
      </c>
      <c r="V1502" s="7"/>
      <c r="W1502" s="7">
        <v>0</v>
      </c>
      <c r="X1502" s="132">
        <f t="shared" si="171"/>
        <v>10</v>
      </c>
      <c r="Y1502" s="133"/>
      <c r="Z1502" s="133"/>
      <c r="AA1502" s="133"/>
    </row>
    <row r="1503" spans="1:27" hidden="1" x14ac:dyDescent="0.25">
      <c r="A1503" s="127">
        <v>1651</v>
      </c>
      <c r="B1503" s="128" t="str">
        <f t="shared" si="172"/>
        <v>KSST</v>
      </c>
      <c r="C1503" s="128" t="str">
        <f>+VLOOKUP(U1503,Ходим!A:B,2,0)</f>
        <v>32503912190045</v>
      </c>
      <c r="D1503" s="128" t="str">
        <f>IFERROR(VLOOKUP($B:$B,[20]свод!$A:$AB,3,0)," ")</f>
        <v>Косонсой тумани</v>
      </c>
      <c r="E1503" s="7" t="s">
        <v>2640</v>
      </c>
      <c r="F1503" s="7" t="s">
        <v>9029</v>
      </c>
      <c r="G1503" s="134">
        <f t="shared" si="169"/>
        <v>1</v>
      </c>
      <c r="H1503" s="134" t="str">
        <f t="shared" si="170"/>
        <v/>
      </c>
      <c r="I1503" s="7" t="s">
        <v>158</v>
      </c>
      <c r="J1503" s="7" t="s">
        <v>134</v>
      </c>
      <c r="K1503" s="7"/>
      <c r="L1503" s="7" t="s">
        <v>167</v>
      </c>
      <c r="M1503" s="7" t="s">
        <v>5196</v>
      </c>
      <c r="N1503" s="7" t="s">
        <v>170</v>
      </c>
      <c r="O1503" s="7" t="s">
        <v>162</v>
      </c>
      <c r="P1503" s="7" t="s">
        <v>6971</v>
      </c>
      <c r="Q1503" s="129">
        <v>46199</v>
      </c>
      <c r="R1503" s="130">
        <f t="shared" si="168"/>
        <v>46202</v>
      </c>
      <c r="S1503" s="131">
        <f t="shared" si="173"/>
        <v>3</v>
      </c>
      <c r="T1503" s="7" t="s">
        <v>180</v>
      </c>
      <c r="U1503" s="7" t="s">
        <v>254</v>
      </c>
      <c r="V1503" s="7"/>
      <c r="W1503" s="7">
        <v>18.989999999999998</v>
      </c>
      <c r="X1503" s="132">
        <f t="shared" si="171"/>
        <v>10</v>
      </c>
      <c r="Y1503" s="133"/>
      <c r="Z1503" s="133"/>
      <c r="AA1503" s="133"/>
    </row>
    <row r="1504" spans="1:27" hidden="1" x14ac:dyDescent="0.25">
      <c r="A1504" s="127">
        <v>1652</v>
      </c>
      <c r="B1504" s="128" t="str">
        <f t="shared" si="172"/>
        <v>CHUT</v>
      </c>
      <c r="C1504" s="128" t="e">
        <f>+VLOOKUP(U1504,Ходим!A:B,2,0)</f>
        <v>#N/A</v>
      </c>
      <c r="D1504" s="128" t="str">
        <f>IFERROR(VLOOKUP($B:$B,[20]свод!$A:$AB,3,0)," ")</f>
        <v>Чуст тумани</v>
      </c>
      <c r="E1504" s="7" t="s">
        <v>2641</v>
      </c>
      <c r="F1504" s="7" t="s">
        <v>9030</v>
      </c>
      <c r="G1504" s="134">
        <f t="shared" si="169"/>
        <v>1</v>
      </c>
      <c r="H1504" s="134" t="str">
        <f t="shared" si="170"/>
        <v/>
      </c>
      <c r="I1504" s="7" t="s">
        <v>156</v>
      </c>
      <c r="J1504" s="7" t="s">
        <v>11</v>
      </c>
      <c r="K1504" s="7"/>
      <c r="L1504" s="7" t="s">
        <v>167</v>
      </c>
      <c r="M1504" s="7" t="s">
        <v>5197</v>
      </c>
      <c r="N1504" s="7" t="s">
        <v>170</v>
      </c>
      <c r="O1504" s="7" t="s">
        <v>162</v>
      </c>
      <c r="P1504" s="7" t="s">
        <v>6972</v>
      </c>
      <c r="Q1504" s="129">
        <v>46199</v>
      </c>
      <c r="R1504" s="130">
        <f t="shared" si="168"/>
        <v>46212</v>
      </c>
      <c r="S1504" s="131">
        <f t="shared" si="173"/>
        <v>13</v>
      </c>
      <c r="T1504" s="7"/>
      <c r="U1504" s="7"/>
      <c r="V1504" s="7"/>
      <c r="W1504" s="7">
        <v>463.04</v>
      </c>
      <c r="X1504" s="132">
        <f t="shared" si="171"/>
        <v>10</v>
      </c>
      <c r="Y1504" s="133"/>
      <c r="Z1504" s="133"/>
      <c r="AA1504" s="133"/>
    </row>
    <row r="1505" spans="1:27" x14ac:dyDescent="0.25">
      <c r="A1505" s="127">
        <v>1653</v>
      </c>
      <c r="B1505" s="128" t="str">
        <f t="shared" si="172"/>
        <v>YGQT</v>
      </c>
      <c r="C1505" s="128" t="str">
        <f>+VLOOKUP(U1505,Ходим!A:B,2,0)</f>
        <v>50110025950020</v>
      </c>
      <c r="D1505" s="128" t="str">
        <f>IFERROR(VLOOKUP($B:$B,[20]свод!$A:$AB,3,0)," ")</f>
        <v>Янгиқўрғон тумани</v>
      </c>
      <c r="E1505" s="7" t="s">
        <v>2642</v>
      </c>
      <c r="F1505" s="7" t="s">
        <v>9031</v>
      </c>
      <c r="G1505" s="134">
        <f t="shared" si="169"/>
        <v>1</v>
      </c>
      <c r="H1505" s="134" t="str">
        <f t="shared" si="170"/>
        <v/>
      </c>
      <c r="I1505" s="7" t="s">
        <v>158</v>
      </c>
      <c r="J1505" s="7" t="s">
        <v>55</v>
      </c>
      <c r="K1505" s="7"/>
      <c r="L1505" s="7" t="s">
        <v>167</v>
      </c>
      <c r="M1505" s="7" t="s">
        <v>5198</v>
      </c>
      <c r="N1505" s="7" t="s">
        <v>170</v>
      </c>
      <c r="O1505" s="7" t="s">
        <v>162</v>
      </c>
      <c r="P1505" s="7" t="s">
        <v>6973</v>
      </c>
      <c r="Q1505" s="129">
        <v>46199</v>
      </c>
      <c r="R1505" s="130">
        <f t="shared" si="168"/>
        <v>46198</v>
      </c>
      <c r="S1505" s="131">
        <f t="shared" si="173"/>
        <v>-1</v>
      </c>
      <c r="T1505" s="7" t="s">
        <v>182</v>
      </c>
      <c r="U1505" s="7" t="s">
        <v>208</v>
      </c>
      <c r="V1505" s="7" t="s">
        <v>965</v>
      </c>
      <c r="W1505" s="7">
        <v>305.85000000000002</v>
      </c>
      <c r="X1505" s="132">
        <f t="shared" si="171"/>
        <v>5</v>
      </c>
      <c r="Y1505" s="133"/>
      <c r="Z1505" s="133"/>
      <c r="AA1505" s="133"/>
    </row>
    <row r="1506" spans="1:27" x14ac:dyDescent="0.25">
      <c r="A1506" s="127">
        <v>1654</v>
      </c>
      <c r="B1506" s="128" t="str">
        <f t="shared" si="172"/>
        <v>UYCT</v>
      </c>
      <c r="C1506" s="128" t="str">
        <f>+VLOOKUP(U1506,Ходим!A:B,2,0)</f>
        <v>31101985930022</v>
      </c>
      <c r="D1506" s="128" t="str">
        <f>IFERROR(VLOOKUP($B:$B,[20]свод!$A:$AB,3,0)," ")</f>
        <v>Уйчи тумани</v>
      </c>
      <c r="E1506" s="7" t="s">
        <v>2643</v>
      </c>
      <c r="F1506" s="7" t="s">
        <v>9032</v>
      </c>
      <c r="G1506" s="134">
        <f t="shared" si="169"/>
        <v>1</v>
      </c>
      <c r="H1506" s="134" t="str">
        <f t="shared" si="170"/>
        <v/>
      </c>
      <c r="I1506" s="7" t="s">
        <v>154</v>
      </c>
      <c r="J1506" s="7" t="s">
        <v>134</v>
      </c>
      <c r="K1506" s="7"/>
      <c r="L1506" s="7"/>
      <c r="M1506" s="7"/>
      <c r="N1506" s="7" t="s">
        <v>170</v>
      </c>
      <c r="O1506" s="7" t="s">
        <v>162</v>
      </c>
      <c r="P1506" s="7" t="s">
        <v>6974</v>
      </c>
      <c r="Q1506" s="129">
        <v>46199</v>
      </c>
      <c r="R1506" s="130">
        <f t="shared" si="168"/>
        <v>46199</v>
      </c>
      <c r="S1506" s="131">
        <f t="shared" si="173"/>
        <v>0</v>
      </c>
      <c r="T1506" s="7" t="s">
        <v>947</v>
      </c>
      <c r="U1506" s="7" t="s">
        <v>299</v>
      </c>
      <c r="V1506" s="7"/>
      <c r="W1506" s="7"/>
      <c r="X1506" s="132">
        <f t="shared" si="171"/>
        <v>10</v>
      </c>
      <c r="Y1506" s="133"/>
      <c r="Z1506" s="133"/>
      <c r="AA1506" s="133"/>
    </row>
    <row r="1507" spans="1:27" hidden="1" x14ac:dyDescent="0.25">
      <c r="A1507" s="127">
        <v>1655</v>
      </c>
      <c r="B1507" s="128" t="str">
        <f t="shared" si="172"/>
        <v>NAMS</v>
      </c>
      <c r="C1507" s="128" t="str">
        <f>+VLOOKUP(U1507,Ходим!A:B,2,0)</f>
        <v>32211885960016</v>
      </c>
      <c r="D1507" s="128" t="str">
        <f>IFERROR(VLOOKUP($B:$B,[20]свод!$A:$AB,3,0)," ")</f>
        <v>Наманган шаҳар</v>
      </c>
      <c r="E1507" s="7" t="s">
        <v>2644</v>
      </c>
      <c r="F1507" s="7"/>
      <c r="G1507" s="134" t="str">
        <f t="shared" si="169"/>
        <v/>
      </c>
      <c r="H1507" s="134">
        <f t="shared" si="170"/>
        <v>1</v>
      </c>
      <c r="I1507" s="7" t="s">
        <v>154</v>
      </c>
      <c r="J1507" s="7" t="s">
        <v>1</v>
      </c>
      <c r="K1507" s="7"/>
      <c r="L1507" s="7" t="s">
        <v>166</v>
      </c>
      <c r="M1507" s="7" t="s">
        <v>5199</v>
      </c>
      <c r="N1507" s="7" t="s">
        <v>368</v>
      </c>
      <c r="O1507" s="7"/>
      <c r="P1507" s="7" t="s">
        <v>6975</v>
      </c>
      <c r="Q1507" s="129">
        <v>46199</v>
      </c>
      <c r="R1507" s="130">
        <f t="shared" si="168"/>
        <v>46205</v>
      </c>
      <c r="S1507" s="131">
        <f t="shared" si="173"/>
        <v>6</v>
      </c>
      <c r="T1507" s="7" t="s">
        <v>227</v>
      </c>
      <c r="U1507" s="7" t="s">
        <v>279</v>
      </c>
      <c r="V1507" s="7"/>
      <c r="W1507" s="7">
        <v>423.51</v>
      </c>
      <c r="X1507" s="132">
        <f t="shared" si="171"/>
        <v>5</v>
      </c>
      <c r="Y1507" s="133"/>
      <c r="Z1507" s="133"/>
      <c r="AA1507" s="133"/>
    </row>
    <row r="1508" spans="1:27" hidden="1" x14ac:dyDescent="0.25">
      <c r="A1508" s="127">
        <v>1656</v>
      </c>
      <c r="B1508" s="128" t="str">
        <f t="shared" si="172"/>
        <v>MINT</v>
      </c>
      <c r="C1508" s="128" t="str">
        <f>+VLOOKUP(U1508,Ходим!A:B,2,0)</f>
        <v>30703975990033</v>
      </c>
      <c r="D1508" s="128" t="str">
        <f>IFERROR(VLOOKUP($B:$B,[20]свод!$A:$AB,3,0)," ")</f>
        <v>Мингбулоқ тумани</v>
      </c>
      <c r="E1508" s="7" t="s">
        <v>2645</v>
      </c>
      <c r="F1508" s="7" t="s">
        <v>9033</v>
      </c>
      <c r="G1508" s="134" t="str">
        <f t="shared" si="169"/>
        <v/>
      </c>
      <c r="H1508" s="134">
        <f t="shared" si="170"/>
        <v>1</v>
      </c>
      <c r="I1508" s="7" t="s">
        <v>157</v>
      </c>
      <c r="J1508" s="7" t="s">
        <v>172</v>
      </c>
      <c r="K1508" s="7"/>
      <c r="L1508" s="7" t="s">
        <v>166</v>
      </c>
      <c r="M1508" s="7" t="s">
        <v>5200</v>
      </c>
      <c r="N1508" s="7" t="s">
        <v>410</v>
      </c>
      <c r="O1508" s="7" t="s">
        <v>161</v>
      </c>
      <c r="P1508" s="7" t="s">
        <v>6976</v>
      </c>
      <c r="Q1508" s="129">
        <v>46199</v>
      </c>
      <c r="R1508" s="130">
        <f t="shared" si="168"/>
        <v>46206</v>
      </c>
      <c r="S1508" s="131">
        <f t="shared" si="173"/>
        <v>7</v>
      </c>
      <c r="T1508" s="7" t="s">
        <v>220</v>
      </c>
      <c r="U1508" s="7" t="s">
        <v>291</v>
      </c>
      <c r="V1508" s="7"/>
      <c r="W1508" s="7">
        <v>0</v>
      </c>
      <c r="X1508" s="132">
        <f t="shared" si="171"/>
        <v>10</v>
      </c>
      <c r="Y1508" s="133"/>
      <c r="Z1508" s="133"/>
      <c r="AA1508" s="133"/>
    </row>
    <row r="1509" spans="1:27" hidden="1" x14ac:dyDescent="0.25">
      <c r="A1509" s="127">
        <v>1657</v>
      </c>
      <c r="B1509" s="128" t="str">
        <f t="shared" si="172"/>
        <v>NAMS</v>
      </c>
      <c r="C1509" s="128" t="str">
        <f>+VLOOKUP(U1509,Ходим!A:B,2,0)</f>
        <v>31408622170123</v>
      </c>
      <c r="D1509" s="128" t="str">
        <f>IFERROR(VLOOKUP($B:$B,[20]свод!$A:$AB,3,0)," ")</f>
        <v>Наманган шаҳар</v>
      </c>
      <c r="E1509" s="7" t="s">
        <v>2646</v>
      </c>
      <c r="F1509" s="7" t="s">
        <v>9034</v>
      </c>
      <c r="G1509" s="134">
        <f t="shared" si="169"/>
        <v>1</v>
      </c>
      <c r="H1509" s="134" t="str">
        <f t="shared" si="170"/>
        <v/>
      </c>
      <c r="I1509" s="7" t="s">
        <v>158</v>
      </c>
      <c r="J1509" s="7" t="s">
        <v>2</v>
      </c>
      <c r="K1509" s="7"/>
      <c r="L1509" s="7" t="s">
        <v>167</v>
      </c>
      <c r="M1509" s="7" t="s">
        <v>381</v>
      </c>
      <c r="N1509" s="7" t="s">
        <v>170</v>
      </c>
      <c r="O1509" s="7" t="s">
        <v>162</v>
      </c>
      <c r="P1509" s="7" t="s">
        <v>6976</v>
      </c>
      <c r="Q1509" s="129">
        <v>46199</v>
      </c>
      <c r="R1509" s="130">
        <f t="shared" si="168"/>
        <v>46206</v>
      </c>
      <c r="S1509" s="131">
        <f t="shared" si="173"/>
        <v>7</v>
      </c>
      <c r="T1509" s="7" t="s">
        <v>173</v>
      </c>
      <c r="U1509" s="7" t="s">
        <v>402</v>
      </c>
      <c r="V1509" s="7"/>
      <c r="W1509" s="7">
        <v>0</v>
      </c>
      <c r="X1509" s="132">
        <f t="shared" si="171"/>
        <v>10</v>
      </c>
      <c r="Y1509" s="133"/>
      <c r="Z1509" s="133"/>
      <c r="AA1509" s="133"/>
    </row>
    <row r="1510" spans="1:27" hidden="1" x14ac:dyDescent="0.25">
      <c r="A1510" s="127">
        <v>1658</v>
      </c>
      <c r="B1510" s="128" t="str">
        <f t="shared" si="172"/>
        <v>NAMS</v>
      </c>
      <c r="C1510" s="128" t="str">
        <f>+VLOOKUP(U1510,Ходим!A:B,2,0)</f>
        <v>52503015960039</v>
      </c>
      <c r="D1510" s="128" t="str">
        <f>IFERROR(VLOOKUP($B:$B,[20]свод!$A:$AB,3,0)," ")</f>
        <v>Наманган шаҳар</v>
      </c>
      <c r="E1510" s="7" t="s">
        <v>2647</v>
      </c>
      <c r="F1510" s="7" t="s">
        <v>9035</v>
      </c>
      <c r="G1510" s="134">
        <f t="shared" si="169"/>
        <v>1</v>
      </c>
      <c r="H1510" s="134" t="str">
        <f t="shared" si="170"/>
        <v/>
      </c>
      <c r="I1510" s="7" t="s">
        <v>158</v>
      </c>
      <c r="J1510" s="7" t="s">
        <v>1</v>
      </c>
      <c r="K1510" s="7"/>
      <c r="L1510" s="7" t="s">
        <v>167</v>
      </c>
      <c r="M1510" s="7" t="s">
        <v>5201</v>
      </c>
      <c r="N1510" s="7" t="s">
        <v>410</v>
      </c>
      <c r="O1510" s="7" t="s">
        <v>162</v>
      </c>
      <c r="P1510" s="7" t="s">
        <v>6977</v>
      </c>
      <c r="Q1510" s="129">
        <v>46199</v>
      </c>
      <c r="R1510" s="130">
        <f t="shared" si="168"/>
        <v>46204</v>
      </c>
      <c r="S1510" s="131">
        <f t="shared" si="173"/>
        <v>5</v>
      </c>
      <c r="T1510" s="7" t="s">
        <v>185</v>
      </c>
      <c r="U1510" s="7" t="s">
        <v>246</v>
      </c>
      <c r="V1510" s="7"/>
      <c r="W1510" s="7">
        <v>254.6</v>
      </c>
      <c r="X1510" s="132">
        <f t="shared" si="171"/>
        <v>10</v>
      </c>
      <c r="Y1510" s="133"/>
      <c r="Z1510" s="133"/>
      <c r="AA1510" s="133"/>
    </row>
    <row r="1511" spans="1:27" hidden="1" x14ac:dyDescent="0.25">
      <c r="A1511" s="127">
        <v>1659</v>
      </c>
      <c r="B1511" s="128" t="str">
        <f t="shared" si="172"/>
        <v>UYCT</v>
      </c>
      <c r="C1511" s="128" t="str">
        <f>+VLOOKUP(U1511,Ходим!A:B,2,0)</f>
        <v>30309975930028</v>
      </c>
      <c r="D1511" s="128" t="str">
        <f>IFERROR(VLOOKUP($B:$B,[20]свод!$A:$AB,3,0)," ")</f>
        <v>Уйчи тумани</v>
      </c>
      <c r="E1511" s="7" t="s">
        <v>2648</v>
      </c>
      <c r="F1511" s="7" t="s">
        <v>9036</v>
      </c>
      <c r="G1511" s="134">
        <f t="shared" si="169"/>
        <v>1</v>
      </c>
      <c r="H1511" s="134" t="str">
        <f t="shared" si="170"/>
        <v/>
      </c>
      <c r="I1511" s="7" t="s">
        <v>158</v>
      </c>
      <c r="J1511" s="7" t="s">
        <v>2</v>
      </c>
      <c r="K1511" s="7"/>
      <c r="L1511" s="7" t="s">
        <v>167</v>
      </c>
      <c r="M1511" s="7" t="s">
        <v>5202</v>
      </c>
      <c r="N1511" s="7" t="s">
        <v>170</v>
      </c>
      <c r="O1511" s="7" t="s">
        <v>162</v>
      </c>
      <c r="P1511" s="7" t="s">
        <v>6978</v>
      </c>
      <c r="Q1511" s="129">
        <v>46199</v>
      </c>
      <c r="R1511" s="130">
        <f t="shared" si="168"/>
        <v>46212</v>
      </c>
      <c r="S1511" s="131">
        <f t="shared" si="173"/>
        <v>13</v>
      </c>
      <c r="T1511" s="7" t="s">
        <v>947</v>
      </c>
      <c r="U1511" s="7" t="s">
        <v>261</v>
      </c>
      <c r="V1511" s="7"/>
      <c r="W1511" s="7">
        <v>148.4</v>
      </c>
      <c r="X1511" s="132">
        <f t="shared" si="171"/>
        <v>10</v>
      </c>
      <c r="Y1511" s="133"/>
      <c r="Z1511" s="133"/>
      <c r="AA1511" s="133"/>
    </row>
    <row r="1512" spans="1:27" hidden="1" x14ac:dyDescent="0.25">
      <c r="A1512" s="127">
        <v>1660</v>
      </c>
      <c r="B1512" s="128" t="str">
        <f t="shared" si="172"/>
        <v>NAMT</v>
      </c>
      <c r="C1512" s="128" t="str">
        <f>+VLOOKUP(U1512,Ходим!A:B,2,0)</f>
        <v>32204892090133</v>
      </c>
      <c r="D1512" s="128" t="str">
        <f>IFERROR(VLOOKUP($B:$B,[20]свод!$A:$AB,3,0)," ")</f>
        <v>Наманган тумани</v>
      </c>
      <c r="E1512" s="7" t="s">
        <v>2649</v>
      </c>
      <c r="F1512" s="7" t="s">
        <v>9037</v>
      </c>
      <c r="G1512" s="134">
        <f t="shared" si="169"/>
        <v>1</v>
      </c>
      <c r="H1512" s="134" t="str">
        <f t="shared" si="170"/>
        <v/>
      </c>
      <c r="I1512" s="7" t="s">
        <v>158</v>
      </c>
      <c r="J1512" s="7" t="s">
        <v>13</v>
      </c>
      <c r="K1512" s="7"/>
      <c r="L1512" s="7" t="s">
        <v>167</v>
      </c>
      <c r="M1512" s="7" t="s">
        <v>1139</v>
      </c>
      <c r="N1512" s="7" t="s">
        <v>170</v>
      </c>
      <c r="O1512" s="7" t="s">
        <v>162</v>
      </c>
      <c r="P1512" s="7" t="s">
        <v>6979</v>
      </c>
      <c r="Q1512" s="129">
        <v>46199</v>
      </c>
      <c r="R1512" s="130">
        <f t="shared" si="168"/>
        <v>46202</v>
      </c>
      <c r="S1512" s="131">
        <f t="shared" si="173"/>
        <v>3</v>
      </c>
      <c r="T1512" s="7" t="s">
        <v>197</v>
      </c>
      <c r="U1512" s="7" t="s">
        <v>198</v>
      </c>
      <c r="V1512" s="7"/>
      <c r="W1512" s="7">
        <v>0</v>
      </c>
      <c r="X1512" s="132">
        <f t="shared" si="171"/>
        <v>10</v>
      </c>
      <c r="Y1512" s="133"/>
      <c r="Z1512" s="133"/>
      <c r="AA1512" s="133"/>
    </row>
    <row r="1513" spans="1:27" hidden="1" x14ac:dyDescent="0.25">
      <c r="A1513" s="127">
        <v>1661</v>
      </c>
      <c r="B1513" s="128" t="str">
        <f t="shared" si="172"/>
        <v>MINT</v>
      </c>
      <c r="C1513" s="128" t="str">
        <f>+VLOOKUP(U1513,Ходим!A:B,2,0)</f>
        <v>30906922130016</v>
      </c>
      <c r="D1513" s="128" t="str">
        <f>IFERROR(VLOOKUP($B:$B,[20]свод!$A:$AB,3,0)," ")</f>
        <v>Мингбулоқ тумани</v>
      </c>
      <c r="E1513" s="7" t="s">
        <v>2650</v>
      </c>
      <c r="F1513" s="7" t="s">
        <v>9038</v>
      </c>
      <c r="G1513" s="134">
        <f t="shared" si="169"/>
        <v>1</v>
      </c>
      <c r="H1513" s="134" t="str">
        <f t="shared" si="170"/>
        <v/>
      </c>
      <c r="I1513" s="7" t="s">
        <v>158</v>
      </c>
      <c r="J1513" s="7" t="s">
        <v>16</v>
      </c>
      <c r="K1513" s="7"/>
      <c r="L1513" s="7" t="s">
        <v>167</v>
      </c>
      <c r="M1513" s="7" t="s">
        <v>5203</v>
      </c>
      <c r="N1513" s="7" t="s">
        <v>170</v>
      </c>
      <c r="O1513" s="7" t="s">
        <v>162</v>
      </c>
      <c r="P1513" s="7" t="s">
        <v>6979</v>
      </c>
      <c r="Q1513" s="129">
        <v>46199</v>
      </c>
      <c r="R1513" s="130">
        <f t="shared" si="168"/>
        <v>46202</v>
      </c>
      <c r="S1513" s="131">
        <f t="shared" si="173"/>
        <v>3</v>
      </c>
      <c r="T1513" s="7" t="s">
        <v>220</v>
      </c>
      <c r="U1513" s="7" t="s">
        <v>178</v>
      </c>
      <c r="V1513" s="7"/>
      <c r="W1513" s="7">
        <v>696.46</v>
      </c>
      <c r="X1513" s="132">
        <f t="shared" si="171"/>
        <v>10</v>
      </c>
      <c r="Y1513" s="133"/>
      <c r="Z1513" s="133"/>
      <c r="AA1513" s="133"/>
    </row>
    <row r="1514" spans="1:27" hidden="1" x14ac:dyDescent="0.25">
      <c r="A1514" s="127">
        <v>1662</v>
      </c>
      <c r="B1514" s="128" t="str">
        <f t="shared" si="172"/>
        <v>UYCT</v>
      </c>
      <c r="C1514" s="128" t="str">
        <f>+VLOOKUP(U1514,Ходим!A:B,2,0)</f>
        <v>31007942140083</v>
      </c>
      <c r="D1514" s="128" t="str">
        <f>IFERROR(VLOOKUP($B:$B,[20]свод!$A:$AB,3,0)," ")</f>
        <v>Уйчи тумани</v>
      </c>
      <c r="E1514" s="7" t="s">
        <v>2651</v>
      </c>
      <c r="F1514" s="7" t="s">
        <v>9039</v>
      </c>
      <c r="G1514" s="134" t="str">
        <f t="shared" si="169"/>
        <v/>
      </c>
      <c r="H1514" s="134">
        <f t="shared" si="170"/>
        <v>1</v>
      </c>
      <c r="I1514" s="7" t="s">
        <v>155</v>
      </c>
      <c r="J1514" s="7" t="s">
        <v>25</v>
      </c>
      <c r="K1514" s="7"/>
      <c r="L1514" s="7" t="s">
        <v>168</v>
      </c>
      <c r="M1514" s="7" t="s">
        <v>5204</v>
      </c>
      <c r="N1514" s="7" t="s">
        <v>170</v>
      </c>
      <c r="O1514" s="7" t="s">
        <v>161</v>
      </c>
      <c r="P1514" s="7" t="s">
        <v>6978</v>
      </c>
      <c r="Q1514" s="129">
        <v>46199</v>
      </c>
      <c r="R1514" s="130">
        <f t="shared" si="168"/>
        <v>46209</v>
      </c>
      <c r="S1514" s="131">
        <f t="shared" si="173"/>
        <v>10</v>
      </c>
      <c r="T1514" s="7" t="s">
        <v>947</v>
      </c>
      <c r="U1514" s="7" t="s">
        <v>263</v>
      </c>
      <c r="V1514" s="7"/>
      <c r="W1514" s="7"/>
      <c r="X1514" s="132">
        <f t="shared" si="171"/>
        <v>7</v>
      </c>
      <c r="Y1514" s="133"/>
      <c r="Z1514" s="133"/>
      <c r="AA1514" s="133"/>
    </row>
    <row r="1515" spans="1:27" hidden="1" x14ac:dyDescent="0.25">
      <c r="A1515" s="127">
        <v>1663</v>
      </c>
      <c r="B1515" s="128" t="str">
        <f t="shared" si="172"/>
        <v>UCQT</v>
      </c>
      <c r="C1515" s="128" t="str">
        <f>+VLOOKUP(U1515,Ходим!A:B,2,0)</f>
        <v>32911835940021</v>
      </c>
      <c r="D1515" s="128" t="str">
        <f>IFERROR(VLOOKUP($B:$B,[20]свод!$A:$AB,3,0)," ")</f>
        <v>Учқўрғон тумани</v>
      </c>
      <c r="E1515" s="7" t="s">
        <v>2652</v>
      </c>
      <c r="F1515" s="7" t="s">
        <v>9040</v>
      </c>
      <c r="G1515" s="134">
        <f t="shared" si="169"/>
        <v>1</v>
      </c>
      <c r="H1515" s="134" t="str">
        <f t="shared" si="170"/>
        <v/>
      </c>
      <c r="I1515" s="7" t="s">
        <v>158</v>
      </c>
      <c r="J1515" s="7" t="s">
        <v>2</v>
      </c>
      <c r="K1515" s="7"/>
      <c r="L1515" s="7"/>
      <c r="M1515" s="7"/>
      <c r="N1515" s="7" t="s">
        <v>170</v>
      </c>
      <c r="O1515" s="7" t="s">
        <v>162</v>
      </c>
      <c r="P1515" s="7" t="s">
        <v>6980</v>
      </c>
      <c r="Q1515" s="129">
        <v>46199</v>
      </c>
      <c r="R1515" s="130">
        <f t="shared" si="168"/>
        <v>46202</v>
      </c>
      <c r="S1515" s="131">
        <f t="shared" si="173"/>
        <v>3</v>
      </c>
      <c r="T1515" s="7" t="s">
        <v>175</v>
      </c>
      <c r="U1515" s="7" t="s">
        <v>321</v>
      </c>
      <c r="V1515" s="7"/>
      <c r="W1515" s="7"/>
      <c r="X1515" s="132">
        <f t="shared" si="171"/>
        <v>10</v>
      </c>
      <c r="Y1515" s="133"/>
      <c r="Z1515" s="133"/>
      <c r="AA1515" s="133"/>
    </row>
    <row r="1516" spans="1:27" hidden="1" x14ac:dyDescent="0.25">
      <c r="A1516" s="127">
        <v>1664</v>
      </c>
      <c r="B1516" s="128" t="str">
        <f t="shared" si="172"/>
        <v>NAMS</v>
      </c>
      <c r="C1516" s="128" t="str">
        <f>+VLOOKUP(U1516,Ходим!A:B,2,0)</f>
        <v>32211885960016</v>
      </c>
      <c r="D1516" s="128" t="str">
        <f>IFERROR(VLOOKUP($B:$B,[20]свод!$A:$AB,3,0)," ")</f>
        <v>Наманган шаҳар</v>
      </c>
      <c r="E1516" s="7" t="s">
        <v>2653</v>
      </c>
      <c r="F1516" s="7" t="s">
        <v>9041</v>
      </c>
      <c r="G1516" s="134" t="str">
        <f t="shared" si="169"/>
        <v/>
      </c>
      <c r="H1516" s="134">
        <f t="shared" si="170"/>
        <v>1</v>
      </c>
      <c r="I1516" s="7" t="s">
        <v>154</v>
      </c>
      <c r="J1516" s="7" t="s">
        <v>100</v>
      </c>
      <c r="K1516" s="7"/>
      <c r="L1516" s="7" t="s">
        <v>166</v>
      </c>
      <c r="M1516" s="7" t="s">
        <v>5205</v>
      </c>
      <c r="N1516" s="7" t="s">
        <v>170</v>
      </c>
      <c r="O1516" s="7" t="s">
        <v>161</v>
      </c>
      <c r="P1516" s="7" t="s">
        <v>6981</v>
      </c>
      <c r="Q1516" s="129">
        <v>46199</v>
      </c>
      <c r="R1516" s="130">
        <f t="shared" si="168"/>
        <v>46203</v>
      </c>
      <c r="S1516" s="131">
        <f t="shared" si="173"/>
        <v>4</v>
      </c>
      <c r="T1516" s="7" t="s">
        <v>227</v>
      </c>
      <c r="U1516" s="7" t="s">
        <v>279</v>
      </c>
      <c r="V1516" s="7"/>
      <c r="W1516" s="7">
        <v>457.85</v>
      </c>
      <c r="X1516" s="132">
        <f t="shared" si="171"/>
        <v>12</v>
      </c>
      <c r="Y1516" s="133"/>
      <c r="Z1516" s="133"/>
      <c r="AA1516" s="133"/>
    </row>
    <row r="1517" spans="1:27" hidden="1" x14ac:dyDescent="0.25">
      <c r="A1517" s="127">
        <v>1665</v>
      </c>
      <c r="B1517" s="128" t="str">
        <f t="shared" si="172"/>
        <v>NAMS</v>
      </c>
      <c r="C1517" s="128" t="str">
        <f>+VLOOKUP(U1517,Ходим!A:B,2,0)</f>
        <v>32211885960016</v>
      </c>
      <c r="D1517" s="128" t="str">
        <f>IFERROR(VLOOKUP($B:$B,[20]свод!$A:$AB,3,0)," ")</f>
        <v>Наманган шаҳар</v>
      </c>
      <c r="E1517" s="7" t="s">
        <v>2654</v>
      </c>
      <c r="F1517" s="7" t="s">
        <v>9042</v>
      </c>
      <c r="G1517" s="134" t="str">
        <f t="shared" si="169"/>
        <v/>
      </c>
      <c r="H1517" s="134">
        <f t="shared" si="170"/>
        <v>1</v>
      </c>
      <c r="I1517" s="7" t="s">
        <v>154</v>
      </c>
      <c r="J1517" s="7" t="s">
        <v>100</v>
      </c>
      <c r="K1517" s="7"/>
      <c r="L1517" s="7" t="s">
        <v>166</v>
      </c>
      <c r="M1517" s="7" t="s">
        <v>5206</v>
      </c>
      <c r="N1517" s="7" t="s">
        <v>170</v>
      </c>
      <c r="O1517" s="7" t="s">
        <v>161</v>
      </c>
      <c r="P1517" s="7" t="s">
        <v>6981</v>
      </c>
      <c r="Q1517" s="129">
        <v>46199</v>
      </c>
      <c r="R1517" s="130">
        <f t="shared" ref="R1517:R1576" si="174">WORKDAY(P1517,X1517,$Y$1:$AA$1)</f>
        <v>46203</v>
      </c>
      <c r="S1517" s="131">
        <f t="shared" si="173"/>
        <v>4</v>
      </c>
      <c r="T1517" s="7" t="s">
        <v>227</v>
      </c>
      <c r="U1517" s="7" t="s">
        <v>279</v>
      </c>
      <c r="V1517" s="7"/>
      <c r="W1517" s="7">
        <v>170.07</v>
      </c>
      <c r="X1517" s="132">
        <f t="shared" si="171"/>
        <v>12</v>
      </c>
      <c r="Y1517" s="133"/>
      <c r="Z1517" s="133"/>
      <c r="AA1517" s="133"/>
    </row>
    <row r="1518" spans="1:27" hidden="1" x14ac:dyDescent="0.25">
      <c r="A1518" s="127">
        <v>1666</v>
      </c>
      <c r="B1518" s="128" t="str">
        <f t="shared" si="172"/>
        <v>CHUT</v>
      </c>
      <c r="C1518" s="128" t="str">
        <f>+VLOOKUP(U1518,Ходим!A:B,2,0)</f>
        <v>30409785970022</v>
      </c>
      <c r="D1518" s="128" t="str">
        <f>IFERROR(VLOOKUP($B:$B,[20]свод!$A:$AB,3,0)," ")</f>
        <v>Чуст тумани</v>
      </c>
      <c r="E1518" s="7" t="s">
        <v>2655</v>
      </c>
      <c r="F1518" s="7" t="s">
        <v>9043</v>
      </c>
      <c r="G1518" s="134">
        <f t="shared" si="169"/>
        <v>1</v>
      </c>
      <c r="H1518" s="134" t="str">
        <f t="shared" si="170"/>
        <v/>
      </c>
      <c r="I1518" s="7" t="s">
        <v>158</v>
      </c>
      <c r="J1518" s="7" t="s">
        <v>12</v>
      </c>
      <c r="K1518" s="7"/>
      <c r="L1518" s="7" t="s">
        <v>167</v>
      </c>
      <c r="M1518" s="7" t="s">
        <v>5207</v>
      </c>
      <c r="N1518" s="7" t="s">
        <v>170</v>
      </c>
      <c r="O1518" s="7" t="s">
        <v>162</v>
      </c>
      <c r="P1518" s="7" t="s">
        <v>6982</v>
      </c>
      <c r="Q1518" s="129">
        <v>46199</v>
      </c>
      <c r="R1518" s="130">
        <f t="shared" si="174"/>
        <v>46202</v>
      </c>
      <c r="S1518" s="131">
        <f t="shared" si="173"/>
        <v>3</v>
      </c>
      <c r="T1518" s="7" t="s">
        <v>178</v>
      </c>
      <c r="U1518" s="7" t="s">
        <v>191</v>
      </c>
      <c r="V1518" s="7"/>
      <c r="W1518" s="7">
        <v>753.37</v>
      </c>
      <c r="X1518" s="132">
        <f t="shared" si="171"/>
        <v>10</v>
      </c>
      <c r="Y1518" s="133"/>
      <c r="Z1518" s="133"/>
      <c r="AA1518" s="133"/>
    </row>
    <row r="1519" spans="1:27" hidden="1" x14ac:dyDescent="0.25">
      <c r="A1519" s="127">
        <v>1667</v>
      </c>
      <c r="B1519" s="128" t="str">
        <f t="shared" si="172"/>
        <v>CHOT</v>
      </c>
      <c r="C1519" s="128" t="str">
        <f>+VLOOKUP(U1519,Ходим!A:B,2,0)</f>
        <v>30308922100022</v>
      </c>
      <c r="D1519" s="128" t="str">
        <f>IFERROR(VLOOKUP($B:$B,[20]свод!$A:$AB,3,0)," ")</f>
        <v>Чортоқ тумани</v>
      </c>
      <c r="E1519" s="7" t="s">
        <v>2656</v>
      </c>
      <c r="F1519" s="7" t="s">
        <v>9044</v>
      </c>
      <c r="G1519" s="134" t="str">
        <f t="shared" si="169"/>
        <v/>
      </c>
      <c r="H1519" s="134">
        <f t="shared" si="170"/>
        <v>1</v>
      </c>
      <c r="I1519" s="7" t="s">
        <v>157</v>
      </c>
      <c r="J1519" s="7" t="s">
        <v>35</v>
      </c>
      <c r="K1519" s="7"/>
      <c r="L1519" s="7" t="s">
        <v>166</v>
      </c>
      <c r="M1519" s="7" t="s">
        <v>5208</v>
      </c>
      <c r="N1519" s="7" t="s">
        <v>410</v>
      </c>
      <c r="O1519" s="7" t="s">
        <v>163</v>
      </c>
      <c r="P1519" s="7" t="s">
        <v>6919</v>
      </c>
      <c r="Q1519" s="129">
        <v>46199</v>
      </c>
      <c r="R1519" s="130">
        <f t="shared" si="174"/>
        <v>46202</v>
      </c>
      <c r="S1519" s="131">
        <f t="shared" si="173"/>
        <v>3</v>
      </c>
      <c r="T1519" s="7" t="s">
        <v>10635</v>
      </c>
      <c r="U1519" s="7" t="s">
        <v>190</v>
      </c>
      <c r="V1519" s="7"/>
      <c r="W1519" s="7">
        <v>0</v>
      </c>
      <c r="X1519" s="132">
        <f t="shared" si="171"/>
        <v>10</v>
      </c>
      <c r="Y1519" s="133"/>
      <c r="Z1519" s="133"/>
      <c r="AA1519" s="133"/>
    </row>
    <row r="1520" spans="1:27" hidden="1" x14ac:dyDescent="0.25">
      <c r="A1520" s="127">
        <v>1668</v>
      </c>
      <c r="B1520" s="128" t="str">
        <f t="shared" si="172"/>
        <v>KSST</v>
      </c>
      <c r="C1520" s="128" t="e">
        <f>+VLOOKUP(U1520,Ходим!A:B,2,0)</f>
        <v>#N/A</v>
      </c>
      <c r="D1520" s="128" t="str">
        <f>IFERROR(VLOOKUP($B:$B,[20]свод!$A:$AB,3,0)," ")</f>
        <v>Косонсой тумани</v>
      </c>
      <c r="E1520" s="7" t="s">
        <v>2657</v>
      </c>
      <c r="F1520" s="7" t="s">
        <v>9045</v>
      </c>
      <c r="G1520" s="134">
        <f t="shared" si="169"/>
        <v>1</v>
      </c>
      <c r="H1520" s="134" t="str">
        <f t="shared" si="170"/>
        <v/>
      </c>
      <c r="I1520" s="7" t="s">
        <v>156</v>
      </c>
      <c r="J1520" s="7" t="s">
        <v>25</v>
      </c>
      <c r="K1520" s="7"/>
      <c r="L1520" s="7"/>
      <c r="M1520" s="7"/>
      <c r="N1520" s="7" t="s">
        <v>170</v>
      </c>
      <c r="O1520" s="7" t="s">
        <v>162</v>
      </c>
      <c r="P1520" s="7" t="s">
        <v>6983</v>
      </c>
      <c r="Q1520" s="129">
        <v>46199</v>
      </c>
      <c r="R1520" s="130">
        <f t="shared" si="174"/>
        <v>46212</v>
      </c>
      <c r="S1520" s="131">
        <f t="shared" si="173"/>
        <v>13</v>
      </c>
      <c r="T1520" s="7" t="s">
        <v>180</v>
      </c>
      <c r="U1520" s="7" t="s">
        <v>10636</v>
      </c>
      <c r="V1520" s="7"/>
      <c r="W1520" s="7"/>
      <c r="X1520" s="132">
        <f t="shared" si="171"/>
        <v>10</v>
      </c>
      <c r="Y1520" s="133"/>
      <c r="Z1520" s="133"/>
      <c r="AA1520" s="133"/>
    </row>
    <row r="1521" spans="1:27" hidden="1" x14ac:dyDescent="0.25">
      <c r="A1521" s="127">
        <v>1669</v>
      </c>
      <c r="B1521" s="128" t="str">
        <f t="shared" si="172"/>
        <v>CHUT</v>
      </c>
      <c r="C1521" s="128" t="str">
        <f>+VLOOKUP(U1521,Ходим!A:B,2,0)</f>
        <v>52801005970043</v>
      </c>
      <c r="D1521" s="128" t="str">
        <f>IFERROR(VLOOKUP($B:$B,[20]свод!$A:$AB,3,0)," ")</f>
        <v>Чуст тумани</v>
      </c>
      <c r="E1521" s="7" t="s">
        <v>2658</v>
      </c>
      <c r="F1521" s="7" t="s">
        <v>9046</v>
      </c>
      <c r="G1521" s="134">
        <f t="shared" ref="G1521:G1580" si="175">IF(OR(
I1521="Turar joy obyektning kadastr pasportini shakllantirish va davlat ro'yxatidan o'tkazish",
I1521="Turar kompozit"
),
1,
IF(OR(
I1521="Noturar kompozit",
I1521="Avtoyo'l va suv xo'jaligi obyektining kadastr pasportini shakllantirish va ro'yxatga olish",
I1521="Noturar obyektning kadastr pasportining kadastr pasportini shakllantirish va davlat ro'yxatidan o'tkazish"
),
"",
IF(OR(
I1521="Notarius uchun ma'lumotnoma (uz)",
I1521="Qurilishi tugallangan ko'chmas mulkni foydalanishga qabul qilish",
I1521="Umumiy foydalanishdagi ko'chmas mulk qismini yaratish",
I1521="Registratsiya (tashqi - UZKAD da bor)"
),
IF(OR(L1521="Turar yer maydoni",L1521="Yakka tartibdagi turar joy"),1,
IF(L1521="Noturar bino","",
IF(L1521="Noturar yer maydoni","",
IF(L1521="",IF(OR(O1521="Turar joy xizmati",O1521="Foydalanishga ruxsatnoma berish xizmati"),1,""),"")
))),
"")))</f>
        <v>1</v>
      </c>
      <c r="H1521" s="134" t="str">
        <f t="shared" ref="H1521:H1580" si="176">IF(OR(
I1521="Turar joy obyektning kadastr pasportini shakllantirish va davlat ro'yxatidan o'tkazish",
I1521="Turar kompozit"
),
"",
IF(OR(
I1521="Noturar kompozit",
I1521="Avtoyo'l va suv xo'jaligi obyektining kadastr pasportini shakllantirish va ro'yxatga olish",
I1521="Noturar obyektning kadastr pasportini shakllantirish va davlat ro'yxatidan o'tkazish"
),
1,
IF(OR(
I1521="Notarius uchun ma'lumotnoma (uz)",
I1521="Qurilishi tugallangan ko'chmas mulkni foydalanishga qabul qilish",
I1521="Umumiy foydalanishdagi ko'chmas mulk qismini yaratish",
I1521="Registratsiya (tashqi - UZKAD da bor)"
),
IF(OR(L1521="Turar yer maydoni",L1521="Yakka tartibdagi turar joy"),"",
IF(L1521="Noturar bino",1,
IF(L1521="Noturar yer maydoni",1,
IF(L1521="",IF(OR(O1521="Turar joy xizmati",O1521="Foydalanishga ruxsatnoma berish xizmati"),"",1),"")
))),
"")))</f>
        <v/>
      </c>
      <c r="I1521" s="7" t="s">
        <v>156</v>
      </c>
      <c r="J1521" s="7" t="s">
        <v>25</v>
      </c>
      <c r="K1521" s="7"/>
      <c r="L1521" s="7"/>
      <c r="M1521" s="7"/>
      <c r="N1521" s="7" t="s">
        <v>170</v>
      </c>
      <c r="O1521" s="7" t="s">
        <v>162</v>
      </c>
      <c r="P1521" s="7" t="s">
        <v>6984</v>
      </c>
      <c r="Q1521" s="129">
        <v>46199</v>
      </c>
      <c r="R1521" s="130">
        <f t="shared" si="174"/>
        <v>46202</v>
      </c>
      <c r="S1521" s="131">
        <f t="shared" si="173"/>
        <v>3</v>
      </c>
      <c r="T1521" s="7" t="s">
        <v>178</v>
      </c>
      <c r="U1521" s="7" t="s">
        <v>387</v>
      </c>
      <c r="V1521" s="7"/>
      <c r="W1521" s="7"/>
      <c r="X1521" s="132">
        <f t="shared" si="171"/>
        <v>10</v>
      </c>
      <c r="Y1521" s="133"/>
      <c r="Z1521" s="133"/>
      <c r="AA1521" s="133"/>
    </row>
    <row r="1522" spans="1:27" hidden="1" x14ac:dyDescent="0.25">
      <c r="A1522" s="127">
        <v>1670</v>
      </c>
      <c r="B1522" s="128" t="str">
        <f t="shared" si="172"/>
        <v>CHOT</v>
      </c>
      <c r="C1522" s="128" t="str">
        <f>+VLOOKUP(U1522,Ходим!A:B,2,0)</f>
        <v>30308922100022</v>
      </c>
      <c r="D1522" s="128" t="str">
        <f>IFERROR(VLOOKUP($B:$B,[20]свод!$A:$AB,3,0)," ")</f>
        <v>Чортоқ тумани</v>
      </c>
      <c r="E1522" s="7" t="s">
        <v>2659</v>
      </c>
      <c r="F1522" s="7" t="s">
        <v>9047</v>
      </c>
      <c r="G1522" s="134">
        <f t="shared" si="175"/>
        <v>1</v>
      </c>
      <c r="H1522" s="134" t="str">
        <f t="shared" si="176"/>
        <v/>
      </c>
      <c r="I1522" s="7" t="s">
        <v>156</v>
      </c>
      <c r="J1522" s="7" t="s">
        <v>25</v>
      </c>
      <c r="K1522" s="7"/>
      <c r="L1522" s="7"/>
      <c r="M1522" s="7"/>
      <c r="N1522" s="7" t="s">
        <v>170</v>
      </c>
      <c r="O1522" s="7" t="s">
        <v>162</v>
      </c>
      <c r="P1522" s="7" t="s">
        <v>6983</v>
      </c>
      <c r="Q1522" s="129">
        <v>46199</v>
      </c>
      <c r="R1522" s="130">
        <f t="shared" si="174"/>
        <v>46212</v>
      </c>
      <c r="S1522" s="131">
        <f t="shared" si="173"/>
        <v>13</v>
      </c>
      <c r="T1522" s="7" t="s">
        <v>184</v>
      </c>
      <c r="U1522" s="7" t="s">
        <v>190</v>
      </c>
      <c r="V1522" s="7"/>
      <c r="W1522" s="7"/>
      <c r="X1522" s="132">
        <f t="shared" si="171"/>
        <v>10</v>
      </c>
      <c r="Y1522" s="133"/>
      <c r="Z1522" s="133"/>
      <c r="AA1522" s="133"/>
    </row>
    <row r="1523" spans="1:27" hidden="1" x14ac:dyDescent="0.25">
      <c r="A1523" s="127">
        <v>1671</v>
      </c>
      <c r="B1523" s="128" t="str">
        <f t="shared" si="172"/>
        <v>CHOT</v>
      </c>
      <c r="C1523" s="128" t="str">
        <f>+VLOOKUP(U1523,Ходим!A:B,2,0)</f>
        <v>50310015890046</v>
      </c>
      <c r="D1523" s="128" t="str">
        <f>IFERROR(VLOOKUP($B:$B,[20]свод!$A:$AB,3,0)," ")</f>
        <v>Чортоқ тумани</v>
      </c>
      <c r="E1523" s="7" t="s">
        <v>2660</v>
      </c>
      <c r="F1523" s="7" t="s">
        <v>9048</v>
      </c>
      <c r="G1523" s="134">
        <f t="shared" si="175"/>
        <v>1</v>
      </c>
      <c r="H1523" s="134" t="str">
        <f t="shared" si="176"/>
        <v/>
      </c>
      <c r="I1523" s="7" t="s">
        <v>156</v>
      </c>
      <c r="J1523" s="7" t="s">
        <v>25</v>
      </c>
      <c r="K1523" s="7"/>
      <c r="L1523" s="7"/>
      <c r="M1523" s="7"/>
      <c r="N1523" s="7" t="s">
        <v>170</v>
      </c>
      <c r="O1523" s="7" t="s">
        <v>162</v>
      </c>
      <c r="P1523" s="7" t="s">
        <v>6983</v>
      </c>
      <c r="Q1523" s="129">
        <v>46199</v>
      </c>
      <c r="R1523" s="130">
        <f t="shared" si="174"/>
        <v>46212</v>
      </c>
      <c r="S1523" s="131">
        <f t="shared" si="173"/>
        <v>13</v>
      </c>
      <c r="T1523" s="7" t="s">
        <v>184</v>
      </c>
      <c r="U1523" s="7" t="s">
        <v>404</v>
      </c>
      <c r="V1523" s="7"/>
      <c r="W1523" s="7"/>
      <c r="X1523" s="132">
        <f t="shared" si="171"/>
        <v>10</v>
      </c>
      <c r="Y1523" s="133"/>
      <c r="Z1523" s="133"/>
      <c r="AA1523" s="133"/>
    </row>
    <row r="1524" spans="1:27" hidden="1" x14ac:dyDescent="0.25">
      <c r="A1524" s="127">
        <v>1672</v>
      </c>
      <c r="B1524" s="128" t="str">
        <f t="shared" si="172"/>
        <v>NAMS</v>
      </c>
      <c r="C1524" s="128" t="str">
        <f>+VLOOKUP(U1524,Ходим!A:B,2,0)</f>
        <v>30302942170072</v>
      </c>
      <c r="D1524" s="128" t="str">
        <f>IFERROR(VLOOKUP($B:$B,[20]свод!$A:$AB,3,0)," ")</f>
        <v>Наманган шаҳар</v>
      </c>
      <c r="E1524" s="7" t="s">
        <v>2661</v>
      </c>
      <c r="F1524" s="7" t="s">
        <v>9049</v>
      </c>
      <c r="G1524" s="134" t="str">
        <f t="shared" si="175"/>
        <v/>
      </c>
      <c r="H1524" s="134">
        <f t="shared" si="176"/>
        <v>1</v>
      </c>
      <c r="I1524" s="7" t="s">
        <v>155</v>
      </c>
      <c r="J1524" s="7" t="s">
        <v>22</v>
      </c>
      <c r="K1524" s="7"/>
      <c r="L1524" s="7" t="s">
        <v>166</v>
      </c>
      <c r="M1524" s="7" t="s">
        <v>5209</v>
      </c>
      <c r="N1524" s="7" t="s">
        <v>170</v>
      </c>
      <c r="O1524" s="7" t="s">
        <v>161</v>
      </c>
      <c r="P1524" s="7" t="s">
        <v>6983</v>
      </c>
      <c r="Q1524" s="129">
        <v>46199</v>
      </c>
      <c r="R1524" s="130">
        <f t="shared" si="174"/>
        <v>46223</v>
      </c>
      <c r="S1524" s="131">
        <f t="shared" si="173"/>
        <v>24</v>
      </c>
      <c r="T1524" s="7" t="s">
        <v>227</v>
      </c>
      <c r="U1524" s="7" t="s">
        <v>325</v>
      </c>
      <c r="V1524" s="7"/>
      <c r="W1524" s="7">
        <v>1493.46</v>
      </c>
      <c r="X1524" s="132">
        <f t="shared" si="171"/>
        <v>17</v>
      </c>
      <c r="Y1524" s="133"/>
      <c r="Z1524" s="133"/>
      <c r="AA1524" s="133"/>
    </row>
    <row r="1525" spans="1:27" hidden="1" x14ac:dyDescent="0.25">
      <c r="A1525" s="127">
        <v>1673</v>
      </c>
      <c r="B1525" s="128" t="str">
        <f t="shared" si="172"/>
        <v>POPT</v>
      </c>
      <c r="C1525" s="128" t="str">
        <f>+VLOOKUP(U1525,Ходим!A:B,2,0)</f>
        <v>30809922120031</v>
      </c>
      <c r="D1525" s="128" t="str">
        <f>IFERROR(VLOOKUP($B:$B,[20]свод!$A:$AB,3,0)," ")</f>
        <v>Поп тумани</v>
      </c>
      <c r="E1525" s="7" t="s">
        <v>2662</v>
      </c>
      <c r="F1525" s="7" t="s">
        <v>9050</v>
      </c>
      <c r="G1525" s="134" t="str">
        <f t="shared" si="175"/>
        <v/>
      </c>
      <c r="H1525" s="134">
        <f t="shared" si="176"/>
        <v>1</v>
      </c>
      <c r="I1525" s="7" t="s">
        <v>155</v>
      </c>
      <c r="J1525" s="7" t="s">
        <v>25</v>
      </c>
      <c r="K1525" s="7"/>
      <c r="L1525" s="7" t="s">
        <v>168</v>
      </c>
      <c r="M1525" s="7" t="s">
        <v>5210</v>
      </c>
      <c r="N1525" s="7" t="s">
        <v>170</v>
      </c>
      <c r="O1525" s="7" t="s">
        <v>161</v>
      </c>
      <c r="P1525" s="7" t="s">
        <v>6983</v>
      </c>
      <c r="Q1525" s="129">
        <v>46199</v>
      </c>
      <c r="R1525" s="130">
        <f t="shared" si="174"/>
        <v>46209</v>
      </c>
      <c r="S1525" s="131">
        <f t="shared" si="173"/>
        <v>10</v>
      </c>
      <c r="T1525" s="7" t="s">
        <v>240</v>
      </c>
      <c r="U1525" s="7" t="s">
        <v>339</v>
      </c>
      <c r="V1525" s="7"/>
      <c r="W1525" s="7"/>
      <c r="X1525" s="132">
        <f t="shared" si="171"/>
        <v>7</v>
      </c>
      <c r="Y1525" s="133"/>
      <c r="Z1525" s="133"/>
      <c r="AA1525" s="133"/>
    </row>
    <row r="1526" spans="1:27" hidden="1" x14ac:dyDescent="0.25">
      <c r="A1526" s="127">
        <v>1674</v>
      </c>
      <c r="B1526" s="128" t="str">
        <f t="shared" si="172"/>
        <v>CHOT</v>
      </c>
      <c r="C1526" s="128" t="str">
        <f>+VLOOKUP(U1526,Ходим!A:B,2,0)</f>
        <v>31904922100113</v>
      </c>
      <c r="D1526" s="128" t="str">
        <f>IFERROR(VLOOKUP($B:$B,[20]свод!$A:$AB,3,0)," ")</f>
        <v>Чортоқ тумани</v>
      </c>
      <c r="E1526" s="7" t="s">
        <v>2663</v>
      </c>
      <c r="F1526" s="7" t="s">
        <v>9051</v>
      </c>
      <c r="G1526" s="134">
        <f t="shared" si="175"/>
        <v>1</v>
      </c>
      <c r="H1526" s="134" t="str">
        <f t="shared" si="176"/>
        <v/>
      </c>
      <c r="I1526" s="7" t="s">
        <v>154</v>
      </c>
      <c r="J1526" s="7" t="s">
        <v>109</v>
      </c>
      <c r="K1526" s="7"/>
      <c r="L1526" s="7"/>
      <c r="M1526" s="7"/>
      <c r="N1526" s="7" t="s">
        <v>170</v>
      </c>
      <c r="O1526" s="7" t="s">
        <v>162</v>
      </c>
      <c r="P1526" s="7" t="s">
        <v>6985</v>
      </c>
      <c r="Q1526" s="129">
        <v>46199</v>
      </c>
      <c r="R1526" s="130">
        <f t="shared" si="174"/>
        <v>46202</v>
      </c>
      <c r="S1526" s="131">
        <f t="shared" si="173"/>
        <v>3</v>
      </c>
      <c r="T1526" s="7" t="s">
        <v>10635</v>
      </c>
      <c r="U1526" s="7" t="s">
        <v>310</v>
      </c>
      <c r="V1526" s="7"/>
      <c r="W1526" s="7"/>
      <c r="X1526" s="132">
        <f t="shared" si="171"/>
        <v>10</v>
      </c>
      <c r="Y1526" s="133"/>
      <c r="Z1526" s="133"/>
      <c r="AA1526" s="133"/>
    </row>
    <row r="1527" spans="1:27" hidden="1" x14ac:dyDescent="0.25">
      <c r="A1527" s="127">
        <v>1675</v>
      </c>
      <c r="B1527" s="128" t="str">
        <f t="shared" si="172"/>
        <v>UYCT</v>
      </c>
      <c r="C1527" s="128" t="str">
        <f>+VLOOKUP(U1527,Ходим!A:B,2,0)</f>
        <v>30309975930028</v>
      </c>
      <c r="D1527" s="128" t="str">
        <f>IFERROR(VLOOKUP($B:$B,[20]свод!$A:$AB,3,0)," ")</f>
        <v>Уйчи тумани</v>
      </c>
      <c r="E1527" s="7" t="s">
        <v>2664</v>
      </c>
      <c r="F1527" s="7" t="s">
        <v>9052</v>
      </c>
      <c r="G1527" s="134">
        <f t="shared" si="175"/>
        <v>1</v>
      </c>
      <c r="H1527" s="134" t="str">
        <f t="shared" si="176"/>
        <v/>
      </c>
      <c r="I1527" s="7" t="s">
        <v>158</v>
      </c>
      <c r="J1527" s="7" t="s">
        <v>2</v>
      </c>
      <c r="K1527" s="7"/>
      <c r="L1527" s="7" t="s">
        <v>167</v>
      </c>
      <c r="M1527" s="7" t="s">
        <v>5211</v>
      </c>
      <c r="N1527" s="7" t="s">
        <v>170</v>
      </c>
      <c r="O1527" s="7" t="s">
        <v>162</v>
      </c>
      <c r="P1527" s="7" t="s">
        <v>6985</v>
      </c>
      <c r="Q1527" s="129">
        <v>46199</v>
      </c>
      <c r="R1527" s="130">
        <f t="shared" si="174"/>
        <v>46202</v>
      </c>
      <c r="S1527" s="131">
        <f t="shared" si="173"/>
        <v>3</v>
      </c>
      <c r="T1527" s="7" t="s">
        <v>947</v>
      </c>
      <c r="U1527" s="7" t="s">
        <v>261</v>
      </c>
      <c r="V1527" s="7"/>
      <c r="W1527" s="7">
        <v>0</v>
      </c>
      <c r="X1527" s="132">
        <f t="shared" si="171"/>
        <v>10</v>
      </c>
      <c r="Y1527" s="133"/>
      <c r="Z1527" s="133"/>
      <c r="AA1527" s="133"/>
    </row>
    <row r="1528" spans="1:27" hidden="1" x14ac:dyDescent="0.25">
      <c r="A1528" s="127">
        <v>1676</v>
      </c>
      <c r="B1528" s="128" t="str">
        <f t="shared" si="172"/>
        <v>POPT</v>
      </c>
      <c r="C1528" s="128" t="str">
        <f>+VLOOKUP(U1528,Ходим!A:B,2,0)</f>
        <v>33110905910015</v>
      </c>
      <c r="D1528" s="128" t="str">
        <f>IFERROR(VLOOKUP($B:$B,[20]свод!$A:$AB,3,0)," ")</f>
        <v>Поп тумани</v>
      </c>
      <c r="E1528" s="7" t="s">
        <v>2665</v>
      </c>
      <c r="F1528" s="7" t="s">
        <v>9053</v>
      </c>
      <c r="G1528" s="134">
        <f t="shared" si="175"/>
        <v>1</v>
      </c>
      <c r="H1528" s="134" t="str">
        <f t="shared" si="176"/>
        <v/>
      </c>
      <c r="I1528" s="7" t="s">
        <v>156</v>
      </c>
      <c r="J1528" s="7" t="s">
        <v>25</v>
      </c>
      <c r="K1528" s="7"/>
      <c r="L1528" s="7"/>
      <c r="M1528" s="7"/>
      <c r="N1528" s="7" t="s">
        <v>410</v>
      </c>
      <c r="O1528" s="7" t="s">
        <v>162</v>
      </c>
      <c r="P1528" s="7" t="s">
        <v>6983</v>
      </c>
      <c r="Q1528" s="129">
        <v>46199</v>
      </c>
      <c r="R1528" s="130">
        <f t="shared" si="174"/>
        <v>46212</v>
      </c>
      <c r="S1528" s="131">
        <f t="shared" si="173"/>
        <v>13</v>
      </c>
      <c r="T1528" s="7" t="s">
        <v>240</v>
      </c>
      <c r="U1528" s="7" t="s">
        <v>305</v>
      </c>
      <c r="V1528" s="7"/>
      <c r="W1528" s="7"/>
      <c r="X1528" s="132">
        <f t="shared" si="171"/>
        <v>10</v>
      </c>
      <c r="Y1528" s="133"/>
      <c r="Z1528" s="133"/>
      <c r="AA1528" s="133"/>
    </row>
    <row r="1529" spans="1:27" hidden="1" x14ac:dyDescent="0.25">
      <c r="A1529" s="127">
        <v>1677</v>
      </c>
      <c r="B1529" s="128" t="str">
        <f t="shared" si="172"/>
        <v>CHOT</v>
      </c>
      <c r="C1529" s="128" t="str">
        <f>+VLOOKUP(U1529,Ходим!A:B,2,0)</f>
        <v>51408005890064</v>
      </c>
      <c r="D1529" s="128" t="str">
        <f>IFERROR(VLOOKUP($B:$B,[20]свод!$A:$AB,3,0)," ")</f>
        <v>Чортоқ тумани</v>
      </c>
      <c r="E1529" s="7" t="s">
        <v>2666</v>
      </c>
      <c r="F1529" s="7" t="s">
        <v>9054</v>
      </c>
      <c r="G1529" s="134">
        <f t="shared" si="175"/>
        <v>1</v>
      </c>
      <c r="H1529" s="134" t="str">
        <f t="shared" si="176"/>
        <v/>
      </c>
      <c r="I1529" s="7" t="s">
        <v>158</v>
      </c>
      <c r="J1529" s="7" t="s">
        <v>172</v>
      </c>
      <c r="K1529" s="7"/>
      <c r="L1529" s="7" t="s">
        <v>167</v>
      </c>
      <c r="M1529" s="7" t="s">
        <v>5212</v>
      </c>
      <c r="N1529" s="7" t="s">
        <v>170</v>
      </c>
      <c r="O1529" s="7" t="s">
        <v>163</v>
      </c>
      <c r="P1529" s="7" t="s">
        <v>6986</v>
      </c>
      <c r="Q1529" s="129">
        <v>46199</v>
      </c>
      <c r="R1529" s="130">
        <f t="shared" si="174"/>
        <v>46206</v>
      </c>
      <c r="S1529" s="131">
        <f t="shared" si="173"/>
        <v>7</v>
      </c>
      <c r="T1529" s="7" t="s">
        <v>10635</v>
      </c>
      <c r="U1529" s="7" t="s">
        <v>409</v>
      </c>
      <c r="V1529" s="7"/>
      <c r="W1529" s="7">
        <v>78.819999999999993</v>
      </c>
      <c r="X1529" s="132">
        <f t="shared" si="171"/>
        <v>10</v>
      </c>
      <c r="Y1529" s="133"/>
      <c r="Z1529" s="133"/>
      <c r="AA1529" s="133"/>
    </row>
    <row r="1530" spans="1:27" hidden="1" x14ac:dyDescent="0.25">
      <c r="A1530" s="127">
        <v>1678</v>
      </c>
      <c r="B1530" s="128" t="str">
        <f t="shared" si="172"/>
        <v>UYCT</v>
      </c>
      <c r="C1530" s="128" t="str">
        <f>+VLOOKUP(U1530,Ходим!A:B,2,0)</f>
        <v>31007942140083</v>
      </c>
      <c r="D1530" s="128" t="str">
        <f>IFERROR(VLOOKUP($B:$B,[20]свод!$A:$AB,3,0)," ")</f>
        <v>Уйчи тумани</v>
      </c>
      <c r="E1530" s="7" t="s">
        <v>2667</v>
      </c>
      <c r="F1530" s="7" t="s">
        <v>9055</v>
      </c>
      <c r="G1530" s="134">
        <f t="shared" si="175"/>
        <v>1</v>
      </c>
      <c r="H1530" s="134" t="str">
        <f t="shared" si="176"/>
        <v/>
      </c>
      <c r="I1530" s="7" t="s">
        <v>158</v>
      </c>
      <c r="J1530" s="7" t="s">
        <v>35</v>
      </c>
      <c r="K1530" s="7"/>
      <c r="L1530" s="7" t="s">
        <v>167</v>
      </c>
      <c r="M1530" s="7" t="s">
        <v>5213</v>
      </c>
      <c r="N1530" s="7" t="s">
        <v>170</v>
      </c>
      <c r="O1530" s="7" t="s">
        <v>163</v>
      </c>
      <c r="P1530" s="7" t="s">
        <v>6986</v>
      </c>
      <c r="Q1530" s="129">
        <v>46199</v>
      </c>
      <c r="R1530" s="130">
        <f t="shared" si="174"/>
        <v>46206</v>
      </c>
      <c r="S1530" s="131">
        <f t="shared" si="173"/>
        <v>7</v>
      </c>
      <c r="T1530" s="7" t="s">
        <v>379</v>
      </c>
      <c r="U1530" s="7" t="s">
        <v>263</v>
      </c>
      <c r="V1530" s="7"/>
      <c r="W1530" s="7">
        <v>43.34</v>
      </c>
      <c r="X1530" s="132">
        <f t="shared" si="171"/>
        <v>10</v>
      </c>
      <c r="Y1530" s="133"/>
      <c r="Z1530" s="133"/>
      <c r="AA1530" s="133"/>
    </row>
    <row r="1531" spans="1:27" hidden="1" x14ac:dyDescent="0.25">
      <c r="A1531" s="127">
        <v>1679</v>
      </c>
      <c r="B1531" s="128" t="str">
        <f t="shared" si="172"/>
        <v>CHUT</v>
      </c>
      <c r="C1531" s="128" t="str">
        <f>+VLOOKUP(U1531,Ходим!A:B,2,0)</f>
        <v>32304995970021</v>
      </c>
      <c r="D1531" s="128" t="str">
        <f>IFERROR(VLOOKUP($B:$B,[20]свод!$A:$AB,3,0)," ")</f>
        <v>Чуст тумани</v>
      </c>
      <c r="E1531" s="7" t="s">
        <v>2668</v>
      </c>
      <c r="F1531" s="7" t="s">
        <v>9056</v>
      </c>
      <c r="G1531" s="134">
        <f t="shared" si="175"/>
        <v>1</v>
      </c>
      <c r="H1531" s="134" t="str">
        <f t="shared" si="176"/>
        <v/>
      </c>
      <c r="I1531" s="7" t="s">
        <v>158</v>
      </c>
      <c r="J1531" s="7" t="s">
        <v>2</v>
      </c>
      <c r="K1531" s="7"/>
      <c r="L1531" s="7" t="s">
        <v>169</v>
      </c>
      <c r="M1531" s="7" t="s">
        <v>5214</v>
      </c>
      <c r="N1531" s="7" t="s">
        <v>170</v>
      </c>
      <c r="O1531" s="7" t="s">
        <v>163</v>
      </c>
      <c r="P1531" s="7" t="s">
        <v>6986</v>
      </c>
      <c r="Q1531" s="129">
        <v>46199</v>
      </c>
      <c r="R1531" s="130">
        <f t="shared" si="174"/>
        <v>46203</v>
      </c>
      <c r="S1531" s="131">
        <f t="shared" si="173"/>
        <v>4</v>
      </c>
      <c r="T1531" s="7" t="s">
        <v>178</v>
      </c>
      <c r="U1531" s="7" t="s">
        <v>938</v>
      </c>
      <c r="V1531" s="7"/>
      <c r="W1531" s="7">
        <v>0</v>
      </c>
      <c r="X1531" s="132">
        <f t="shared" si="171"/>
        <v>7</v>
      </c>
      <c r="Y1531" s="133"/>
      <c r="Z1531" s="133"/>
      <c r="AA1531" s="133"/>
    </row>
    <row r="1532" spans="1:27" hidden="1" x14ac:dyDescent="0.25">
      <c r="A1532" s="127">
        <v>1680</v>
      </c>
      <c r="B1532" s="128" t="str">
        <f t="shared" si="172"/>
        <v>TORT</v>
      </c>
      <c r="C1532" s="128" t="str">
        <f>+VLOOKUP(U1532,Ходим!A:B,2,0)</f>
        <v>50908015920034</v>
      </c>
      <c r="D1532" s="128" t="str">
        <f>IFERROR(VLOOKUP($B:$B,[20]свод!$A:$AB,3,0)," ")</f>
        <v>Тўрақўрғон тумани</v>
      </c>
      <c r="E1532" s="7" t="s">
        <v>2669</v>
      </c>
      <c r="F1532" s="7" t="s">
        <v>9057</v>
      </c>
      <c r="G1532" s="134">
        <f t="shared" si="175"/>
        <v>1</v>
      </c>
      <c r="H1532" s="134" t="str">
        <f t="shared" si="176"/>
        <v/>
      </c>
      <c r="I1532" s="7" t="s">
        <v>158</v>
      </c>
      <c r="J1532" s="7" t="s">
        <v>172</v>
      </c>
      <c r="K1532" s="7"/>
      <c r="L1532" s="7" t="s">
        <v>167</v>
      </c>
      <c r="M1532" s="7" t="s">
        <v>5215</v>
      </c>
      <c r="N1532" s="7" t="s">
        <v>170</v>
      </c>
      <c r="O1532" s="7" t="s">
        <v>162</v>
      </c>
      <c r="P1532" s="7" t="s">
        <v>6986</v>
      </c>
      <c r="Q1532" s="129">
        <v>46199</v>
      </c>
      <c r="R1532" s="130">
        <f t="shared" si="174"/>
        <v>46206</v>
      </c>
      <c r="S1532" s="131">
        <f t="shared" si="173"/>
        <v>7</v>
      </c>
      <c r="T1532" s="7" t="s">
        <v>203</v>
      </c>
      <c r="U1532" s="7" t="s">
        <v>205</v>
      </c>
      <c r="V1532" s="7"/>
      <c r="W1532" s="7">
        <v>237.4</v>
      </c>
      <c r="X1532" s="132">
        <f t="shared" si="171"/>
        <v>10</v>
      </c>
      <c r="Y1532" s="133"/>
      <c r="Z1532" s="133"/>
      <c r="AA1532" s="133"/>
    </row>
    <row r="1533" spans="1:27" hidden="1" x14ac:dyDescent="0.25">
      <c r="A1533" s="127">
        <v>1681</v>
      </c>
      <c r="B1533" s="128" t="str">
        <f t="shared" si="172"/>
        <v>POPT</v>
      </c>
      <c r="C1533" s="128" t="str">
        <f>+VLOOKUP(U1533,Ходим!A:B,2,0)</f>
        <v>32901912210017</v>
      </c>
      <c r="D1533" s="128" t="str">
        <f>IFERROR(VLOOKUP($B:$B,[20]свод!$A:$AB,3,0)," ")</f>
        <v>Поп тумани</v>
      </c>
      <c r="E1533" s="7" t="s">
        <v>2670</v>
      </c>
      <c r="F1533" s="7" t="s">
        <v>9058</v>
      </c>
      <c r="G1533" s="134">
        <f t="shared" si="175"/>
        <v>1</v>
      </c>
      <c r="H1533" s="134" t="str">
        <f t="shared" si="176"/>
        <v/>
      </c>
      <c r="I1533" s="7" t="s">
        <v>158</v>
      </c>
      <c r="J1533" s="7" t="s">
        <v>2</v>
      </c>
      <c r="K1533" s="7"/>
      <c r="L1533" s="7"/>
      <c r="M1533" s="7"/>
      <c r="N1533" s="7" t="s">
        <v>170</v>
      </c>
      <c r="O1533" s="7" t="s">
        <v>162</v>
      </c>
      <c r="P1533" s="7" t="s">
        <v>6987</v>
      </c>
      <c r="Q1533" s="129">
        <v>46199</v>
      </c>
      <c r="R1533" s="130">
        <f t="shared" si="174"/>
        <v>46202</v>
      </c>
      <c r="S1533" s="131">
        <f t="shared" si="173"/>
        <v>3</v>
      </c>
      <c r="T1533" s="7" t="s">
        <v>214</v>
      </c>
      <c r="U1533" s="7" t="s">
        <v>215</v>
      </c>
      <c r="V1533" s="7"/>
      <c r="W1533" s="7"/>
      <c r="X1533" s="132">
        <f t="shared" si="171"/>
        <v>10</v>
      </c>
      <c r="Y1533" s="133"/>
      <c r="Z1533" s="133"/>
      <c r="AA1533" s="133"/>
    </row>
    <row r="1534" spans="1:27" hidden="1" x14ac:dyDescent="0.25">
      <c r="A1534" s="127">
        <v>1682</v>
      </c>
      <c r="B1534" s="128" t="str">
        <f t="shared" si="172"/>
        <v>NAMS</v>
      </c>
      <c r="C1534" s="128" t="str">
        <f>+VLOOKUP(U1534,Ходим!A:B,2,0)</f>
        <v>32211885960016</v>
      </c>
      <c r="D1534" s="128" t="str">
        <f>IFERROR(VLOOKUP($B:$B,[20]свод!$A:$AB,3,0)," ")</f>
        <v>Наманган шаҳар</v>
      </c>
      <c r="E1534" s="7" t="s">
        <v>2671</v>
      </c>
      <c r="F1534" s="7"/>
      <c r="G1534" s="134" t="str">
        <f t="shared" si="175"/>
        <v/>
      </c>
      <c r="H1534" s="134">
        <f t="shared" si="176"/>
        <v>1</v>
      </c>
      <c r="I1534" s="7" t="s">
        <v>154</v>
      </c>
      <c r="J1534" s="7" t="s">
        <v>1</v>
      </c>
      <c r="K1534" s="7"/>
      <c r="L1534" s="7" t="s">
        <v>166</v>
      </c>
      <c r="M1534" s="7" t="s">
        <v>5216</v>
      </c>
      <c r="N1534" s="7" t="s">
        <v>368</v>
      </c>
      <c r="O1534" s="7"/>
      <c r="P1534" s="7" t="s">
        <v>6988</v>
      </c>
      <c r="Q1534" s="129">
        <v>46199</v>
      </c>
      <c r="R1534" s="130">
        <f t="shared" si="174"/>
        <v>46205</v>
      </c>
      <c r="S1534" s="131">
        <f t="shared" si="173"/>
        <v>6</v>
      </c>
      <c r="T1534" s="7" t="s">
        <v>227</v>
      </c>
      <c r="U1534" s="7" t="s">
        <v>279</v>
      </c>
      <c r="V1534" s="7"/>
      <c r="W1534" s="7">
        <v>143.1</v>
      </c>
      <c r="X1534" s="132">
        <f t="shared" si="171"/>
        <v>5</v>
      </c>
      <c r="Y1534" s="133"/>
      <c r="Z1534" s="133"/>
      <c r="AA1534" s="133"/>
    </row>
    <row r="1535" spans="1:27" hidden="1" x14ac:dyDescent="0.25">
      <c r="A1535" s="127">
        <v>1683</v>
      </c>
      <c r="B1535" s="128" t="str">
        <f t="shared" si="172"/>
        <v>NAMS</v>
      </c>
      <c r="C1535" s="128" t="str">
        <f>+VLOOKUP(U1535,Ходим!A:B,2,0)</f>
        <v>31312985950011</v>
      </c>
      <c r="D1535" s="128" t="str">
        <f>IFERROR(VLOOKUP($B:$B,[20]свод!$A:$AB,3,0)," ")</f>
        <v>Наманган шаҳар</v>
      </c>
      <c r="E1535" s="7" t="s">
        <v>2672</v>
      </c>
      <c r="F1535" s="7" t="s">
        <v>9059</v>
      </c>
      <c r="G1535" s="134">
        <f t="shared" si="175"/>
        <v>1</v>
      </c>
      <c r="H1535" s="134" t="str">
        <f t="shared" si="176"/>
        <v/>
      </c>
      <c r="I1535" s="7" t="s">
        <v>158</v>
      </c>
      <c r="J1535" s="7" t="s">
        <v>1</v>
      </c>
      <c r="K1535" s="7"/>
      <c r="L1535" s="7" t="s">
        <v>167</v>
      </c>
      <c r="M1535" s="7" t="s">
        <v>5217</v>
      </c>
      <c r="N1535" s="7" t="s">
        <v>170</v>
      </c>
      <c r="O1535" s="7" t="s">
        <v>162</v>
      </c>
      <c r="P1535" s="7" t="s">
        <v>6989</v>
      </c>
      <c r="Q1535" s="129">
        <v>46199</v>
      </c>
      <c r="R1535" s="130">
        <f t="shared" si="174"/>
        <v>46202</v>
      </c>
      <c r="S1535" s="131">
        <f t="shared" si="173"/>
        <v>3</v>
      </c>
      <c r="T1535" s="7" t="s">
        <v>185</v>
      </c>
      <c r="U1535" s="7" t="s">
        <v>303</v>
      </c>
      <c r="V1535" s="7"/>
      <c r="W1535" s="7">
        <v>157.22999999999999</v>
      </c>
      <c r="X1535" s="132">
        <f t="shared" si="171"/>
        <v>10</v>
      </c>
      <c r="Y1535" s="133"/>
      <c r="Z1535" s="133"/>
      <c r="AA1535" s="133"/>
    </row>
    <row r="1536" spans="1:27" hidden="1" x14ac:dyDescent="0.25">
      <c r="A1536" s="127">
        <v>1684</v>
      </c>
      <c r="B1536" s="128" t="str">
        <f t="shared" si="172"/>
        <v>NAMT</v>
      </c>
      <c r="C1536" s="128">
        <f>+VLOOKUP(U1536,Ходим!A:B,2,0)</f>
        <v>32712932090068</v>
      </c>
      <c r="D1536" s="128" t="str">
        <f>IFERROR(VLOOKUP($B:$B,[20]свод!$A:$AB,3,0)," ")</f>
        <v>Наманган тумани</v>
      </c>
      <c r="E1536" s="7" t="s">
        <v>2673</v>
      </c>
      <c r="F1536" s="7" t="s">
        <v>9060</v>
      </c>
      <c r="G1536" s="134">
        <f t="shared" si="175"/>
        <v>1</v>
      </c>
      <c r="H1536" s="134" t="str">
        <f t="shared" si="176"/>
        <v/>
      </c>
      <c r="I1536" s="7" t="s">
        <v>158</v>
      </c>
      <c r="J1536" s="7" t="s">
        <v>16</v>
      </c>
      <c r="K1536" s="7"/>
      <c r="L1536" s="7" t="s">
        <v>167</v>
      </c>
      <c r="M1536" s="7" t="s">
        <v>5218</v>
      </c>
      <c r="N1536" s="7" t="s">
        <v>170</v>
      </c>
      <c r="O1536" s="7" t="s">
        <v>162</v>
      </c>
      <c r="P1536" s="7" t="s">
        <v>6989</v>
      </c>
      <c r="Q1536" s="129">
        <v>46199</v>
      </c>
      <c r="R1536" s="130">
        <f t="shared" si="174"/>
        <v>46202</v>
      </c>
      <c r="S1536" s="131">
        <f t="shared" si="173"/>
        <v>3</v>
      </c>
      <c r="T1536" s="7" t="s">
        <v>197</v>
      </c>
      <c r="U1536" s="7" t="s">
        <v>1016</v>
      </c>
      <c r="V1536" s="7"/>
      <c r="W1536" s="7">
        <v>219.81</v>
      </c>
      <c r="X1536" s="132">
        <f t="shared" si="171"/>
        <v>10</v>
      </c>
      <c r="Y1536" s="133"/>
      <c r="Z1536" s="133"/>
      <c r="AA1536" s="133"/>
    </row>
    <row r="1537" spans="1:27" hidden="1" x14ac:dyDescent="0.25">
      <c r="A1537" s="127">
        <v>1685</v>
      </c>
      <c r="B1537" s="128" t="str">
        <f t="shared" si="172"/>
        <v>UCQT</v>
      </c>
      <c r="C1537" s="128" t="str">
        <f>+VLOOKUP(U1537,Ходим!A:B,2,0)</f>
        <v>31402915940019</v>
      </c>
      <c r="D1537" s="128" t="str">
        <f>IFERROR(VLOOKUP($B:$B,[20]свод!$A:$AB,3,0)," ")</f>
        <v>Учқўрғон тумани</v>
      </c>
      <c r="E1537" s="7" t="s">
        <v>2674</v>
      </c>
      <c r="F1537" s="7" t="s">
        <v>9061</v>
      </c>
      <c r="G1537" s="134">
        <f t="shared" si="175"/>
        <v>1</v>
      </c>
      <c r="H1537" s="134" t="str">
        <f t="shared" si="176"/>
        <v/>
      </c>
      <c r="I1537" s="7" t="s">
        <v>158</v>
      </c>
      <c r="J1537" s="7" t="s">
        <v>2</v>
      </c>
      <c r="K1537" s="7"/>
      <c r="L1537" s="7" t="s">
        <v>167</v>
      </c>
      <c r="M1537" s="7" t="s">
        <v>5219</v>
      </c>
      <c r="N1537" s="7" t="s">
        <v>170</v>
      </c>
      <c r="O1537" s="7" t="s">
        <v>162</v>
      </c>
      <c r="P1537" s="7" t="s">
        <v>6990</v>
      </c>
      <c r="Q1537" s="129">
        <v>46199</v>
      </c>
      <c r="R1537" s="130">
        <f t="shared" si="174"/>
        <v>46202</v>
      </c>
      <c r="S1537" s="131">
        <f t="shared" si="173"/>
        <v>3</v>
      </c>
      <c r="T1537" s="7" t="s">
        <v>175</v>
      </c>
      <c r="U1537" s="7" t="s">
        <v>292</v>
      </c>
      <c r="V1537" s="7"/>
      <c r="W1537" s="7">
        <v>319.7</v>
      </c>
      <c r="X1537" s="132">
        <f t="shared" si="171"/>
        <v>10</v>
      </c>
      <c r="Y1537" s="133"/>
      <c r="Z1537" s="133"/>
      <c r="AA1537" s="133"/>
    </row>
    <row r="1538" spans="1:27" hidden="1" x14ac:dyDescent="0.25">
      <c r="A1538" s="127">
        <v>1686</v>
      </c>
      <c r="B1538" s="128" t="str">
        <f t="shared" si="172"/>
        <v>MINT</v>
      </c>
      <c r="C1538" s="128" t="str">
        <f>+VLOOKUP(U1538,Ходим!A:B,2,0)</f>
        <v>30910905990010</v>
      </c>
      <c r="D1538" s="128" t="str">
        <f>IFERROR(VLOOKUP($B:$B,[20]свод!$A:$AB,3,0)," ")</f>
        <v>Мингбулоқ тумани</v>
      </c>
      <c r="E1538" s="7" t="s">
        <v>2675</v>
      </c>
      <c r="F1538" s="7" t="s">
        <v>9062</v>
      </c>
      <c r="G1538" s="134">
        <f t="shared" si="175"/>
        <v>1</v>
      </c>
      <c r="H1538" s="134" t="str">
        <f t="shared" si="176"/>
        <v/>
      </c>
      <c r="I1538" s="7" t="s">
        <v>158</v>
      </c>
      <c r="J1538" s="7" t="s">
        <v>1</v>
      </c>
      <c r="K1538" s="7"/>
      <c r="L1538" s="7" t="s">
        <v>167</v>
      </c>
      <c r="M1538" s="7" t="s">
        <v>5220</v>
      </c>
      <c r="N1538" s="7" t="s">
        <v>170</v>
      </c>
      <c r="O1538" s="7" t="s">
        <v>162</v>
      </c>
      <c r="P1538" s="7" t="s">
        <v>6990</v>
      </c>
      <c r="Q1538" s="129">
        <v>46199</v>
      </c>
      <c r="R1538" s="130">
        <f t="shared" si="174"/>
        <v>46202</v>
      </c>
      <c r="S1538" s="131">
        <f t="shared" si="173"/>
        <v>3</v>
      </c>
      <c r="T1538" s="7" t="s">
        <v>220</v>
      </c>
      <c r="U1538" s="7" t="s">
        <v>221</v>
      </c>
      <c r="V1538" s="7"/>
      <c r="W1538" s="7">
        <v>112.2</v>
      </c>
      <c r="X1538" s="132">
        <f t="shared" si="171"/>
        <v>10</v>
      </c>
      <c r="Y1538" s="133"/>
      <c r="Z1538" s="133"/>
      <c r="AA1538" s="133"/>
    </row>
    <row r="1539" spans="1:27" hidden="1" x14ac:dyDescent="0.25">
      <c r="A1539" s="127">
        <v>1687</v>
      </c>
      <c r="B1539" s="128" t="str">
        <f t="shared" si="172"/>
        <v>MINT</v>
      </c>
      <c r="C1539" s="128" t="str">
        <f>+VLOOKUP(U1539,Ходим!A:B,2,0)</f>
        <v>30910905990010</v>
      </c>
      <c r="D1539" s="128" t="str">
        <f>IFERROR(VLOOKUP($B:$B,[20]свод!$A:$AB,3,0)," ")</f>
        <v>Мингбулоқ тумани</v>
      </c>
      <c r="E1539" s="7" t="s">
        <v>2676</v>
      </c>
      <c r="F1539" s="7" t="s">
        <v>9063</v>
      </c>
      <c r="G1539" s="134">
        <f t="shared" si="175"/>
        <v>1</v>
      </c>
      <c r="H1539" s="134" t="str">
        <f t="shared" si="176"/>
        <v/>
      </c>
      <c r="I1539" s="7" t="s">
        <v>158</v>
      </c>
      <c r="J1539" s="7" t="s">
        <v>1</v>
      </c>
      <c r="K1539" s="7"/>
      <c r="L1539" s="7" t="s">
        <v>167</v>
      </c>
      <c r="M1539" s="7" t="s">
        <v>5221</v>
      </c>
      <c r="N1539" s="7" t="s">
        <v>170</v>
      </c>
      <c r="O1539" s="7" t="s">
        <v>162</v>
      </c>
      <c r="P1539" s="7" t="s">
        <v>6990</v>
      </c>
      <c r="Q1539" s="129">
        <v>46199</v>
      </c>
      <c r="R1539" s="130">
        <f t="shared" si="174"/>
        <v>46202</v>
      </c>
      <c r="S1539" s="131">
        <f t="shared" si="173"/>
        <v>3</v>
      </c>
      <c r="T1539" s="7" t="s">
        <v>220</v>
      </c>
      <c r="U1539" s="7" t="s">
        <v>221</v>
      </c>
      <c r="V1539" s="7"/>
      <c r="W1539" s="7">
        <v>47.79</v>
      </c>
      <c r="X1539" s="132">
        <f t="shared" si="171"/>
        <v>10</v>
      </c>
      <c r="Y1539" s="133"/>
      <c r="Z1539" s="133"/>
      <c r="AA1539" s="133"/>
    </row>
    <row r="1540" spans="1:27" hidden="1" x14ac:dyDescent="0.25">
      <c r="A1540" s="127">
        <v>1688</v>
      </c>
      <c r="B1540" s="128" t="str">
        <f t="shared" si="172"/>
        <v>NAMS</v>
      </c>
      <c r="C1540" s="128" t="str">
        <f>+VLOOKUP(U1540,Ходим!A:B,2,0)</f>
        <v>31608732170178</v>
      </c>
      <c r="D1540" s="128" t="str">
        <f>IFERROR(VLOOKUP($B:$B,[20]свод!$A:$AB,3,0)," ")</f>
        <v>Наманган шаҳар</v>
      </c>
      <c r="E1540" s="7" t="s">
        <v>2677</v>
      </c>
      <c r="F1540" s="7" t="s">
        <v>9064</v>
      </c>
      <c r="G1540" s="134">
        <f t="shared" si="175"/>
        <v>1</v>
      </c>
      <c r="H1540" s="134" t="str">
        <f t="shared" si="176"/>
        <v/>
      </c>
      <c r="I1540" s="7" t="s">
        <v>156</v>
      </c>
      <c r="J1540" s="7" t="s">
        <v>25</v>
      </c>
      <c r="K1540" s="7"/>
      <c r="L1540" s="7"/>
      <c r="M1540" s="7"/>
      <c r="N1540" s="7" t="s">
        <v>170</v>
      </c>
      <c r="O1540" s="7" t="s">
        <v>162</v>
      </c>
      <c r="P1540" s="7" t="s">
        <v>6991</v>
      </c>
      <c r="Q1540" s="129">
        <v>46199</v>
      </c>
      <c r="R1540" s="130">
        <f t="shared" si="174"/>
        <v>46206</v>
      </c>
      <c r="S1540" s="131">
        <f t="shared" si="173"/>
        <v>7</v>
      </c>
      <c r="T1540" s="7" t="s">
        <v>173</v>
      </c>
      <c r="U1540" s="7" t="s">
        <v>267</v>
      </c>
      <c r="V1540" s="7"/>
      <c r="W1540" s="7"/>
      <c r="X1540" s="132">
        <f t="shared" si="171"/>
        <v>10</v>
      </c>
      <c r="Y1540" s="133"/>
      <c r="Z1540" s="133"/>
      <c r="AA1540" s="133"/>
    </row>
    <row r="1541" spans="1:27" hidden="1" x14ac:dyDescent="0.25">
      <c r="A1541" s="127">
        <v>1689</v>
      </c>
      <c r="B1541" s="128" t="str">
        <f t="shared" si="172"/>
        <v>NAMT</v>
      </c>
      <c r="C1541" s="128">
        <f>+VLOOKUP(U1541,Ходим!A:B,2,0)</f>
        <v>52908045880018</v>
      </c>
      <c r="D1541" s="128" t="str">
        <f>IFERROR(VLOOKUP($B:$B,[20]свод!$A:$AB,3,0)," ")</f>
        <v>Наманган тумани</v>
      </c>
      <c r="E1541" s="7" t="s">
        <v>2678</v>
      </c>
      <c r="F1541" s="7" t="s">
        <v>9065</v>
      </c>
      <c r="G1541" s="134" t="str">
        <f t="shared" si="175"/>
        <v/>
      </c>
      <c r="H1541" s="134">
        <f t="shared" si="176"/>
        <v>1</v>
      </c>
      <c r="I1541" s="7" t="s">
        <v>157</v>
      </c>
      <c r="J1541" s="7" t="s">
        <v>2</v>
      </c>
      <c r="K1541" s="7"/>
      <c r="L1541" s="7" t="s">
        <v>168</v>
      </c>
      <c r="M1541" s="7" t="s">
        <v>1139</v>
      </c>
      <c r="N1541" s="7" t="s">
        <v>170</v>
      </c>
      <c r="O1541" s="7" t="s">
        <v>161</v>
      </c>
      <c r="P1541" s="7" t="s">
        <v>6991</v>
      </c>
      <c r="Q1541" s="129">
        <v>46199</v>
      </c>
      <c r="R1541" s="130">
        <f t="shared" si="174"/>
        <v>46203</v>
      </c>
      <c r="S1541" s="131">
        <f t="shared" si="173"/>
        <v>4</v>
      </c>
      <c r="T1541" s="7" t="s">
        <v>193</v>
      </c>
      <c r="U1541" s="7" t="s">
        <v>982</v>
      </c>
      <c r="V1541" s="7"/>
      <c r="W1541" s="7">
        <v>0</v>
      </c>
      <c r="X1541" s="132">
        <f t="shared" si="171"/>
        <v>7</v>
      </c>
      <c r="Y1541" s="133"/>
      <c r="Z1541" s="133"/>
      <c r="AA1541" s="133"/>
    </row>
    <row r="1542" spans="1:27" hidden="1" x14ac:dyDescent="0.25">
      <c r="A1542" s="127">
        <v>1690</v>
      </c>
      <c r="B1542" s="128" t="str">
        <f t="shared" si="172"/>
        <v>UYCT</v>
      </c>
      <c r="C1542" s="128" t="str">
        <f>+VLOOKUP(U1542,Ходим!A:B,2,0)</f>
        <v>52009025890053</v>
      </c>
      <c r="D1542" s="128" t="str">
        <f>IFERROR(VLOOKUP($B:$B,[20]свод!$A:$AB,3,0)," ")</f>
        <v>Уйчи тумани</v>
      </c>
      <c r="E1542" s="7" t="s">
        <v>2679</v>
      </c>
      <c r="F1542" s="7" t="s">
        <v>9066</v>
      </c>
      <c r="G1542" s="134">
        <f t="shared" si="175"/>
        <v>1</v>
      </c>
      <c r="H1542" s="134" t="str">
        <f t="shared" si="176"/>
        <v/>
      </c>
      <c r="I1542" s="7" t="s">
        <v>156</v>
      </c>
      <c r="J1542" s="7" t="s">
        <v>22</v>
      </c>
      <c r="K1542" s="7"/>
      <c r="L1542" s="7" t="s">
        <v>167</v>
      </c>
      <c r="M1542" s="7" t="s">
        <v>5222</v>
      </c>
      <c r="N1542" s="7" t="s">
        <v>410</v>
      </c>
      <c r="O1542" s="7" t="s">
        <v>162</v>
      </c>
      <c r="P1542" s="7" t="s">
        <v>6948</v>
      </c>
      <c r="Q1542" s="129">
        <v>46199</v>
      </c>
      <c r="R1542" s="130">
        <f t="shared" si="174"/>
        <v>46212</v>
      </c>
      <c r="S1542" s="131">
        <f t="shared" si="173"/>
        <v>13</v>
      </c>
      <c r="T1542" s="7" t="s">
        <v>947</v>
      </c>
      <c r="U1542" s="7" t="s">
        <v>407</v>
      </c>
      <c r="V1542" s="7"/>
      <c r="W1542" s="7">
        <v>227.73</v>
      </c>
      <c r="X1542" s="132">
        <f t="shared" si="171"/>
        <v>10</v>
      </c>
      <c r="Y1542" s="133"/>
      <c r="Z1542" s="133"/>
      <c r="AA1542" s="133"/>
    </row>
    <row r="1543" spans="1:27" x14ac:dyDescent="0.25">
      <c r="A1543" s="127">
        <v>1691</v>
      </c>
      <c r="B1543" s="128" t="str">
        <f t="shared" si="172"/>
        <v>CHOT</v>
      </c>
      <c r="C1543" s="128" t="e">
        <f>+VLOOKUP(U1543,Ходим!A:B,2,0)</f>
        <v>#N/A</v>
      </c>
      <c r="D1543" s="128" t="str">
        <f>IFERROR(VLOOKUP($B:$B,[20]свод!$A:$AB,3,0)," ")</f>
        <v>Чортоқ тумани</v>
      </c>
      <c r="E1543" s="7" t="s">
        <v>2680</v>
      </c>
      <c r="F1543" s="7" t="s">
        <v>9067</v>
      </c>
      <c r="G1543" s="134">
        <f t="shared" si="175"/>
        <v>1</v>
      </c>
      <c r="H1543" s="134" t="str">
        <f t="shared" si="176"/>
        <v/>
      </c>
      <c r="I1543" s="7" t="s">
        <v>160</v>
      </c>
      <c r="J1543" s="7" t="s">
        <v>104</v>
      </c>
      <c r="K1543" s="7" t="s">
        <v>10627</v>
      </c>
      <c r="L1543" s="7" t="s">
        <v>167</v>
      </c>
      <c r="M1543" s="7" t="s">
        <v>5223</v>
      </c>
      <c r="N1543" s="7" t="s">
        <v>171</v>
      </c>
      <c r="O1543" s="7" t="s">
        <v>164</v>
      </c>
      <c r="P1543" s="7" t="s">
        <v>6992</v>
      </c>
      <c r="Q1543" s="129">
        <v>46199</v>
      </c>
      <c r="R1543" s="130">
        <f t="shared" si="174"/>
        <v>46199</v>
      </c>
      <c r="S1543" s="131">
        <f t="shared" si="173"/>
        <v>0</v>
      </c>
      <c r="T1543" s="7"/>
      <c r="U1543" s="7"/>
      <c r="V1543" s="7"/>
      <c r="W1543" s="7">
        <v>272</v>
      </c>
      <c r="X1543" s="132">
        <f t="shared" si="171"/>
        <v>1</v>
      </c>
      <c r="Y1543" s="133"/>
      <c r="Z1543" s="133"/>
      <c r="AA1543" s="133"/>
    </row>
    <row r="1544" spans="1:27" hidden="1" x14ac:dyDescent="0.25">
      <c r="A1544" s="127">
        <v>1692</v>
      </c>
      <c r="B1544" s="128" t="str">
        <f t="shared" si="172"/>
        <v>YGQT</v>
      </c>
      <c r="C1544" s="128" t="e">
        <f>+VLOOKUP(U1544,Ходим!A:B,2,0)</f>
        <v>#N/A</v>
      </c>
      <c r="D1544" s="128" t="str">
        <f>IFERROR(VLOOKUP($B:$B,[20]свод!$A:$AB,3,0)," ")</f>
        <v>Янгиқўрғон тумани</v>
      </c>
      <c r="E1544" s="7" t="s">
        <v>2681</v>
      </c>
      <c r="F1544" s="7" t="s">
        <v>9068</v>
      </c>
      <c r="G1544" s="134">
        <f t="shared" si="175"/>
        <v>1</v>
      </c>
      <c r="H1544" s="134" t="str">
        <f t="shared" si="176"/>
        <v/>
      </c>
      <c r="I1544" s="7" t="s">
        <v>156</v>
      </c>
      <c r="J1544" s="7" t="s">
        <v>21</v>
      </c>
      <c r="K1544" s="7"/>
      <c r="L1544" s="7"/>
      <c r="M1544" s="7"/>
      <c r="N1544" s="7" t="s">
        <v>170</v>
      </c>
      <c r="O1544" s="7" t="s">
        <v>162</v>
      </c>
      <c r="P1544" s="7" t="s">
        <v>6992</v>
      </c>
      <c r="Q1544" s="129">
        <v>46199</v>
      </c>
      <c r="R1544" s="130">
        <f t="shared" si="174"/>
        <v>46212</v>
      </c>
      <c r="S1544" s="131">
        <f t="shared" si="173"/>
        <v>13</v>
      </c>
      <c r="T1544" s="7" t="s">
        <v>182</v>
      </c>
      <c r="U1544" s="7"/>
      <c r="V1544" s="7"/>
      <c r="W1544" s="7"/>
      <c r="X1544" s="132">
        <f t="shared" si="171"/>
        <v>10</v>
      </c>
      <c r="Y1544" s="133"/>
      <c r="Z1544" s="133"/>
      <c r="AA1544" s="133"/>
    </row>
    <row r="1545" spans="1:27" hidden="1" x14ac:dyDescent="0.25">
      <c r="A1545" s="127">
        <v>1693</v>
      </c>
      <c r="B1545" s="128" t="str">
        <f t="shared" si="172"/>
        <v>NAMS</v>
      </c>
      <c r="C1545" s="128" t="str">
        <f>+VLOOKUP(U1545,Ходим!A:B,2,0)</f>
        <v>31309942170160</v>
      </c>
      <c r="D1545" s="128" t="str">
        <f>IFERROR(VLOOKUP($B:$B,[20]свод!$A:$AB,3,0)," ")</f>
        <v>Наманган шаҳар</v>
      </c>
      <c r="E1545" s="7" t="s">
        <v>2682</v>
      </c>
      <c r="F1545" s="7" t="s">
        <v>9069</v>
      </c>
      <c r="G1545" s="134" t="str">
        <f t="shared" si="175"/>
        <v/>
      </c>
      <c r="H1545" s="134">
        <f t="shared" si="176"/>
        <v>1</v>
      </c>
      <c r="I1545" s="7" t="s">
        <v>155</v>
      </c>
      <c r="J1545" s="7" t="s">
        <v>25</v>
      </c>
      <c r="K1545" s="7"/>
      <c r="L1545" s="7" t="s">
        <v>166</v>
      </c>
      <c r="M1545" s="7" t="s">
        <v>5224</v>
      </c>
      <c r="N1545" s="7" t="s">
        <v>170</v>
      </c>
      <c r="O1545" s="7" t="s">
        <v>161</v>
      </c>
      <c r="P1545" s="7" t="s">
        <v>6992</v>
      </c>
      <c r="Q1545" s="129">
        <v>46199</v>
      </c>
      <c r="R1545" s="130">
        <f t="shared" si="174"/>
        <v>46216</v>
      </c>
      <c r="S1545" s="131">
        <f t="shared" si="173"/>
        <v>17</v>
      </c>
      <c r="T1545" s="7" t="s">
        <v>227</v>
      </c>
      <c r="U1545" s="7" t="s">
        <v>333</v>
      </c>
      <c r="V1545" s="7"/>
      <c r="W1545" s="7">
        <v>577.79999999999995</v>
      </c>
      <c r="X1545" s="132">
        <f t="shared" si="171"/>
        <v>12</v>
      </c>
      <c r="Y1545" s="133"/>
      <c r="Z1545" s="133"/>
      <c r="AA1545" s="133"/>
    </row>
    <row r="1546" spans="1:27" hidden="1" x14ac:dyDescent="0.25">
      <c r="A1546" s="127">
        <v>1694</v>
      </c>
      <c r="B1546" s="128" t="str">
        <f t="shared" si="172"/>
        <v>NAMT</v>
      </c>
      <c r="C1546" s="128" t="str">
        <f>+VLOOKUP(U1546,Ходим!A:B,2,0)</f>
        <v>32204892090133</v>
      </c>
      <c r="D1546" s="128" t="str">
        <f>IFERROR(VLOOKUP($B:$B,[20]свод!$A:$AB,3,0)," ")</f>
        <v>Наманган тумани</v>
      </c>
      <c r="E1546" s="7" t="s">
        <v>2683</v>
      </c>
      <c r="F1546" s="7" t="s">
        <v>9070</v>
      </c>
      <c r="G1546" s="134">
        <f t="shared" si="175"/>
        <v>1</v>
      </c>
      <c r="H1546" s="134" t="str">
        <f t="shared" si="176"/>
        <v/>
      </c>
      <c r="I1546" s="7" t="s">
        <v>158</v>
      </c>
      <c r="J1546" s="7" t="s">
        <v>13</v>
      </c>
      <c r="K1546" s="7"/>
      <c r="L1546" s="7" t="s">
        <v>167</v>
      </c>
      <c r="M1546" s="7" t="s">
        <v>1051</v>
      </c>
      <c r="N1546" s="7" t="s">
        <v>170</v>
      </c>
      <c r="O1546" s="7" t="s">
        <v>162</v>
      </c>
      <c r="P1546" s="7" t="s">
        <v>6979</v>
      </c>
      <c r="Q1546" s="129">
        <v>46199</v>
      </c>
      <c r="R1546" s="130">
        <f t="shared" si="174"/>
        <v>46202</v>
      </c>
      <c r="S1546" s="131">
        <f t="shared" si="173"/>
        <v>3</v>
      </c>
      <c r="T1546" s="7" t="s">
        <v>197</v>
      </c>
      <c r="U1546" s="7" t="s">
        <v>198</v>
      </c>
      <c r="V1546" s="7"/>
      <c r="W1546" s="7">
        <v>0</v>
      </c>
      <c r="X1546" s="132">
        <f t="shared" si="171"/>
        <v>10</v>
      </c>
      <c r="Y1546" s="133"/>
      <c r="Z1546" s="133"/>
      <c r="AA1546" s="133"/>
    </row>
    <row r="1547" spans="1:27" hidden="1" x14ac:dyDescent="0.25">
      <c r="A1547" s="127">
        <v>1695</v>
      </c>
      <c r="B1547" s="128" t="str">
        <f t="shared" si="172"/>
        <v>KSST</v>
      </c>
      <c r="C1547" s="128" t="str">
        <f>+VLOOKUP(U1547,Ходим!A:B,2,0)</f>
        <v>30205975980020</v>
      </c>
      <c r="D1547" s="128" t="str">
        <f>IFERROR(VLOOKUP($B:$B,[20]свод!$A:$AB,3,0)," ")</f>
        <v>Косонсой тумани</v>
      </c>
      <c r="E1547" s="7" t="s">
        <v>2684</v>
      </c>
      <c r="F1547" s="7" t="s">
        <v>9071</v>
      </c>
      <c r="G1547" s="134">
        <f t="shared" si="175"/>
        <v>1</v>
      </c>
      <c r="H1547" s="134" t="str">
        <f t="shared" si="176"/>
        <v/>
      </c>
      <c r="I1547" s="7" t="s">
        <v>158</v>
      </c>
      <c r="J1547" s="7" t="s">
        <v>36</v>
      </c>
      <c r="K1547" s="7"/>
      <c r="L1547" s="7" t="s">
        <v>167</v>
      </c>
      <c r="M1547" s="7" t="s">
        <v>5225</v>
      </c>
      <c r="N1547" s="7" t="s">
        <v>170</v>
      </c>
      <c r="O1547" s="7" t="s">
        <v>162</v>
      </c>
      <c r="P1547" s="7" t="s">
        <v>6993</v>
      </c>
      <c r="Q1547" s="129">
        <v>46199</v>
      </c>
      <c r="R1547" s="130">
        <f t="shared" si="174"/>
        <v>46202</v>
      </c>
      <c r="S1547" s="131">
        <f t="shared" si="173"/>
        <v>3</v>
      </c>
      <c r="T1547" s="7" t="s">
        <v>180</v>
      </c>
      <c r="U1547" s="7" t="s">
        <v>370</v>
      </c>
      <c r="V1547" s="7"/>
      <c r="W1547" s="7">
        <v>207.1</v>
      </c>
      <c r="X1547" s="132">
        <f t="shared" si="171"/>
        <v>10</v>
      </c>
      <c r="Y1547" s="133"/>
      <c r="Z1547" s="133"/>
      <c r="AA1547" s="133"/>
    </row>
    <row r="1548" spans="1:27" hidden="1" x14ac:dyDescent="0.25">
      <c r="A1548" s="127">
        <v>1696</v>
      </c>
      <c r="B1548" s="128" t="str">
        <f t="shared" si="172"/>
        <v>KSST</v>
      </c>
      <c r="C1548" s="128" t="str">
        <f>+VLOOKUP(U1548,Ходим!A:B,2,0)</f>
        <v>30205975980020</v>
      </c>
      <c r="D1548" s="128" t="str">
        <f>IFERROR(VLOOKUP($B:$B,[20]свод!$A:$AB,3,0)," ")</f>
        <v>Косонсой тумани</v>
      </c>
      <c r="E1548" s="7" t="s">
        <v>2685</v>
      </c>
      <c r="F1548" s="7" t="s">
        <v>9072</v>
      </c>
      <c r="G1548" s="134">
        <f t="shared" si="175"/>
        <v>1</v>
      </c>
      <c r="H1548" s="134" t="str">
        <f t="shared" si="176"/>
        <v/>
      </c>
      <c r="I1548" s="7" t="s">
        <v>158</v>
      </c>
      <c r="J1548" s="7" t="s">
        <v>2</v>
      </c>
      <c r="K1548" s="7"/>
      <c r="L1548" s="7" t="s">
        <v>167</v>
      </c>
      <c r="M1548" s="7" t="s">
        <v>5226</v>
      </c>
      <c r="N1548" s="7" t="s">
        <v>170</v>
      </c>
      <c r="O1548" s="7" t="s">
        <v>162</v>
      </c>
      <c r="P1548" s="7" t="s">
        <v>6993</v>
      </c>
      <c r="Q1548" s="129">
        <v>46199</v>
      </c>
      <c r="R1548" s="130">
        <f t="shared" si="174"/>
        <v>46202</v>
      </c>
      <c r="S1548" s="131">
        <f t="shared" si="173"/>
        <v>3</v>
      </c>
      <c r="T1548" s="7" t="s">
        <v>180</v>
      </c>
      <c r="U1548" s="7" t="s">
        <v>370</v>
      </c>
      <c r="V1548" s="7"/>
      <c r="W1548" s="7">
        <v>388.58</v>
      </c>
      <c r="X1548" s="132">
        <f t="shared" si="171"/>
        <v>10</v>
      </c>
      <c r="Y1548" s="133"/>
      <c r="Z1548" s="133"/>
      <c r="AA1548" s="133"/>
    </row>
    <row r="1549" spans="1:27" hidden="1" x14ac:dyDescent="0.25">
      <c r="A1549" s="127">
        <v>1697</v>
      </c>
      <c r="B1549" s="128" t="str">
        <f t="shared" si="172"/>
        <v>KSST</v>
      </c>
      <c r="C1549" s="128" t="str">
        <f>+VLOOKUP(U1549,Ходим!A:B,2,0)</f>
        <v>52812015980061</v>
      </c>
      <c r="D1549" s="128" t="str">
        <f>IFERROR(VLOOKUP($B:$B,[20]свод!$A:$AB,3,0)," ")</f>
        <v>Косонсой тумани</v>
      </c>
      <c r="E1549" s="7" t="s">
        <v>2686</v>
      </c>
      <c r="F1549" s="7" t="s">
        <v>9073</v>
      </c>
      <c r="G1549" s="134">
        <f t="shared" si="175"/>
        <v>1</v>
      </c>
      <c r="H1549" s="134" t="str">
        <f t="shared" si="176"/>
        <v/>
      </c>
      <c r="I1549" s="7" t="s">
        <v>158</v>
      </c>
      <c r="J1549" s="7" t="s">
        <v>1</v>
      </c>
      <c r="K1549" s="7"/>
      <c r="L1549" s="7" t="s">
        <v>167</v>
      </c>
      <c r="M1549" s="7" t="s">
        <v>5227</v>
      </c>
      <c r="N1549" s="7" t="s">
        <v>170</v>
      </c>
      <c r="O1549" s="7" t="s">
        <v>162</v>
      </c>
      <c r="P1549" s="7" t="s">
        <v>6993</v>
      </c>
      <c r="Q1549" s="129">
        <v>46199</v>
      </c>
      <c r="R1549" s="130">
        <f t="shared" si="174"/>
        <v>46202</v>
      </c>
      <c r="S1549" s="131">
        <f t="shared" si="173"/>
        <v>3</v>
      </c>
      <c r="T1549" s="7" t="s">
        <v>180</v>
      </c>
      <c r="U1549" s="7" t="s">
        <v>307</v>
      </c>
      <c r="V1549" s="7"/>
      <c r="W1549" s="7">
        <v>343.04</v>
      </c>
      <c r="X1549" s="132">
        <f t="shared" si="171"/>
        <v>10</v>
      </c>
      <c r="Y1549" s="133"/>
      <c r="Z1549" s="133"/>
      <c r="AA1549" s="133"/>
    </row>
    <row r="1550" spans="1:27" hidden="1" x14ac:dyDescent="0.25">
      <c r="A1550" s="127">
        <v>1699</v>
      </c>
      <c r="B1550" s="128" t="str">
        <f t="shared" si="172"/>
        <v>NAMS</v>
      </c>
      <c r="C1550" s="128" t="str">
        <f>+VLOOKUP(U1550,Ходим!A:B,2,0)</f>
        <v>31312985950011</v>
      </c>
      <c r="D1550" s="128" t="str">
        <f>IFERROR(VLOOKUP($B:$B,[20]свод!$A:$AB,3,0)," ")</f>
        <v>Наманган шаҳар</v>
      </c>
      <c r="E1550" s="7" t="s">
        <v>2687</v>
      </c>
      <c r="F1550" s="7" t="s">
        <v>9074</v>
      </c>
      <c r="G1550" s="134" t="str">
        <f t="shared" si="175"/>
        <v/>
      </c>
      <c r="H1550" s="134">
        <f t="shared" si="176"/>
        <v>1</v>
      </c>
      <c r="I1550" s="7" t="s">
        <v>154</v>
      </c>
      <c r="J1550" s="7" t="s">
        <v>1</v>
      </c>
      <c r="K1550" s="7"/>
      <c r="L1550" s="7" t="s">
        <v>166</v>
      </c>
      <c r="M1550" s="7" t="s">
        <v>5228</v>
      </c>
      <c r="N1550" s="7" t="s">
        <v>170</v>
      </c>
      <c r="O1550" s="7" t="s">
        <v>163</v>
      </c>
      <c r="P1550" s="7" t="s">
        <v>6292</v>
      </c>
      <c r="Q1550" s="129">
        <v>46199</v>
      </c>
      <c r="R1550" s="130">
        <f t="shared" si="174"/>
        <v>46212</v>
      </c>
      <c r="S1550" s="131">
        <f t="shared" si="173"/>
        <v>13</v>
      </c>
      <c r="T1550" s="7" t="s">
        <v>227</v>
      </c>
      <c r="U1550" s="7" t="s">
        <v>303</v>
      </c>
      <c r="V1550" s="7"/>
      <c r="W1550" s="7">
        <v>406.35</v>
      </c>
      <c r="X1550" s="132">
        <f t="shared" si="171"/>
        <v>12</v>
      </c>
      <c r="Y1550" s="133"/>
      <c r="Z1550" s="133"/>
      <c r="AA1550" s="133"/>
    </row>
    <row r="1551" spans="1:27" hidden="1" x14ac:dyDescent="0.25">
      <c r="A1551" s="127">
        <v>1700</v>
      </c>
      <c r="B1551" s="128" t="str">
        <f t="shared" si="172"/>
        <v>MINT</v>
      </c>
      <c r="C1551" s="128" t="e">
        <f>+VLOOKUP(U1551,Ходим!A:B,2,0)</f>
        <v>#N/A</v>
      </c>
      <c r="D1551" s="128" t="str">
        <f>IFERROR(VLOOKUP($B:$B,[20]свод!$A:$AB,3,0)," ")</f>
        <v>Мингбулоқ тумани</v>
      </c>
      <c r="E1551" s="7" t="s">
        <v>2688</v>
      </c>
      <c r="F1551" s="7" t="s">
        <v>9075</v>
      </c>
      <c r="G1551" s="134">
        <f t="shared" si="175"/>
        <v>1</v>
      </c>
      <c r="H1551" s="134" t="str">
        <f t="shared" si="176"/>
        <v/>
      </c>
      <c r="I1551" s="7" t="s">
        <v>156</v>
      </c>
      <c r="J1551" s="7" t="s">
        <v>11</v>
      </c>
      <c r="K1551" s="7"/>
      <c r="L1551" s="7" t="s">
        <v>167</v>
      </c>
      <c r="M1551" s="7" t="s">
        <v>5229</v>
      </c>
      <c r="N1551" s="7" t="s">
        <v>170</v>
      </c>
      <c r="O1551" s="7" t="s">
        <v>162</v>
      </c>
      <c r="P1551" s="7" t="s">
        <v>6994</v>
      </c>
      <c r="Q1551" s="129">
        <v>46199</v>
      </c>
      <c r="R1551" s="130">
        <f t="shared" si="174"/>
        <v>46212</v>
      </c>
      <c r="S1551" s="131">
        <f t="shared" si="173"/>
        <v>13</v>
      </c>
      <c r="T1551" s="7"/>
      <c r="U1551" s="7"/>
      <c r="V1551" s="7"/>
      <c r="W1551" s="7">
        <v>348.2</v>
      </c>
      <c r="X1551" s="132">
        <f t="shared" si="171"/>
        <v>10</v>
      </c>
      <c r="Y1551" s="133"/>
      <c r="Z1551" s="133"/>
      <c r="AA1551" s="133"/>
    </row>
    <row r="1552" spans="1:27" hidden="1" x14ac:dyDescent="0.25">
      <c r="A1552" s="127">
        <v>1701</v>
      </c>
      <c r="B1552" s="128" t="str">
        <f t="shared" si="172"/>
        <v>KSST</v>
      </c>
      <c r="C1552" s="128" t="str">
        <f>+VLOOKUP(U1552,Ходим!A:B,2,0)</f>
        <v>32910975980025</v>
      </c>
      <c r="D1552" s="128" t="str">
        <f>IFERROR(VLOOKUP($B:$B,[20]свод!$A:$AB,3,0)," ")</f>
        <v>Косонсой тумани</v>
      </c>
      <c r="E1552" s="7" t="s">
        <v>2689</v>
      </c>
      <c r="F1552" s="7" t="s">
        <v>9076</v>
      </c>
      <c r="G1552" s="134">
        <f t="shared" si="175"/>
        <v>1</v>
      </c>
      <c r="H1552" s="134" t="str">
        <f t="shared" si="176"/>
        <v/>
      </c>
      <c r="I1552" s="7" t="s">
        <v>156</v>
      </c>
      <c r="J1552" s="7" t="s">
        <v>25</v>
      </c>
      <c r="K1552" s="7"/>
      <c r="L1552" s="7" t="s">
        <v>167</v>
      </c>
      <c r="M1552" s="7" t="s">
        <v>5230</v>
      </c>
      <c r="N1552" s="7" t="s">
        <v>170</v>
      </c>
      <c r="O1552" s="7" t="s">
        <v>162</v>
      </c>
      <c r="P1552" s="7" t="s">
        <v>6995</v>
      </c>
      <c r="Q1552" s="129">
        <v>46199</v>
      </c>
      <c r="R1552" s="130">
        <f t="shared" si="174"/>
        <v>46212</v>
      </c>
      <c r="S1552" s="131">
        <f t="shared" si="173"/>
        <v>13</v>
      </c>
      <c r="T1552" s="7" t="s">
        <v>180</v>
      </c>
      <c r="U1552" s="7" t="s">
        <v>187</v>
      </c>
      <c r="V1552" s="7"/>
      <c r="W1552" s="7">
        <v>402.85</v>
      </c>
      <c r="X1552" s="132">
        <f t="shared" si="171"/>
        <v>10</v>
      </c>
      <c r="Y1552" s="133"/>
      <c r="Z1552" s="133"/>
      <c r="AA1552" s="133"/>
    </row>
    <row r="1553" spans="1:27" hidden="1" x14ac:dyDescent="0.25">
      <c r="A1553" s="127">
        <v>1702</v>
      </c>
      <c r="B1553" s="128" t="str">
        <f t="shared" si="172"/>
        <v>NAMT</v>
      </c>
      <c r="C1553" s="128" t="e">
        <f>+VLOOKUP(U1553,Ходим!A:B,2,0)</f>
        <v>#N/A</v>
      </c>
      <c r="D1553" s="128" t="str">
        <f>IFERROR(VLOOKUP($B:$B,[20]свод!$A:$AB,3,0)," ")</f>
        <v>Наманган тумани</v>
      </c>
      <c r="E1553" s="7" t="s">
        <v>2690</v>
      </c>
      <c r="F1553" s="7" t="s">
        <v>9077</v>
      </c>
      <c r="G1553" s="134">
        <f t="shared" si="175"/>
        <v>1</v>
      </c>
      <c r="H1553" s="134" t="str">
        <f t="shared" si="176"/>
        <v/>
      </c>
      <c r="I1553" s="7" t="s">
        <v>159</v>
      </c>
      <c r="J1553" s="7" t="s">
        <v>137</v>
      </c>
      <c r="K1553" s="7"/>
      <c r="L1553" s="7" t="s">
        <v>167</v>
      </c>
      <c r="M1553" s="7" t="s">
        <v>5231</v>
      </c>
      <c r="N1553" s="7" t="s">
        <v>170</v>
      </c>
      <c r="O1553" s="7" t="s">
        <v>163</v>
      </c>
      <c r="P1553" s="7" t="s">
        <v>6995</v>
      </c>
      <c r="Q1553" s="129">
        <v>46199</v>
      </c>
      <c r="R1553" s="130">
        <f t="shared" si="174"/>
        <v>46212</v>
      </c>
      <c r="S1553" s="131">
        <f t="shared" si="173"/>
        <v>13</v>
      </c>
      <c r="T1553" s="7"/>
      <c r="U1553" s="7"/>
      <c r="V1553" s="7"/>
      <c r="W1553" s="7">
        <v>584.24</v>
      </c>
      <c r="X1553" s="132">
        <f t="shared" si="171"/>
        <v>10</v>
      </c>
      <c r="Y1553" s="133"/>
      <c r="Z1553" s="133"/>
      <c r="AA1553" s="133"/>
    </row>
    <row r="1554" spans="1:27" hidden="1" x14ac:dyDescent="0.25">
      <c r="A1554" s="127">
        <v>1703</v>
      </c>
      <c r="B1554" s="128" t="str">
        <f t="shared" si="172"/>
        <v>YGQT</v>
      </c>
      <c r="C1554" s="128" t="e">
        <f>+VLOOKUP(U1554,Ходим!A:B,2,0)</f>
        <v>#N/A</v>
      </c>
      <c r="D1554" s="128" t="str">
        <f>IFERROR(VLOOKUP($B:$B,[20]свод!$A:$AB,3,0)," ")</f>
        <v>Янгиқўрғон тумани</v>
      </c>
      <c r="E1554" s="7" t="s">
        <v>2691</v>
      </c>
      <c r="F1554" s="7" t="s">
        <v>9078</v>
      </c>
      <c r="G1554" s="134" t="str">
        <f t="shared" si="175"/>
        <v/>
      </c>
      <c r="H1554" s="134">
        <f t="shared" si="176"/>
        <v>1</v>
      </c>
      <c r="I1554" s="7" t="s">
        <v>155</v>
      </c>
      <c r="J1554" s="7" t="s">
        <v>21</v>
      </c>
      <c r="K1554" s="7"/>
      <c r="L1554" s="7" t="s">
        <v>168</v>
      </c>
      <c r="M1554" s="7" t="s">
        <v>5232</v>
      </c>
      <c r="N1554" s="7" t="s">
        <v>170</v>
      </c>
      <c r="O1554" s="7" t="s">
        <v>161</v>
      </c>
      <c r="P1554" s="7" t="s">
        <v>6995</v>
      </c>
      <c r="Q1554" s="129">
        <v>46199</v>
      </c>
      <c r="R1554" s="130">
        <f t="shared" si="174"/>
        <v>46209</v>
      </c>
      <c r="S1554" s="131">
        <f t="shared" si="173"/>
        <v>10</v>
      </c>
      <c r="T1554" s="7" t="s">
        <v>182</v>
      </c>
      <c r="U1554" s="7"/>
      <c r="V1554" s="7"/>
      <c r="W1554" s="7"/>
      <c r="X1554" s="132">
        <f t="shared" si="171"/>
        <v>7</v>
      </c>
      <c r="Y1554" s="133"/>
      <c r="Z1554" s="133"/>
      <c r="AA1554" s="133"/>
    </row>
    <row r="1555" spans="1:27" hidden="1" x14ac:dyDescent="0.25">
      <c r="A1555" s="127">
        <v>1704</v>
      </c>
      <c r="B1555" s="128" t="str">
        <f t="shared" si="172"/>
        <v>NAMS</v>
      </c>
      <c r="C1555" s="128" t="str">
        <f>+VLOOKUP(U1555,Ходим!A:B,2,0)</f>
        <v>31608732170178</v>
      </c>
      <c r="D1555" s="128" t="str">
        <f>IFERROR(VLOOKUP($B:$B,[20]свод!$A:$AB,3,0)," ")</f>
        <v>Наманган шаҳар</v>
      </c>
      <c r="E1555" s="7" t="s">
        <v>2692</v>
      </c>
      <c r="F1555" s="7" t="s">
        <v>9079</v>
      </c>
      <c r="G1555" s="134">
        <f t="shared" si="175"/>
        <v>1</v>
      </c>
      <c r="H1555" s="134" t="str">
        <f t="shared" si="176"/>
        <v/>
      </c>
      <c r="I1555" s="7" t="s">
        <v>156</v>
      </c>
      <c r="J1555" s="7" t="s">
        <v>25</v>
      </c>
      <c r="K1555" s="7"/>
      <c r="L1555" s="7" t="s">
        <v>167</v>
      </c>
      <c r="M1555" s="7" t="s">
        <v>5233</v>
      </c>
      <c r="N1555" s="7" t="s">
        <v>410</v>
      </c>
      <c r="O1555" s="7" t="s">
        <v>162</v>
      </c>
      <c r="P1555" s="7" t="s">
        <v>6995</v>
      </c>
      <c r="Q1555" s="129">
        <v>46199</v>
      </c>
      <c r="R1555" s="130">
        <f t="shared" si="174"/>
        <v>46212</v>
      </c>
      <c r="S1555" s="131">
        <f t="shared" si="173"/>
        <v>13</v>
      </c>
      <c r="T1555" s="7" t="s">
        <v>173</v>
      </c>
      <c r="U1555" s="7" t="s">
        <v>267</v>
      </c>
      <c r="V1555" s="7"/>
      <c r="W1555" s="7">
        <v>0</v>
      </c>
      <c r="X1555" s="132">
        <f t="shared" si="171"/>
        <v>10</v>
      </c>
      <c r="Y1555" s="133"/>
      <c r="Z1555" s="133"/>
      <c r="AA1555" s="133"/>
    </row>
    <row r="1556" spans="1:27" hidden="1" x14ac:dyDescent="0.25">
      <c r="A1556" s="127">
        <v>1705</v>
      </c>
      <c r="B1556" s="128" t="str">
        <f t="shared" si="172"/>
        <v>KSST</v>
      </c>
      <c r="C1556" s="128" t="str">
        <f>+VLOOKUP(U1556,Ходим!A:B,2,0)</f>
        <v>31611995980026</v>
      </c>
      <c r="D1556" s="128" t="str">
        <f>IFERROR(VLOOKUP($B:$B,[20]свод!$A:$AB,3,0)," ")</f>
        <v>Косонсой тумани</v>
      </c>
      <c r="E1556" s="7" t="s">
        <v>2693</v>
      </c>
      <c r="F1556" s="7" t="s">
        <v>9080</v>
      </c>
      <c r="G1556" s="134">
        <f t="shared" si="175"/>
        <v>1</v>
      </c>
      <c r="H1556" s="134" t="str">
        <f t="shared" si="176"/>
        <v/>
      </c>
      <c r="I1556" s="7" t="s">
        <v>158</v>
      </c>
      <c r="J1556" s="7" t="s">
        <v>1</v>
      </c>
      <c r="K1556" s="7"/>
      <c r="L1556" s="7" t="s">
        <v>167</v>
      </c>
      <c r="M1556" s="7" t="s">
        <v>5234</v>
      </c>
      <c r="N1556" s="7" t="s">
        <v>170</v>
      </c>
      <c r="O1556" s="7" t="s">
        <v>162</v>
      </c>
      <c r="P1556" s="7" t="s">
        <v>6996</v>
      </c>
      <c r="Q1556" s="129">
        <v>46199</v>
      </c>
      <c r="R1556" s="130">
        <f t="shared" si="174"/>
        <v>46202</v>
      </c>
      <c r="S1556" s="131">
        <f t="shared" si="173"/>
        <v>3</v>
      </c>
      <c r="T1556" s="7" t="s">
        <v>180</v>
      </c>
      <c r="U1556" s="7" t="s">
        <v>181</v>
      </c>
      <c r="V1556" s="7"/>
      <c r="W1556" s="7">
        <v>178.12</v>
      </c>
      <c r="X1556" s="132">
        <f t="shared" si="171"/>
        <v>10</v>
      </c>
      <c r="Y1556" s="133"/>
      <c r="Z1556" s="133"/>
      <c r="AA1556" s="133"/>
    </row>
    <row r="1557" spans="1:27" hidden="1" x14ac:dyDescent="0.25">
      <c r="A1557" s="127">
        <v>1706</v>
      </c>
      <c r="B1557" s="128" t="str">
        <f t="shared" si="172"/>
        <v>YGQT</v>
      </c>
      <c r="C1557" s="128" t="str">
        <f>+VLOOKUP(U1557,Ходим!A:B,2,0)</f>
        <v>52010015950028</v>
      </c>
      <c r="D1557" s="128" t="str">
        <f>IFERROR(VLOOKUP($B:$B,[20]свод!$A:$AB,3,0)," ")</f>
        <v>Янгиқўрғон тумани</v>
      </c>
      <c r="E1557" s="7" t="s">
        <v>2694</v>
      </c>
      <c r="F1557" s="7" t="s">
        <v>9081</v>
      </c>
      <c r="G1557" s="134">
        <f t="shared" si="175"/>
        <v>1</v>
      </c>
      <c r="H1557" s="134" t="str">
        <f t="shared" si="176"/>
        <v/>
      </c>
      <c r="I1557" s="7" t="s">
        <v>158</v>
      </c>
      <c r="J1557" s="7" t="s">
        <v>36</v>
      </c>
      <c r="K1557" s="7"/>
      <c r="L1557" s="7" t="s">
        <v>167</v>
      </c>
      <c r="M1557" s="7" t="s">
        <v>5235</v>
      </c>
      <c r="N1557" s="7" t="s">
        <v>410</v>
      </c>
      <c r="O1557" s="7" t="s">
        <v>162</v>
      </c>
      <c r="P1557" s="7" t="s">
        <v>6996</v>
      </c>
      <c r="Q1557" s="129">
        <v>46199</v>
      </c>
      <c r="R1557" s="130">
        <f t="shared" si="174"/>
        <v>46202</v>
      </c>
      <c r="S1557" s="131">
        <f t="shared" si="173"/>
        <v>3</v>
      </c>
      <c r="T1557" s="7" t="s">
        <v>182</v>
      </c>
      <c r="U1557" s="7" t="s">
        <v>391</v>
      </c>
      <c r="V1557" s="7"/>
      <c r="W1557" s="7">
        <v>0</v>
      </c>
      <c r="X1557" s="132">
        <f t="shared" si="171"/>
        <v>10</v>
      </c>
      <c r="Y1557" s="133"/>
      <c r="Z1557" s="133"/>
      <c r="AA1557" s="133"/>
    </row>
    <row r="1558" spans="1:27" hidden="1" x14ac:dyDescent="0.25">
      <c r="A1558" s="127">
        <v>1707</v>
      </c>
      <c r="B1558" s="128" t="str">
        <f t="shared" si="172"/>
        <v>CHUT</v>
      </c>
      <c r="C1558" s="128" t="str">
        <f>+VLOOKUP(U1558,Ходим!A:B,2,0)</f>
        <v>31608922180118</v>
      </c>
      <c r="D1558" s="128" t="str">
        <f>IFERROR(VLOOKUP($B:$B,[20]свод!$A:$AB,3,0)," ")</f>
        <v>Чуст тумани</v>
      </c>
      <c r="E1558" s="7" t="s">
        <v>2695</v>
      </c>
      <c r="F1558" s="7" t="s">
        <v>9082</v>
      </c>
      <c r="G1558" s="134" t="str">
        <f t="shared" si="175"/>
        <v/>
      </c>
      <c r="H1558" s="134">
        <f t="shared" si="176"/>
        <v>1</v>
      </c>
      <c r="I1558" s="7" t="s">
        <v>157</v>
      </c>
      <c r="J1558" s="7" t="s">
        <v>172</v>
      </c>
      <c r="K1558" s="7"/>
      <c r="L1558" s="7" t="s">
        <v>166</v>
      </c>
      <c r="M1558" s="7" t="s">
        <v>1002</v>
      </c>
      <c r="N1558" s="7" t="s">
        <v>170</v>
      </c>
      <c r="O1558" s="7" t="s">
        <v>161</v>
      </c>
      <c r="P1558" s="7" t="s">
        <v>6997</v>
      </c>
      <c r="Q1558" s="129">
        <v>46199</v>
      </c>
      <c r="R1558" s="130">
        <f t="shared" si="174"/>
        <v>46202</v>
      </c>
      <c r="S1558" s="131">
        <f t="shared" si="173"/>
        <v>3</v>
      </c>
      <c r="T1558" s="7" t="s">
        <v>178</v>
      </c>
      <c r="U1558" s="7" t="s">
        <v>284</v>
      </c>
      <c r="V1558" s="7"/>
      <c r="W1558" s="7">
        <v>0</v>
      </c>
      <c r="X1558" s="132">
        <f t="shared" si="171"/>
        <v>10</v>
      </c>
      <c r="Y1558" s="133"/>
      <c r="Z1558" s="133"/>
      <c r="AA1558" s="133"/>
    </row>
    <row r="1559" spans="1:27" hidden="1" x14ac:dyDescent="0.25">
      <c r="A1559" s="127">
        <v>1708</v>
      </c>
      <c r="B1559" s="128" t="str">
        <f t="shared" si="172"/>
        <v>UYCT</v>
      </c>
      <c r="C1559" s="128" t="str">
        <f>+VLOOKUP(U1559,Ходим!A:B,2,0)</f>
        <v>31007985930029</v>
      </c>
      <c r="D1559" s="128" t="str">
        <f>IFERROR(VLOOKUP($B:$B,[20]свод!$A:$AB,3,0)," ")</f>
        <v>Уйчи тумани</v>
      </c>
      <c r="E1559" s="7" t="s">
        <v>2696</v>
      </c>
      <c r="F1559" s="7" t="s">
        <v>9083</v>
      </c>
      <c r="G1559" s="134">
        <f t="shared" si="175"/>
        <v>1</v>
      </c>
      <c r="H1559" s="134" t="str">
        <f t="shared" si="176"/>
        <v/>
      </c>
      <c r="I1559" s="7" t="s">
        <v>158</v>
      </c>
      <c r="J1559" s="7" t="s">
        <v>35</v>
      </c>
      <c r="K1559" s="7"/>
      <c r="L1559" s="7" t="s">
        <v>167</v>
      </c>
      <c r="M1559" s="7" t="s">
        <v>5236</v>
      </c>
      <c r="N1559" s="7" t="s">
        <v>170</v>
      </c>
      <c r="O1559" s="7" t="s">
        <v>162</v>
      </c>
      <c r="P1559" s="7" t="s">
        <v>6997</v>
      </c>
      <c r="Q1559" s="129">
        <v>46199</v>
      </c>
      <c r="R1559" s="130">
        <f t="shared" si="174"/>
        <v>46202</v>
      </c>
      <c r="S1559" s="131">
        <f t="shared" si="173"/>
        <v>3</v>
      </c>
      <c r="T1559" s="7" t="s">
        <v>947</v>
      </c>
      <c r="U1559" s="7" t="s">
        <v>389</v>
      </c>
      <c r="V1559" s="7"/>
      <c r="W1559" s="7">
        <v>209.47</v>
      </c>
      <c r="X1559" s="132">
        <f t="shared" si="171"/>
        <v>10</v>
      </c>
      <c r="Y1559" s="133"/>
      <c r="Z1559" s="133"/>
      <c r="AA1559" s="133"/>
    </row>
    <row r="1560" spans="1:27" hidden="1" x14ac:dyDescent="0.25">
      <c r="A1560" s="127">
        <v>1709</v>
      </c>
      <c r="B1560" s="128" t="str">
        <f t="shared" si="172"/>
        <v>NAMT</v>
      </c>
      <c r="C1560" s="128" t="str">
        <f>+VLOOKUP(U1560,Ходим!A:B,2,0)</f>
        <v>32204892090133</v>
      </c>
      <c r="D1560" s="128" t="str">
        <f>IFERROR(VLOOKUP($B:$B,[20]свод!$A:$AB,3,0)," ")</f>
        <v>Наманган тумани</v>
      </c>
      <c r="E1560" s="7" t="s">
        <v>2697</v>
      </c>
      <c r="F1560" s="7" t="s">
        <v>9084</v>
      </c>
      <c r="G1560" s="134">
        <f t="shared" si="175"/>
        <v>1</v>
      </c>
      <c r="H1560" s="134" t="str">
        <f t="shared" si="176"/>
        <v/>
      </c>
      <c r="I1560" s="7" t="s">
        <v>156</v>
      </c>
      <c r="J1560" s="7" t="s">
        <v>25</v>
      </c>
      <c r="K1560" s="7"/>
      <c r="L1560" s="7"/>
      <c r="M1560" s="7"/>
      <c r="N1560" s="7" t="s">
        <v>170</v>
      </c>
      <c r="O1560" s="7" t="s">
        <v>162</v>
      </c>
      <c r="P1560" s="7" t="s">
        <v>6994</v>
      </c>
      <c r="Q1560" s="129">
        <v>46199</v>
      </c>
      <c r="R1560" s="130">
        <f t="shared" si="174"/>
        <v>46212</v>
      </c>
      <c r="S1560" s="131">
        <f t="shared" si="173"/>
        <v>13</v>
      </c>
      <c r="T1560" s="7" t="s">
        <v>193</v>
      </c>
      <c r="U1560" s="7" t="s">
        <v>198</v>
      </c>
      <c r="V1560" s="7"/>
      <c r="W1560" s="7"/>
      <c r="X1560" s="132">
        <f t="shared" ref="X1560:X1613" si="177">IF(N1560="Kadastr muhandisi",3,
IF(N1560="UZKAD",5,
IF(V1560="FREE",5,
IF(I1560="Registratsiya (tashqi - UZKAD da bor)",1,
IF(I1560="Avtoyo'l va suv xo'jaligi obyektining kadastr pasportini shakllantirish va ro'yxatga olish",7,
IF(I1560="Notarius uchun ma'lumotnoma (uz)",1,
IF(I1560="Qurilishi tugallangan ko'chmas mulkni foydalanishga qabul qilish",10,
IF(OR(I1560="Turar joy obyektning kadastr pasportini shakllantirish va davlat ro'yxatidan o'tkazish",I1560="Turar kompozit"),
IF(L1560="Turar yer maydoni",7,10),
IF(OR(I1560="Noturar obyektning kadastr pasportini shakllantirish va davlat ro'yxatidan o'tkazish",I1560="Noturar kompozit"),
IF(O1560="Ko‘p yillik daraxtlar xizmati",15,
IF(OR(L1560="Noturar yer maydoni",L1560="Davlat tashkilotlaridan ijaraga olingan yer uchastkasi"),7,
IF(W1560&lt;100,10,IF(W1560&lt;=1000,12,IF(W1560&lt;=5000,17,IF(W1560&lt;=15000,22,IF(W1560&lt;=50000,28,37))))))),
IF(I1560="Umumiy foydalanishdagi ko'chmas mulk qismini yaratish",
IF(IF(TRIM(L1560)="",IF(OR(O1560="Turar joy xizmati",O1560="Yakka tartibdagi turar joy"),"Turar","Noturar"),IF(OR(L1560="Yakka tartibdagi turar joy",L1560="Turar joy xizmati"),"Turar","Noturar"))="Turar",
10,IF(W1560&lt;100,10,IF(W1560&lt;=1000,12,IF(W1560&lt;=5000,17,IF(W1560&lt;=15000,22,IF(W1560&lt;=50000,28,37)))))),
0))))))))))</f>
        <v>10</v>
      </c>
      <c r="Y1560" s="133"/>
      <c r="Z1560" s="133"/>
      <c r="AA1560" s="133"/>
    </row>
    <row r="1561" spans="1:27" hidden="1" x14ac:dyDescent="0.25">
      <c r="A1561" s="127">
        <v>1710</v>
      </c>
      <c r="B1561" s="128" t="str">
        <f t="shared" ref="B1561:B1614" si="178">LEFT(E1561,4)</f>
        <v>CHOT</v>
      </c>
      <c r="C1561" s="128" t="str">
        <f>+VLOOKUP(U1561,Ходим!A:B,2,0)</f>
        <v>30308922100022</v>
      </c>
      <c r="D1561" s="128" t="str">
        <f>IFERROR(VLOOKUP($B:$B,[20]свод!$A:$AB,3,0)," ")</f>
        <v>Чортоқ тумани</v>
      </c>
      <c r="E1561" s="7" t="s">
        <v>2698</v>
      </c>
      <c r="F1561" s="7" t="s">
        <v>9085</v>
      </c>
      <c r="G1561" s="134" t="str">
        <f t="shared" si="175"/>
        <v/>
      </c>
      <c r="H1561" s="134">
        <f t="shared" si="176"/>
        <v>1</v>
      </c>
      <c r="I1561" s="7" t="s">
        <v>157</v>
      </c>
      <c r="J1561" s="7" t="s">
        <v>2</v>
      </c>
      <c r="K1561" s="7"/>
      <c r="L1561" s="7"/>
      <c r="M1561" s="7"/>
      <c r="N1561" s="7" t="s">
        <v>170</v>
      </c>
      <c r="O1561" s="7" t="s">
        <v>161</v>
      </c>
      <c r="P1561" s="7" t="s">
        <v>6998</v>
      </c>
      <c r="Q1561" s="129">
        <v>46199</v>
      </c>
      <c r="R1561" s="130">
        <f t="shared" si="174"/>
        <v>46202</v>
      </c>
      <c r="S1561" s="131">
        <f t="shared" ref="S1561:S1614" si="179">R1561-Q1561</f>
        <v>3</v>
      </c>
      <c r="T1561" s="7" t="s">
        <v>184</v>
      </c>
      <c r="U1561" s="7" t="s">
        <v>190</v>
      </c>
      <c r="V1561" s="7"/>
      <c r="W1561" s="7"/>
      <c r="X1561" s="132">
        <f t="shared" si="177"/>
        <v>10</v>
      </c>
      <c r="Y1561" s="133"/>
      <c r="Z1561" s="133"/>
      <c r="AA1561" s="133"/>
    </row>
    <row r="1562" spans="1:27" hidden="1" x14ac:dyDescent="0.25">
      <c r="A1562" s="127">
        <v>1711</v>
      </c>
      <c r="B1562" s="128" t="str">
        <f t="shared" si="178"/>
        <v>UYCT</v>
      </c>
      <c r="C1562" s="128" t="str">
        <f>+VLOOKUP(U1562,Ходим!A:B,2,0)</f>
        <v>30309975930028</v>
      </c>
      <c r="D1562" s="128" t="str">
        <f>IFERROR(VLOOKUP($B:$B,[20]свод!$A:$AB,3,0)," ")</f>
        <v>Уйчи тумани</v>
      </c>
      <c r="E1562" s="7" t="s">
        <v>2699</v>
      </c>
      <c r="F1562" s="7" t="s">
        <v>9086</v>
      </c>
      <c r="G1562" s="134">
        <f t="shared" si="175"/>
        <v>1</v>
      </c>
      <c r="H1562" s="134" t="str">
        <f t="shared" si="176"/>
        <v/>
      </c>
      <c r="I1562" s="7" t="s">
        <v>154</v>
      </c>
      <c r="J1562" s="7" t="s">
        <v>100</v>
      </c>
      <c r="K1562" s="7"/>
      <c r="L1562" s="7" t="s">
        <v>167</v>
      </c>
      <c r="M1562" s="7" t="s">
        <v>5237</v>
      </c>
      <c r="N1562" s="7" t="s">
        <v>170</v>
      </c>
      <c r="O1562" s="7" t="s">
        <v>162</v>
      </c>
      <c r="P1562" s="7" t="s">
        <v>6998</v>
      </c>
      <c r="Q1562" s="129">
        <v>46199</v>
      </c>
      <c r="R1562" s="130">
        <f t="shared" si="174"/>
        <v>46202</v>
      </c>
      <c r="S1562" s="131">
        <f t="shared" si="179"/>
        <v>3</v>
      </c>
      <c r="T1562" s="7" t="s">
        <v>947</v>
      </c>
      <c r="U1562" s="7" t="s">
        <v>261</v>
      </c>
      <c r="V1562" s="7"/>
      <c r="W1562" s="7">
        <v>55.02</v>
      </c>
      <c r="X1562" s="132">
        <f t="shared" si="177"/>
        <v>10</v>
      </c>
      <c r="Y1562" s="133"/>
      <c r="Z1562" s="133"/>
      <c r="AA1562" s="133"/>
    </row>
    <row r="1563" spans="1:27" hidden="1" x14ac:dyDescent="0.25">
      <c r="A1563" s="127">
        <v>1712</v>
      </c>
      <c r="B1563" s="128" t="str">
        <f t="shared" si="178"/>
        <v>NORT</v>
      </c>
      <c r="C1563" s="128" t="e">
        <f>+VLOOKUP(U1563,Ходим!A:B,2,0)</f>
        <v>#N/A</v>
      </c>
      <c r="D1563" s="128" t="str">
        <f>IFERROR(VLOOKUP($B:$B,[20]свод!$A:$AB,3,0)," ")</f>
        <v>Норин тумани</v>
      </c>
      <c r="E1563" s="7" t="s">
        <v>2700</v>
      </c>
      <c r="F1563" s="7" t="s">
        <v>9087</v>
      </c>
      <c r="G1563" s="134">
        <f t="shared" si="175"/>
        <v>1</v>
      </c>
      <c r="H1563" s="134" t="str">
        <f t="shared" si="176"/>
        <v/>
      </c>
      <c r="I1563" s="7" t="s">
        <v>158</v>
      </c>
      <c r="J1563" s="7" t="s">
        <v>2</v>
      </c>
      <c r="K1563" s="7"/>
      <c r="L1563" s="7" t="s">
        <v>167</v>
      </c>
      <c r="M1563" s="7" t="s">
        <v>5238</v>
      </c>
      <c r="N1563" s="7" t="s">
        <v>170</v>
      </c>
      <c r="O1563" s="7" t="s">
        <v>162</v>
      </c>
      <c r="P1563" s="7" t="s">
        <v>6998</v>
      </c>
      <c r="Q1563" s="129">
        <v>46199</v>
      </c>
      <c r="R1563" s="130">
        <f t="shared" si="174"/>
        <v>46202</v>
      </c>
      <c r="S1563" s="131">
        <f t="shared" si="179"/>
        <v>3</v>
      </c>
      <c r="T1563" s="7" t="s">
        <v>210</v>
      </c>
      <c r="U1563" s="7" t="s">
        <v>10637</v>
      </c>
      <c r="V1563" s="7"/>
      <c r="W1563" s="7">
        <v>325.33999999999997</v>
      </c>
      <c r="X1563" s="132">
        <f t="shared" si="177"/>
        <v>10</v>
      </c>
      <c r="Y1563" s="133"/>
      <c r="Z1563" s="133"/>
      <c r="AA1563" s="133"/>
    </row>
    <row r="1564" spans="1:27" hidden="1" x14ac:dyDescent="0.25">
      <c r="A1564" s="127">
        <v>1714</v>
      </c>
      <c r="B1564" s="128" t="str">
        <f t="shared" si="178"/>
        <v>NAMS</v>
      </c>
      <c r="C1564" s="128" t="str">
        <f>+VLOOKUP(U1564,Ходим!A:B,2,0)</f>
        <v>53008015960094</v>
      </c>
      <c r="D1564" s="128" t="str">
        <f>IFERROR(VLOOKUP($B:$B,[20]свод!$A:$AB,3,0)," ")</f>
        <v>Наманган шаҳар</v>
      </c>
      <c r="E1564" s="7" t="s">
        <v>2701</v>
      </c>
      <c r="F1564" s="7" t="s">
        <v>9088</v>
      </c>
      <c r="G1564" s="134">
        <f t="shared" si="175"/>
        <v>1</v>
      </c>
      <c r="H1564" s="134" t="str">
        <f t="shared" si="176"/>
        <v/>
      </c>
      <c r="I1564" s="7" t="s">
        <v>158</v>
      </c>
      <c r="J1564" s="7" t="s">
        <v>2</v>
      </c>
      <c r="K1564" s="7"/>
      <c r="L1564" s="7" t="s">
        <v>167</v>
      </c>
      <c r="M1564" s="7" t="s">
        <v>5239</v>
      </c>
      <c r="N1564" s="7" t="s">
        <v>170</v>
      </c>
      <c r="O1564" s="7" t="s">
        <v>162</v>
      </c>
      <c r="P1564" s="7" t="s">
        <v>6998</v>
      </c>
      <c r="Q1564" s="129">
        <v>46199</v>
      </c>
      <c r="R1564" s="130">
        <f t="shared" si="174"/>
        <v>46202</v>
      </c>
      <c r="S1564" s="131">
        <f t="shared" si="179"/>
        <v>3</v>
      </c>
      <c r="T1564" s="7" t="s">
        <v>173</v>
      </c>
      <c r="U1564" s="7" t="s">
        <v>403</v>
      </c>
      <c r="V1564" s="7"/>
      <c r="W1564" s="7">
        <v>142.44999999999999</v>
      </c>
      <c r="X1564" s="132">
        <f t="shared" si="177"/>
        <v>10</v>
      </c>
      <c r="Y1564" s="133"/>
      <c r="Z1564" s="133"/>
      <c r="AA1564" s="133"/>
    </row>
    <row r="1565" spans="1:27" hidden="1" x14ac:dyDescent="0.25">
      <c r="A1565" s="127">
        <v>1715</v>
      </c>
      <c r="B1565" s="128" t="str">
        <f t="shared" si="178"/>
        <v>KSST</v>
      </c>
      <c r="C1565" s="128" t="str">
        <f>+VLOOKUP(U1565,Ходим!A:B,2,0)</f>
        <v>52812015980061</v>
      </c>
      <c r="D1565" s="128" t="str">
        <f>IFERROR(VLOOKUP($B:$B,[20]свод!$A:$AB,3,0)," ")</f>
        <v>Косонсой тумани</v>
      </c>
      <c r="E1565" s="7" t="s">
        <v>2702</v>
      </c>
      <c r="F1565" s="7" t="s">
        <v>9089</v>
      </c>
      <c r="G1565" s="134">
        <f t="shared" si="175"/>
        <v>1</v>
      </c>
      <c r="H1565" s="134" t="str">
        <f t="shared" si="176"/>
        <v/>
      </c>
      <c r="I1565" s="7" t="s">
        <v>158</v>
      </c>
      <c r="J1565" s="7" t="s">
        <v>1</v>
      </c>
      <c r="K1565" s="7"/>
      <c r="L1565" s="7" t="s">
        <v>167</v>
      </c>
      <c r="M1565" s="7" t="s">
        <v>5240</v>
      </c>
      <c r="N1565" s="7" t="s">
        <v>170</v>
      </c>
      <c r="O1565" s="7" t="s">
        <v>162</v>
      </c>
      <c r="P1565" s="7" t="s">
        <v>6919</v>
      </c>
      <c r="Q1565" s="129">
        <v>46199</v>
      </c>
      <c r="R1565" s="130">
        <f t="shared" si="174"/>
        <v>46202</v>
      </c>
      <c r="S1565" s="131">
        <f t="shared" si="179"/>
        <v>3</v>
      </c>
      <c r="T1565" s="7" t="s">
        <v>180</v>
      </c>
      <c r="U1565" s="7" t="s">
        <v>307</v>
      </c>
      <c r="V1565" s="7"/>
      <c r="W1565" s="7">
        <v>74.83</v>
      </c>
      <c r="X1565" s="132">
        <f t="shared" si="177"/>
        <v>10</v>
      </c>
      <c r="Y1565" s="133"/>
      <c r="Z1565" s="133"/>
      <c r="AA1565" s="133"/>
    </row>
    <row r="1566" spans="1:27" hidden="1" x14ac:dyDescent="0.25">
      <c r="A1566" s="127">
        <v>1716</v>
      </c>
      <c r="B1566" s="128" t="str">
        <f t="shared" si="178"/>
        <v>TORT</v>
      </c>
      <c r="C1566" s="128" t="str">
        <f>+VLOOKUP(U1566,Ходим!A:B,2,0)</f>
        <v>50908015920034</v>
      </c>
      <c r="D1566" s="128" t="str">
        <f>IFERROR(VLOOKUP($B:$B,[20]свод!$A:$AB,3,0)," ")</f>
        <v>Тўрақўрғон тумани</v>
      </c>
      <c r="E1566" s="7" t="s">
        <v>2703</v>
      </c>
      <c r="F1566" s="7" t="s">
        <v>9090</v>
      </c>
      <c r="G1566" s="134">
        <f t="shared" si="175"/>
        <v>1</v>
      </c>
      <c r="H1566" s="134" t="str">
        <f t="shared" si="176"/>
        <v/>
      </c>
      <c r="I1566" s="7" t="s">
        <v>158</v>
      </c>
      <c r="J1566" s="7" t="s">
        <v>1</v>
      </c>
      <c r="K1566" s="7"/>
      <c r="L1566" s="7" t="s">
        <v>167</v>
      </c>
      <c r="M1566" s="7" t="s">
        <v>5241</v>
      </c>
      <c r="N1566" s="7" t="s">
        <v>170</v>
      </c>
      <c r="O1566" s="7" t="s">
        <v>162</v>
      </c>
      <c r="P1566" s="7" t="s">
        <v>6999</v>
      </c>
      <c r="Q1566" s="129">
        <v>46199</v>
      </c>
      <c r="R1566" s="130">
        <f t="shared" si="174"/>
        <v>46202</v>
      </c>
      <c r="S1566" s="131">
        <f t="shared" si="179"/>
        <v>3</v>
      </c>
      <c r="T1566" s="7" t="s">
        <v>203</v>
      </c>
      <c r="U1566" s="7" t="s">
        <v>205</v>
      </c>
      <c r="V1566" s="7"/>
      <c r="W1566" s="7">
        <v>241.4</v>
      </c>
      <c r="X1566" s="132">
        <f t="shared" si="177"/>
        <v>10</v>
      </c>
      <c r="Y1566" s="133"/>
      <c r="Z1566" s="133"/>
      <c r="AA1566" s="133"/>
    </row>
    <row r="1567" spans="1:27" x14ac:dyDescent="0.25">
      <c r="A1567" s="127">
        <v>1717</v>
      </c>
      <c r="B1567" s="128" t="str">
        <f t="shared" si="178"/>
        <v>TORT</v>
      </c>
      <c r="C1567" s="128">
        <f>+VLOOKUP(U1567,Ходим!A:B,2,0)</f>
        <v>30603862130011</v>
      </c>
      <c r="D1567" s="128" t="str">
        <f>IFERROR(VLOOKUP($B:$B,[20]свод!$A:$AB,3,0)," ")</f>
        <v>Тўрақўрғон тумани</v>
      </c>
      <c r="E1567" s="7" t="s">
        <v>2704</v>
      </c>
      <c r="F1567" s="7" t="s">
        <v>9091</v>
      </c>
      <c r="G1567" s="134">
        <f t="shared" si="175"/>
        <v>1</v>
      </c>
      <c r="H1567" s="134" t="str">
        <f t="shared" si="176"/>
        <v/>
      </c>
      <c r="I1567" s="7" t="s">
        <v>158</v>
      </c>
      <c r="J1567" s="7" t="s">
        <v>1</v>
      </c>
      <c r="K1567" s="7"/>
      <c r="L1567" s="7" t="s">
        <v>167</v>
      </c>
      <c r="M1567" s="7" t="s">
        <v>5242</v>
      </c>
      <c r="N1567" s="7" t="s">
        <v>170</v>
      </c>
      <c r="O1567" s="7" t="s">
        <v>162</v>
      </c>
      <c r="P1567" s="7" t="s">
        <v>7000</v>
      </c>
      <c r="Q1567" s="129">
        <v>46199</v>
      </c>
      <c r="R1567" s="130">
        <f t="shared" si="174"/>
        <v>46199</v>
      </c>
      <c r="S1567" s="131">
        <f t="shared" si="179"/>
        <v>0</v>
      </c>
      <c r="T1567" s="7" t="s">
        <v>203</v>
      </c>
      <c r="U1567" s="7" t="s">
        <v>950</v>
      </c>
      <c r="V1567" s="7"/>
      <c r="W1567" s="7">
        <v>338.69</v>
      </c>
      <c r="X1567" s="132">
        <f t="shared" si="177"/>
        <v>10</v>
      </c>
      <c r="Y1567" s="133"/>
      <c r="Z1567" s="133"/>
      <c r="AA1567" s="133"/>
    </row>
    <row r="1568" spans="1:27" hidden="1" x14ac:dyDescent="0.25">
      <c r="A1568" s="127">
        <v>1718</v>
      </c>
      <c r="B1568" s="128" t="str">
        <f t="shared" si="178"/>
        <v>YGQT</v>
      </c>
      <c r="C1568" s="128" t="str">
        <f>+VLOOKUP(U1568,Ходим!A:B,2,0)</f>
        <v>31005985950058</v>
      </c>
      <c r="D1568" s="128" t="str">
        <f>IFERROR(VLOOKUP($B:$B,[20]свод!$A:$AB,3,0)," ")</f>
        <v>Янгиқўрғон тумани</v>
      </c>
      <c r="E1568" s="7" t="s">
        <v>2705</v>
      </c>
      <c r="F1568" s="7" t="s">
        <v>9092</v>
      </c>
      <c r="G1568" s="134">
        <f t="shared" si="175"/>
        <v>1</v>
      </c>
      <c r="H1568" s="134" t="str">
        <f t="shared" si="176"/>
        <v/>
      </c>
      <c r="I1568" s="7" t="s">
        <v>158</v>
      </c>
      <c r="J1568" s="7" t="s">
        <v>16</v>
      </c>
      <c r="K1568" s="7"/>
      <c r="L1568" s="7" t="s">
        <v>167</v>
      </c>
      <c r="M1568" s="7" t="s">
        <v>5243</v>
      </c>
      <c r="N1568" s="7" t="s">
        <v>170</v>
      </c>
      <c r="O1568" s="7" t="s">
        <v>162</v>
      </c>
      <c r="P1568" s="7" t="s">
        <v>7001</v>
      </c>
      <c r="Q1568" s="129">
        <v>46199</v>
      </c>
      <c r="R1568" s="130">
        <f t="shared" si="174"/>
        <v>46203</v>
      </c>
      <c r="S1568" s="131">
        <f t="shared" si="179"/>
        <v>4</v>
      </c>
      <c r="T1568" s="7" t="s">
        <v>182</v>
      </c>
      <c r="U1568" s="7" t="s">
        <v>311</v>
      </c>
      <c r="V1568" s="7"/>
      <c r="W1568" s="7">
        <v>598.84</v>
      </c>
      <c r="X1568" s="132">
        <f t="shared" si="177"/>
        <v>10</v>
      </c>
      <c r="Y1568" s="133"/>
      <c r="Z1568" s="133"/>
      <c r="AA1568" s="133"/>
    </row>
    <row r="1569" spans="1:27" hidden="1" x14ac:dyDescent="0.25">
      <c r="A1569" s="127">
        <v>1720</v>
      </c>
      <c r="B1569" s="128" t="str">
        <f t="shared" si="178"/>
        <v>CHOT</v>
      </c>
      <c r="C1569" s="128" t="str">
        <f>+VLOOKUP(U1569,Ходим!A:B,2,0)</f>
        <v>30608892100030</v>
      </c>
      <c r="D1569" s="128" t="str">
        <f>IFERROR(VLOOKUP($B:$B,[20]свод!$A:$AB,3,0)," ")</f>
        <v>Чортоқ тумани</v>
      </c>
      <c r="E1569" s="7" t="s">
        <v>2706</v>
      </c>
      <c r="F1569" s="7" t="s">
        <v>9093</v>
      </c>
      <c r="G1569" s="134" t="str">
        <f t="shared" si="175"/>
        <v/>
      </c>
      <c r="H1569" s="134">
        <f t="shared" si="176"/>
        <v>1</v>
      </c>
      <c r="I1569" s="7" t="s">
        <v>157</v>
      </c>
      <c r="J1569" s="7" t="s">
        <v>172</v>
      </c>
      <c r="K1569" s="7"/>
      <c r="L1569" s="7" t="s">
        <v>166</v>
      </c>
      <c r="M1569" s="7" t="s">
        <v>5244</v>
      </c>
      <c r="N1569" s="7" t="s">
        <v>170</v>
      </c>
      <c r="O1569" s="7" t="s">
        <v>161</v>
      </c>
      <c r="P1569" s="7" t="s">
        <v>7002</v>
      </c>
      <c r="Q1569" s="129">
        <v>46199</v>
      </c>
      <c r="R1569" s="130">
        <f t="shared" si="174"/>
        <v>46206</v>
      </c>
      <c r="S1569" s="131">
        <f t="shared" si="179"/>
        <v>7</v>
      </c>
      <c r="T1569" s="7" t="s">
        <v>10635</v>
      </c>
      <c r="U1569" s="7" t="s">
        <v>266</v>
      </c>
      <c r="V1569" s="7"/>
      <c r="W1569" s="7">
        <v>0</v>
      </c>
      <c r="X1569" s="132">
        <f t="shared" si="177"/>
        <v>10</v>
      </c>
      <c r="Y1569" s="133"/>
      <c r="Z1569" s="133"/>
      <c r="AA1569" s="133"/>
    </row>
    <row r="1570" spans="1:27" hidden="1" x14ac:dyDescent="0.25">
      <c r="A1570" s="127">
        <v>1722</v>
      </c>
      <c r="B1570" s="128" t="str">
        <f t="shared" si="178"/>
        <v>NAMS</v>
      </c>
      <c r="C1570" s="128" t="str">
        <f>+VLOOKUP(U1570,Ходим!A:B,2,0)</f>
        <v>33012942170121</v>
      </c>
      <c r="D1570" s="128" t="str">
        <f>IFERROR(VLOOKUP($B:$B,[20]свод!$A:$AB,3,0)," ")</f>
        <v>Наманган шаҳар</v>
      </c>
      <c r="E1570" s="7" t="s">
        <v>2707</v>
      </c>
      <c r="F1570" s="7" t="s">
        <v>9094</v>
      </c>
      <c r="G1570" s="134">
        <f t="shared" si="175"/>
        <v>1</v>
      </c>
      <c r="H1570" s="134" t="str">
        <f t="shared" si="176"/>
        <v/>
      </c>
      <c r="I1570" s="7" t="s">
        <v>158</v>
      </c>
      <c r="J1570" s="7" t="s">
        <v>2</v>
      </c>
      <c r="K1570" s="7"/>
      <c r="L1570" s="7"/>
      <c r="M1570" s="7"/>
      <c r="N1570" s="7" t="s">
        <v>170</v>
      </c>
      <c r="O1570" s="7" t="s">
        <v>162</v>
      </c>
      <c r="P1570" s="7" t="s">
        <v>7002</v>
      </c>
      <c r="Q1570" s="129">
        <v>46199</v>
      </c>
      <c r="R1570" s="130">
        <f t="shared" si="174"/>
        <v>46206</v>
      </c>
      <c r="S1570" s="131">
        <f t="shared" si="179"/>
        <v>7</v>
      </c>
      <c r="T1570" s="7" t="s">
        <v>173</v>
      </c>
      <c r="U1570" s="7" t="s">
        <v>259</v>
      </c>
      <c r="V1570" s="7"/>
      <c r="W1570" s="7"/>
      <c r="X1570" s="132">
        <f t="shared" si="177"/>
        <v>10</v>
      </c>
      <c r="Y1570" s="133"/>
      <c r="Z1570" s="133"/>
      <c r="AA1570" s="133"/>
    </row>
    <row r="1571" spans="1:27" hidden="1" x14ac:dyDescent="0.25">
      <c r="A1571" s="127">
        <v>1723</v>
      </c>
      <c r="B1571" s="128" t="str">
        <f t="shared" si="178"/>
        <v>NAMS</v>
      </c>
      <c r="C1571" s="128" t="str">
        <f>+VLOOKUP(U1571,Ходим!A:B,2,0)</f>
        <v>51110025960044</v>
      </c>
      <c r="D1571" s="128" t="str">
        <f>IFERROR(VLOOKUP($B:$B,[20]свод!$A:$AB,3,0)," ")</f>
        <v>Наманган шаҳар</v>
      </c>
      <c r="E1571" s="7" t="s">
        <v>2708</v>
      </c>
      <c r="F1571" s="7" t="s">
        <v>9095</v>
      </c>
      <c r="G1571" s="134">
        <f t="shared" si="175"/>
        <v>1</v>
      </c>
      <c r="H1571" s="134" t="str">
        <f t="shared" si="176"/>
        <v/>
      </c>
      <c r="I1571" s="7" t="s">
        <v>158</v>
      </c>
      <c r="J1571" s="7" t="s">
        <v>2</v>
      </c>
      <c r="K1571" s="7"/>
      <c r="L1571" s="7" t="s">
        <v>167</v>
      </c>
      <c r="M1571" s="7" t="s">
        <v>381</v>
      </c>
      <c r="N1571" s="7" t="s">
        <v>170</v>
      </c>
      <c r="O1571" s="7" t="s">
        <v>162</v>
      </c>
      <c r="P1571" s="7" t="s">
        <v>6999</v>
      </c>
      <c r="Q1571" s="129">
        <v>46199</v>
      </c>
      <c r="R1571" s="130">
        <f t="shared" si="174"/>
        <v>46202</v>
      </c>
      <c r="S1571" s="131">
        <f t="shared" si="179"/>
        <v>3</v>
      </c>
      <c r="T1571" s="7" t="s">
        <v>173</v>
      </c>
      <c r="U1571" s="7" t="s">
        <v>294</v>
      </c>
      <c r="V1571" s="7"/>
      <c r="W1571" s="7">
        <v>0</v>
      </c>
      <c r="X1571" s="132">
        <f t="shared" si="177"/>
        <v>10</v>
      </c>
      <c r="Y1571" s="133"/>
      <c r="Z1571" s="133"/>
      <c r="AA1571" s="133"/>
    </row>
    <row r="1572" spans="1:27" hidden="1" x14ac:dyDescent="0.25">
      <c r="A1572" s="127">
        <v>1724</v>
      </c>
      <c r="B1572" s="128" t="str">
        <f t="shared" si="178"/>
        <v>NAMS</v>
      </c>
      <c r="C1572" s="128" t="str">
        <f>+VLOOKUP(U1572,Ходим!A:B,2,0)</f>
        <v>51110025960044</v>
      </c>
      <c r="D1572" s="128" t="str">
        <f>IFERROR(VLOOKUP($B:$B,[20]свод!$A:$AB,3,0)," ")</f>
        <v>Наманган шаҳар</v>
      </c>
      <c r="E1572" s="7" t="s">
        <v>2709</v>
      </c>
      <c r="F1572" s="7" t="s">
        <v>9096</v>
      </c>
      <c r="G1572" s="134">
        <f t="shared" si="175"/>
        <v>1</v>
      </c>
      <c r="H1572" s="134" t="str">
        <f t="shared" si="176"/>
        <v/>
      </c>
      <c r="I1572" s="7" t="s">
        <v>158</v>
      </c>
      <c r="J1572" s="7" t="s">
        <v>2</v>
      </c>
      <c r="K1572" s="7"/>
      <c r="L1572" s="7" t="s">
        <v>167</v>
      </c>
      <c r="M1572" s="7" t="s">
        <v>381</v>
      </c>
      <c r="N1572" s="7" t="s">
        <v>170</v>
      </c>
      <c r="O1572" s="7" t="s">
        <v>162</v>
      </c>
      <c r="P1572" s="7" t="s">
        <v>6999</v>
      </c>
      <c r="Q1572" s="129">
        <v>46199</v>
      </c>
      <c r="R1572" s="130">
        <f t="shared" si="174"/>
        <v>46202</v>
      </c>
      <c r="S1572" s="131">
        <f t="shared" si="179"/>
        <v>3</v>
      </c>
      <c r="T1572" s="7" t="s">
        <v>173</v>
      </c>
      <c r="U1572" s="7" t="s">
        <v>294</v>
      </c>
      <c r="V1572" s="7"/>
      <c r="W1572" s="7">
        <v>0</v>
      </c>
      <c r="X1572" s="132">
        <f t="shared" si="177"/>
        <v>10</v>
      </c>
      <c r="Y1572" s="133"/>
      <c r="Z1572" s="133"/>
      <c r="AA1572" s="133"/>
    </row>
    <row r="1573" spans="1:27" hidden="1" x14ac:dyDescent="0.25">
      <c r="A1573" s="127">
        <v>1725</v>
      </c>
      <c r="B1573" s="128" t="str">
        <f t="shared" si="178"/>
        <v>UCQT</v>
      </c>
      <c r="C1573" s="128">
        <f>+VLOOKUP(U1573,Ходим!A:B,2,0)</f>
        <v>52107015940019</v>
      </c>
      <c r="D1573" s="128" t="str">
        <f>IFERROR(VLOOKUP($B:$B,[20]свод!$A:$AB,3,0)," ")</f>
        <v>Учқўрғон тумани</v>
      </c>
      <c r="E1573" s="7" t="s">
        <v>2710</v>
      </c>
      <c r="F1573" s="7" t="s">
        <v>9097</v>
      </c>
      <c r="G1573" s="134">
        <f t="shared" si="175"/>
        <v>1</v>
      </c>
      <c r="H1573" s="134" t="str">
        <f t="shared" si="176"/>
        <v/>
      </c>
      <c r="I1573" s="7" t="s">
        <v>158</v>
      </c>
      <c r="J1573" s="7" t="s">
        <v>2</v>
      </c>
      <c r="K1573" s="7"/>
      <c r="L1573" s="7" t="s">
        <v>167</v>
      </c>
      <c r="M1573" s="7" t="s">
        <v>5245</v>
      </c>
      <c r="N1573" s="7" t="s">
        <v>170</v>
      </c>
      <c r="O1573" s="7" t="s">
        <v>162</v>
      </c>
      <c r="P1573" s="7" t="s">
        <v>6999</v>
      </c>
      <c r="Q1573" s="129">
        <v>46199</v>
      </c>
      <c r="R1573" s="130">
        <f t="shared" si="174"/>
        <v>46202</v>
      </c>
      <c r="S1573" s="131">
        <f t="shared" si="179"/>
        <v>3</v>
      </c>
      <c r="T1573" s="7" t="s">
        <v>175</v>
      </c>
      <c r="U1573" s="7" t="s">
        <v>361</v>
      </c>
      <c r="V1573" s="7"/>
      <c r="W1573" s="7">
        <v>67.8</v>
      </c>
      <c r="X1573" s="132">
        <f t="shared" si="177"/>
        <v>10</v>
      </c>
      <c r="Y1573" s="133"/>
      <c r="Z1573" s="133"/>
      <c r="AA1573" s="133"/>
    </row>
    <row r="1574" spans="1:27" hidden="1" x14ac:dyDescent="0.25">
      <c r="A1574" s="127">
        <v>1726</v>
      </c>
      <c r="B1574" s="128" t="str">
        <f t="shared" si="178"/>
        <v>UYCT</v>
      </c>
      <c r="C1574" s="128" t="str">
        <f>+VLOOKUP(U1574,Ходим!A:B,2,0)</f>
        <v>31007942140083</v>
      </c>
      <c r="D1574" s="128" t="str">
        <f>IFERROR(VLOOKUP($B:$B,[20]свод!$A:$AB,3,0)," ")</f>
        <v>Уйчи тумани</v>
      </c>
      <c r="E1574" s="7" t="s">
        <v>2711</v>
      </c>
      <c r="F1574" s="7" t="s">
        <v>9098</v>
      </c>
      <c r="G1574" s="134">
        <f t="shared" si="175"/>
        <v>1</v>
      </c>
      <c r="H1574" s="134" t="str">
        <f t="shared" si="176"/>
        <v/>
      </c>
      <c r="I1574" s="7" t="s">
        <v>158</v>
      </c>
      <c r="J1574" s="7" t="s">
        <v>2</v>
      </c>
      <c r="K1574" s="7"/>
      <c r="L1574" s="7" t="s">
        <v>167</v>
      </c>
      <c r="M1574" s="7" t="s">
        <v>5246</v>
      </c>
      <c r="N1574" s="7" t="s">
        <v>170</v>
      </c>
      <c r="O1574" s="7" t="s">
        <v>162</v>
      </c>
      <c r="P1574" s="7" t="s">
        <v>7002</v>
      </c>
      <c r="Q1574" s="129">
        <v>46199</v>
      </c>
      <c r="R1574" s="130">
        <f t="shared" si="174"/>
        <v>46206</v>
      </c>
      <c r="S1574" s="131">
        <f t="shared" si="179"/>
        <v>7</v>
      </c>
      <c r="T1574" s="7" t="s">
        <v>379</v>
      </c>
      <c r="U1574" s="7" t="s">
        <v>263</v>
      </c>
      <c r="V1574" s="7"/>
      <c r="W1574" s="7">
        <v>488.53</v>
      </c>
      <c r="X1574" s="132">
        <f t="shared" si="177"/>
        <v>10</v>
      </c>
      <c r="Y1574" s="133"/>
      <c r="Z1574" s="133"/>
      <c r="AA1574" s="133"/>
    </row>
    <row r="1575" spans="1:27" hidden="1" x14ac:dyDescent="0.25">
      <c r="A1575" s="127">
        <v>1727</v>
      </c>
      <c r="B1575" s="128" t="str">
        <f t="shared" si="178"/>
        <v>NAMS</v>
      </c>
      <c r="C1575" s="128" t="str">
        <f>+VLOOKUP(U1575,Ходим!A:B,2,0)</f>
        <v>51705025890024</v>
      </c>
      <c r="D1575" s="128" t="str">
        <f>IFERROR(VLOOKUP($B:$B,[20]свод!$A:$AB,3,0)," ")</f>
        <v>Наманган шаҳар</v>
      </c>
      <c r="E1575" s="7" t="s">
        <v>2712</v>
      </c>
      <c r="F1575" s="7" t="s">
        <v>9099</v>
      </c>
      <c r="G1575" s="134">
        <f t="shared" si="175"/>
        <v>1</v>
      </c>
      <c r="H1575" s="134" t="str">
        <f t="shared" si="176"/>
        <v/>
      </c>
      <c r="I1575" s="7" t="s">
        <v>156</v>
      </c>
      <c r="J1575" s="7" t="s">
        <v>25</v>
      </c>
      <c r="K1575" s="7"/>
      <c r="L1575" s="7"/>
      <c r="M1575" s="7"/>
      <c r="N1575" s="7" t="s">
        <v>170</v>
      </c>
      <c r="O1575" s="7" t="s">
        <v>162</v>
      </c>
      <c r="P1575" s="7" t="s">
        <v>7002</v>
      </c>
      <c r="Q1575" s="129">
        <v>46199</v>
      </c>
      <c r="R1575" s="130">
        <f t="shared" si="174"/>
        <v>46206</v>
      </c>
      <c r="S1575" s="131">
        <f t="shared" si="179"/>
        <v>7</v>
      </c>
      <c r="T1575" s="7" t="s">
        <v>173</v>
      </c>
      <c r="U1575" s="7" t="s">
        <v>189</v>
      </c>
      <c r="V1575" s="7"/>
      <c r="W1575" s="7"/>
      <c r="X1575" s="132">
        <f t="shared" si="177"/>
        <v>10</v>
      </c>
      <c r="Y1575" s="133"/>
      <c r="Z1575" s="133"/>
      <c r="AA1575" s="133"/>
    </row>
    <row r="1576" spans="1:27" hidden="1" x14ac:dyDescent="0.25">
      <c r="A1576" s="127">
        <v>1728</v>
      </c>
      <c r="B1576" s="128" t="str">
        <f t="shared" si="178"/>
        <v>TORT</v>
      </c>
      <c r="C1576" s="128" t="str">
        <f>+VLOOKUP(U1576,Ходим!A:B,2,0)</f>
        <v>31110892130070</v>
      </c>
      <c r="D1576" s="128" t="str">
        <f>IFERROR(VLOOKUP($B:$B,[20]свод!$A:$AB,3,0)," ")</f>
        <v>Тўрақўрғон тумани</v>
      </c>
      <c r="E1576" s="7" t="s">
        <v>2713</v>
      </c>
      <c r="F1576" s="7" t="s">
        <v>9100</v>
      </c>
      <c r="G1576" s="134" t="str">
        <f t="shared" si="175"/>
        <v/>
      </c>
      <c r="H1576" s="134">
        <f t="shared" si="176"/>
        <v>1</v>
      </c>
      <c r="I1576" s="7" t="s">
        <v>154</v>
      </c>
      <c r="J1576" s="7" t="s">
        <v>2</v>
      </c>
      <c r="K1576" s="7"/>
      <c r="L1576" s="7" t="s">
        <v>166</v>
      </c>
      <c r="M1576" s="7" t="s">
        <v>1041</v>
      </c>
      <c r="N1576" s="7" t="s">
        <v>410</v>
      </c>
      <c r="O1576" s="7" t="s">
        <v>161</v>
      </c>
      <c r="P1576" s="7" t="s">
        <v>6999</v>
      </c>
      <c r="Q1576" s="129">
        <v>46199</v>
      </c>
      <c r="R1576" s="130">
        <f t="shared" si="174"/>
        <v>46202</v>
      </c>
      <c r="S1576" s="131">
        <f t="shared" si="179"/>
        <v>3</v>
      </c>
      <c r="T1576" s="7" t="s">
        <v>203</v>
      </c>
      <c r="U1576" s="7" t="s">
        <v>297</v>
      </c>
      <c r="V1576" s="7"/>
      <c r="W1576" s="7">
        <v>0</v>
      </c>
      <c r="X1576" s="132">
        <f t="shared" si="177"/>
        <v>10</v>
      </c>
      <c r="Y1576" s="133"/>
      <c r="Z1576" s="133"/>
      <c r="AA1576" s="133"/>
    </row>
    <row r="1577" spans="1:27" hidden="1" x14ac:dyDescent="0.25">
      <c r="A1577" s="127">
        <v>1729</v>
      </c>
      <c r="B1577" s="128" t="str">
        <f t="shared" si="178"/>
        <v>KSST</v>
      </c>
      <c r="C1577" s="128" t="str">
        <f>+VLOOKUP(U1577,Ходим!A:B,2,0)</f>
        <v>50709025980034</v>
      </c>
      <c r="D1577" s="128" t="str">
        <f>IFERROR(VLOOKUP($B:$B,[20]свод!$A:$AB,3,0)," ")</f>
        <v>Косонсой тумани</v>
      </c>
      <c r="E1577" s="7" t="s">
        <v>2714</v>
      </c>
      <c r="F1577" s="7" t="s">
        <v>9101</v>
      </c>
      <c r="G1577" s="134">
        <f t="shared" si="175"/>
        <v>1</v>
      </c>
      <c r="H1577" s="134" t="str">
        <f t="shared" si="176"/>
        <v/>
      </c>
      <c r="I1577" s="7" t="s">
        <v>158</v>
      </c>
      <c r="J1577" s="7" t="s">
        <v>13</v>
      </c>
      <c r="K1577" s="7"/>
      <c r="L1577" s="7" t="s">
        <v>167</v>
      </c>
      <c r="M1577" s="7" t="s">
        <v>5247</v>
      </c>
      <c r="N1577" s="7" t="s">
        <v>170</v>
      </c>
      <c r="O1577" s="7" t="s">
        <v>162</v>
      </c>
      <c r="P1577" s="7" t="s">
        <v>7003</v>
      </c>
      <c r="Q1577" s="129">
        <v>46199</v>
      </c>
      <c r="R1577" s="130">
        <f t="shared" ref="R1577:R1635" si="180">WORKDAY(P1577,X1577,$Y$1:$AA$1)</f>
        <v>46202</v>
      </c>
      <c r="S1577" s="131">
        <f t="shared" si="179"/>
        <v>3</v>
      </c>
      <c r="T1577" s="7" t="s">
        <v>180</v>
      </c>
      <c r="U1577" s="7" t="s">
        <v>286</v>
      </c>
      <c r="V1577" s="7"/>
      <c r="W1577" s="7">
        <v>157.53</v>
      </c>
      <c r="X1577" s="132">
        <f t="shared" si="177"/>
        <v>10</v>
      </c>
      <c r="Y1577" s="133"/>
      <c r="Z1577" s="133"/>
      <c r="AA1577" s="133"/>
    </row>
    <row r="1578" spans="1:27" hidden="1" x14ac:dyDescent="0.25">
      <c r="A1578" s="127">
        <v>1730</v>
      </c>
      <c r="B1578" s="128" t="str">
        <f t="shared" si="178"/>
        <v>CHOT</v>
      </c>
      <c r="C1578" s="128" t="str">
        <f>+VLOOKUP(U1578,Ходим!A:B,2,0)</f>
        <v>31904922100113</v>
      </c>
      <c r="D1578" s="128" t="str">
        <f>IFERROR(VLOOKUP($B:$B,[20]свод!$A:$AB,3,0)," ")</f>
        <v>Чортоқ тумани</v>
      </c>
      <c r="E1578" s="7" t="s">
        <v>2715</v>
      </c>
      <c r="F1578" s="7" t="s">
        <v>9102</v>
      </c>
      <c r="G1578" s="134">
        <f t="shared" si="175"/>
        <v>1</v>
      </c>
      <c r="H1578" s="134" t="str">
        <f t="shared" si="176"/>
        <v/>
      </c>
      <c r="I1578" s="7" t="s">
        <v>154</v>
      </c>
      <c r="J1578" s="7" t="s">
        <v>100</v>
      </c>
      <c r="K1578" s="7"/>
      <c r="L1578" s="7" t="s">
        <v>167</v>
      </c>
      <c r="M1578" s="7" t="s">
        <v>5248</v>
      </c>
      <c r="N1578" s="7" t="s">
        <v>170</v>
      </c>
      <c r="O1578" s="7" t="s">
        <v>162</v>
      </c>
      <c r="P1578" s="7" t="s">
        <v>6776</v>
      </c>
      <c r="Q1578" s="129">
        <v>46199</v>
      </c>
      <c r="R1578" s="130">
        <f t="shared" si="180"/>
        <v>46212</v>
      </c>
      <c r="S1578" s="131">
        <f t="shared" si="179"/>
        <v>13</v>
      </c>
      <c r="T1578" s="7" t="s">
        <v>184</v>
      </c>
      <c r="U1578" s="7" t="s">
        <v>310</v>
      </c>
      <c r="V1578" s="7"/>
      <c r="W1578" s="7">
        <v>245.7</v>
      </c>
      <c r="X1578" s="132">
        <f t="shared" si="177"/>
        <v>10</v>
      </c>
      <c r="Y1578" s="133"/>
      <c r="Z1578" s="133"/>
      <c r="AA1578" s="133"/>
    </row>
    <row r="1579" spans="1:27" hidden="1" x14ac:dyDescent="0.25">
      <c r="A1579" s="127">
        <v>1731</v>
      </c>
      <c r="B1579" s="128" t="str">
        <f t="shared" si="178"/>
        <v>POPT</v>
      </c>
      <c r="C1579" s="128" t="str">
        <f>+VLOOKUP(U1579,Ходим!A:B,2,0)</f>
        <v>32307772120077</v>
      </c>
      <c r="D1579" s="128" t="str">
        <f>IFERROR(VLOOKUP($B:$B,[20]свод!$A:$AB,3,0)," ")</f>
        <v>Поп тумани</v>
      </c>
      <c r="E1579" s="7" t="s">
        <v>2716</v>
      </c>
      <c r="F1579" s="7" t="s">
        <v>9103</v>
      </c>
      <c r="G1579" s="134">
        <f t="shared" si="175"/>
        <v>1</v>
      </c>
      <c r="H1579" s="134" t="str">
        <f t="shared" si="176"/>
        <v/>
      </c>
      <c r="I1579" s="7" t="s">
        <v>156</v>
      </c>
      <c r="J1579" s="7" t="s">
        <v>25</v>
      </c>
      <c r="K1579" s="7"/>
      <c r="L1579" s="7" t="s">
        <v>167</v>
      </c>
      <c r="M1579" s="7" t="s">
        <v>5249</v>
      </c>
      <c r="N1579" s="7" t="s">
        <v>170</v>
      </c>
      <c r="O1579" s="7" t="s">
        <v>163</v>
      </c>
      <c r="P1579" s="7" t="s">
        <v>7004</v>
      </c>
      <c r="Q1579" s="129">
        <v>46199</v>
      </c>
      <c r="R1579" s="130">
        <f t="shared" si="180"/>
        <v>46212</v>
      </c>
      <c r="S1579" s="131">
        <f t="shared" si="179"/>
        <v>13</v>
      </c>
      <c r="T1579" s="7" t="s">
        <v>240</v>
      </c>
      <c r="U1579" s="7" t="s">
        <v>253</v>
      </c>
      <c r="V1579" s="7"/>
      <c r="W1579" s="7">
        <v>41.04</v>
      </c>
      <c r="X1579" s="132">
        <f t="shared" si="177"/>
        <v>10</v>
      </c>
      <c r="Y1579" s="133"/>
      <c r="Z1579" s="133"/>
      <c r="AA1579" s="133"/>
    </row>
    <row r="1580" spans="1:27" hidden="1" x14ac:dyDescent="0.25">
      <c r="A1580" s="127">
        <v>1732</v>
      </c>
      <c r="B1580" s="128" t="str">
        <f t="shared" si="178"/>
        <v>TORT</v>
      </c>
      <c r="C1580" s="128" t="str">
        <f>+VLOOKUP(U1580,Ходим!A:B,2,0)</f>
        <v>50908015920034</v>
      </c>
      <c r="D1580" s="128" t="str">
        <f>IFERROR(VLOOKUP($B:$B,[20]свод!$A:$AB,3,0)," ")</f>
        <v>Тўрақўрғон тумани</v>
      </c>
      <c r="E1580" s="7" t="s">
        <v>2717</v>
      </c>
      <c r="F1580" s="7" t="s">
        <v>9104</v>
      </c>
      <c r="G1580" s="134">
        <f t="shared" si="175"/>
        <v>1</v>
      </c>
      <c r="H1580" s="134" t="str">
        <f t="shared" si="176"/>
        <v/>
      </c>
      <c r="I1580" s="7" t="s">
        <v>158</v>
      </c>
      <c r="J1580" s="7" t="s">
        <v>1</v>
      </c>
      <c r="K1580" s="7"/>
      <c r="L1580" s="7" t="s">
        <v>167</v>
      </c>
      <c r="M1580" s="7" t="s">
        <v>1056</v>
      </c>
      <c r="N1580" s="7" t="s">
        <v>170</v>
      </c>
      <c r="O1580" s="7" t="s">
        <v>163</v>
      </c>
      <c r="P1580" s="7" t="s">
        <v>6980</v>
      </c>
      <c r="Q1580" s="129">
        <v>46199</v>
      </c>
      <c r="R1580" s="130">
        <f t="shared" si="180"/>
        <v>46202</v>
      </c>
      <c r="S1580" s="131">
        <f t="shared" si="179"/>
        <v>3</v>
      </c>
      <c r="T1580" s="7" t="s">
        <v>203</v>
      </c>
      <c r="U1580" s="7" t="s">
        <v>205</v>
      </c>
      <c r="V1580" s="7"/>
      <c r="W1580" s="7">
        <v>300.5</v>
      </c>
      <c r="X1580" s="132">
        <f t="shared" si="177"/>
        <v>10</v>
      </c>
      <c r="Y1580" s="133"/>
      <c r="Z1580" s="133"/>
      <c r="AA1580" s="133"/>
    </row>
    <row r="1581" spans="1:27" hidden="1" x14ac:dyDescent="0.25">
      <c r="A1581" s="127">
        <v>1733</v>
      </c>
      <c r="B1581" s="128" t="str">
        <f t="shared" si="178"/>
        <v>NAMS</v>
      </c>
      <c r="C1581" s="128" t="e">
        <f>+VLOOKUP(U1581,Ходим!A:B,2,0)</f>
        <v>#N/A</v>
      </c>
      <c r="D1581" s="128" t="str">
        <f>IFERROR(VLOOKUP($B:$B,[20]свод!$A:$AB,3,0)," ")</f>
        <v>Наманган шаҳар</v>
      </c>
      <c r="E1581" s="7" t="s">
        <v>2718</v>
      </c>
      <c r="F1581" s="7" t="s">
        <v>9105</v>
      </c>
      <c r="G1581" s="134" t="str">
        <f t="shared" ref="G1581:G1639" si="181">IF(OR(
I1581="Turar joy obyektning kadastr pasportini shakllantirish va davlat ro'yxatidan o'tkazish",
I1581="Turar kompozit"
),
1,
IF(OR(
I1581="Noturar kompozit",
I1581="Avtoyo'l va suv xo'jaligi obyektining kadastr pasportini shakllantirish va ro'yxatga olish",
I1581="Noturar obyektning kadastr pasportining kadastr pasportini shakllantirish va davlat ro'yxatidan o'tkazish"
),
"",
IF(OR(
I1581="Notarius uchun ma'lumotnoma (uz)",
I1581="Qurilishi tugallangan ko'chmas mulkni foydalanishga qabul qilish",
I1581="Umumiy foydalanishdagi ko'chmas mulk qismini yaratish",
I1581="Registratsiya (tashqi - UZKAD da bor)"
),
IF(OR(L1581="Turar yer maydoni",L1581="Yakka tartibdagi turar joy"),1,
IF(L1581="Noturar bino","",
IF(L1581="Noturar yer maydoni","",
IF(L1581="",IF(OR(O1581="Turar joy xizmati",O1581="Foydalanishga ruxsatnoma berish xizmati"),1,""),"")
))),
"")))</f>
        <v/>
      </c>
      <c r="H1581" s="134">
        <f t="shared" ref="H1581:H1639" si="182">IF(OR(
I1581="Turar joy obyektning kadastr pasportini shakllantirish va davlat ro'yxatidan o'tkazish",
I1581="Turar kompozit"
),
"",
IF(OR(
I1581="Noturar kompozit",
I1581="Avtoyo'l va suv xo'jaligi obyektining kadastr pasportini shakllantirish va ro'yxatga olish",
I1581="Noturar obyektning kadastr pasportini shakllantirish va davlat ro'yxatidan o'tkazish"
),
1,
IF(OR(
I1581="Notarius uchun ma'lumotnoma (uz)",
I1581="Qurilishi tugallangan ko'chmas mulkni foydalanishga qabul qilish",
I1581="Umumiy foydalanishdagi ko'chmas mulk qismini yaratish",
I1581="Registratsiya (tashqi - UZKAD da bor)"
),
IF(OR(L1581="Turar yer maydoni",L1581="Yakka tartibdagi turar joy"),"",
IF(L1581="Noturar bino",1,
IF(L1581="Noturar yer maydoni",1,
IF(L1581="",IF(OR(O1581="Turar joy xizmati",O1581="Foydalanishga ruxsatnoma berish xizmati"),"",1),"")
))),
"")))</f>
        <v>1</v>
      </c>
      <c r="I1581" s="7" t="s">
        <v>155</v>
      </c>
      <c r="J1581" s="7" t="s">
        <v>11</v>
      </c>
      <c r="K1581" s="7"/>
      <c r="L1581" s="7"/>
      <c r="M1581" s="7"/>
      <c r="N1581" s="7" t="s">
        <v>170</v>
      </c>
      <c r="O1581" s="7" t="s">
        <v>161</v>
      </c>
      <c r="P1581" s="7" t="s">
        <v>7004</v>
      </c>
      <c r="Q1581" s="129">
        <v>46199</v>
      </c>
      <c r="R1581" s="130">
        <f t="shared" si="180"/>
        <v>46212</v>
      </c>
      <c r="S1581" s="131">
        <f t="shared" si="179"/>
        <v>13</v>
      </c>
      <c r="T1581" s="7"/>
      <c r="U1581" s="7"/>
      <c r="V1581" s="7"/>
      <c r="W1581" s="7"/>
      <c r="X1581" s="132">
        <f t="shared" si="177"/>
        <v>10</v>
      </c>
      <c r="Y1581" s="133"/>
      <c r="Z1581" s="133"/>
      <c r="AA1581" s="133"/>
    </row>
    <row r="1582" spans="1:27" hidden="1" x14ac:dyDescent="0.25">
      <c r="A1582" s="127">
        <v>1734</v>
      </c>
      <c r="B1582" s="128" t="str">
        <f t="shared" si="178"/>
        <v>YGQT</v>
      </c>
      <c r="C1582" s="128" t="e">
        <f>+VLOOKUP(U1582,Ходим!A:B,2,0)</f>
        <v>#N/A</v>
      </c>
      <c r="D1582" s="128" t="str">
        <f>IFERROR(VLOOKUP($B:$B,[20]свод!$A:$AB,3,0)," ")</f>
        <v>Янгиқўрғон тумани</v>
      </c>
      <c r="E1582" s="7" t="s">
        <v>2719</v>
      </c>
      <c r="F1582" s="7" t="s">
        <v>9106</v>
      </c>
      <c r="G1582" s="134">
        <f t="shared" si="181"/>
        <v>1</v>
      </c>
      <c r="H1582" s="134" t="str">
        <f t="shared" si="182"/>
        <v/>
      </c>
      <c r="I1582" s="7" t="s">
        <v>156</v>
      </c>
      <c r="J1582" s="7" t="s">
        <v>21</v>
      </c>
      <c r="K1582" s="7"/>
      <c r="L1582" s="7"/>
      <c r="M1582" s="7"/>
      <c r="N1582" s="7" t="s">
        <v>170</v>
      </c>
      <c r="O1582" s="7" t="s">
        <v>162</v>
      </c>
      <c r="P1582" s="7" t="s">
        <v>7004</v>
      </c>
      <c r="Q1582" s="129">
        <v>46199</v>
      </c>
      <c r="R1582" s="130">
        <f t="shared" si="180"/>
        <v>46212</v>
      </c>
      <c r="S1582" s="131">
        <f t="shared" si="179"/>
        <v>13</v>
      </c>
      <c r="T1582" s="7" t="s">
        <v>182</v>
      </c>
      <c r="U1582" s="7"/>
      <c r="V1582" s="7"/>
      <c r="W1582" s="7"/>
      <c r="X1582" s="132">
        <f t="shared" si="177"/>
        <v>10</v>
      </c>
      <c r="Y1582" s="133"/>
      <c r="Z1582" s="133"/>
      <c r="AA1582" s="133"/>
    </row>
    <row r="1583" spans="1:27" hidden="1" x14ac:dyDescent="0.25">
      <c r="A1583" s="127">
        <v>1735</v>
      </c>
      <c r="B1583" s="128" t="str">
        <f t="shared" si="178"/>
        <v>MINT</v>
      </c>
      <c r="C1583" s="128" t="str">
        <f>+VLOOKUP(U1583,Ходим!A:B,2,0)</f>
        <v>30910905990010</v>
      </c>
      <c r="D1583" s="128" t="str">
        <f>IFERROR(VLOOKUP($B:$B,[20]свод!$A:$AB,3,0)," ")</f>
        <v>Мингбулоқ тумани</v>
      </c>
      <c r="E1583" s="7" t="s">
        <v>2720</v>
      </c>
      <c r="F1583" s="7" t="s">
        <v>9107</v>
      </c>
      <c r="G1583" s="134">
        <f t="shared" si="181"/>
        <v>1</v>
      </c>
      <c r="H1583" s="134" t="str">
        <f t="shared" si="182"/>
        <v/>
      </c>
      <c r="I1583" s="7" t="s">
        <v>158</v>
      </c>
      <c r="J1583" s="7" t="s">
        <v>36</v>
      </c>
      <c r="K1583" s="7"/>
      <c r="L1583" s="7" t="s">
        <v>167</v>
      </c>
      <c r="M1583" s="7" t="s">
        <v>5250</v>
      </c>
      <c r="N1583" s="7" t="s">
        <v>410</v>
      </c>
      <c r="O1583" s="7" t="s">
        <v>162</v>
      </c>
      <c r="P1583" s="7" t="s">
        <v>6771</v>
      </c>
      <c r="Q1583" s="129">
        <v>46199</v>
      </c>
      <c r="R1583" s="130">
        <f t="shared" si="180"/>
        <v>46206</v>
      </c>
      <c r="S1583" s="131">
        <f t="shared" si="179"/>
        <v>7</v>
      </c>
      <c r="T1583" s="7" t="s">
        <v>220</v>
      </c>
      <c r="U1583" s="7" t="s">
        <v>221</v>
      </c>
      <c r="V1583" s="7"/>
      <c r="W1583" s="7">
        <v>286.08</v>
      </c>
      <c r="X1583" s="132">
        <f t="shared" si="177"/>
        <v>10</v>
      </c>
      <c r="Y1583" s="133"/>
      <c r="Z1583" s="133"/>
      <c r="AA1583" s="133"/>
    </row>
    <row r="1584" spans="1:27" hidden="1" x14ac:dyDescent="0.25">
      <c r="A1584" s="127">
        <v>1736</v>
      </c>
      <c r="B1584" s="128" t="str">
        <f t="shared" si="178"/>
        <v>NAMS</v>
      </c>
      <c r="C1584" s="128" t="str">
        <f>+VLOOKUP(U1584,Ходим!A:B,2,0)</f>
        <v>30108932170088</v>
      </c>
      <c r="D1584" s="128" t="str">
        <f>IFERROR(VLOOKUP($B:$B,[20]свод!$A:$AB,3,0)," ")</f>
        <v>Наманган шаҳар</v>
      </c>
      <c r="E1584" s="7" t="s">
        <v>2721</v>
      </c>
      <c r="F1584" s="7" t="s">
        <v>9108</v>
      </c>
      <c r="G1584" s="134">
        <f t="shared" si="181"/>
        <v>1</v>
      </c>
      <c r="H1584" s="134" t="str">
        <f t="shared" si="182"/>
        <v/>
      </c>
      <c r="I1584" s="7" t="s">
        <v>156</v>
      </c>
      <c r="J1584" s="7" t="s">
        <v>25</v>
      </c>
      <c r="K1584" s="7"/>
      <c r="L1584" s="7"/>
      <c r="M1584" s="7"/>
      <c r="N1584" s="7" t="s">
        <v>410</v>
      </c>
      <c r="O1584" s="7" t="s">
        <v>162</v>
      </c>
      <c r="P1584" s="7" t="s">
        <v>6994</v>
      </c>
      <c r="Q1584" s="129">
        <v>46199</v>
      </c>
      <c r="R1584" s="130">
        <f t="shared" si="180"/>
        <v>46212</v>
      </c>
      <c r="S1584" s="131">
        <f t="shared" si="179"/>
        <v>13</v>
      </c>
      <c r="T1584" s="7" t="s">
        <v>185</v>
      </c>
      <c r="U1584" s="7" t="s">
        <v>329</v>
      </c>
      <c r="V1584" s="7"/>
      <c r="W1584" s="7"/>
      <c r="X1584" s="132">
        <f t="shared" si="177"/>
        <v>10</v>
      </c>
      <c r="Y1584" s="133"/>
      <c r="Z1584" s="133"/>
      <c r="AA1584" s="133"/>
    </row>
    <row r="1585" spans="1:27" hidden="1" x14ac:dyDescent="0.25">
      <c r="A1585" s="127">
        <v>1737</v>
      </c>
      <c r="B1585" s="128" t="str">
        <f t="shared" si="178"/>
        <v>UYCT</v>
      </c>
      <c r="C1585" s="128" t="str">
        <f>+VLOOKUP(U1585,Ходим!A:B,2,0)</f>
        <v>31101985930022</v>
      </c>
      <c r="D1585" s="128" t="str">
        <f>IFERROR(VLOOKUP($B:$B,[20]свод!$A:$AB,3,0)," ")</f>
        <v>Уйчи тумани</v>
      </c>
      <c r="E1585" s="7" t="s">
        <v>2722</v>
      </c>
      <c r="F1585" s="7" t="s">
        <v>9109</v>
      </c>
      <c r="G1585" s="134">
        <f t="shared" si="181"/>
        <v>1</v>
      </c>
      <c r="H1585" s="134" t="str">
        <f t="shared" si="182"/>
        <v/>
      </c>
      <c r="I1585" s="7" t="s">
        <v>154</v>
      </c>
      <c r="J1585" s="7" t="s">
        <v>134</v>
      </c>
      <c r="K1585" s="7"/>
      <c r="L1585" s="7"/>
      <c r="M1585" s="7"/>
      <c r="N1585" s="7" t="s">
        <v>170</v>
      </c>
      <c r="O1585" s="7" t="s">
        <v>162</v>
      </c>
      <c r="P1585" s="7" t="s">
        <v>7005</v>
      </c>
      <c r="Q1585" s="129">
        <v>46199</v>
      </c>
      <c r="R1585" s="130">
        <f t="shared" si="180"/>
        <v>46202</v>
      </c>
      <c r="S1585" s="131">
        <f t="shared" si="179"/>
        <v>3</v>
      </c>
      <c r="T1585" s="7" t="s">
        <v>947</v>
      </c>
      <c r="U1585" s="7" t="s">
        <v>299</v>
      </c>
      <c r="V1585" s="7"/>
      <c r="W1585" s="7"/>
      <c r="X1585" s="132">
        <f t="shared" si="177"/>
        <v>10</v>
      </c>
      <c r="Y1585" s="133"/>
      <c r="Z1585" s="133"/>
      <c r="AA1585" s="133"/>
    </row>
    <row r="1586" spans="1:27" hidden="1" x14ac:dyDescent="0.25">
      <c r="A1586" s="127">
        <v>1739</v>
      </c>
      <c r="B1586" s="128" t="str">
        <f t="shared" si="178"/>
        <v>TORT</v>
      </c>
      <c r="C1586" s="128" t="str">
        <f>+VLOOKUP(U1586,Ходим!A:B,2,0)</f>
        <v>31701915920077</v>
      </c>
      <c r="D1586" s="128" t="str">
        <f>IFERROR(VLOOKUP($B:$B,[20]свод!$A:$AB,3,0)," ")</f>
        <v>Тўрақўрғон тумани</v>
      </c>
      <c r="E1586" s="7" t="s">
        <v>2723</v>
      </c>
      <c r="F1586" s="7" t="s">
        <v>9110</v>
      </c>
      <c r="G1586" s="134">
        <f t="shared" si="181"/>
        <v>1</v>
      </c>
      <c r="H1586" s="134" t="str">
        <f t="shared" si="182"/>
        <v/>
      </c>
      <c r="I1586" s="7" t="s">
        <v>158</v>
      </c>
      <c r="J1586" s="7" t="s">
        <v>2</v>
      </c>
      <c r="K1586" s="7"/>
      <c r="L1586" s="7" t="s">
        <v>167</v>
      </c>
      <c r="M1586" s="7" t="s">
        <v>5251</v>
      </c>
      <c r="N1586" s="7" t="s">
        <v>170</v>
      </c>
      <c r="O1586" s="7" t="s">
        <v>162</v>
      </c>
      <c r="P1586" s="7" t="s">
        <v>7005</v>
      </c>
      <c r="Q1586" s="129">
        <v>46199</v>
      </c>
      <c r="R1586" s="130">
        <f t="shared" si="180"/>
        <v>46202</v>
      </c>
      <c r="S1586" s="131">
        <f t="shared" si="179"/>
        <v>3</v>
      </c>
      <c r="T1586" s="7" t="s">
        <v>203</v>
      </c>
      <c r="U1586" s="7" t="s">
        <v>332</v>
      </c>
      <c r="V1586" s="7"/>
      <c r="W1586" s="7">
        <v>0</v>
      </c>
      <c r="X1586" s="132">
        <f t="shared" si="177"/>
        <v>10</v>
      </c>
      <c r="Y1586" s="133"/>
      <c r="Z1586" s="133"/>
      <c r="AA1586" s="133"/>
    </row>
    <row r="1587" spans="1:27" hidden="1" x14ac:dyDescent="0.25">
      <c r="A1587" s="127">
        <v>1740</v>
      </c>
      <c r="B1587" s="128" t="str">
        <f t="shared" si="178"/>
        <v>KSST</v>
      </c>
      <c r="C1587" s="128" t="str">
        <f>+VLOOKUP(U1587,Ходим!A:B,2,0)</f>
        <v>31810912190036</v>
      </c>
      <c r="D1587" s="128" t="str">
        <f>IFERROR(VLOOKUP($B:$B,[20]свод!$A:$AB,3,0)," ")</f>
        <v>Косонсой тумани</v>
      </c>
      <c r="E1587" s="7" t="s">
        <v>2724</v>
      </c>
      <c r="F1587" s="7" t="s">
        <v>9111</v>
      </c>
      <c r="G1587" s="134">
        <f t="shared" si="181"/>
        <v>1</v>
      </c>
      <c r="H1587" s="134" t="str">
        <f t="shared" si="182"/>
        <v/>
      </c>
      <c r="I1587" s="7" t="s">
        <v>158</v>
      </c>
      <c r="J1587" s="7" t="s">
        <v>36</v>
      </c>
      <c r="K1587" s="7"/>
      <c r="L1587" s="7" t="s">
        <v>167</v>
      </c>
      <c r="M1587" s="7" t="s">
        <v>5252</v>
      </c>
      <c r="N1587" s="7" t="s">
        <v>170</v>
      </c>
      <c r="O1587" s="7" t="s">
        <v>162</v>
      </c>
      <c r="P1587" s="7" t="s">
        <v>7005</v>
      </c>
      <c r="Q1587" s="129">
        <v>46199</v>
      </c>
      <c r="R1587" s="130">
        <f t="shared" si="180"/>
        <v>46202</v>
      </c>
      <c r="S1587" s="131">
        <f t="shared" si="179"/>
        <v>3</v>
      </c>
      <c r="T1587" s="7" t="s">
        <v>180</v>
      </c>
      <c r="U1587" s="7" t="s">
        <v>196</v>
      </c>
      <c r="V1587" s="7"/>
      <c r="W1587" s="7">
        <v>359.9</v>
      </c>
      <c r="X1587" s="132">
        <f t="shared" si="177"/>
        <v>10</v>
      </c>
      <c r="Y1587" s="133"/>
      <c r="Z1587" s="133"/>
      <c r="AA1587" s="133"/>
    </row>
    <row r="1588" spans="1:27" hidden="1" x14ac:dyDescent="0.25">
      <c r="A1588" s="127">
        <v>1741</v>
      </c>
      <c r="B1588" s="128" t="str">
        <f t="shared" si="178"/>
        <v>KSST</v>
      </c>
      <c r="C1588" s="128" t="str">
        <f>+VLOOKUP(U1588,Ходим!A:B,2,0)</f>
        <v>30411985980017</v>
      </c>
      <c r="D1588" s="128" t="str">
        <f>IFERROR(VLOOKUP($B:$B,[20]свод!$A:$AB,3,0)," ")</f>
        <v>Косонсой тумани</v>
      </c>
      <c r="E1588" s="7" t="s">
        <v>2725</v>
      </c>
      <c r="F1588" s="7" t="s">
        <v>9112</v>
      </c>
      <c r="G1588" s="134">
        <f t="shared" si="181"/>
        <v>1</v>
      </c>
      <c r="H1588" s="134" t="str">
        <f t="shared" si="182"/>
        <v/>
      </c>
      <c r="I1588" s="7" t="s">
        <v>158</v>
      </c>
      <c r="J1588" s="7" t="s">
        <v>1</v>
      </c>
      <c r="K1588" s="7"/>
      <c r="L1588" s="7" t="s">
        <v>167</v>
      </c>
      <c r="M1588" s="7" t="s">
        <v>5253</v>
      </c>
      <c r="N1588" s="7" t="s">
        <v>170</v>
      </c>
      <c r="O1588" s="7" t="s">
        <v>162</v>
      </c>
      <c r="P1588" s="7" t="s">
        <v>7005</v>
      </c>
      <c r="Q1588" s="129">
        <v>46199</v>
      </c>
      <c r="R1588" s="130">
        <f t="shared" si="180"/>
        <v>46202</v>
      </c>
      <c r="S1588" s="131">
        <f t="shared" si="179"/>
        <v>3</v>
      </c>
      <c r="T1588" s="7" t="s">
        <v>180</v>
      </c>
      <c r="U1588" s="7" t="s">
        <v>360</v>
      </c>
      <c r="V1588" s="7"/>
      <c r="W1588" s="7">
        <v>308.57</v>
      </c>
      <c r="X1588" s="132">
        <f t="shared" si="177"/>
        <v>10</v>
      </c>
      <c r="Y1588" s="133"/>
      <c r="Z1588" s="133"/>
      <c r="AA1588" s="133"/>
    </row>
    <row r="1589" spans="1:27" x14ac:dyDescent="0.25">
      <c r="A1589" s="127">
        <v>1742</v>
      </c>
      <c r="B1589" s="128" t="str">
        <f t="shared" si="178"/>
        <v>KSST</v>
      </c>
      <c r="C1589" s="128" t="str">
        <f>+VLOOKUP(U1589,Ходим!A:B,2,0)</f>
        <v>32910975980025</v>
      </c>
      <c r="D1589" s="128" t="str">
        <f>IFERROR(VLOOKUP($B:$B,[20]свод!$A:$AB,3,0)," ")</f>
        <v>Косонсой тумани</v>
      </c>
      <c r="E1589" s="7" t="s">
        <v>2726</v>
      </c>
      <c r="F1589" s="7" t="s">
        <v>9113</v>
      </c>
      <c r="G1589" s="134">
        <f t="shared" si="181"/>
        <v>1</v>
      </c>
      <c r="H1589" s="134" t="str">
        <f t="shared" si="182"/>
        <v/>
      </c>
      <c r="I1589" s="7" t="s">
        <v>158</v>
      </c>
      <c r="J1589" s="7" t="s">
        <v>1</v>
      </c>
      <c r="K1589" s="7"/>
      <c r="L1589" s="7" t="s">
        <v>167</v>
      </c>
      <c r="M1589" s="7" t="s">
        <v>5254</v>
      </c>
      <c r="N1589" s="7" t="s">
        <v>410</v>
      </c>
      <c r="O1589" s="7" t="s">
        <v>162</v>
      </c>
      <c r="P1589" s="7" t="s">
        <v>7006</v>
      </c>
      <c r="Q1589" s="129">
        <v>46199</v>
      </c>
      <c r="R1589" s="130">
        <f t="shared" si="180"/>
        <v>46199</v>
      </c>
      <c r="S1589" s="131">
        <f t="shared" si="179"/>
        <v>0</v>
      </c>
      <c r="T1589" s="7" t="s">
        <v>180</v>
      </c>
      <c r="U1589" s="7" t="s">
        <v>187</v>
      </c>
      <c r="V1589" s="7"/>
      <c r="W1589" s="7">
        <v>590.20000000000005</v>
      </c>
      <c r="X1589" s="132">
        <f t="shared" si="177"/>
        <v>10</v>
      </c>
      <c r="Y1589" s="133"/>
      <c r="Z1589" s="133"/>
      <c r="AA1589" s="133"/>
    </row>
    <row r="1590" spans="1:27" hidden="1" x14ac:dyDescent="0.25">
      <c r="A1590" s="127">
        <v>1744</v>
      </c>
      <c r="B1590" s="128" t="str">
        <f t="shared" si="178"/>
        <v>NAMS</v>
      </c>
      <c r="C1590" s="128" t="str">
        <f>+VLOOKUP(U1590,Ходим!A:B,2,0)</f>
        <v>31007955980023</v>
      </c>
      <c r="D1590" s="128" t="str">
        <f>IFERROR(VLOOKUP($B:$B,[20]свод!$A:$AB,3,0)," ")</f>
        <v>Наманган шаҳар</v>
      </c>
      <c r="E1590" s="7" t="s">
        <v>2727</v>
      </c>
      <c r="F1590" s="7" t="s">
        <v>9114</v>
      </c>
      <c r="G1590" s="134">
        <f t="shared" si="181"/>
        <v>1</v>
      </c>
      <c r="H1590" s="134" t="str">
        <f t="shared" si="182"/>
        <v/>
      </c>
      <c r="I1590" s="7" t="s">
        <v>158</v>
      </c>
      <c r="J1590" s="7" t="s">
        <v>2</v>
      </c>
      <c r="K1590" s="7"/>
      <c r="L1590" s="7" t="s">
        <v>167</v>
      </c>
      <c r="M1590" s="7" t="s">
        <v>5255</v>
      </c>
      <c r="N1590" s="7" t="s">
        <v>170</v>
      </c>
      <c r="O1590" s="7" t="s">
        <v>162</v>
      </c>
      <c r="P1590" s="7" t="s">
        <v>7007</v>
      </c>
      <c r="Q1590" s="129">
        <v>46199</v>
      </c>
      <c r="R1590" s="130">
        <f t="shared" si="180"/>
        <v>46202</v>
      </c>
      <c r="S1590" s="131">
        <f t="shared" si="179"/>
        <v>3</v>
      </c>
      <c r="T1590" s="7" t="s">
        <v>173</v>
      </c>
      <c r="U1590" s="7" t="s">
        <v>207</v>
      </c>
      <c r="V1590" s="7"/>
      <c r="W1590" s="7">
        <v>381.43</v>
      </c>
      <c r="X1590" s="132">
        <f t="shared" si="177"/>
        <v>10</v>
      </c>
      <c r="Y1590" s="133"/>
      <c r="Z1590" s="133"/>
      <c r="AA1590" s="133"/>
    </row>
    <row r="1591" spans="1:27" hidden="1" x14ac:dyDescent="0.25">
      <c r="A1591" s="127">
        <v>1745</v>
      </c>
      <c r="B1591" s="128" t="str">
        <f t="shared" si="178"/>
        <v>KSST</v>
      </c>
      <c r="C1591" s="128" t="str">
        <f>+VLOOKUP(U1591,Ходим!A:B,2,0)</f>
        <v>31204985980041</v>
      </c>
      <c r="D1591" s="128" t="str">
        <f>IFERROR(VLOOKUP($B:$B,[20]свод!$A:$AB,3,0)," ")</f>
        <v>Косонсой тумани</v>
      </c>
      <c r="E1591" s="7" t="s">
        <v>2728</v>
      </c>
      <c r="F1591" s="7" t="s">
        <v>9115</v>
      </c>
      <c r="G1591" s="134">
        <f t="shared" si="181"/>
        <v>1</v>
      </c>
      <c r="H1591" s="134" t="str">
        <f t="shared" si="182"/>
        <v/>
      </c>
      <c r="I1591" s="7" t="s">
        <v>158</v>
      </c>
      <c r="J1591" s="7" t="s">
        <v>36</v>
      </c>
      <c r="K1591" s="7"/>
      <c r="L1591" s="7" t="s">
        <v>167</v>
      </c>
      <c r="M1591" s="7" t="s">
        <v>5256</v>
      </c>
      <c r="N1591" s="7" t="s">
        <v>170</v>
      </c>
      <c r="O1591" s="7" t="s">
        <v>162</v>
      </c>
      <c r="P1591" s="7" t="s">
        <v>7008</v>
      </c>
      <c r="Q1591" s="129">
        <v>46199</v>
      </c>
      <c r="R1591" s="130">
        <f t="shared" si="180"/>
        <v>46206</v>
      </c>
      <c r="S1591" s="131">
        <f t="shared" si="179"/>
        <v>7</v>
      </c>
      <c r="T1591" s="7" t="s">
        <v>180</v>
      </c>
      <c r="U1591" s="7" t="s">
        <v>236</v>
      </c>
      <c r="V1591" s="7"/>
      <c r="W1591" s="7">
        <v>0</v>
      </c>
      <c r="X1591" s="132">
        <f t="shared" si="177"/>
        <v>10</v>
      </c>
      <c r="Y1591" s="133"/>
      <c r="Z1591" s="133"/>
      <c r="AA1591" s="133"/>
    </row>
    <row r="1592" spans="1:27" hidden="1" x14ac:dyDescent="0.25">
      <c r="A1592" s="127">
        <v>1746</v>
      </c>
      <c r="B1592" s="128" t="str">
        <f t="shared" si="178"/>
        <v>UCQT</v>
      </c>
      <c r="C1592" s="128" t="str">
        <f>+VLOOKUP(U1592,Ходим!A:B,2,0)</f>
        <v>31206892150069</v>
      </c>
      <c r="D1592" s="128" t="str">
        <f>IFERROR(VLOOKUP($B:$B,[20]свод!$A:$AB,3,0)," ")</f>
        <v>Учқўрғон тумани</v>
      </c>
      <c r="E1592" s="7" t="s">
        <v>2729</v>
      </c>
      <c r="F1592" s="7" t="s">
        <v>9116</v>
      </c>
      <c r="G1592" s="134">
        <f t="shared" si="181"/>
        <v>1</v>
      </c>
      <c r="H1592" s="134" t="str">
        <f t="shared" si="182"/>
        <v/>
      </c>
      <c r="I1592" s="7" t="s">
        <v>158</v>
      </c>
      <c r="J1592" s="7" t="s">
        <v>2</v>
      </c>
      <c r="K1592" s="7"/>
      <c r="L1592" s="7" t="s">
        <v>167</v>
      </c>
      <c r="M1592" s="7" t="s">
        <v>5257</v>
      </c>
      <c r="N1592" s="7" t="s">
        <v>170</v>
      </c>
      <c r="O1592" s="7" t="s">
        <v>162</v>
      </c>
      <c r="P1592" s="7" t="s">
        <v>7009</v>
      </c>
      <c r="Q1592" s="129">
        <v>46199</v>
      </c>
      <c r="R1592" s="130">
        <f t="shared" si="180"/>
        <v>46202</v>
      </c>
      <c r="S1592" s="131">
        <f t="shared" si="179"/>
        <v>3</v>
      </c>
      <c r="T1592" s="7" t="s">
        <v>175</v>
      </c>
      <c r="U1592" s="7" t="s">
        <v>318</v>
      </c>
      <c r="V1592" s="7"/>
      <c r="W1592" s="7">
        <v>138.58000000000001</v>
      </c>
      <c r="X1592" s="132">
        <f t="shared" si="177"/>
        <v>10</v>
      </c>
      <c r="Y1592" s="133"/>
      <c r="Z1592" s="133"/>
      <c r="AA1592" s="133"/>
    </row>
    <row r="1593" spans="1:27" hidden="1" x14ac:dyDescent="0.25">
      <c r="A1593" s="127">
        <v>1747</v>
      </c>
      <c r="B1593" s="128" t="str">
        <f t="shared" si="178"/>
        <v>NAMS</v>
      </c>
      <c r="C1593" s="128" t="str">
        <f>+VLOOKUP(U1593,Ходим!A:B,2,0)</f>
        <v>51911035960011</v>
      </c>
      <c r="D1593" s="128" t="str">
        <f>IFERROR(VLOOKUP($B:$B,[20]свод!$A:$AB,3,0)," ")</f>
        <v>Наманган шаҳар</v>
      </c>
      <c r="E1593" s="7" t="s">
        <v>2730</v>
      </c>
      <c r="F1593" s="7" t="s">
        <v>9117</v>
      </c>
      <c r="G1593" s="134">
        <f t="shared" si="181"/>
        <v>1</v>
      </c>
      <c r="H1593" s="134" t="str">
        <f t="shared" si="182"/>
        <v/>
      </c>
      <c r="I1593" s="7" t="s">
        <v>158</v>
      </c>
      <c r="J1593" s="7" t="s">
        <v>29</v>
      </c>
      <c r="K1593" s="7"/>
      <c r="L1593" s="7" t="s">
        <v>167</v>
      </c>
      <c r="M1593" s="7" t="s">
        <v>381</v>
      </c>
      <c r="N1593" s="7" t="s">
        <v>170</v>
      </c>
      <c r="O1593" s="7" t="s">
        <v>162</v>
      </c>
      <c r="P1593" s="7" t="s">
        <v>7009</v>
      </c>
      <c r="Q1593" s="129">
        <v>46199</v>
      </c>
      <c r="R1593" s="130">
        <f t="shared" si="180"/>
        <v>46202</v>
      </c>
      <c r="S1593" s="131">
        <f t="shared" si="179"/>
        <v>3</v>
      </c>
      <c r="T1593" s="7" t="s">
        <v>173</v>
      </c>
      <c r="U1593" s="7" t="s">
        <v>371</v>
      </c>
      <c r="V1593" s="7"/>
      <c r="W1593" s="7">
        <v>0</v>
      </c>
      <c r="X1593" s="132">
        <f t="shared" si="177"/>
        <v>10</v>
      </c>
      <c r="Y1593" s="133"/>
      <c r="Z1593" s="133"/>
      <c r="AA1593" s="133"/>
    </row>
    <row r="1594" spans="1:27" hidden="1" x14ac:dyDescent="0.25">
      <c r="A1594" s="127">
        <v>1748</v>
      </c>
      <c r="B1594" s="128" t="str">
        <f t="shared" si="178"/>
        <v>TORT</v>
      </c>
      <c r="C1594" s="128" t="str">
        <f>+VLOOKUP(U1594,Ходим!A:B,2,0)</f>
        <v>31701915920077</v>
      </c>
      <c r="D1594" s="128" t="str">
        <f>IFERROR(VLOOKUP($B:$B,[20]свод!$A:$AB,3,0)," ")</f>
        <v>Тўрақўрғон тумани</v>
      </c>
      <c r="E1594" s="7" t="s">
        <v>2731</v>
      </c>
      <c r="F1594" s="7" t="s">
        <v>9118</v>
      </c>
      <c r="G1594" s="134">
        <f t="shared" si="181"/>
        <v>1</v>
      </c>
      <c r="H1594" s="134" t="str">
        <f t="shared" si="182"/>
        <v/>
      </c>
      <c r="I1594" s="7" t="s">
        <v>158</v>
      </c>
      <c r="J1594" s="7" t="s">
        <v>2</v>
      </c>
      <c r="K1594" s="7"/>
      <c r="L1594" s="7" t="s">
        <v>167</v>
      </c>
      <c r="M1594" s="7" t="s">
        <v>5258</v>
      </c>
      <c r="N1594" s="7" t="s">
        <v>410</v>
      </c>
      <c r="O1594" s="7" t="s">
        <v>162</v>
      </c>
      <c r="P1594" s="7" t="s">
        <v>7009</v>
      </c>
      <c r="Q1594" s="129">
        <v>46199</v>
      </c>
      <c r="R1594" s="130">
        <f t="shared" si="180"/>
        <v>46202</v>
      </c>
      <c r="S1594" s="131">
        <f t="shared" si="179"/>
        <v>3</v>
      </c>
      <c r="T1594" s="7" t="s">
        <v>203</v>
      </c>
      <c r="U1594" s="7" t="s">
        <v>332</v>
      </c>
      <c r="V1594" s="7"/>
      <c r="W1594" s="7">
        <v>44.4</v>
      </c>
      <c r="X1594" s="132">
        <f t="shared" si="177"/>
        <v>10</v>
      </c>
      <c r="Y1594" s="133"/>
      <c r="Z1594" s="133"/>
      <c r="AA1594" s="133"/>
    </row>
    <row r="1595" spans="1:27" hidden="1" x14ac:dyDescent="0.25">
      <c r="A1595" s="127">
        <v>1749</v>
      </c>
      <c r="B1595" s="128" t="str">
        <f t="shared" si="178"/>
        <v>UCQT</v>
      </c>
      <c r="C1595" s="128" t="str">
        <f>+VLOOKUP(U1595,Ходим!A:B,2,0)</f>
        <v>32805962150027</v>
      </c>
      <c r="D1595" s="128" t="str">
        <f>IFERROR(VLOOKUP($B:$B,[20]свод!$A:$AB,3,0)," ")</f>
        <v>Учқўрғон тумани</v>
      </c>
      <c r="E1595" s="7" t="s">
        <v>2732</v>
      </c>
      <c r="F1595" s="7" t="s">
        <v>9119</v>
      </c>
      <c r="G1595" s="134">
        <f t="shared" si="181"/>
        <v>1</v>
      </c>
      <c r="H1595" s="134" t="str">
        <f t="shared" si="182"/>
        <v/>
      </c>
      <c r="I1595" s="7" t="s">
        <v>158</v>
      </c>
      <c r="J1595" s="7" t="s">
        <v>2</v>
      </c>
      <c r="K1595" s="7"/>
      <c r="L1595" s="7" t="s">
        <v>167</v>
      </c>
      <c r="M1595" s="7" t="s">
        <v>5259</v>
      </c>
      <c r="N1595" s="7" t="s">
        <v>170</v>
      </c>
      <c r="O1595" s="7" t="s">
        <v>162</v>
      </c>
      <c r="P1595" s="7" t="s">
        <v>7009</v>
      </c>
      <c r="Q1595" s="129">
        <v>46199</v>
      </c>
      <c r="R1595" s="130">
        <f t="shared" si="180"/>
        <v>46202</v>
      </c>
      <c r="S1595" s="131">
        <f t="shared" si="179"/>
        <v>3</v>
      </c>
      <c r="T1595" s="7" t="s">
        <v>175</v>
      </c>
      <c r="U1595" s="7" t="s">
        <v>369</v>
      </c>
      <c r="V1595" s="7"/>
      <c r="W1595" s="7">
        <v>197.01</v>
      </c>
      <c r="X1595" s="132">
        <f t="shared" si="177"/>
        <v>10</v>
      </c>
      <c r="Y1595" s="133"/>
      <c r="Z1595" s="133"/>
      <c r="AA1595" s="133"/>
    </row>
    <row r="1596" spans="1:27" hidden="1" x14ac:dyDescent="0.25">
      <c r="A1596" s="127">
        <v>1751</v>
      </c>
      <c r="B1596" s="128" t="str">
        <f t="shared" si="178"/>
        <v>CHUT</v>
      </c>
      <c r="C1596" s="128" t="str">
        <f>+VLOOKUP(U1596,Ходим!A:B,2,0)</f>
        <v>31608922180118</v>
      </c>
      <c r="D1596" s="128" t="str">
        <f>IFERROR(VLOOKUP($B:$B,[20]свод!$A:$AB,3,0)," ")</f>
        <v>Чуст тумани</v>
      </c>
      <c r="E1596" s="7" t="s">
        <v>2733</v>
      </c>
      <c r="F1596" s="7" t="s">
        <v>9120</v>
      </c>
      <c r="G1596" s="134">
        <f t="shared" si="181"/>
        <v>1</v>
      </c>
      <c r="H1596" s="134" t="str">
        <f t="shared" si="182"/>
        <v/>
      </c>
      <c r="I1596" s="7" t="s">
        <v>156</v>
      </c>
      <c r="J1596" s="7" t="s">
        <v>25</v>
      </c>
      <c r="K1596" s="7"/>
      <c r="L1596" s="7"/>
      <c r="M1596" s="7"/>
      <c r="N1596" s="7" t="s">
        <v>170</v>
      </c>
      <c r="O1596" s="7" t="s">
        <v>162</v>
      </c>
      <c r="P1596" s="7" t="s">
        <v>6494</v>
      </c>
      <c r="Q1596" s="129">
        <v>46199</v>
      </c>
      <c r="R1596" s="130">
        <f t="shared" si="180"/>
        <v>46211</v>
      </c>
      <c r="S1596" s="131">
        <f t="shared" si="179"/>
        <v>12</v>
      </c>
      <c r="T1596" s="7" t="s">
        <v>178</v>
      </c>
      <c r="U1596" s="7" t="s">
        <v>284</v>
      </c>
      <c r="V1596" s="7"/>
      <c r="W1596" s="7"/>
      <c r="X1596" s="132">
        <f t="shared" si="177"/>
        <v>10</v>
      </c>
      <c r="Y1596" s="133"/>
      <c r="Z1596" s="133"/>
      <c r="AA1596" s="133"/>
    </row>
    <row r="1597" spans="1:27" hidden="1" x14ac:dyDescent="0.25">
      <c r="A1597" s="127">
        <v>1752</v>
      </c>
      <c r="B1597" s="128" t="str">
        <f t="shared" si="178"/>
        <v>UYCT</v>
      </c>
      <c r="C1597" s="128" t="str">
        <f>+VLOOKUP(U1597,Ходим!A:B,2,0)</f>
        <v>31703985930055</v>
      </c>
      <c r="D1597" s="128" t="str">
        <f>IFERROR(VLOOKUP($B:$B,[20]свод!$A:$AB,3,0)," ")</f>
        <v>Уйчи тумани</v>
      </c>
      <c r="E1597" s="7" t="s">
        <v>2734</v>
      </c>
      <c r="F1597" s="7" t="s">
        <v>9121</v>
      </c>
      <c r="G1597" s="134">
        <f t="shared" si="181"/>
        <v>1</v>
      </c>
      <c r="H1597" s="134" t="str">
        <f t="shared" si="182"/>
        <v/>
      </c>
      <c r="I1597" s="7" t="s">
        <v>158</v>
      </c>
      <c r="J1597" s="7" t="s">
        <v>1</v>
      </c>
      <c r="K1597" s="7"/>
      <c r="L1597" s="7" t="s">
        <v>167</v>
      </c>
      <c r="M1597" s="7" t="s">
        <v>5260</v>
      </c>
      <c r="N1597" s="7" t="s">
        <v>170</v>
      </c>
      <c r="O1597" s="7" t="s">
        <v>162</v>
      </c>
      <c r="P1597" s="7" t="s">
        <v>7010</v>
      </c>
      <c r="Q1597" s="129">
        <v>46199</v>
      </c>
      <c r="R1597" s="130">
        <f t="shared" si="180"/>
        <v>46203</v>
      </c>
      <c r="S1597" s="131">
        <f t="shared" si="179"/>
        <v>4</v>
      </c>
      <c r="T1597" s="7" t="s">
        <v>379</v>
      </c>
      <c r="U1597" s="7" t="s">
        <v>276</v>
      </c>
      <c r="V1597" s="7"/>
      <c r="W1597" s="7">
        <v>61.92</v>
      </c>
      <c r="X1597" s="132">
        <f t="shared" si="177"/>
        <v>10</v>
      </c>
      <c r="Y1597" s="133"/>
      <c r="Z1597" s="133"/>
      <c r="AA1597" s="133"/>
    </row>
    <row r="1598" spans="1:27" hidden="1" x14ac:dyDescent="0.25">
      <c r="A1598" s="127">
        <v>1753</v>
      </c>
      <c r="B1598" s="128" t="str">
        <f t="shared" si="178"/>
        <v>CHUT</v>
      </c>
      <c r="C1598" s="128" t="str">
        <f>+VLOOKUP(U1598,Ходим!A:B,2,0)</f>
        <v>50309005970046</v>
      </c>
      <c r="D1598" s="128" t="str">
        <f>IFERROR(VLOOKUP($B:$B,[20]свод!$A:$AB,3,0)," ")</f>
        <v>Чуст тумани</v>
      </c>
      <c r="E1598" s="7" t="s">
        <v>2735</v>
      </c>
      <c r="F1598" s="7" t="s">
        <v>9122</v>
      </c>
      <c r="G1598" s="134" t="str">
        <f t="shared" si="181"/>
        <v/>
      </c>
      <c r="H1598" s="134">
        <f t="shared" si="182"/>
        <v>1</v>
      </c>
      <c r="I1598" s="7" t="s">
        <v>157</v>
      </c>
      <c r="J1598" s="7" t="s">
        <v>12</v>
      </c>
      <c r="K1598" s="7"/>
      <c r="L1598" s="7" t="s">
        <v>166</v>
      </c>
      <c r="M1598" s="7" t="s">
        <v>5261</v>
      </c>
      <c r="N1598" s="7" t="s">
        <v>170</v>
      </c>
      <c r="O1598" s="7" t="s">
        <v>161</v>
      </c>
      <c r="P1598" s="7" t="s">
        <v>7011</v>
      </c>
      <c r="Q1598" s="129">
        <v>46199</v>
      </c>
      <c r="R1598" s="130">
        <f t="shared" si="180"/>
        <v>46202</v>
      </c>
      <c r="S1598" s="131">
        <f t="shared" si="179"/>
        <v>3</v>
      </c>
      <c r="T1598" s="7" t="s">
        <v>178</v>
      </c>
      <c r="U1598" s="7" t="s">
        <v>290</v>
      </c>
      <c r="V1598" s="7"/>
      <c r="W1598" s="7">
        <v>63</v>
      </c>
      <c r="X1598" s="132">
        <f t="shared" si="177"/>
        <v>10</v>
      </c>
      <c r="Y1598" s="133"/>
      <c r="Z1598" s="133"/>
      <c r="AA1598" s="133"/>
    </row>
    <row r="1599" spans="1:27" hidden="1" x14ac:dyDescent="0.25">
      <c r="A1599" s="127">
        <v>1754</v>
      </c>
      <c r="B1599" s="128" t="str">
        <f t="shared" si="178"/>
        <v>NAMS</v>
      </c>
      <c r="C1599" s="128" t="str">
        <f>+VLOOKUP(U1599,Ходим!A:B,2,0)</f>
        <v>50308015960081</v>
      </c>
      <c r="D1599" s="128" t="str">
        <f>IFERROR(VLOOKUP($B:$B,[20]свод!$A:$AB,3,0)," ")</f>
        <v>Наманган шаҳар</v>
      </c>
      <c r="E1599" s="7" t="s">
        <v>2736</v>
      </c>
      <c r="F1599" s="7" t="s">
        <v>9123</v>
      </c>
      <c r="G1599" s="134">
        <f t="shared" si="181"/>
        <v>1</v>
      </c>
      <c r="H1599" s="134" t="str">
        <f t="shared" si="182"/>
        <v/>
      </c>
      <c r="I1599" s="7" t="s">
        <v>158</v>
      </c>
      <c r="J1599" s="7" t="s">
        <v>134</v>
      </c>
      <c r="K1599" s="7"/>
      <c r="L1599" s="7" t="s">
        <v>167</v>
      </c>
      <c r="M1599" s="7" t="s">
        <v>5262</v>
      </c>
      <c r="N1599" s="7" t="s">
        <v>170</v>
      </c>
      <c r="O1599" s="7" t="s">
        <v>162</v>
      </c>
      <c r="P1599" s="7" t="s">
        <v>7011</v>
      </c>
      <c r="Q1599" s="129">
        <v>46199</v>
      </c>
      <c r="R1599" s="130">
        <f t="shared" si="180"/>
        <v>46202</v>
      </c>
      <c r="S1599" s="131">
        <f t="shared" si="179"/>
        <v>3</v>
      </c>
      <c r="T1599" s="7" t="s">
        <v>173</v>
      </c>
      <c r="U1599" s="7" t="s">
        <v>375</v>
      </c>
      <c r="V1599" s="7"/>
      <c r="W1599" s="7">
        <v>323.75</v>
      </c>
      <c r="X1599" s="132">
        <f t="shared" si="177"/>
        <v>10</v>
      </c>
      <c r="Y1599" s="133"/>
      <c r="Z1599" s="133"/>
      <c r="AA1599" s="133"/>
    </row>
    <row r="1600" spans="1:27" hidden="1" x14ac:dyDescent="0.25">
      <c r="A1600" s="127">
        <v>1755</v>
      </c>
      <c r="B1600" s="128" t="str">
        <f t="shared" si="178"/>
        <v>KSST</v>
      </c>
      <c r="C1600" s="128" t="str">
        <f>+VLOOKUP(U1600,Ходим!A:B,2,0)</f>
        <v>30205975980020</v>
      </c>
      <c r="D1600" s="128" t="str">
        <f>IFERROR(VLOOKUP($B:$B,[20]свод!$A:$AB,3,0)," ")</f>
        <v>Косонсой тумани</v>
      </c>
      <c r="E1600" s="7" t="s">
        <v>2737</v>
      </c>
      <c r="F1600" s="7" t="s">
        <v>9124</v>
      </c>
      <c r="G1600" s="134">
        <f t="shared" si="181"/>
        <v>1</v>
      </c>
      <c r="H1600" s="134" t="str">
        <f t="shared" si="182"/>
        <v/>
      </c>
      <c r="I1600" s="7" t="s">
        <v>158</v>
      </c>
      <c r="J1600" s="7" t="s">
        <v>134</v>
      </c>
      <c r="K1600" s="7"/>
      <c r="L1600" s="7" t="s">
        <v>167</v>
      </c>
      <c r="M1600" s="7" t="s">
        <v>5263</v>
      </c>
      <c r="N1600" s="7" t="s">
        <v>170</v>
      </c>
      <c r="O1600" s="7" t="s">
        <v>162</v>
      </c>
      <c r="P1600" s="7" t="s">
        <v>7011</v>
      </c>
      <c r="Q1600" s="129">
        <v>46199</v>
      </c>
      <c r="R1600" s="130">
        <f t="shared" si="180"/>
        <v>46202</v>
      </c>
      <c r="S1600" s="131">
        <f t="shared" si="179"/>
        <v>3</v>
      </c>
      <c r="T1600" s="7" t="s">
        <v>180</v>
      </c>
      <c r="U1600" s="7" t="s">
        <v>370</v>
      </c>
      <c r="V1600" s="7"/>
      <c r="W1600" s="7">
        <v>119.54</v>
      </c>
      <c r="X1600" s="132">
        <f t="shared" si="177"/>
        <v>10</v>
      </c>
      <c r="Y1600" s="133"/>
      <c r="Z1600" s="133"/>
      <c r="AA1600" s="133"/>
    </row>
    <row r="1601" spans="1:27" hidden="1" x14ac:dyDescent="0.25">
      <c r="A1601" s="127">
        <v>1756</v>
      </c>
      <c r="B1601" s="128" t="str">
        <f t="shared" si="178"/>
        <v>YGQT</v>
      </c>
      <c r="C1601" s="128" t="str">
        <f>+VLOOKUP(U1601,Ходим!A:B,2,0)</f>
        <v>52410005950025</v>
      </c>
      <c r="D1601" s="128" t="str">
        <f>IFERROR(VLOOKUP($B:$B,[20]свод!$A:$AB,3,0)," ")</f>
        <v>Янгиқўрғон тумани</v>
      </c>
      <c r="E1601" s="7" t="s">
        <v>2738</v>
      </c>
      <c r="F1601" s="7" t="s">
        <v>9125</v>
      </c>
      <c r="G1601" s="134" t="str">
        <f t="shared" si="181"/>
        <v/>
      </c>
      <c r="H1601" s="134">
        <f t="shared" si="182"/>
        <v>1</v>
      </c>
      <c r="I1601" s="7" t="s">
        <v>154</v>
      </c>
      <c r="J1601" s="7" t="s">
        <v>100</v>
      </c>
      <c r="K1601" s="7"/>
      <c r="L1601" s="7" t="s">
        <v>166</v>
      </c>
      <c r="M1601" s="7" t="s">
        <v>5264</v>
      </c>
      <c r="N1601" s="7" t="s">
        <v>170</v>
      </c>
      <c r="O1601" s="7" t="s">
        <v>161</v>
      </c>
      <c r="P1601" s="7" t="s">
        <v>7012</v>
      </c>
      <c r="Q1601" s="129">
        <v>46199</v>
      </c>
      <c r="R1601" s="130">
        <f t="shared" si="180"/>
        <v>46204</v>
      </c>
      <c r="S1601" s="131">
        <f t="shared" si="179"/>
        <v>5</v>
      </c>
      <c r="T1601" s="7" t="s">
        <v>255</v>
      </c>
      <c r="U1601" s="7" t="s">
        <v>256</v>
      </c>
      <c r="V1601" s="7"/>
      <c r="W1601" s="7">
        <v>172.4</v>
      </c>
      <c r="X1601" s="132">
        <f t="shared" si="177"/>
        <v>12</v>
      </c>
      <c r="Y1601" s="133"/>
      <c r="Z1601" s="133"/>
      <c r="AA1601" s="133"/>
    </row>
    <row r="1602" spans="1:27" hidden="1" x14ac:dyDescent="0.25">
      <c r="A1602" s="127">
        <v>1758</v>
      </c>
      <c r="B1602" s="128" t="str">
        <f t="shared" si="178"/>
        <v>MINT</v>
      </c>
      <c r="C1602" s="128" t="str">
        <f>+VLOOKUP(U1602,Ходим!A:B,2,0)</f>
        <v>30703975990033</v>
      </c>
      <c r="D1602" s="128" t="str">
        <f>IFERROR(VLOOKUP($B:$B,[20]свод!$A:$AB,3,0)," ")</f>
        <v>Мингбулоқ тумани</v>
      </c>
      <c r="E1602" s="7" t="s">
        <v>2739</v>
      </c>
      <c r="F1602" s="7" t="s">
        <v>9126</v>
      </c>
      <c r="G1602" s="134" t="str">
        <f t="shared" si="181"/>
        <v/>
      </c>
      <c r="H1602" s="134">
        <f t="shared" si="182"/>
        <v>1</v>
      </c>
      <c r="I1602" s="7" t="s">
        <v>157</v>
      </c>
      <c r="J1602" s="7" t="s">
        <v>2</v>
      </c>
      <c r="K1602" s="7"/>
      <c r="L1602" s="7"/>
      <c r="M1602" s="7"/>
      <c r="N1602" s="7" t="s">
        <v>410</v>
      </c>
      <c r="O1602" s="7" t="s">
        <v>161</v>
      </c>
      <c r="P1602" s="7" t="s">
        <v>7012</v>
      </c>
      <c r="Q1602" s="129">
        <v>46199</v>
      </c>
      <c r="R1602" s="130">
        <f t="shared" si="180"/>
        <v>46202</v>
      </c>
      <c r="S1602" s="131">
        <f t="shared" si="179"/>
        <v>3</v>
      </c>
      <c r="T1602" s="7" t="s">
        <v>220</v>
      </c>
      <c r="U1602" s="7" t="s">
        <v>291</v>
      </c>
      <c r="V1602" s="7"/>
      <c r="W1602" s="7"/>
      <c r="X1602" s="132">
        <f t="shared" si="177"/>
        <v>10</v>
      </c>
      <c r="Y1602" s="133"/>
      <c r="Z1602" s="133"/>
      <c r="AA1602" s="133"/>
    </row>
    <row r="1603" spans="1:27" hidden="1" x14ac:dyDescent="0.25">
      <c r="A1603" s="127">
        <v>1759</v>
      </c>
      <c r="B1603" s="128" t="str">
        <f t="shared" si="178"/>
        <v>NAMS</v>
      </c>
      <c r="C1603" s="128">
        <f>+VLOOKUP(U1603,Ходим!A:B,2,0)</f>
        <v>51006025960068</v>
      </c>
      <c r="D1603" s="128" t="str">
        <f>IFERROR(VLOOKUP($B:$B,[20]свод!$A:$AB,3,0)," ")</f>
        <v>Наманган шаҳар</v>
      </c>
      <c r="E1603" s="7" t="s">
        <v>2740</v>
      </c>
      <c r="F1603" s="7" t="s">
        <v>9127</v>
      </c>
      <c r="G1603" s="134">
        <f t="shared" si="181"/>
        <v>1</v>
      </c>
      <c r="H1603" s="134" t="str">
        <f t="shared" si="182"/>
        <v/>
      </c>
      <c r="I1603" s="7" t="s">
        <v>158</v>
      </c>
      <c r="J1603" s="7" t="s">
        <v>36</v>
      </c>
      <c r="K1603" s="7"/>
      <c r="L1603" s="7" t="s">
        <v>167</v>
      </c>
      <c r="M1603" s="7" t="s">
        <v>5265</v>
      </c>
      <c r="N1603" s="7" t="s">
        <v>170</v>
      </c>
      <c r="O1603" s="7" t="s">
        <v>162</v>
      </c>
      <c r="P1603" s="7" t="s">
        <v>7013</v>
      </c>
      <c r="Q1603" s="129">
        <v>46199</v>
      </c>
      <c r="R1603" s="130">
        <f t="shared" si="180"/>
        <v>46202</v>
      </c>
      <c r="S1603" s="131">
        <f t="shared" si="179"/>
        <v>3</v>
      </c>
      <c r="T1603" s="7" t="s">
        <v>173</v>
      </c>
      <c r="U1603" s="7" t="s">
        <v>944</v>
      </c>
      <c r="V1603" s="7"/>
      <c r="W1603" s="7">
        <v>220.53</v>
      </c>
      <c r="X1603" s="132">
        <f t="shared" si="177"/>
        <v>10</v>
      </c>
      <c r="Y1603" s="133"/>
      <c r="Z1603" s="133"/>
      <c r="AA1603" s="133"/>
    </row>
    <row r="1604" spans="1:27" hidden="1" x14ac:dyDescent="0.25">
      <c r="A1604" s="127">
        <v>1760</v>
      </c>
      <c r="B1604" s="128" t="str">
        <f t="shared" si="178"/>
        <v>NAMS</v>
      </c>
      <c r="C1604" s="128" t="str">
        <f>+VLOOKUP(U1604,Ходим!A:B,2,0)</f>
        <v>30302942170072</v>
      </c>
      <c r="D1604" s="128" t="str">
        <f>IFERROR(VLOOKUP($B:$B,[20]свод!$A:$AB,3,0)," ")</f>
        <v>Наманган шаҳар</v>
      </c>
      <c r="E1604" s="7" t="s">
        <v>2741</v>
      </c>
      <c r="F1604" s="7" t="s">
        <v>9128</v>
      </c>
      <c r="G1604" s="134" t="str">
        <f t="shared" si="181"/>
        <v/>
      </c>
      <c r="H1604" s="134">
        <f t="shared" si="182"/>
        <v>1</v>
      </c>
      <c r="I1604" s="7" t="s">
        <v>157</v>
      </c>
      <c r="J1604" s="7" t="s">
        <v>2</v>
      </c>
      <c r="K1604" s="7"/>
      <c r="L1604" s="7"/>
      <c r="M1604" s="7"/>
      <c r="N1604" s="7" t="s">
        <v>410</v>
      </c>
      <c r="O1604" s="7" t="s">
        <v>161</v>
      </c>
      <c r="P1604" s="7" t="s">
        <v>7013</v>
      </c>
      <c r="Q1604" s="129">
        <v>46199</v>
      </c>
      <c r="R1604" s="130">
        <f t="shared" si="180"/>
        <v>46202</v>
      </c>
      <c r="S1604" s="131">
        <f t="shared" si="179"/>
        <v>3</v>
      </c>
      <c r="T1604" s="7" t="s">
        <v>227</v>
      </c>
      <c r="U1604" s="7" t="s">
        <v>325</v>
      </c>
      <c r="V1604" s="7"/>
      <c r="W1604" s="7"/>
      <c r="X1604" s="132">
        <f t="shared" si="177"/>
        <v>10</v>
      </c>
      <c r="Y1604" s="133"/>
      <c r="Z1604" s="133"/>
      <c r="AA1604" s="133"/>
    </row>
    <row r="1605" spans="1:27" hidden="1" x14ac:dyDescent="0.25">
      <c r="A1605" s="127">
        <v>1761</v>
      </c>
      <c r="B1605" s="128" t="str">
        <f t="shared" si="178"/>
        <v>NAMS</v>
      </c>
      <c r="C1605" s="128">
        <f>+VLOOKUP(U1605,Ходим!A:B,2,0)</f>
        <v>51006025960068</v>
      </c>
      <c r="D1605" s="128" t="str">
        <f>IFERROR(VLOOKUP($B:$B,[20]свод!$A:$AB,3,0)," ")</f>
        <v>Наманган шаҳар</v>
      </c>
      <c r="E1605" s="7" t="s">
        <v>2742</v>
      </c>
      <c r="F1605" s="7" t="s">
        <v>9129</v>
      </c>
      <c r="G1605" s="134">
        <f t="shared" si="181"/>
        <v>1</v>
      </c>
      <c r="H1605" s="134" t="str">
        <f t="shared" si="182"/>
        <v/>
      </c>
      <c r="I1605" s="7" t="s">
        <v>158</v>
      </c>
      <c r="J1605" s="7" t="s">
        <v>1</v>
      </c>
      <c r="K1605" s="7"/>
      <c r="L1605" s="7" t="s">
        <v>167</v>
      </c>
      <c r="M1605" s="7" t="s">
        <v>5266</v>
      </c>
      <c r="N1605" s="7" t="s">
        <v>170</v>
      </c>
      <c r="O1605" s="7" t="s">
        <v>162</v>
      </c>
      <c r="P1605" s="7" t="s">
        <v>7013</v>
      </c>
      <c r="Q1605" s="129">
        <v>46199</v>
      </c>
      <c r="R1605" s="130">
        <f t="shared" si="180"/>
        <v>46202</v>
      </c>
      <c r="S1605" s="131">
        <f t="shared" si="179"/>
        <v>3</v>
      </c>
      <c r="T1605" s="7" t="s">
        <v>185</v>
      </c>
      <c r="U1605" s="7" t="s">
        <v>944</v>
      </c>
      <c r="V1605" s="7"/>
      <c r="W1605" s="7">
        <v>272.27</v>
      </c>
      <c r="X1605" s="132">
        <f t="shared" si="177"/>
        <v>10</v>
      </c>
      <c r="Y1605" s="133"/>
      <c r="Z1605" s="133"/>
      <c r="AA1605" s="133"/>
    </row>
    <row r="1606" spans="1:27" hidden="1" x14ac:dyDescent="0.25">
      <c r="A1606" s="127">
        <v>1762</v>
      </c>
      <c r="B1606" s="128" t="str">
        <f t="shared" si="178"/>
        <v>UCQT</v>
      </c>
      <c r="C1606" s="128" t="e">
        <f>+VLOOKUP(U1606,Ходим!A:B,2,0)</f>
        <v>#N/A</v>
      </c>
      <c r="D1606" s="128" t="str">
        <f>IFERROR(VLOOKUP($B:$B,[20]свод!$A:$AB,3,0)," ")</f>
        <v>Учқўрғон тумани</v>
      </c>
      <c r="E1606" s="7" t="s">
        <v>2743</v>
      </c>
      <c r="F1606" s="7" t="s">
        <v>9130</v>
      </c>
      <c r="G1606" s="134">
        <f t="shared" si="181"/>
        <v>1</v>
      </c>
      <c r="H1606" s="134" t="str">
        <f t="shared" si="182"/>
        <v/>
      </c>
      <c r="I1606" s="7" t="s">
        <v>156</v>
      </c>
      <c r="J1606" s="7" t="s">
        <v>11</v>
      </c>
      <c r="K1606" s="7"/>
      <c r="L1606" s="7"/>
      <c r="M1606" s="7"/>
      <c r="N1606" s="7" t="s">
        <v>170</v>
      </c>
      <c r="O1606" s="7" t="s">
        <v>162</v>
      </c>
      <c r="P1606" s="7" t="s">
        <v>7014</v>
      </c>
      <c r="Q1606" s="129">
        <v>46199</v>
      </c>
      <c r="R1606" s="130">
        <f t="shared" si="180"/>
        <v>46212</v>
      </c>
      <c r="S1606" s="131">
        <f t="shared" si="179"/>
        <v>13</v>
      </c>
      <c r="T1606" s="7"/>
      <c r="U1606" s="7"/>
      <c r="V1606" s="7"/>
      <c r="W1606" s="7"/>
      <c r="X1606" s="132">
        <f t="shared" si="177"/>
        <v>10</v>
      </c>
      <c r="Y1606" s="133"/>
      <c r="Z1606" s="133"/>
      <c r="AA1606" s="133"/>
    </row>
    <row r="1607" spans="1:27" hidden="1" x14ac:dyDescent="0.25">
      <c r="A1607" s="127">
        <v>1763</v>
      </c>
      <c r="B1607" s="128" t="str">
        <f t="shared" si="178"/>
        <v>NAMS</v>
      </c>
      <c r="C1607" s="128" t="e">
        <f>+VLOOKUP(U1607,Ходим!A:B,2,0)</f>
        <v>#N/A</v>
      </c>
      <c r="D1607" s="128" t="str">
        <f>IFERROR(VLOOKUP($B:$B,[20]свод!$A:$AB,3,0)," ")</f>
        <v>Наманган шаҳар</v>
      </c>
      <c r="E1607" s="7" t="s">
        <v>2744</v>
      </c>
      <c r="F1607" s="7" t="s">
        <v>9131</v>
      </c>
      <c r="G1607" s="134" t="str">
        <f t="shared" si="181"/>
        <v/>
      </c>
      <c r="H1607" s="134">
        <f t="shared" si="182"/>
        <v>1</v>
      </c>
      <c r="I1607" s="7" t="s">
        <v>155</v>
      </c>
      <c r="J1607" s="7" t="s">
        <v>11</v>
      </c>
      <c r="K1607" s="7"/>
      <c r="L1607" s="7"/>
      <c r="M1607" s="7"/>
      <c r="N1607" s="7" t="s">
        <v>170</v>
      </c>
      <c r="O1607" s="7" t="s">
        <v>161</v>
      </c>
      <c r="P1607" s="7" t="s">
        <v>7014</v>
      </c>
      <c r="Q1607" s="129">
        <v>46199</v>
      </c>
      <c r="R1607" s="130">
        <f t="shared" si="180"/>
        <v>46212</v>
      </c>
      <c r="S1607" s="131">
        <f t="shared" si="179"/>
        <v>13</v>
      </c>
      <c r="T1607" s="7"/>
      <c r="U1607" s="7"/>
      <c r="V1607" s="7"/>
      <c r="W1607" s="7"/>
      <c r="X1607" s="132">
        <f t="shared" si="177"/>
        <v>10</v>
      </c>
      <c r="Y1607" s="133"/>
      <c r="Z1607" s="133"/>
      <c r="AA1607" s="133"/>
    </row>
    <row r="1608" spans="1:27" hidden="1" x14ac:dyDescent="0.25">
      <c r="A1608" s="127">
        <v>1764</v>
      </c>
      <c r="B1608" s="128" t="str">
        <f t="shared" si="178"/>
        <v>UYCT</v>
      </c>
      <c r="C1608" s="128" t="str">
        <f>+VLOOKUP(U1608,Ходим!A:B,2,0)</f>
        <v>31007985930029</v>
      </c>
      <c r="D1608" s="128" t="str">
        <f>IFERROR(VLOOKUP($B:$B,[20]свод!$A:$AB,3,0)," ")</f>
        <v>Уйчи тумани</v>
      </c>
      <c r="E1608" s="7" t="s">
        <v>2745</v>
      </c>
      <c r="F1608" s="7" t="s">
        <v>9132</v>
      </c>
      <c r="G1608" s="134">
        <f t="shared" si="181"/>
        <v>1</v>
      </c>
      <c r="H1608" s="134" t="str">
        <f t="shared" si="182"/>
        <v/>
      </c>
      <c r="I1608" s="7" t="s">
        <v>158</v>
      </c>
      <c r="J1608" s="7" t="s">
        <v>35</v>
      </c>
      <c r="K1608" s="7"/>
      <c r="L1608" s="7" t="s">
        <v>167</v>
      </c>
      <c r="M1608" s="7" t="s">
        <v>5267</v>
      </c>
      <c r="N1608" s="7" t="s">
        <v>170</v>
      </c>
      <c r="O1608" s="7" t="s">
        <v>162</v>
      </c>
      <c r="P1608" s="7" t="s">
        <v>7015</v>
      </c>
      <c r="Q1608" s="129">
        <v>46199</v>
      </c>
      <c r="R1608" s="130">
        <f t="shared" si="180"/>
        <v>46202</v>
      </c>
      <c r="S1608" s="131">
        <f t="shared" si="179"/>
        <v>3</v>
      </c>
      <c r="T1608" s="7" t="s">
        <v>947</v>
      </c>
      <c r="U1608" s="7" t="s">
        <v>389</v>
      </c>
      <c r="V1608" s="7"/>
      <c r="W1608" s="7">
        <v>153.5</v>
      </c>
      <c r="X1608" s="132">
        <f t="shared" si="177"/>
        <v>10</v>
      </c>
      <c r="Y1608" s="133"/>
      <c r="Z1608" s="133"/>
      <c r="AA1608" s="133"/>
    </row>
    <row r="1609" spans="1:27" x14ac:dyDescent="0.25">
      <c r="A1609" s="127">
        <v>1765</v>
      </c>
      <c r="B1609" s="128" t="str">
        <f t="shared" si="178"/>
        <v>MINT</v>
      </c>
      <c r="C1609" s="128" t="str">
        <f>+VLOOKUP(U1609,Ходим!A:B,2,0)</f>
        <v>30906922130016</v>
      </c>
      <c r="D1609" s="128" t="str">
        <f>IFERROR(VLOOKUP($B:$B,[20]свод!$A:$AB,3,0)," ")</f>
        <v>Мингбулоқ тумани</v>
      </c>
      <c r="E1609" s="7" t="s">
        <v>2746</v>
      </c>
      <c r="F1609" s="7" t="s">
        <v>9133</v>
      </c>
      <c r="G1609" s="134">
        <f t="shared" si="181"/>
        <v>1</v>
      </c>
      <c r="H1609" s="134" t="str">
        <f t="shared" si="182"/>
        <v/>
      </c>
      <c r="I1609" s="7" t="s">
        <v>158</v>
      </c>
      <c r="J1609" s="7" t="s">
        <v>1</v>
      </c>
      <c r="K1609" s="7"/>
      <c r="L1609" s="7" t="s">
        <v>167</v>
      </c>
      <c r="M1609" s="7" t="s">
        <v>5268</v>
      </c>
      <c r="N1609" s="7" t="s">
        <v>410</v>
      </c>
      <c r="O1609" s="7" t="s">
        <v>162</v>
      </c>
      <c r="P1609" s="7" t="s">
        <v>7016</v>
      </c>
      <c r="Q1609" s="129">
        <v>46199</v>
      </c>
      <c r="R1609" s="130">
        <f t="shared" si="180"/>
        <v>46199</v>
      </c>
      <c r="S1609" s="131">
        <f t="shared" si="179"/>
        <v>0</v>
      </c>
      <c r="T1609" s="7" t="s">
        <v>220</v>
      </c>
      <c r="U1609" s="7" t="s">
        <v>178</v>
      </c>
      <c r="V1609" s="7"/>
      <c r="W1609" s="7">
        <v>271.27999999999997</v>
      </c>
      <c r="X1609" s="132">
        <f t="shared" si="177"/>
        <v>10</v>
      </c>
      <c r="Y1609" s="133"/>
      <c r="Z1609" s="133"/>
      <c r="AA1609" s="133"/>
    </row>
    <row r="1610" spans="1:27" hidden="1" x14ac:dyDescent="0.25">
      <c r="A1610" s="127">
        <v>1766</v>
      </c>
      <c r="B1610" s="128" t="str">
        <f t="shared" si="178"/>
        <v>CHUT</v>
      </c>
      <c r="C1610" s="128" t="str">
        <f>+VLOOKUP(U1610,Ходим!A:B,2,0)</f>
        <v>32003822180063</v>
      </c>
      <c r="D1610" s="128" t="str">
        <f>IFERROR(VLOOKUP($B:$B,[20]свод!$A:$AB,3,0)," ")</f>
        <v>Чуст тумани</v>
      </c>
      <c r="E1610" s="7" t="s">
        <v>2747</v>
      </c>
      <c r="F1610" s="7" t="s">
        <v>9134</v>
      </c>
      <c r="G1610" s="134">
        <f t="shared" si="181"/>
        <v>1</v>
      </c>
      <c r="H1610" s="134" t="str">
        <f t="shared" si="182"/>
        <v/>
      </c>
      <c r="I1610" s="7" t="s">
        <v>158</v>
      </c>
      <c r="J1610" s="7" t="s">
        <v>172</v>
      </c>
      <c r="K1610" s="7"/>
      <c r="L1610" s="7" t="s">
        <v>167</v>
      </c>
      <c r="M1610" s="7" t="s">
        <v>5269</v>
      </c>
      <c r="N1610" s="7" t="s">
        <v>170</v>
      </c>
      <c r="O1610" s="7" t="s">
        <v>162</v>
      </c>
      <c r="P1610" s="7" t="s">
        <v>7012</v>
      </c>
      <c r="Q1610" s="129">
        <v>46199</v>
      </c>
      <c r="R1610" s="130">
        <f t="shared" si="180"/>
        <v>46202</v>
      </c>
      <c r="S1610" s="131">
        <f t="shared" si="179"/>
        <v>3</v>
      </c>
      <c r="T1610" s="7" t="s">
        <v>178</v>
      </c>
      <c r="U1610" s="7" t="s">
        <v>200</v>
      </c>
      <c r="V1610" s="7"/>
      <c r="W1610" s="7">
        <v>0</v>
      </c>
      <c r="X1610" s="132">
        <f t="shared" si="177"/>
        <v>10</v>
      </c>
      <c r="Y1610" s="133"/>
      <c r="Z1610" s="133"/>
      <c r="AA1610" s="133"/>
    </row>
    <row r="1611" spans="1:27" hidden="1" x14ac:dyDescent="0.25">
      <c r="A1611" s="127">
        <v>1767</v>
      </c>
      <c r="B1611" s="128" t="str">
        <f t="shared" si="178"/>
        <v>CHUT</v>
      </c>
      <c r="C1611" s="128" t="str">
        <f>+VLOOKUP(U1611,Ходим!A:B,2,0)</f>
        <v>30901882180031</v>
      </c>
      <c r="D1611" s="128" t="str">
        <f>IFERROR(VLOOKUP($B:$B,[20]свод!$A:$AB,3,0)," ")</f>
        <v>Чуст тумани</v>
      </c>
      <c r="E1611" s="7" t="s">
        <v>2748</v>
      </c>
      <c r="F1611" s="7" t="s">
        <v>9135</v>
      </c>
      <c r="G1611" s="134">
        <f t="shared" si="181"/>
        <v>1</v>
      </c>
      <c r="H1611" s="134" t="str">
        <f t="shared" si="182"/>
        <v/>
      </c>
      <c r="I1611" s="7" t="s">
        <v>158</v>
      </c>
      <c r="J1611" s="7" t="s">
        <v>1</v>
      </c>
      <c r="K1611" s="7"/>
      <c r="L1611" s="7" t="s">
        <v>167</v>
      </c>
      <c r="M1611" s="7" t="s">
        <v>5270</v>
      </c>
      <c r="N1611" s="7" t="s">
        <v>170</v>
      </c>
      <c r="O1611" s="7" t="s">
        <v>162</v>
      </c>
      <c r="P1611" s="7" t="s">
        <v>7017</v>
      </c>
      <c r="Q1611" s="129">
        <v>46199</v>
      </c>
      <c r="R1611" s="130">
        <f t="shared" si="180"/>
        <v>46202</v>
      </c>
      <c r="S1611" s="131">
        <f t="shared" si="179"/>
        <v>3</v>
      </c>
      <c r="T1611" s="7" t="s">
        <v>178</v>
      </c>
      <c r="U1611" s="7" t="s">
        <v>238</v>
      </c>
      <c r="V1611" s="7"/>
      <c r="W1611" s="7">
        <v>380.9</v>
      </c>
      <c r="X1611" s="132">
        <f t="shared" si="177"/>
        <v>10</v>
      </c>
      <c r="Y1611" s="133"/>
      <c r="Z1611" s="133"/>
      <c r="AA1611" s="133"/>
    </row>
    <row r="1612" spans="1:27" hidden="1" x14ac:dyDescent="0.25">
      <c r="A1612" s="127">
        <v>1768</v>
      </c>
      <c r="B1612" s="128" t="str">
        <f t="shared" si="178"/>
        <v>TORT</v>
      </c>
      <c r="C1612" s="128" t="str">
        <f>+VLOOKUP(U1612,Ходим!A:B,2,0)</f>
        <v>40302922130046</v>
      </c>
      <c r="D1612" s="128" t="str">
        <f>IFERROR(VLOOKUP($B:$B,[20]свод!$A:$AB,3,0)," ")</f>
        <v>Тўрақўрғон тумани</v>
      </c>
      <c r="E1612" s="7" t="s">
        <v>2749</v>
      </c>
      <c r="F1612" s="7" t="s">
        <v>9136</v>
      </c>
      <c r="G1612" s="134">
        <f t="shared" si="181"/>
        <v>1</v>
      </c>
      <c r="H1612" s="134" t="str">
        <f t="shared" si="182"/>
        <v/>
      </c>
      <c r="I1612" s="7" t="s">
        <v>156</v>
      </c>
      <c r="J1612" s="7" t="s">
        <v>25</v>
      </c>
      <c r="K1612" s="7"/>
      <c r="L1612" s="7"/>
      <c r="M1612" s="7"/>
      <c r="N1612" s="7" t="s">
        <v>170</v>
      </c>
      <c r="O1612" s="7" t="s">
        <v>162</v>
      </c>
      <c r="P1612" s="7" t="s">
        <v>7018</v>
      </c>
      <c r="Q1612" s="129">
        <v>46199</v>
      </c>
      <c r="R1612" s="130">
        <f t="shared" si="180"/>
        <v>46212</v>
      </c>
      <c r="S1612" s="131">
        <f t="shared" si="179"/>
        <v>13</v>
      </c>
      <c r="T1612" s="7" t="s">
        <v>203</v>
      </c>
      <c r="U1612" s="7" t="s">
        <v>258</v>
      </c>
      <c r="V1612" s="7"/>
      <c r="W1612" s="7"/>
      <c r="X1612" s="132">
        <f t="shared" si="177"/>
        <v>10</v>
      </c>
      <c r="Y1612" s="133"/>
      <c r="Z1612" s="133"/>
      <c r="AA1612" s="133"/>
    </row>
    <row r="1613" spans="1:27" hidden="1" x14ac:dyDescent="0.25">
      <c r="A1613" s="127">
        <v>1769</v>
      </c>
      <c r="B1613" s="128" t="str">
        <f t="shared" si="178"/>
        <v>CHOT</v>
      </c>
      <c r="C1613" s="128" t="str">
        <f>+VLOOKUP(U1613,Ходим!A:B,2,0)</f>
        <v>32904975890057</v>
      </c>
      <c r="D1613" s="128" t="str">
        <f>IFERROR(VLOOKUP($B:$B,[20]свод!$A:$AB,3,0)," ")</f>
        <v>Чортоқ тумани</v>
      </c>
      <c r="E1613" s="7" t="s">
        <v>2750</v>
      </c>
      <c r="F1613" s="7" t="s">
        <v>9137</v>
      </c>
      <c r="G1613" s="134">
        <f t="shared" si="181"/>
        <v>1</v>
      </c>
      <c r="H1613" s="134" t="str">
        <f t="shared" si="182"/>
        <v/>
      </c>
      <c r="I1613" s="7" t="s">
        <v>156</v>
      </c>
      <c r="J1613" s="7" t="s">
        <v>25</v>
      </c>
      <c r="K1613" s="7"/>
      <c r="L1613" s="7"/>
      <c r="M1613" s="7"/>
      <c r="N1613" s="7" t="s">
        <v>170</v>
      </c>
      <c r="O1613" s="7" t="s">
        <v>162</v>
      </c>
      <c r="P1613" s="7" t="s">
        <v>7018</v>
      </c>
      <c r="Q1613" s="129">
        <v>46199</v>
      </c>
      <c r="R1613" s="130">
        <f t="shared" si="180"/>
        <v>46212</v>
      </c>
      <c r="S1613" s="131">
        <f t="shared" si="179"/>
        <v>13</v>
      </c>
      <c r="T1613" s="7" t="s">
        <v>184</v>
      </c>
      <c r="U1613" s="7" t="s">
        <v>226</v>
      </c>
      <c r="V1613" s="7"/>
      <c r="W1613" s="7"/>
      <c r="X1613" s="132">
        <f t="shared" si="177"/>
        <v>10</v>
      </c>
      <c r="Y1613" s="133"/>
      <c r="Z1613" s="133"/>
      <c r="AA1613" s="133"/>
    </row>
    <row r="1614" spans="1:27" hidden="1" x14ac:dyDescent="0.25">
      <c r="A1614" s="127">
        <v>1770</v>
      </c>
      <c r="B1614" s="128" t="str">
        <f t="shared" si="178"/>
        <v>NAMT</v>
      </c>
      <c r="C1614" s="128" t="str">
        <f>+VLOOKUP(U1614,Ходим!A:B,2,0)</f>
        <v>40306812090034</v>
      </c>
      <c r="D1614" s="128" t="str">
        <f>IFERROR(VLOOKUP($B:$B,[20]свод!$A:$AB,3,0)," ")</f>
        <v>Наманган тумани</v>
      </c>
      <c r="E1614" s="7" t="s">
        <v>2751</v>
      </c>
      <c r="F1614" s="7" t="s">
        <v>9138</v>
      </c>
      <c r="G1614" s="134">
        <f t="shared" si="181"/>
        <v>1</v>
      </c>
      <c r="H1614" s="134" t="str">
        <f t="shared" si="182"/>
        <v/>
      </c>
      <c r="I1614" s="7" t="s">
        <v>154</v>
      </c>
      <c r="J1614" s="7" t="s">
        <v>2</v>
      </c>
      <c r="K1614" s="7"/>
      <c r="L1614" s="7"/>
      <c r="M1614" s="7"/>
      <c r="N1614" s="7" t="s">
        <v>170</v>
      </c>
      <c r="O1614" s="7" t="s">
        <v>162</v>
      </c>
      <c r="P1614" s="7" t="s">
        <v>7019</v>
      </c>
      <c r="Q1614" s="129">
        <v>46199</v>
      </c>
      <c r="R1614" s="130">
        <f t="shared" si="180"/>
        <v>46206</v>
      </c>
      <c r="S1614" s="131">
        <f t="shared" si="179"/>
        <v>7</v>
      </c>
      <c r="T1614" s="7" t="s">
        <v>193</v>
      </c>
      <c r="U1614" s="7" t="s">
        <v>273</v>
      </c>
      <c r="V1614" s="7"/>
      <c r="W1614" s="7"/>
      <c r="X1614" s="132">
        <f t="shared" ref="X1614:X1669" si="183">IF(N1614="Kadastr muhandisi",3,
IF(N1614="UZKAD",5,
IF(V1614="FREE",5,
IF(I1614="Registratsiya (tashqi - UZKAD da bor)",1,
IF(I1614="Avtoyo'l va suv xo'jaligi obyektining kadastr pasportini shakllantirish va ro'yxatga olish",7,
IF(I1614="Notarius uchun ma'lumotnoma (uz)",1,
IF(I1614="Qurilishi tugallangan ko'chmas mulkni foydalanishga qabul qilish",10,
IF(OR(I1614="Turar joy obyektning kadastr pasportini shakllantirish va davlat ro'yxatidan o'tkazish",I1614="Turar kompozit"),
IF(L1614="Turar yer maydoni",7,10),
IF(OR(I1614="Noturar obyektning kadastr pasportini shakllantirish va davlat ro'yxatidan o'tkazish",I1614="Noturar kompozit"),
IF(O1614="Ko‘p yillik daraxtlar xizmati",15,
IF(OR(L1614="Noturar yer maydoni",L1614="Davlat tashkilotlaridan ijaraga olingan yer uchastkasi"),7,
IF(W1614&lt;100,10,IF(W1614&lt;=1000,12,IF(W1614&lt;=5000,17,IF(W1614&lt;=15000,22,IF(W1614&lt;=50000,28,37))))))),
IF(I1614="Umumiy foydalanishdagi ko'chmas mulk qismini yaratish",
IF(IF(TRIM(L1614)="",IF(OR(O1614="Turar joy xizmati",O1614="Yakka tartibdagi turar joy"),"Turar","Noturar"),IF(OR(L1614="Yakka tartibdagi turar joy",L1614="Turar joy xizmati"),"Turar","Noturar"))="Turar",
10,IF(W1614&lt;100,10,IF(W1614&lt;=1000,12,IF(W1614&lt;=5000,17,IF(W1614&lt;=15000,22,IF(W1614&lt;=50000,28,37)))))),
0))))))))))</f>
        <v>10</v>
      </c>
      <c r="Y1614" s="133"/>
      <c r="Z1614" s="133"/>
      <c r="AA1614" s="133"/>
    </row>
    <row r="1615" spans="1:27" hidden="1" x14ac:dyDescent="0.25">
      <c r="A1615" s="127">
        <v>1771</v>
      </c>
      <c r="B1615" s="128" t="str">
        <f t="shared" ref="B1615:B1670" si="184">LEFT(E1615,4)</f>
        <v>UYCT</v>
      </c>
      <c r="C1615" s="128" t="str">
        <f>+VLOOKUP(U1615,Ходим!A:B,2,0)</f>
        <v>31007942140083</v>
      </c>
      <c r="D1615" s="128" t="str">
        <f>IFERROR(VLOOKUP($B:$B,[20]свод!$A:$AB,3,0)," ")</f>
        <v>Уйчи тумани</v>
      </c>
      <c r="E1615" s="7" t="s">
        <v>2752</v>
      </c>
      <c r="F1615" s="7" t="s">
        <v>9139</v>
      </c>
      <c r="G1615" s="134">
        <f t="shared" si="181"/>
        <v>1</v>
      </c>
      <c r="H1615" s="134" t="str">
        <f t="shared" si="182"/>
        <v/>
      </c>
      <c r="I1615" s="7" t="s">
        <v>158</v>
      </c>
      <c r="J1615" s="7" t="s">
        <v>1</v>
      </c>
      <c r="K1615" s="7"/>
      <c r="L1615" s="7" t="s">
        <v>167</v>
      </c>
      <c r="M1615" s="7" t="s">
        <v>5271</v>
      </c>
      <c r="N1615" s="7" t="s">
        <v>170</v>
      </c>
      <c r="O1615" s="7" t="s">
        <v>162</v>
      </c>
      <c r="P1615" s="7" t="s">
        <v>7020</v>
      </c>
      <c r="Q1615" s="129">
        <v>46199</v>
      </c>
      <c r="R1615" s="130">
        <f t="shared" si="180"/>
        <v>46202</v>
      </c>
      <c r="S1615" s="131">
        <f t="shared" ref="S1615:S1670" si="185">R1615-Q1615</f>
        <v>3</v>
      </c>
      <c r="T1615" s="7" t="s">
        <v>947</v>
      </c>
      <c r="U1615" s="7" t="s">
        <v>263</v>
      </c>
      <c r="V1615" s="7"/>
      <c r="W1615" s="7">
        <v>376.5</v>
      </c>
      <c r="X1615" s="132">
        <f t="shared" si="183"/>
        <v>10</v>
      </c>
      <c r="Y1615" s="133"/>
      <c r="Z1615" s="133"/>
      <c r="AA1615" s="133"/>
    </row>
    <row r="1616" spans="1:27" hidden="1" x14ac:dyDescent="0.25">
      <c r="A1616" s="127">
        <v>1772</v>
      </c>
      <c r="B1616" s="128" t="str">
        <f t="shared" si="184"/>
        <v>YGQT</v>
      </c>
      <c r="C1616" s="128" t="e">
        <f>+VLOOKUP(U1616,Ходим!A:B,2,0)</f>
        <v>#N/A</v>
      </c>
      <c r="D1616" s="128" t="str">
        <f>IFERROR(VLOOKUP($B:$B,[20]свод!$A:$AB,3,0)," ")</f>
        <v>Янгиқўрғон тумани</v>
      </c>
      <c r="E1616" s="7" t="s">
        <v>2753</v>
      </c>
      <c r="F1616" s="7" t="s">
        <v>9140</v>
      </c>
      <c r="G1616" s="134">
        <f t="shared" si="181"/>
        <v>1</v>
      </c>
      <c r="H1616" s="134" t="str">
        <f t="shared" si="182"/>
        <v/>
      </c>
      <c r="I1616" s="7" t="s">
        <v>156</v>
      </c>
      <c r="J1616" s="7" t="s">
        <v>21</v>
      </c>
      <c r="K1616" s="7"/>
      <c r="L1616" s="7"/>
      <c r="M1616" s="7"/>
      <c r="N1616" s="7" t="s">
        <v>170</v>
      </c>
      <c r="O1616" s="7" t="s">
        <v>162</v>
      </c>
      <c r="P1616" s="7" t="s">
        <v>7021</v>
      </c>
      <c r="Q1616" s="129">
        <v>46199</v>
      </c>
      <c r="R1616" s="130">
        <f t="shared" si="180"/>
        <v>46212</v>
      </c>
      <c r="S1616" s="131">
        <f t="shared" si="185"/>
        <v>13</v>
      </c>
      <c r="T1616" s="7" t="s">
        <v>182</v>
      </c>
      <c r="U1616" s="7"/>
      <c r="V1616" s="7"/>
      <c r="W1616" s="7"/>
      <c r="X1616" s="132">
        <f t="shared" si="183"/>
        <v>10</v>
      </c>
      <c r="Y1616" s="133"/>
      <c r="Z1616" s="133"/>
      <c r="AA1616" s="133"/>
    </row>
    <row r="1617" spans="1:27" hidden="1" x14ac:dyDescent="0.25">
      <c r="A1617" s="127">
        <v>1773</v>
      </c>
      <c r="B1617" s="128" t="str">
        <f t="shared" si="184"/>
        <v>YGQT</v>
      </c>
      <c r="C1617" s="128" t="e">
        <f>+VLOOKUP(U1617,Ходим!A:B,2,0)</f>
        <v>#N/A</v>
      </c>
      <c r="D1617" s="128" t="str">
        <f>IFERROR(VLOOKUP($B:$B,[20]свод!$A:$AB,3,0)," ")</f>
        <v>Янгиқўрғон тумани</v>
      </c>
      <c r="E1617" s="7" t="s">
        <v>2754</v>
      </c>
      <c r="F1617" s="7" t="s">
        <v>9141</v>
      </c>
      <c r="G1617" s="134" t="str">
        <f t="shared" si="181"/>
        <v/>
      </c>
      <c r="H1617" s="134">
        <f t="shared" si="182"/>
        <v>1</v>
      </c>
      <c r="I1617" s="7" t="s">
        <v>155</v>
      </c>
      <c r="J1617" s="7" t="s">
        <v>21</v>
      </c>
      <c r="K1617" s="7"/>
      <c r="L1617" s="7" t="s">
        <v>168</v>
      </c>
      <c r="M1617" s="7" t="s">
        <v>5272</v>
      </c>
      <c r="N1617" s="7" t="s">
        <v>170</v>
      </c>
      <c r="O1617" s="7" t="s">
        <v>161</v>
      </c>
      <c r="P1617" s="7" t="s">
        <v>7021</v>
      </c>
      <c r="Q1617" s="129">
        <v>46199</v>
      </c>
      <c r="R1617" s="130">
        <f t="shared" si="180"/>
        <v>46209</v>
      </c>
      <c r="S1617" s="131">
        <f t="shared" si="185"/>
        <v>10</v>
      </c>
      <c r="T1617" s="7" t="s">
        <v>182</v>
      </c>
      <c r="U1617" s="7"/>
      <c r="V1617" s="7"/>
      <c r="W1617" s="7">
        <v>0</v>
      </c>
      <c r="X1617" s="132">
        <f t="shared" si="183"/>
        <v>7</v>
      </c>
      <c r="Y1617" s="133"/>
      <c r="Z1617" s="133"/>
      <c r="AA1617" s="133"/>
    </row>
    <row r="1618" spans="1:27" hidden="1" x14ac:dyDescent="0.25">
      <c r="A1618" s="127">
        <v>1774</v>
      </c>
      <c r="B1618" s="128" t="str">
        <f t="shared" si="184"/>
        <v>YGQT</v>
      </c>
      <c r="C1618" s="128" t="e">
        <f>+VLOOKUP(U1618,Ходим!A:B,2,0)</f>
        <v>#N/A</v>
      </c>
      <c r="D1618" s="128" t="str">
        <f>IFERROR(VLOOKUP($B:$B,[20]свод!$A:$AB,3,0)," ")</f>
        <v>Янгиқўрғон тумани</v>
      </c>
      <c r="E1618" s="7" t="s">
        <v>2755</v>
      </c>
      <c r="F1618" s="7" t="s">
        <v>9142</v>
      </c>
      <c r="G1618" s="134" t="str">
        <f t="shared" si="181"/>
        <v/>
      </c>
      <c r="H1618" s="134">
        <f t="shared" si="182"/>
        <v>1</v>
      </c>
      <c r="I1618" s="7" t="s">
        <v>155</v>
      </c>
      <c r="J1618" s="7" t="s">
        <v>21</v>
      </c>
      <c r="K1618" s="7"/>
      <c r="L1618" s="7" t="s">
        <v>166</v>
      </c>
      <c r="M1618" s="7" t="s">
        <v>1113</v>
      </c>
      <c r="N1618" s="7" t="s">
        <v>170</v>
      </c>
      <c r="O1618" s="7" t="s">
        <v>161</v>
      </c>
      <c r="P1618" s="7" t="s">
        <v>7021</v>
      </c>
      <c r="Q1618" s="129">
        <v>46199</v>
      </c>
      <c r="R1618" s="130">
        <f t="shared" si="180"/>
        <v>46216</v>
      </c>
      <c r="S1618" s="131">
        <f t="shared" si="185"/>
        <v>17</v>
      </c>
      <c r="T1618" s="7" t="s">
        <v>182</v>
      </c>
      <c r="U1618" s="7"/>
      <c r="V1618" s="7"/>
      <c r="W1618" s="7">
        <v>574.98</v>
      </c>
      <c r="X1618" s="132">
        <f t="shared" si="183"/>
        <v>12</v>
      </c>
      <c r="Y1618" s="133"/>
      <c r="Z1618" s="133"/>
      <c r="AA1618" s="133"/>
    </row>
    <row r="1619" spans="1:27" hidden="1" x14ac:dyDescent="0.25">
      <c r="A1619" s="127">
        <v>1775</v>
      </c>
      <c r="B1619" s="128" t="str">
        <f t="shared" si="184"/>
        <v>YGQT</v>
      </c>
      <c r="C1619" s="128" t="e">
        <f>+VLOOKUP(U1619,Ходим!A:B,2,0)</f>
        <v>#N/A</v>
      </c>
      <c r="D1619" s="128" t="str">
        <f>IFERROR(VLOOKUP($B:$B,[20]свод!$A:$AB,3,0)," ")</f>
        <v>Янгиқўрғон тумани</v>
      </c>
      <c r="E1619" s="7" t="s">
        <v>2756</v>
      </c>
      <c r="F1619" s="7" t="s">
        <v>9143</v>
      </c>
      <c r="G1619" s="134">
        <f t="shared" si="181"/>
        <v>1</v>
      </c>
      <c r="H1619" s="134" t="str">
        <f t="shared" si="182"/>
        <v/>
      </c>
      <c r="I1619" s="7" t="s">
        <v>156</v>
      </c>
      <c r="J1619" s="7" t="s">
        <v>21</v>
      </c>
      <c r="K1619" s="7"/>
      <c r="L1619" s="7"/>
      <c r="M1619" s="7"/>
      <c r="N1619" s="7" t="s">
        <v>170</v>
      </c>
      <c r="O1619" s="7" t="s">
        <v>162</v>
      </c>
      <c r="P1619" s="7" t="s">
        <v>7021</v>
      </c>
      <c r="Q1619" s="129">
        <v>46199</v>
      </c>
      <c r="R1619" s="130">
        <f t="shared" si="180"/>
        <v>46212</v>
      </c>
      <c r="S1619" s="131">
        <f t="shared" si="185"/>
        <v>13</v>
      </c>
      <c r="T1619" s="7" t="s">
        <v>182</v>
      </c>
      <c r="U1619" s="7"/>
      <c r="V1619" s="7"/>
      <c r="W1619" s="7"/>
      <c r="X1619" s="132">
        <f t="shared" si="183"/>
        <v>10</v>
      </c>
      <c r="Y1619" s="133"/>
      <c r="Z1619" s="133"/>
      <c r="AA1619" s="133"/>
    </row>
    <row r="1620" spans="1:27" hidden="1" x14ac:dyDescent="0.25">
      <c r="A1620" s="127">
        <v>1776</v>
      </c>
      <c r="B1620" s="128" t="str">
        <f t="shared" si="184"/>
        <v>YGQT</v>
      </c>
      <c r="C1620" s="128" t="e">
        <f>+VLOOKUP(U1620,Ходим!A:B,2,0)</f>
        <v>#N/A</v>
      </c>
      <c r="D1620" s="128" t="str">
        <f>IFERROR(VLOOKUP($B:$B,[20]свод!$A:$AB,3,0)," ")</f>
        <v>Янгиқўрғон тумани</v>
      </c>
      <c r="E1620" s="7" t="s">
        <v>2757</v>
      </c>
      <c r="F1620" s="7" t="s">
        <v>9144</v>
      </c>
      <c r="G1620" s="134" t="str">
        <f t="shared" si="181"/>
        <v/>
      </c>
      <c r="H1620" s="134">
        <f t="shared" si="182"/>
        <v>1</v>
      </c>
      <c r="I1620" s="7" t="s">
        <v>155</v>
      </c>
      <c r="J1620" s="7" t="s">
        <v>21</v>
      </c>
      <c r="K1620" s="7"/>
      <c r="L1620" s="7" t="s">
        <v>168</v>
      </c>
      <c r="M1620" s="7" t="s">
        <v>5273</v>
      </c>
      <c r="N1620" s="7" t="s">
        <v>170</v>
      </c>
      <c r="O1620" s="7" t="s">
        <v>161</v>
      </c>
      <c r="P1620" s="7" t="s">
        <v>7021</v>
      </c>
      <c r="Q1620" s="129">
        <v>46199</v>
      </c>
      <c r="R1620" s="130">
        <f t="shared" si="180"/>
        <v>46209</v>
      </c>
      <c r="S1620" s="131">
        <f t="shared" si="185"/>
        <v>10</v>
      </c>
      <c r="T1620" s="7" t="s">
        <v>182</v>
      </c>
      <c r="U1620" s="7"/>
      <c r="V1620" s="7"/>
      <c r="W1620" s="7">
        <v>0</v>
      </c>
      <c r="X1620" s="132">
        <f t="shared" si="183"/>
        <v>7</v>
      </c>
      <c r="Y1620" s="133"/>
      <c r="Z1620" s="133"/>
      <c r="AA1620" s="133"/>
    </row>
    <row r="1621" spans="1:27" hidden="1" x14ac:dyDescent="0.25">
      <c r="A1621" s="127">
        <v>1777</v>
      </c>
      <c r="B1621" s="128" t="str">
        <f t="shared" si="184"/>
        <v>UYCT</v>
      </c>
      <c r="C1621" s="128" t="str">
        <f>+VLOOKUP(U1621,Ходим!A:B,2,0)</f>
        <v>31101985930022</v>
      </c>
      <c r="D1621" s="128" t="str">
        <f>IFERROR(VLOOKUP($B:$B,[20]свод!$A:$AB,3,0)," ")</f>
        <v>Уйчи тумани</v>
      </c>
      <c r="E1621" s="7" t="s">
        <v>2758</v>
      </c>
      <c r="F1621" s="7" t="s">
        <v>9145</v>
      </c>
      <c r="G1621" s="134">
        <f t="shared" si="181"/>
        <v>1</v>
      </c>
      <c r="H1621" s="134" t="str">
        <f t="shared" si="182"/>
        <v/>
      </c>
      <c r="I1621" s="7" t="s">
        <v>158</v>
      </c>
      <c r="J1621" s="7" t="s">
        <v>134</v>
      </c>
      <c r="K1621" s="7"/>
      <c r="L1621" s="7" t="s">
        <v>167</v>
      </c>
      <c r="M1621" s="7" t="s">
        <v>5274</v>
      </c>
      <c r="N1621" s="7" t="s">
        <v>170</v>
      </c>
      <c r="O1621" s="7" t="s">
        <v>162</v>
      </c>
      <c r="P1621" s="7" t="s">
        <v>7022</v>
      </c>
      <c r="Q1621" s="129">
        <v>46199</v>
      </c>
      <c r="R1621" s="130">
        <f t="shared" si="180"/>
        <v>46202</v>
      </c>
      <c r="S1621" s="131">
        <f t="shared" si="185"/>
        <v>3</v>
      </c>
      <c r="T1621" s="7" t="s">
        <v>947</v>
      </c>
      <c r="U1621" s="7" t="s">
        <v>299</v>
      </c>
      <c r="V1621" s="7"/>
      <c r="W1621" s="7">
        <v>113.1</v>
      </c>
      <c r="X1621" s="132">
        <f t="shared" si="183"/>
        <v>10</v>
      </c>
      <c r="Y1621" s="133"/>
      <c r="Z1621" s="133"/>
      <c r="AA1621" s="133"/>
    </row>
    <row r="1622" spans="1:27" hidden="1" x14ac:dyDescent="0.25">
      <c r="A1622" s="127">
        <v>1778</v>
      </c>
      <c r="B1622" s="128" t="str">
        <f t="shared" si="184"/>
        <v>NAMS</v>
      </c>
      <c r="C1622" s="128" t="str">
        <f>+VLOOKUP(U1622,Ходим!A:B,2,0)</f>
        <v>31007955980023</v>
      </c>
      <c r="D1622" s="128" t="str">
        <f>IFERROR(VLOOKUP($B:$B,[20]свод!$A:$AB,3,0)," ")</f>
        <v>Наманган шаҳар</v>
      </c>
      <c r="E1622" s="7" t="s">
        <v>2759</v>
      </c>
      <c r="F1622" s="7" t="s">
        <v>9146</v>
      </c>
      <c r="G1622" s="134">
        <f t="shared" si="181"/>
        <v>1</v>
      </c>
      <c r="H1622" s="134" t="str">
        <f t="shared" si="182"/>
        <v/>
      </c>
      <c r="I1622" s="7" t="s">
        <v>158</v>
      </c>
      <c r="J1622" s="7" t="s">
        <v>2</v>
      </c>
      <c r="K1622" s="7"/>
      <c r="L1622" s="7" t="s">
        <v>167</v>
      </c>
      <c r="M1622" s="7" t="s">
        <v>5275</v>
      </c>
      <c r="N1622" s="7" t="s">
        <v>170</v>
      </c>
      <c r="O1622" s="7" t="s">
        <v>162</v>
      </c>
      <c r="P1622" s="7" t="s">
        <v>7022</v>
      </c>
      <c r="Q1622" s="129">
        <v>46199</v>
      </c>
      <c r="R1622" s="130">
        <f t="shared" si="180"/>
        <v>46202</v>
      </c>
      <c r="S1622" s="131">
        <f t="shared" si="185"/>
        <v>3</v>
      </c>
      <c r="T1622" s="7" t="s">
        <v>173</v>
      </c>
      <c r="U1622" s="7" t="s">
        <v>207</v>
      </c>
      <c r="V1622" s="7"/>
      <c r="W1622" s="7">
        <v>28.5</v>
      </c>
      <c r="X1622" s="132">
        <f t="shared" si="183"/>
        <v>10</v>
      </c>
      <c r="Y1622" s="133"/>
      <c r="Z1622" s="133"/>
      <c r="AA1622" s="133"/>
    </row>
    <row r="1623" spans="1:27" hidden="1" x14ac:dyDescent="0.25">
      <c r="A1623" s="127">
        <v>1779</v>
      </c>
      <c r="B1623" s="128" t="str">
        <f t="shared" si="184"/>
        <v>POPT</v>
      </c>
      <c r="C1623" s="128" t="str">
        <f>+VLOOKUP(U1623,Ходим!A:B,2,0)</f>
        <v>33110905910015</v>
      </c>
      <c r="D1623" s="128" t="str">
        <f>IFERROR(VLOOKUP($B:$B,[20]свод!$A:$AB,3,0)," ")</f>
        <v>Поп тумани</v>
      </c>
      <c r="E1623" s="7" t="s">
        <v>2760</v>
      </c>
      <c r="F1623" s="7" t="s">
        <v>9147</v>
      </c>
      <c r="G1623" s="134" t="str">
        <f t="shared" si="181"/>
        <v/>
      </c>
      <c r="H1623" s="134">
        <f t="shared" si="182"/>
        <v>1</v>
      </c>
      <c r="I1623" s="7" t="s">
        <v>157</v>
      </c>
      <c r="J1623" s="7" t="s">
        <v>1</v>
      </c>
      <c r="K1623" s="7"/>
      <c r="L1623" s="7" t="s">
        <v>166</v>
      </c>
      <c r="M1623" s="7" t="s">
        <v>5276</v>
      </c>
      <c r="N1623" s="7" t="s">
        <v>410</v>
      </c>
      <c r="O1623" s="7" t="s">
        <v>161</v>
      </c>
      <c r="P1623" s="7" t="s">
        <v>7023</v>
      </c>
      <c r="Q1623" s="129">
        <v>46199</v>
      </c>
      <c r="R1623" s="130">
        <f t="shared" si="180"/>
        <v>46202</v>
      </c>
      <c r="S1623" s="131">
        <f t="shared" si="185"/>
        <v>3</v>
      </c>
      <c r="T1623" s="7" t="s">
        <v>240</v>
      </c>
      <c r="U1623" s="7" t="s">
        <v>305</v>
      </c>
      <c r="V1623" s="7"/>
      <c r="W1623" s="7">
        <v>36.880000000000003</v>
      </c>
      <c r="X1623" s="132">
        <f t="shared" si="183"/>
        <v>10</v>
      </c>
      <c r="Y1623" s="133"/>
      <c r="Z1623" s="133"/>
      <c r="AA1623" s="133"/>
    </row>
    <row r="1624" spans="1:27" hidden="1" x14ac:dyDescent="0.25">
      <c r="A1624" s="127">
        <v>1780</v>
      </c>
      <c r="B1624" s="128" t="str">
        <f t="shared" si="184"/>
        <v>TORT</v>
      </c>
      <c r="C1624" s="128" t="str">
        <f>+VLOOKUP(U1624,Ходим!A:B,2,0)</f>
        <v>40302922130046</v>
      </c>
      <c r="D1624" s="128" t="str">
        <f>IFERROR(VLOOKUP($B:$B,[20]свод!$A:$AB,3,0)," ")</f>
        <v>Тўрақўрғон тумани</v>
      </c>
      <c r="E1624" s="7" t="s">
        <v>2761</v>
      </c>
      <c r="F1624" s="7" t="s">
        <v>9148</v>
      </c>
      <c r="G1624" s="134">
        <f t="shared" si="181"/>
        <v>1</v>
      </c>
      <c r="H1624" s="134" t="str">
        <f t="shared" si="182"/>
        <v/>
      </c>
      <c r="I1624" s="7" t="s">
        <v>158</v>
      </c>
      <c r="J1624" s="7" t="s">
        <v>2</v>
      </c>
      <c r="K1624" s="7"/>
      <c r="L1624" s="7" t="s">
        <v>167</v>
      </c>
      <c r="M1624" s="7" t="s">
        <v>5277</v>
      </c>
      <c r="N1624" s="7" t="s">
        <v>410</v>
      </c>
      <c r="O1624" s="7" t="s">
        <v>163</v>
      </c>
      <c r="P1624" s="7" t="s">
        <v>7024</v>
      </c>
      <c r="Q1624" s="129">
        <v>46199</v>
      </c>
      <c r="R1624" s="130">
        <f t="shared" si="180"/>
        <v>46202</v>
      </c>
      <c r="S1624" s="131">
        <f t="shared" si="185"/>
        <v>3</v>
      </c>
      <c r="T1624" s="7" t="s">
        <v>203</v>
      </c>
      <c r="U1624" s="7" t="s">
        <v>258</v>
      </c>
      <c r="V1624" s="7"/>
      <c r="W1624" s="7">
        <v>128.74</v>
      </c>
      <c r="X1624" s="132">
        <f t="shared" si="183"/>
        <v>10</v>
      </c>
      <c r="Y1624" s="133"/>
      <c r="Z1624" s="133"/>
      <c r="AA1624" s="133"/>
    </row>
    <row r="1625" spans="1:27" hidden="1" x14ac:dyDescent="0.25">
      <c r="A1625" s="127">
        <v>1781</v>
      </c>
      <c r="B1625" s="128" t="str">
        <f t="shared" si="184"/>
        <v>POPT</v>
      </c>
      <c r="C1625" s="128" t="str">
        <f>+VLOOKUP(U1625,Ходим!A:B,2,0)</f>
        <v>30808922120014</v>
      </c>
      <c r="D1625" s="128" t="str">
        <f>IFERROR(VLOOKUP($B:$B,[20]свод!$A:$AB,3,0)," ")</f>
        <v>Поп тумани</v>
      </c>
      <c r="E1625" s="7" t="s">
        <v>1106</v>
      </c>
      <c r="F1625" s="7" t="s">
        <v>1130</v>
      </c>
      <c r="G1625" s="134" t="str">
        <f t="shared" si="181"/>
        <v/>
      </c>
      <c r="H1625" s="134">
        <f t="shared" si="182"/>
        <v>1</v>
      </c>
      <c r="I1625" s="7" t="s">
        <v>157</v>
      </c>
      <c r="J1625" s="7" t="s">
        <v>2</v>
      </c>
      <c r="K1625" s="7"/>
      <c r="L1625" s="7" t="s">
        <v>166</v>
      </c>
      <c r="M1625" s="7" t="s">
        <v>5278</v>
      </c>
      <c r="N1625" s="7" t="s">
        <v>410</v>
      </c>
      <c r="O1625" s="7" t="s">
        <v>161</v>
      </c>
      <c r="P1625" s="7" t="s">
        <v>1134</v>
      </c>
      <c r="Q1625" s="129">
        <v>46199</v>
      </c>
      <c r="R1625" s="130">
        <f t="shared" si="180"/>
        <v>46203</v>
      </c>
      <c r="S1625" s="131">
        <f t="shared" si="185"/>
        <v>4</v>
      </c>
      <c r="T1625" s="7" t="s">
        <v>240</v>
      </c>
      <c r="U1625" s="7" t="s">
        <v>242</v>
      </c>
      <c r="V1625" s="7"/>
      <c r="W1625" s="7">
        <v>2140.44</v>
      </c>
      <c r="X1625" s="132">
        <f t="shared" si="183"/>
        <v>17</v>
      </c>
      <c r="Y1625" s="133"/>
      <c r="Z1625" s="133"/>
      <c r="AA1625" s="133"/>
    </row>
    <row r="1626" spans="1:27" hidden="1" x14ac:dyDescent="0.25">
      <c r="A1626" s="127">
        <v>1782</v>
      </c>
      <c r="B1626" s="128" t="str">
        <f t="shared" si="184"/>
        <v>NAMS</v>
      </c>
      <c r="C1626" s="128" t="str">
        <f>+VLOOKUP(U1626,Ходим!A:B,2,0)</f>
        <v>32207925880019</v>
      </c>
      <c r="D1626" s="128" t="str">
        <f>IFERROR(VLOOKUP($B:$B,[20]свод!$A:$AB,3,0)," ")</f>
        <v>Наманган шаҳар</v>
      </c>
      <c r="E1626" s="7" t="s">
        <v>2762</v>
      </c>
      <c r="F1626" s="7" t="s">
        <v>9149</v>
      </c>
      <c r="G1626" s="134">
        <f t="shared" si="181"/>
        <v>1</v>
      </c>
      <c r="H1626" s="134" t="str">
        <f t="shared" si="182"/>
        <v/>
      </c>
      <c r="I1626" s="7" t="s">
        <v>158</v>
      </c>
      <c r="J1626" s="7" t="s">
        <v>29</v>
      </c>
      <c r="K1626" s="7"/>
      <c r="L1626" s="7" t="s">
        <v>167</v>
      </c>
      <c r="M1626" s="7" t="s">
        <v>381</v>
      </c>
      <c r="N1626" s="7" t="s">
        <v>410</v>
      </c>
      <c r="O1626" s="7" t="s">
        <v>162</v>
      </c>
      <c r="P1626" s="7" t="s">
        <v>7025</v>
      </c>
      <c r="Q1626" s="129">
        <v>46199</v>
      </c>
      <c r="R1626" s="130">
        <f t="shared" si="180"/>
        <v>46202</v>
      </c>
      <c r="S1626" s="131">
        <f t="shared" si="185"/>
        <v>3</v>
      </c>
      <c r="T1626" s="7" t="s">
        <v>173</v>
      </c>
      <c r="U1626" s="7" t="s">
        <v>174</v>
      </c>
      <c r="V1626" s="7"/>
      <c r="W1626" s="7">
        <v>0</v>
      </c>
      <c r="X1626" s="132">
        <f t="shared" si="183"/>
        <v>10</v>
      </c>
      <c r="Y1626" s="133"/>
      <c r="Z1626" s="133"/>
      <c r="AA1626" s="133"/>
    </row>
    <row r="1627" spans="1:27" hidden="1" x14ac:dyDescent="0.25">
      <c r="A1627" s="127">
        <v>1783</v>
      </c>
      <c r="B1627" s="128" t="str">
        <f t="shared" si="184"/>
        <v>UYCT</v>
      </c>
      <c r="C1627" s="128" t="str">
        <f>+VLOOKUP(U1627,Ходим!A:B,2,0)</f>
        <v>31101985930022</v>
      </c>
      <c r="D1627" s="128" t="str">
        <f>IFERROR(VLOOKUP($B:$B,[20]свод!$A:$AB,3,0)," ")</f>
        <v>Уйчи тумани</v>
      </c>
      <c r="E1627" s="7" t="s">
        <v>2763</v>
      </c>
      <c r="F1627" s="7" t="s">
        <v>9150</v>
      </c>
      <c r="G1627" s="134">
        <f t="shared" si="181"/>
        <v>1</v>
      </c>
      <c r="H1627" s="134" t="str">
        <f t="shared" si="182"/>
        <v/>
      </c>
      <c r="I1627" s="7" t="s">
        <v>158</v>
      </c>
      <c r="J1627" s="7" t="s">
        <v>35</v>
      </c>
      <c r="K1627" s="7"/>
      <c r="L1627" s="7" t="s">
        <v>167</v>
      </c>
      <c r="M1627" s="7" t="s">
        <v>5279</v>
      </c>
      <c r="N1627" s="7" t="s">
        <v>170</v>
      </c>
      <c r="O1627" s="7" t="s">
        <v>162</v>
      </c>
      <c r="P1627" s="7" t="s">
        <v>7025</v>
      </c>
      <c r="Q1627" s="129">
        <v>46199</v>
      </c>
      <c r="R1627" s="130">
        <f t="shared" si="180"/>
        <v>46202</v>
      </c>
      <c r="S1627" s="131">
        <f t="shared" si="185"/>
        <v>3</v>
      </c>
      <c r="T1627" s="7" t="s">
        <v>947</v>
      </c>
      <c r="U1627" s="7" t="s">
        <v>299</v>
      </c>
      <c r="V1627" s="7"/>
      <c r="W1627" s="7">
        <v>243.32</v>
      </c>
      <c r="X1627" s="132">
        <f t="shared" si="183"/>
        <v>10</v>
      </c>
      <c r="Y1627" s="133"/>
      <c r="Z1627" s="133"/>
      <c r="AA1627" s="133"/>
    </row>
    <row r="1628" spans="1:27" hidden="1" x14ac:dyDescent="0.25">
      <c r="A1628" s="127">
        <v>1784</v>
      </c>
      <c r="B1628" s="128" t="str">
        <f t="shared" si="184"/>
        <v>POPT</v>
      </c>
      <c r="C1628" s="128" t="str">
        <f>+VLOOKUP(U1628,Ходим!A:B,2,0)</f>
        <v>32901912210017</v>
      </c>
      <c r="D1628" s="128" t="str">
        <f>IFERROR(VLOOKUP($B:$B,[20]свод!$A:$AB,3,0)," ")</f>
        <v>Поп тумани</v>
      </c>
      <c r="E1628" s="7" t="s">
        <v>2764</v>
      </c>
      <c r="F1628" s="7" t="s">
        <v>9151</v>
      </c>
      <c r="G1628" s="134">
        <f t="shared" si="181"/>
        <v>1</v>
      </c>
      <c r="H1628" s="134" t="str">
        <f t="shared" si="182"/>
        <v/>
      </c>
      <c r="I1628" s="7" t="s">
        <v>158</v>
      </c>
      <c r="J1628" s="7" t="s">
        <v>2</v>
      </c>
      <c r="K1628" s="7"/>
      <c r="L1628" s="7" t="s">
        <v>167</v>
      </c>
      <c r="M1628" s="7" t="s">
        <v>1103</v>
      </c>
      <c r="N1628" s="7" t="s">
        <v>170</v>
      </c>
      <c r="O1628" s="7" t="s">
        <v>162</v>
      </c>
      <c r="P1628" s="7" t="s">
        <v>7026</v>
      </c>
      <c r="Q1628" s="129">
        <v>46199</v>
      </c>
      <c r="R1628" s="130">
        <f t="shared" si="180"/>
        <v>46206</v>
      </c>
      <c r="S1628" s="131">
        <f t="shared" si="185"/>
        <v>7</v>
      </c>
      <c r="T1628" s="7" t="s">
        <v>240</v>
      </c>
      <c r="U1628" s="7" t="s">
        <v>215</v>
      </c>
      <c r="V1628" s="7"/>
      <c r="W1628" s="7">
        <v>0</v>
      </c>
      <c r="X1628" s="132">
        <f t="shared" si="183"/>
        <v>10</v>
      </c>
      <c r="Y1628" s="133"/>
      <c r="Z1628" s="133"/>
      <c r="AA1628" s="133"/>
    </row>
    <row r="1629" spans="1:27" hidden="1" x14ac:dyDescent="0.25">
      <c r="A1629" s="127">
        <v>1785</v>
      </c>
      <c r="B1629" s="128" t="str">
        <f t="shared" si="184"/>
        <v>NAMS</v>
      </c>
      <c r="C1629" s="128" t="str">
        <f>+VLOOKUP(U1629,Ходим!A:B,2,0)</f>
        <v>53008015960094</v>
      </c>
      <c r="D1629" s="128" t="str">
        <f>IFERROR(VLOOKUP($B:$B,[20]свод!$A:$AB,3,0)," ")</f>
        <v>Наманган шаҳар</v>
      </c>
      <c r="E1629" s="7" t="s">
        <v>2765</v>
      </c>
      <c r="F1629" s="7" t="s">
        <v>9152</v>
      </c>
      <c r="G1629" s="134">
        <f t="shared" si="181"/>
        <v>1</v>
      </c>
      <c r="H1629" s="134" t="str">
        <f t="shared" si="182"/>
        <v/>
      </c>
      <c r="I1629" s="7" t="s">
        <v>156</v>
      </c>
      <c r="J1629" s="7" t="s">
        <v>25</v>
      </c>
      <c r="K1629" s="7"/>
      <c r="L1629" s="7"/>
      <c r="M1629" s="7"/>
      <c r="N1629" s="7" t="s">
        <v>170</v>
      </c>
      <c r="O1629" s="7" t="s">
        <v>162</v>
      </c>
      <c r="P1629" s="7" t="s">
        <v>7026</v>
      </c>
      <c r="Q1629" s="129">
        <v>46199</v>
      </c>
      <c r="R1629" s="130">
        <f t="shared" si="180"/>
        <v>46206</v>
      </c>
      <c r="S1629" s="131">
        <f t="shared" si="185"/>
        <v>7</v>
      </c>
      <c r="T1629" s="7" t="s">
        <v>173</v>
      </c>
      <c r="U1629" s="7" t="s">
        <v>403</v>
      </c>
      <c r="V1629" s="7"/>
      <c r="W1629" s="7"/>
      <c r="X1629" s="132">
        <f t="shared" si="183"/>
        <v>10</v>
      </c>
      <c r="Y1629" s="133"/>
      <c r="Z1629" s="133"/>
      <c r="AA1629" s="133"/>
    </row>
    <row r="1630" spans="1:27" hidden="1" x14ac:dyDescent="0.25">
      <c r="A1630" s="127">
        <v>1787</v>
      </c>
      <c r="B1630" s="128" t="str">
        <f t="shared" si="184"/>
        <v>NAMS</v>
      </c>
      <c r="C1630" s="128" t="str">
        <f>+VLOOKUP(U1630,Ходим!A:B,2,0)</f>
        <v>52710005960025</v>
      </c>
      <c r="D1630" s="128" t="str">
        <f>IFERROR(VLOOKUP($B:$B,[20]свод!$A:$AB,3,0)," ")</f>
        <v>Наманган шаҳар</v>
      </c>
      <c r="E1630" s="7" t="s">
        <v>2766</v>
      </c>
      <c r="F1630" s="7" t="s">
        <v>9153</v>
      </c>
      <c r="G1630" s="134">
        <f t="shared" si="181"/>
        <v>1</v>
      </c>
      <c r="H1630" s="134" t="str">
        <f t="shared" si="182"/>
        <v/>
      </c>
      <c r="I1630" s="7" t="s">
        <v>158</v>
      </c>
      <c r="J1630" s="7" t="s">
        <v>2</v>
      </c>
      <c r="K1630" s="7"/>
      <c r="L1630" s="7" t="s">
        <v>167</v>
      </c>
      <c r="M1630" s="7" t="s">
        <v>5280</v>
      </c>
      <c r="N1630" s="7" t="s">
        <v>170</v>
      </c>
      <c r="O1630" s="7" t="s">
        <v>162</v>
      </c>
      <c r="P1630" s="7" t="s">
        <v>6456</v>
      </c>
      <c r="Q1630" s="129">
        <v>46199</v>
      </c>
      <c r="R1630" s="130">
        <f t="shared" si="180"/>
        <v>46202</v>
      </c>
      <c r="S1630" s="131">
        <f t="shared" si="185"/>
        <v>3</v>
      </c>
      <c r="T1630" s="7" t="s">
        <v>173</v>
      </c>
      <c r="U1630" s="7" t="s">
        <v>274</v>
      </c>
      <c r="V1630" s="7"/>
      <c r="W1630" s="7">
        <v>51.76</v>
      </c>
      <c r="X1630" s="132">
        <f t="shared" si="183"/>
        <v>10</v>
      </c>
      <c r="Y1630" s="133"/>
      <c r="Z1630" s="133"/>
      <c r="AA1630" s="133"/>
    </row>
    <row r="1631" spans="1:27" hidden="1" x14ac:dyDescent="0.25">
      <c r="A1631" s="127">
        <v>1788</v>
      </c>
      <c r="B1631" s="128" t="str">
        <f t="shared" si="184"/>
        <v>UYCT</v>
      </c>
      <c r="C1631" s="128" t="str">
        <f>+VLOOKUP(U1631,Ходим!A:B,2,0)</f>
        <v>53007005930024</v>
      </c>
      <c r="D1631" s="128" t="str">
        <f>IFERROR(VLOOKUP($B:$B,[20]свод!$A:$AB,3,0)," ")</f>
        <v>Уйчи тумани</v>
      </c>
      <c r="E1631" s="7" t="s">
        <v>2767</v>
      </c>
      <c r="F1631" s="7" t="s">
        <v>9154</v>
      </c>
      <c r="G1631" s="134">
        <f t="shared" si="181"/>
        <v>1</v>
      </c>
      <c r="H1631" s="134" t="str">
        <f t="shared" si="182"/>
        <v/>
      </c>
      <c r="I1631" s="7" t="s">
        <v>158</v>
      </c>
      <c r="J1631" s="7" t="s">
        <v>2</v>
      </c>
      <c r="K1631" s="7"/>
      <c r="L1631" s="7" t="s">
        <v>167</v>
      </c>
      <c r="M1631" s="7" t="s">
        <v>5281</v>
      </c>
      <c r="N1631" s="7" t="s">
        <v>170</v>
      </c>
      <c r="O1631" s="7" t="s">
        <v>162</v>
      </c>
      <c r="P1631" s="7" t="s">
        <v>6456</v>
      </c>
      <c r="Q1631" s="129">
        <v>46199</v>
      </c>
      <c r="R1631" s="130">
        <f t="shared" si="180"/>
        <v>46202</v>
      </c>
      <c r="S1631" s="131">
        <f t="shared" si="185"/>
        <v>3</v>
      </c>
      <c r="T1631" s="7" t="s">
        <v>947</v>
      </c>
      <c r="U1631" s="7" t="s">
        <v>378</v>
      </c>
      <c r="V1631" s="7"/>
      <c r="W1631" s="7">
        <v>40.299999999999997</v>
      </c>
      <c r="X1631" s="132">
        <f t="shared" si="183"/>
        <v>10</v>
      </c>
      <c r="Y1631" s="133"/>
      <c r="Z1631" s="133"/>
      <c r="AA1631" s="133"/>
    </row>
    <row r="1632" spans="1:27" hidden="1" x14ac:dyDescent="0.25">
      <c r="A1632" s="127">
        <v>1789</v>
      </c>
      <c r="B1632" s="128" t="str">
        <f t="shared" si="184"/>
        <v>NAMS</v>
      </c>
      <c r="C1632" s="128" t="str">
        <f>+VLOOKUP(U1632,Ходим!A:B,2,0)</f>
        <v>31309942170160</v>
      </c>
      <c r="D1632" s="128" t="str">
        <f>IFERROR(VLOOKUP($B:$B,[20]свод!$A:$AB,3,0)," ")</f>
        <v>Наманган шаҳар</v>
      </c>
      <c r="E1632" s="7" t="s">
        <v>2768</v>
      </c>
      <c r="F1632" s="7" t="s">
        <v>9155</v>
      </c>
      <c r="G1632" s="134" t="str">
        <f t="shared" si="181"/>
        <v/>
      </c>
      <c r="H1632" s="134">
        <f t="shared" si="182"/>
        <v>1</v>
      </c>
      <c r="I1632" s="7" t="s">
        <v>157</v>
      </c>
      <c r="J1632" s="7" t="s">
        <v>16</v>
      </c>
      <c r="K1632" s="7"/>
      <c r="L1632" s="7" t="s">
        <v>166</v>
      </c>
      <c r="M1632" s="7" t="s">
        <v>5282</v>
      </c>
      <c r="N1632" s="7" t="s">
        <v>170</v>
      </c>
      <c r="O1632" s="7" t="s">
        <v>161</v>
      </c>
      <c r="P1632" s="7" t="s">
        <v>6456</v>
      </c>
      <c r="Q1632" s="129">
        <v>46199</v>
      </c>
      <c r="R1632" s="130">
        <f t="shared" si="180"/>
        <v>46202</v>
      </c>
      <c r="S1632" s="131">
        <f t="shared" si="185"/>
        <v>3</v>
      </c>
      <c r="T1632" s="7" t="s">
        <v>227</v>
      </c>
      <c r="U1632" s="7" t="s">
        <v>333</v>
      </c>
      <c r="V1632" s="7"/>
      <c r="W1632" s="7">
        <v>43</v>
      </c>
      <c r="X1632" s="132">
        <f t="shared" si="183"/>
        <v>10</v>
      </c>
      <c r="Y1632" s="133"/>
      <c r="Z1632" s="133"/>
      <c r="AA1632" s="133"/>
    </row>
    <row r="1633" spans="1:27" hidden="1" x14ac:dyDescent="0.25">
      <c r="A1633" s="127">
        <v>1790</v>
      </c>
      <c r="B1633" s="128" t="str">
        <f t="shared" si="184"/>
        <v>CHOT</v>
      </c>
      <c r="C1633" s="128" t="str">
        <f>+VLOOKUP(U1633,Ходим!A:B,2,0)</f>
        <v>30608892100030</v>
      </c>
      <c r="D1633" s="128" t="str">
        <f>IFERROR(VLOOKUP($B:$B,[20]свод!$A:$AB,3,0)," ")</f>
        <v>Чортоқ тумани</v>
      </c>
      <c r="E1633" s="7" t="s">
        <v>2769</v>
      </c>
      <c r="F1633" s="7" t="s">
        <v>9156</v>
      </c>
      <c r="G1633" s="134">
        <f t="shared" si="181"/>
        <v>1</v>
      </c>
      <c r="H1633" s="134" t="str">
        <f t="shared" si="182"/>
        <v/>
      </c>
      <c r="I1633" s="7" t="s">
        <v>158</v>
      </c>
      <c r="J1633" s="7" t="s">
        <v>2</v>
      </c>
      <c r="K1633" s="7"/>
      <c r="L1633" s="7" t="s">
        <v>167</v>
      </c>
      <c r="M1633" s="7" t="s">
        <v>5283</v>
      </c>
      <c r="N1633" s="7" t="s">
        <v>170</v>
      </c>
      <c r="O1633" s="7" t="s">
        <v>163</v>
      </c>
      <c r="P1633" s="7" t="s">
        <v>7015</v>
      </c>
      <c r="Q1633" s="129">
        <v>46199</v>
      </c>
      <c r="R1633" s="130">
        <f t="shared" si="180"/>
        <v>46202</v>
      </c>
      <c r="S1633" s="131">
        <f t="shared" si="185"/>
        <v>3</v>
      </c>
      <c r="T1633" s="7" t="s">
        <v>184</v>
      </c>
      <c r="U1633" s="7" t="s">
        <v>266</v>
      </c>
      <c r="V1633" s="7"/>
      <c r="W1633" s="7">
        <v>471.87</v>
      </c>
      <c r="X1633" s="132">
        <f t="shared" si="183"/>
        <v>10</v>
      </c>
      <c r="Y1633" s="133"/>
      <c r="Z1633" s="133"/>
      <c r="AA1633" s="133"/>
    </row>
    <row r="1634" spans="1:27" hidden="1" x14ac:dyDescent="0.25">
      <c r="A1634" s="127">
        <v>1791</v>
      </c>
      <c r="B1634" s="128" t="str">
        <f t="shared" si="184"/>
        <v>NAMS</v>
      </c>
      <c r="C1634" s="128" t="str">
        <f>+VLOOKUP(U1634,Ходим!A:B,2,0)</f>
        <v>31601642170089</v>
      </c>
      <c r="D1634" s="128" t="str">
        <f>IFERROR(VLOOKUP($B:$B,[20]свод!$A:$AB,3,0)," ")</f>
        <v>Наманган шаҳар</v>
      </c>
      <c r="E1634" s="7" t="s">
        <v>2770</v>
      </c>
      <c r="F1634" s="7" t="s">
        <v>9157</v>
      </c>
      <c r="G1634" s="134">
        <f t="shared" si="181"/>
        <v>1</v>
      </c>
      <c r="H1634" s="134" t="str">
        <f t="shared" si="182"/>
        <v/>
      </c>
      <c r="I1634" s="7" t="s">
        <v>156</v>
      </c>
      <c r="J1634" s="7" t="s">
        <v>25</v>
      </c>
      <c r="K1634" s="7"/>
      <c r="L1634" s="7"/>
      <c r="M1634" s="7"/>
      <c r="N1634" s="7" t="s">
        <v>170</v>
      </c>
      <c r="O1634" s="7" t="s">
        <v>162</v>
      </c>
      <c r="P1634" s="7" t="s">
        <v>7027</v>
      </c>
      <c r="Q1634" s="129">
        <v>46199</v>
      </c>
      <c r="R1634" s="130">
        <f t="shared" si="180"/>
        <v>46212</v>
      </c>
      <c r="S1634" s="131">
        <f t="shared" si="185"/>
        <v>13</v>
      </c>
      <c r="T1634" s="7" t="s">
        <v>173</v>
      </c>
      <c r="U1634" s="7" t="s">
        <v>201</v>
      </c>
      <c r="V1634" s="7"/>
      <c r="W1634" s="7"/>
      <c r="X1634" s="132">
        <f t="shared" si="183"/>
        <v>10</v>
      </c>
      <c r="Y1634" s="133"/>
      <c r="Z1634" s="133"/>
      <c r="AA1634" s="133"/>
    </row>
    <row r="1635" spans="1:27" hidden="1" x14ac:dyDescent="0.25">
      <c r="A1635" s="127">
        <v>1792</v>
      </c>
      <c r="B1635" s="128" t="str">
        <f t="shared" si="184"/>
        <v>TORT</v>
      </c>
      <c r="C1635" s="128" t="str">
        <f>+VLOOKUP(U1635,Ходим!A:B,2,0)</f>
        <v>50908015920034</v>
      </c>
      <c r="D1635" s="128" t="str">
        <f>IFERROR(VLOOKUP($B:$B,[20]свод!$A:$AB,3,0)," ")</f>
        <v>Тўрақўрғон тумани</v>
      </c>
      <c r="E1635" s="7" t="s">
        <v>2771</v>
      </c>
      <c r="F1635" s="7" t="s">
        <v>9158</v>
      </c>
      <c r="G1635" s="134">
        <f t="shared" si="181"/>
        <v>1</v>
      </c>
      <c r="H1635" s="134" t="str">
        <f t="shared" si="182"/>
        <v/>
      </c>
      <c r="I1635" s="7" t="s">
        <v>156</v>
      </c>
      <c r="J1635" s="7" t="s">
        <v>25</v>
      </c>
      <c r="K1635" s="7"/>
      <c r="L1635" s="7"/>
      <c r="M1635" s="7"/>
      <c r="N1635" s="7" t="s">
        <v>170</v>
      </c>
      <c r="O1635" s="7" t="s">
        <v>162</v>
      </c>
      <c r="P1635" s="7" t="s">
        <v>7027</v>
      </c>
      <c r="Q1635" s="129">
        <v>46199</v>
      </c>
      <c r="R1635" s="130">
        <f t="shared" si="180"/>
        <v>46212</v>
      </c>
      <c r="S1635" s="131">
        <f t="shared" si="185"/>
        <v>13</v>
      </c>
      <c r="T1635" s="7" t="s">
        <v>203</v>
      </c>
      <c r="U1635" s="7" t="s">
        <v>205</v>
      </c>
      <c r="V1635" s="7"/>
      <c r="W1635" s="7"/>
      <c r="X1635" s="132">
        <f t="shared" si="183"/>
        <v>10</v>
      </c>
      <c r="Y1635" s="133"/>
      <c r="Z1635" s="133"/>
      <c r="AA1635" s="133"/>
    </row>
    <row r="1636" spans="1:27" hidden="1" x14ac:dyDescent="0.25">
      <c r="A1636" s="127">
        <v>1793</v>
      </c>
      <c r="B1636" s="128" t="str">
        <f t="shared" si="184"/>
        <v>NAMS</v>
      </c>
      <c r="C1636" s="128" t="str">
        <f>+VLOOKUP(U1636,Ходим!A:B,2,0)</f>
        <v>32207925880019</v>
      </c>
      <c r="D1636" s="128" t="str">
        <f>IFERROR(VLOOKUP($B:$B,[20]свод!$A:$AB,3,0)," ")</f>
        <v>Наманган шаҳар</v>
      </c>
      <c r="E1636" s="7" t="s">
        <v>2772</v>
      </c>
      <c r="F1636" s="7" t="s">
        <v>9159</v>
      </c>
      <c r="G1636" s="134">
        <f t="shared" si="181"/>
        <v>1</v>
      </c>
      <c r="H1636" s="134" t="str">
        <f t="shared" si="182"/>
        <v/>
      </c>
      <c r="I1636" s="7" t="s">
        <v>156</v>
      </c>
      <c r="J1636" s="7" t="s">
        <v>25</v>
      </c>
      <c r="K1636" s="7"/>
      <c r="L1636" s="7"/>
      <c r="M1636" s="7"/>
      <c r="N1636" s="7" t="s">
        <v>170</v>
      </c>
      <c r="O1636" s="7" t="s">
        <v>162</v>
      </c>
      <c r="P1636" s="7" t="s">
        <v>7027</v>
      </c>
      <c r="Q1636" s="129">
        <v>46199</v>
      </c>
      <c r="R1636" s="130">
        <f t="shared" ref="R1636:R1694" si="186">WORKDAY(P1636,X1636,$Y$1:$AA$1)</f>
        <v>46212</v>
      </c>
      <c r="S1636" s="131">
        <f t="shared" si="185"/>
        <v>13</v>
      </c>
      <c r="T1636" s="7" t="s">
        <v>173</v>
      </c>
      <c r="U1636" s="7" t="s">
        <v>174</v>
      </c>
      <c r="V1636" s="7"/>
      <c r="W1636" s="7"/>
      <c r="X1636" s="132">
        <f t="shared" si="183"/>
        <v>10</v>
      </c>
      <c r="Y1636" s="133"/>
      <c r="Z1636" s="133"/>
      <c r="AA1636" s="133"/>
    </row>
    <row r="1637" spans="1:27" hidden="1" x14ac:dyDescent="0.25">
      <c r="A1637" s="127">
        <v>1794</v>
      </c>
      <c r="B1637" s="128" t="str">
        <f t="shared" si="184"/>
        <v>UYCT</v>
      </c>
      <c r="C1637" s="128" t="str">
        <f>+VLOOKUP(U1637,Ходим!A:B,2,0)</f>
        <v>31007942140083</v>
      </c>
      <c r="D1637" s="128" t="str">
        <f>IFERROR(VLOOKUP($B:$B,[20]свод!$A:$AB,3,0)," ")</f>
        <v>Уйчи тумани</v>
      </c>
      <c r="E1637" s="7" t="s">
        <v>2773</v>
      </c>
      <c r="F1637" s="7" t="s">
        <v>9160</v>
      </c>
      <c r="G1637" s="134">
        <f t="shared" si="181"/>
        <v>1</v>
      </c>
      <c r="H1637" s="134" t="str">
        <f t="shared" si="182"/>
        <v/>
      </c>
      <c r="I1637" s="7" t="s">
        <v>158</v>
      </c>
      <c r="J1637" s="7" t="s">
        <v>2</v>
      </c>
      <c r="K1637" s="7"/>
      <c r="L1637" s="7"/>
      <c r="M1637" s="7"/>
      <c r="N1637" s="7" t="s">
        <v>410</v>
      </c>
      <c r="O1637" s="7" t="s">
        <v>162</v>
      </c>
      <c r="P1637" s="7" t="s">
        <v>7028</v>
      </c>
      <c r="Q1637" s="129">
        <v>46199</v>
      </c>
      <c r="R1637" s="130">
        <f t="shared" si="186"/>
        <v>46206</v>
      </c>
      <c r="S1637" s="131">
        <f t="shared" si="185"/>
        <v>7</v>
      </c>
      <c r="T1637" s="7" t="s">
        <v>379</v>
      </c>
      <c r="U1637" s="7" t="s">
        <v>263</v>
      </c>
      <c r="V1637" s="7"/>
      <c r="W1637" s="7"/>
      <c r="X1637" s="132">
        <f t="shared" si="183"/>
        <v>10</v>
      </c>
      <c r="Y1637" s="133"/>
      <c r="Z1637" s="133"/>
      <c r="AA1637" s="133"/>
    </row>
    <row r="1638" spans="1:27" hidden="1" x14ac:dyDescent="0.25">
      <c r="A1638" s="127">
        <v>1795</v>
      </c>
      <c r="B1638" s="128" t="str">
        <f t="shared" si="184"/>
        <v>TORT</v>
      </c>
      <c r="C1638" s="128" t="str">
        <f>+VLOOKUP(U1638,Ходим!A:B,2,0)</f>
        <v>50908015920034</v>
      </c>
      <c r="D1638" s="128" t="str">
        <f>IFERROR(VLOOKUP($B:$B,[20]свод!$A:$AB,3,0)," ")</f>
        <v>Тўрақўрғон тумани</v>
      </c>
      <c r="E1638" s="7" t="s">
        <v>2774</v>
      </c>
      <c r="F1638" s="7" t="s">
        <v>9161</v>
      </c>
      <c r="G1638" s="134">
        <f t="shared" si="181"/>
        <v>1</v>
      </c>
      <c r="H1638" s="134" t="str">
        <f t="shared" si="182"/>
        <v/>
      </c>
      <c r="I1638" s="7" t="s">
        <v>158</v>
      </c>
      <c r="J1638" s="7" t="s">
        <v>1</v>
      </c>
      <c r="K1638" s="7"/>
      <c r="L1638" s="7" t="s">
        <v>167</v>
      </c>
      <c r="M1638" s="7" t="s">
        <v>5284</v>
      </c>
      <c r="N1638" s="7" t="s">
        <v>170</v>
      </c>
      <c r="O1638" s="7" t="s">
        <v>162</v>
      </c>
      <c r="P1638" s="7" t="s">
        <v>7029</v>
      </c>
      <c r="Q1638" s="129">
        <v>46199</v>
      </c>
      <c r="R1638" s="130">
        <f t="shared" si="186"/>
        <v>46202</v>
      </c>
      <c r="S1638" s="131">
        <f t="shared" si="185"/>
        <v>3</v>
      </c>
      <c r="T1638" s="7" t="s">
        <v>203</v>
      </c>
      <c r="U1638" s="7" t="s">
        <v>205</v>
      </c>
      <c r="V1638" s="7"/>
      <c r="W1638" s="7">
        <v>405.55</v>
      </c>
      <c r="X1638" s="132">
        <f t="shared" si="183"/>
        <v>10</v>
      </c>
      <c r="Y1638" s="133"/>
      <c r="Z1638" s="133"/>
      <c r="AA1638" s="133"/>
    </row>
    <row r="1639" spans="1:27" hidden="1" x14ac:dyDescent="0.25">
      <c r="A1639" s="127">
        <v>1796</v>
      </c>
      <c r="B1639" s="128" t="str">
        <f t="shared" si="184"/>
        <v>NAMT</v>
      </c>
      <c r="C1639" s="128" t="str">
        <f>+VLOOKUP(U1639,Ходим!A:B,2,0)</f>
        <v>32204892090133</v>
      </c>
      <c r="D1639" s="128" t="str">
        <f>IFERROR(VLOOKUP($B:$B,[20]свод!$A:$AB,3,0)," ")</f>
        <v>Наманган тумани</v>
      </c>
      <c r="E1639" s="7" t="s">
        <v>2775</v>
      </c>
      <c r="F1639" s="7" t="s">
        <v>9162</v>
      </c>
      <c r="G1639" s="134">
        <f t="shared" si="181"/>
        <v>1</v>
      </c>
      <c r="H1639" s="134" t="str">
        <f t="shared" si="182"/>
        <v/>
      </c>
      <c r="I1639" s="7" t="s">
        <v>158</v>
      </c>
      <c r="J1639" s="7" t="s">
        <v>13</v>
      </c>
      <c r="K1639" s="7"/>
      <c r="L1639" s="7" t="s">
        <v>167</v>
      </c>
      <c r="M1639" s="7" t="s">
        <v>5285</v>
      </c>
      <c r="N1639" s="7" t="s">
        <v>170</v>
      </c>
      <c r="O1639" s="7" t="s">
        <v>162</v>
      </c>
      <c r="P1639" s="7" t="s">
        <v>7029</v>
      </c>
      <c r="Q1639" s="129">
        <v>46199</v>
      </c>
      <c r="R1639" s="130">
        <f t="shared" si="186"/>
        <v>46202</v>
      </c>
      <c r="S1639" s="131">
        <f t="shared" si="185"/>
        <v>3</v>
      </c>
      <c r="T1639" s="7" t="s">
        <v>197</v>
      </c>
      <c r="U1639" s="7" t="s">
        <v>198</v>
      </c>
      <c r="V1639" s="7"/>
      <c r="W1639" s="7">
        <v>449.54</v>
      </c>
      <c r="X1639" s="132">
        <f t="shared" si="183"/>
        <v>10</v>
      </c>
      <c r="Y1639" s="133"/>
      <c r="Z1639" s="133"/>
      <c r="AA1639" s="133"/>
    </row>
    <row r="1640" spans="1:27" hidden="1" x14ac:dyDescent="0.25">
      <c r="A1640" s="127">
        <v>1797</v>
      </c>
      <c r="B1640" s="128" t="str">
        <f t="shared" si="184"/>
        <v>TORT</v>
      </c>
      <c r="C1640" s="128" t="str">
        <f>+VLOOKUP(U1640,Ходим!A:B,2,0)</f>
        <v>51305035920029</v>
      </c>
      <c r="D1640" s="128" t="str">
        <f>IFERROR(VLOOKUP($B:$B,[20]свод!$A:$AB,3,0)," ")</f>
        <v>Тўрақўрғон тумани</v>
      </c>
      <c r="E1640" s="7" t="s">
        <v>2776</v>
      </c>
      <c r="F1640" s="7" t="s">
        <v>9163</v>
      </c>
      <c r="G1640" s="134">
        <f t="shared" ref="G1640:G1698" si="187">IF(OR(
I1640="Turar joy obyektning kadastr pasportini shakllantirish va davlat ro'yxatidan o'tkazish",
I1640="Turar kompozit"
),
1,
IF(OR(
I1640="Noturar kompozit",
I1640="Avtoyo'l va suv xo'jaligi obyektining kadastr pasportini shakllantirish va ro'yxatga olish",
I1640="Noturar obyektning kadastr pasportining kadastr pasportini shakllantirish va davlat ro'yxatidan o'tkazish"
),
"",
IF(OR(
I1640="Notarius uchun ma'lumotnoma (uz)",
I1640="Qurilishi tugallangan ko'chmas mulkni foydalanishga qabul qilish",
I1640="Umumiy foydalanishdagi ko'chmas mulk qismini yaratish",
I1640="Registratsiya (tashqi - UZKAD da bor)"
),
IF(OR(L1640="Turar yer maydoni",L1640="Yakka tartibdagi turar joy"),1,
IF(L1640="Noturar bino","",
IF(L1640="Noturar yer maydoni","",
IF(L1640="",IF(OR(O1640="Turar joy xizmati",O1640="Foydalanishga ruxsatnoma berish xizmati"),1,""),"")
))),
"")))</f>
        <v>1</v>
      </c>
      <c r="H1640" s="134" t="str">
        <f t="shared" ref="H1640:H1698" si="188">IF(OR(
I1640="Turar joy obyektning kadastr pasportini shakllantirish va davlat ro'yxatidan o'tkazish",
I1640="Turar kompozit"
),
"",
IF(OR(
I1640="Noturar kompozit",
I1640="Avtoyo'l va suv xo'jaligi obyektining kadastr pasportini shakllantirish va ro'yxatga olish",
I1640="Noturar obyektning kadastr pasportini shakllantirish va davlat ro'yxatidan o'tkazish"
),
1,
IF(OR(
I1640="Notarius uchun ma'lumotnoma (uz)",
I1640="Qurilishi tugallangan ko'chmas mulkni foydalanishga qabul qilish",
I1640="Umumiy foydalanishdagi ko'chmas mulk qismini yaratish",
I1640="Registratsiya (tashqi - UZKAD da bor)"
),
IF(OR(L1640="Turar yer maydoni",L1640="Yakka tartibdagi turar joy"),"",
IF(L1640="Noturar bino",1,
IF(L1640="Noturar yer maydoni",1,
IF(L1640="",IF(OR(O1640="Turar joy xizmati",O1640="Foydalanishga ruxsatnoma berish xizmati"),"",1),"")
))),
"")))</f>
        <v/>
      </c>
      <c r="I1640" s="7" t="s">
        <v>156</v>
      </c>
      <c r="J1640" s="7" t="s">
        <v>25</v>
      </c>
      <c r="K1640" s="7"/>
      <c r="L1640" s="7"/>
      <c r="M1640" s="7"/>
      <c r="N1640" s="7" t="s">
        <v>170</v>
      </c>
      <c r="O1640" s="7" t="s">
        <v>162</v>
      </c>
      <c r="P1640" s="7" t="s">
        <v>7027</v>
      </c>
      <c r="Q1640" s="129">
        <v>46199</v>
      </c>
      <c r="R1640" s="130">
        <f t="shared" si="186"/>
        <v>46212</v>
      </c>
      <c r="S1640" s="131">
        <f t="shared" si="185"/>
        <v>13</v>
      </c>
      <c r="T1640" s="7" t="s">
        <v>203</v>
      </c>
      <c r="U1640" s="7" t="s">
        <v>316</v>
      </c>
      <c r="V1640" s="7"/>
      <c r="W1640" s="7"/>
      <c r="X1640" s="132">
        <f t="shared" si="183"/>
        <v>10</v>
      </c>
      <c r="Y1640" s="133"/>
      <c r="Z1640" s="133"/>
      <c r="AA1640" s="133"/>
    </row>
    <row r="1641" spans="1:27" hidden="1" x14ac:dyDescent="0.25">
      <c r="A1641" s="127">
        <v>1798</v>
      </c>
      <c r="B1641" s="128" t="str">
        <f t="shared" si="184"/>
        <v>UYCT</v>
      </c>
      <c r="C1641" s="128" t="e">
        <f>+VLOOKUP(U1641,Ходим!A:B,2,0)</f>
        <v>#N/A</v>
      </c>
      <c r="D1641" s="128" t="str">
        <f>IFERROR(VLOOKUP($B:$B,[20]свод!$A:$AB,3,0)," ")</f>
        <v>Уйчи тумани</v>
      </c>
      <c r="E1641" s="7" t="s">
        <v>2777</v>
      </c>
      <c r="F1641" s="7" t="s">
        <v>9164</v>
      </c>
      <c r="G1641" s="134">
        <f t="shared" si="187"/>
        <v>1</v>
      </c>
      <c r="H1641" s="134" t="str">
        <f t="shared" si="188"/>
        <v/>
      </c>
      <c r="I1641" s="7" t="s">
        <v>156</v>
      </c>
      <c r="J1641" s="7" t="s">
        <v>11</v>
      </c>
      <c r="K1641" s="7"/>
      <c r="L1641" s="7" t="s">
        <v>167</v>
      </c>
      <c r="M1641" s="7" t="s">
        <v>5286</v>
      </c>
      <c r="N1641" s="7" t="s">
        <v>410</v>
      </c>
      <c r="O1641" s="7" t="s">
        <v>162</v>
      </c>
      <c r="P1641" s="7" t="s">
        <v>7027</v>
      </c>
      <c r="Q1641" s="129">
        <v>46199</v>
      </c>
      <c r="R1641" s="130">
        <f t="shared" si="186"/>
        <v>46212</v>
      </c>
      <c r="S1641" s="131">
        <f t="shared" si="185"/>
        <v>13</v>
      </c>
      <c r="T1641" s="7"/>
      <c r="U1641" s="7"/>
      <c r="V1641" s="7"/>
      <c r="W1641" s="7">
        <v>106.3</v>
      </c>
      <c r="X1641" s="132">
        <f t="shared" si="183"/>
        <v>10</v>
      </c>
      <c r="Y1641" s="133"/>
      <c r="Z1641" s="133"/>
      <c r="AA1641" s="133"/>
    </row>
    <row r="1642" spans="1:27" hidden="1" x14ac:dyDescent="0.25">
      <c r="A1642" s="127">
        <v>1800</v>
      </c>
      <c r="B1642" s="128" t="str">
        <f t="shared" si="184"/>
        <v>NAMS</v>
      </c>
      <c r="C1642" s="128" t="str">
        <f>+VLOOKUP(U1642,Ходим!A:B,2,0)</f>
        <v>52107015960107</v>
      </c>
      <c r="D1642" s="128" t="str">
        <f>IFERROR(VLOOKUP($B:$B,[20]свод!$A:$AB,3,0)," ")</f>
        <v>Наманган шаҳар</v>
      </c>
      <c r="E1642" s="7" t="s">
        <v>2778</v>
      </c>
      <c r="F1642" s="7" t="s">
        <v>9165</v>
      </c>
      <c r="G1642" s="134" t="str">
        <f t="shared" si="187"/>
        <v/>
      </c>
      <c r="H1642" s="134">
        <f t="shared" si="188"/>
        <v>1</v>
      </c>
      <c r="I1642" s="7" t="s">
        <v>157</v>
      </c>
      <c r="J1642" s="7" t="s">
        <v>2</v>
      </c>
      <c r="K1642" s="7"/>
      <c r="L1642" s="7"/>
      <c r="M1642" s="7"/>
      <c r="N1642" s="7" t="s">
        <v>170</v>
      </c>
      <c r="O1642" s="7" t="s">
        <v>161</v>
      </c>
      <c r="P1642" s="7" t="s">
        <v>7030</v>
      </c>
      <c r="Q1642" s="129">
        <v>46199</v>
      </c>
      <c r="R1642" s="130">
        <f t="shared" si="186"/>
        <v>46202</v>
      </c>
      <c r="S1642" s="131">
        <f t="shared" si="185"/>
        <v>3</v>
      </c>
      <c r="T1642" s="7" t="s">
        <v>227</v>
      </c>
      <c r="U1642" s="7" t="s">
        <v>348</v>
      </c>
      <c r="V1642" s="7"/>
      <c r="W1642" s="7"/>
      <c r="X1642" s="132">
        <f t="shared" si="183"/>
        <v>10</v>
      </c>
      <c r="Y1642" s="133"/>
      <c r="Z1642" s="133"/>
      <c r="AA1642" s="133"/>
    </row>
    <row r="1643" spans="1:27" hidden="1" x14ac:dyDescent="0.25">
      <c r="A1643" s="127">
        <v>1801</v>
      </c>
      <c r="B1643" s="128" t="str">
        <f t="shared" si="184"/>
        <v>CHUT</v>
      </c>
      <c r="C1643" s="128" t="str">
        <f>+VLOOKUP(U1643,Ходим!A:B,2,0)</f>
        <v>30901882180031</v>
      </c>
      <c r="D1643" s="128" t="str">
        <f>IFERROR(VLOOKUP($B:$B,[20]свод!$A:$AB,3,0)," ")</f>
        <v>Чуст тумани</v>
      </c>
      <c r="E1643" s="7" t="s">
        <v>2779</v>
      </c>
      <c r="F1643" s="7" t="s">
        <v>9166</v>
      </c>
      <c r="G1643" s="134">
        <f t="shared" si="187"/>
        <v>1</v>
      </c>
      <c r="H1643" s="134" t="str">
        <f t="shared" si="188"/>
        <v/>
      </c>
      <c r="I1643" s="7" t="s">
        <v>158</v>
      </c>
      <c r="J1643" s="7" t="s">
        <v>1</v>
      </c>
      <c r="K1643" s="7"/>
      <c r="L1643" s="7" t="s">
        <v>167</v>
      </c>
      <c r="M1643" s="7" t="s">
        <v>5287</v>
      </c>
      <c r="N1643" s="7" t="s">
        <v>170</v>
      </c>
      <c r="O1643" s="7" t="s">
        <v>162</v>
      </c>
      <c r="P1643" s="7" t="s">
        <v>7030</v>
      </c>
      <c r="Q1643" s="129">
        <v>46199</v>
      </c>
      <c r="R1643" s="130">
        <f t="shared" si="186"/>
        <v>46202</v>
      </c>
      <c r="S1643" s="131">
        <f t="shared" si="185"/>
        <v>3</v>
      </c>
      <c r="T1643" s="7" t="s">
        <v>178</v>
      </c>
      <c r="U1643" s="7" t="s">
        <v>238</v>
      </c>
      <c r="V1643" s="7"/>
      <c r="W1643" s="7">
        <v>357.1</v>
      </c>
      <c r="X1643" s="132">
        <f t="shared" si="183"/>
        <v>10</v>
      </c>
      <c r="Y1643" s="133"/>
      <c r="Z1643" s="133"/>
      <c r="AA1643" s="133"/>
    </row>
    <row r="1644" spans="1:27" hidden="1" x14ac:dyDescent="0.25">
      <c r="A1644" s="127">
        <v>1802</v>
      </c>
      <c r="B1644" s="128" t="str">
        <f t="shared" si="184"/>
        <v>NAMS</v>
      </c>
      <c r="C1644" s="128" t="str">
        <f>+VLOOKUP(U1644,Ходим!A:B,2,0)</f>
        <v>53008015960094</v>
      </c>
      <c r="D1644" s="128" t="str">
        <f>IFERROR(VLOOKUP($B:$B,[20]свод!$A:$AB,3,0)," ")</f>
        <v>Наманган шаҳар</v>
      </c>
      <c r="E1644" s="7" t="s">
        <v>2780</v>
      </c>
      <c r="F1644" s="7" t="s">
        <v>9167</v>
      </c>
      <c r="G1644" s="134">
        <f t="shared" si="187"/>
        <v>1</v>
      </c>
      <c r="H1644" s="134" t="str">
        <f t="shared" si="188"/>
        <v/>
      </c>
      <c r="I1644" s="7" t="s">
        <v>158</v>
      </c>
      <c r="J1644" s="7" t="s">
        <v>2</v>
      </c>
      <c r="K1644" s="7"/>
      <c r="L1644" s="7" t="s">
        <v>167</v>
      </c>
      <c r="M1644" s="7" t="s">
        <v>5288</v>
      </c>
      <c r="N1644" s="7" t="s">
        <v>170</v>
      </c>
      <c r="O1644" s="7" t="s">
        <v>162</v>
      </c>
      <c r="P1644" s="7" t="s">
        <v>6898</v>
      </c>
      <c r="Q1644" s="129">
        <v>46199</v>
      </c>
      <c r="R1644" s="130">
        <f t="shared" si="186"/>
        <v>46202</v>
      </c>
      <c r="S1644" s="131">
        <f t="shared" si="185"/>
        <v>3</v>
      </c>
      <c r="T1644" s="7" t="s">
        <v>173</v>
      </c>
      <c r="U1644" s="7" t="s">
        <v>403</v>
      </c>
      <c r="V1644" s="7"/>
      <c r="W1644" s="7">
        <v>162.33000000000001</v>
      </c>
      <c r="X1644" s="132">
        <f t="shared" si="183"/>
        <v>10</v>
      </c>
      <c r="Y1644" s="133"/>
      <c r="Z1644" s="133"/>
      <c r="AA1644" s="133"/>
    </row>
    <row r="1645" spans="1:27" hidden="1" x14ac:dyDescent="0.25">
      <c r="A1645" s="127">
        <v>1803</v>
      </c>
      <c r="B1645" s="128" t="str">
        <f t="shared" si="184"/>
        <v>MINT</v>
      </c>
      <c r="C1645" s="128" t="str">
        <f>+VLOOKUP(U1645,Ходим!A:B,2,0)</f>
        <v>30906922130016</v>
      </c>
      <c r="D1645" s="128" t="str">
        <f>IFERROR(VLOOKUP($B:$B,[20]свод!$A:$AB,3,0)," ")</f>
        <v>Мингбулоқ тумани</v>
      </c>
      <c r="E1645" s="7" t="s">
        <v>2781</v>
      </c>
      <c r="F1645" s="7" t="s">
        <v>9168</v>
      </c>
      <c r="G1645" s="134">
        <f t="shared" si="187"/>
        <v>1</v>
      </c>
      <c r="H1645" s="134" t="str">
        <f t="shared" si="188"/>
        <v/>
      </c>
      <c r="I1645" s="7" t="s">
        <v>158</v>
      </c>
      <c r="J1645" s="7" t="s">
        <v>1</v>
      </c>
      <c r="K1645" s="7"/>
      <c r="L1645" s="7" t="s">
        <v>167</v>
      </c>
      <c r="M1645" s="7" t="s">
        <v>5289</v>
      </c>
      <c r="N1645" s="7" t="s">
        <v>410</v>
      </c>
      <c r="O1645" s="7" t="s">
        <v>162</v>
      </c>
      <c r="P1645" s="7" t="s">
        <v>6898</v>
      </c>
      <c r="Q1645" s="129">
        <v>46199</v>
      </c>
      <c r="R1645" s="130">
        <f t="shared" si="186"/>
        <v>46202</v>
      </c>
      <c r="S1645" s="131">
        <f t="shared" si="185"/>
        <v>3</v>
      </c>
      <c r="T1645" s="7" t="s">
        <v>220</v>
      </c>
      <c r="U1645" s="7" t="s">
        <v>178</v>
      </c>
      <c r="V1645" s="7"/>
      <c r="W1645" s="7">
        <v>133.91999999999999</v>
      </c>
      <c r="X1645" s="132">
        <f t="shared" si="183"/>
        <v>10</v>
      </c>
      <c r="Y1645" s="133"/>
      <c r="Z1645" s="133"/>
      <c r="AA1645" s="133"/>
    </row>
    <row r="1646" spans="1:27" hidden="1" x14ac:dyDescent="0.25">
      <c r="A1646" s="127">
        <v>1804</v>
      </c>
      <c r="B1646" s="128" t="str">
        <f t="shared" si="184"/>
        <v>CHOT</v>
      </c>
      <c r="C1646" s="128" t="str">
        <f>+VLOOKUP(U1646,Ходим!A:B,2,0)</f>
        <v>31904922100113</v>
      </c>
      <c r="D1646" s="128" t="str">
        <f>IFERROR(VLOOKUP($B:$B,[20]свод!$A:$AB,3,0)," ")</f>
        <v>Чортоқ тумани</v>
      </c>
      <c r="E1646" s="7" t="s">
        <v>2782</v>
      </c>
      <c r="F1646" s="7" t="s">
        <v>9169</v>
      </c>
      <c r="G1646" s="134" t="str">
        <f t="shared" si="187"/>
        <v/>
      </c>
      <c r="H1646" s="134">
        <f t="shared" si="188"/>
        <v>1</v>
      </c>
      <c r="I1646" s="7" t="s">
        <v>157</v>
      </c>
      <c r="J1646" s="7" t="s">
        <v>2</v>
      </c>
      <c r="K1646" s="7"/>
      <c r="L1646" s="7" t="s">
        <v>166</v>
      </c>
      <c r="M1646" s="7" t="s">
        <v>5290</v>
      </c>
      <c r="N1646" s="7" t="s">
        <v>170</v>
      </c>
      <c r="O1646" s="7" t="s">
        <v>161</v>
      </c>
      <c r="P1646" s="7" t="s">
        <v>7031</v>
      </c>
      <c r="Q1646" s="129">
        <v>46199</v>
      </c>
      <c r="R1646" s="130">
        <f t="shared" si="186"/>
        <v>46217</v>
      </c>
      <c r="S1646" s="131">
        <f t="shared" si="185"/>
        <v>18</v>
      </c>
      <c r="T1646" s="7" t="s">
        <v>184</v>
      </c>
      <c r="U1646" s="7" t="s">
        <v>310</v>
      </c>
      <c r="V1646" s="7"/>
      <c r="W1646" s="7">
        <v>3981.05</v>
      </c>
      <c r="X1646" s="132">
        <f t="shared" si="183"/>
        <v>17</v>
      </c>
      <c r="Y1646" s="133"/>
      <c r="Z1646" s="133"/>
      <c r="AA1646" s="133"/>
    </row>
    <row r="1647" spans="1:27" hidden="1" x14ac:dyDescent="0.25">
      <c r="A1647" s="127">
        <v>1805</v>
      </c>
      <c r="B1647" s="128" t="str">
        <f t="shared" si="184"/>
        <v>CHUT</v>
      </c>
      <c r="C1647" s="128" t="str">
        <f>+VLOOKUP(U1647,Ходим!A:B,2,0)</f>
        <v>30901882180031</v>
      </c>
      <c r="D1647" s="128" t="str">
        <f>IFERROR(VLOOKUP($B:$B,[20]свод!$A:$AB,3,0)," ")</f>
        <v>Чуст тумани</v>
      </c>
      <c r="E1647" s="7" t="s">
        <v>2783</v>
      </c>
      <c r="F1647" s="7" t="s">
        <v>9170</v>
      </c>
      <c r="G1647" s="134" t="str">
        <f t="shared" si="187"/>
        <v/>
      </c>
      <c r="H1647" s="134">
        <f t="shared" si="188"/>
        <v>1</v>
      </c>
      <c r="I1647" s="7" t="s">
        <v>155</v>
      </c>
      <c r="J1647" s="7" t="s">
        <v>22</v>
      </c>
      <c r="K1647" s="7"/>
      <c r="L1647" s="7" t="s">
        <v>166</v>
      </c>
      <c r="M1647" s="7" t="s">
        <v>5291</v>
      </c>
      <c r="N1647" s="7" t="s">
        <v>410</v>
      </c>
      <c r="O1647" s="7" t="s">
        <v>161</v>
      </c>
      <c r="P1647" s="7" t="s">
        <v>7021</v>
      </c>
      <c r="Q1647" s="129">
        <v>46199</v>
      </c>
      <c r="R1647" s="130">
        <f t="shared" si="186"/>
        <v>46216</v>
      </c>
      <c r="S1647" s="131">
        <f t="shared" si="185"/>
        <v>17</v>
      </c>
      <c r="T1647" s="7" t="s">
        <v>178</v>
      </c>
      <c r="U1647" s="7" t="s">
        <v>238</v>
      </c>
      <c r="V1647" s="7"/>
      <c r="W1647" s="7">
        <v>816.65</v>
      </c>
      <c r="X1647" s="132">
        <f t="shared" si="183"/>
        <v>12</v>
      </c>
      <c r="Y1647" s="133"/>
      <c r="Z1647" s="133"/>
      <c r="AA1647" s="133"/>
    </row>
    <row r="1648" spans="1:27" hidden="1" x14ac:dyDescent="0.25">
      <c r="A1648" s="127">
        <v>1806</v>
      </c>
      <c r="B1648" s="128" t="str">
        <f t="shared" si="184"/>
        <v>MINT</v>
      </c>
      <c r="C1648" s="128" t="str">
        <f>+VLOOKUP(U1648,Ходим!A:B,2,0)</f>
        <v>51604025990014</v>
      </c>
      <c r="D1648" s="128" t="str">
        <f>IFERROR(VLOOKUP($B:$B,[20]свод!$A:$AB,3,0)," ")</f>
        <v>Мингбулоқ тумани</v>
      </c>
      <c r="E1648" s="7" t="s">
        <v>2784</v>
      </c>
      <c r="F1648" s="7" t="s">
        <v>9171</v>
      </c>
      <c r="G1648" s="134">
        <f t="shared" si="187"/>
        <v>1</v>
      </c>
      <c r="H1648" s="134" t="str">
        <f t="shared" si="188"/>
        <v/>
      </c>
      <c r="I1648" s="7" t="s">
        <v>158</v>
      </c>
      <c r="J1648" s="7" t="s">
        <v>2</v>
      </c>
      <c r="K1648" s="7"/>
      <c r="L1648" s="7" t="s">
        <v>167</v>
      </c>
      <c r="M1648" s="7" t="s">
        <v>1026</v>
      </c>
      <c r="N1648" s="7" t="s">
        <v>170</v>
      </c>
      <c r="O1648" s="7" t="s">
        <v>162</v>
      </c>
      <c r="P1648" s="7" t="s">
        <v>7032</v>
      </c>
      <c r="Q1648" s="129">
        <v>46199</v>
      </c>
      <c r="R1648" s="130">
        <f t="shared" si="186"/>
        <v>46202</v>
      </c>
      <c r="S1648" s="131">
        <f t="shared" si="185"/>
        <v>3</v>
      </c>
      <c r="T1648" s="7" t="s">
        <v>220</v>
      </c>
      <c r="U1648" s="7" t="s">
        <v>252</v>
      </c>
      <c r="V1648" s="7"/>
      <c r="W1648" s="7">
        <v>0</v>
      </c>
      <c r="X1648" s="132">
        <f t="shared" si="183"/>
        <v>10</v>
      </c>
      <c r="Y1648" s="133"/>
      <c r="Z1648" s="133"/>
      <c r="AA1648" s="133"/>
    </row>
    <row r="1649" spans="1:27" hidden="1" x14ac:dyDescent="0.25">
      <c r="A1649" s="127">
        <v>1807</v>
      </c>
      <c r="B1649" s="128" t="str">
        <f t="shared" si="184"/>
        <v>YGQT</v>
      </c>
      <c r="C1649" s="128" t="str">
        <f>+VLOOKUP(U1649,Ходим!A:B,2,0)</f>
        <v>30903902160122</v>
      </c>
      <c r="D1649" s="128" t="str">
        <f>IFERROR(VLOOKUP($B:$B,[20]свод!$A:$AB,3,0)," ")</f>
        <v>Янгиқўрғон тумани</v>
      </c>
      <c r="E1649" s="7" t="s">
        <v>2785</v>
      </c>
      <c r="F1649" s="7" t="s">
        <v>9172</v>
      </c>
      <c r="G1649" s="134">
        <f t="shared" si="187"/>
        <v>1</v>
      </c>
      <c r="H1649" s="134" t="str">
        <f t="shared" si="188"/>
        <v/>
      </c>
      <c r="I1649" s="7" t="s">
        <v>158</v>
      </c>
      <c r="J1649" s="7" t="s">
        <v>36</v>
      </c>
      <c r="K1649" s="7"/>
      <c r="L1649" s="7" t="s">
        <v>167</v>
      </c>
      <c r="M1649" s="7" t="s">
        <v>5292</v>
      </c>
      <c r="N1649" s="7" t="s">
        <v>170</v>
      </c>
      <c r="O1649" s="7" t="s">
        <v>162</v>
      </c>
      <c r="P1649" s="7" t="s">
        <v>7032</v>
      </c>
      <c r="Q1649" s="129">
        <v>46199</v>
      </c>
      <c r="R1649" s="130">
        <f t="shared" si="186"/>
        <v>46202</v>
      </c>
      <c r="S1649" s="131">
        <f t="shared" si="185"/>
        <v>3</v>
      </c>
      <c r="T1649" s="7" t="s">
        <v>255</v>
      </c>
      <c r="U1649" s="7" t="s">
        <v>230</v>
      </c>
      <c r="V1649" s="7"/>
      <c r="W1649" s="7">
        <v>423.48</v>
      </c>
      <c r="X1649" s="132">
        <f t="shared" si="183"/>
        <v>10</v>
      </c>
      <c r="Y1649" s="133"/>
      <c r="Z1649" s="133"/>
      <c r="AA1649" s="133"/>
    </row>
    <row r="1650" spans="1:27" hidden="1" x14ac:dyDescent="0.25">
      <c r="A1650" s="127">
        <v>1808</v>
      </c>
      <c r="B1650" s="128" t="str">
        <f t="shared" si="184"/>
        <v>YGQT</v>
      </c>
      <c r="C1650" s="128" t="str">
        <f>+VLOOKUP(U1650,Ходим!A:B,2,0)</f>
        <v>30502995950058</v>
      </c>
      <c r="D1650" s="128" t="str">
        <f>IFERROR(VLOOKUP($B:$B,[20]свод!$A:$AB,3,0)," ")</f>
        <v>Янгиқўрғон тумани</v>
      </c>
      <c r="E1650" s="7" t="s">
        <v>2786</v>
      </c>
      <c r="F1650" s="7" t="s">
        <v>9173</v>
      </c>
      <c r="G1650" s="134" t="str">
        <f t="shared" si="187"/>
        <v/>
      </c>
      <c r="H1650" s="134">
        <f t="shared" si="188"/>
        <v>1</v>
      </c>
      <c r="I1650" s="7" t="s">
        <v>157</v>
      </c>
      <c r="J1650" s="7" t="s">
        <v>36</v>
      </c>
      <c r="K1650" s="7"/>
      <c r="L1650" s="7" t="s">
        <v>166</v>
      </c>
      <c r="M1650" s="7" t="s">
        <v>1035</v>
      </c>
      <c r="N1650" s="7" t="s">
        <v>170</v>
      </c>
      <c r="O1650" s="7" t="s">
        <v>161</v>
      </c>
      <c r="P1650" s="7" t="s">
        <v>7033</v>
      </c>
      <c r="Q1650" s="129">
        <v>46199</v>
      </c>
      <c r="R1650" s="130">
        <f t="shared" si="186"/>
        <v>46204</v>
      </c>
      <c r="S1650" s="131">
        <f t="shared" si="185"/>
        <v>5</v>
      </c>
      <c r="T1650" s="7" t="s">
        <v>255</v>
      </c>
      <c r="U1650" s="7" t="s">
        <v>340</v>
      </c>
      <c r="V1650" s="7"/>
      <c r="W1650" s="7">
        <v>306</v>
      </c>
      <c r="X1650" s="132">
        <f t="shared" si="183"/>
        <v>12</v>
      </c>
      <c r="Y1650" s="133"/>
      <c r="Z1650" s="133"/>
      <c r="AA1650" s="133"/>
    </row>
    <row r="1651" spans="1:27" hidden="1" x14ac:dyDescent="0.25">
      <c r="A1651" s="127">
        <v>1809</v>
      </c>
      <c r="B1651" s="128" t="str">
        <f t="shared" si="184"/>
        <v>YGQT</v>
      </c>
      <c r="C1651" s="128" t="str">
        <f>+VLOOKUP(U1651,Ходим!A:B,2,0)</f>
        <v>30809995950021</v>
      </c>
      <c r="D1651" s="128" t="str">
        <f>IFERROR(VLOOKUP($B:$B,[20]свод!$A:$AB,3,0)," ")</f>
        <v>Янгиқўрғон тумани</v>
      </c>
      <c r="E1651" s="7" t="s">
        <v>2787</v>
      </c>
      <c r="F1651" s="7" t="s">
        <v>9174</v>
      </c>
      <c r="G1651" s="134">
        <f t="shared" si="187"/>
        <v>1</v>
      </c>
      <c r="H1651" s="134" t="str">
        <f t="shared" si="188"/>
        <v/>
      </c>
      <c r="I1651" s="7" t="s">
        <v>158</v>
      </c>
      <c r="J1651" s="7" t="s">
        <v>172</v>
      </c>
      <c r="K1651" s="7"/>
      <c r="L1651" s="7" t="s">
        <v>167</v>
      </c>
      <c r="M1651" s="7" t="s">
        <v>5293</v>
      </c>
      <c r="N1651" s="7" t="s">
        <v>170</v>
      </c>
      <c r="O1651" s="7" t="s">
        <v>162</v>
      </c>
      <c r="P1651" s="7" t="s">
        <v>6939</v>
      </c>
      <c r="Q1651" s="129">
        <v>46199</v>
      </c>
      <c r="R1651" s="130">
        <f t="shared" si="186"/>
        <v>46206</v>
      </c>
      <c r="S1651" s="131">
        <f t="shared" si="185"/>
        <v>7</v>
      </c>
      <c r="T1651" s="7" t="s">
        <v>255</v>
      </c>
      <c r="U1651" s="7" t="s">
        <v>223</v>
      </c>
      <c r="V1651" s="7"/>
      <c r="W1651" s="7">
        <v>297.32499999999999</v>
      </c>
      <c r="X1651" s="132">
        <f t="shared" si="183"/>
        <v>10</v>
      </c>
      <c r="Y1651" s="133"/>
      <c r="Z1651" s="133"/>
      <c r="AA1651" s="133"/>
    </row>
    <row r="1652" spans="1:27" hidden="1" x14ac:dyDescent="0.25">
      <c r="A1652" s="127">
        <v>1810</v>
      </c>
      <c r="B1652" s="128" t="str">
        <f t="shared" si="184"/>
        <v>YGQT</v>
      </c>
      <c r="C1652" s="128" t="str">
        <f>+VLOOKUP(U1652,Ходим!A:B,2,0)</f>
        <v>50710015950029</v>
      </c>
      <c r="D1652" s="128" t="str">
        <f>IFERROR(VLOOKUP($B:$B,[20]свод!$A:$AB,3,0)," ")</f>
        <v>Янгиқўрғон тумани</v>
      </c>
      <c r="E1652" s="7" t="s">
        <v>2788</v>
      </c>
      <c r="F1652" s="7" t="s">
        <v>9175</v>
      </c>
      <c r="G1652" s="134" t="str">
        <f t="shared" si="187"/>
        <v/>
      </c>
      <c r="H1652" s="134">
        <f t="shared" si="188"/>
        <v>1</v>
      </c>
      <c r="I1652" s="7" t="s">
        <v>157</v>
      </c>
      <c r="J1652" s="7" t="s">
        <v>2</v>
      </c>
      <c r="K1652" s="7"/>
      <c r="L1652" s="7" t="s">
        <v>168</v>
      </c>
      <c r="M1652" s="7" t="s">
        <v>5294</v>
      </c>
      <c r="N1652" s="7" t="s">
        <v>170</v>
      </c>
      <c r="O1652" s="7" t="s">
        <v>161</v>
      </c>
      <c r="P1652" s="7" t="s">
        <v>6939</v>
      </c>
      <c r="Q1652" s="129">
        <v>46199</v>
      </c>
      <c r="R1652" s="130">
        <f t="shared" si="186"/>
        <v>46203</v>
      </c>
      <c r="S1652" s="131">
        <f t="shared" si="185"/>
        <v>4</v>
      </c>
      <c r="T1652" s="7" t="s">
        <v>255</v>
      </c>
      <c r="U1652" s="7" t="s">
        <v>312</v>
      </c>
      <c r="V1652" s="7"/>
      <c r="W1652" s="7">
        <v>0</v>
      </c>
      <c r="X1652" s="132">
        <f t="shared" si="183"/>
        <v>7</v>
      </c>
      <c r="Y1652" s="133"/>
      <c r="Z1652" s="133"/>
      <c r="AA1652" s="133"/>
    </row>
    <row r="1653" spans="1:27" hidden="1" x14ac:dyDescent="0.25">
      <c r="A1653" s="127">
        <v>1811</v>
      </c>
      <c r="B1653" s="128" t="str">
        <f t="shared" si="184"/>
        <v>YGQT</v>
      </c>
      <c r="C1653" s="128" t="str">
        <f>+VLOOKUP(U1653,Ходим!A:B,2,0)</f>
        <v>31005985950058</v>
      </c>
      <c r="D1653" s="128" t="str">
        <f>IFERROR(VLOOKUP($B:$B,[20]свод!$A:$AB,3,0)," ")</f>
        <v>Янгиқўрғон тумани</v>
      </c>
      <c r="E1653" s="7" t="s">
        <v>2789</v>
      </c>
      <c r="F1653" s="7" t="s">
        <v>9176</v>
      </c>
      <c r="G1653" s="134" t="str">
        <f t="shared" si="187"/>
        <v/>
      </c>
      <c r="H1653" s="134">
        <f t="shared" si="188"/>
        <v>1</v>
      </c>
      <c r="I1653" s="7" t="s">
        <v>157</v>
      </c>
      <c r="J1653" s="7" t="s">
        <v>2</v>
      </c>
      <c r="K1653" s="7"/>
      <c r="L1653" s="7" t="s">
        <v>168</v>
      </c>
      <c r="M1653" s="7" t="s">
        <v>382</v>
      </c>
      <c r="N1653" s="7" t="s">
        <v>170</v>
      </c>
      <c r="O1653" s="7" t="s">
        <v>161</v>
      </c>
      <c r="P1653" s="7" t="s">
        <v>6939</v>
      </c>
      <c r="Q1653" s="129">
        <v>46199</v>
      </c>
      <c r="R1653" s="130">
        <f t="shared" si="186"/>
        <v>46203</v>
      </c>
      <c r="S1653" s="131">
        <f t="shared" si="185"/>
        <v>4</v>
      </c>
      <c r="T1653" s="7" t="s">
        <v>255</v>
      </c>
      <c r="U1653" s="7" t="s">
        <v>311</v>
      </c>
      <c r="V1653" s="7"/>
      <c r="W1653" s="7">
        <v>0</v>
      </c>
      <c r="X1653" s="132">
        <f t="shared" si="183"/>
        <v>7</v>
      </c>
      <c r="Y1653" s="133"/>
      <c r="Z1653" s="133"/>
      <c r="AA1653" s="133"/>
    </row>
    <row r="1654" spans="1:27" hidden="1" x14ac:dyDescent="0.25">
      <c r="A1654" s="127">
        <v>1812</v>
      </c>
      <c r="B1654" s="128" t="str">
        <f t="shared" si="184"/>
        <v>KSST</v>
      </c>
      <c r="C1654" s="128" t="str">
        <f>+VLOOKUP(U1654,Ходим!A:B,2,0)</f>
        <v>31611995980026</v>
      </c>
      <c r="D1654" s="128" t="str">
        <f>IFERROR(VLOOKUP($B:$B,[20]свод!$A:$AB,3,0)," ")</f>
        <v>Косонсой тумани</v>
      </c>
      <c r="E1654" s="7" t="s">
        <v>2790</v>
      </c>
      <c r="F1654" s="7" t="s">
        <v>9177</v>
      </c>
      <c r="G1654" s="134">
        <f t="shared" si="187"/>
        <v>1</v>
      </c>
      <c r="H1654" s="134" t="str">
        <f t="shared" si="188"/>
        <v/>
      </c>
      <c r="I1654" s="7" t="s">
        <v>158</v>
      </c>
      <c r="J1654" s="7" t="s">
        <v>134</v>
      </c>
      <c r="K1654" s="7"/>
      <c r="L1654" s="7" t="s">
        <v>167</v>
      </c>
      <c r="M1654" s="7" t="s">
        <v>5295</v>
      </c>
      <c r="N1654" s="7" t="s">
        <v>170</v>
      </c>
      <c r="O1654" s="7" t="s">
        <v>162</v>
      </c>
      <c r="P1654" s="7" t="s">
        <v>7034</v>
      </c>
      <c r="Q1654" s="129">
        <v>46199</v>
      </c>
      <c r="R1654" s="130">
        <f t="shared" si="186"/>
        <v>46202</v>
      </c>
      <c r="S1654" s="131">
        <f t="shared" si="185"/>
        <v>3</v>
      </c>
      <c r="T1654" s="7" t="s">
        <v>180</v>
      </c>
      <c r="U1654" s="7" t="s">
        <v>181</v>
      </c>
      <c r="V1654" s="7"/>
      <c r="W1654" s="7">
        <v>86</v>
      </c>
      <c r="X1654" s="132">
        <f t="shared" si="183"/>
        <v>10</v>
      </c>
      <c r="Y1654" s="133"/>
      <c r="Z1654" s="133"/>
      <c r="AA1654" s="133"/>
    </row>
    <row r="1655" spans="1:27" hidden="1" x14ac:dyDescent="0.25">
      <c r="A1655" s="127">
        <v>1813</v>
      </c>
      <c r="B1655" s="128" t="str">
        <f t="shared" si="184"/>
        <v>YGQT</v>
      </c>
      <c r="C1655" s="128" t="e">
        <f>+VLOOKUP(U1655,Ходим!A:B,2,0)</f>
        <v>#N/A</v>
      </c>
      <c r="D1655" s="128" t="str">
        <f>IFERROR(VLOOKUP($B:$B,[20]свод!$A:$AB,3,0)," ")</f>
        <v>Янгиқўрғон тумани</v>
      </c>
      <c r="E1655" s="7" t="s">
        <v>2791</v>
      </c>
      <c r="F1655" s="7" t="s">
        <v>9178</v>
      </c>
      <c r="G1655" s="134" t="str">
        <f t="shared" si="187"/>
        <v/>
      </c>
      <c r="H1655" s="134">
        <f t="shared" si="188"/>
        <v>1</v>
      </c>
      <c r="I1655" s="7" t="s">
        <v>155</v>
      </c>
      <c r="J1655" s="7" t="s">
        <v>21</v>
      </c>
      <c r="K1655" s="7"/>
      <c r="L1655" s="7"/>
      <c r="M1655" s="7"/>
      <c r="N1655" s="7" t="s">
        <v>170</v>
      </c>
      <c r="O1655" s="7" t="s">
        <v>161</v>
      </c>
      <c r="P1655" s="7" t="s">
        <v>7035</v>
      </c>
      <c r="Q1655" s="129">
        <v>46199</v>
      </c>
      <c r="R1655" s="130">
        <f t="shared" si="186"/>
        <v>46212</v>
      </c>
      <c r="S1655" s="131">
        <f t="shared" si="185"/>
        <v>13</v>
      </c>
      <c r="T1655" s="7" t="s">
        <v>182</v>
      </c>
      <c r="U1655" s="7"/>
      <c r="V1655" s="7"/>
      <c r="W1655" s="7"/>
      <c r="X1655" s="132">
        <f t="shared" si="183"/>
        <v>10</v>
      </c>
      <c r="Y1655" s="133"/>
      <c r="Z1655" s="133"/>
      <c r="AA1655" s="133"/>
    </row>
    <row r="1656" spans="1:27" hidden="1" x14ac:dyDescent="0.25">
      <c r="A1656" s="127">
        <v>1814</v>
      </c>
      <c r="B1656" s="128" t="str">
        <f t="shared" si="184"/>
        <v>NAMS</v>
      </c>
      <c r="C1656" s="128" t="e">
        <f>+VLOOKUP(U1656,Ходим!A:B,2,0)</f>
        <v>#N/A</v>
      </c>
      <c r="D1656" s="128" t="str">
        <f>IFERROR(VLOOKUP($B:$B,[20]свод!$A:$AB,3,0)," ")</f>
        <v>Наманган шаҳар</v>
      </c>
      <c r="E1656" s="7" t="s">
        <v>2792</v>
      </c>
      <c r="F1656" s="7" t="s">
        <v>9179</v>
      </c>
      <c r="G1656" s="134">
        <f t="shared" si="187"/>
        <v>1</v>
      </c>
      <c r="H1656" s="134" t="str">
        <f t="shared" si="188"/>
        <v/>
      </c>
      <c r="I1656" s="7" t="s">
        <v>159</v>
      </c>
      <c r="J1656" s="7" t="s">
        <v>137</v>
      </c>
      <c r="K1656" s="7"/>
      <c r="L1656" s="7"/>
      <c r="M1656" s="7"/>
      <c r="N1656" s="7" t="s">
        <v>410</v>
      </c>
      <c r="O1656" s="7" t="s">
        <v>163</v>
      </c>
      <c r="P1656" s="7" t="s">
        <v>7035</v>
      </c>
      <c r="Q1656" s="129">
        <v>46199</v>
      </c>
      <c r="R1656" s="130">
        <f t="shared" si="186"/>
        <v>46212</v>
      </c>
      <c r="S1656" s="131">
        <f t="shared" si="185"/>
        <v>13</v>
      </c>
      <c r="T1656" s="7"/>
      <c r="U1656" s="7"/>
      <c r="V1656" s="7"/>
      <c r="W1656" s="7"/>
      <c r="X1656" s="132">
        <f t="shared" si="183"/>
        <v>10</v>
      </c>
      <c r="Y1656" s="133"/>
      <c r="Z1656" s="133"/>
      <c r="AA1656" s="133"/>
    </row>
    <row r="1657" spans="1:27" hidden="1" x14ac:dyDescent="0.25">
      <c r="A1657" s="127">
        <v>1815</v>
      </c>
      <c r="B1657" s="128" t="str">
        <f t="shared" si="184"/>
        <v>NAMS</v>
      </c>
      <c r="C1657" s="128" t="str">
        <f>+VLOOKUP(U1657,Ходим!A:B,2,0)</f>
        <v>30304915960053</v>
      </c>
      <c r="D1657" s="128" t="str">
        <f>IFERROR(VLOOKUP($B:$B,[20]свод!$A:$AB,3,0)," ")</f>
        <v>Наманган шаҳар</v>
      </c>
      <c r="E1657" s="7" t="s">
        <v>2793</v>
      </c>
      <c r="F1657" s="7" t="s">
        <v>9180</v>
      </c>
      <c r="G1657" s="134">
        <f t="shared" si="187"/>
        <v>1</v>
      </c>
      <c r="H1657" s="134" t="str">
        <f t="shared" si="188"/>
        <v/>
      </c>
      <c r="I1657" s="7" t="s">
        <v>156</v>
      </c>
      <c r="J1657" s="7" t="s">
        <v>25</v>
      </c>
      <c r="K1657" s="7"/>
      <c r="L1657" s="7" t="s">
        <v>167</v>
      </c>
      <c r="M1657" s="7" t="s">
        <v>5296</v>
      </c>
      <c r="N1657" s="7" t="s">
        <v>170</v>
      </c>
      <c r="O1657" s="7" t="s">
        <v>162</v>
      </c>
      <c r="P1657" s="7" t="s">
        <v>7035</v>
      </c>
      <c r="Q1657" s="129">
        <v>46199</v>
      </c>
      <c r="R1657" s="130">
        <f t="shared" si="186"/>
        <v>46212</v>
      </c>
      <c r="S1657" s="131">
        <f t="shared" si="185"/>
        <v>13</v>
      </c>
      <c r="T1657" s="7" t="s">
        <v>185</v>
      </c>
      <c r="U1657" s="7" t="s">
        <v>314</v>
      </c>
      <c r="V1657" s="7"/>
      <c r="W1657" s="7">
        <v>278.43</v>
      </c>
      <c r="X1657" s="132">
        <f t="shared" si="183"/>
        <v>10</v>
      </c>
      <c r="Y1657" s="133"/>
      <c r="Z1657" s="133"/>
      <c r="AA1657" s="133"/>
    </row>
    <row r="1658" spans="1:27" hidden="1" x14ac:dyDescent="0.25">
      <c r="A1658" s="127">
        <v>1816</v>
      </c>
      <c r="B1658" s="128" t="str">
        <f t="shared" si="184"/>
        <v>YGQT</v>
      </c>
      <c r="C1658" s="128" t="e">
        <f>+VLOOKUP(U1658,Ходим!A:B,2,0)</f>
        <v>#N/A</v>
      </c>
      <c r="D1658" s="128" t="str">
        <f>IFERROR(VLOOKUP($B:$B,[20]свод!$A:$AB,3,0)," ")</f>
        <v>Янгиқўрғон тумани</v>
      </c>
      <c r="E1658" s="7" t="s">
        <v>2794</v>
      </c>
      <c r="F1658" s="7" t="s">
        <v>9181</v>
      </c>
      <c r="G1658" s="134" t="str">
        <f t="shared" si="187"/>
        <v/>
      </c>
      <c r="H1658" s="134">
        <f t="shared" si="188"/>
        <v>1</v>
      </c>
      <c r="I1658" s="7" t="s">
        <v>155</v>
      </c>
      <c r="J1658" s="7" t="s">
        <v>21</v>
      </c>
      <c r="K1658" s="7"/>
      <c r="L1658" s="7" t="s">
        <v>166</v>
      </c>
      <c r="M1658" s="7" t="s">
        <v>5297</v>
      </c>
      <c r="N1658" s="7" t="s">
        <v>170</v>
      </c>
      <c r="O1658" s="7" t="s">
        <v>161</v>
      </c>
      <c r="P1658" s="7" t="s">
        <v>7035</v>
      </c>
      <c r="Q1658" s="129">
        <v>46199</v>
      </c>
      <c r="R1658" s="130">
        <f t="shared" si="186"/>
        <v>46216</v>
      </c>
      <c r="S1658" s="131">
        <f t="shared" si="185"/>
        <v>17</v>
      </c>
      <c r="T1658" s="7" t="s">
        <v>182</v>
      </c>
      <c r="U1658" s="7"/>
      <c r="V1658" s="7"/>
      <c r="W1658" s="7">
        <v>456.6</v>
      </c>
      <c r="X1658" s="132">
        <f t="shared" si="183"/>
        <v>12</v>
      </c>
      <c r="Y1658" s="133"/>
      <c r="Z1658" s="133"/>
      <c r="AA1658" s="133"/>
    </row>
    <row r="1659" spans="1:27" hidden="1" x14ac:dyDescent="0.25">
      <c r="A1659" s="127">
        <v>1818</v>
      </c>
      <c r="B1659" s="128" t="str">
        <f t="shared" si="184"/>
        <v>CHUT</v>
      </c>
      <c r="C1659" s="128" t="e">
        <f>+VLOOKUP(U1659,Ходим!A:B,2,0)</f>
        <v>#N/A</v>
      </c>
      <c r="D1659" s="128" t="str">
        <f>IFERROR(VLOOKUP($B:$B,[20]свод!$A:$AB,3,0)," ")</f>
        <v>Чуст тумани</v>
      </c>
      <c r="E1659" s="7" t="s">
        <v>2795</v>
      </c>
      <c r="F1659" s="7" t="s">
        <v>9182</v>
      </c>
      <c r="G1659" s="134">
        <f t="shared" si="187"/>
        <v>1</v>
      </c>
      <c r="H1659" s="134" t="str">
        <f t="shared" si="188"/>
        <v/>
      </c>
      <c r="I1659" s="7" t="s">
        <v>156</v>
      </c>
      <c r="J1659" s="7" t="s">
        <v>11</v>
      </c>
      <c r="K1659" s="7"/>
      <c r="L1659" s="7"/>
      <c r="M1659" s="7"/>
      <c r="N1659" s="7" t="s">
        <v>170</v>
      </c>
      <c r="O1659" s="7" t="s">
        <v>162</v>
      </c>
      <c r="P1659" s="7" t="s">
        <v>7035</v>
      </c>
      <c r="Q1659" s="129">
        <v>46199</v>
      </c>
      <c r="R1659" s="130">
        <f t="shared" si="186"/>
        <v>46212</v>
      </c>
      <c r="S1659" s="131">
        <f t="shared" si="185"/>
        <v>13</v>
      </c>
      <c r="T1659" s="7"/>
      <c r="U1659" s="7"/>
      <c r="V1659" s="7"/>
      <c r="W1659" s="7"/>
      <c r="X1659" s="132">
        <f t="shared" si="183"/>
        <v>10</v>
      </c>
      <c r="Y1659" s="133"/>
      <c r="Z1659" s="133"/>
      <c r="AA1659" s="133"/>
    </row>
    <row r="1660" spans="1:27" hidden="1" x14ac:dyDescent="0.25">
      <c r="A1660" s="127">
        <v>1819</v>
      </c>
      <c r="B1660" s="128" t="str">
        <f t="shared" si="184"/>
        <v>TORT</v>
      </c>
      <c r="C1660" s="128" t="str">
        <f>+VLOOKUP(U1660,Ходим!A:B,2,0)</f>
        <v>30708792130017</v>
      </c>
      <c r="D1660" s="128" t="str">
        <f>IFERROR(VLOOKUP($B:$B,[20]свод!$A:$AB,3,0)," ")</f>
        <v>Тўрақўрғон тумани</v>
      </c>
      <c r="E1660" s="7" t="s">
        <v>2796</v>
      </c>
      <c r="F1660" s="7" t="s">
        <v>9183</v>
      </c>
      <c r="G1660" s="134">
        <f t="shared" si="187"/>
        <v>1</v>
      </c>
      <c r="H1660" s="134" t="str">
        <f t="shared" si="188"/>
        <v/>
      </c>
      <c r="I1660" s="7" t="s">
        <v>154</v>
      </c>
      <c r="J1660" s="7" t="s">
        <v>2</v>
      </c>
      <c r="K1660" s="7"/>
      <c r="L1660" s="7"/>
      <c r="M1660" s="7"/>
      <c r="N1660" s="7" t="s">
        <v>170</v>
      </c>
      <c r="O1660" s="7" t="s">
        <v>162</v>
      </c>
      <c r="P1660" s="7" t="s">
        <v>7035</v>
      </c>
      <c r="Q1660" s="129">
        <v>46199</v>
      </c>
      <c r="R1660" s="130">
        <f t="shared" si="186"/>
        <v>46212</v>
      </c>
      <c r="S1660" s="131">
        <f t="shared" si="185"/>
        <v>13</v>
      </c>
      <c r="T1660" s="7" t="s">
        <v>203</v>
      </c>
      <c r="U1660" s="7" t="s">
        <v>204</v>
      </c>
      <c r="V1660" s="7"/>
      <c r="W1660" s="7"/>
      <c r="X1660" s="132">
        <f t="shared" si="183"/>
        <v>10</v>
      </c>
      <c r="Y1660" s="133"/>
      <c r="Z1660" s="133"/>
      <c r="AA1660" s="133"/>
    </row>
    <row r="1661" spans="1:27" hidden="1" x14ac:dyDescent="0.25">
      <c r="A1661" s="127">
        <v>1820</v>
      </c>
      <c r="B1661" s="128" t="str">
        <f t="shared" si="184"/>
        <v>YGQT</v>
      </c>
      <c r="C1661" s="128" t="e">
        <f>+VLOOKUP(U1661,Ходим!A:B,2,0)</f>
        <v>#N/A</v>
      </c>
      <c r="D1661" s="128" t="str">
        <f>IFERROR(VLOOKUP($B:$B,[20]свод!$A:$AB,3,0)," ")</f>
        <v>Янгиқўрғон тумани</v>
      </c>
      <c r="E1661" s="7" t="s">
        <v>2797</v>
      </c>
      <c r="F1661" s="7" t="s">
        <v>9184</v>
      </c>
      <c r="G1661" s="134" t="str">
        <f t="shared" si="187"/>
        <v/>
      </c>
      <c r="H1661" s="134">
        <f t="shared" si="188"/>
        <v>1</v>
      </c>
      <c r="I1661" s="7" t="s">
        <v>155</v>
      </c>
      <c r="J1661" s="7" t="s">
        <v>21</v>
      </c>
      <c r="K1661" s="7"/>
      <c r="L1661" s="7"/>
      <c r="M1661" s="7"/>
      <c r="N1661" s="7" t="s">
        <v>170</v>
      </c>
      <c r="O1661" s="7" t="s">
        <v>161</v>
      </c>
      <c r="P1661" s="7" t="s">
        <v>7035</v>
      </c>
      <c r="Q1661" s="129">
        <v>46199</v>
      </c>
      <c r="R1661" s="130">
        <f t="shared" si="186"/>
        <v>46212</v>
      </c>
      <c r="S1661" s="131">
        <f t="shared" si="185"/>
        <v>13</v>
      </c>
      <c r="T1661" s="7" t="s">
        <v>182</v>
      </c>
      <c r="U1661" s="7"/>
      <c r="V1661" s="7"/>
      <c r="W1661" s="7"/>
      <c r="X1661" s="132">
        <f t="shared" si="183"/>
        <v>10</v>
      </c>
      <c r="Y1661" s="133"/>
      <c r="Z1661" s="133"/>
      <c r="AA1661" s="133"/>
    </row>
    <row r="1662" spans="1:27" hidden="1" x14ac:dyDescent="0.25">
      <c r="A1662" s="127">
        <v>1821</v>
      </c>
      <c r="B1662" s="128" t="str">
        <f t="shared" si="184"/>
        <v>TORT</v>
      </c>
      <c r="C1662" s="128" t="str">
        <f>+VLOOKUP(U1662,Ходим!A:B,2,0)</f>
        <v>30612832130021</v>
      </c>
      <c r="D1662" s="128" t="str">
        <f>IFERROR(VLOOKUP($B:$B,[20]свод!$A:$AB,3,0)," ")</f>
        <v>Тўрақўрғон тумани</v>
      </c>
      <c r="E1662" s="7" t="s">
        <v>2798</v>
      </c>
      <c r="F1662" s="7" t="s">
        <v>9185</v>
      </c>
      <c r="G1662" s="134">
        <f t="shared" si="187"/>
        <v>1</v>
      </c>
      <c r="H1662" s="134" t="str">
        <f t="shared" si="188"/>
        <v/>
      </c>
      <c r="I1662" s="7" t="s">
        <v>158</v>
      </c>
      <c r="J1662" s="7" t="s">
        <v>1</v>
      </c>
      <c r="K1662" s="7"/>
      <c r="L1662" s="7" t="s">
        <v>167</v>
      </c>
      <c r="M1662" s="7" t="s">
        <v>5298</v>
      </c>
      <c r="N1662" s="7" t="s">
        <v>170</v>
      </c>
      <c r="O1662" s="7" t="s">
        <v>162</v>
      </c>
      <c r="P1662" s="7" t="s">
        <v>6491</v>
      </c>
      <c r="Q1662" s="129">
        <v>46199</v>
      </c>
      <c r="R1662" s="130">
        <f t="shared" si="186"/>
        <v>46205</v>
      </c>
      <c r="S1662" s="131">
        <f t="shared" si="185"/>
        <v>6</v>
      </c>
      <c r="T1662" s="7" t="s">
        <v>203</v>
      </c>
      <c r="U1662" s="7" t="s">
        <v>342</v>
      </c>
      <c r="V1662" s="7"/>
      <c r="W1662" s="7">
        <v>271.95</v>
      </c>
      <c r="X1662" s="132">
        <f t="shared" si="183"/>
        <v>10</v>
      </c>
      <c r="Y1662" s="133"/>
      <c r="Z1662" s="133"/>
      <c r="AA1662" s="133"/>
    </row>
    <row r="1663" spans="1:27" hidden="1" x14ac:dyDescent="0.25">
      <c r="A1663" s="127">
        <v>1822</v>
      </c>
      <c r="B1663" s="128" t="str">
        <f t="shared" si="184"/>
        <v>UCQT</v>
      </c>
      <c r="C1663" s="128" t="str">
        <f>+VLOOKUP(U1663,Ходим!A:B,2,0)</f>
        <v>42005872150022</v>
      </c>
      <c r="D1663" s="128" t="str">
        <f>IFERROR(VLOOKUP($B:$B,[20]свод!$A:$AB,3,0)," ")</f>
        <v>Учқўрғон тумани</v>
      </c>
      <c r="E1663" s="7" t="s">
        <v>2799</v>
      </c>
      <c r="F1663" s="7" t="s">
        <v>9186</v>
      </c>
      <c r="G1663" s="134">
        <f t="shared" si="187"/>
        <v>1</v>
      </c>
      <c r="H1663" s="134" t="str">
        <f t="shared" si="188"/>
        <v/>
      </c>
      <c r="I1663" s="7" t="s">
        <v>156</v>
      </c>
      <c r="J1663" s="7" t="s">
        <v>22</v>
      </c>
      <c r="K1663" s="7"/>
      <c r="L1663" s="7"/>
      <c r="M1663" s="7"/>
      <c r="N1663" s="7" t="s">
        <v>410</v>
      </c>
      <c r="O1663" s="7" t="s">
        <v>162</v>
      </c>
      <c r="P1663" s="7" t="s">
        <v>7036</v>
      </c>
      <c r="Q1663" s="129">
        <v>46199</v>
      </c>
      <c r="R1663" s="130">
        <f t="shared" si="186"/>
        <v>46202</v>
      </c>
      <c r="S1663" s="131">
        <f t="shared" si="185"/>
        <v>3</v>
      </c>
      <c r="T1663" s="7" t="s">
        <v>175</v>
      </c>
      <c r="U1663" s="7" t="s">
        <v>176</v>
      </c>
      <c r="V1663" s="7"/>
      <c r="W1663" s="7"/>
      <c r="X1663" s="132">
        <f t="shared" si="183"/>
        <v>10</v>
      </c>
      <c r="Y1663" s="133"/>
      <c r="Z1663" s="133"/>
      <c r="AA1663" s="133"/>
    </row>
    <row r="1664" spans="1:27" hidden="1" x14ac:dyDescent="0.25">
      <c r="A1664" s="127">
        <v>1823</v>
      </c>
      <c r="B1664" s="128" t="str">
        <f t="shared" si="184"/>
        <v>YGQT</v>
      </c>
      <c r="C1664" s="128" t="e">
        <f>+VLOOKUP(U1664,Ходим!A:B,2,0)</f>
        <v>#N/A</v>
      </c>
      <c r="D1664" s="128" t="str">
        <f>IFERROR(VLOOKUP($B:$B,[20]свод!$A:$AB,3,0)," ")</f>
        <v>Янгиқўрғон тумани</v>
      </c>
      <c r="E1664" s="7" t="s">
        <v>2800</v>
      </c>
      <c r="F1664" s="7" t="s">
        <v>9187</v>
      </c>
      <c r="G1664" s="134">
        <f t="shared" si="187"/>
        <v>1</v>
      </c>
      <c r="H1664" s="134" t="str">
        <f t="shared" si="188"/>
        <v/>
      </c>
      <c r="I1664" s="7" t="s">
        <v>156</v>
      </c>
      <c r="J1664" s="7" t="s">
        <v>21</v>
      </c>
      <c r="K1664" s="7"/>
      <c r="L1664" s="7"/>
      <c r="M1664" s="7"/>
      <c r="N1664" s="7" t="s">
        <v>170</v>
      </c>
      <c r="O1664" s="7" t="s">
        <v>162</v>
      </c>
      <c r="P1664" s="7" t="s">
        <v>7035</v>
      </c>
      <c r="Q1664" s="129">
        <v>46199</v>
      </c>
      <c r="R1664" s="130">
        <f t="shared" si="186"/>
        <v>46212</v>
      </c>
      <c r="S1664" s="131">
        <f t="shared" si="185"/>
        <v>13</v>
      </c>
      <c r="T1664" s="7" t="s">
        <v>182</v>
      </c>
      <c r="U1664" s="7"/>
      <c r="V1664" s="7"/>
      <c r="W1664" s="7"/>
      <c r="X1664" s="132">
        <f t="shared" si="183"/>
        <v>10</v>
      </c>
      <c r="Y1664" s="133"/>
      <c r="Z1664" s="133"/>
      <c r="AA1664" s="133"/>
    </row>
    <row r="1665" spans="1:27" hidden="1" x14ac:dyDescent="0.25">
      <c r="A1665" s="127">
        <v>1824</v>
      </c>
      <c r="B1665" s="128" t="str">
        <f t="shared" si="184"/>
        <v>KSST</v>
      </c>
      <c r="C1665" s="128" t="str">
        <f>+VLOOKUP(U1665,Ходим!A:B,2,0)</f>
        <v>32910975980025</v>
      </c>
      <c r="D1665" s="128" t="str">
        <f>IFERROR(VLOOKUP($B:$B,[20]свод!$A:$AB,3,0)," ")</f>
        <v>Косонсой тумани</v>
      </c>
      <c r="E1665" s="7" t="s">
        <v>2801</v>
      </c>
      <c r="F1665" s="7" t="s">
        <v>9188</v>
      </c>
      <c r="G1665" s="134">
        <f t="shared" si="187"/>
        <v>1</v>
      </c>
      <c r="H1665" s="134" t="str">
        <f t="shared" si="188"/>
        <v/>
      </c>
      <c r="I1665" s="7" t="s">
        <v>156</v>
      </c>
      <c r="J1665" s="7" t="s">
        <v>25</v>
      </c>
      <c r="K1665" s="7"/>
      <c r="L1665" s="7" t="s">
        <v>167</v>
      </c>
      <c r="M1665" s="7" t="s">
        <v>5299</v>
      </c>
      <c r="N1665" s="7" t="s">
        <v>170</v>
      </c>
      <c r="O1665" s="7" t="s">
        <v>162</v>
      </c>
      <c r="P1665" s="7" t="s">
        <v>7035</v>
      </c>
      <c r="Q1665" s="129">
        <v>46199</v>
      </c>
      <c r="R1665" s="130">
        <f t="shared" si="186"/>
        <v>46212</v>
      </c>
      <c r="S1665" s="131">
        <f t="shared" si="185"/>
        <v>13</v>
      </c>
      <c r="T1665" s="7" t="s">
        <v>180</v>
      </c>
      <c r="U1665" s="7" t="s">
        <v>187</v>
      </c>
      <c r="V1665" s="7"/>
      <c r="W1665" s="7">
        <v>268.88</v>
      </c>
      <c r="X1665" s="132">
        <f t="shared" si="183"/>
        <v>10</v>
      </c>
      <c r="Y1665" s="133"/>
      <c r="Z1665" s="133"/>
      <c r="AA1665" s="133"/>
    </row>
    <row r="1666" spans="1:27" hidden="1" x14ac:dyDescent="0.25">
      <c r="A1666" s="127">
        <v>1825</v>
      </c>
      <c r="B1666" s="128" t="str">
        <f t="shared" si="184"/>
        <v>YGQT</v>
      </c>
      <c r="C1666" s="128" t="e">
        <f>+VLOOKUP(U1666,Ходим!A:B,2,0)</f>
        <v>#N/A</v>
      </c>
      <c r="D1666" s="128" t="str">
        <f>IFERROR(VLOOKUP($B:$B,[20]свод!$A:$AB,3,0)," ")</f>
        <v>Янгиқўрғон тумани</v>
      </c>
      <c r="E1666" s="7" t="s">
        <v>2802</v>
      </c>
      <c r="F1666" s="7" t="s">
        <v>9189</v>
      </c>
      <c r="G1666" s="134">
        <f t="shared" si="187"/>
        <v>1</v>
      </c>
      <c r="H1666" s="134" t="str">
        <f t="shared" si="188"/>
        <v/>
      </c>
      <c r="I1666" s="7" t="s">
        <v>156</v>
      </c>
      <c r="J1666" s="7" t="s">
        <v>21</v>
      </c>
      <c r="K1666" s="7"/>
      <c r="L1666" s="7" t="s">
        <v>167</v>
      </c>
      <c r="M1666" s="7" t="s">
        <v>5300</v>
      </c>
      <c r="N1666" s="7" t="s">
        <v>170</v>
      </c>
      <c r="O1666" s="7" t="s">
        <v>162</v>
      </c>
      <c r="P1666" s="7" t="s">
        <v>7035</v>
      </c>
      <c r="Q1666" s="129">
        <v>46199</v>
      </c>
      <c r="R1666" s="130">
        <f t="shared" si="186"/>
        <v>46212</v>
      </c>
      <c r="S1666" s="131">
        <f t="shared" si="185"/>
        <v>13</v>
      </c>
      <c r="T1666" s="7" t="s">
        <v>182</v>
      </c>
      <c r="U1666" s="7"/>
      <c r="V1666" s="7"/>
      <c r="W1666" s="7">
        <v>154.61000000000001</v>
      </c>
      <c r="X1666" s="132">
        <f t="shared" si="183"/>
        <v>10</v>
      </c>
      <c r="Y1666" s="133"/>
      <c r="Z1666" s="133"/>
      <c r="AA1666" s="133"/>
    </row>
    <row r="1667" spans="1:27" hidden="1" x14ac:dyDescent="0.25">
      <c r="A1667" s="127">
        <v>1826</v>
      </c>
      <c r="B1667" s="128" t="str">
        <f t="shared" si="184"/>
        <v>YGQT</v>
      </c>
      <c r="C1667" s="128" t="e">
        <f>+VLOOKUP(U1667,Ходим!A:B,2,0)</f>
        <v>#N/A</v>
      </c>
      <c r="D1667" s="128" t="str">
        <f>IFERROR(VLOOKUP($B:$B,[20]свод!$A:$AB,3,0)," ")</f>
        <v>Янгиқўрғон тумани</v>
      </c>
      <c r="E1667" s="7" t="s">
        <v>2803</v>
      </c>
      <c r="F1667" s="7" t="s">
        <v>9190</v>
      </c>
      <c r="G1667" s="134">
        <f t="shared" si="187"/>
        <v>1</v>
      </c>
      <c r="H1667" s="134" t="str">
        <f t="shared" si="188"/>
        <v/>
      </c>
      <c r="I1667" s="7" t="s">
        <v>156</v>
      </c>
      <c r="J1667" s="7" t="s">
        <v>21</v>
      </c>
      <c r="K1667" s="7"/>
      <c r="L1667" s="7"/>
      <c r="M1667" s="7"/>
      <c r="N1667" s="7" t="s">
        <v>170</v>
      </c>
      <c r="O1667" s="7" t="s">
        <v>162</v>
      </c>
      <c r="P1667" s="7" t="s">
        <v>7035</v>
      </c>
      <c r="Q1667" s="129">
        <v>46199</v>
      </c>
      <c r="R1667" s="130">
        <f t="shared" si="186"/>
        <v>46212</v>
      </c>
      <c r="S1667" s="131">
        <f t="shared" si="185"/>
        <v>13</v>
      </c>
      <c r="T1667" s="7" t="s">
        <v>182</v>
      </c>
      <c r="U1667" s="7"/>
      <c r="V1667" s="7"/>
      <c r="W1667" s="7"/>
      <c r="X1667" s="132">
        <f t="shared" si="183"/>
        <v>10</v>
      </c>
      <c r="Y1667" s="133"/>
      <c r="Z1667" s="133"/>
      <c r="AA1667" s="133"/>
    </row>
    <row r="1668" spans="1:27" hidden="1" x14ac:dyDescent="0.25">
      <c r="A1668" s="127">
        <v>1828</v>
      </c>
      <c r="B1668" s="128" t="str">
        <f t="shared" si="184"/>
        <v>YGQT</v>
      </c>
      <c r="C1668" s="128" t="e">
        <f>+VLOOKUP(U1668,Ходим!A:B,2,0)</f>
        <v>#N/A</v>
      </c>
      <c r="D1668" s="128" t="str">
        <f>IFERROR(VLOOKUP($B:$B,[20]свод!$A:$AB,3,0)," ")</f>
        <v>Янгиқўрғон тумани</v>
      </c>
      <c r="E1668" s="7" t="s">
        <v>2804</v>
      </c>
      <c r="F1668" s="7" t="s">
        <v>9191</v>
      </c>
      <c r="G1668" s="134">
        <f t="shared" si="187"/>
        <v>1</v>
      </c>
      <c r="H1668" s="134" t="str">
        <f t="shared" si="188"/>
        <v/>
      </c>
      <c r="I1668" s="7" t="s">
        <v>156</v>
      </c>
      <c r="J1668" s="7" t="s">
        <v>21</v>
      </c>
      <c r="K1668" s="7"/>
      <c r="L1668" s="7"/>
      <c r="M1668" s="7"/>
      <c r="N1668" s="7" t="s">
        <v>170</v>
      </c>
      <c r="O1668" s="7" t="s">
        <v>162</v>
      </c>
      <c r="P1668" s="7" t="s">
        <v>7035</v>
      </c>
      <c r="Q1668" s="129">
        <v>46199</v>
      </c>
      <c r="R1668" s="130">
        <f t="shared" si="186"/>
        <v>46212</v>
      </c>
      <c r="S1668" s="131">
        <f t="shared" si="185"/>
        <v>13</v>
      </c>
      <c r="T1668" s="7" t="s">
        <v>182</v>
      </c>
      <c r="U1668" s="7"/>
      <c r="V1668" s="7"/>
      <c r="W1668" s="7"/>
      <c r="X1668" s="132">
        <f t="shared" si="183"/>
        <v>10</v>
      </c>
      <c r="Y1668" s="133"/>
      <c r="Z1668" s="133"/>
      <c r="AA1668" s="133"/>
    </row>
    <row r="1669" spans="1:27" hidden="1" x14ac:dyDescent="0.25">
      <c r="A1669" s="127">
        <v>1830</v>
      </c>
      <c r="B1669" s="128" t="str">
        <f t="shared" si="184"/>
        <v>TORT</v>
      </c>
      <c r="C1669" s="128" t="str">
        <f>+VLOOKUP(U1669,Ходим!A:B,2,0)</f>
        <v>31704782130035</v>
      </c>
      <c r="D1669" s="128" t="str">
        <f>IFERROR(VLOOKUP($B:$B,[20]свод!$A:$AB,3,0)," ")</f>
        <v>Тўрақўрғон тумани</v>
      </c>
      <c r="E1669" s="7" t="s">
        <v>2805</v>
      </c>
      <c r="F1669" s="7" t="s">
        <v>9192</v>
      </c>
      <c r="G1669" s="134">
        <f t="shared" si="187"/>
        <v>1</v>
      </c>
      <c r="H1669" s="134" t="str">
        <f t="shared" si="188"/>
        <v/>
      </c>
      <c r="I1669" s="7" t="s">
        <v>156</v>
      </c>
      <c r="J1669" s="7" t="s">
        <v>25</v>
      </c>
      <c r="K1669" s="7"/>
      <c r="L1669" s="7"/>
      <c r="M1669" s="7"/>
      <c r="N1669" s="7" t="s">
        <v>410</v>
      </c>
      <c r="O1669" s="7" t="s">
        <v>162</v>
      </c>
      <c r="P1669" s="7" t="s">
        <v>7035</v>
      </c>
      <c r="Q1669" s="129">
        <v>46199</v>
      </c>
      <c r="R1669" s="130">
        <f t="shared" si="186"/>
        <v>46212</v>
      </c>
      <c r="S1669" s="131">
        <f t="shared" si="185"/>
        <v>13</v>
      </c>
      <c r="T1669" s="7" t="s">
        <v>203</v>
      </c>
      <c r="U1669" s="7" t="s">
        <v>344</v>
      </c>
      <c r="V1669" s="7"/>
      <c r="W1669" s="7"/>
      <c r="X1669" s="132">
        <f t="shared" si="183"/>
        <v>10</v>
      </c>
      <c r="Y1669" s="133"/>
      <c r="Z1669" s="133"/>
      <c r="AA1669" s="133"/>
    </row>
    <row r="1670" spans="1:27" hidden="1" x14ac:dyDescent="0.25">
      <c r="A1670" s="127">
        <v>1831</v>
      </c>
      <c r="B1670" s="128" t="str">
        <f t="shared" si="184"/>
        <v>POPT</v>
      </c>
      <c r="C1670" s="128" t="str">
        <f>+VLOOKUP(U1670,Ходим!A:B,2,0)</f>
        <v>30608945910016</v>
      </c>
      <c r="D1670" s="128" t="str">
        <f>IFERROR(VLOOKUP($B:$B,[20]свод!$A:$AB,3,0)," ")</f>
        <v>Поп тумани</v>
      </c>
      <c r="E1670" s="7" t="s">
        <v>2806</v>
      </c>
      <c r="F1670" s="7" t="s">
        <v>9193</v>
      </c>
      <c r="G1670" s="134">
        <f t="shared" si="187"/>
        <v>1</v>
      </c>
      <c r="H1670" s="134" t="str">
        <f t="shared" si="188"/>
        <v/>
      </c>
      <c r="I1670" s="7" t="s">
        <v>158</v>
      </c>
      <c r="J1670" s="7" t="s">
        <v>36</v>
      </c>
      <c r="K1670" s="7"/>
      <c r="L1670" s="7" t="s">
        <v>167</v>
      </c>
      <c r="M1670" s="7" t="s">
        <v>5301</v>
      </c>
      <c r="N1670" s="7" t="s">
        <v>170</v>
      </c>
      <c r="O1670" s="7" t="s">
        <v>162</v>
      </c>
      <c r="P1670" s="7" t="s">
        <v>7037</v>
      </c>
      <c r="Q1670" s="129">
        <v>46199</v>
      </c>
      <c r="R1670" s="130">
        <f t="shared" si="186"/>
        <v>46203</v>
      </c>
      <c r="S1670" s="131">
        <f t="shared" si="185"/>
        <v>4</v>
      </c>
      <c r="T1670" s="7" t="s">
        <v>240</v>
      </c>
      <c r="U1670" s="7" t="s">
        <v>295</v>
      </c>
      <c r="V1670" s="7"/>
      <c r="W1670" s="7">
        <v>0</v>
      </c>
      <c r="X1670" s="132">
        <f t="shared" ref="X1670:X1731" si="189">IF(N1670="Kadastr muhandisi",3,
IF(N1670="UZKAD",5,
IF(V1670="FREE",5,
IF(I1670="Registratsiya (tashqi - UZKAD da bor)",1,
IF(I1670="Avtoyo'l va suv xo'jaligi obyektining kadastr pasportini shakllantirish va ro'yxatga olish",7,
IF(I1670="Notarius uchun ma'lumotnoma (uz)",1,
IF(I1670="Qurilishi tugallangan ko'chmas mulkni foydalanishga qabul qilish",10,
IF(OR(I1670="Turar joy obyektning kadastr pasportini shakllantirish va davlat ro'yxatidan o'tkazish",I1670="Turar kompozit"),
IF(L1670="Turar yer maydoni",7,10),
IF(OR(I1670="Noturar obyektning kadastr pasportini shakllantirish va davlat ro'yxatidan o'tkazish",I1670="Noturar kompozit"),
IF(O1670="Ko‘p yillik daraxtlar xizmati",15,
IF(OR(L1670="Noturar yer maydoni",L1670="Davlat tashkilotlaridan ijaraga olingan yer uchastkasi"),7,
IF(W1670&lt;100,10,IF(W1670&lt;=1000,12,IF(W1670&lt;=5000,17,IF(W1670&lt;=15000,22,IF(W1670&lt;=50000,28,37))))))),
IF(I1670="Umumiy foydalanishdagi ko'chmas mulk qismini yaratish",
IF(IF(TRIM(L1670)="",IF(OR(O1670="Turar joy xizmati",O1670="Yakka tartibdagi turar joy"),"Turar","Noturar"),IF(OR(L1670="Yakka tartibdagi turar joy",L1670="Turar joy xizmati"),"Turar","Noturar"))="Turar",
10,IF(W1670&lt;100,10,IF(W1670&lt;=1000,12,IF(W1670&lt;=5000,17,IF(W1670&lt;=15000,22,IF(W1670&lt;=50000,28,37)))))),
0))))))))))</f>
        <v>10</v>
      </c>
      <c r="Y1670" s="133"/>
      <c r="Z1670" s="133"/>
      <c r="AA1670" s="133"/>
    </row>
    <row r="1671" spans="1:27" hidden="1" x14ac:dyDescent="0.25">
      <c r="A1671" s="127">
        <v>1832</v>
      </c>
      <c r="B1671" s="128" t="str">
        <f t="shared" ref="B1671:B1732" si="190">LEFT(E1671,4)</f>
        <v>KSST</v>
      </c>
      <c r="C1671" s="128" t="str">
        <f>+VLOOKUP(U1671,Ходим!A:B,2,0)</f>
        <v>31204985980041</v>
      </c>
      <c r="D1671" s="128" t="str">
        <f>IFERROR(VLOOKUP($B:$B,[20]свод!$A:$AB,3,0)," ")</f>
        <v>Косонсой тумани</v>
      </c>
      <c r="E1671" s="7" t="s">
        <v>2807</v>
      </c>
      <c r="F1671" s="7" t="s">
        <v>9194</v>
      </c>
      <c r="G1671" s="134">
        <f t="shared" si="187"/>
        <v>1</v>
      </c>
      <c r="H1671" s="134" t="str">
        <f t="shared" si="188"/>
        <v/>
      </c>
      <c r="I1671" s="7" t="s">
        <v>154</v>
      </c>
      <c r="J1671" s="7" t="s">
        <v>109</v>
      </c>
      <c r="K1671" s="7"/>
      <c r="L1671" s="7"/>
      <c r="M1671" s="7"/>
      <c r="N1671" s="7" t="s">
        <v>170</v>
      </c>
      <c r="O1671" s="7" t="s">
        <v>162</v>
      </c>
      <c r="P1671" s="7" t="s">
        <v>7020</v>
      </c>
      <c r="Q1671" s="129">
        <v>46199</v>
      </c>
      <c r="R1671" s="130">
        <f t="shared" si="186"/>
        <v>46202</v>
      </c>
      <c r="S1671" s="131">
        <f t="shared" ref="S1671:S1732" si="191">R1671-Q1671</f>
        <v>3</v>
      </c>
      <c r="T1671" s="7" t="s">
        <v>180</v>
      </c>
      <c r="U1671" s="7" t="s">
        <v>236</v>
      </c>
      <c r="V1671" s="7"/>
      <c r="W1671" s="7"/>
      <c r="X1671" s="132">
        <f t="shared" si="189"/>
        <v>10</v>
      </c>
      <c r="Y1671" s="133"/>
      <c r="Z1671" s="133"/>
      <c r="AA1671" s="133"/>
    </row>
    <row r="1672" spans="1:27" hidden="1" x14ac:dyDescent="0.25">
      <c r="A1672" s="127">
        <v>1833</v>
      </c>
      <c r="B1672" s="128" t="str">
        <f t="shared" si="190"/>
        <v>YGQT</v>
      </c>
      <c r="C1672" s="128" t="e">
        <f>+VLOOKUP(U1672,Ходим!A:B,2,0)</f>
        <v>#N/A</v>
      </c>
      <c r="D1672" s="128" t="str">
        <f>IFERROR(VLOOKUP($B:$B,[20]свод!$A:$AB,3,0)," ")</f>
        <v>Янгиқўрғон тумани</v>
      </c>
      <c r="E1672" s="7" t="s">
        <v>2808</v>
      </c>
      <c r="F1672" s="7" t="s">
        <v>9195</v>
      </c>
      <c r="G1672" s="134" t="str">
        <f t="shared" si="187"/>
        <v/>
      </c>
      <c r="H1672" s="134">
        <f t="shared" si="188"/>
        <v>1</v>
      </c>
      <c r="I1672" s="7" t="s">
        <v>155</v>
      </c>
      <c r="J1672" s="7" t="s">
        <v>21</v>
      </c>
      <c r="K1672" s="7"/>
      <c r="L1672" s="7" t="s">
        <v>166</v>
      </c>
      <c r="M1672" s="7" t="s">
        <v>1030</v>
      </c>
      <c r="N1672" s="7" t="s">
        <v>170</v>
      </c>
      <c r="O1672" s="7" t="s">
        <v>161</v>
      </c>
      <c r="P1672" s="7" t="s">
        <v>7035</v>
      </c>
      <c r="Q1672" s="129">
        <v>46199</v>
      </c>
      <c r="R1672" s="130">
        <f t="shared" si="186"/>
        <v>46223</v>
      </c>
      <c r="S1672" s="131">
        <f t="shared" si="191"/>
        <v>24</v>
      </c>
      <c r="T1672" s="7" t="s">
        <v>182</v>
      </c>
      <c r="U1672" s="7"/>
      <c r="V1672" s="7"/>
      <c r="W1672" s="7">
        <v>1451.4</v>
      </c>
      <c r="X1672" s="132">
        <f t="shared" si="189"/>
        <v>17</v>
      </c>
      <c r="Y1672" s="133"/>
      <c r="Z1672" s="133"/>
      <c r="AA1672" s="133"/>
    </row>
    <row r="1673" spans="1:27" hidden="1" x14ac:dyDescent="0.25">
      <c r="A1673" s="127">
        <v>1834</v>
      </c>
      <c r="B1673" s="128" t="str">
        <f t="shared" si="190"/>
        <v>POPT</v>
      </c>
      <c r="C1673" s="128" t="str">
        <f>+VLOOKUP(U1673,Ходим!A:B,2,0)</f>
        <v>30609882120085</v>
      </c>
      <c r="D1673" s="128" t="str">
        <f>IFERROR(VLOOKUP($B:$B,[20]свод!$A:$AB,3,0)," ")</f>
        <v>Поп тумани</v>
      </c>
      <c r="E1673" s="7" t="s">
        <v>2809</v>
      </c>
      <c r="F1673" s="7" t="s">
        <v>9196</v>
      </c>
      <c r="G1673" s="134">
        <f t="shared" si="187"/>
        <v>1</v>
      </c>
      <c r="H1673" s="134" t="str">
        <f t="shared" si="188"/>
        <v/>
      </c>
      <c r="I1673" s="7" t="s">
        <v>158</v>
      </c>
      <c r="J1673" s="7" t="s">
        <v>172</v>
      </c>
      <c r="K1673" s="7"/>
      <c r="L1673" s="7" t="s">
        <v>167</v>
      </c>
      <c r="M1673" s="7" t="s">
        <v>5302</v>
      </c>
      <c r="N1673" s="7" t="s">
        <v>410</v>
      </c>
      <c r="O1673" s="7" t="s">
        <v>162</v>
      </c>
      <c r="P1673" s="7" t="s">
        <v>7035</v>
      </c>
      <c r="Q1673" s="129">
        <v>46199</v>
      </c>
      <c r="R1673" s="130">
        <f t="shared" si="186"/>
        <v>46212</v>
      </c>
      <c r="S1673" s="131">
        <f t="shared" si="191"/>
        <v>13</v>
      </c>
      <c r="T1673" s="7" t="s">
        <v>240</v>
      </c>
      <c r="U1673" s="7" t="s">
        <v>248</v>
      </c>
      <c r="V1673" s="7"/>
      <c r="W1673" s="7">
        <v>268.02</v>
      </c>
      <c r="X1673" s="132">
        <f t="shared" si="189"/>
        <v>10</v>
      </c>
      <c r="Y1673" s="133"/>
      <c r="Z1673" s="133"/>
      <c r="AA1673" s="133"/>
    </row>
    <row r="1674" spans="1:27" hidden="1" x14ac:dyDescent="0.25">
      <c r="A1674" s="127">
        <v>1836</v>
      </c>
      <c r="B1674" s="128" t="str">
        <f t="shared" si="190"/>
        <v>UCQT</v>
      </c>
      <c r="C1674" s="128" t="str">
        <f>+VLOOKUP(U1674,Ходим!A:B,2,0)</f>
        <v>30307955940049</v>
      </c>
      <c r="D1674" s="128" t="str">
        <f>IFERROR(VLOOKUP($B:$B,[20]свод!$A:$AB,3,0)," ")</f>
        <v>Учқўрғон тумани</v>
      </c>
      <c r="E1674" s="7" t="s">
        <v>2810</v>
      </c>
      <c r="F1674" s="7" t="s">
        <v>9197</v>
      </c>
      <c r="G1674" s="134">
        <f t="shared" si="187"/>
        <v>1</v>
      </c>
      <c r="H1674" s="134" t="str">
        <f t="shared" si="188"/>
        <v/>
      </c>
      <c r="I1674" s="7" t="s">
        <v>154</v>
      </c>
      <c r="J1674" s="7" t="s">
        <v>2</v>
      </c>
      <c r="K1674" s="7"/>
      <c r="L1674" s="7"/>
      <c r="M1674" s="7"/>
      <c r="N1674" s="7" t="s">
        <v>170</v>
      </c>
      <c r="O1674" s="7" t="s">
        <v>162</v>
      </c>
      <c r="P1674" s="7" t="s">
        <v>7038</v>
      </c>
      <c r="Q1674" s="129">
        <v>46199</v>
      </c>
      <c r="R1674" s="130">
        <f t="shared" si="186"/>
        <v>46202</v>
      </c>
      <c r="S1674" s="131">
        <f t="shared" si="191"/>
        <v>3</v>
      </c>
      <c r="T1674" s="7" t="s">
        <v>175</v>
      </c>
      <c r="U1674" s="7" t="s">
        <v>306</v>
      </c>
      <c r="V1674" s="7"/>
      <c r="W1674" s="7"/>
      <c r="X1674" s="132">
        <f t="shared" si="189"/>
        <v>10</v>
      </c>
      <c r="Y1674" s="133"/>
      <c r="Z1674" s="133"/>
      <c r="AA1674" s="133"/>
    </row>
    <row r="1675" spans="1:27" hidden="1" x14ac:dyDescent="0.25">
      <c r="A1675" s="127">
        <v>1837</v>
      </c>
      <c r="B1675" s="128" t="str">
        <f t="shared" si="190"/>
        <v>TORT</v>
      </c>
      <c r="C1675" s="128" t="str">
        <f>+VLOOKUP(U1675,Ходим!A:B,2,0)</f>
        <v>31609912130025</v>
      </c>
      <c r="D1675" s="128" t="str">
        <f>IFERROR(VLOOKUP($B:$B,[20]свод!$A:$AB,3,0)," ")</f>
        <v>Тўрақўрғон тумани</v>
      </c>
      <c r="E1675" s="7" t="s">
        <v>2811</v>
      </c>
      <c r="F1675" s="7" t="s">
        <v>9198</v>
      </c>
      <c r="G1675" s="134">
        <f t="shared" si="187"/>
        <v>1</v>
      </c>
      <c r="H1675" s="134" t="str">
        <f t="shared" si="188"/>
        <v/>
      </c>
      <c r="I1675" s="7" t="s">
        <v>158</v>
      </c>
      <c r="J1675" s="7" t="s">
        <v>2</v>
      </c>
      <c r="K1675" s="7"/>
      <c r="L1675" s="7" t="s">
        <v>167</v>
      </c>
      <c r="M1675" s="7" t="s">
        <v>5303</v>
      </c>
      <c r="N1675" s="7" t="s">
        <v>170</v>
      </c>
      <c r="O1675" s="7" t="s">
        <v>162</v>
      </c>
      <c r="P1675" s="7" t="s">
        <v>7038</v>
      </c>
      <c r="Q1675" s="129">
        <v>46199</v>
      </c>
      <c r="R1675" s="130">
        <f t="shared" si="186"/>
        <v>46202</v>
      </c>
      <c r="S1675" s="131">
        <f t="shared" si="191"/>
        <v>3</v>
      </c>
      <c r="T1675" s="7" t="s">
        <v>203</v>
      </c>
      <c r="U1675" s="7" t="s">
        <v>280</v>
      </c>
      <c r="V1675" s="7"/>
      <c r="W1675" s="7">
        <v>374.21</v>
      </c>
      <c r="X1675" s="132">
        <f t="shared" si="189"/>
        <v>10</v>
      </c>
      <c r="Y1675" s="133"/>
      <c r="Z1675" s="133"/>
      <c r="AA1675" s="133"/>
    </row>
    <row r="1676" spans="1:27" hidden="1" x14ac:dyDescent="0.25">
      <c r="A1676" s="127">
        <v>1838</v>
      </c>
      <c r="B1676" s="128" t="str">
        <f t="shared" si="190"/>
        <v>UYCT</v>
      </c>
      <c r="C1676" s="128" t="str">
        <f>+VLOOKUP(U1676,Ходим!A:B,2,0)</f>
        <v>52811025930077</v>
      </c>
      <c r="D1676" s="128" t="str">
        <f>IFERROR(VLOOKUP($B:$B,[20]свод!$A:$AB,3,0)," ")</f>
        <v>Уйчи тумани</v>
      </c>
      <c r="E1676" s="7" t="s">
        <v>2812</v>
      </c>
      <c r="F1676" s="7" t="s">
        <v>9199</v>
      </c>
      <c r="G1676" s="134">
        <f t="shared" si="187"/>
        <v>1</v>
      </c>
      <c r="H1676" s="134" t="str">
        <f t="shared" si="188"/>
        <v/>
      </c>
      <c r="I1676" s="7" t="s">
        <v>158</v>
      </c>
      <c r="J1676" s="7" t="s">
        <v>35</v>
      </c>
      <c r="K1676" s="7"/>
      <c r="L1676" s="7" t="s">
        <v>167</v>
      </c>
      <c r="M1676" s="7" t="s">
        <v>5304</v>
      </c>
      <c r="N1676" s="7" t="s">
        <v>170</v>
      </c>
      <c r="O1676" s="7" t="s">
        <v>162</v>
      </c>
      <c r="P1676" s="7" t="s">
        <v>7039</v>
      </c>
      <c r="Q1676" s="129">
        <v>46199</v>
      </c>
      <c r="R1676" s="130">
        <f t="shared" si="186"/>
        <v>46205</v>
      </c>
      <c r="S1676" s="131">
        <f t="shared" si="191"/>
        <v>6</v>
      </c>
      <c r="T1676" s="7" t="s">
        <v>947</v>
      </c>
      <c r="U1676" s="7" t="s">
        <v>356</v>
      </c>
      <c r="V1676" s="7"/>
      <c r="W1676" s="7">
        <v>208</v>
      </c>
      <c r="X1676" s="132">
        <f t="shared" si="189"/>
        <v>10</v>
      </c>
      <c r="Y1676" s="133"/>
      <c r="Z1676" s="133"/>
      <c r="AA1676" s="133"/>
    </row>
    <row r="1677" spans="1:27" hidden="1" x14ac:dyDescent="0.25">
      <c r="A1677" s="127">
        <v>1839</v>
      </c>
      <c r="B1677" s="128" t="str">
        <f t="shared" si="190"/>
        <v>UCQT</v>
      </c>
      <c r="C1677" s="128" t="str">
        <f>+VLOOKUP(U1677,Ходим!A:B,2,0)</f>
        <v>30307955940049</v>
      </c>
      <c r="D1677" s="128" t="str">
        <f>IFERROR(VLOOKUP($B:$B,[20]свод!$A:$AB,3,0)," ")</f>
        <v>Учқўрғон тумани</v>
      </c>
      <c r="E1677" s="7" t="s">
        <v>2813</v>
      </c>
      <c r="F1677" s="7" t="s">
        <v>9200</v>
      </c>
      <c r="G1677" s="134">
        <f t="shared" si="187"/>
        <v>1</v>
      </c>
      <c r="H1677" s="134" t="str">
        <f t="shared" si="188"/>
        <v/>
      </c>
      <c r="I1677" s="7" t="s">
        <v>158</v>
      </c>
      <c r="J1677" s="7" t="s">
        <v>2</v>
      </c>
      <c r="K1677" s="7"/>
      <c r="L1677" s="7"/>
      <c r="M1677" s="7"/>
      <c r="N1677" s="7" t="s">
        <v>170</v>
      </c>
      <c r="O1677" s="7" t="s">
        <v>162</v>
      </c>
      <c r="P1677" s="7" t="s">
        <v>7038</v>
      </c>
      <c r="Q1677" s="129">
        <v>46199</v>
      </c>
      <c r="R1677" s="130">
        <f t="shared" si="186"/>
        <v>46202</v>
      </c>
      <c r="S1677" s="131">
        <f t="shared" si="191"/>
        <v>3</v>
      </c>
      <c r="T1677" s="7" t="s">
        <v>175</v>
      </c>
      <c r="U1677" s="7" t="s">
        <v>306</v>
      </c>
      <c r="V1677" s="7"/>
      <c r="W1677" s="7"/>
      <c r="X1677" s="132">
        <f t="shared" si="189"/>
        <v>10</v>
      </c>
      <c r="Y1677" s="133"/>
      <c r="Z1677" s="133"/>
      <c r="AA1677" s="133"/>
    </row>
    <row r="1678" spans="1:27" hidden="1" x14ac:dyDescent="0.25">
      <c r="A1678" s="127">
        <v>1840</v>
      </c>
      <c r="B1678" s="128" t="str">
        <f t="shared" si="190"/>
        <v>NAMS</v>
      </c>
      <c r="C1678" s="128" t="str">
        <f>+VLOOKUP(U1678,Ходим!A:B,2,0)</f>
        <v>30910985930021</v>
      </c>
      <c r="D1678" s="128" t="str">
        <f>IFERROR(VLOOKUP($B:$B,[20]свод!$A:$AB,3,0)," ")</f>
        <v>Наманган шаҳар</v>
      </c>
      <c r="E1678" s="7" t="s">
        <v>2814</v>
      </c>
      <c r="F1678" s="7" t="s">
        <v>9201</v>
      </c>
      <c r="G1678" s="134">
        <f t="shared" si="187"/>
        <v>1</v>
      </c>
      <c r="H1678" s="134" t="str">
        <f t="shared" si="188"/>
        <v/>
      </c>
      <c r="I1678" s="7" t="s">
        <v>158</v>
      </c>
      <c r="J1678" s="7" t="s">
        <v>1</v>
      </c>
      <c r="K1678" s="7"/>
      <c r="L1678" s="7" t="s">
        <v>167</v>
      </c>
      <c r="M1678" s="7" t="s">
        <v>5305</v>
      </c>
      <c r="N1678" s="7" t="s">
        <v>170</v>
      </c>
      <c r="O1678" s="7" t="s">
        <v>162</v>
      </c>
      <c r="P1678" s="7" t="s">
        <v>7040</v>
      </c>
      <c r="Q1678" s="129">
        <v>46199</v>
      </c>
      <c r="R1678" s="130">
        <f t="shared" si="186"/>
        <v>46206</v>
      </c>
      <c r="S1678" s="131">
        <f t="shared" si="191"/>
        <v>7</v>
      </c>
      <c r="T1678" s="7" t="s">
        <v>185</v>
      </c>
      <c r="U1678" s="7" t="s">
        <v>963</v>
      </c>
      <c r="V1678" s="7"/>
      <c r="W1678" s="7">
        <v>1030.46</v>
      </c>
      <c r="X1678" s="132">
        <f t="shared" si="189"/>
        <v>10</v>
      </c>
      <c r="Y1678" s="133"/>
      <c r="Z1678" s="133"/>
      <c r="AA1678" s="133"/>
    </row>
    <row r="1679" spans="1:27" hidden="1" x14ac:dyDescent="0.25">
      <c r="A1679" s="127">
        <v>1841</v>
      </c>
      <c r="B1679" s="128" t="str">
        <f t="shared" si="190"/>
        <v>UCQT</v>
      </c>
      <c r="C1679" s="128" t="str">
        <f>+VLOOKUP(U1679,Ходим!A:B,2,0)</f>
        <v>31402915940019</v>
      </c>
      <c r="D1679" s="128" t="str">
        <f>IFERROR(VLOOKUP($B:$B,[20]свод!$A:$AB,3,0)," ")</f>
        <v>Учқўрғон тумани</v>
      </c>
      <c r="E1679" s="7" t="s">
        <v>2815</v>
      </c>
      <c r="F1679" s="7" t="s">
        <v>9202</v>
      </c>
      <c r="G1679" s="134" t="str">
        <f t="shared" si="187"/>
        <v/>
      </c>
      <c r="H1679" s="134">
        <f t="shared" si="188"/>
        <v>1</v>
      </c>
      <c r="I1679" s="7" t="s">
        <v>155</v>
      </c>
      <c r="J1679" s="7" t="s">
        <v>22</v>
      </c>
      <c r="K1679" s="7"/>
      <c r="L1679" s="7" t="s">
        <v>166</v>
      </c>
      <c r="M1679" s="7" t="s">
        <v>5306</v>
      </c>
      <c r="N1679" s="7" t="s">
        <v>170</v>
      </c>
      <c r="O1679" s="7" t="s">
        <v>161</v>
      </c>
      <c r="P1679" s="7" t="s">
        <v>7041</v>
      </c>
      <c r="Q1679" s="129">
        <v>46199</v>
      </c>
      <c r="R1679" s="130">
        <f t="shared" si="186"/>
        <v>46206</v>
      </c>
      <c r="S1679" s="131">
        <f t="shared" si="191"/>
        <v>7</v>
      </c>
      <c r="T1679" s="7" t="s">
        <v>175</v>
      </c>
      <c r="U1679" s="7" t="s">
        <v>292</v>
      </c>
      <c r="V1679" s="7"/>
      <c r="W1679" s="7">
        <v>0</v>
      </c>
      <c r="X1679" s="132">
        <f t="shared" si="189"/>
        <v>10</v>
      </c>
      <c r="Y1679" s="133"/>
      <c r="Z1679" s="133"/>
      <c r="AA1679" s="133"/>
    </row>
    <row r="1680" spans="1:27" hidden="1" x14ac:dyDescent="0.25">
      <c r="A1680" s="127">
        <v>1842</v>
      </c>
      <c r="B1680" s="128" t="str">
        <f t="shared" si="190"/>
        <v>YGQT</v>
      </c>
      <c r="C1680" s="128" t="str">
        <f>+VLOOKUP(U1680,Ходим!A:B,2,0)</f>
        <v>52009035950022</v>
      </c>
      <c r="D1680" s="128" t="str">
        <f>IFERROR(VLOOKUP($B:$B,[20]свод!$A:$AB,3,0)," ")</f>
        <v>Янгиқўрғон тумани</v>
      </c>
      <c r="E1680" s="7" t="s">
        <v>2816</v>
      </c>
      <c r="F1680" s="7" t="s">
        <v>9203</v>
      </c>
      <c r="G1680" s="134">
        <f t="shared" si="187"/>
        <v>1</v>
      </c>
      <c r="H1680" s="134" t="str">
        <f t="shared" si="188"/>
        <v/>
      </c>
      <c r="I1680" s="7" t="s">
        <v>158</v>
      </c>
      <c r="J1680" s="7" t="s">
        <v>2</v>
      </c>
      <c r="K1680" s="7"/>
      <c r="L1680" s="7" t="s">
        <v>167</v>
      </c>
      <c r="M1680" s="7" t="s">
        <v>5307</v>
      </c>
      <c r="N1680" s="7" t="s">
        <v>170</v>
      </c>
      <c r="O1680" s="7" t="s">
        <v>162</v>
      </c>
      <c r="P1680" s="7" t="s">
        <v>7041</v>
      </c>
      <c r="Q1680" s="129">
        <v>46199</v>
      </c>
      <c r="R1680" s="130">
        <f t="shared" si="186"/>
        <v>46206</v>
      </c>
      <c r="S1680" s="131">
        <f t="shared" si="191"/>
        <v>7</v>
      </c>
      <c r="T1680" s="7" t="s">
        <v>255</v>
      </c>
      <c r="U1680" s="7" t="s">
        <v>272</v>
      </c>
      <c r="V1680" s="7"/>
      <c r="W1680" s="7">
        <v>259.5</v>
      </c>
      <c r="X1680" s="132">
        <f t="shared" si="189"/>
        <v>10</v>
      </c>
      <c r="Y1680" s="133"/>
      <c r="Z1680" s="133"/>
      <c r="AA1680" s="133"/>
    </row>
    <row r="1681" spans="1:27" hidden="1" x14ac:dyDescent="0.25">
      <c r="A1681" s="127">
        <v>1843</v>
      </c>
      <c r="B1681" s="128" t="str">
        <f t="shared" si="190"/>
        <v>POPT</v>
      </c>
      <c r="C1681" s="128" t="str">
        <f>+VLOOKUP(U1681,Ходим!A:B,2,0)</f>
        <v>50310025910024</v>
      </c>
      <c r="D1681" s="128" t="str">
        <f>IFERROR(VLOOKUP($B:$B,[20]свод!$A:$AB,3,0)," ")</f>
        <v>Поп тумани</v>
      </c>
      <c r="E1681" s="7" t="s">
        <v>2817</v>
      </c>
      <c r="F1681" s="7"/>
      <c r="G1681" s="134">
        <f t="shared" si="187"/>
        <v>1</v>
      </c>
      <c r="H1681" s="134" t="str">
        <f t="shared" si="188"/>
        <v/>
      </c>
      <c r="I1681" s="7" t="s">
        <v>154</v>
      </c>
      <c r="J1681" s="7" t="s">
        <v>145</v>
      </c>
      <c r="K1681" s="7"/>
      <c r="L1681" s="7" t="s">
        <v>167</v>
      </c>
      <c r="M1681" s="7" t="s">
        <v>5308</v>
      </c>
      <c r="N1681" s="7" t="s">
        <v>368</v>
      </c>
      <c r="O1681" s="7"/>
      <c r="P1681" s="7" t="s">
        <v>7042</v>
      </c>
      <c r="Q1681" s="129">
        <v>46199</v>
      </c>
      <c r="R1681" s="130">
        <f t="shared" si="186"/>
        <v>46202</v>
      </c>
      <c r="S1681" s="131">
        <f t="shared" si="191"/>
        <v>3</v>
      </c>
      <c r="T1681" s="7" t="s">
        <v>214</v>
      </c>
      <c r="U1681" s="7" t="s">
        <v>964</v>
      </c>
      <c r="V1681" s="7" t="s">
        <v>965</v>
      </c>
      <c r="W1681" s="7">
        <v>327.7</v>
      </c>
      <c r="X1681" s="132">
        <f t="shared" si="189"/>
        <v>5</v>
      </c>
      <c r="Y1681" s="133"/>
      <c r="Z1681" s="133"/>
      <c r="AA1681" s="133"/>
    </row>
    <row r="1682" spans="1:27" hidden="1" x14ac:dyDescent="0.25">
      <c r="A1682" s="127">
        <v>1844</v>
      </c>
      <c r="B1682" s="128" t="str">
        <f t="shared" si="190"/>
        <v>CHUT</v>
      </c>
      <c r="C1682" s="128" t="str">
        <f>+VLOOKUP(U1682,Ходим!A:B,2,0)</f>
        <v>52801005970043</v>
      </c>
      <c r="D1682" s="128" t="str">
        <f>IFERROR(VLOOKUP($B:$B,[20]свод!$A:$AB,3,0)," ")</f>
        <v>Чуст тумани</v>
      </c>
      <c r="E1682" s="7" t="s">
        <v>2818</v>
      </c>
      <c r="F1682" s="7" t="s">
        <v>9204</v>
      </c>
      <c r="G1682" s="134">
        <f t="shared" si="187"/>
        <v>1</v>
      </c>
      <c r="H1682" s="134" t="str">
        <f t="shared" si="188"/>
        <v/>
      </c>
      <c r="I1682" s="7" t="s">
        <v>156</v>
      </c>
      <c r="J1682" s="7" t="s">
        <v>25</v>
      </c>
      <c r="K1682" s="7"/>
      <c r="L1682" s="7"/>
      <c r="M1682" s="7"/>
      <c r="N1682" s="7" t="s">
        <v>170</v>
      </c>
      <c r="O1682" s="7" t="s">
        <v>162</v>
      </c>
      <c r="P1682" s="7" t="s">
        <v>6984</v>
      </c>
      <c r="Q1682" s="129">
        <v>46199</v>
      </c>
      <c r="R1682" s="130">
        <f t="shared" si="186"/>
        <v>46202</v>
      </c>
      <c r="S1682" s="131">
        <f t="shared" si="191"/>
        <v>3</v>
      </c>
      <c r="T1682" s="7" t="s">
        <v>178</v>
      </c>
      <c r="U1682" s="7" t="s">
        <v>387</v>
      </c>
      <c r="V1682" s="7"/>
      <c r="W1682" s="7"/>
      <c r="X1682" s="132">
        <f t="shared" si="189"/>
        <v>10</v>
      </c>
      <c r="Y1682" s="133"/>
      <c r="Z1682" s="133"/>
      <c r="AA1682" s="133"/>
    </row>
    <row r="1683" spans="1:27" hidden="1" x14ac:dyDescent="0.25">
      <c r="A1683" s="127">
        <v>1845</v>
      </c>
      <c r="B1683" s="128" t="str">
        <f t="shared" si="190"/>
        <v>CHUT</v>
      </c>
      <c r="C1683" s="128" t="str">
        <f>+VLOOKUP(U1683,Ходим!A:B,2,0)</f>
        <v>31608922180118</v>
      </c>
      <c r="D1683" s="128" t="str">
        <f>IFERROR(VLOOKUP($B:$B,[20]свод!$A:$AB,3,0)," ")</f>
        <v>Чуст тумани</v>
      </c>
      <c r="E1683" s="7" t="s">
        <v>2819</v>
      </c>
      <c r="F1683" s="7" t="s">
        <v>9205</v>
      </c>
      <c r="G1683" s="134">
        <f t="shared" si="187"/>
        <v>1</v>
      </c>
      <c r="H1683" s="134" t="str">
        <f t="shared" si="188"/>
        <v/>
      </c>
      <c r="I1683" s="7" t="s">
        <v>158</v>
      </c>
      <c r="J1683" s="7" t="s">
        <v>12</v>
      </c>
      <c r="K1683" s="7"/>
      <c r="L1683" s="7" t="s">
        <v>167</v>
      </c>
      <c r="M1683" s="7" t="s">
        <v>5309</v>
      </c>
      <c r="N1683" s="7" t="s">
        <v>170</v>
      </c>
      <c r="O1683" s="7" t="s">
        <v>162</v>
      </c>
      <c r="P1683" s="7" t="s">
        <v>7043</v>
      </c>
      <c r="Q1683" s="129">
        <v>46199</v>
      </c>
      <c r="R1683" s="130">
        <f t="shared" si="186"/>
        <v>46202</v>
      </c>
      <c r="S1683" s="131">
        <f t="shared" si="191"/>
        <v>3</v>
      </c>
      <c r="T1683" s="7" t="s">
        <v>178</v>
      </c>
      <c r="U1683" s="7" t="s">
        <v>284</v>
      </c>
      <c r="V1683" s="7"/>
      <c r="W1683" s="7">
        <v>236.86</v>
      </c>
      <c r="X1683" s="132">
        <f t="shared" si="189"/>
        <v>10</v>
      </c>
      <c r="Y1683" s="133"/>
      <c r="Z1683" s="133"/>
      <c r="AA1683" s="133"/>
    </row>
    <row r="1684" spans="1:27" hidden="1" x14ac:dyDescent="0.25">
      <c r="A1684" s="127">
        <v>1846</v>
      </c>
      <c r="B1684" s="128" t="str">
        <f t="shared" si="190"/>
        <v>NAMS</v>
      </c>
      <c r="C1684" s="128" t="str">
        <f>+VLOOKUP(U1684,Ходим!A:B,2,0)</f>
        <v>52107015960107</v>
      </c>
      <c r="D1684" s="128" t="str">
        <f>IFERROR(VLOOKUP($B:$B,[20]свод!$A:$AB,3,0)," ")</f>
        <v>Наманган шаҳар</v>
      </c>
      <c r="E1684" s="7" t="s">
        <v>2820</v>
      </c>
      <c r="F1684" s="7" t="s">
        <v>9206</v>
      </c>
      <c r="G1684" s="134">
        <f t="shared" si="187"/>
        <v>1</v>
      </c>
      <c r="H1684" s="134" t="str">
        <f t="shared" si="188"/>
        <v/>
      </c>
      <c r="I1684" s="7" t="s">
        <v>154</v>
      </c>
      <c r="J1684" s="7" t="s">
        <v>2</v>
      </c>
      <c r="K1684" s="7"/>
      <c r="L1684" s="7"/>
      <c r="M1684" s="7"/>
      <c r="N1684" s="7" t="s">
        <v>170</v>
      </c>
      <c r="O1684" s="7" t="s">
        <v>162</v>
      </c>
      <c r="P1684" s="7" t="s">
        <v>7044</v>
      </c>
      <c r="Q1684" s="129">
        <v>46199</v>
      </c>
      <c r="R1684" s="130">
        <f t="shared" si="186"/>
        <v>46202</v>
      </c>
      <c r="S1684" s="131">
        <f t="shared" si="191"/>
        <v>3</v>
      </c>
      <c r="T1684" s="7" t="s">
        <v>173</v>
      </c>
      <c r="U1684" s="7" t="s">
        <v>348</v>
      </c>
      <c r="V1684" s="7"/>
      <c r="W1684" s="7"/>
      <c r="X1684" s="132">
        <f t="shared" si="189"/>
        <v>10</v>
      </c>
      <c r="Y1684" s="133"/>
      <c r="Z1684" s="133"/>
      <c r="AA1684" s="133"/>
    </row>
    <row r="1685" spans="1:27" hidden="1" x14ac:dyDescent="0.25">
      <c r="A1685" s="127">
        <v>1847</v>
      </c>
      <c r="B1685" s="128" t="str">
        <f t="shared" si="190"/>
        <v>CHOT</v>
      </c>
      <c r="C1685" s="128" t="str">
        <f>+VLOOKUP(U1685,Ходим!A:B,2,0)</f>
        <v>30608892100030</v>
      </c>
      <c r="D1685" s="128" t="str">
        <f>IFERROR(VLOOKUP($B:$B,[20]свод!$A:$AB,3,0)," ")</f>
        <v>Чортоқ тумани</v>
      </c>
      <c r="E1685" s="7" t="s">
        <v>2821</v>
      </c>
      <c r="F1685" s="7" t="s">
        <v>9207</v>
      </c>
      <c r="G1685" s="134">
        <f t="shared" si="187"/>
        <v>1</v>
      </c>
      <c r="H1685" s="134" t="str">
        <f t="shared" si="188"/>
        <v/>
      </c>
      <c r="I1685" s="7" t="s">
        <v>158</v>
      </c>
      <c r="J1685" s="7" t="s">
        <v>130</v>
      </c>
      <c r="K1685" s="7"/>
      <c r="L1685" s="7" t="s">
        <v>167</v>
      </c>
      <c r="M1685" s="7" t="s">
        <v>5310</v>
      </c>
      <c r="N1685" s="7" t="s">
        <v>170</v>
      </c>
      <c r="O1685" s="7" t="s">
        <v>162</v>
      </c>
      <c r="P1685" s="7" t="s">
        <v>7044</v>
      </c>
      <c r="Q1685" s="129">
        <v>46199</v>
      </c>
      <c r="R1685" s="130">
        <f t="shared" si="186"/>
        <v>46202</v>
      </c>
      <c r="S1685" s="131">
        <f t="shared" si="191"/>
        <v>3</v>
      </c>
      <c r="T1685" s="7" t="s">
        <v>10635</v>
      </c>
      <c r="U1685" s="7" t="s">
        <v>266</v>
      </c>
      <c r="V1685" s="7"/>
      <c r="W1685" s="7">
        <v>55.26</v>
      </c>
      <c r="X1685" s="132">
        <f t="shared" si="189"/>
        <v>10</v>
      </c>
      <c r="Y1685" s="133"/>
      <c r="Z1685" s="133"/>
      <c r="AA1685" s="133"/>
    </row>
    <row r="1686" spans="1:27" hidden="1" x14ac:dyDescent="0.25">
      <c r="A1686" s="127">
        <v>1848</v>
      </c>
      <c r="B1686" s="128" t="str">
        <f t="shared" si="190"/>
        <v>TORT</v>
      </c>
      <c r="C1686" s="128" t="str">
        <f>+VLOOKUP(U1686,Ходим!A:B,2,0)</f>
        <v>50908015920034</v>
      </c>
      <c r="D1686" s="128" t="str">
        <f>IFERROR(VLOOKUP($B:$B,[20]свод!$A:$AB,3,0)," ")</f>
        <v>Тўрақўрғон тумани</v>
      </c>
      <c r="E1686" s="7" t="s">
        <v>2822</v>
      </c>
      <c r="F1686" s="7" t="s">
        <v>9208</v>
      </c>
      <c r="G1686" s="134">
        <f t="shared" si="187"/>
        <v>1</v>
      </c>
      <c r="H1686" s="134" t="str">
        <f t="shared" si="188"/>
        <v/>
      </c>
      <c r="I1686" s="7" t="s">
        <v>158</v>
      </c>
      <c r="J1686" s="7" t="s">
        <v>172</v>
      </c>
      <c r="K1686" s="7"/>
      <c r="L1686" s="7" t="s">
        <v>167</v>
      </c>
      <c r="M1686" s="7" t="s">
        <v>5311</v>
      </c>
      <c r="N1686" s="7" t="s">
        <v>170</v>
      </c>
      <c r="O1686" s="7" t="s">
        <v>162</v>
      </c>
      <c r="P1686" s="7" t="s">
        <v>7045</v>
      </c>
      <c r="Q1686" s="129">
        <v>46199</v>
      </c>
      <c r="R1686" s="130">
        <f t="shared" si="186"/>
        <v>46205</v>
      </c>
      <c r="S1686" s="131">
        <f t="shared" si="191"/>
        <v>6</v>
      </c>
      <c r="T1686" s="7" t="s">
        <v>203</v>
      </c>
      <c r="U1686" s="7" t="s">
        <v>205</v>
      </c>
      <c r="V1686" s="7"/>
      <c r="W1686" s="7">
        <v>0</v>
      </c>
      <c r="X1686" s="132">
        <f t="shared" si="189"/>
        <v>10</v>
      </c>
      <c r="Y1686" s="133"/>
      <c r="Z1686" s="133"/>
      <c r="AA1686" s="133"/>
    </row>
    <row r="1687" spans="1:27" hidden="1" x14ac:dyDescent="0.25">
      <c r="A1687" s="127">
        <v>1849</v>
      </c>
      <c r="B1687" s="128" t="str">
        <f t="shared" si="190"/>
        <v>NAMT</v>
      </c>
      <c r="C1687" s="128" t="str">
        <f>+VLOOKUP(U1687,Ходим!A:B,2,0)</f>
        <v>40306812090034</v>
      </c>
      <c r="D1687" s="128" t="str">
        <f>IFERROR(VLOOKUP($B:$B,[20]свод!$A:$AB,3,0)," ")</f>
        <v>Наманган тумани</v>
      </c>
      <c r="E1687" s="7" t="s">
        <v>2823</v>
      </c>
      <c r="F1687" s="7" t="s">
        <v>9209</v>
      </c>
      <c r="G1687" s="134">
        <f t="shared" si="187"/>
        <v>1</v>
      </c>
      <c r="H1687" s="134" t="str">
        <f t="shared" si="188"/>
        <v/>
      </c>
      <c r="I1687" s="7" t="s">
        <v>158</v>
      </c>
      <c r="J1687" s="7" t="s">
        <v>2</v>
      </c>
      <c r="K1687" s="7"/>
      <c r="L1687" s="7" t="s">
        <v>167</v>
      </c>
      <c r="M1687" s="7" t="s">
        <v>5312</v>
      </c>
      <c r="N1687" s="7" t="s">
        <v>170</v>
      </c>
      <c r="O1687" s="7" t="s">
        <v>162</v>
      </c>
      <c r="P1687" s="7" t="s">
        <v>7046</v>
      </c>
      <c r="Q1687" s="129">
        <v>46199</v>
      </c>
      <c r="R1687" s="130">
        <f t="shared" si="186"/>
        <v>46212</v>
      </c>
      <c r="S1687" s="131">
        <f t="shared" si="191"/>
        <v>13</v>
      </c>
      <c r="T1687" s="7" t="s">
        <v>193</v>
      </c>
      <c r="U1687" s="7" t="s">
        <v>273</v>
      </c>
      <c r="V1687" s="7"/>
      <c r="W1687" s="7">
        <v>258.58999999999997</v>
      </c>
      <c r="X1687" s="132">
        <f t="shared" si="189"/>
        <v>10</v>
      </c>
      <c r="Y1687" s="133"/>
      <c r="Z1687" s="133"/>
      <c r="AA1687" s="133"/>
    </row>
    <row r="1688" spans="1:27" hidden="1" x14ac:dyDescent="0.25">
      <c r="A1688" s="127">
        <v>1850</v>
      </c>
      <c r="B1688" s="128" t="str">
        <f t="shared" si="190"/>
        <v>YGQT</v>
      </c>
      <c r="C1688" s="128" t="e">
        <f>+VLOOKUP(U1688,Ходим!A:B,2,0)</f>
        <v>#N/A</v>
      </c>
      <c r="D1688" s="128" t="str">
        <f>IFERROR(VLOOKUP($B:$B,[20]свод!$A:$AB,3,0)," ")</f>
        <v>Янгиқўрғон тумани</v>
      </c>
      <c r="E1688" s="7" t="s">
        <v>2824</v>
      </c>
      <c r="F1688" s="7" t="s">
        <v>9210</v>
      </c>
      <c r="G1688" s="134">
        <f t="shared" si="187"/>
        <v>1</v>
      </c>
      <c r="H1688" s="134" t="str">
        <f t="shared" si="188"/>
        <v/>
      </c>
      <c r="I1688" s="7" t="s">
        <v>156</v>
      </c>
      <c r="J1688" s="7" t="s">
        <v>21</v>
      </c>
      <c r="K1688" s="7"/>
      <c r="L1688" s="7"/>
      <c r="M1688" s="7"/>
      <c r="N1688" s="7" t="s">
        <v>170</v>
      </c>
      <c r="O1688" s="7" t="s">
        <v>162</v>
      </c>
      <c r="P1688" s="7" t="s">
        <v>7046</v>
      </c>
      <c r="Q1688" s="129">
        <v>46199</v>
      </c>
      <c r="R1688" s="130">
        <f t="shared" si="186"/>
        <v>46212</v>
      </c>
      <c r="S1688" s="131">
        <f t="shared" si="191"/>
        <v>13</v>
      </c>
      <c r="T1688" s="7" t="s">
        <v>182</v>
      </c>
      <c r="U1688" s="7"/>
      <c r="V1688" s="7"/>
      <c r="W1688" s="7"/>
      <c r="X1688" s="132">
        <f t="shared" si="189"/>
        <v>10</v>
      </c>
      <c r="Y1688" s="133"/>
      <c r="Z1688" s="133"/>
      <c r="AA1688" s="133"/>
    </row>
    <row r="1689" spans="1:27" hidden="1" x14ac:dyDescent="0.25">
      <c r="A1689" s="127">
        <v>1851</v>
      </c>
      <c r="B1689" s="128" t="str">
        <f t="shared" si="190"/>
        <v>NAMS</v>
      </c>
      <c r="C1689" s="128" t="e">
        <f>+VLOOKUP(U1689,Ходим!A:B,2,0)</f>
        <v>#N/A</v>
      </c>
      <c r="D1689" s="128" t="str">
        <f>IFERROR(VLOOKUP($B:$B,[20]свод!$A:$AB,3,0)," ")</f>
        <v>Наманган шаҳар</v>
      </c>
      <c r="E1689" s="7" t="s">
        <v>2825</v>
      </c>
      <c r="F1689" s="7" t="s">
        <v>9211</v>
      </c>
      <c r="G1689" s="134">
        <f t="shared" si="187"/>
        <v>1</v>
      </c>
      <c r="H1689" s="134" t="str">
        <f t="shared" si="188"/>
        <v/>
      </c>
      <c r="I1689" s="7" t="s">
        <v>159</v>
      </c>
      <c r="J1689" s="7" t="s">
        <v>137</v>
      </c>
      <c r="K1689" s="7"/>
      <c r="L1689" s="7"/>
      <c r="M1689" s="7"/>
      <c r="N1689" s="7" t="s">
        <v>410</v>
      </c>
      <c r="O1689" s="7" t="s">
        <v>163</v>
      </c>
      <c r="P1689" s="7" t="s">
        <v>7046</v>
      </c>
      <c r="Q1689" s="129">
        <v>46199</v>
      </c>
      <c r="R1689" s="130">
        <f t="shared" si="186"/>
        <v>46212</v>
      </c>
      <c r="S1689" s="131">
        <f t="shared" si="191"/>
        <v>13</v>
      </c>
      <c r="T1689" s="7"/>
      <c r="U1689" s="7"/>
      <c r="V1689" s="7"/>
      <c r="W1689" s="7"/>
      <c r="X1689" s="132">
        <f t="shared" si="189"/>
        <v>10</v>
      </c>
      <c r="Y1689" s="133"/>
      <c r="Z1689" s="133"/>
      <c r="AA1689" s="133"/>
    </row>
    <row r="1690" spans="1:27" hidden="1" x14ac:dyDescent="0.25">
      <c r="A1690" s="127">
        <v>1852</v>
      </c>
      <c r="B1690" s="128" t="str">
        <f t="shared" si="190"/>
        <v>NAMS</v>
      </c>
      <c r="C1690" s="128" t="e">
        <f>+VLOOKUP(U1690,Ходим!A:B,2,0)</f>
        <v>#N/A</v>
      </c>
      <c r="D1690" s="128" t="str">
        <f>IFERROR(VLOOKUP($B:$B,[20]свод!$A:$AB,3,0)," ")</f>
        <v>Наманган шаҳар</v>
      </c>
      <c r="E1690" s="7" t="s">
        <v>2826</v>
      </c>
      <c r="F1690" s="7" t="s">
        <v>9212</v>
      </c>
      <c r="G1690" s="134" t="str">
        <f t="shared" si="187"/>
        <v/>
      </c>
      <c r="H1690" s="134">
        <f t="shared" si="188"/>
        <v>1</v>
      </c>
      <c r="I1690" s="7" t="s">
        <v>155</v>
      </c>
      <c r="J1690" s="7" t="s">
        <v>11</v>
      </c>
      <c r="K1690" s="7"/>
      <c r="L1690" s="7" t="s">
        <v>166</v>
      </c>
      <c r="M1690" s="7" t="s">
        <v>5313</v>
      </c>
      <c r="N1690" s="7" t="s">
        <v>410</v>
      </c>
      <c r="O1690" s="7" t="s">
        <v>161</v>
      </c>
      <c r="P1690" s="7" t="s">
        <v>7046</v>
      </c>
      <c r="Q1690" s="129">
        <v>46199</v>
      </c>
      <c r="R1690" s="130">
        <f t="shared" si="186"/>
        <v>46216</v>
      </c>
      <c r="S1690" s="131">
        <f t="shared" si="191"/>
        <v>17</v>
      </c>
      <c r="T1690" s="7"/>
      <c r="U1690" s="7"/>
      <c r="V1690" s="7"/>
      <c r="W1690" s="7">
        <v>384.42</v>
      </c>
      <c r="X1690" s="132">
        <f t="shared" si="189"/>
        <v>12</v>
      </c>
      <c r="Y1690" s="133"/>
      <c r="Z1690" s="133"/>
      <c r="AA1690" s="133"/>
    </row>
    <row r="1691" spans="1:27" hidden="1" x14ac:dyDescent="0.25">
      <c r="A1691" s="127">
        <v>1853</v>
      </c>
      <c r="B1691" s="128" t="str">
        <f t="shared" si="190"/>
        <v>YGQT</v>
      </c>
      <c r="C1691" s="128" t="e">
        <f>+VLOOKUP(U1691,Ходим!A:B,2,0)</f>
        <v>#N/A</v>
      </c>
      <c r="D1691" s="128" t="str">
        <f>IFERROR(VLOOKUP($B:$B,[20]свод!$A:$AB,3,0)," ")</f>
        <v>Янгиқўрғон тумани</v>
      </c>
      <c r="E1691" s="7" t="s">
        <v>2827</v>
      </c>
      <c r="F1691" s="7" t="s">
        <v>9213</v>
      </c>
      <c r="G1691" s="134">
        <f t="shared" si="187"/>
        <v>1</v>
      </c>
      <c r="H1691" s="134" t="str">
        <f t="shared" si="188"/>
        <v/>
      </c>
      <c r="I1691" s="7" t="s">
        <v>156</v>
      </c>
      <c r="J1691" s="7" t="s">
        <v>21</v>
      </c>
      <c r="K1691" s="7"/>
      <c r="L1691" s="7" t="s">
        <v>167</v>
      </c>
      <c r="M1691" s="7" t="s">
        <v>5314</v>
      </c>
      <c r="N1691" s="7" t="s">
        <v>170</v>
      </c>
      <c r="O1691" s="7" t="s">
        <v>162</v>
      </c>
      <c r="P1691" s="7" t="s">
        <v>7046</v>
      </c>
      <c r="Q1691" s="129">
        <v>46199</v>
      </c>
      <c r="R1691" s="130">
        <f t="shared" si="186"/>
        <v>46212</v>
      </c>
      <c r="S1691" s="131">
        <f t="shared" si="191"/>
        <v>13</v>
      </c>
      <c r="T1691" s="7" t="s">
        <v>182</v>
      </c>
      <c r="U1691" s="7"/>
      <c r="V1691" s="7"/>
      <c r="W1691" s="7">
        <v>567.95000000000005</v>
      </c>
      <c r="X1691" s="132">
        <f t="shared" si="189"/>
        <v>10</v>
      </c>
      <c r="Y1691" s="133"/>
      <c r="Z1691" s="133"/>
      <c r="AA1691" s="133"/>
    </row>
    <row r="1692" spans="1:27" x14ac:dyDescent="0.25">
      <c r="A1692" s="127">
        <v>1854</v>
      </c>
      <c r="B1692" s="128" t="str">
        <f t="shared" si="190"/>
        <v>POPT</v>
      </c>
      <c r="C1692" s="128" t="str">
        <f>+VLOOKUP(U1692,Ходим!A:B,2,0)</f>
        <v>30609882120085</v>
      </c>
      <c r="D1692" s="128" t="str">
        <f>IFERROR(VLOOKUP($B:$B,[20]свод!$A:$AB,3,0)," ")</f>
        <v>Поп тумани</v>
      </c>
      <c r="E1692" s="7" t="s">
        <v>2828</v>
      </c>
      <c r="F1692" s="7" t="s">
        <v>9214</v>
      </c>
      <c r="G1692" s="134" t="str">
        <f t="shared" si="187"/>
        <v/>
      </c>
      <c r="H1692" s="134">
        <f t="shared" si="188"/>
        <v>1</v>
      </c>
      <c r="I1692" s="7" t="s">
        <v>157</v>
      </c>
      <c r="J1692" s="7" t="s">
        <v>1</v>
      </c>
      <c r="K1692" s="7"/>
      <c r="L1692" s="7" t="s">
        <v>166</v>
      </c>
      <c r="M1692" s="7" t="s">
        <v>5315</v>
      </c>
      <c r="N1692" s="7" t="s">
        <v>410</v>
      </c>
      <c r="O1692" s="7" t="s">
        <v>161</v>
      </c>
      <c r="P1692" s="7" t="s">
        <v>6854</v>
      </c>
      <c r="Q1692" s="129">
        <v>46199</v>
      </c>
      <c r="R1692" s="130">
        <f t="shared" si="186"/>
        <v>46197</v>
      </c>
      <c r="S1692" s="131">
        <f t="shared" si="191"/>
        <v>-2</v>
      </c>
      <c r="T1692" s="7" t="s">
        <v>240</v>
      </c>
      <c r="U1692" s="7" t="s">
        <v>248</v>
      </c>
      <c r="V1692" s="7"/>
      <c r="W1692" s="7">
        <v>45.42</v>
      </c>
      <c r="X1692" s="132">
        <f t="shared" si="189"/>
        <v>10</v>
      </c>
      <c r="Y1692" s="133"/>
      <c r="Z1692" s="133"/>
      <c r="AA1692" s="133"/>
    </row>
    <row r="1693" spans="1:27" hidden="1" x14ac:dyDescent="0.25">
      <c r="A1693" s="127">
        <v>1855</v>
      </c>
      <c r="B1693" s="128" t="str">
        <f t="shared" si="190"/>
        <v>YGQT</v>
      </c>
      <c r="C1693" s="128" t="str">
        <f>+VLOOKUP(U1693,Ходим!A:B,2,0)</f>
        <v>52410005950025</v>
      </c>
      <c r="D1693" s="128" t="str">
        <f>IFERROR(VLOOKUP($B:$B,[20]свод!$A:$AB,3,0)," ")</f>
        <v>Янгиқўрғон тумани</v>
      </c>
      <c r="E1693" s="7" t="s">
        <v>2829</v>
      </c>
      <c r="F1693" s="7" t="s">
        <v>9215</v>
      </c>
      <c r="G1693" s="134">
        <f t="shared" si="187"/>
        <v>1</v>
      </c>
      <c r="H1693" s="134" t="str">
        <f t="shared" si="188"/>
        <v/>
      </c>
      <c r="I1693" s="7" t="s">
        <v>158</v>
      </c>
      <c r="J1693" s="7" t="s">
        <v>134</v>
      </c>
      <c r="K1693" s="7"/>
      <c r="L1693" s="7" t="s">
        <v>167</v>
      </c>
      <c r="M1693" s="7" t="s">
        <v>5316</v>
      </c>
      <c r="N1693" s="7" t="s">
        <v>170</v>
      </c>
      <c r="O1693" s="7" t="s">
        <v>162</v>
      </c>
      <c r="P1693" s="7" t="s">
        <v>6354</v>
      </c>
      <c r="Q1693" s="129">
        <v>46199</v>
      </c>
      <c r="R1693" s="130">
        <f t="shared" si="186"/>
        <v>46204</v>
      </c>
      <c r="S1693" s="131">
        <f t="shared" si="191"/>
        <v>5</v>
      </c>
      <c r="T1693" s="7" t="s">
        <v>255</v>
      </c>
      <c r="U1693" s="7" t="s">
        <v>256</v>
      </c>
      <c r="V1693" s="7"/>
      <c r="W1693" s="7">
        <v>238.2</v>
      </c>
      <c r="X1693" s="132">
        <f t="shared" si="189"/>
        <v>10</v>
      </c>
      <c r="Y1693" s="133"/>
      <c r="Z1693" s="133"/>
      <c r="AA1693" s="133"/>
    </row>
    <row r="1694" spans="1:27" hidden="1" x14ac:dyDescent="0.25">
      <c r="A1694" s="127">
        <v>1856</v>
      </c>
      <c r="B1694" s="128" t="str">
        <f t="shared" si="190"/>
        <v>NAMS</v>
      </c>
      <c r="C1694" s="128">
        <f>+VLOOKUP(U1694,Ходим!A:B,2,0)</f>
        <v>51006025960068</v>
      </c>
      <c r="D1694" s="128" t="str">
        <f>IFERROR(VLOOKUP($B:$B,[20]свод!$A:$AB,3,0)," ")</f>
        <v>Наманган шаҳар</v>
      </c>
      <c r="E1694" s="7" t="s">
        <v>2830</v>
      </c>
      <c r="F1694" s="7" t="s">
        <v>9216</v>
      </c>
      <c r="G1694" s="134" t="str">
        <f t="shared" si="187"/>
        <v/>
      </c>
      <c r="H1694" s="134">
        <f t="shared" si="188"/>
        <v>1</v>
      </c>
      <c r="I1694" s="7" t="s">
        <v>157</v>
      </c>
      <c r="J1694" s="7" t="s">
        <v>172</v>
      </c>
      <c r="K1694" s="7"/>
      <c r="L1694" s="7" t="s">
        <v>166</v>
      </c>
      <c r="M1694" s="7" t="s">
        <v>5317</v>
      </c>
      <c r="N1694" s="7" t="s">
        <v>170</v>
      </c>
      <c r="O1694" s="7" t="s">
        <v>161</v>
      </c>
      <c r="P1694" s="7" t="s">
        <v>7047</v>
      </c>
      <c r="Q1694" s="129">
        <v>46199</v>
      </c>
      <c r="R1694" s="130">
        <f t="shared" si="186"/>
        <v>46213</v>
      </c>
      <c r="S1694" s="131">
        <f t="shared" si="191"/>
        <v>14</v>
      </c>
      <c r="T1694" s="7" t="s">
        <v>173</v>
      </c>
      <c r="U1694" s="7" t="s">
        <v>944</v>
      </c>
      <c r="V1694" s="7"/>
      <c r="W1694" s="7">
        <v>4757.54</v>
      </c>
      <c r="X1694" s="132">
        <f t="shared" si="189"/>
        <v>17</v>
      </c>
      <c r="Y1694" s="133"/>
      <c r="Z1694" s="133"/>
      <c r="AA1694" s="133"/>
    </row>
    <row r="1695" spans="1:27" hidden="1" x14ac:dyDescent="0.25">
      <c r="A1695" s="127">
        <v>1857</v>
      </c>
      <c r="B1695" s="128" t="str">
        <f t="shared" si="190"/>
        <v>UYCT</v>
      </c>
      <c r="C1695" s="128" t="str">
        <f>+VLOOKUP(U1695,Ходим!A:B,2,0)</f>
        <v>31101985930022</v>
      </c>
      <c r="D1695" s="128" t="str">
        <f>IFERROR(VLOOKUP($B:$B,[20]свод!$A:$AB,3,0)," ")</f>
        <v>Уйчи тумани</v>
      </c>
      <c r="E1695" s="7" t="s">
        <v>2831</v>
      </c>
      <c r="F1695" s="7" t="s">
        <v>9217</v>
      </c>
      <c r="G1695" s="134">
        <f t="shared" si="187"/>
        <v>1</v>
      </c>
      <c r="H1695" s="134" t="str">
        <f t="shared" si="188"/>
        <v/>
      </c>
      <c r="I1695" s="7" t="s">
        <v>158</v>
      </c>
      <c r="J1695" s="7" t="s">
        <v>12</v>
      </c>
      <c r="K1695" s="7"/>
      <c r="L1695" s="7" t="s">
        <v>167</v>
      </c>
      <c r="M1695" s="7" t="s">
        <v>5318</v>
      </c>
      <c r="N1695" s="7" t="s">
        <v>170</v>
      </c>
      <c r="O1695" s="7" t="s">
        <v>162</v>
      </c>
      <c r="P1695" s="7" t="s">
        <v>7048</v>
      </c>
      <c r="Q1695" s="129">
        <v>46199</v>
      </c>
      <c r="R1695" s="130">
        <f t="shared" ref="R1695:R1753" si="192">WORKDAY(P1695,X1695,$Y$1:$AA$1)</f>
        <v>46202</v>
      </c>
      <c r="S1695" s="131">
        <f t="shared" si="191"/>
        <v>3</v>
      </c>
      <c r="T1695" s="7" t="s">
        <v>947</v>
      </c>
      <c r="U1695" s="7" t="s">
        <v>299</v>
      </c>
      <c r="V1695" s="7"/>
      <c r="W1695" s="7">
        <v>42.4</v>
      </c>
      <c r="X1695" s="132">
        <f t="shared" si="189"/>
        <v>10</v>
      </c>
      <c r="Y1695" s="133"/>
      <c r="Z1695" s="133"/>
      <c r="AA1695" s="133"/>
    </row>
    <row r="1696" spans="1:27" hidden="1" x14ac:dyDescent="0.25">
      <c r="A1696" s="127">
        <v>1858</v>
      </c>
      <c r="B1696" s="128" t="str">
        <f t="shared" si="190"/>
        <v>MINT</v>
      </c>
      <c r="C1696" s="128" t="str">
        <f>+VLOOKUP(U1696,Ходим!A:B,2,0)</f>
        <v>31205995920018</v>
      </c>
      <c r="D1696" s="128" t="str">
        <f>IFERROR(VLOOKUP($B:$B,[20]свод!$A:$AB,3,0)," ")</f>
        <v>Мингбулоқ тумани</v>
      </c>
      <c r="E1696" s="7" t="s">
        <v>2832</v>
      </c>
      <c r="F1696" s="7" t="s">
        <v>9218</v>
      </c>
      <c r="G1696" s="134" t="str">
        <f t="shared" si="187"/>
        <v/>
      </c>
      <c r="H1696" s="134">
        <f t="shared" si="188"/>
        <v>1</v>
      </c>
      <c r="I1696" s="7" t="s">
        <v>157</v>
      </c>
      <c r="J1696" s="7" t="s">
        <v>134</v>
      </c>
      <c r="K1696" s="7"/>
      <c r="L1696" s="7" t="s">
        <v>166</v>
      </c>
      <c r="M1696" s="7" t="s">
        <v>1008</v>
      </c>
      <c r="N1696" s="7" t="s">
        <v>410</v>
      </c>
      <c r="O1696" s="7" t="s">
        <v>161</v>
      </c>
      <c r="P1696" s="7" t="s">
        <v>7048</v>
      </c>
      <c r="Q1696" s="129">
        <v>46199</v>
      </c>
      <c r="R1696" s="130">
        <f t="shared" si="192"/>
        <v>46202</v>
      </c>
      <c r="S1696" s="131">
        <f t="shared" si="191"/>
        <v>3</v>
      </c>
      <c r="T1696" s="7" t="s">
        <v>220</v>
      </c>
      <c r="U1696" s="7" t="s">
        <v>271</v>
      </c>
      <c r="V1696" s="7"/>
      <c r="W1696" s="7">
        <v>0</v>
      </c>
      <c r="X1696" s="132">
        <f t="shared" si="189"/>
        <v>10</v>
      </c>
      <c r="Y1696" s="133"/>
      <c r="Z1696" s="133"/>
      <c r="AA1696" s="133"/>
    </row>
    <row r="1697" spans="1:27" hidden="1" x14ac:dyDescent="0.25">
      <c r="A1697" s="127">
        <v>1859</v>
      </c>
      <c r="B1697" s="128" t="str">
        <f t="shared" si="190"/>
        <v>NORT</v>
      </c>
      <c r="C1697" s="128" t="str">
        <f>+VLOOKUP(U1697,Ходим!A:B,2,0)</f>
        <v>30902932150046</v>
      </c>
      <c r="D1697" s="128" t="str">
        <f>IFERROR(VLOOKUP($B:$B,[20]свод!$A:$AB,3,0)," ")</f>
        <v>Норин тумани</v>
      </c>
      <c r="E1697" s="7" t="s">
        <v>2833</v>
      </c>
      <c r="F1697" s="7" t="s">
        <v>9219</v>
      </c>
      <c r="G1697" s="134" t="str">
        <f t="shared" si="187"/>
        <v/>
      </c>
      <c r="H1697" s="134">
        <f t="shared" si="188"/>
        <v>1</v>
      </c>
      <c r="I1697" s="7" t="s">
        <v>157</v>
      </c>
      <c r="J1697" s="7" t="s">
        <v>84</v>
      </c>
      <c r="K1697" s="7"/>
      <c r="L1697" s="7" t="s">
        <v>168</v>
      </c>
      <c r="M1697" s="7" t="s">
        <v>5319</v>
      </c>
      <c r="N1697" s="7" t="s">
        <v>170</v>
      </c>
      <c r="O1697" s="7" t="s">
        <v>161</v>
      </c>
      <c r="P1697" s="7" t="s">
        <v>6754</v>
      </c>
      <c r="Q1697" s="129">
        <v>46199</v>
      </c>
      <c r="R1697" s="130">
        <f t="shared" si="192"/>
        <v>46205</v>
      </c>
      <c r="S1697" s="131">
        <f t="shared" si="191"/>
        <v>6</v>
      </c>
      <c r="T1697" s="7" t="s">
        <v>210</v>
      </c>
      <c r="U1697" s="7" t="s">
        <v>245</v>
      </c>
      <c r="V1697" s="7"/>
      <c r="W1697" s="7">
        <v>0</v>
      </c>
      <c r="X1697" s="132">
        <f t="shared" si="189"/>
        <v>7</v>
      </c>
      <c r="Y1697" s="133"/>
      <c r="Z1697" s="133"/>
      <c r="AA1697" s="133"/>
    </row>
    <row r="1698" spans="1:27" hidden="1" x14ac:dyDescent="0.25">
      <c r="A1698" s="127">
        <v>1860</v>
      </c>
      <c r="B1698" s="128" t="str">
        <f t="shared" si="190"/>
        <v>NAMS</v>
      </c>
      <c r="C1698" s="128" t="str">
        <f>+VLOOKUP(U1698,Ходим!A:B,2,0)</f>
        <v>51911035960011</v>
      </c>
      <c r="D1698" s="128" t="str">
        <f>IFERROR(VLOOKUP($B:$B,[20]свод!$A:$AB,3,0)," ")</f>
        <v>Наманган шаҳар</v>
      </c>
      <c r="E1698" s="7" t="s">
        <v>2834</v>
      </c>
      <c r="F1698" s="7" t="s">
        <v>9220</v>
      </c>
      <c r="G1698" s="134">
        <f t="shared" si="187"/>
        <v>1</v>
      </c>
      <c r="H1698" s="134" t="str">
        <f t="shared" si="188"/>
        <v/>
      </c>
      <c r="I1698" s="7" t="s">
        <v>158</v>
      </c>
      <c r="J1698" s="7" t="s">
        <v>1</v>
      </c>
      <c r="K1698" s="7"/>
      <c r="L1698" s="7" t="s">
        <v>167</v>
      </c>
      <c r="M1698" s="7" t="s">
        <v>5320</v>
      </c>
      <c r="N1698" s="7" t="s">
        <v>170</v>
      </c>
      <c r="O1698" s="7" t="s">
        <v>162</v>
      </c>
      <c r="P1698" s="7" t="s">
        <v>7049</v>
      </c>
      <c r="Q1698" s="129">
        <v>46199</v>
      </c>
      <c r="R1698" s="130">
        <f t="shared" si="192"/>
        <v>46202</v>
      </c>
      <c r="S1698" s="131">
        <f t="shared" si="191"/>
        <v>3</v>
      </c>
      <c r="T1698" s="7" t="s">
        <v>185</v>
      </c>
      <c r="U1698" s="7" t="s">
        <v>371</v>
      </c>
      <c r="V1698" s="7"/>
      <c r="W1698" s="7">
        <v>1871.8</v>
      </c>
      <c r="X1698" s="132">
        <f t="shared" si="189"/>
        <v>10</v>
      </c>
      <c r="Y1698" s="133"/>
      <c r="Z1698" s="133"/>
      <c r="AA1698" s="133"/>
    </row>
    <row r="1699" spans="1:27" hidden="1" x14ac:dyDescent="0.25">
      <c r="A1699" s="127">
        <v>1861</v>
      </c>
      <c r="B1699" s="128" t="str">
        <f t="shared" si="190"/>
        <v>UYCT</v>
      </c>
      <c r="C1699" s="128" t="str">
        <f>+VLOOKUP(U1699,Ходим!A:B,2,0)</f>
        <v>32002975930037</v>
      </c>
      <c r="D1699" s="128" t="str">
        <f>IFERROR(VLOOKUP($B:$B,[20]свод!$A:$AB,3,0)," ")</f>
        <v>Уйчи тумани</v>
      </c>
      <c r="E1699" s="7" t="s">
        <v>2835</v>
      </c>
      <c r="F1699" s="7" t="s">
        <v>9221</v>
      </c>
      <c r="G1699" s="134">
        <f t="shared" ref="G1699:G1755" si="193">IF(OR(
I1699="Turar joy obyektning kadastr pasportini shakllantirish va davlat ro'yxatidan o'tkazish",
I1699="Turar kompozit"
),
1,
IF(OR(
I1699="Noturar kompozit",
I1699="Avtoyo'l va suv xo'jaligi obyektining kadastr pasportini shakllantirish va ro'yxatga olish",
I1699="Noturar obyektning kadastr pasportining kadastr pasportini shakllantirish va davlat ro'yxatidan o'tkazish"
),
"",
IF(OR(
I1699="Notarius uchun ma'lumotnoma (uz)",
I1699="Qurilishi tugallangan ko'chmas mulkni foydalanishga qabul qilish",
I1699="Umumiy foydalanishdagi ko'chmas mulk qismini yaratish",
I1699="Registratsiya (tashqi - UZKAD da bor)"
),
IF(OR(L1699="Turar yer maydoni",L1699="Yakka tartibdagi turar joy"),1,
IF(L1699="Noturar bino","",
IF(L1699="Noturar yer maydoni","",
IF(L1699="",IF(OR(O1699="Turar joy xizmati",O1699="Foydalanishga ruxsatnoma berish xizmati"),1,""),"")
))),
"")))</f>
        <v>1</v>
      </c>
      <c r="H1699" s="134" t="str">
        <f t="shared" ref="H1699:H1755" si="194">IF(OR(
I1699="Turar joy obyektning kadastr pasportini shakllantirish va davlat ro'yxatidan o'tkazish",
I1699="Turar kompozit"
),
"",
IF(OR(
I1699="Noturar kompozit",
I1699="Avtoyo'l va suv xo'jaligi obyektining kadastr pasportini shakllantirish va ro'yxatga olish",
I1699="Noturar obyektning kadastr pasportini shakllantirish va davlat ro'yxatidan o'tkazish"
),
1,
IF(OR(
I1699="Notarius uchun ma'lumotnoma (uz)",
I1699="Qurilishi tugallangan ko'chmas mulkni foydalanishga qabul qilish",
I1699="Umumiy foydalanishdagi ko'chmas mulk qismini yaratish",
I1699="Registratsiya (tashqi - UZKAD da bor)"
),
IF(OR(L1699="Turar yer maydoni",L1699="Yakka tartibdagi turar joy"),"",
IF(L1699="Noturar bino",1,
IF(L1699="Noturar yer maydoni",1,
IF(L1699="",IF(OR(O1699="Turar joy xizmati",O1699="Foydalanishga ruxsatnoma berish xizmati"),"",1),"")
))),
"")))</f>
        <v/>
      </c>
      <c r="I1699" s="7" t="s">
        <v>158</v>
      </c>
      <c r="J1699" s="7" t="s">
        <v>35</v>
      </c>
      <c r="K1699" s="7"/>
      <c r="L1699" s="7" t="s">
        <v>167</v>
      </c>
      <c r="M1699" s="7" t="s">
        <v>5321</v>
      </c>
      <c r="N1699" s="7" t="s">
        <v>410</v>
      </c>
      <c r="O1699" s="7" t="s">
        <v>162</v>
      </c>
      <c r="P1699" s="7" t="s">
        <v>7050</v>
      </c>
      <c r="Q1699" s="129">
        <v>46199</v>
      </c>
      <c r="R1699" s="130">
        <f t="shared" si="192"/>
        <v>46202</v>
      </c>
      <c r="S1699" s="131">
        <f t="shared" si="191"/>
        <v>3</v>
      </c>
      <c r="T1699" s="7" t="s">
        <v>947</v>
      </c>
      <c r="U1699" s="7" t="s">
        <v>260</v>
      </c>
      <c r="V1699" s="7"/>
      <c r="W1699" s="7">
        <v>35.200000000000003</v>
      </c>
      <c r="X1699" s="132">
        <f t="shared" si="189"/>
        <v>10</v>
      </c>
      <c r="Y1699" s="133"/>
      <c r="Z1699" s="133"/>
      <c r="AA1699" s="133"/>
    </row>
    <row r="1700" spans="1:27" hidden="1" x14ac:dyDescent="0.25">
      <c r="A1700" s="127">
        <v>1862</v>
      </c>
      <c r="B1700" s="128" t="str">
        <f t="shared" si="190"/>
        <v>NAMS</v>
      </c>
      <c r="C1700" s="128" t="str">
        <f>+VLOOKUP(U1700,Ходим!A:B,2,0)</f>
        <v>30108932170088</v>
      </c>
      <c r="D1700" s="128" t="str">
        <f>IFERROR(VLOOKUP($B:$B,[20]свод!$A:$AB,3,0)," ")</f>
        <v>Наманган шаҳар</v>
      </c>
      <c r="E1700" s="7" t="s">
        <v>2836</v>
      </c>
      <c r="F1700" s="7" t="s">
        <v>9222</v>
      </c>
      <c r="G1700" s="134">
        <f t="shared" si="193"/>
        <v>1</v>
      </c>
      <c r="H1700" s="134" t="str">
        <f t="shared" si="194"/>
        <v/>
      </c>
      <c r="I1700" s="7" t="s">
        <v>158</v>
      </c>
      <c r="J1700" s="7" t="s">
        <v>1</v>
      </c>
      <c r="K1700" s="7"/>
      <c r="L1700" s="7" t="s">
        <v>167</v>
      </c>
      <c r="M1700" s="7" t="s">
        <v>5322</v>
      </c>
      <c r="N1700" s="7" t="s">
        <v>170</v>
      </c>
      <c r="O1700" s="7" t="s">
        <v>162</v>
      </c>
      <c r="P1700" s="7" t="s">
        <v>7051</v>
      </c>
      <c r="Q1700" s="129">
        <v>46199</v>
      </c>
      <c r="R1700" s="130">
        <f t="shared" si="192"/>
        <v>46202</v>
      </c>
      <c r="S1700" s="131">
        <f t="shared" si="191"/>
        <v>3</v>
      </c>
      <c r="T1700" s="7" t="s">
        <v>185</v>
      </c>
      <c r="U1700" s="7" t="s">
        <v>329</v>
      </c>
      <c r="V1700" s="7"/>
      <c r="W1700" s="7">
        <v>543.20000000000005</v>
      </c>
      <c r="X1700" s="132">
        <f t="shared" si="189"/>
        <v>10</v>
      </c>
      <c r="Y1700" s="133"/>
      <c r="Z1700" s="133"/>
      <c r="AA1700" s="133"/>
    </row>
    <row r="1701" spans="1:27" x14ac:dyDescent="0.25">
      <c r="A1701" s="127">
        <v>1863</v>
      </c>
      <c r="B1701" s="128" t="str">
        <f t="shared" si="190"/>
        <v>YGQT</v>
      </c>
      <c r="C1701" s="128" t="str">
        <f>+VLOOKUP(U1701,Ходим!A:B,2,0)</f>
        <v>52410005950025</v>
      </c>
      <c r="D1701" s="128" t="str">
        <f>IFERROR(VLOOKUP($B:$B,[20]свод!$A:$AB,3,0)," ")</f>
        <v>Янгиқўрғон тумани</v>
      </c>
      <c r="E1701" s="7" t="s">
        <v>2837</v>
      </c>
      <c r="F1701" s="7" t="s">
        <v>9223</v>
      </c>
      <c r="G1701" s="134" t="str">
        <f t="shared" si="193"/>
        <v/>
      </c>
      <c r="H1701" s="134">
        <f t="shared" si="194"/>
        <v>1</v>
      </c>
      <c r="I1701" s="7" t="s">
        <v>157</v>
      </c>
      <c r="J1701" s="7" t="s">
        <v>134</v>
      </c>
      <c r="K1701" s="7"/>
      <c r="L1701" s="7" t="s">
        <v>168</v>
      </c>
      <c r="M1701" s="7" t="s">
        <v>382</v>
      </c>
      <c r="N1701" s="7" t="s">
        <v>170</v>
      </c>
      <c r="O1701" s="7" t="s">
        <v>161</v>
      </c>
      <c r="P1701" s="7" t="s">
        <v>6371</v>
      </c>
      <c r="Q1701" s="129">
        <v>46199</v>
      </c>
      <c r="R1701" s="130">
        <f t="shared" si="192"/>
        <v>46199</v>
      </c>
      <c r="S1701" s="131">
        <f t="shared" si="191"/>
        <v>0</v>
      </c>
      <c r="T1701" s="7" t="s">
        <v>255</v>
      </c>
      <c r="U1701" s="7" t="s">
        <v>256</v>
      </c>
      <c r="V1701" s="7"/>
      <c r="W1701" s="7">
        <v>0</v>
      </c>
      <c r="X1701" s="132">
        <f t="shared" si="189"/>
        <v>7</v>
      </c>
      <c r="Y1701" s="133"/>
      <c r="Z1701" s="133"/>
      <c r="AA1701" s="133"/>
    </row>
    <row r="1702" spans="1:27" hidden="1" x14ac:dyDescent="0.25">
      <c r="A1702" s="127">
        <v>1864</v>
      </c>
      <c r="B1702" s="128" t="str">
        <f t="shared" si="190"/>
        <v>MINT</v>
      </c>
      <c r="C1702" s="128" t="str">
        <f>+VLOOKUP(U1702,Ходим!A:B,2,0)</f>
        <v>31205995920018</v>
      </c>
      <c r="D1702" s="128" t="str">
        <f>IFERROR(VLOOKUP($B:$B,[20]свод!$A:$AB,3,0)," ")</f>
        <v>Мингбулоқ тумани</v>
      </c>
      <c r="E1702" s="7" t="s">
        <v>2838</v>
      </c>
      <c r="F1702" s="7" t="s">
        <v>9224</v>
      </c>
      <c r="G1702" s="134">
        <f t="shared" si="193"/>
        <v>1</v>
      </c>
      <c r="H1702" s="134" t="str">
        <f t="shared" si="194"/>
        <v/>
      </c>
      <c r="I1702" s="7" t="s">
        <v>158</v>
      </c>
      <c r="J1702" s="7" t="s">
        <v>1</v>
      </c>
      <c r="K1702" s="7"/>
      <c r="L1702" s="7" t="s">
        <v>167</v>
      </c>
      <c r="M1702" s="7" t="s">
        <v>5323</v>
      </c>
      <c r="N1702" s="7" t="s">
        <v>170</v>
      </c>
      <c r="O1702" s="7" t="s">
        <v>162</v>
      </c>
      <c r="P1702" s="7" t="s">
        <v>7052</v>
      </c>
      <c r="Q1702" s="129">
        <v>46199</v>
      </c>
      <c r="R1702" s="130">
        <f t="shared" si="192"/>
        <v>46202</v>
      </c>
      <c r="S1702" s="131">
        <f t="shared" si="191"/>
        <v>3</v>
      </c>
      <c r="T1702" s="7" t="s">
        <v>220</v>
      </c>
      <c r="U1702" s="7" t="s">
        <v>271</v>
      </c>
      <c r="V1702" s="7"/>
      <c r="W1702" s="7">
        <v>214.1</v>
      </c>
      <c r="X1702" s="132">
        <f t="shared" si="189"/>
        <v>10</v>
      </c>
      <c r="Y1702" s="133"/>
      <c r="Z1702" s="133"/>
      <c r="AA1702" s="133"/>
    </row>
    <row r="1703" spans="1:27" hidden="1" x14ac:dyDescent="0.25">
      <c r="A1703" s="127">
        <v>1865</v>
      </c>
      <c r="B1703" s="128" t="str">
        <f t="shared" si="190"/>
        <v>CHUT</v>
      </c>
      <c r="C1703" s="128" t="str">
        <f>+VLOOKUP(U1703,Ходим!A:B,2,0)</f>
        <v>32003822180063</v>
      </c>
      <c r="D1703" s="128" t="str">
        <f>IFERROR(VLOOKUP($B:$B,[20]свод!$A:$AB,3,0)," ")</f>
        <v>Чуст тумани</v>
      </c>
      <c r="E1703" s="7" t="s">
        <v>2839</v>
      </c>
      <c r="F1703" s="7" t="s">
        <v>9225</v>
      </c>
      <c r="G1703" s="134">
        <f t="shared" si="193"/>
        <v>1</v>
      </c>
      <c r="H1703" s="134" t="str">
        <f t="shared" si="194"/>
        <v/>
      </c>
      <c r="I1703" s="7" t="s">
        <v>158</v>
      </c>
      <c r="J1703" s="7" t="s">
        <v>134</v>
      </c>
      <c r="K1703" s="7"/>
      <c r="L1703" s="7"/>
      <c r="M1703" s="7"/>
      <c r="N1703" s="7" t="s">
        <v>170</v>
      </c>
      <c r="O1703" s="7" t="s">
        <v>162</v>
      </c>
      <c r="P1703" s="7" t="s">
        <v>6920</v>
      </c>
      <c r="Q1703" s="129">
        <v>46199</v>
      </c>
      <c r="R1703" s="130">
        <f t="shared" si="192"/>
        <v>46202</v>
      </c>
      <c r="S1703" s="131">
        <f t="shared" si="191"/>
        <v>3</v>
      </c>
      <c r="T1703" s="7" t="s">
        <v>178</v>
      </c>
      <c r="U1703" s="7" t="s">
        <v>200</v>
      </c>
      <c r="V1703" s="7"/>
      <c r="W1703" s="7"/>
      <c r="X1703" s="132">
        <f t="shared" si="189"/>
        <v>10</v>
      </c>
      <c r="Y1703" s="133"/>
      <c r="Z1703" s="133"/>
      <c r="AA1703" s="133"/>
    </row>
    <row r="1704" spans="1:27" hidden="1" x14ac:dyDescent="0.25">
      <c r="A1704" s="127">
        <v>1866</v>
      </c>
      <c r="B1704" s="128" t="str">
        <f t="shared" si="190"/>
        <v>UYCT</v>
      </c>
      <c r="C1704" s="128" t="str">
        <f>+VLOOKUP(U1704,Ходим!A:B,2,0)</f>
        <v>30309975930028</v>
      </c>
      <c r="D1704" s="128" t="str">
        <f>IFERROR(VLOOKUP($B:$B,[20]свод!$A:$AB,3,0)," ")</f>
        <v>Уйчи тумани</v>
      </c>
      <c r="E1704" s="7" t="s">
        <v>2840</v>
      </c>
      <c r="F1704" s="7" t="s">
        <v>9226</v>
      </c>
      <c r="G1704" s="134">
        <f t="shared" si="193"/>
        <v>1</v>
      </c>
      <c r="H1704" s="134" t="str">
        <f t="shared" si="194"/>
        <v/>
      </c>
      <c r="I1704" s="7" t="s">
        <v>158</v>
      </c>
      <c r="J1704" s="7" t="s">
        <v>134</v>
      </c>
      <c r="K1704" s="7"/>
      <c r="L1704" s="7" t="s">
        <v>167</v>
      </c>
      <c r="M1704" s="7" t="s">
        <v>5324</v>
      </c>
      <c r="N1704" s="7" t="s">
        <v>410</v>
      </c>
      <c r="O1704" s="7" t="s">
        <v>162</v>
      </c>
      <c r="P1704" s="7" t="s">
        <v>6920</v>
      </c>
      <c r="Q1704" s="129">
        <v>46199</v>
      </c>
      <c r="R1704" s="130">
        <f t="shared" si="192"/>
        <v>46202</v>
      </c>
      <c r="S1704" s="131">
        <f t="shared" si="191"/>
        <v>3</v>
      </c>
      <c r="T1704" s="7" t="s">
        <v>947</v>
      </c>
      <c r="U1704" s="7" t="s">
        <v>261</v>
      </c>
      <c r="V1704" s="7"/>
      <c r="W1704" s="7">
        <v>34.49</v>
      </c>
      <c r="X1704" s="132">
        <f t="shared" si="189"/>
        <v>10</v>
      </c>
      <c r="Y1704" s="133"/>
      <c r="Z1704" s="133"/>
      <c r="AA1704" s="133"/>
    </row>
    <row r="1705" spans="1:27" hidden="1" x14ac:dyDescent="0.25">
      <c r="A1705" s="127">
        <v>1868</v>
      </c>
      <c r="B1705" s="128" t="str">
        <f t="shared" si="190"/>
        <v>NAMS</v>
      </c>
      <c r="C1705" s="128" t="e">
        <f>+VLOOKUP(U1705,Ходим!A:B,2,0)</f>
        <v>#N/A</v>
      </c>
      <c r="D1705" s="128" t="str">
        <f>IFERROR(VLOOKUP($B:$B,[20]свод!$A:$AB,3,0)," ")</f>
        <v>Наманган шаҳар</v>
      </c>
      <c r="E1705" s="7" t="s">
        <v>2841</v>
      </c>
      <c r="F1705" s="7" t="s">
        <v>9227</v>
      </c>
      <c r="G1705" s="134" t="str">
        <f t="shared" si="193"/>
        <v/>
      </c>
      <c r="H1705" s="134">
        <f t="shared" si="194"/>
        <v>1</v>
      </c>
      <c r="I1705" s="7" t="s">
        <v>155</v>
      </c>
      <c r="J1705" s="7" t="s">
        <v>11</v>
      </c>
      <c r="K1705" s="7"/>
      <c r="L1705" s="7" t="s">
        <v>168</v>
      </c>
      <c r="M1705" s="7" t="s">
        <v>5325</v>
      </c>
      <c r="N1705" s="7" t="s">
        <v>170</v>
      </c>
      <c r="O1705" s="7" t="s">
        <v>161</v>
      </c>
      <c r="P1705" s="7" t="s">
        <v>7053</v>
      </c>
      <c r="Q1705" s="129">
        <v>46199</v>
      </c>
      <c r="R1705" s="130">
        <f t="shared" si="192"/>
        <v>46209</v>
      </c>
      <c r="S1705" s="131">
        <f t="shared" si="191"/>
        <v>10</v>
      </c>
      <c r="T1705" s="7"/>
      <c r="U1705" s="7"/>
      <c r="V1705" s="7"/>
      <c r="W1705" s="7">
        <v>0</v>
      </c>
      <c r="X1705" s="132">
        <f t="shared" si="189"/>
        <v>7</v>
      </c>
      <c r="Y1705" s="133"/>
      <c r="Z1705" s="133"/>
      <c r="AA1705" s="133"/>
    </row>
    <row r="1706" spans="1:27" hidden="1" x14ac:dyDescent="0.25">
      <c r="A1706" s="127">
        <v>1869</v>
      </c>
      <c r="B1706" s="128" t="str">
        <f t="shared" si="190"/>
        <v>POPT</v>
      </c>
      <c r="C1706" s="128" t="str">
        <f>+VLOOKUP(U1706,Ходим!A:B,2,0)</f>
        <v>33107902120019</v>
      </c>
      <c r="D1706" s="128" t="str">
        <f>IFERROR(VLOOKUP($B:$B,[20]свод!$A:$AB,3,0)," ")</f>
        <v>Поп тумани</v>
      </c>
      <c r="E1706" s="7" t="s">
        <v>2842</v>
      </c>
      <c r="F1706" s="7" t="s">
        <v>9228</v>
      </c>
      <c r="G1706" s="134">
        <f t="shared" si="193"/>
        <v>1</v>
      </c>
      <c r="H1706" s="134" t="str">
        <f t="shared" si="194"/>
        <v/>
      </c>
      <c r="I1706" s="7" t="s">
        <v>156</v>
      </c>
      <c r="J1706" s="7" t="s">
        <v>25</v>
      </c>
      <c r="K1706" s="7"/>
      <c r="L1706" s="7" t="s">
        <v>167</v>
      </c>
      <c r="M1706" s="7" t="s">
        <v>5326</v>
      </c>
      <c r="N1706" s="7" t="s">
        <v>170</v>
      </c>
      <c r="O1706" s="7" t="s">
        <v>162</v>
      </c>
      <c r="P1706" s="7" t="s">
        <v>7053</v>
      </c>
      <c r="Q1706" s="129">
        <v>46199</v>
      </c>
      <c r="R1706" s="130">
        <f t="shared" si="192"/>
        <v>46212</v>
      </c>
      <c r="S1706" s="131">
        <f t="shared" si="191"/>
        <v>13</v>
      </c>
      <c r="T1706" s="7" t="s">
        <v>240</v>
      </c>
      <c r="U1706" s="7" t="s">
        <v>224</v>
      </c>
      <c r="V1706" s="7"/>
      <c r="W1706" s="7">
        <v>17.7</v>
      </c>
      <c r="X1706" s="132">
        <f t="shared" si="189"/>
        <v>10</v>
      </c>
      <c r="Y1706" s="133"/>
      <c r="Z1706" s="133"/>
      <c r="AA1706" s="133"/>
    </row>
    <row r="1707" spans="1:27" hidden="1" x14ac:dyDescent="0.25">
      <c r="A1707" s="127">
        <v>1870</v>
      </c>
      <c r="B1707" s="128" t="str">
        <f t="shared" si="190"/>
        <v>KSST</v>
      </c>
      <c r="C1707" s="128" t="str">
        <f>+VLOOKUP(U1707,Ходим!A:B,2,0)</f>
        <v>30411985980017</v>
      </c>
      <c r="D1707" s="128" t="str">
        <f>IFERROR(VLOOKUP($B:$B,[20]свод!$A:$AB,3,0)," ")</f>
        <v>Косонсой тумани</v>
      </c>
      <c r="E1707" s="7" t="s">
        <v>2843</v>
      </c>
      <c r="F1707" s="7" t="s">
        <v>9229</v>
      </c>
      <c r="G1707" s="134">
        <f t="shared" si="193"/>
        <v>1</v>
      </c>
      <c r="H1707" s="134" t="str">
        <f t="shared" si="194"/>
        <v/>
      </c>
      <c r="I1707" s="7" t="s">
        <v>158</v>
      </c>
      <c r="J1707" s="7" t="s">
        <v>2</v>
      </c>
      <c r="K1707" s="7"/>
      <c r="L1707" s="7" t="s">
        <v>167</v>
      </c>
      <c r="M1707" s="7" t="s">
        <v>5327</v>
      </c>
      <c r="N1707" s="7" t="s">
        <v>170</v>
      </c>
      <c r="O1707" s="7" t="s">
        <v>162</v>
      </c>
      <c r="P1707" s="7" t="s">
        <v>7054</v>
      </c>
      <c r="Q1707" s="129">
        <v>46199</v>
      </c>
      <c r="R1707" s="130">
        <f t="shared" si="192"/>
        <v>46202</v>
      </c>
      <c r="S1707" s="131">
        <f t="shared" si="191"/>
        <v>3</v>
      </c>
      <c r="T1707" s="7" t="s">
        <v>180</v>
      </c>
      <c r="U1707" s="7" t="s">
        <v>360</v>
      </c>
      <c r="V1707" s="7"/>
      <c r="W1707" s="7">
        <v>155.69999999999999</v>
      </c>
      <c r="X1707" s="132">
        <f t="shared" si="189"/>
        <v>10</v>
      </c>
      <c r="Y1707" s="133"/>
      <c r="Z1707" s="133"/>
      <c r="AA1707" s="133"/>
    </row>
    <row r="1708" spans="1:27" hidden="1" x14ac:dyDescent="0.25">
      <c r="A1708" s="127">
        <v>1871</v>
      </c>
      <c r="B1708" s="128" t="str">
        <f t="shared" si="190"/>
        <v>UYCT</v>
      </c>
      <c r="C1708" s="128" t="str">
        <f>+VLOOKUP(U1708,Ходим!A:B,2,0)</f>
        <v>31007942140083</v>
      </c>
      <c r="D1708" s="128" t="str">
        <f>IFERROR(VLOOKUP($B:$B,[20]свод!$A:$AB,3,0)," ")</f>
        <v>Уйчи тумани</v>
      </c>
      <c r="E1708" s="7" t="s">
        <v>2844</v>
      </c>
      <c r="F1708" s="7" t="s">
        <v>9230</v>
      </c>
      <c r="G1708" s="134">
        <f t="shared" si="193"/>
        <v>1</v>
      </c>
      <c r="H1708" s="134" t="str">
        <f t="shared" si="194"/>
        <v/>
      </c>
      <c r="I1708" s="7" t="s">
        <v>158</v>
      </c>
      <c r="J1708" s="7" t="s">
        <v>35</v>
      </c>
      <c r="K1708" s="7"/>
      <c r="L1708" s="7" t="s">
        <v>167</v>
      </c>
      <c r="M1708" s="7" t="s">
        <v>5328</v>
      </c>
      <c r="N1708" s="7" t="s">
        <v>170</v>
      </c>
      <c r="O1708" s="7" t="s">
        <v>162</v>
      </c>
      <c r="P1708" s="7" t="s">
        <v>7054</v>
      </c>
      <c r="Q1708" s="129">
        <v>46199</v>
      </c>
      <c r="R1708" s="130">
        <f t="shared" si="192"/>
        <v>46202</v>
      </c>
      <c r="S1708" s="131">
        <f t="shared" si="191"/>
        <v>3</v>
      </c>
      <c r="T1708" s="7" t="s">
        <v>947</v>
      </c>
      <c r="U1708" s="7" t="s">
        <v>263</v>
      </c>
      <c r="V1708" s="7"/>
      <c r="W1708" s="7">
        <v>422.3</v>
      </c>
      <c r="X1708" s="132">
        <f t="shared" si="189"/>
        <v>10</v>
      </c>
      <c r="Y1708" s="133"/>
      <c r="Z1708" s="133"/>
      <c r="AA1708" s="133"/>
    </row>
    <row r="1709" spans="1:27" hidden="1" x14ac:dyDescent="0.25">
      <c r="A1709" s="127">
        <v>1872</v>
      </c>
      <c r="B1709" s="128" t="str">
        <f t="shared" si="190"/>
        <v>UYCT</v>
      </c>
      <c r="C1709" s="128" t="str">
        <f>+VLOOKUP(U1709,Ходим!A:B,2,0)</f>
        <v>31007985930029</v>
      </c>
      <c r="D1709" s="128" t="str">
        <f>IFERROR(VLOOKUP($B:$B,[20]свод!$A:$AB,3,0)," ")</f>
        <v>Уйчи тумани</v>
      </c>
      <c r="E1709" s="7" t="s">
        <v>2845</v>
      </c>
      <c r="F1709" s="7" t="s">
        <v>9231</v>
      </c>
      <c r="G1709" s="134">
        <f t="shared" si="193"/>
        <v>1</v>
      </c>
      <c r="H1709" s="134" t="str">
        <f t="shared" si="194"/>
        <v/>
      </c>
      <c r="I1709" s="7" t="s">
        <v>158</v>
      </c>
      <c r="J1709" s="7" t="s">
        <v>1</v>
      </c>
      <c r="K1709" s="7"/>
      <c r="L1709" s="7" t="s">
        <v>167</v>
      </c>
      <c r="M1709" s="7" t="s">
        <v>5329</v>
      </c>
      <c r="N1709" s="7" t="s">
        <v>170</v>
      </c>
      <c r="O1709" s="7" t="s">
        <v>162</v>
      </c>
      <c r="P1709" s="7" t="s">
        <v>7032</v>
      </c>
      <c r="Q1709" s="129">
        <v>46199</v>
      </c>
      <c r="R1709" s="130">
        <f t="shared" si="192"/>
        <v>46202</v>
      </c>
      <c r="S1709" s="131">
        <f t="shared" si="191"/>
        <v>3</v>
      </c>
      <c r="T1709" s="7" t="s">
        <v>947</v>
      </c>
      <c r="U1709" s="7" t="s">
        <v>389</v>
      </c>
      <c r="V1709" s="7"/>
      <c r="W1709" s="7">
        <v>22.75</v>
      </c>
      <c r="X1709" s="132">
        <f t="shared" si="189"/>
        <v>10</v>
      </c>
      <c r="Y1709" s="133"/>
      <c r="Z1709" s="133"/>
      <c r="AA1709" s="133"/>
    </row>
    <row r="1710" spans="1:27" x14ac:dyDescent="0.25">
      <c r="A1710" s="127">
        <v>1873</v>
      </c>
      <c r="B1710" s="128" t="str">
        <f t="shared" si="190"/>
        <v>POPT</v>
      </c>
      <c r="C1710" s="128" t="str">
        <f>+VLOOKUP(U1710,Ходим!A:B,2,0)</f>
        <v>31503892210028</v>
      </c>
      <c r="D1710" s="128" t="str">
        <f>IFERROR(VLOOKUP($B:$B,[20]свод!$A:$AB,3,0)," ")</f>
        <v>Поп тумани</v>
      </c>
      <c r="E1710" s="7" t="s">
        <v>2846</v>
      </c>
      <c r="F1710" s="7" t="s">
        <v>9232</v>
      </c>
      <c r="G1710" s="134">
        <f t="shared" si="193"/>
        <v>1</v>
      </c>
      <c r="H1710" s="134" t="str">
        <f t="shared" si="194"/>
        <v/>
      </c>
      <c r="I1710" s="7" t="s">
        <v>158</v>
      </c>
      <c r="J1710" s="7" t="s">
        <v>36</v>
      </c>
      <c r="K1710" s="7"/>
      <c r="L1710" s="7" t="s">
        <v>167</v>
      </c>
      <c r="M1710" s="7" t="s">
        <v>5330</v>
      </c>
      <c r="N1710" s="7" t="s">
        <v>170</v>
      </c>
      <c r="O1710" s="7" t="s">
        <v>162</v>
      </c>
      <c r="P1710" s="7" t="s">
        <v>6296</v>
      </c>
      <c r="Q1710" s="129">
        <v>46199</v>
      </c>
      <c r="R1710" s="130">
        <f t="shared" si="192"/>
        <v>46199</v>
      </c>
      <c r="S1710" s="131">
        <f t="shared" si="191"/>
        <v>0</v>
      </c>
      <c r="T1710" s="7" t="s">
        <v>214</v>
      </c>
      <c r="U1710" s="7" t="s">
        <v>285</v>
      </c>
      <c r="V1710" s="7"/>
      <c r="W1710" s="7">
        <v>0</v>
      </c>
      <c r="X1710" s="132">
        <f t="shared" si="189"/>
        <v>10</v>
      </c>
      <c r="Y1710" s="133"/>
      <c r="Z1710" s="133"/>
      <c r="AA1710" s="133"/>
    </row>
    <row r="1711" spans="1:27" hidden="1" x14ac:dyDescent="0.25">
      <c r="A1711" s="127">
        <v>1874</v>
      </c>
      <c r="B1711" s="128" t="str">
        <f t="shared" si="190"/>
        <v>MINT</v>
      </c>
      <c r="C1711" s="128" t="str">
        <f>+VLOOKUP(U1711,Ходим!A:B,2,0)</f>
        <v>31102965920024</v>
      </c>
      <c r="D1711" s="128" t="str">
        <f>IFERROR(VLOOKUP($B:$B,[20]свод!$A:$AB,3,0)," ")</f>
        <v>Мингбулоқ тумани</v>
      </c>
      <c r="E1711" s="7" t="s">
        <v>2847</v>
      </c>
      <c r="F1711" s="7" t="s">
        <v>9233</v>
      </c>
      <c r="G1711" s="134">
        <f t="shared" si="193"/>
        <v>1</v>
      </c>
      <c r="H1711" s="134" t="str">
        <f t="shared" si="194"/>
        <v/>
      </c>
      <c r="I1711" s="7" t="s">
        <v>158</v>
      </c>
      <c r="J1711" s="7" t="s">
        <v>10</v>
      </c>
      <c r="K1711" s="7"/>
      <c r="L1711" s="7" t="s">
        <v>167</v>
      </c>
      <c r="M1711" s="7" t="s">
        <v>5331</v>
      </c>
      <c r="N1711" s="7" t="s">
        <v>170</v>
      </c>
      <c r="O1711" s="7" t="s">
        <v>162</v>
      </c>
      <c r="P1711" s="7" t="s">
        <v>7055</v>
      </c>
      <c r="Q1711" s="129">
        <v>46199</v>
      </c>
      <c r="R1711" s="130">
        <f t="shared" si="192"/>
        <v>46202</v>
      </c>
      <c r="S1711" s="131">
        <f t="shared" si="191"/>
        <v>3</v>
      </c>
      <c r="T1711" s="7" t="s">
        <v>220</v>
      </c>
      <c r="U1711" s="7" t="s">
        <v>317</v>
      </c>
      <c r="V1711" s="7"/>
      <c r="W1711" s="7">
        <v>165.58</v>
      </c>
      <c r="X1711" s="132">
        <f t="shared" si="189"/>
        <v>10</v>
      </c>
      <c r="Y1711" s="133"/>
      <c r="Z1711" s="133"/>
      <c r="AA1711" s="133"/>
    </row>
    <row r="1712" spans="1:27" hidden="1" x14ac:dyDescent="0.25">
      <c r="A1712" s="127">
        <v>1875</v>
      </c>
      <c r="B1712" s="128" t="str">
        <f t="shared" si="190"/>
        <v>UCQT</v>
      </c>
      <c r="C1712" s="128" t="str">
        <f>+VLOOKUP(U1712,Ходим!A:B,2,0)</f>
        <v>42005872150022</v>
      </c>
      <c r="D1712" s="128" t="str">
        <f>IFERROR(VLOOKUP($B:$B,[20]свод!$A:$AB,3,0)," ")</f>
        <v>Учқўрғон тумани</v>
      </c>
      <c r="E1712" s="7" t="s">
        <v>2848</v>
      </c>
      <c r="F1712" s="7" t="s">
        <v>9234</v>
      </c>
      <c r="G1712" s="134">
        <f t="shared" si="193"/>
        <v>1</v>
      </c>
      <c r="H1712" s="134" t="str">
        <f t="shared" si="194"/>
        <v/>
      </c>
      <c r="I1712" s="7" t="s">
        <v>158</v>
      </c>
      <c r="J1712" s="7" t="s">
        <v>2</v>
      </c>
      <c r="K1712" s="7"/>
      <c r="L1712" s="7" t="s">
        <v>167</v>
      </c>
      <c r="M1712" s="7" t="s">
        <v>5332</v>
      </c>
      <c r="N1712" s="7" t="s">
        <v>170</v>
      </c>
      <c r="O1712" s="7" t="s">
        <v>162</v>
      </c>
      <c r="P1712" s="7" t="s">
        <v>7056</v>
      </c>
      <c r="Q1712" s="129">
        <v>46199</v>
      </c>
      <c r="R1712" s="130">
        <f t="shared" si="192"/>
        <v>46202</v>
      </c>
      <c r="S1712" s="131">
        <f t="shared" si="191"/>
        <v>3</v>
      </c>
      <c r="T1712" s="7" t="s">
        <v>175</v>
      </c>
      <c r="U1712" s="7" t="s">
        <v>176</v>
      </c>
      <c r="V1712" s="7"/>
      <c r="W1712" s="7">
        <v>197.8</v>
      </c>
      <c r="X1712" s="132">
        <f t="shared" si="189"/>
        <v>10</v>
      </c>
      <c r="Y1712" s="133"/>
      <c r="Z1712" s="133"/>
      <c r="AA1712" s="133"/>
    </row>
    <row r="1713" spans="1:27" hidden="1" x14ac:dyDescent="0.25">
      <c r="A1713" s="127">
        <v>1876</v>
      </c>
      <c r="B1713" s="128" t="str">
        <f t="shared" si="190"/>
        <v>NAMS</v>
      </c>
      <c r="C1713" s="128" t="str">
        <f>+VLOOKUP(U1713,Ходим!A:B,2,0)</f>
        <v>30108932170088</v>
      </c>
      <c r="D1713" s="128" t="str">
        <f>IFERROR(VLOOKUP($B:$B,[20]свод!$A:$AB,3,0)," ")</f>
        <v>Наманган шаҳар</v>
      </c>
      <c r="E1713" s="7" t="s">
        <v>2849</v>
      </c>
      <c r="F1713" s="7" t="s">
        <v>9235</v>
      </c>
      <c r="G1713" s="134">
        <f t="shared" si="193"/>
        <v>1</v>
      </c>
      <c r="H1713" s="134" t="str">
        <f t="shared" si="194"/>
        <v/>
      </c>
      <c r="I1713" s="7" t="s">
        <v>158</v>
      </c>
      <c r="J1713" s="7" t="s">
        <v>13</v>
      </c>
      <c r="K1713" s="7"/>
      <c r="L1713" s="7" t="s">
        <v>167</v>
      </c>
      <c r="M1713" s="7" t="s">
        <v>5333</v>
      </c>
      <c r="N1713" s="7" t="s">
        <v>170</v>
      </c>
      <c r="O1713" s="7" t="s">
        <v>162</v>
      </c>
      <c r="P1713" s="7" t="s">
        <v>7057</v>
      </c>
      <c r="Q1713" s="129">
        <v>46199</v>
      </c>
      <c r="R1713" s="130">
        <f t="shared" si="192"/>
        <v>46202</v>
      </c>
      <c r="S1713" s="131">
        <f t="shared" si="191"/>
        <v>3</v>
      </c>
      <c r="T1713" s="7" t="s">
        <v>173</v>
      </c>
      <c r="U1713" s="7" t="s">
        <v>329</v>
      </c>
      <c r="V1713" s="7"/>
      <c r="W1713" s="7">
        <v>44.2</v>
      </c>
      <c r="X1713" s="132">
        <f t="shared" si="189"/>
        <v>10</v>
      </c>
      <c r="Y1713" s="133"/>
      <c r="Z1713" s="133"/>
      <c r="AA1713" s="133"/>
    </row>
    <row r="1714" spans="1:27" x14ac:dyDescent="0.25">
      <c r="A1714" s="127">
        <v>1877</v>
      </c>
      <c r="B1714" s="128" t="str">
        <f t="shared" si="190"/>
        <v>POPT</v>
      </c>
      <c r="C1714" s="128" t="str">
        <f>+VLOOKUP(U1714,Ходим!A:B,2,0)</f>
        <v>31503892210028</v>
      </c>
      <c r="D1714" s="128" t="str">
        <f>IFERROR(VLOOKUP($B:$B,[20]свод!$A:$AB,3,0)," ")</f>
        <v>Поп тумани</v>
      </c>
      <c r="E1714" s="7" t="s">
        <v>2850</v>
      </c>
      <c r="F1714" s="7" t="s">
        <v>9236</v>
      </c>
      <c r="G1714" s="134">
        <f t="shared" si="193"/>
        <v>1</v>
      </c>
      <c r="H1714" s="134" t="str">
        <f t="shared" si="194"/>
        <v/>
      </c>
      <c r="I1714" s="7" t="s">
        <v>158</v>
      </c>
      <c r="J1714" s="7" t="s">
        <v>36</v>
      </c>
      <c r="K1714" s="7"/>
      <c r="L1714" s="7" t="s">
        <v>167</v>
      </c>
      <c r="M1714" s="7" t="s">
        <v>5334</v>
      </c>
      <c r="N1714" s="7" t="s">
        <v>170</v>
      </c>
      <c r="O1714" s="7" t="s">
        <v>162</v>
      </c>
      <c r="P1714" s="7" t="s">
        <v>6757</v>
      </c>
      <c r="Q1714" s="129">
        <v>46199</v>
      </c>
      <c r="R1714" s="130">
        <f t="shared" si="192"/>
        <v>46199</v>
      </c>
      <c r="S1714" s="131">
        <f t="shared" si="191"/>
        <v>0</v>
      </c>
      <c r="T1714" s="7" t="s">
        <v>214</v>
      </c>
      <c r="U1714" s="7" t="s">
        <v>285</v>
      </c>
      <c r="V1714" s="7"/>
      <c r="W1714" s="7">
        <v>0</v>
      </c>
      <c r="X1714" s="132">
        <f t="shared" si="189"/>
        <v>10</v>
      </c>
      <c r="Y1714" s="133"/>
      <c r="Z1714" s="133"/>
      <c r="AA1714" s="133"/>
    </row>
    <row r="1715" spans="1:27" hidden="1" x14ac:dyDescent="0.25">
      <c r="A1715" s="127">
        <v>1878</v>
      </c>
      <c r="B1715" s="128" t="str">
        <f t="shared" si="190"/>
        <v>NAMT</v>
      </c>
      <c r="C1715" s="128" t="str">
        <f>+VLOOKUP(U1715,Ходим!A:B,2,0)</f>
        <v>32607902090019</v>
      </c>
      <c r="D1715" s="128" t="str">
        <f>IFERROR(VLOOKUP($B:$B,[20]свод!$A:$AB,3,0)," ")</f>
        <v>Наманган тумани</v>
      </c>
      <c r="E1715" s="7" t="s">
        <v>2851</v>
      </c>
      <c r="F1715" s="7" t="s">
        <v>9237</v>
      </c>
      <c r="G1715" s="134">
        <f t="shared" si="193"/>
        <v>1</v>
      </c>
      <c r="H1715" s="134" t="str">
        <f t="shared" si="194"/>
        <v/>
      </c>
      <c r="I1715" s="7" t="s">
        <v>158</v>
      </c>
      <c r="J1715" s="7" t="s">
        <v>2</v>
      </c>
      <c r="K1715" s="7"/>
      <c r="L1715" s="7" t="s">
        <v>167</v>
      </c>
      <c r="M1715" s="7" t="s">
        <v>5335</v>
      </c>
      <c r="N1715" s="7" t="s">
        <v>170</v>
      </c>
      <c r="O1715" s="7" t="s">
        <v>162</v>
      </c>
      <c r="P1715" s="7" t="s">
        <v>6900</v>
      </c>
      <c r="Q1715" s="129">
        <v>46199</v>
      </c>
      <c r="R1715" s="130">
        <f t="shared" si="192"/>
        <v>46202</v>
      </c>
      <c r="S1715" s="131">
        <f t="shared" si="191"/>
        <v>3</v>
      </c>
      <c r="T1715" s="7" t="s">
        <v>197</v>
      </c>
      <c r="U1715" s="7" t="s">
        <v>243</v>
      </c>
      <c r="V1715" s="7"/>
      <c r="W1715" s="7">
        <v>267.68</v>
      </c>
      <c r="X1715" s="132">
        <f t="shared" si="189"/>
        <v>10</v>
      </c>
      <c r="Y1715" s="133"/>
      <c r="Z1715" s="133"/>
      <c r="AA1715" s="133"/>
    </row>
    <row r="1716" spans="1:27" hidden="1" x14ac:dyDescent="0.25">
      <c r="A1716" s="127">
        <v>1879</v>
      </c>
      <c r="B1716" s="128" t="str">
        <f t="shared" si="190"/>
        <v>TORT</v>
      </c>
      <c r="C1716" s="128" t="str">
        <f>+VLOOKUP(U1716,Ходим!A:B,2,0)</f>
        <v>40302922130046</v>
      </c>
      <c r="D1716" s="128" t="str">
        <f>IFERROR(VLOOKUP($B:$B,[20]свод!$A:$AB,3,0)," ")</f>
        <v>Тўрақўрғон тумани</v>
      </c>
      <c r="E1716" s="7" t="s">
        <v>2852</v>
      </c>
      <c r="F1716" s="7" t="s">
        <v>9238</v>
      </c>
      <c r="G1716" s="134">
        <f t="shared" si="193"/>
        <v>1</v>
      </c>
      <c r="H1716" s="134" t="str">
        <f t="shared" si="194"/>
        <v/>
      </c>
      <c r="I1716" s="7" t="s">
        <v>156</v>
      </c>
      <c r="J1716" s="7" t="s">
        <v>25</v>
      </c>
      <c r="K1716" s="7"/>
      <c r="L1716" s="7"/>
      <c r="M1716" s="7"/>
      <c r="N1716" s="7" t="s">
        <v>170</v>
      </c>
      <c r="O1716" s="7" t="s">
        <v>162</v>
      </c>
      <c r="P1716" s="7" t="s">
        <v>7058</v>
      </c>
      <c r="Q1716" s="129">
        <v>46199</v>
      </c>
      <c r="R1716" s="130">
        <f t="shared" si="192"/>
        <v>46212</v>
      </c>
      <c r="S1716" s="131">
        <f t="shared" si="191"/>
        <v>13</v>
      </c>
      <c r="T1716" s="7" t="s">
        <v>203</v>
      </c>
      <c r="U1716" s="7" t="s">
        <v>258</v>
      </c>
      <c r="V1716" s="7"/>
      <c r="W1716" s="7"/>
      <c r="X1716" s="132">
        <f t="shared" si="189"/>
        <v>10</v>
      </c>
      <c r="Y1716" s="133"/>
      <c r="Z1716" s="133"/>
      <c r="AA1716" s="133"/>
    </row>
    <row r="1717" spans="1:27" hidden="1" x14ac:dyDescent="0.25">
      <c r="A1717" s="127">
        <v>1880</v>
      </c>
      <c r="B1717" s="128" t="str">
        <f t="shared" si="190"/>
        <v>NAMS</v>
      </c>
      <c r="C1717" s="128" t="str">
        <f>+VLOOKUP(U1717,Ходим!A:B,2,0)</f>
        <v>51911035960011</v>
      </c>
      <c r="D1717" s="128" t="str">
        <f>IFERROR(VLOOKUP($B:$B,[20]свод!$A:$AB,3,0)," ")</f>
        <v>Наманган шаҳар</v>
      </c>
      <c r="E1717" s="7" t="s">
        <v>2853</v>
      </c>
      <c r="F1717" s="7" t="s">
        <v>9239</v>
      </c>
      <c r="G1717" s="134">
        <f t="shared" si="193"/>
        <v>1</v>
      </c>
      <c r="H1717" s="134" t="str">
        <f t="shared" si="194"/>
        <v/>
      </c>
      <c r="I1717" s="7" t="s">
        <v>156</v>
      </c>
      <c r="J1717" s="7" t="s">
        <v>25</v>
      </c>
      <c r="K1717" s="7"/>
      <c r="L1717" s="7"/>
      <c r="M1717" s="7"/>
      <c r="N1717" s="7" t="s">
        <v>170</v>
      </c>
      <c r="O1717" s="7" t="s">
        <v>162</v>
      </c>
      <c r="P1717" s="7" t="s">
        <v>7058</v>
      </c>
      <c r="Q1717" s="129">
        <v>46199</v>
      </c>
      <c r="R1717" s="130">
        <f t="shared" si="192"/>
        <v>46212</v>
      </c>
      <c r="S1717" s="131">
        <f t="shared" si="191"/>
        <v>13</v>
      </c>
      <c r="T1717" s="7" t="s">
        <v>173</v>
      </c>
      <c r="U1717" s="7" t="s">
        <v>371</v>
      </c>
      <c r="V1717" s="7"/>
      <c r="W1717" s="7"/>
      <c r="X1717" s="132">
        <f t="shared" si="189"/>
        <v>10</v>
      </c>
      <c r="Y1717" s="133"/>
      <c r="Z1717" s="133"/>
      <c r="AA1717" s="133"/>
    </row>
    <row r="1718" spans="1:27" hidden="1" x14ac:dyDescent="0.25">
      <c r="A1718" s="127">
        <v>1881</v>
      </c>
      <c r="B1718" s="128" t="str">
        <f t="shared" si="190"/>
        <v>NAMS</v>
      </c>
      <c r="C1718" s="128" t="str">
        <f>+VLOOKUP(U1718,Ходим!A:B,2,0)</f>
        <v>30302965960014</v>
      </c>
      <c r="D1718" s="128" t="str">
        <f>IFERROR(VLOOKUP($B:$B,[20]свод!$A:$AB,3,0)," ")</f>
        <v>Наманган шаҳар</v>
      </c>
      <c r="E1718" s="7" t="s">
        <v>2854</v>
      </c>
      <c r="F1718" s="7" t="s">
        <v>9240</v>
      </c>
      <c r="G1718" s="134">
        <f t="shared" si="193"/>
        <v>1</v>
      </c>
      <c r="H1718" s="134" t="str">
        <f t="shared" si="194"/>
        <v/>
      </c>
      <c r="I1718" s="7" t="s">
        <v>156</v>
      </c>
      <c r="J1718" s="7" t="s">
        <v>25</v>
      </c>
      <c r="K1718" s="7"/>
      <c r="L1718" s="7"/>
      <c r="M1718" s="7"/>
      <c r="N1718" s="7" t="s">
        <v>170</v>
      </c>
      <c r="O1718" s="7" t="s">
        <v>162</v>
      </c>
      <c r="P1718" s="7" t="s">
        <v>7058</v>
      </c>
      <c r="Q1718" s="129">
        <v>46199</v>
      </c>
      <c r="R1718" s="130">
        <f t="shared" si="192"/>
        <v>46212</v>
      </c>
      <c r="S1718" s="131">
        <f t="shared" si="191"/>
        <v>13</v>
      </c>
      <c r="T1718" s="7" t="s">
        <v>173</v>
      </c>
      <c r="U1718" s="7" t="s">
        <v>304</v>
      </c>
      <c r="V1718" s="7"/>
      <c r="W1718" s="7"/>
      <c r="X1718" s="132">
        <f t="shared" si="189"/>
        <v>10</v>
      </c>
      <c r="Y1718" s="133"/>
      <c r="Z1718" s="133"/>
      <c r="AA1718" s="133"/>
    </row>
    <row r="1719" spans="1:27" hidden="1" x14ac:dyDescent="0.25">
      <c r="A1719" s="127">
        <v>1882</v>
      </c>
      <c r="B1719" s="128" t="str">
        <f t="shared" si="190"/>
        <v>NAMS</v>
      </c>
      <c r="C1719" s="128" t="str">
        <f>+VLOOKUP(U1719,Ходим!A:B,2,0)</f>
        <v>52503015960039</v>
      </c>
      <c r="D1719" s="128" t="str">
        <f>IFERROR(VLOOKUP($B:$B,[20]свод!$A:$AB,3,0)," ")</f>
        <v>Наманган шаҳар</v>
      </c>
      <c r="E1719" s="7" t="s">
        <v>2855</v>
      </c>
      <c r="F1719" s="7" t="s">
        <v>9241</v>
      </c>
      <c r="G1719" s="134">
        <f t="shared" si="193"/>
        <v>1</v>
      </c>
      <c r="H1719" s="134" t="str">
        <f t="shared" si="194"/>
        <v/>
      </c>
      <c r="I1719" s="7" t="s">
        <v>156</v>
      </c>
      <c r="J1719" s="7" t="s">
        <v>25</v>
      </c>
      <c r="K1719" s="7"/>
      <c r="L1719" s="7" t="s">
        <v>167</v>
      </c>
      <c r="M1719" s="7" t="s">
        <v>5336</v>
      </c>
      <c r="N1719" s="7" t="s">
        <v>170</v>
      </c>
      <c r="O1719" s="7" t="s">
        <v>162</v>
      </c>
      <c r="P1719" s="7" t="s">
        <v>7058</v>
      </c>
      <c r="Q1719" s="129">
        <v>46199</v>
      </c>
      <c r="R1719" s="130">
        <f t="shared" si="192"/>
        <v>46212</v>
      </c>
      <c r="S1719" s="131">
        <f t="shared" si="191"/>
        <v>13</v>
      </c>
      <c r="T1719" s="7" t="s">
        <v>173</v>
      </c>
      <c r="U1719" s="7" t="s">
        <v>246</v>
      </c>
      <c r="V1719" s="7"/>
      <c r="W1719" s="7">
        <v>514.33000000000004</v>
      </c>
      <c r="X1719" s="132">
        <f t="shared" si="189"/>
        <v>10</v>
      </c>
      <c r="Y1719" s="133"/>
      <c r="Z1719" s="133"/>
      <c r="AA1719" s="133"/>
    </row>
    <row r="1720" spans="1:27" hidden="1" x14ac:dyDescent="0.25">
      <c r="A1720" s="127">
        <v>1883</v>
      </c>
      <c r="B1720" s="128" t="str">
        <f t="shared" si="190"/>
        <v>KSST</v>
      </c>
      <c r="C1720" s="128" t="e">
        <f>+VLOOKUP(U1720,Ходим!A:B,2,0)</f>
        <v>#N/A</v>
      </c>
      <c r="D1720" s="128" t="str">
        <f>IFERROR(VLOOKUP($B:$B,[20]свод!$A:$AB,3,0)," ")</f>
        <v>Косонсой тумани</v>
      </c>
      <c r="E1720" s="7" t="s">
        <v>2856</v>
      </c>
      <c r="F1720" s="7" t="s">
        <v>9242</v>
      </c>
      <c r="G1720" s="134">
        <f t="shared" si="193"/>
        <v>1</v>
      </c>
      <c r="H1720" s="134" t="str">
        <f t="shared" si="194"/>
        <v/>
      </c>
      <c r="I1720" s="7" t="s">
        <v>156</v>
      </c>
      <c r="J1720" s="7" t="s">
        <v>25</v>
      </c>
      <c r="K1720" s="7"/>
      <c r="L1720" s="7"/>
      <c r="M1720" s="7"/>
      <c r="N1720" s="7" t="s">
        <v>170</v>
      </c>
      <c r="O1720" s="7" t="s">
        <v>162</v>
      </c>
      <c r="P1720" s="7" t="s">
        <v>7058</v>
      </c>
      <c r="Q1720" s="129">
        <v>46199</v>
      </c>
      <c r="R1720" s="130">
        <f t="shared" si="192"/>
        <v>46212</v>
      </c>
      <c r="S1720" s="131">
        <f t="shared" si="191"/>
        <v>13</v>
      </c>
      <c r="T1720" s="7" t="s">
        <v>180</v>
      </c>
      <c r="U1720" s="7" t="s">
        <v>10634</v>
      </c>
      <c r="V1720" s="7"/>
      <c r="W1720" s="7"/>
      <c r="X1720" s="132">
        <f t="shared" si="189"/>
        <v>10</v>
      </c>
      <c r="Y1720" s="133"/>
      <c r="Z1720" s="133"/>
      <c r="AA1720" s="133"/>
    </row>
    <row r="1721" spans="1:27" hidden="1" x14ac:dyDescent="0.25">
      <c r="A1721" s="127">
        <v>1884</v>
      </c>
      <c r="B1721" s="128" t="str">
        <f t="shared" si="190"/>
        <v>YGQT</v>
      </c>
      <c r="C1721" s="128" t="str">
        <f>+VLOOKUP(U1721,Ходим!A:B,2,0)</f>
        <v>32806922160043</v>
      </c>
      <c r="D1721" s="128" t="str">
        <f>IFERROR(VLOOKUP($B:$B,[20]свод!$A:$AB,3,0)," ")</f>
        <v>Янгиқўрғон тумани</v>
      </c>
      <c r="E1721" s="7" t="s">
        <v>2857</v>
      </c>
      <c r="F1721" s="7" t="s">
        <v>9243</v>
      </c>
      <c r="G1721" s="134">
        <f t="shared" si="193"/>
        <v>1</v>
      </c>
      <c r="H1721" s="134" t="str">
        <f t="shared" si="194"/>
        <v/>
      </c>
      <c r="I1721" s="7" t="s">
        <v>158</v>
      </c>
      <c r="J1721" s="7" t="s">
        <v>134</v>
      </c>
      <c r="K1721" s="7" t="s">
        <v>10628</v>
      </c>
      <c r="L1721" s="7" t="s">
        <v>167</v>
      </c>
      <c r="M1721" s="7" t="s">
        <v>5337</v>
      </c>
      <c r="N1721" s="7" t="s">
        <v>171</v>
      </c>
      <c r="O1721" s="7" t="s">
        <v>164</v>
      </c>
      <c r="P1721" s="7" t="s">
        <v>7059</v>
      </c>
      <c r="Q1721" s="129">
        <v>46199</v>
      </c>
      <c r="R1721" s="130">
        <f t="shared" si="192"/>
        <v>46202</v>
      </c>
      <c r="S1721" s="131">
        <f t="shared" si="191"/>
        <v>3</v>
      </c>
      <c r="T1721" s="7" t="s">
        <v>182</v>
      </c>
      <c r="U1721" s="7" t="s">
        <v>186</v>
      </c>
      <c r="V1721" s="7"/>
      <c r="W1721" s="7">
        <v>0</v>
      </c>
      <c r="X1721" s="132">
        <f t="shared" si="189"/>
        <v>10</v>
      </c>
      <c r="Y1721" s="133"/>
      <c r="Z1721" s="133"/>
      <c r="AA1721" s="133"/>
    </row>
    <row r="1722" spans="1:27" hidden="1" x14ac:dyDescent="0.25">
      <c r="A1722" s="127">
        <v>1885</v>
      </c>
      <c r="B1722" s="128" t="str">
        <f t="shared" si="190"/>
        <v>UCQT</v>
      </c>
      <c r="C1722" s="128" t="str">
        <f>+VLOOKUP(U1722,Ходим!A:B,2,0)</f>
        <v>31402915940019</v>
      </c>
      <c r="D1722" s="128" t="str">
        <f>IFERROR(VLOOKUP($B:$B,[20]свод!$A:$AB,3,0)," ")</f>
        <v>Учқўрғон тумани</v>
      </c>
      <c r="E1722" s="7" t="s">
        <v>2858</v>
      </c>
      <c r="F1722" s="7" t="s">
        <v>9244</v>
      </c>
      <c r="G1722" s="134">
        <f t="shared" si="193"/>
        <v>1</v>
      </c>
      <c r="H1722" s="134" t="str">
        <f t="shared" si="194"/>
        <v/>
      </c>
      <c r="I1722" s="7" t="s">
        <v>158</v>
      </c>
      <c r="J1722" s="7" t="s">
        <v>2</v>
      </c>
      <c r="K1722" s="7"/>
      <c r="L1722" s="7" t="s">
        <v>167</v>
      </c>
      <c r="M1722" s="7" t="s">
        <v>5338</v>
      </c>
      <c r="N1722" s="7" t="s">
        <v>170</v>
      </c>
      <c r="O1722" s="7" t="s">
        <v>162</v>
      </c>
      <c r="P1722" s="7" t="s">
        <v>7059</v>
      </c>
      <c r="Q1722" s="129">
        <v>46199</v>
      </c>
      <c r="R1722" s="130">
        <f t="shared" si="192"/>
        <v>46202</v>
      </c>
      <c r="S1722" s="131">
        <f t="shared" si="191"/>
        <v>3</v>
      </c>
      <c r="T1722" s="7" t="s">
        <v>175</v>
      </c>
      <c r="U1722" s="7" t="s">
        <v>292</v>
      </c>
      <c r="V1722" s="7"/>
      <c r="W1722" s="7">
        <v>190.52</v>
      </c>
      <c r="X1722" s="132">
        <f t="shared" si="189"/>
        <v>10</v>
      </c>
      <c r="Y1722" s="133"/>
      <c r="Z1722" s="133"/>
      <c r="AA1722" s="133"/>
    </row>
    <row r="1723" spans="1:27" hidden="1" x14ac:dyDescent="0.25">
      <c r="A1723" s="127">
        <v>1886</v>
      </c>
      <c r="B1723" s="128" t="str">
        <f t="shared" si="190"/>
        <v>UCQT</v>
      </c>
      <c r="C1723" s="128" t="str">
        <f>+VLOOKUP(U1723,Ходим!A:B,2,0)</f>
        <v>51107025940051</v>
      </c>
      <c r="D1723" s="128" t="str">
        <f>IFERROR(VLOOKUP($B:$B,[20]свод!$A:$AB,3,0)," ")</f>
        <v>Учқўрғон тумани</v>
      </c>
      <c r="E1723" s="7" t="s">
        <v>2859</v>
      </c>
      <c r="F1723" s="7" t="s">
        <v>9245</v>
      </c>
      <c r="G1723" s="134">
        <f t="shared" si="193"/>
        <v>1</v>
      </c>
      <c r="H1723" s="134" t="str">
        <f t="shared" si="194"/>
        <v/>
      </c>
      <c r="I1723" s="7" t="s">
        <v>158</v>
      </c>
      <c r="J1723" s="7" t="s">
        <v>36</v>
      </c>
      <c r="K1723" s="7"/>
      <c r="L1723" s="7" t="s">
        <v>167</v>
      </c>
      <c r="M1723" s="7" t="s">
        <v>5339</v>
      </c>
      <c r="N1723" s="7" t="s">
        <v>170</v>
      </c>
      <c r="O1723" s="7" t="s">
        <v>162</v>
      </c>
      <c r="P1723" s="7" t="s">
        <v>7060</v>
      </c>
      <c r="Q1723" s="129">
        <v>46199</v>
      </c>
      <c r="R1723" s="130">
        <f t="shared" si="192"/>
        <v>46202</v>
      </c>
      <c r="S1723" s="131">
        <f t="shared" si="191"/>
        <v>3</v>
      </c>
      <c r="T1723" s="7" t="s">
        <v>175</v>
      </c>
      <c r="U1723" s="7" t="s">
        <v>296</v>
      </c>
      <c r="V1723" s="7"/>
      <c r="W1723" s="7">
        <v>231.77</v>
      </c>
      <c r="X1723" s="132">
        <f t="shared" si="189"/>
        <v>10</v>
      </c>
      <c r="Y1723" s="133"/>
      <c r="Z1723" s="133"/>
      <c r="AA1723" s="133"/>
    </row>
    <row r="1724" spans="1:27" hidden="1" x14ac:dyDescent="0.25">
      <c r="A1724" s="127">
        <v>1887</v>
      </c>
      <c r="B1724" s="128" t="str">
        <f t="shared" si="190"/>
        <v>NAMS</v>
      </c>
      <c r="C1724" s="128" t="str">
        <f>+VLOOKUP(U1724,Ходим!A:B,2,0)</f>
        <v>31312985950011</v>
      </c>
      <c r="D1724" s="128" t="str">
        <f>IFERROR(VLOOKUP($B:$B,[20]свод!$A:$AB,3,0)," ")</f>
        <v>Наманган шаҳар</v>
      </c>
      <c r="E1724" s="7" t="s">
        <v>2860</v>
      </c>
      <c r="F1724" s="7" t="s">
        <v>9246</v>
      </c>
      <c r="G1724" s="134">
        <f t="shared" si="193"/>
        <v>1</v>
      </c>
      <c r="H1724" s="134" t="str">
        <f t="shared" si="194"/>
        <v/>
      </c>
      <c r="I1724" s="7" t="s">
        <v>156</v>
      </c>
      <c r="J1724" s="7" t="s">
        <v>25</v>
      </c>
      <c r="K1724" s="7"/>
      <c r="L1724" s="7" t="s">
        <v>167</v>
      </c>
      <c r="M1724" s="7" t="s">
        <v>5340</v>
      </c>
      <c r="N1724" s="7" t="s">
        <v>170</v>
      </c>
      <c r="O1724" s="7" t="s">
        <v>162</v>
      </c>
      <c r="P1724" s="7" t="s">
        <v>7061</v>
      </c>
      <c r="Q1724" s="129">
        <v>46199</v>
      </c>
      <c r="R1724" s="130">
        <f t="shared" si="192"/>
        <v>46212</v>
      </c>
      <c r="S1724" s="131">
        <f t="shared" si="191"/>
        <v>13</v>
      </c>
      <c r="T1724" s="7" t="s">
        <v>173</v>
      </c>
      <c r="U1724" s="7" t="s">
        <v>303</v>
      </c>
      <c r="V1724" s="7"/>
      <c r="W1724" s="7">
        <v>580.84</v>
      </c>
      <c r="X1724" s="132">
        <f t="shared" si="189"/>
        <v>10</v>
      </c>
      <c r="Y1724" s="133"/>
      <c r="Z1724" s="133"/>
      <c r="AA1724" s="133"/>
    </row>
    <row r="1725" spans="1:27" hidden="1" x14ac:dyDescent="0.25">
      <c r="A1725" s="127">
        <v>1888</v>
      </c>
      <c r="B1725" s="128" t="str">
        <f t="shared" si="190"/>
        <v>KSST</v>
      </c>
      <c r="C1725" s="128" t="str">
        <f>+VLOOKUP(U1725,Ходим!A:B,2,0)</f>
        <v>50709025980034</v>
      </c>
      <c r="D1725" s="128" t="str">
        <f>IFERROR(VLOOKUP($B:$B,[20]свод!$A:$AB,3,0)," ")</f>
        <v>Косонсой тумани</v>
      </c>
      <c r="E1725" s="7" t="s">
        <v>2861</v>
      </c>
      <c r="F1725" s="7" t="s">
        <v>9247</v>
      </c>
      <c r="G1725" s="134" t="str">
        <f t="shared" si="193"/>
        <v/>
      </c>
      <c r="H1725" s="134">
        <f t="shared" si="194"/>
        <v>1</v>
      </c>
      <c r="I1725" s="7" t="s">
        <v>157</v>
      </c>
      <c r="J1725" s="7" t="s">
        <v>2</v>
      </c>
      <c r="K1725" s="7"/>
      <c r="L1725" s="7"/>
      <c r="M1725" s="7"/>
      <c r="N1725" s="7" t="s">
        <v>170</v>
      </c>
      <c r="O1725" s="7" t="s">
        <v>161</v>
      </c>
      <c r="P1725" s="7" t="s">
        <v>7062</v>
      </c>
      <c r="Q1725" s="129">
        <v>46199</v>
      </c>
      <c r="R1725" s="130">
        <f t="shared" si="192"/>
        <v>46206</v>
      </c>
      <c r="S1725" s="131">
        <f t="shared" si="191"/>
        <v>7</v>
      </c>
      <c r="T1725" s="7" t="s">
        <v>180</v>
      </c>
      <c r="U1725" s="7" t="s">
        <v>286</v>
      </c>
      <c r="V1725" s="7"/>
      <c r="W1725" s="7"/>
      <c r="X1725" s="132">
        <f t="shared" si="189"/>
        <v>10</v>
      </c>
      <c r="Y1725" s="133"/>
      <c r="Z1725" s="133"/>
      <c r="AA1725" s="133"/>
    </row>
    <row r="1726" spans="1:27" hidden="1" x14ac:dyDescent="0.25">
      <c r="A1726" s="127">
        <v>1889</v>
      </c>
      <c r="B1726" s="128" t="str">
        <f t="shared" si="190"/>
        <v>CHUT</v>
      </c>
      <c r="C1726" s="128" t="str">
        <f>+VLOOKUP(U1726,Ходим!A:B,2,0)</f>
        <v>32003822180063</v>
      </c>
      <c r="D1726" s="128" t="str">
        <f>IFERROR(VLOOKUP($B:$B,[20]свод!$A:$AB,3,0)," ")</f>
        <v>Чуст тумани</v>
      </c>
      <c r="E1726" s="7" t="s">
        <v>2862</v>
      </c>
      <c r="F1726" s="7" t="s">
        <v>9248</v>
      </c>
      <c r="G1726" s="134" t="str">
        <f t="shared" si="193"/>
        <v/>
      </c>
      <c r="H1726" s="134">
        <f t="shared" si="194"/>
        <v>1</v>
      </c>
      <c r="I1726" s="7" t="s">
        <v>157</v>
      </c>
      <c r="J1726" s="7" t="s">
        <v>1</v>
      </c>
      <c r="K1726" s="7"/>
      <c r="L1726" s="7" t="s">
        <v>166</v>
      </c>
      <c r="M1726" s="7" t="s">
        <v>5341</v>
      </c>
      <c r="N1726" s="7" t="s">
        <v>170</v>
      </c>
      <c r="O1726" s="7" t="s">
        <v>161</v>
      </c>
      <c r="P1726" s="7" t="s">
        <v>7063</v>
      </c>
      <c r="Q1726" s="129">
        <v>46199</v>
      </c>
      <c r="R1726" s="130">
        <f t="shared" si="192"/>
        <v>46204</v>
      </c>
      <c r="S1726" s="131">
        <f t="shared" si="191"/>
        <v>5</v>
      </c>
      <c r="T1726" s="7" t="s">
        <v>178</v>
      </c>
      <c r="U1726" s="7" t="s">
        <v>200</v>
      </c>
      <c r="V1726" s="7"/>
      <c r="W1726" s="7">
        <v>355.62</v>
      </c>
      <c r="X1726" s="132">
        <f t="shared" si="189"/>
        <v>12</v>
      </c>
      <c r="Y1726" s="133"/>
      <c r="Z1726" s="133"/>
      <c r="AA1726" s="133"/>
    </row>
    <row r="1727" spans="1:27" hidden="1" x14ac:dyDescent="0.25">
      <c r="A1727" s="127">
        <v>1890</v>
      </c>
      <c r="B1727" s="128" t="str">
        <f t="shared" si="190"/>
        <v>UYCT</v>
      </c>
      <c r="C1727" s="128" t="str">
        <f>+VLOOKUP(U1727,Ходим!A:B,2,0)</f>
        <v>51501005930032</v>
      </c>
      <c r="D1727" s="128" t="str">
        <f>IFERROR(VLOOKUP($B:$B,[20]свод!$A:$AB,3,0)," ")</f>
        <v>Уйчи тумани</v>
      </c>
      <c r="E1727" s="7" t="s">
        <v>2863</v>
      </c>
      <c r="F1727" s="7" t="s">
        <v>9249</v>
      </c>
      <c r="G1727" s="134" t="str">
        <f t="shared" si="193"/>
        <v/>
      </c>
      <c r="H1727" s="134">
        <f t="shared" si="194"/>
        <v>1</v>
      </c>
      <c r="I1727" s="7" t="s">
        <v>157</v>
      </c>
      <c r="J1727" s="7" t="s">
        <v>2</v>
      </c>
      <c r="K1727" s="7"/>
      <c r="L1727" s="7" t="s">
        <v>166</v>
      </c>
      <c r="M1727" s="7" t="s">
        <v>5342</v>
      </c>
      <c r="N1727" s="7" t="s">
        <v>410</v>
      </c>
      <c r="O1727" s="7" t="s">
        <v>161</v>
      </c>
      <c r="P1727" s="7" t="s">
        <v>7064</v>
      </c>
      <c r="Q1727" s="129">
        <v>46199</v>
      </c>
      <c r="R1727" s="130">
        <f t="shared" si="192"/>
        <v>46205</v>
      </c>
      <c r="S1727" s="131">
        <f t="shared" si="191"/>
        <v>6</v>
      </c>
      <c r="T1727" s="7" t="s">
        <v>947</v>
      </c>
      <c r="U1727" s="7" t="s">
        <v>326</v>
      </c>
      <c r="V1727" s="7"/>
      <c r="W1727" s="7">
        <v>0</v>
      </c>
      <c r="X1727" s="132">
        <f t="shared" si="189"/>
        <v>10</v>
      </c>
      <c r="Y1727" s="133"/>
      <c r="Z1727" s="133"/>
      <c r="AA1727" s="133"/>
    </row>
    <row r="1728" spans="1:27" hidden="1" x14ac:dyDescent="0.25">
      <c r="A1728" s="127">
        <v>1891</v>
      </c>
      <c r="B1728" s="128" t="str">
        <f t="shared" si="190"/>
        <v>UCQT</v>
      </c>
      <c r="C1728" s="128" t="e">
        <f>+VLOOKUP(U1728,Ходим!A:B,2,0)</f>
        <v>#N/A</v>
      </c>
      <c r="D1728" s="128" t="str">
        <f>IFERROR(VLOOKUP($B:$B,[20]свод!$A:$AB,3,0)," ")</f>
        <v>Учқўрғон тумани</v>
      </c>
      <c r="E1728" s="7" t="s">
        <v>2864</v>
      </c>
      <c r="F1728" s="7" t="s">
        <v>9250</v>
      </c>
      <c r="G1728" s="134">
        <f t="shared" si="193"/>
        <v>1</v>
      </c>
      <c r="H1728" s="134" t="str">
        <f t="shared" si="194"/>
        <v/>
      </c>
      <c r="I1728" s="7" t="s">
        <v>156</v>
      </c>
      <c r="J1728" s="7" t="s">
        <v>11</v>
      </c>
      <c r="K1728" s="7"/>
      <c r="L1728" s="7"/>
      <c r="M1728" s="7"/>
      <c r="N1728" s="7" t="s">
        <v>170</v>
      </c>
      <c r="O1728" s="7" t="s">
        <v>162</v>
      </c>
      <c r="P1728" s="7" t="s">
        <v>7065</v>
      </c>
      <c r="Q1728" s="129">
        <v>46199</v>
      </c>
      <c r="R1728" s="130">
        <f t="shared" si="192"/>
        <v>46212</v>
      </c>
      <c r="S1728" s="131">
        <f t="shared" si="191"/>
        <v>13</v>
      </c>
      <c r="T1728" s="7"/>
      <c r="U1728" s="7"/>
      <c r="V1728" s="7"/>
      <c r="W1728" s="7"/>
      <c r="X1728" s="132">
        <f t="shared" si="189"/>
        <v>10</v>
      </c>
      <c r="Y1728" s="133"/>
      <c r="Z1728" s="133"/>
      <c r="AA1728" s="133"/>
    </row>
    <row r="1729" spans="1:27" hidden="1" x14ac:dyDescent="0.25">
      <c r="A1729" s="127">
        <v>1892</v>
      </c>
      <c r="B1729" s="128" t="str">
        <f t="shared" si="190"/>
        <v>YGQT</v>
      </c>
      <c r="C1729" s="128" t="e">
        <f>+VLOOKUP(U1729,Ходим!A:B,2,0)</f>
        <v>#N/A</v>
      </c>
      <c r="D1729" s="128" t="str">
        <f>IFERROR(VLOOKUP($B:$B,[20]свод!$A:$AB,3,0)," ")</f>
        <v>Янгиқўрғон тумани</v>
      </c>
      <c r="E1729" s="7" t="s">
        <v>2865</v>
      </c>
      <c r="F1729" s="7" t="s">
        <v>9251</v>
      </c>
      <c r="G1729" s="134" t="str">
        <f t="shared" si="193"/>
        <v/>
      </c>
      <c r="H1729" s="134">
        <f t="shared" si="194"/>
        <v>1</v>
      </c>
      <c r="I1729" s="7" t="s">
        <v>155</v>
      </c>
      <c r="J1729" s="7" t="s">
        <v>21</v>
      </c>
      <c r="K1729" s="7"/>
      <c r="L1729" s="7" t="s">
        <v>168</v>
      </c>
      <c r="M1729" s="7" t="s">
        <v>5343</v>
      </c>
      <c r="N1729" s="7" t="s">
        <v>170</v>
      </c>
      <c r="O1729" s="7" t="s">
        <v>161</v>
      </c>
      <c r="P1729" s="7" t="s">
        <v>7065</v>
      </c>
      <c r="Q1729" s="129">
        <v>46199</v>
      </c>
      <c r="R1729" s="130">
        <f t="shared" si="192"/>
        <v>46209</v>
      </c>
      <c r="S1729" s="131">
        <f t="shared" si="191"/>
        <v>10</v>
      </c>
      <c r="T1729" s="7" t="s">
        <v>182</v>
      </c>
      <c r="U1729" s="7"/>
      <c r="V1729" s="7"/>
      <c r="W1729" s="7">
        <v>0</v>
      </c>
      <c r="X1729" s="132">
        <f t="shared" si="189"/>
        <v>7</v>
      </c>
      <c r="Y1729" s="133"/>
      <c r="Z1729" s="133"/>
      <c r="AA1729" s="133"/>
    </row>
    <row r="1730" spans="1:27" x14ac:dyDescent="0.25">
      <c r="A1730" s="127">
        <v>1893</v>
      </c>
      <c r="B1730" s="128" t="str">
        <f t="shared" si="190"/>
        <v>YGQT</v>
      </c>
      <c r="C1730" s="128" t="str">
        <f>+VLOOKUP(U1730,Ходим!A:B,2,0)</f>
        <v>30107965950010</v>
      </c>
      <c r="D1730" s="128" t="str">
        <f>IFERROR(VLOOKUP($B:$B,[20]свод!$A:$AB,3,0)," ")</f>
        <v>Янгиқўрғон тумани</v>
      </c>
      <c r="E1730" s="7" t="s">
        <v>2866</v>
      </c>
      <c r="F1730" s="7"/>
      <c r="G1730" s="134">
        <f t="shared" si="193"/>
        <v>1</v>
      </c>
      <c r="H1730" s="134" t="str">
        <f t="shared" si="194"/>
        <v/>
      </c>
      <c r="I1730" s="7" t="s">
        <v>154</v>
      </c>
      <c r="J1730" s="7" t="s">
        <v>145</v>
      </c>
      <c r="K1730" s="7"/>
      <c r="L1730" s="7" t="s">
        <v>167</v>
      </c>
      <c r="M1730" s="7" t="s">
        <v>5344</v>
      </c>
      <c r="N1730" s="7" t="s">
        <v>368</v>
      </c>
      <c r="O1730" s="7"/>
      <c r="P1730" s="7" t="s">
        <v>7066</v>
      </c>
      <c r="Q1730" s="129">
        <v>46199</v>
      </c>
      <c r="R1730" s="130">
        <f t="shared" si="192"/>
        <v>46199</v>
      </c>
      <c r="S1730" s="131">
        <f t="shared" si="191"/>
        <v>0</v>
      </c>
      <c r="T1730" s="7" t="s">
        <v>182</v>
      </c>
      <c r="U1730" s="7" t="s">
        <v>244</v>
      </c>
      <c r="V1730" s="7" t="s">
        <v>965</v>
      </c>
      <c r="W1730" s="7">
        <v>345.31</v>
      </c>
      <c r="X1730" s="132">
        <f t="shared" si="189"/>
        <v>5</v>
      </c>
      <c r="Y1730" s="133"/>
      <c r="Z1730" s="133"/>
      <c r="AA1730" s="133"/>
    </row>
    <row r="1731" spans="1:27" hidden="1" x14ac:dyDescent="0.25">
      <c r="A1731" s="127">
        <v>1894</v>
      </c>
      <c r="B1731" s="128" t="str">
        <f t="shared" si="190"/>
        <v>KSST</v>
      </c>
      <c r="C1731" s="128" t="str">
        <f>+VLOOKUP(U1731,Ходим!A:B,2,0)</f>
        <v>30703792190108</v>
      </c>
      <c r="D1731" s="128" t="str">
        <f>IFERROR(VLOOKUP($B:$B,[20]свод!$A:$AB,3,0)," ")</f>
        <v>Косонсой тумани</v>
      </c>
      <c r="E1731" s="7" t="s">
        <v>2867</v>
      </c>
      <c r="F1731" s="7" t="s">
        <v>9252</v>
      </c>
      <c r="G1731" s="134">
        <f t="shared" si="193"/>
        <v>1</v>
      </c>
      <c r="H1731" s="134" t="str">
        <f t="shared" si="194"/>
        <v/>
      </c>
      <c r="I1731" s="7" t="s">
        <v>158</v>
      </c>
      <c r="J1731" s="7" t="s">
        <v>2</v>
      </c>
      <c r="K1731" s="7"/>
      <c r="L1731" s="7" t="s">
        <v>167</v>
      </c>
      <c r="M1731" s="7" t="s">
        <v>5345</v>
      </c>
      <c r="N1731" s="7" t="s">
        <v>170</v>
      </c>
      <c r="O1731" s="7" t="s">
        <v>162</v>
      </c>
      <c r="P1731" s="7" t="s">
        <v>7067</v>
      </c>
      <c r="Q1731" s="129">
        <v>46199</v>
      </c>
      <c r="R1731" s="130">
        <f t="shared" si="192"/>
        <v>46202</v>
      </c>
      <c r="S1731" s="131">
        <f t="shared" si="191"/>
        <v>3</v>
      </c>
      <c r="T1731" s="7" t="s">
        <v>180</v>
      </c>
      <c r="U1731" s="7" t="s">
        <v>231</v>
      </c>
      <c r="V1731" s="7"/>
      <c r="W1731" s="7">
        <v>63.4</v>
      </c>
      <c r="X1731" s="132">
        <f t="shared" si="189"/>
        <v>10</v>
      </c>
      <c r="Y1731" s="133"/>
      <c r="Z1731" s="133"/>
      <c r="AA1731" s="133"/>
    </row>
    <row r="1732" spans="1:27" hidden="1" x14ac:dyDescent="0.25">
      <c r="A1732" s="127">
        <v>1895</v>
      </c>
      <c r="B1732" s="128" t="str">
        <f t="shared" si="190"/>
        <v>UYCT</v>
      </c>
      <c r="C1732" s="128" t="str">
        <f>+VLOOKUP(U1732,Ходим!A:B,2,0)</f>
        <v>31101985930022</v>
      </c>
      <c r="D1732" s="128" t="str">
        <f>IFERROR(VLOOKUP($B:$B,[20]свод!$A:$AB,3,0)," ")</f>
        <v>Уйчи тумани</v>
      </c>
      <c r="E1732" s="7" t="s">
        <v>2868</v>
      </c>
      <c r="F1732" s="7" t="s">
        <v>9253</v>
      </c>
      <c r="G1732" s="134">
        <f t="shared" si="193"/>
        <v>1</v>
      </c>
      <c r="H1732" s="134" t="str">
        <f t="shared" si="194"/>
        <v/>
      </c>
      <c r="I1732" s="7" t="s">
        <v>158</v>
      </c>
      <c r="J1732" s="7" t="s">
        <v>172</v>
      </c>
      <c r="K1732" s="7"/>
      <c r="L1732" s="7"/>
      <c r="M1732" s="7"/>
      <c r="N1732" s="7" t="s">
        <v>410</v>
      </c>
      <c r="O1732" s="7" t="s">
        <v>162</v>
      </c>
      <c r="P1732" s="7" t="s">
        <v>7068</v>
      </c>
      <c r="Q1732" s="129">
        <v>46199</v>
      </c>
      <c r="R1732" s="130">
        <f t="shared" si="192"/>
        <v>46206</v>
      </c>
      <c r="S1732" s="131">
        <f t="shared" si="191"/>
        <v>7</v>
      </c>
      <c r="T1732" s="7" t="s">
        <v>947</v>
      </c>
      <c r="U1732" s="7" t="s">
        <v>299</v>
      </c>
      <c r="V1732" s="7"/>
      <c r="W1732" s="7"/>
      <c r="X1732" s="132">
        <f t="shared" ref="X1732:X1787" si="195">IF(N1732="Kadastr muhandisi",3,
IF(N1732="UZKAD",5,
IF(V1732="FREE",5,
IF(I1732="Registratsiya (tashqi - UZKAD da bor)",1,
IF(I1732="Avtoyo'l va suv xo'jaligi obyektining kadastr pasportini shakllantirish va ro'yxatga olish",7,
IF(I1732="Notarius uchun ma'lumotnoma (uz)",1,
IF(I1732="Qurilishi tugallangan ko'chmas mulkni foydalanishga qabul qilish",10,
IF(OR(I1732="Turar joy obyektning kadastr pasportini shakllantirish va davlat ro'yxatidan o'tkazish",I1732="Turar kompozit"),
IF(L1732="Turar yer maydoni",7,10),
IF(OR(I1732="Noturar obyektning kadastr pasportini shakllantirish va davlat ro'yxatidan o'tkazish",I1732="Noturar kompozit"),
IF(O1732="Ko‘p yillik daraxtlar xizmati",15,
IF(OR(L1732="Noturar yer maydoni",L1732="Davlat tashkilotlaridan ijaraga olingan yer uchastkasi"),7,
IF(W1732&lt;100,10,IF(W1732&lt;=1000,12,IF(W1732&lt;=5000,17,IF(W1732&lt;=15000,22,IF(W1732&lt;=50000,28,37))))))),
IF(I1732="Umumiy foydalanishdagi ko'chmas mulk qismini yaratish",
IF(IF(TRIM(L1732)="",IF(OR(O1732="Turar joy xizmati",O1732="Yakka tartibdagi turar joy"),"Turar","Noturar"),IF(OR(L1732="Yakka tartibdagi turar joy",L1732="Turar joy xizmati"),"Turar","Noturar"))="Turar",
10,IF(W1732&lt;100,10,IF(W1732&lt;=1000,12,IF(W1732&lt;=5000,17,IF(W1732&lt;=15000,22,IF(W1732&lt;=50000,28,37)))))),
0))))))))))</f>
        <v>10</v>
      </c>
      <c r="Y1732" s="133"/>
      <c r="Z1732" s="133"/>
      <c r="AA1732" s="133"/>
    </row>
    <row r="1733" spans="1:27" hidden="1" x14ac:dyDescent="0.25">
      <c r="A1733" s="127">
        <v>1896</v>
      </c>
      <c r="B1733" s="128" t="str">
        <f t="shared" ref="B1733:B1788" si="196">LEFT(E1733,4)</f>
        <v>UYCT</v>
      </c>
      <c r="C1733" s="128" t="str">
        <f>+VLOOKUP(U1733,Ходим!A:B,2,0)</f>
        <v>31310995930032</v>
      </c>
      <c r="D1733" s="128" t="str">
        <f>IFERROR(VLOOKUP($B:$B,[20]свод!$A:$AB,3,0)," ")</f>
        <v>Уйчи тумани</v>
      </c>
      <c r="E1733" s="7" t="s">
        <v>2869</v>
      </c>
      <c r="F1733" s="7" t="s">
        <v>9254</v>
      </c>
      <c r="G1733" s="134">
        <f t="shared" si="193"/>
        <v>1</v>
      </c>
      <c r="H1733" s="134" t="str">
        <f t="shared" si="194"/>
        <v/>
      </c>
      <c r="I1733" s="7" t="s">
        <v>158</v>
      </c>
      <c r="J1733" s="7" t="s">
        <v>35</v>
      </c>
      <c r="K1733" s="7"/>
      <c r="L1733" s="7" t="s">
        <v>167</v>
      </c>
      <c r="M1733" s="7" t="s">
        <v>5346</v>
      </c>
      <c r="N1733" s="7" t="s">
        <v>170</v>
      </c>
      <c r="O1733" s="7" t="s">
        <v>162</v>
      </c>
      <c r="P1733" s="7" t="s">
        <v>7069</v>
      </c>
      <c r="Q1733" s="129">
        <v>46199</v>
      </c>
      <c r="R1733" s="130">
        <f t="shared" si="192"/>
        <v>46202</v>
      </c>
      <c r="S1733" s="131">
        <f t="shared" ref="S1733:S1788" si="197">R1733-Q1733</f>
        <v>3</v>
      </c>
      <c r="T1733" s="7" t="s">
        <v>379</v>
      </c>
      <c r="U1733" s="7" t="s">
        <v>399</v>
      </c>
      <c r="V1733" s="7"/>
      <c r="W1733" s="7">
        <v>209.4</v>
      </c>
      <c r="X1733" s="132">
        <f t="shared" si="195"/>
        <v>10</v>
      </c>
      <c r="Y1733" s="133"/>
      <c r="Z1733" s="133"/>
      <c r="AA1733" s="133"/>
    </row>
    <row r="1734" spans="1:27" hidden="1" x14ac:dyDescent="0.25">
      <c r="A1734" s="127">
        <v>1897</v>
      </c>
      <c r="B1734" s="128" t="str">
        <f t="shared" si="196"/>
        <v>NAMT</v>
      </c>
      <c r="C1734" s="128" t="str">
        <f>+VLOOKUP(U1734,Ходим!A:B,2,0)</f>
        <v>31702942090041</v>
      </c>
      <c r="D1734" s="128" t="str">
        <f>IFERROR(VLOOKUP($B:$B,[20]свод!$A:$AB,3,0)," ")</f>
        <v>Наманган тумани</v>
      </c>
      <c r="E1734" s="7" t="s">
        <v>2870</v>
      </c>
      <c r="F1734" s="7" t="s">
        <v>9255</v>
      </c>
      <c r="G1734" s="134">
        <f t="shared" si="193"/>
        <v>1</v>
      </c>
      <c r="H1734" s="134" t="str">
        <f t="shared" si="194"/>
        <v/>
      </c>
      <c r="I1734" s="7" t="s">
        <v>158</v>
      </c>
      <c r="J1734" s="7" t="s">
        <v>1</v>
      </c>
      <c r="K1734" s="7"/>
      <c r="L1734" s="7" t="s">
        <v>167</v>
      </c>
      <c r="M1734" s="7" t="s">
        <v>5347</v>
      </c>
      <c r="N1734" s="7" t="s">
        <v>170</v>
      </c>
      <c r="O1734" s="7" t="s">
        <v>162</v>
      </c>
      <c r="P1734" s="7" t="s">
        <v>7070</v>
      </c>
      <c r="Q1734" s="129">
        <v>46199</v>
      </c>
      <c r="R1734" s="130">
        <f t="shared" si="192"/>
        <v>46202</v>
      </c>
      <c r="S1734" s="131">
        <f t="shared" si="197"/>
        <v>3</v>
      </c>
      <c r="T1734" s="7" t="s">
        <v>193</v>
      </c>
      <c r="U1734" s="7" t="s">
        <v>194</v>
      </c>
      <c r="V1734" s="7"/>
      <c r="W1734" s="7">
        <v>186.78</v>
      </c>
      <c r="X1734" s="132">
        <f t="shared" si="195"/>
        <v>10</v>
      </c>
      <c r="Y1734" s="133"/>
      <c r="Z1734" s="133"/>
      <c r="AA1734" s="133"/>
    </row>
    <row r="1735" spans="1:27" hidden="1" x14ac:dyDescent="0.25">
      <c r="A1735" s="127">
        <v>1898</v>
      </c>
      <c r="B1735" s="128" t="str">
        <f t="shared" si="196"/>
        <v>POPT</v>
      </c>
      <c r="C1735" s="128" t="str">
        <f>+VLOOKUP(U1735,Ходим!A:B,2,0)</f>
        <v>30609882120085</v>
      </c>
      <c r="D1735" s="128" t="str">
        <f>IFERROR(VLOOKUP($B:$B,[20]свод!$A:$AB,3,0)," ")</f>
        <v>Поп тумани</v>
      </c>
      <c r="E1735" s="7" t="s">
        <v>2871</v>
      </c>
      <c r="F1735" s="7" t="s">
        <v>9256</v>
      </c>
      <c r="G1735" s="134" t="str">
        <f t="shared" si="193"/>
        <v/>
      </c>
      <c r="H1735" s="134">
        <f t="shared" si="194"/>
        <v>1</v>
      </c>
      <c r="I1735" s="7" t="s">
        <v>155</v>
      </c>
      <c r="J1735" s="7" t="s">
        <v>22</v>
      </c>
      <c r="K1735" s="7"/>
      <c r="L1735" s="7"/>
      <c r="M1735" s="7"/>
      <c r="N1735" s="7" t="s">
        <v>170</v>
      </c>
      <c r="O1735" s="7" t="s">
        <v>161</v>
      </c>
      <c r="P1735" s="7" t="s">
        <v>6847</v>
      </c>
      <c r="Q1735" s="129">
        <v>46199</v>
      </c>
      <c r="R1735" s="130">
        <f t="shared" si="192"/>
        <v>46212</v>
      </c>
      <c r="S1735" s="131">
        <f t="shared" si="197"/>
        <v>13</v>
      </c>
      <c r="T1735" s="7" t="s">
        <v>214</v>
      </c>
      <c r="U1735" s="7" t="s">
        <v>248</v>
      </c>
      <c r="V1735" s="7"/>
      <c r="W1735" s="7"/>
      <c r="X1735" s="132">
        <f t="shared" si="195"/>
        <v>10</v>
      </c>
      <c r="Y1735" s="133"/>
      <c r="Z1735" s="133"/>
      <c r="AA1735" s="133"/>
    </row>
    <row r="1736" spans="1:27" hidden="1" x14ac:dyDescent="0.25">
      <c r="A1736" s="127">
        <v>1899</v>
      </c>
      <c r="B1736" s="128" t="str">
        <f t="shared" si="196"/>
        <v>CHUT</v>
      </c>
      <c r="C1736" s="128" t="str">
        <f>+VLOOKUP(U1736,Ходим!A:B,2,0)</f>
        <v>32511965970037</v>
      </c>
      <c r="D1736" s="128" t="str">
        <f>IFERROR(VLOOKUP($B:$B,[20]свод!$A:$AB,3,0)," ")</f>
        <v>Чуст тумани</v>
      </c>
      <c r="E1736" s="7" t="s">
        <v>2872</v>
      </c>
      <c r="F1736" s="7" t="s">
        <v>9257</v>
      </c>
      <c r="G1736" s="134">
        <f t="shared" si="193"/>
        <v>1</v>
      </c>
      <c r="H1736" s="134" t="str">
        <f t="shared" si="194"/>
        <v/>
      </c>
      <c r="I1736" s="7" t="s">
        <v>158</v>
      </c>
      <c r="J1736" s="7" t="s">
        <v>172</v>
      </c>
      <c r="K1736" s="7"/>
      <c r="L1736" s="7" t="s">
        <v>167</v>
      </c>
      <c r="M1736" s="7" t="s">
        <v>5348</v>
      </c>
      <c r="N1736" s="7" t="s">
        <v>170</v>
      </c>
      <c r="O1736" s="7" t="s">
        <v>162</v>
      </c>
      <c r="P1736" s="7" t="s">
        <v>6747</v>
      </c>
      <c r="Q1736" s="129">
        <v>46199</v>
      </c>
      <c r="R1736" s="130">
        <f t="shared" si="192"/>
        <v>46202</v>
      </c>
      <c r="S1736" s="131">
        <f t="shared" si="197"/>
        <v>3</v>
      </c>
      <c r="T1736" s="7" t="s">
        <v>178</v>
      </c>
      <c r="U1736" s="7" t="s">
        <v>351</v>
      </c>
      <c r="V1736" s="7"/>
      <c r="W1736" s="7">
        <v>281.5</v>
      </c>
      <c r="X1736" s="132">
        <f t="shared" si="195"/>
        <v>10</v>
      </c>
      <c r="Y1736" s="133"/>
      <c r="Z1736" s="133"/>
      <c r="AA1736" s="133"/>
    </row>
    <row r="1737" spans="1:27" hidden="1" x14ac:dyDescent="0.25">
      <c r="A1737" s="127">
        <v>1900</v>
      </c>
      <c r="B1737" s="128" t="str">
        <f t="shared" si="196"/>
        <v>KSST</v>
      </c>
      <c r="C1737" s="128" t="str">
        <f>+VLOOKUP(U1737,Ходим!A:B,2,0)</f>
        <v>50709025980034</v>
      </c>
      <c r="D1737" s="128" t="str">
        <f>IFERROR(VLOOKUP($B:$B,[20]свод!$A:$AB,3,0)," ")</f>
        <v>Косонсой тумани</v>
      </c>
      <c r="E1737" s="7" t="s">
        <v>2873</v>
      </c>
      <c r="F1737" s="7" t="s">
        <v>9258</v>
      </c>
      <c r="G1737" s="134">
        <f t="shared" si="193"/>
        <v>1</v>
      </c>
      <c r="H1737" s="134" t="str">
        <f t="shared" si="194"/>
        <v/>
      </c>
      <c r="I1737" s="7" t="s">
        <v>154</v>
      </c>
      <c r="J1737" s="7" t="s">
        <v>100</v>
      </c>
      <c r="K1737" s="7"/>
      <c r="L1737" s="7" t="s">
        <v>167</v>
      </c>
      <c r="M1737" s="7" t="s">
        <v>5349</v>
      </c>
      <c r="N1737" s="7" t="s">
        <v>170</v>
      </c>
      <c r="O1737" s="7" t="s">
        <v>162</v>
      </c>
      <c r="P1737" s="7" t="s">
        <v>7071</v>
      </c>
      <c r="Q1737" s="129">
        <v>46199</v>
      </c>
      <c r="R1737" s="130">
        <f t="shared" si="192"/>
        <v>46202</v>
      </c>
      <c r="S1737" s="131">
        <f t="shared" si="197"/>
        <v>3</v>
      </c>
      <c r="T1737" s="7" t="s">
        <v>180</v>
      </c>
      <c r="U1737" s="7" t="s">
        <v>286</v>
      </c>
      <c r="V1737" s="7"/>
      <c r="W1737" s="7">
        <v>110.43</v>
      </c>
      <c r="X1737" s="132">
        <f t="shared" si="195"/>
        <v>10</v>
      </c>
      <c r="Y1737" s="133"/>
      <c r="Z1737" s="133"/>
      <c r="AA1737" s="133"/>
    </row>
    <row r="1738" spans="1:27" hidden="1" x14ac:dyDescent="0.25">
      <c r="A1738" s="127">
        <v>1901</v>
      </c>
      <c r="B1738" s="128" t="str">
        <f t="shared" si="196"/>
        <v>YGQT</v>
      </c>
      <c r="C1738" s="128" t="str">
        <f>+VLOOKUP(U1738,Ходим!A:B,2,0)</f>
        <v>30903902160122</v>
      </c>
      <c r="D1738" s="128" t="str">
        <f>IFERROR(VLOOKUP($B:$B,[20]свод!$A:$AB,3,0)," ")</f>
        <v>Янгиқўрғон тумани</v>
      </c>
      <c r="E1738" s="7" t="s">
        <v>2874</v>
      </c>
      <c r="F1738" s="7" t="s">
        <v>9259</v>
      </c>
      <c r="G1738" s="134" t="str">
        <f t="shared" si="193"/>
        <v/>
      </c>
      <c r="H1738" s="134">
        <f t="shared" si="194"/>
        <v>1</v>
      </c>
      <c r="I1738" s="7" t="s">
        <v>157</v>
      </c>
      <c r="J1738" s="7" t="s">
        <v>172</v>
      </c>
      <c r="K1738" s="7"/>
      <c r="L1738" s="7"/>
      <c r="M1738" s="7"/>
      <c r="N1738" s="7" t="s">
        <v>170</v>
      </c>
      <c r="O1738" s="7" t="s">
        <v>161</v>
      </c>
      <c r="P1738" s="7" t="s">
        <v>7072</v>
      </c>
      <c r="Q1738" s="129">
        <v>46199</v>
      </c>
      <c r="R1738" s="130">
        <f t="shared" si="192"/>
        <v>46206</v>
      </c>
      <c r="S1738" s="131">
        <f t="shared" si="197"/>
        <v>7</v>
      </c>
      <c r="T1738" s="7" t="s">
        <v>182</v>
      </c>
      <c r="U1738" s="7" t="s">
        <v>230</v>
      </c>
      <c r="V1738" s="7"/>
      <c r="W1738" s="7"/>
      <c r="X1738" s="132">
        <f t="shared" si="195"/>
        <v>10</v>
      </c>
      <c r="Y1738" s="133"/>
      <c r="Z1738" s="133"/>
      <c r="AA1738" s="133"/>
    </row>
    <row r="1739" spans="1:27" hidden="1" x14ac:dyDescent="0.25">
      <c r="A1739" s="127">
        <v>1902</v>
      </c>
      <c r="B1739" s="128" t="str">
        <f t="shared" si="196"/>
        <v>TORT</v>
      </c>
      <c r="C1739" s="128" t="str">
        <f>+VLOOKUP(U1739,Ходим!A:B,2,0)</f>
        <v>31110892130070</v>
      </c>
      <c r="D1739" s="128" t="str">
        <f>IFERROR(VLOOKUP($B:$B,[20]свод!$A:$AB,3,0)," ")</f>
        <v>Тўрақўрғон тумани</v>
      </c>
      <c r="E1739" s="7" t="s">
        <v>2875</v>
      </c>
      <c r="F1739" s="7" t="s">
        <v>9260</v>
      </c>
      <c r="G1739" s="134">
        <f t="shared" si="193"/>
        <v>1</v>
      </c>
      <c r="H1739" s="134" t="str">
        <f t="shared" si="194"/>
        <v/>
      </c>
      <c r="I1739" s="7" t="s">
        <v>158</v>
      </c>
      <c r="J1739" s="7" t="s">
        <v>172</v>
      </c>
      <c r="K1739" s="7"/>
      <c r="L1739" s="7" t="s">
        <v>167</v>
      </c>
      <c r="M1739" s="7" t="s">
        <v>5350</v>
      </c>
      <c r="N1739" s="7" t="s">
        <v>170</v>
      </c>
      <c r="O1739" s="7" t="s">
        <v>163</v>
      </c>
      <c r="P1739" s="7" t="s">
        <v>7072</v>
      </c>
      <c r="Q1739" s="129">
        <v>46199</v>
      </c>
      <c r="R1739" s="130">
        <f t="shared" si="192"/>
        <v>46206</v>
      </c>
      <c r="S1739" s="131">
        <f t="shared" si="197"/>
        <v>7</v>
      </c>
      <c r="T1739" s="7" t="s">
        <v>203</v>
      </c>
      <c r="U1739" s="7" t="s">
        <v>297</v>
      </c>
      <c r="V1739" s="7"/>
      <c r="W1739" s="7">
        <v>302.14</v>
      </c>
      <c r="X1739" s="132">
        <f t="shared" si="195"/>
        <v>10</v>
      </c>
      <c r="Y1739" s="133"/>
      <c r="Z1739" s="133"/>
      <c r="AA1739" s="133"/>
    </row>
    <row r="1740" spans="1:27" hidden="1" x14ac:dyDescent="0.25">
      <c r="A1740" s="127">
        <v>1903</v>
      </c>
      <c r="B1740" s="128" t="str">
        <f t="shared" si="196"/>
        <v>CHUT</v>
      </c>
      <c r="C1740" s="128" t="str">
        <f>+VLOOKUP(U1740,Ходим!A:B,2,0)</f>
        <v>32511965970037</v>
      </c>
      <c r="D1740" s="128" t="str">
        <f>IFERROR(VLOOKUP($B:$B,[20]свод!$A:$AB,3,0)," ")</f>
        <v>Чуст тумани</v>
      </c>
      <c r="E1740" s="7" t="s">
        <v>2876</v>
      </c>
      <c r="F1740" s="7" t="s">
        <v>9261</v>
      </c>
      <c r="G1740" s="134">
        <f t="shared" si="193"/>
        <v>1</v>
      </c>
      <c r="H1740" s="134" t="str">
        <f t="shared" si="194"/>
        <v/>
      </c>
      <c r="I1740" s="7" t="s">
        <v>158</v>
      </c>
      <c r="J1740" s="7" t="s">
        <v>172</v>
      </c>
      <c r="K1740" s="7"/>
      <c r="L1740" s="7" t="s">
        <v>167</v>
      </c>
      <c r="M1740" s="7" t="s">
        <v>5351</v>
      </c>
      <c r="N1740" s="7" t="s">
        <v>170</v>
      </c>
      <c r="O1740" s="7" t="s">
        <v>162</v>
      </c>
      <c r="P1740" s="7" t="s">
        <v>7073</v>
      </c>
      <c r="Q1740" s="129">
        <v>46199</v>
      </c>
      <c r="R1740" s="130">
        <f t="shared" si="192"/>
        <v>46202</v>
      </c>
      <c r="S1740" s="131">
        <f t="shared" si="197"/>
        <v>3</v>
      </c>
      <c r="T1740" s="7" t="s">
        <v>178</v>
      </c>
      <c r="U1740" s="7" t="s">
        <v>351</v>
      </c>
      <c r="V1740" s="7"/>
      <c r="W1740" s="7">
        <v>397.6</v>
      </c>
      <c r="X1740" s="132">
        <f t="shared" si="195"/>
        <v>10</v>
      </c>
      <c r="Y1740" s="133"/>
      <c r="Z1740" s="133"/>
      <c r="AA1740" s="133"/>
    </row>
    <row r="1741" spans="1:27" hidden="1" x14ac:dyDescent="0.25">
      <c r="A1741" s="127">
        <v>1904</v>
      </c>
      <c r="B1741" s="128" t="str">
        <f t="shared" si="196"/>
        <v>KSST</v>
      </c>
      <c r="C1741" s="128" t="str">
        <f>+VLOOKUP(U1741,Ходим!A:B,2,0)</f>
        <v>30205975980020</v>
      </c>
      <c r="D1741" s="128" t="str">
        <f>IFERROR(VLOOKUP($B:$B,[20]свод!$A:$AB,3,0)," ")</f>
        <v>Косонсой тумани</v>
      </c>
      <c r="E1741" s="7" t="s">
        <v>2877</v>
      </c>
      <c r="F1741" s="7" t="s">
        <v>9262</v>
      </c>
      <c r="G1741" s="134">
        <f t="shared" si="193"/>
        <v>1</v>
      </c>
      <c r="H1741" s="134" t="str">
        <f t="shared" si="194"/>
        <v/>
      </c>
      <c r="I1741" s="7" t="s">
        <v>158</v>
      </c>
      <c r="J1741" s="7" t="s">
        <v>2</v>
      </c>
      <c r="K1741" s="7"/>
      <c r="L1741" s="7" t="s">
        <v>167</v>
      </c>
      <c r="M1741" s="7" t="s">
        <v>5352</v>
      </c>
      <c r="N1741" s="7" t="s">
        <v>170</v>
      </c>
      <c r="O1741" s="7" t="s">
        <v>162</v>
      </c>
      <c r="P1741" s="7" t="s">
        <v>7073</v>
      </c>
      <c r="Q1741" s="129">
        <v>46199</v>
      </c>
      <c r="R1741" s="130">
        <f t="shared" si="192"/>
        <v>46202</v>
      </c>
      <c r="S1741" s="131">
        <f t="shared" si="197"/>
        <v>3</v>
      </c>
      <c r="T1741" s="7" t="s">
        <v>180</v>
      </c>
      <c r="U1741" s="7" t="s">
        <v>370</v>
      </c>
      <c r="V1741" s="7"/>
      <c r="W1741" s="7">
        <v>205.5</v>
      </c>
      <c r="X1741" s="132">
        <f t="shared" si="195"/>
        <v>10</v>
      </c>
      <c r="Y1741" s="133"/>
      <c r="Z1741" s="133"/>
      <c r="AA1741" s="133"/>
    </row>
    <row r="1742" spans="1:27" hidden="1" x14ac:dyDescent="0.25">
      <c r="A1742" s="127">
        <v>1907</v>
      </c>
      <c r="B1742" s="128" t="str">
        <f t="shared" si="196"/>
        <v>CHOT</v>
      </c>
      <c r="C1742" s="128" t="str">
        <f>+VLOOKUP(U1742,Ходим!A:B,2,0)</f>
        <v>30308922100022</v>
      </c>
      <c r="D1742" s="128" t="str">
        <f>IFERROR(VLOOKUP($B:$B,[20]свод!$A:$AB,3,0)," ")</f>
        <v>Чортоқ тумани</v>
      </c>
      <c r="E1742" s="7" t="s">
        <v>2878</v>
      </c>
      <c r="F1742" s="7" t="s">
        <v>9263</v>
      </c>
      <c r="G1742" s="134" t="str">
        <f t="shared" si="193"/>
        <v/>
      </c>
      <c r="H1742" s="134">
        <f t="shared" si="194"/>
        <v>1</v>
      </c>
      <c r="I1742" s="7" t="s">
        <v>157</v>
      </c>
      <c r="J1742" s="7" t="s">
        <v>2</v>
      </c>
      <c r="K1742" s="7"/>
      <c r="L1742" s="7"/>
      <c r="M1742" s="7"/>
      <c r="N1742" s="7" t="s">
        <v>410</v>
      </c>
      <c r="O1742" s="7" t="s">
        <v>161</v>
      </c>
      <c r="P1742" s="7" t="s">
        <v>7074</v>
      </c>
      <c r="Q1742" s="129">
        <v>46199</v>
      </c>
      <c r="R1742" s="130">
        <f t="shared" si="192"/>
        <v>46202</v>
      </c>
      <c r="S1742" s="131">
        <f t="shared" si="197"/>
        <v>3</v>
      </c>
      <c r="T1742" s="7" t="s">
        <v>10635</v>
      </c>
      <c r="U1742" s="7" t="s">
        <v>190</v>
      </c>
      <c r="V1742" s="7"/>
      <c r="W1742" s="7"/>
      <c r="X1742" s="132">
        <f t="shared" si="195"/>
        <v>10</v>
      </c>
      <c r="Y1742" s="133"/>
      <c r="Z1742" s="133"/>
      <c r="AA1742" s="133"/>
    </row>
    <row r="1743" spans="1:27" hidden="1" x14ac:dyDescent="0.25">
      <c r="A1743" s="127">
        <v>1908</v>
      </c>
      <c r="B1743" s="128" t="str">
        <f t="shared" si="196"/>
        <v>CHUT</v>
      </c>
      <c r="C1743" s="128" t="str">
        <f>+VLOOKUP(U1743,Ходим!A:B,2,0)</f>
        <v>52508015970048</v>
      </c>
      <c r="D1743" s="128" t="str">
        <f>IFERROR(VLOOKUP($B:$B,[20]свод!$A:$AB,3,0)," ")</f>
        <v>Чуст тумани</v>
      </c>
      <c r="E1743" s="7" t="s">
        <v>2879</v>
      </c>
      <c r="F1743" s="7" t="s">
        <v>9264</v>
      </c>
      <c r="G1743" s="134">
        <f t="shared" si="193"/>
        <v>1</v>
      </c>
      <c r="H1743" s="134" t="str">
        <f t="shared" si="194"/>
        <v/>
      </c>
      <c r="I1743" s="7" t="s">
        <v>158</v>
      </c>
      <c r="J1743" s="7" t="s">
        <v>172</v>
      </c>
      <c r="K1743" s="7"/>
      <c r="L1743" s="7"/>
      <c r="M1743" s="7"/>
      <c r="N1743" s="7" t="s">
        <v>170</v>
      </c>
      <c r="O1743" s="7" t="s">
        <v>162</v>
      </c>
      <c r="P1743" s="7" t="s">
        <v>7074</v>
      </c>
      <c r="Q1743" s="129">
        <v>46199</v>
      </c>
      <c r="R1743" s="130">
        <f t="shared" si="192"/>
        <v>46202</v>
      </c>
      <c r="S1743" s="131">
        <f t="shared" si="197"/>
        <v>3</v>
      </c>
      <c r="T1743" s="7" t="s">
        <v>178</v>
      </c>
      <c r="U1743" s="7" t="s">
        <v>350</v>
      </c>
      <c r="V1743" s="7"/>
      <c r="W1743" s="7"/>
      <c r="X1743" s="132">
        <f t="shared" si="195"/>
        <v>10</v>
      </c>
      <c r="Y1743" s="133"/>
      <c r="Z1743" s="133"/>
      <c r="AA1743" s="133"/>
    </row>
    <row r="1744" spans="1:27" hidden="1" x14ac:dyDescent="0.25">
      <c r="A1744" s="127">
        <v>1909</v>
      </c>
      <c r="B1744" s="128" t="str">
        <f t="shared" si="196"/>
        <v>NAMS</v>
      </c>
      <c r="C1744" s="128" t="str">
        <f>+VLOOKUP(U1744,Ходим!A:B,2,0)</f>
        <v>32211885960016</v>
      </c>
      <c r="D1744" s="128" t="str">
        <f>IFERROR(VLOOKUP($B:$B,[20]свод!$A:$AB,3,0)," ")</f>
        <v>Наманган шаҳар</v>
      </c>
      <c r="E1744" s="7" t="s">
        <v>2880</v>
      </c>
      <c r="F1744" s="7" t="s">
        <v>9265</v>
      </c>
      <c r="G1744" s="134" t="str">
        <f t="shared" si="193"/>
        <v/>
      </c>
      <c r="H1744" s="134">
        <f t="shared" si="194"/>
        <v>1</v>
      </c>
      <c r="I1744" s="7" t="s">
        <v>154</v>
      </c>
      <c r="J1744" s="7" t="s">
        <v>13</v>
      </c>
      <c r="K1744" s="7"/>
      <c r="L1744" s="7" t="s">
        <v>166</v>
      </c>
      <c r="M1744" s="7" t="s">
        <v>5353</v>
      </c>
      <c r="N1744" s="7" t="s">
        <v>170</v>
      </c>
      <c r="O1744" s="7" t="s">
        <v>161</v>
      </c>
      <c r="P1744" s="7" t="s">
        <v>7075</v>
      </c>
      <c r="Q1744" s="129">
        <v>46199</v>
      </c>
      <c r="R1744" s="130">
        <f t="shared" si="192"/>
        <v>46211</v>
      </c>
      <c r="S1744" s="131">
        <f t="shared" si="197"/>
        <v>12</v>
      </c>
      <c r="T1744" s="7" t="s">
        <v>185</v>
      </c>
      <c r="U1744" s="7" t="s">
        <v>279</v>
      </c>
      <c r="V1744" s="7"/>
      <c r="W1744" s="7">
        <v>1190.4000000000001</v>
      </c>
      <c r="X1744" s="132">
        <f t="shared" si="195"/>
        <v>17</v>
      </c>
      <c r="Y1744" s="133"/>
      <c r="Z1744" s="133"/>
      <c r="AA1744" s="133"/>
    </row>
    <row r="1745" spans="1:27" hidden="1" x14ac:dyDescent="0.25">
      <c r="A1745" s="127">
        <v>1910</v>
      </c>
      <c r="B1745" s="128" t="str">
        <f t="shared" si="196"/>
        <v>TORT</v>
      </c>
      <c r="C1745" s="128" t="str">
        <f>+VLOOKUP(U1745,Ходим!A:B,2,0)</f>
        <v>30702995920011</v>
      </c>
      <c r="D1745" s="128" t="str">
        <f>IFERROR(VLOOKUP($B:$B,[20]свод!$A:$AB,3,0)," ")</f>
        <v>Тўрақўрғон тумани</v>
      </c>
      <c r="E1745" s="7" t="s">
        <v>2881</v>
      </c>
      <c r="F1745" s="7" t="s">
        <v>9266</v>
      </c>
      <c r="G1745" s="134">
        <f t="shared" si="193"/>
        <v>1</v>
      </c>
      <c r="H1745" s="134" t="str">
        <f t="shared" si="194"/>
        <v/>
      </c>
      <c r="I1745" s="7" t="s">
        <v>158</v>
      </c>
      <c r="J1745" s="7" t="s">
        <v>2</v>
      </c>
      <c r="K1745" s="7"/>
      <c r="L1745" s="7"/>
      <c r="M1745" s="7"/>
      <c r="N1745" s="7" t="s">
        <v>170</v>
      </c>
      <c r="O1745" s="7" t="s">
        <v>162</v>
      </c>
      <c r="P1745" s="7" t="s">
        <v>7075</v>
      </c>
      <c r="Q1745" s="129">
        <v>46199</v>
      </c>
      <c r="R1745" s="130">
        <f t="shared" si="192"/>
        <v>46202</v>
      </c>
      <c r="S1745" s="131">
        <f t="shared" si="197"/>
        <v>3</v>
      </c>
      <c r="T1745" s="7" t="s">
        <v>203</v>
      </c>
      <c r="U1745" s="7" t="s">
        <v>341</v>
      </c>
      <c r="V1745" s="7"/>
      <c r="W1745" s="7"/>
      <c r="X1745" s="132">
        <f t="shared" si="195"/>
        <v>10</v>
      </c>
      <c r="Y1745" s="133"/>
      <c r="Z1745" s="133"/>
      <c r="AA1745" s="133"/>
    </row>
    <row r="1746" spans="1:27" hidden="1" x14ac:dyDescent="0.25">
      <c r="A1746" s="127">
        <v>1911</v>
      </c>
      <c r="B1746" s="128" t="str">
        <f t="shared" si="196"/>
        <v>MINT</v>
      </c>
      <c r="C1746" s="128" t="str">
        <f>+VLOOKUP(U1746,Ходим!A:B,2,0)</f>
        <v>51604025990014</v>
      </c>
      <c r="D1746" s="128" t="str">
        <f>IFERROR(VLOOKUP($B:$B,[20]свод!$A:$AB,3,0)," ")</f>
        <v>Мингбулоқ тумани</v>
      </c>
      <c r="E1746" s="7" t="s">
        <v>2882</v>
      </c>
      <c r="F1746" s="7" t="s">
        <v>9267</v>
      </c>
      <c r="G1746" s="134">
        <f t="shared" si="193"/>
        <v>1</v>
      </c>
      <c r="H1746" s="134" t="str">
        <f t="shared" si="194"/>
        <v/>
      </c>
      <c r="I1746" s="7" t="s">
        <v>158</v>
      </c>
      <c r="J1746" s="7" t="s">
        <v>1</v>
      </c>
      <c r="K1746" s="7"/>
      <c r="L1746" s="7" t="s">
        <v>167</v>
      </c>
      <c r="M1746" s="7" t="s">
        <v>5354</v>
      </c>
      <c r="N1746" s="7" t="s">
        <v>410</v>
      </c>
      <c r="O1746" s="7" t="s">
        <v>162</v>
      </c>
      <c r="P1746" s="7" t="s">
        <v>7074</v>
      </c>
      <c r="Q1746" s="129">
        <v>46199</v>
      </c>
      <c r="R1746" s="130">
        <f t="shared" si="192"/>
        <v>46202</v>
      </c>
      <c r="S1746" s="131">
        <f t="shared" si="197"/>
        <v>3</v>
      </c>
      <c r="T1746" s="7" t="s">
        <v>220</v>
      </c>
      <c r="U1746" s="7" t="s">
        <v>252</v>
      </c>
      <c r="V1746" s="7"/>
      <c r="W1746" s="7">
        <v>450.64</v>
      </c>
      <c r="X1746" s="132">
        <f t="shared" si="195"/>
        <v>10</v>
      </c>
      <c r="Y1746" s="133"/>
      <c r="Z1746" s="133"/>
      <c r="AA1746" s="133"/>
    </row>
    <row r="1747" spans="1:27" hidden="1" x14ac:dyDescent="0.25">
      <c r="A1747" s="127">
        <v>1912</v>
      </c>
      <c r="B1747" s="128" t="str">
        <f t="shared" si="196"/>
        <v>YGQT</v>
      </c>
      <c r="C1747" s="128" t="str">
        <f>+VLOOKUP(U1747,Ходим!A:B,2,0)</f>
        <v>30809995950021</v>
      </c>
      <c r="D1747" s="128" t="str">
        <f>IFERROR(VLOOKUP($B:$B,[20]свод!$A:$AB,3,0)," ")</f>
        <v>Янгиқўрғон тумани</v>
      </c>
      <c r="E1747" s="7" t="s">
        <v>2883</v>
      </c>
      <c r="F1747" s="7" t="s">
        <v>9268</v>
      </c>
      <c r="G1747" s="134">
        <f t="shared" si="193"/>
        <v>1</v>
      </c>
      <c r="H1747" s="134" t="str">
        <f t="shared" si="194"/>
        <v/>
      </c>
      <c r="I1747" s="7" t="s">
        <v>158</v>
      </c>
      <c r="J1747" s="7" t="s">
        <v>2</v>
      </c>
      <c r="K1747" s="7"/>
      <c r="L1747" s="7" t="s">
        <v>167</v>
      </c>
      <c r="M1747" s="7" t="s">
        <v>5355</v>
      </c>
      <c r="N1747" s="7" t="s">
        <v>170</v>
      </c>
      <c r="O1747" s="7" t="s">
        <v>162</v>
      </c>
      <c r="P1747" s="7" t="s">
        <v>6544</v>
      </c>
      <c r="Q1747" s="129">
        <v>46199</v>
      </c>
      <c r="R1747" s="130">
        <f t="shared" si="192"/>
        <v>46205</v>
      </c>
      <c r="S1747" s="131">
        <f t="shared" si="197"/>
        <v>6</v>
      </c>
      <c r="T1747" s="7" t="s">
        <v>255</v>
      </c>
      <c r="U1747" s="7" t="s">
        <v>223</v>
      </c>
      <c r="V1747" s="7"/>
      <c r="W1747" s="7">
        <v>85.52</v>
      </c>
      <c r="X1747" s="132">
        <f t="shared" si="195"/>
        <v>10</v>
      </c>
      <c r="Y1747" s="133"/>
      <c r="Z1747" s="133"/>
      <c r="AA1747" s="133"/>
    </row>
    <row r="1748" spans="1:27" hidden="1" x14ac:dyDescent="0.25">
      <c r="A1748" s="127">
        <v>1913</v>
      </c>
      <c r="B1748" s="128" t="str">
        <f t="shared" si="196"/>
        <v>NAMS</v>
      </c>
      <c r="C1748" s="128" t="str">
        <f>+VLOOKUP(U1748,Ходим!A:B,2,0)</f>
        <v>31608732170178</v>
      </c>
      <c r="D1748" s="128" t="str">
        <f>IFERROR(VLOOKUP($B:$B,[20]свод!$A:$AB,3,0)," ")</f>
        <v>Наманган шаҳар</v>
      </c>
      <c r="E1748" s="7" t="s">
        <v>2884</v>
      </c>
      <c r="F1748" s="7" t="s">
        <v>9269</v>
      </c>
      <c r="G1748" s="134">
        <f t="shared" si="193"/>
        <v>1</v>
      </c>
      <c r="H1748" s="134" t="str">
        <f t="shared" si="194"/>
        <v/>
      </c>
      <c r="I1748" s="7" t="s">
        <v>158</v>
      </c>
      <c r="J1748" s="7" t="s">
        <v>2</v>
      </c>
      <c r="K1748" s="7"/>
      <c r="L1748" s="7" t="s">
        <v>167</v>
      </c>
      <c r="M1748" s="7" t="s">
        <v>5356</v>
      </c>
      <c r="N1748" s="7" t="s">
        <v>170</v>
      </c>
      <c r="O1748" s="7" t="s">
        <v>162</v>
      </c>
      <c r="P1748" s="7" t="s">
        <v>7076</v>
      </c>
      <c r="Q1748" s="129">
        <v>46199</v>
      </c>
      <c r="R1748" s="130">
        <f t="shared" si="192"/>
        <v>46202</v>
      </c>
      <c r="S1748" s="131">
        <f t="shared" si="197"/>
        <v>3</v>
      </c>
      <c r="T1748" s="7" t="s">
        <v>173</v>
      </c>
      <c r="U1748" s="7" t="s">
        <v>267</v>
      </c>
      <c r="V1748" s="7"/>
      <c r="W1748" s="7">
        <v>120.2</v>
      </c>
      <c r="X1748" s="132">
        <f t="shared" si="195"/>
        <v>10</v>
      </c>
      <c r="Y1748" s="133"/>
      <c r="Z1748" s="133"/>
      <c r="AA1748" s="133"/>
    </row>
    <row r="1749" spans="1:27" hidden="1" x14ac:dyDescent="0.25">
      <c r="A1749" s="127">
        <v>1914</v>
      </c>
      <c r="B1749" s="128" t="str">
        <f t="shared" si="196"/>
        <v>KSST</v>
      </c>
      <c r="C1749" s="128" t="str">
        <f>+VLOOKUP(U1749,Ходим!A:B,2,0)</f>
        <v>31407932190092</v>
      </c>
      <c r="D1749" s="128" t="str">
        <f>IFERROR(VLOOKUP($B:$B,[20]свод!$A:$AB,3,0)," ")</f>
        <v>Косонсой тумани</v>
      </c>
      <c r="E1749" s="7" t="s">
        <v>2885</v>
      </c>
      <c r="F1749" s="7" t="s">
        <v>9270</v>
      </c>
      <c r="G1749" s="134">
        <f t="shared" si="193"/>
        <v>1</v>
      </c>
      <c r="H1749" s="134" t="str">
        <f t="shared" si="194"/>
        <v/>
      </c>
      <c r="I1749" s="7" t="s">
        <v>158</v>
      </c>
      <c r="J1749" s="7" t="s">
        <v>36</v>
      </c>
      <c r="K1749" s="7"/>
      <c r="L1749" s="7" t="s">
        <v>167</v>
      </c>
      <c r="M1749" s="7" t="s">
        <v>5357</v>
      </c>
      <c r="N1749" s="7" t="s">
        <v>410</v>
      </c>
      <c r="O1749" s="7" t="s">
        <v>162</v>
      </c>
      <c r="P1749" s="7" t="s">
        <v>7076</v>
      </c>
      <c r="Q1749" s="129">
        <v>46199</v>
      </c>
      <c r="R1749" s="130">
        <f t="shared" si="192"/>
        <v>46202</v>
      </c>
      <c r="S1749" s="131">
        <f t="shared" si="197"/>
        <v>3</v>
      </c>
      <c r="T1749" s="7" t="s">
        <v>180</v>
      </c>
      <c r="U1749" s="7" t="s">
        <v>188</v>
      </c>
      <c r="V1749" s="7"/>
      <c r="W1749" s="7">
        <v>59.1</v>
      </c>
      <c r="X1749" s="132">
        <f t="shared" si="195"/>
        <v>10</v>
      </c>
      <c r="Y1749" s="133"/>
      <c r="Z1749" s="133"/>
      <c r="AA1749" s="133"/>
    </row>
    <row r="1750" spans="1:27" hidden="1" x14ac:dyDescent="0.25">
      <c r="A1750" s="127">
        <v>1915</v>
      </c>
      <c r="B1750" s="128" t="str">
        <f t="shared" si="196"/>
        <v>MINT</v>
      </c>
      <c r="C1750" s="128" t="str">
        <f>+VLOOKUP(U1750,Ходим!A:B,2,0)</f>
        <v>30109882130063</v>
      </c>
      <c r="D1750" s="128" t="str">
        <f>IFERROR(VLOOKUP($B:$B,[20]свод!$A:$AB,3,0)," ")</f>
        <v>Мингбулоқ тумани</v>
      </c>
      <c r="E1750" s="7" t="s">
        <v>2886</v>
      </c>
      <c r="F1750" s="7" t="s">
        <v>9271</v>
      </c>
      <c r="G1750" s="134">
        <f t="shared" si="193"/>
        <v>1</v>
      </c>
      <c r="H1750" s="134" t="str">
        <f t="shared" si="194"/>
        <v/>
      </c>
      <c r="I1750" s="7" t="s">
        <v>158</v>
      </c>
      <c r="J1750" s="7" t="s">
        <v>1</v>
      </c>
      <c r="K1750" s="7"/>
      <c r="L1750" s="7" t="s">
        <v>167</v>
      </c>
      <c r="M1750" s="7" t="s">
        <v>5358</v>
      </c>
      <c r="N1750" s="7" t="s">
        <v>410</v>
      </c>
      <c r="O1750" s="7" t="s">
        <v>162</v>
      </c>
      <c r="P1750" s="7" t="s">
        <v>7076</v>
      </c>
      <c r="Q1750" s="129">
        <v>46199</v>
      </c>
      <c r="R1750" s="130">
        <f t="shared" si="192"/>
        <v>46202</v>
      </c>
      <c r="S1750" s="131">
        <f t="shared" si="197"/>
        <v>3</v>
      </c>
      <c r="T1750" s="7" t="s">
        <v>220</v>
      </c>
      <c r="U1750" s="7" t="s">
        <v>262</v>
      </c>
      <c r="V1750" s="7"/>
      <c r="W1750" s="7">
        <v>302.64</v>
      </c>
      <c r="X1750" s="132">
        <f t="shared" si="195"/>
        <v>10</v>
      </c>
      <c r="Y1750" s="133"/>
      <c r="Z1750" s="133"/>
      <c r="AA1750" s="133"/>
    </row>
    <row r="1751" spans="1:27" hidden="1" x14ac:dyDescent="0.25">
      <c r="A1751" s="127">
        <v>1917</v>
      </c>
      <c r="B1751" s="128" t="str">
        <f t="shared" si="196"/>
        <v>NAMS</v>
      </c>
      <c r="C1751" s="128" t="str">
        <f>+VLOOKUP(U1751,Ходим!A:B,2,0)</f>
        <v>51110025960044</v>
      </c>
      <c r="D1751" s="128" t="str">
        <f>IFERROR(VLOOKUP($B:$B,[20]свод!$A:$AB,3,0)," ")</f>
        <v>Наманган шаҳар</v>
      </c>
      <c r="E1751" s="7" t="s">
        <v>2887</v>
      </c>
      <c r="F1751" s="7" t="s">
        <v>9272</v>
      </c>
      <c r="G1751" s="134">
        <f t="shared" si="193"/>
        <v>1</v>
      </c>
      <c r="H1751" s="134" t="str">
        <f t="shared" si="194"/>
        <v/>
      </c>
      <c r="I1751" s="7" t="s">
        <v>158</v>
      </c>
      <c r="J1751" s="7" t="s">
        <v>2</v>
      </c>
      <c r="K1751" s="7"/>
      <c r="L1751" s="7" t="s">
        <v>167</v>
      </c>
      <c r="M1751" s="7" t="s">
        <v>5359</v>
      </c>
      <c r="N1751" s="7" t="s">
        <v>170</v>
      </c>
      <c r="O1751" s="7" t="s">
        <v>162</v>
      </c>
      <c r="P1751" s="7" t="s">
        <v>7077</v>
      </c>
      <c r="Q1751" s="129">
        <v>46199</v>
      </c>
      <c r="R1751" s="130">
        <f t="shared" si="192"/>
        <v>46206</v>
      </c>
      <c r="S1751" s="131">
        <f t="shared" si="197"/>
        <v>7</v>
      </c>
      <c r="T1751" s="7" t="s">
        <v>173</v>
      </c>
      <c r="U1751" s="7" t="s">
        <v>294</v>
      </c>
      <c r="V1751" s="7"/>
      <c r="W1751" s="7">
        <v>374.5</v>
      </c>
      <c r="X1751" s="132">
        <f t="shared" si="195"/>
        <v>10</v>
      </c>
      <c r="Y1751" s="133"/>
      <c r="Z1751" s="133"/>
      <c r="AA1751" s="133"/>
    </row>
    <row r="1752" spans="1:27" hidden="1" x14ac:dyDescent="0.25">
      <c r="A1752" s="127">
        <v>1918</v>
      </c>
      <c r="B1752" s="128" t="str">
        <f t="shared" si="196"/>
        <v>KSST</v>
      </c>
      <c r="C1752" s="128" t="str">
        <f>+VLOOKUP(U1752,Ходим!A:B,2,0)</f>
        <v>31611995980026</v>
      </c>
      <c r="D1752" s="128" t="str">
        <f>IFERROR(VLOOKUP($B:$B,[20]свод!$A:$AB,3,0)," ")</f>
        <v>Косонсой тумани</v>
      </c>
      <c r="E1752" s="7" t="s">
        <v>2888</v>
      </c>
      <c r="F1752" s="7" t="s">
        <v>9273</v>
      </c>
      <c r="G1752" s="134">
        <f t="shared" si="193"/>
        <v>1</v>
      </c>
      <c r="H1752" s="134" t="str">
        <f t="shared" si="194"/>
        <v/>
      </c>
      <c r="I1752" s="7" t="s">
        <v>158</v>
      </c>
      <c r="J1752" s="7" t="s">
        <v>2</v>
      </c>
      <c r="K1752" s="7"/>
      <c r="L1752" s="7" t="s">
        <v>167</v>
      </c>
      <c r="M1752" s="7" t="s">
        <v>5360</v>
      </c>
      <c r="N1752" s="7" t="s">
        <v>170</v>
      </c>
      <c r="O1752" s="7" t="s">
        <v>162</v>
      </c>
      <c r="P1752" s="7" t="s">
        <v>6984</v>
      </c>
      <c r="Q1752" s="129">
        <v>46199</v>
      </c>
      <c r="R1752" s="130">
        <f t="shared" si="192"/>
        <v>46202</v>
      </c>
      <c r="S1752" s="131">
        <f t="shared" si="197"/>
        <v>3</v>
      </c>
      <c r="T1752" s="7" t="s">
        <v>180</v>
      </c>
      <c r="U1752" s="7" t="s">
        <v>181</v>
      </c>
      <c r="V1752" s="7"/>
      <c r="W1752" s="7">
        <v>231.17</v>
      </c>
      <c r="X1752" s="132">
        <f t="shared" si="195"/>
        <v>10</v>
      </c>
      <c r="Y1752" s="133"/>
      <c r="Z1752" s="133"/>
      <c r="AA1752" s="133"/>
    </row>
    <row r="1753" spans="1:27" hidden="1" x14ac:dyDescent="0.25">
      <c r="A1753" s="127">
        <v>1920</v>
      </c>
      <c r="B1753" s="128" t="str">
        <f t="shared" si="196"/>
        <v>YGQT</v>
      </c>
      <c r="C1753" s="128" t="str">
        <f>+VLOOKUP(U1753,Ходим!A:B,2,0)</f>
        <v>30903902160122</v>
      </c>
      <c r="D1753" s="128" t="str">
        <f>IFERROR(VLOOKUP($B:$B,[20]свод!$A:$AB,3,0)," ")</f>
        <v>Янгиқўрғон тумани</v>
      </c>
      <c r="E1753" s="7" t="s">
        <v>2889</v>
      </c>
      <c r="F1753" s="7" t="s">
        <v>9274</v>
      </c>
      <c r="G1753" s="134">
        <f t="shared" si="193"/>
        <v>1</v>
      </c>
      <c r="H1753" s="134" t="str">
        <f t="shared" si="194"/>
        <v/>
      </c>
      <c r="I1753" s="7" t="s">
        <v>158</v>
      </c>
      <c r="J1753" s="7" t="s">
        <v>2</v>
      </c>
      <c r="K1753" s="7"/>
      <c r="L1753" s="7" t="s">
        <v>167</v>
      </c>
      <c r="M1753" s="7" t="s">
        <v>5361</v>
      </c>
      <c r="N1753" s="7" t="s">
        <v>170</v>
      </c>
      <c r="O1753" s="7" t="s">
        <v>162</v>
      </c>
      <c r="P1753" s="7" t="s">
        <v>7078</v>
      </c>
      <c r="Q1753" s="129">
        <v>46199</v>
      </c>
      <c r="R1753" s="130">
        <f t="shared" si="192"/>
        <v>46202</v>
      </c>
      <c r="S1753" s="131">
        <f t="shared" si="197"/>
        <v>3</v>
      </c>
      <c r="T1753" s="7" t="s">
        <v>182</v>
      </c>
      <c r="U1753" s="7" t="s">
        <v>230</v>
      </c>
      <c r="V1753" s="7"/>
      <c r="W1753" s="7">
        <v>362.85</v>
      </c>
      <c r="X1753" s="132">
        <f t="shared" si="195"/>
        <v>10</v>
      </c>
      <c r="Y1753" s="133"/>
      <c r="Z1753" s="133"/>
      <c r="AA1753" s="133"/>
    </row>
    <row r="1754" spans="1:27" hidden="1" x14ac:dyDescent="0.25">
      <c r="A1754" s="127">
        <v>1923</v>
      </c>
      <c r="B1754" s="128" t="str">
        <f t="shared" si="196"/>
        <v>UYCT</v>
      </c>
      <c r="C1754" s="128" t="str">
        <f>+VLOOKUP(U1754,Ходим!A:B,2,0)</f>
        <v>31310995930032</v>
      </c>
      <c r="D1754" s="128" t="str">
        <f>IFERROR(VLOOKUP($B:$B,[20]свод!$A:$AB,3,0)," ")</f>
        <v>Уйчи тумани</v>
      </c>
      <c r="E1754" s="7" t="s">
        <v>2890</v>
      </c>
      <c r="F1754" s="7" t="s">
        <v>9275</v>
      </c>
      <c r="G1754" s="134">
        <f t="shared" si="193"/>
        <v>1</v>
      </c>
      <c r="H1754" s="134" t="str">
        <f t="shared" si="194"/>
        <v/>
      </c>
      <c r="I1754" s="7" t="s">
        <v>158</v>
      </c>
      <c r="J1754" s="7" t="s">
        <v>134</v>
      </c>
      <c r="K1754" s="7"/>
      <c r="L1754" s="7" t="s">
        <v>167</v>
      </c>
      <c r="M1754" s="7" t="s">
        <v>5362</v>
      </c>
      <c r="N1754" s="7" t="s">
        <v>170</v>
      </c>
      <c r="O1754" s="7" t="s">
        <v>162</v>
      </c>
      <c r="P1754" s="7" t="s">
        <v>7078</v>
      </c>
      <c r="Q1754" s="129">
        <v>46199</v>
      </c>
      <c r="R1754" s="130">
        <f t="shared" ref="R1754:R1811" si="198">WORKDAY(P1754,X1754,$Y$1:$AA$1)</f>
        <v>46202</v>
      </c>
      <c r="S1754" s="131">
        <f t="shared" si="197"/>
        <v>3</v>
      </c>
      <c r="T1754" s="7" t="s">
        <v>947</v>
      </c>
      <c r="U1754" s="7" t="s">
        <v>399</v>
      </c>
      <c r="V1754" s="7"/>
      <c r="W1754" s="7">
        <v>422.3</v>
      </c>
      <c r="X1754" s="132">
        <f t="shared" si="195"/>
        <v>10</v>
      </c>
      <c r="Y1754" s="133"/>
      <c r="Z1754" s="133"/>
      <c r="AA1754" s="133"/>
    </row>
    <row r="1755" spans="1:27" hidden="1" x14ac:dyDescent="0.25">
      <c r="A1755" s="127">
        <v>1924</v>
      </c>
      <c r="B1755" s="128" t="str">
        <f t="shared" si="196"/>
        <v>KSST</v>
      </c>
      <c r="C1755" s="128" t="str">
        <f>+VLOOKUP(U1755,Ходим!A:B,2,0)</f>
        <v>52812015980061</v>
      </c>
      <c r="D1755" s="128" t="str">
        <f>IFERROR(VLOOKUP($B:$B,[20]свод!$A:$AB,3,0)," ")</f>
        <v>Косонсой тумани</v>
      </c>
      <c r="E1755" s="7" t="s">
        <v>2891</v>
      </c>
      <c r="F1755" s="7" t="s">
        <v>9276</v>
      </c>
      <c r="G1755" s="134" t="str">
        <f t="shared" si="193"/>
        <v/>
      </c>
      <c r="H1755" s="134">
        <f t="shared" si="194"/>
        <v>1</v>
      </c>
      <c r="I1755" s="7" t="s">
        <v>157</v>
      </c>
      <c r="J1755" s="7" t="s">
        <v>2</v>
      </c>
      <c r="K1755" s="7"/>
      <c r="L1755" s="7"/>
      <c r="M1755" s="7"/>
      <c r="N1755" s="7" t="s">
        <v>410</v>
      </c>
      <c r="O1755" s="7" t="s">
        <v>161</v>
      </c>
      <c r="P1755" s="7" t="s">
        <v>7078</v>
      </c>
      <c r="Q1755" s="129">
        <v>46199</v>
      </c>
      <c r="R1755" s="130">
        <f t="shared" si="198"/>
        <v>46202</v>
      </c>
      <c r="S1755" s="131">
        <f t="shared" si="197"/>
        <v>3</v>
      </c>
      <c r="T1755" s="7" t="s">
        <v>180</v>
      </c>
      <c r="U1755" s="7" t="s">
        <v>307</v>
      </c>
      <c r="V1755" s="7"/>
      <c r="W1755" s="7"/>
      <c r="X1755" s="132">
        <f t="shared" si="195"/>
        <v>10</v>
      </c>
      <c r="Y1755" s="133"/>
      <c r="Z1755" s="133"/>
      <c r="AA1755" s="133"/>
    </row>
    <row r="1756" spans="1:27" hidden="1" x14ac:dyDescent="0.25">
      <c r="A1756" s="127">
        <v>1925</v>
      </c>
      <c r="B1756" s="128" t="str">
        <f t="shared" si="196"/>
        <v>MINT</v>
      </c>
      <c r="C1756" s="128" t="str">
        <f>+VLOOKUP(U1756,Ходим!A:B,2,0)</f>
        <v>30910905990010</v>
      </c>
      <c r="D1756" s="128" t="str">
        <f>IFERROR(VLOOKUP($B:$B,[20]свод!$A:$AB,3,0)," ")</f>
        <v>Мингбулоқ тумани</v>
      </c>
      <c r="E1756" s="7" t="s">
        <v>2892</v>
      </c>
      <c r="F1756" s="7" t="s">
        <v>9277</v>
      </c>
      <c r="G1756" s="134">
        <f t="shared" ref="G1756:G1814" si="199">IF(OR(
I1756="Turar joy obyektning kadastr pasportini shakllantirish va davlat ro'yxatidan o'tkazish",
I1756="Turar kompozit"
),
1,
IF(OR(
I1756="Noturar kompozit",
I1756="Avtoyo'l va suv xo'jaligi obyektining kadastr pasportini shakllantirish va ro'yxatga olish",
I1756="Noturar obyektning kadastr pasportining kadastr pasportini shakllantirish va davlat ro'yxatidan o'tkazish"
),
"",
IF(OR(
I1756="Notarius uchun ma'lumotnoma (uz)",
I1756="Qurilishi tugallangan ko'chmas mulkni foydalanishga qabul qilish",
I1756="Umumiy foydalanishdagi ko'chmas mulk qismini yaratish",
I1756="Registratsiya (tashqi - UZKAD da bor)"
),
IF(OR(L1756="Turar yer maydoni",L1756="Yakka tartibdagi turar joy"),1,
IF(L1756="Noturar bino","",
IF(L1756="Noturar yer maydoni","",
IF(L1756="",IF(OR(O1756="Turar joy xizmati",O1756="Foydalanishga ruxsatnoma berish xizmati"),1,""),"")
))),
"")))</f>
        <v>1</v>
      </c>
      <c r="H1756" s="134" t="str">
        <f t="shared" ref="H1756:H1814" si="200">IF(OR(
I1756="Turar joy obyektning kadastr pasportini shakllantirish va davlat ro'yxatidan o'tkazish",
I1756="Turar kompozit"
),
"",
IF(OR(
I1756="Noturar kompozit",
I1756="Avtoyo'l va suv xo'jaligi obyektining kadastr pasportini shakllantirish va ro'yxatga olish",
I1756="Noturar obyektning kadastr pasportini shakllantirish va davlat ro'yxatidan o'tkazish"
),
1,
IF(OR(
I1756="Notarius uchun ma'lumotnoma (uz)",
I1756="Qurilishi tugallangan ko'chmas mulkni foydalanishga qabul qilish",
I1756="Umumiy foydalanishdagi ko'chmas mulk qismini yaratish",
I1756="Registratsiya (tashqi - UZKAD da bor)"
),
IF(OR(L1756="Turar yer maydoni",L1756="Yakka tartibdagi turar joy"),"",
IF(L1756="Noturar bino",1,
IF(L1756="Noturar yer maydoni",1,
IF(L1756="",IF(OR(O1756="Turar joy xizmati",O1756="Foydalanishga ruxsatnoma berish xizmati"),"",1),"")
))),
"")))</f>
        <v/>
      </c>
      <c r="I1756" s="7" t="s">
        <v>158</v>
      </c>
      <c r="J1756" s="7" t="s">
        <v>1</v>
      </c>
      <c r="K1756" s="7"/>
      <c r="L1756" s="7" t="s">
        <v>167</v>
      </c>
      <c r="M1756" s="7" t="s">
        <v>5363</v>
      </c>
      <c r="N1756" s="7" t="s">
        <v>410</v>
      </c>
      <c r="O1756" s="7" t="s">
        <v>162</v>
      </c>
      <c r="P1756" s="7" t="s">
        <v>6818</v>
      </c>
      <c r="Q1756" s="129">
        <v>46199</v>
      </c>
      <c r="R1756" s="130">
        <f t="shared" si="198"/>
        <v>46206</v>
      </c>
      <c r="S1756" s="131">
        <f t="shared" si="197"/>
        <v>7</v>
      </c>
      <c r="T1756" s="7" t="s">
        <v>220</v>
      </c>
      <c r="U1756" s="7" t="s">
        <v>221</v>
      </c>
      <c r="V1756" s="7"/>
      <c r="W1756" s="7">
        <v>118.56</v>
      </c>
      <c r="X1756" s="132">
        <f t="shared" si="195"/>
        <v>10</v>
      </c>
      <c r="Y1756" s="133"/>
      <c r="Z1756" s="133"/>
      <c r="AA1756" s="133"/>
    </row>
    <row r="1757" spans="1:27" hidden="1" x14ac:dyDescent="0.25">
      <c r="A1757" s="127">
        <v>1926</v>
      </c>
      <c r="B1757" s="128" t="str">
        <f t="shared" si="196"/>
        <v>YGQT</v>
      </c>
      <c r="C1757" s="128" t="str">
        <f>+VLOOKUP(U1757,Ходим!A:B,2,0)</f>
        <v>30107965950010</v>
      </c>
      <c r="D1757" s="128" t="str">
        <f>IFERROR(VLOOKUP($B:$B,[20]свод!$A:$AB,3,0)," ")</f>
        <v>Янгиқўрғон тумани</v>
      </c>
      <c r="E1757" s="7" t="s">
        <v>2893</v>
      </c>
      <c r="F1757" s="7" t="s">
        <v>9278</v>
      </c>
      <c r="G1757" s="134">
        <f t="shared" si="199"/>
        <v>1</v>
      </c>
      <c r="H1757" s="134" t="str">
        <f t="shared" si="200"/>
        <v/>
      </c>
      <c r="I1757" s="7" t="s">
        <v>158</v>
      </c>
      <c r="J1757" s="7" t="s">
        <v>2</v>
      </c>
      <c r="K1757" s="7"/>
      <c r="L1757" s="7"/>
      <c r="M1757" s="7"/>
      <c r="N1757" s="7" t="s">
        <v>170</v>
      </c>
      <c r="O1757" s="7" t="s">
        <v>162</v>
      </c>
      <c r="P1757" s="7" t="s">
        <v>7079</v>
      </c>
      <c r="Q1757" s="129">
        <v>46199</v>
      </c>
      <c r="R1757" s="130">
        <f t="shared" si="198"/>
        <v>46202</v>
      </c>
      <c r="S1757" s="131">
        <f t="shared" si="197"/>
        <v>3</v>
      </c>
      <c r="T1757" s="7" t="s">
        <v>255</v>
      </c>
      <c r="U1757" s="7" t="s">
        <v>244</v>
      </c>
      <c r="V1757" s="7"/>
      <c r="W1757" s="7"/>
      <c r="X1757" s="132">
        <f t="shared" si="195"/>
        <v>10</v>
      </c>
      <c r="Y1757" s="133"/>
      <c r="Z1757" s="133"/>
      <c r="AA1757" s="133"/>
    </row>
    <row r="1758" spans="1:27" hidden="1" x14ac:dyDescent="0.25">
      <c r="A1758" s="127">
        <v>1927</v>
      </c>
      <c r="B1758" s="128" t="str">
        <f t="shared" si="196"/>
        <v>TORT</v>
      </c>
      <c r="C1758" s="128" t="str">
        <f>+VLOOKUP(U1758,Ходим!A:B,2,0)</f>
        <v>31704782130035</v>
      </c>
      <c r="D1758" s="128" t="str">
        <f>IFERROR(VLOOKUP($B:$B,[20]свод!$A:$AB,3,0)," ")</f>
        <v>Тўрақўрғон тумани</v>
      </c>
      <c r="E1758" s="7" t="s">
        <v>2894</v>
      </c>
      <c r="F1758" s="7" t="s">
        <v>9279</v>
      </c>
      <c r="G1758" s="134">
        <f t="shared" si="199"/>
        <v>1</v>
      </c>
      <c r="H1758" s="134" t="str">
        <f t="shared" si="200"/>
        <v/>
      </c>
      <c r="I1758" s="7" t="s">
        <v>158</v>
      </c>
      <c r="J1758" s="7" t="s">
        <v>2</v>
      </c>
      <c r="K1758" s="7"/>
      <c r="L1758" s="7"/>
      <c r="M1758" s="7"/>
      <c r="N1758" s="7" t="s">
        <v>170</v>
      </c>
      <c r="O1758" s="7" t="s">
        <v>162</v>
      </c>
      <c r="P1758" s="7" t="s">
        <v>7079</v>
      </c>
      <c r="Q1758" s="129">
        <v>46199</v>
      </c>
      <c r="R1758" s="130">
        <f t="shared" si="198"/>
        <v>46202</v>
      </c>
      <c r="S1758" s="131">
        <f t="shared" si="197"/>
        <v>3</v>
      </c>
      <c r="T1758" s="7" t="s">
        <v>203</v>
      </c>
      <c r="U1758" s="7" t="s">
        <v>344</v>
      </c>
      <c r="V1758" s="7"/>
      <c r="W1758" s="7"/>
      <c r="X1758" s="132">
        <f t="shared" si="195"/>
        <v>10</v>
      </c>
      <c r="Y1758" s="133"/>
      <c r="Z1758" s="133"/>
      <c r="AA1758" s="133"/>
    </row>
    <row r="1759" spans="1:27" hidden="1" x14ac:dyDescent="0.25">
      <c r="A1759" s="127">
        <v>1928</v>
      </c>
      <c r="B1759" s="128" t="str">
        <f t="shared" si="196"/>
        <v>NAMS</v>
      </c>
      <c r="C1759" s="128" t="str">
        <f>+VLOOKUP(U1759,Ходим!A:B,2,0)</f>
        <v>52710005960025</v>
      </c>
      <c r="D1759" s="128" t="str">
        <f>IFERROR(VLOOKUP($B:$B,[20]свод!$A:$AB,3,0)," ")</f>
        <v>Наманган шаҳар</v>
      </c>
      <c r="E1759" s="7" t="s">
        <v>2895</v>
      </c>
      <c r="F1759" s="7" t="s">
        <v>9280</v>
      </c>
      <c r="G1759" s="134">
        <f t="shared" si="199"/>
        <v>1</v>
      </c>
      <c r="H1759" s="134" t="str">
        <f t="shared" si="200"/>
        <v/>
      </c>
      <c r="I1759" s="7" t="s">
        <v>158</v>
      </c>
      <c r="J1759" s="7" t="s">
        <v>2</v>
      </c>
      <c r="K1759" s="7"/>
      <c r="L1759" s="7"/>
      <c r="M1759" s="7"/>
      <c r="N1759" s="7" t="s">
        <v>170</v>
      </c>
      <c r="O1759" s="7" t="s">
        <v>162</v>
      </c>
      <c r="P1759" s="7" t="s">
        <v>7079</v>
      </c>
      <c r="Q1759" s="129">
        <v>46199</v>
      </c>
      <c r="R1759" s="130">
        <f t="shared" si="198"/>
        <v>46202</v>
      </c>
      <c r="S1759" s="131">
        <f t="shared" si="197"/>
        <v>3</v>
      </c>
      <c r="T1759" s="7" t="s">
        <v>173</v>
      </c>
      <c r="U1759" s="7" t="s">
        <v>274</v>
      </c>
      <c r="V1759" s="7"/>
      <c r="W1759" s="7"/>
      <c r="X1759" s="132">
        <f t="shared" si="195"/>
        <v>10</v>
      </c>
      <c r="Y1759" s="133"/>
      <c r="Z1759" s="133"/>
      <c r="AA1759" s="133"/>
    </row>
    <row r="1760" spans="1:27" hidden="1" x14ac:dyDescent="0.25">
      <c r="A1760" s="127">
        <v>1929</v>
      </c>
      <c r="B1760" s="128" t="str">
        <f t="shared" si="196"/>
        <v>YGQT</v>
      </c>
      <c r="C1760" s="128" t="str">
        <f>+VLOOKUP(U1760,Ходим!A:B,2,0)</f>
        <v>30107965950010</v>
      </c>
      <c r="D1760" s="128" t="str">
        <f>IFERROR(VLOOKUP($B:$B,[20]свод!$A:$AB,3,0)," ")</f>
        <v>Янгиқўрғон тумани</v>
      </c>
      <c r="E1760" s="7" t="s">
        <v>2896</v>
      </c>
      <c r="F1760" s="7" t="s">
        <v>9281</v>
      </c>
      <c r="G1760" s="134">
        <f t="shared" si="199"/>
        <v>1</v>
      </c>
      <c r="H1760" s="134" t="str">
        <f t="shared" si="200"/>
        <v/>
      </c>
      <c r="I1760" s="7" t="s">
        <v>158</v>
      </c>
      <c r="J1760" s="7" t="s">
        <v>2</v>
      </c>
      <c r="K1760" s="7"/>
      <c r="L1760" s="7" t="s">
        <v>167</v>
      </c>
      <c r="M1760" s="7" t="s">
        <v>5364</v>
      </c>
      <c r="N1760" s="7" t="s">
        <v>170</v>
      </c>
      <c r="O1760" s="7" t="s">
        <v>162</v>
      </c>
      <c r="P1760" s="7" t="s">
        <v>7079</v>
      </c>
      <c r="Q1760" s="129">
        <v>46199</v>
      </c>
      <c r="R1760" s="130">
        <f t="shared" si="198"/>
        <v>46202</v>
      </c>
      <c r="S1760" s="131">
        <f t="shared" si="197"/>
        <v>3</v>
      </c>
      <c r="T1760" s="7" t="s">
        <v>182</v>
      </c>
      <c r="U1760" s="7" t="s">
        <v>244</v>
      </c>
      <c r="V1760" s="7"/>
      <c r="W1760" s="7">
        <v>73.239999999999995</v>
      </c>
      <c r="X1760" s="132">
        <f t="shared" si="195"/>
        <v>10</v>
      </c>
      <c r="Y1760" s="133"/>
      <c r="Z1760" s="133"/>
      <c r="AA1760" s="133"/>
    </row>
    <row r="1761" spans="1:27" hidden="1" x14ac:dyDescent="0.25">
      <c r="A1761" s="127">
        <v>1930</v>
      </c>
      <c r="B1761" s="128" t="str">
        <f t="shared" si="196"/>
        <v>CHOT</v>
      </c>
      <c r="C1761" s="128" t="str">
        <f>+VLOOKUP(U1761,Ходим!A:B,2,0)</f>
        <v>32904975890057</v>
      </c>
      <c r="D1761" s="128" t="str">
        <f>IFERROR(VLOOKUP($B:$B,[20]свод!$A:$AB,3,0)," ")</f>
        <v>Чортоқ тумани</v>
      </c>
      <c r="E1761" s="7" t="s">
        <v>2897</v>
      </c>
      <c r="F1761" s="7" t="s">
        <v>9282</v>
      </c>
      <c r="G1761" s="134">
        <f t="shared" si="199"/>
        <v>1</v>
      </c>
      <c r="H1761" s="134" t="str">
        <f t="shared" si="200"/>
        <v/>
      </c>
      <c r="I1761" s="7" t="s">
        <v>156</v>
      </c>
      <c r="J1761" s="7" t="s">
        <v>25</v>
      </c>
      <c r="K1761" s="7"/>
      <c r="L1761" s="7"/>
      <c r="M1761" s="7"/>
      <c r="N1761" s="7" t="s">
        <v>170</v>
      </c>
      <c r="O1761" s="7" t="s">
        <v>162</v>
      </c>
      <c r="P1761" s="7" t="s">
        <v>7080</v>
      </c>
      <c r="Q1761" s="129">
        <v>46199</v>
      </c>
      <c r="R1761" s="130">
        <f t="shared" si="198"/>
        <v>46212</v>
      </c>
      <c r="S1761" s="131">
        <f t="shared" si="197"/>
        <v>13</v>
      </c>
      <c r="T1761" s="7" t="s">
        <v>184</v>
      </c>
      <c r="U1761" s="7" t="s">
        <v>226</v>
      </c>
      <c r="V1761" s="7"/>
      <c r="W1761" s="7"/>
      <c r="X1761" s="132">
        <f t="shared" si="195"/>
        <v>10</v>
      </c>
      <c r="Y1761" s="133"/>
      <c r="Z1761" s="133"/>
      <c r="AA1761" s="133"/>
    </row>
    <row r="1762" spans="1:27" hidden="1" x14ac:dyDescent="0.25">
      <c r="A1762" s="127">
        <v>1931</v>
      </c>
      <c r="B1762" s="128" t="str">
        <f t="shared" si="196"/>
        <v>CHUT</v>
      </c>
      <c r="C1762" s="128" t="str">
        <f>+VLOOKUP(U1762,Ходим!A:B,2,0)</f>
        <v>31910975970049</v>
      </c>
      <c r="D1762" s="128" t="str">
        <f>IFERROR(VLOOKUP($B:$B,[20]свод!$A:$AB,3,0)," ")</f>
        <v>Чуст тумани</v>
      </c>
      <c r="E1762" s="7" t="s">
        <v>2898</v>
      </c>
      <c r="F1762" s="7" t="s">
        <v>9283</v>
      </c>
      <c r="G1762" s="134">
        <f t="shared" si="199"/>
        <v>1</v>
      </c>
      <c r="H1762" s="134" t="str">
        <f t="shared" si="200"/>
        <v/>
      </c>
      <c r="I1762" s="7" t="s">
        <v>158</v>
      </c>
      <c r="J1762" s="7" t="s">
        <v>172</v>
      </c>
      <c r="K1762" s="7"/>
      <c r="L1762" s="7" t="s">
        <v>167</v>
      </c>
      <c r="M1762" s="7" t="s">
        <v>5365</v>
      </c>
      <c r="N1762" s="7" t="s">
        <v>170</v>
      </c>
      <c r="O1762" s="7" t="s">
        <v>162</v>
      </c>
      <c r="P1762" s="7" t="s">
        <v>7081</v>
      </c>
      <c r="Q1762" s="129">
        <v>46199</v>
      </c>
      <c r="R1762" s="130">
        <f t="shared" si="198"/>
        <v>46202</v>
      </c>
      <c r="S1762" s="131">
        <f t="shared" si="197"/>
        <v>3</v>
      </c>
      <c r="T1762" s="7" t="s">
        <v>178</v>
      </c>
      <c r="U1762" s="7" t="s">
        <v>352</v>
      </c>
      <c r="V1762" s="7"/>
      <c r="W1762" s="7">
        <v>0</v>
      </c>
      <c r="X1762" s="132">
        <f t="shared" si="195"/>
        <v>10</v>
      </c>
      <c r="Y1762" s="133"/>
      <c r="Z1762" s="133"/>
      <c r="AA1762" s="133"/>
    </row>
    <row r="1763" spans="1:27" hidden="1" x14ac:dyDescent="0.25">
      <c r="A1763" s="127">
        <v>1932</v>
      </c>
      <c r="B1763" s="128" t="str">
        <f t="shared" si="196"/>
        <v>YGQT</v>
      </c>
      <c r="C1763" s="128" t="str">
        <f>+VLOOKUP(U1763,Ходим!A:B,2,0)</f>
        <v>30809995950021</v>
      </c>
      <c r="D1763" s="128" t="str">
        <f>IFERROR(VLOOKUP($B:$B,[20]свод!$A:$AB,3,0)," ")</f>
        <v>Янгиқўрғон тумани</v>
      </c>
      <c r="E1763" s="7" t="s">
        <v>2899</v>
      </c>
      <c r="F1763" s="7" t="s">
        <v>9284</v>
      </c>
      <c r="G1763" s="134">
        <f t="shared" si="199"/>
        <v>1</v>
      </c>
      <c r="H1763" s="134" t="str">
        <f t="shared" si="200"/>
        <v/>
      </c>
      <c r="I1763" s="7" t="s">
        <v>158</v>
      </c>
      <c r="J1763" s="7" t="s">
        <v>16</v>
      </c>
      <c r="K1763" s="7"/>
      <c r="L1763" s="7" t="s">
        <v>167</v>
      </c>
      <c r="M1763" s="7" t="s">
        <v>5366</v>
      </c>
      <c r="N1763" s="7" t="s">
        <v>170</v>
      </c>
      <c r="O1763" s="7" t="s">
        <v>162</v>
      </c>
      <c r="P1763" s="7" t="s">
        <v>6966</v>
      </c>
      <c r="Q1763" s="129">
        <v>46199</v>
      </c>
      <c r="R1763" s="130">
        <f t="shared" si="198"/>
        <v>46206</v>
      </c>
      <c r="S1763" s="131">
        <f t="shared" si="197"/>
        <v>7</v>
      </c>
      <c r="T1763" s="7" t="s">
        <v>255</v>
      </c>
      <c r="U1763" s="7" t="s">
        <v>223</v>
      </c>
      <c r="V1763" s="7"/>
      <c r="W1763" s="7">
        <v>404.76</v>
      </c>
      <c r="X1763" s="132">
        <f t="shared" si="195"/>
        <v>10</v>
      </c>
      <c r="Y1763" s="133"/>
      <c r="Z1763" s="133"/>
      <c r="AA1763" s="133"/>
    </row>
    <row r="1764" spans="1:27" hidden="1" x14ac:dyDescent="0.25">
      <c r="A1764" s="127">
        <v>1933</v>
      </c>
      <c r="B1764" s="128" t="str">
        <f t="shared" si="196"/>
        <v>NAMS</v>
      </c>
      <c r="C1764" s="128">
        <f>+VLOOKUP(U1764,Ходим!A:B,2,0)</f>
        <v>51006025960068</v>
      </c>
      <c r="D1764" s="128" t="str">
        <f>IFERROR(VLOOKUP($B:$B,[20]свод!$A:$AB,3,0)," ")</f>
        <v>Наманган шаҳар</v>
      </c>
      <c r="E1764" s="7" t="s">
        <v>2900</v>
      </c>
      <c r="F1764" s="7" t="s">
        <v>9285</v>
      </c>
      <c r="G1764" s="134">
        <f t="shared" si="199"/>
        <v>1</v>
      </c>
      <c r="H1764" s="134" t="str">
        <f t="shared" si="200"/>
        <v/>
      </c>
      <c r="I1764" s="7" t="s">
        <v>158</v>
      </c>
      <c r="J1764" s="7" t="s">
        <v>2</v>
      </c>
      <c r="K1764" s="7"/>
      <c r="L1764" s="7" t="s">
        <v>167</v>
      </c>
      <c r="M1764" s="7" t="s">
        <v>5367</v>
      </c>
      <c r="N1764" s="7" t="s">
        <v>410</v>
      </c>
      <c r="O1764" s="7" t="s">
        <v>162</v>
      </c>
      <c r="P1764" s="7" t="s">
        <v>6960</v>
      </c>
      <c r="Q1764" s="129">
        <v>46199</v>
      </c>
      <c r="R1764" s="130">
        <f t="shared" si="198"/>
        <v>46206</v>
      </c>
      <c r="S1764" s="131">
        <f t="shared" si="197"/>
        <v>7</v>
      </c>
      <c r="T1764" s="7" t="s">
        <v>185</v>
      </c>
      <c r="U1764" s="7" t="s">
        <v>944</v>
      </c>
      <c r="V1764" s="7"/>
      <c r="W1764" s="7">
        <v>433.26499999999999</v>
      </c>
      <c r="X1764" s="132">
        <f t="shared" si="195"/>
        <v>10</v>
      </c>
      <c r="Y1764" s="133"/>
      <c r="Z1764" s="133"/>
      <c r="AA1764" s="133"/>
    </row>
    <row r="1765" spans="1:27" hidden="1" x14ac:dyDescent="0.25">
      <c r="A1765" s="127">
        <v>1934</v>
      </c>
      <c r="B1765" s="128" t="str">
        <f t="shared" si="196"/>
        <v>TORT</v>
      </c>
      <c r="C1765" s="128" t="str">
        <f>+VLOOKUP(U1765,Ходим!A:B,2,0)</f>
        <v>30708792130017</v>
      </c>
      <c r="D1765" s="128" t="str">
        <f>IFERROR(VLOOKUP($B:$B,[20]свод!$A:$AB,3,0)," ")</f>
        <v>Тўрақўрғон тумани</v>
      </c>
      <c r="E1765" s="7" t="s">
        <v>2901</v>
      </c>
      <c r="F1765" s="7" t="s">
        <v>9286</v>
      </c>
      <c r="G1765" s="134">
        <f t="shared" si="199"/>
        <v>1</v>
      </c>
      <c r="H1765" s="134" t="str">
        <f t="shared" si="200"/>
        <v/>
      </c>
      <c r="I1765" s="7" t="s">
        <v>158</v>
      </c>
      <c r="J1765" s="7" t="s">
        <v>1</v>
      </c>
      <c r="K1765" s="7"/>
      <c r="L1765" s="7" t="s">
        <v>167</v>
      </c>
      <c r="M1765" s="7" t="s">
        <v>5368</v>
      </c>
      <c r="N1765" s="7" t="s">
        <v>410</v>
      </c>
      <c r="O1765" s="7" t="s">
        <v>162</v>
      </c>
      <c r="P1765" s="7" t="s">
        <v>7082</v>
      </c>
      <c r="Q1765" s="129">
        <v>46199</v>
      </c>
      <c r="R1765" s="130">
        <f t="shared" si="198"/>
        <v>46202</v>
      </c>
      <c r="S1765" s="131">
        <f t="shared" si="197"/>
        <v>3</v>
      </c>
      <c r="T1765" s="7" t="s">
        <v>309</v>
      </c>
      <c r="U1765" s="7" t="s">
        <v>204</v>
      </c>
      <c r="V1765" s="7"/>
      <c r="W1765" s="7">
        <v>264.56</v>
      </c>
      <c r="X1765" s="132">
        <f t="shared" si="195"/>
        <v>10</v>
      </c>
      <c r="Y1765" s="133"/>
      <c r="Z1765" s="133"/>
      <c r="AA1765" s="133"/>
    </row>
    <row r="1766" spans="1:27" hidden="1" x14ac:dyDescent="0.25">
      <c r="A1766" s="127">
        <v>1935</v>
      </c>
      <c r="B1766" s="128" t="str">
        <f t="shared" si="196"/>
        <v>POPT</v>
      </c>
      <c r="C1766" s="128" t="str">
        <f>+VLOOKUP(U1766,Ходим!A:B,2,0)</f>
        <v>30304872210053</v>
      </c>
      <c r="D1766" s="128" t="str">
        <f>IFERROR(VLOOKUP($B:$B,[20]свод!$A:$AB,3,0)," ")</f>
        <v>Поп тумани</v>
      </c>
      <c r="E1766" s="7" t="s">
        <v>2902</v>
      </c>
      <c r="F1766" s="7" t="s">
        <v>9287</v>
      </c>
      <c r="G1766" s="134">
        <f t="shared" si="199"/>
        <v>1</v>
      </c>
      <c r="H1766" s="134" t="str">
        <f t="shared" si="200"/>
        <v/>
      </c>
      <c r="I1766" s="7" t="s">
        <v>154</v>
      </c>
      <c r="J1766" s="7" t="s">
        <v>2</v>
      </c>
      <c r="K1766" s="7"/>
      <c r="L1766" s="7" t="s">
        <v>167</v>
      </c>
      <c r="M1766" s="7" t="s">
        <v>5369</v>
      </c>
      <c r="N1766" s="7" t="s">
        <v>170</v>
      </c>
      <c r="O1766" s="7" t="s">
        <v>162</v>
      </c>
      <c r="P1766" s="7" t="s">
        <v>7083</v>
      </c>
      <c r="Q1766" s="129">
        <v>46199</v>
      </c>
      <c r="R1766" s="130">
        <f t="shared" si="198"/>
        <v>46202</v>
      </c>
      <c r="S1766" s="131">
        <f t="shared" si="197"/>
        <v>3</v>
      </c>
      <c r="T1766" s="7" t="s">
        <v>214</v>
      </c>
      <c r="U1766" s="7" t="s">
        <v>235</v>
      </c>
      <c r="V1766" s="7"/>
      <c r="W1766" s="7">
        <v>95.1</v>
      </c>
      <c r="X1766" s="132">
        <f t="shared" si="195"/>
        <v>10</v>
      </c>
      <c r="Y1766" s="133"/>
      <c r="Z1766" s="133"/>
      <c r="AA1766" s="133"/>
    </row>
    <row r="1767" spans="1:27" hidden="1" x14ac:dyDescent="0.25">
      <c r="A1767" s="127">
        <v>1936</v>
      </c>
      <c r="B1767" s="128" t="str">
        <f t="shared" si="196"/>
        <v>NAMS</v>
      </c>
      <c r="C1767" s="128" t="str">
        <f>+VLOOKUP(U1767,Ходим!A:B,2,0)</f>
        <v>52601025870013</v>
      </c>
      <c r="D1767" s="128" t="str">
        <f>IFERROR(VLOOKUP($B:$B,[20]свод!$A:$AB,3,0)," ")</f>
        <v>Наманган шаҳар</v>
      </c>
      <c r="E1767" s="7" t="s">
        <v>2903</v>
      </c>
      <c r="F1767" s="7" t="s">
        <v>9288</v>
      </c>
      <c r="G1767" s="134">
        <f t="shared" si="199"/>
        <v>1</v>
      </c>
      <c r="H1767" s="134" t="str">
        <f t="shared" si="200"/>
        <v/>
      </c>
      <c r="I1767" s="7" t="s">
        <v>158</v>
      </c>
      <c r="J1767" s="7" t="s">
        <v>1</v>
      </c>
      <c r="K1767" s="7"/>
      <c r="L1767" s="7" t="s">
        <v>167</v>
      </c>
      <c r="M1767" s="7" t="s">
        <v>5370</v>
      </c>
      <c r="N1767" s="7" t="s">
        <v>170</v>
      </c>
      <c r="O1767" s="7" t="s">
        <v>162</v>
      </c>
      <c r="P1767" s="7" t="s">
        <v>7083</v>
      </c>
      <c r="Q1767" s="129">
        <v>46199</v>
      </c>
      <c r="R1767" s="130">
        <f t="shared" si="198"/>
        <v>46202</v>
      </c>
      <c r="S1767" s="131">
        <f t="shared" si="197"/>
        <v>3</v>
      </c>
      <c r="T1767" s="7" t="s">
        <v>185</v>
      </c>
      <c r="U1767" s="7" t="s">
        <v>405</v>
      </c>
      <c r="V1767" s="7"/>
      <c r="W1767" s="7">
        <v>202.56</v>
      </c>
      <c r="X1767" s="132">
        <f t="shared" si="195"/>
        <v>10</v>
      </c>
      <c r="Y1767" s="133"/>
      <c r="Z1767" s="133"/>
      <c r="AA1767" s="133"/>
    </row>
    <row r="1768" spans="1:27" hidden="1" x14ac:dyDescent="0.25">
      <c r="A1768" s="127">
        <v>1937</v>
      </c>
      <c r="B1768" s="128" t="str">
        <f t="shared" si="196"/>
        <v>POPT</v>
      </c>
      <c r="C1768" s="128" t="str">
        <f>+VLOOKUP(U1768,Ходим!A:B,2,0)</f>
        <v>30304872210053</v>
      </c>
      <c r="D1768" s="128" t="str">
        <f>IFERROR(VLOOKUP($B:$B,[20]свод!$A:$AB,3,0)," ")</f>
        <v>Поп тумани</v>
      </c>
      <c r="E1768" s="7" t="s">
        <v>2904</v>
      </c>
      <c r="F1768" s="7" t="s">
        <v>9289</v>
      </c>
      <c r="G1768" s="134">
        <f t="shared" si="199"/>
        <v>1</v>
      </c>
      <c r="H1768" s="134" t="str">
        <f t="shared" si="200"/>
        <v/>
      </c>
      <c r="I1768" s="7" t="s">
        <v>154</v>
      </c>
      <c r="J1768" s="7" t="s">
        <v>2</v>
      </c>
      <c r="K1768" s="7"/>
      <c r="L1768" s="7"/>
      <c r="M1768" s="7"/>
      <c r="N1768" s="7" t="s">
        <v>170</v>
      </c>
      <c r="O1768" s="7" t="s">
        <v>162</v>
      </c>
      <c r="P1768" s="7" t="s">
        <v>7083</v>
      </c>
      <c r="Q1768" s="129">
        <v>46199</v>
      </c>
      <c r="R1768" s="130">
        <f t="shared" si="198"/>
        <v>46202</v>
      </c>
      <c r="S1768" s="131">
        <f t="shared" si="197"/>
        <v>3</v>
      </c>
      <c r="T1768" s="7" t="s">
        <v>214</v>
      </c>
      <c r="U1768" s="7" t="s">
        <v>235</v>
      </c>
      <c r="V1768" s="7"/>
      <c r="W1768" s="7"/>
      <c r="X1768" s="132">
        <f t="shared" si="195"/>
        <v>10</v>
      </c>
      <c r="Y1768" s="133"/>
      <c r="Z1768" s="133"/>
      <c r="AA1768" s="133"/>
    </row>
    <row r="1769" spans="1:27" hidden="1" x14ac:dyDescent="0.25">
      <c r="A1769" s="127">
        <v>1938</v>
      </c>
      <c r="B1769" s="128" t="str">
        <f t="shared" si="196"/>
        <v>CHUT</v>
      </c>
      <c r="C1769" s="128" t="str">
        <f>+VLOOKUP(U1769,Ходим!A:B,2,0)</f>
        <v>33112995970023</v>
      </c>
      <c r="D1769" s="128" t="str">
        <f>IFERROR(VLOOKUP($B:$B,[20]свод!$A:$AB,3,0)," ")</f>
        <v>Чуст тумани</v>
      </c>
      <c r="E1769" s="7" t="s">
        <v>2905</v>
      </c>
      <c r="F1769" s="7" t="s">
        <v>9290</v>
      </c>
      <c r="G1769" s="134" t="str">
        <f t="shared" si="199"/>
        <v/>
      </c>
      <c r="H1769" s="134">
        <f t="shared" si="200"/>
        <v>1</v>
      </c>
      <c r="I1769" s="7" t="s">
        <v>155</v>
      </c>
      <c r="J1769" s="7" t="s">
        <v>25</v>
      </c>
      <c r="K1769" s="7"/>
      <c r="L1769" s="7"/>
      <c r="M1769" s="7"/>
      <c r="N1769" s="7" t="s">
        <v>410</v>
      </c>
      <c r="O1769" s="7" t="s">
        <v>161</v>
      </c>
      <c r="P1769" s="7" t="s">
        <v>7084</v>
      </c>
      <c r="Q1769" s="129">
        <v>46199</v>
      </c>
      <c r="R1769" s="130">
        <f t="shared" si="198"/>
        <v>46202</v>
      </c>
      <c r="S1769" s="131">
        <f t="shared" si="197"/>
        <v>3</v>
      </c>
      <c r="T1769" s="7" t="s">
        <v>178</v>
      </c>
      <c r="U1769" s="7" t="s">
        <v>179</v>
      </c>
      <c r="V1769" s="7"/>
      <c r="W1769" s="7"/>
      <c r="X1769" s="132">
        <f t="shared" si="195"/>
        <v>10</v>
      </c>
      <c r="Y1769" s="133"/>
      <c r="Z1769" s="133"/>
      <c r="AA1769" s="133"/>
    </row>
    <row r="1770" spans="1:27" hidden="1" x14ac:dyDescent="0.25">
      <c r="A1770" s="127">
        <v>1940</v>
      </c>
      <c r="B1770" s="128" t="str">
        <f t="shared" si="196"/>
        <v>NAMS</v>
      </c>
      <c r="C1770" s="128" t="str">
        <f>+VLOOKUP(U1770,Ходим!A:B,2,0)</f>
        <v>33012942170121</v>
      </c>
      <c r="D1770" s="128" t="str">
        <f>IFERROR(VLOOKUP($B:$B,[20]свод!$A:$AB,3,0)," ")</f>
        <v>Наманган шаҳар</v>
      </c>
      <c r="E1770" s="7" t="s">
        <v>2906</v>
      </c>
      <c r="F1770" s="7" t="s">
        <v>9291</v>
      </c>
      <c r="G1770" s="134">
        <f t="shared" si="199"/>
        <v>1</v>
      </c>
      <c r="H1770" s="134" t="str">
        <f t="shared" si="200"/>
        <v/>
      </c>
      <c r="I1770" s="7" t="s">
        <v>154</v>
      </c>
      <c r="J1770" s="7" t="s">
        <v>2</v>
      </c>
      <c r="K1770" s="7"/>
      <c r="L1770" s="7" t="s">
        <v>167</v>
      </c>
      <c r="M1770" s="7" t="s">
        <v>5371</v>
      </c>
      <c r="N1770" s="7" t="s">
        <v>170</v>
      </c>
      <c r="O1770" s="7" t="s">
        <v>162</v>
      </c>
      <c r="P1770" s="7" t="s">
        <v>7084</v>
      </c>
      <c r="Q1770" s="129">
        <v>46199</v>
      </c>
      <c r="R1770" s="130">
        <f t="shared" si="198"/>
        <v>46202</v>
      </c>
      <c r="S1770" s="131">
        <f t="shared" si="197"/>
        <v>3</v>
      </c>
      <c r="T1770" s="7" t="s">
        <v>173</v>
      </c>
      <c r="U1770" s="7" t="s">
        <v>259</v>
      </c>
      <c r="V1770" s="7"/>
      <c r="W1770" s="7">
        <v>0</v>
      </c>
      <c r="X1770" s="132">
        <f t="shared" si="195"/>
        <v>10</v>
      </c>
      <c r="Y1770" s="133"/>
      <c r="Z1770" s="133"/>
      <c r="AA1770" s="133"/>
    </row>
    <row r="1771" spans="1:27" hidden="1" x14ac:dyDescent="0.25">
      <c r="A1771" s="127">
        <v>1941</v>
      </c>
      <c r="B1771" s="128" t="str">
        <f t="shared" si="196"/>
        <v>KSST</v>
      </c>
      <c r="C1771" s="128" t="str">
        <f>+VLOOKUP(U1771,Ходим!A:B,2,0)</f>
        <v>31407932190092</v>
      </c>
      <c r="D1771" s="128" t="str">
        <f>IFERROR(VLOOKUP($B:$B,[20]свод!$A:$AB,3,0)," ")</f>
        <v>Косонсой тумани</v>
      </c>
      <c r="E1771" s="7" t="s">
        <v>2907</v>
      </c>
      <c r="F1771" s="7" t="s">
        <v>9292</v>
      </c>
      <c r="G1771" s="134">
        <f t="shared" si="199"/>
        <v>1</v>
      </c>
      <c r="H1771" s="134" t="str">
        <f t="shared" si="200"/>
        <v/>
      </c>
      <c r="I1771" s="7" t="s">
        <v>158</v>
      </c>
      <c r="J1771" s="7" t="s">
        <v>1</v>
      </c>
      <c r="K1771" s="7"/>
      <c r="L1771" s="7" t="s">
        <v>167</v>
      </c>
      <c r="M1771" s="7" t="s">
        <v>5372</v>
      </c>
      <c r="N1771" s="7" t="s">
        <v>170</v>
      </c>
      <c r="O1771" s="7" t="s">
        <v>162</v>
      </c>
      <c r="P1771" s="7" t="s">
        <v>7049</v>
      </c>
      <c r="Q1771" s="129">
        <v>46199</v>
      </c>
      <c r="R1771" s="130">
        <f t="shared" si="198"/>
        <v>46202</v>
      </c>
      <c r="S1771" s="131">
        <f t="shared" si="197"/>
        <v>3</v>
      </c>
      <c r="T1771" s="7" t="s">
        <v>180</v>
      </c>
      <c r="U1771" s="7" t="s">
        <v>188</v>
      </c>
      <c r="V1771" s="7"/>
      <c r="W1771" s="7">
        <v>157.07</v>
      </c>
      <c r="X1771" s="132">
        <f t="shared" si="195"/>
        <v>10</v>
      </c>
      <c r="Y1771" s="133"/>
      <c r="Z1771" s="133"/>
      <c r="AA1771" s="133"/>
    </row>
    <row r="1772" spans="1:27" hidden="1" x14ac:dyDescent="0.25">
      <c r="A1772" s="127">
        <v>1942</v>
      </c>
      <c r="B1772" s="128" t="str">
        <f t="shared" si="196"/>
        <v>NAMS</v>
      </c>
      <c r="C1772" s="128" t="str">
        <f>+VLOOKUP(U1772,Ходим!A:B,2,0)</f>
        <v>32211885960016</v>
      </c>
      <c r="D1772" s="128" t="str">
        <f>IFERROR(VLOOKUP($B:$B,[20]свод!$A:$AB,3,0)," ")</f>
        <v>Наманган шаҳар</v>
      </c>
      <c r="E1772" s="7" t="s">
        <v>2908</v>
      </c>
      <c r="F1772" s="7" t="s">
        <v>9293</v>
      </c>
      <c r="G1772" s="134" t="str">
        <f t="shared" si="199"/>
        <v/>
      </c>
      <c r="H1772" s="134">
        <f t="shared" si="200"/>
        <v>1</v>
      </c>
      <c r="I1772" s="7" t="s">
        <v>155</v>
      </c>
      <c r="J1772" s="7" t="s">
        <v>25</v>
      </c>
      <c r="K1772" s="7"/>
      <c r="L1772" s="7" t="s">
        <v>166</v>
      </c>
      <c r="M1772" s="7" t="s">
        <v>5373</v>
      </c>
      <c r="N1772" s="7" t="s">
        <v>170</v>
      </c>
      <c r="O1772" s="7" t="s">
        <v>161</v>
      </c>
      <c r="P1772" s="7" t="s">
        <v>7085</v>
      </c>
      <c r="Q1772" s="129">
        <v>46199</v>
      </c>
      <c r="R1772" s="130">
        <f t="shared" si="198"/>
        <v>46213</v>
      </c>
      <c r="S1772" s="131">
        <f t="shared" si="197"/>
        <v>14</v>
      </c>
      <c r="T1772" s="7" t="s">
        <v>227</v>
      </c>
      <c r="U1772" s="7" t="s">
        <v>279</v>
      </c>
      <c r="V1772" s="7"/>
      <c r="W1772" s="7">
        <v>125.13</v>
      </c>
      <c r="X1772" s="132">
        <f t="shared" si="195"/>
        <v>12</v>
      </c>
      <c r="Y1772" s="133"/>
      <c r="Z1772" s="133"/>
      <c r="AA1772" s="133"/>
    </row>
    <row r="1773" spans="1:27" hidden="1" x14ac:dyDescent="0.25">
      <c r="A1773" s="127">
        <v>1944</v>
      </c>
      <c r="B1773" s="128" t="str">
        <f t="shared" si="196"/>
        <v>UCQT</v>
      </c>
      <c r="C1773" s="128" t="e">
        <f>+VLOOKUP(U1773,Ходим!A:B,2,0)</f>
        <v>#N/A</v>
      </c>
      <c r="D1773" s="128" t="str">
        <f>IFERROR(VLOOKUP($B:$B,[20]свод!$A:$AB,3,0)," ")</f>
        <v>Учқўрғон тумани</v>
      </c>
      <c r="E1773" s="7" t="s">
        <v>2909</v>
      </c>
      <c r="F1773" s="7" t="s">
        <v>9294</v>
      </c>
      <c r="G1773" s="134">
        <f t="shared" si="199"/>
        <v>1</v>
      </c>
      <c r="H1773" s="134" t="str">
        <f t="shared" si="200"/>
        <v/>
      </c>
      <c r="I1773" s="7" t="s">
        <v>156</v>
      </c>
      <c r="J1773" s="7" t="s">
        <v>11</v>
      </c>
      <c r="K1773" s="7"/>
      <c r="L1773" s="7" t="s">
        <v>169</v>
      </c>
      <c r="M1773" s="7" t="s">
        <v>5374</v>
      </c>
      <c r="N1773" s="7" t="s">
        <v>170</v>
      </c>
      <c r="O1773" s="7" t="s">
        <v>162</v>
      </c>
      <c r="P1773" s="7" t="s">
        <v>7086</v>
      </c>
      <c r="Q1773" s="129">
        <v>46199</v>
      </c>
      <c r="R1773" s="130">
        <f t="shared" si="198"/>
        <v>46209</v>
      </c>
      <c r="S1773" s="131">
        <f t="shared" si="197"/>
        <v>10</v>
      </c>
      <c r="T1773" s="7"/>
      <c r="U1773" s="7"/>
      <c r="V1773" s="7"/>
      <c r="W1773" s="7">
        <v>0</v>
      </c>
      <c r="X1773" s="132">
        <f t="shared" si="195"/>
        <v>7</v>
      </c>
      <c r="Y1773" s="133"/>
      <c r="Z1773" s="133"/>
      <c r="AA1773" s="133"/>
    </row>
    <row r="1774" spans="1:27" hidden="1" x14ac:dyDescent="0.25">
      <c r="A1774" s="127">
        <v>1945</v>
      </c>
      <c r="B1774" s="128" t="str">
        <f t="shared" si="196"/>
        <v>NAMT</v>
      </c>
      <c r="C1774" s="128" t="str">
        <f>+VLOOKUP(U1774,Ходим!A:B,2,0)</f>
        <v>40306812090034</v>
      </c>
      <c r="D1774" s="128" t="str">
        <f>IFERROR(VLOOKUP($B:$B,[20]свод!$A:$AB,3,0)," ")</f>
        <v>Наманган тумани</v>
      </c>
      <c r="E1774" s="7" t="s">
        <v>2910</v>
      </c>
      <c r="F1774" s="7" t="s">
        <v>9295</v>
      </c>
      <c r="G1774" s="134">
        <f t="shared" si="199"/>
        <v>1</v>
      </c>
      <c r="H1774" s="134" t="str">
        <f t="shared" si="200"/>
        <v/>
      </c>
      <c r="I1774" s="7" t="s">
        <v>154</v>
      </c>
      <c r="J1774" s="7" t="s">
        <v>2</v>
      </c>
      <c r="K1774" s="7"/>
      <c r="L1774" s="7"/>
      <c r="M1774" s="7"/>
      <c r="N1774" s="7" t="s">
        <v>170</v>
      </c>
      <c r="O1774" s="7" t="s">
        <v>162</v>
      </c>
      <c r="P1774" s="7" t="s">
        <v>7086</v>
      </c>
      <c r="Q1774" s="129">
        <v>46199</v>
      </c>
      <c r="R1774" s="130">
        <f t="shared" si="198"/>
        <v>46212</v>
      </c>
      <c r="S1774" s="131">
        <f t="shared" si="197"/>
        <v>13</v>
      </c>
      <c r="T1774" s="7" t="s">
        <v>193</v>
      </c>
      <c r="U1774" s="7" t="s">
        <v>273</v>
      </c>
      <c r="V1774" s="7"/>
      <c r="W1774" s="7"/>
      <c r="X1774" s="132">
        <f t="shared" si="195"/>
        <v>10</v>
      </c>
      <c r="Y1774" s="133"/>
      <c r="Z1774" s="133"/>
      <c r="AA1774" s="133"/>
    </row>
    <row r="1775" spans="1:27" hidden="1" x14ac:dyDescent="0.25">
      <c r="A1775" s="127">
        <v>1946</v>
      </c>
      <c r="B1775" s="128" t="str">
        <f t="shared" si="196"/>
        <v>NAMS</v>
      </c>
      <c r="C1775" s="128" t="str">
        <f>+VLOOKUP(U1775,Ходим!A:B,2,0)</f>
        <v>53008015960094</v>
      </c>
      <c r="D1775" s="128" t="str">
        <f>IFERROR(VLOOKUP($B:$B,[20]свод!$A:$AB,3,0)," ")</f>
        <v>Наманган шаҳар</v>
      </c>
      <c r="E1775" s="7" t="s">
        <v>2911</v>
      </c>
      <c r="F1775" s="7" t="s">
        <v>9296</v>
      </c>
      <c r="G1775" s="134">
        <f t="shared" si="199"/>
        <v>1</v>
      </c>
      <c r="H1775" s="134" t="str">
        <f t="shared" si="200"/>
        <v/>
      </c>
      <c r="I1775" s="7" t="s">
        <v>158</v>
      </c>
      <c r="J1775" s="7" t="s">
        <v>36</v>
      </c>
      <c r="K1775" s="7"/>
      <c r="L1775" s="7" t="s">
        <v>167</v>
      </c>
      <c r="M1775" s="7" t="s">
        <v>5375</v>
      </c>
      <c r="N1775" s="7" t="s">
        <v>170</v>
      </c>
      <c r="O1775" s="7" t="s">
        <v>162</v>
      </c>
      <c r="P1775" s="7" t="s">
        <v>7087</v>
      </c>
      <c r="Q1775" s="129">
        <v>46199</v>
      </c>
      <c r="R1775" s="130">
        <f t="shared" si="198"/>
        <v>46202</v>
      </c>
      <c r="S1775" s="131">
        <f t="shared" si="197"/>
        <v>3</v>
      </c>
      <c r="T1775" s="7" t="s">
        <v>173</v>
      </c>
      <c r="U1775" s="7" t="s">
        <v>403</v>
      </c>
      <c r="V1775" s="7"/>
      <c r="W1775" s="7">
        <v>0</v>
      </c>
      <c r="X1775" s="132">
        <f t="shared" si="195"/>
        <v>10</v>
      </c>
      <c r="Y1775" s="133"/>
      <c r="Z1775" s="133"/>
      <c r="AA1775" s="133"/>
    </row>
    <row r="1776" spans="1:27" hidden="1" x14ac:dyDescent="0.25">
      <c r="A1776" s="127">
        <v>1947</v>
      </c>
      <c r="B1776" s="128" t="str">
        <f t="shared" si="196"/>
        <v>NAMS</v>
      </c>
      <c r="C1776" s="128" t="str">
        <f>+VLOOKUP(U1776,Ходим!A:B,2,0)</f>
        <v>30202915960070</v>
      </c>
      <c r="D1776" s="128" t="str">
        <f>IFERROR(VLOOKUP($B:$B,[20]свод!$A:$AB,3,0)," ")</f>
        <v>Наманган шаҳар</v>
      </c>
      <c r="E1776" s="7" t="s">
        <v>2912</v>
      </c>
      <c r="F1776" s="7" t="s">
        <v>9297</v>
      </c>
      <c r="G1776" s="134" t="str">
        <f t="shared" si="199"/>
        <v/>
      </c>
      <c r="H1776" s="134">
        <f t="shared" si="200"/>
        <v>1</v>
      </c>
      <c r="I1776" s="7" t="s">
        <v>154</v>
      </c>
      <c r="J1776" s="7" t="s">
        <v>2</v>
      </c>
      <c r="K1776" s="7"/>
      <c r="L1776" s="7" t="s">
        <v>166</v>
      </c>
      <c r="M1776" s="7" t="s">
        <v>5376</v>
      </c>
      <c r="N1776" s="7" t="s">
        <v>170</v>
      </c>
      <c r="O1776" s="7" t="s">
        <v>161</v>
      </c>
      <c r="P1776" s="7" t="s">
        <v>6483</v>
      </c>
      <c r="Q1776" s="129">
        <v>46199</v>
      </c>
      <c r="R1776" s="130">
        <f t="shared" si="198"/>
        <v>46211</v>
      </c>
      <c r="S1776" s="131">
        <f t="shared" si="197"/>
        <v>12</v>
      </c>
      <c r="T1776" s="7" t="s">
        <v>173</v>
      </c>
      <c r="U1776" s="7" t="s">
        <v>177</v>
      </c>
      <c r="V1776" s="7"/>
      <c r="W1776" s="7">
        <v>0</v>
      </c>
      <c r="X1776" s="132">
        <f t="shared" si="195"/>
        <v>10</v>
      </c>
      <c r="Y1776" s="133"/>
      <c r="Z1776" s="133"/>
      <c r="AA1776" s="133"/>
    </row>
    <row r="1777" spans="1:27" hidden="1" x14ac:dyDescent="0.25">
      <c r="A1777" s="127">
        <v>1948</v>
      </c>
      <c r="B1777" s="128" t="str">
        <f t="shared" si="196"/>
        <v>NAMT</v>
      </c>
      <c r="C1777" s="128" t="str">
        <f>+VLOOKUP(U1777,Ходим!A:B,2,0)</f>
        <v>32607902090019</v>
      </c>
      <c r="D1777" s="128" t="str">
        <f>IFERROR(VLOOKUP($B:$B,[20]свод!$A:$AB,3,0)," ")</f>
        <v>Наманган тумани</v>
      </c>
      <c r="E1777" s="7" t="s">
        <v>2913</v>
      </c>
      <c r="F1777" s="7" t="s">
        <v>9298</v>
      </c>
      <c r="G1777" s="134">
        <f t="shared" si="199"/>
        <v>1</v>
      </c>
      <c r="H1777" s="134" t="str">
        <f t="shared" si="200"/>
        <v/>
      </c>
      <c r="I1777" s="7" t="s">
        <v>158</v>
      </c>
      <c r="J1777" s="7" t="s">
        <v>2</v>
      </c>
      <c r="K1777" s="7"/>
      <c r="L1777" s="7" t="s">
        <v>167</v>
      </c>
      <c r="M1777" s="7" t="s">
        <v>1139</v>
      </c>
      <c r="N1777" s="7" t="s">
        <v>170</v>
      </c>
      <c r="O1777" s="7" t="s">
        <v>162</v>
      </c>
      <c r="P1777" s="7" t="s">
        <v>6558</v>
      </c>
      <c r="Q1777" s="129">
        <v>46199</v>
      </c>
      <c r="R1777" s="130">
        <f t="shared" si="198"/>
        <v>46202</v>
      </c>
      <c r="S1777" s="131">
        <f t="shared" si="197"/>
        <v>3</v>
      </c>
      <c r="T1777" s="7" t="s">
        <v>193</v>
      </c>
      <c r="U1777" s="7" t="s">
        <v>243</v>
      </c>
      <c r="V1777" s="7"/>
      <c r="W1777" s="7">
        <v>0</v>
      </c>
      <c r="X1777" s="132">
        <f t="shared" si="195"/>
        <v>10</v>
      </c>
      <c r="Y1777" s="133"/>
      <c r="Z1777" s="133"/>
      <c r="AA1777" s="133"/>
    </row>
    <row r="1778" spans="1:27" hidden="1" x14ac:dyDescent="0.25">
      <c r="A1778" s="127">
        <v>1949</v>
      </c>
      <c r="B1778" s="128" t="str">
        <f t="shared" si="196"/>
        <v>UYCT</v>
      </c>
      <c r="C1778" s="128" t="str">
        <f>+VLOOKUP(U1778,Ходим!A:B,2,0)</f>
        <v>53007005930024</v>
      </c>
      <c r="D1778" s="128" t="str">
        <f>IFERROR(VLOOKUP($B:$B,[20]свод!$A:$AB,3,0)," ")</f>
        <v>Уйчи тумани</v>
      </c>
      <c r="E1778" s="7" t="s">
        <v>2914</v>
      </c>
      <c r="F1778" s="7" t="s">
        <v>9299</v>
      </c>
      <c r="G1778" s="134" t="str">
        <f t="shared" si="199"/>
        <v/>
      </c>
      <c r="H1778" s="134">
        <f t="shared" si="200"/>
        <v>1</v>
      </c>
      <c r="I1778" s="7" t="s">
        <v>157</v>
      </c>
      <c r="J1778" s="7" t="s">
        <v>134</v>
      </c>
      <c r="K1778" s="7"/>
      <c r="L1778" s="7" t="s">
        <v>166</v>
      </c>
      <c r="M1778" s="7" t="s">
        <v>5377</v>
      </c>
      <c r="N1778" s="7" t="s">
        <v>170</v>
      </c>
      <c r="O1778" s="7" t="s">
        <v>161</v>
      </c>
      <c r="P1778" s="7" t="s">
        <v>6558</v>
      </c>
      <c r="Q1778" s="129">
        <v>46199</v>
      </c>
      <c r="R1778" s="130">
        <f t="shared" si="198"/>
        <v>46202</v>
      </c>
      <c r="S1778" s="131">
        <f t="shared" si="197"/>
        <v>3</v>
      </c>
      <c r="T1778" s="7" t="s">
        <v>947</v>
      </c>
      <c r="U1778" s="7" t="s">
        <v>378</v>
      </c>
      <c r="V1778" s="7"/>
      <c r="W1778" s="7">
        <v>0</v>
      </c>
      <c r="X1778" s="132">
        <f t="shared" si="195"/>
        <v>10</v>
      </c>
      <c r="Y1778" s="133"/>
      <c r="Z1778" s="133"/>
      <c r="AA1778" s="133"/>
    </row>
    <row r="1779" spans="1:27" hidden="1" x14ac:dyDescent="0.25">
      <c r="A1779" s="127">
        <v>1950</v>
      </c>
      <c r="B1779" s="128" t="str">
        <f t="shared" si="196"/>
        <v>NAMS</v>
      </c>
      <c r="C1779" s="128" t="str">
        <f>+VLOOKUP(U1779,Ходим!A:B,2,0)</f>
        <v>52107015960107</v>
      </c>
      <c r="D1779" s="128" t="str">
        <f>IFERROR(VLOOKUP($B:$B,[20]свод!$A:$AB,3,0)," ")</f>
        <v>Наманган шаҳар</v>
      </c>
      <c r="E1779" s="7" t="s">
        <v>2915</v>
      </c>
      <c r="F1779" s="7" t="s">
        <v>9300</v>
      </c>
      <c r="G1779" s="134" t="str">
        <f t="shared" si="199"/>
        <v/>
      </c>
      <c r="H1779" s="134">
        <f t="shared" si="200"/>
        <v>1</v>
      </c>
      <c r="I1779" s="7" t="s">
        <v>155</v>
      </c>
      <c r="J1779" s="7" t="s">
        <v>25</v>
      </c>
      <c r="K1779" s="7"/>
      <c r="L1779" s="7" t="s">
        <v>166</v>
      </c>
      <c r="M1779" s="7" t="s">
        <v>5378</v>
      </c>
      <c r="N1779" s="7" t="s">
        <v>410</v>
      </c>
      <c r="O1779" s="7" t="s">
        <v>161</v>
      </c>
      <c r="P1779" s="7" t="s">
        <v>6483</v>
      </c>
      <c r="Q1779" s="129">
        <v>46199</v>
      </c>
      <c r="R1779" s="130">
        <f t="shared" si="198"/>
        <v>46213</v>
      </c>
      <c r="S1779" s="131">
        <f t="shared" si="197"/>
        <v>14</v>
      </c>
      <c r="T1779" s="7" t="s">
        <v>227</v>
      </c>
      <c r="U1779" s="7" t="s">
        <v>348</v>
      </c>
      <c r="V1779" s="7"/>
      <c r="W1779" s="7">
        <v>627.72</v>
      </c>
      <c r="X1779" s="132">
        <f t="shared" si="195"/>
        <v>12</v>
      </c>
      <c r="Y1779" s="133"/>
      <c r="Z1779" s="133"/>
      <c r="AA1779" s="133"/>
    </row>
    <row r="1780" spans="1:27" hidden="1" x14ac:dyDescent="0.25">
      <c r="A1780" s="127">
        <v>1951</v>
      </c>
      <c r="B1780" s="128" t="str">
        <f t="shared" si="196"/>
        <v>POPT</v>
      </c>
      <c r="C1780" s="128" t="str">
        <f>+VLOOKUP(U1780,Ходим!A:B,2,0)</f>
        <v>30901742120047</v>
      </c>
      <c r="D1780" s="128" t="str">
        <f>IFERROR(VLOOKUP($B:$B,[20]свод!$A:$AB,3,0)," ")</f>
        <v>Поп тумани</v>
      </c>
      <c r="E1780" s="7" t="s">
        <v>2916</v>
      </c>
      <c r="F1780" s="7" t="s">
        <v>9301</v>
      </c>
      <c r="G1780" s="134">
        <f t="shared" si="199"/>
        <v>1</v>
      </c>
      <c r="H1780" s="134" t="str">
        <f t="shared" si="200"/>
        <v/>
      </c>
      <c r="I1780" s="7" t="s">
        <v>156</v>
      </c>
      <c r="J1780" s="7" t="s">
        <v>22</v>
      </c>
      <c r="K1780" s="7"/>
      <c r="L1780" s="7" t="s">
        <v>167</v>
      </c>
      <c r="M1780" s="7" t="s">
        <v>5379</v>
      </c>
      <c r="N1780" s="7" t="s">
        <v>410</v>
      </c>
      <c r="O1780" s="7" t="s">
        <v>162</v>
      </c>
      <c r="P1780" s="7" t="s">
        <v>6447</v>
      </c>
      <c r="Q1780" s="129">
        <v>46199</v>
      </c>
      <c r="R1780" s="130">
        <f t="shared" si="198"/>
        <v>46210</v>
      </c>
      <c r="S1780" s="131">
        <f t="shared" si="197"/>
        <v>11</v>
      </c>
      <c r="T1780" s="7" t="s">
        <v>214</v>
      </c>
      <c r="U1780" s="7" t="s">
        <v>323</v>
      </c>
      <c r="V1780" s="7"/>
      <c r="W1780" s="7">
        <v>327.78</v>
      </c>
      <c r="X1780" s="132">
        <f t="shared" si="195"/>
        <v>10</v>
      </c>
      <c r="Y1780" s="133"/>
      <c r="Z1780" s="133"/>
      <c r="AA1780" s="133"/>
    </row>
    <row r="1781" spans="1:27" hidden="1" x14ac:dyDescent="0.25">
      <c r="A1781" s="127">
        <v>1952</v>
      </c>
      <c r="B1781" s="128" t="str">
        <f t="shared" si="196"/>
        <v>TORT</v>
      </c>
      <c r="C1781" s="128" t="str">
        <f>+VLOOKUP(U1781,Ходим!A:B,2,0)</f>
        <v>40302922130046</v>
      </c>
      <c r="D1781" s="128" t="str">
        <f>IFERROR(VLOOKUP($B:$B,[20]свод!$A:$AB,3,0)," ")</f>
        <v>Тўрақўрғон тумани</v>
      </c>
      <c r="E1781" s="7" t="s">
        <v>2917</v>
      </c>
      <c r="F1781" s="7" t="s">
        <v>9302</v>
      </c>
      <c r="G1781" s="134">
        <f t="shared" si="199"/>
        <v>1</v>
      </c>
      <c r="H1781" s="134" t="str">
        <f t="shared" si="200"/>
        <v/>
      </c>
      <c r="I1781" s="7" t="s">
        <v>158</v>
      </c>
      <c r="J1781" s="7" t="s">
        <v>1</v>
      </c>
      <c r="K1781" s="7"/>
      <c r="L1781" s="7" t="s">
        <v>167</v>
      </c>
      <c r="M1781" s="7" t="s">
        <v>5380</v>
      </c>
      <c r="N1781" s="7" t="s">
        <v>410</v>
      </c>
      <c r="O1781" s="7" t="s">
        <v>162</v>
      </c>
      <c r="P1781" s="7" t="s">
        <v>7088</v>
      </c>
      <c r="Q1781" s="129">
        <v>46199</v>
      </c>
      <c r="R1781" s="130">
        <f t="shared" si="198"/>
        <v>46202</v>
      </c>
      <c r="S1781" s="131">
        <f t="shared" si="197"/>
        <v>3</v>
      </c>
      <c r="T1781" s="7" t="s">
        <v>203</v>
      </c>
      <c r="U1781" s="7" t="s">
        <v>258</v>
      </c>
      <c r="V1781" s="7"/>
      <c r="W1781" s="7">
        <v>254.84</v>
      </c>
      <c r="X1781" s="132">
        <f t="shared" si="195"/>
        <v>10</v>
      </c>
      <c r="Y1781" s="133"/>
      <c r="Z1781" s="133"/>
      <c r="AA1781" s="133"/>
    </row>
    <row r="1782" spans="1:27" hidden="1" x14ac:dyDescent="0.25">
      <c r="A1782" s="127">
        <v>1953</v>
      </c>
      <c r="B1782" s="128" t="str">
        <f t="shared" si="196"/>
        <v>UYCT</v>
      </c>
      <c r="C1782" s="128" t="str">
        <f>+VLOOKUP(U1782,Ходим!A:B,2,0)</f>
        <v>32002975930037</v>
      </c>
      <c r="D1782" s="128" t="str">
        <f>IFERROR(VLOOKUP($B:$B,[20]свод!$A:$AB,3,0)," ")</f>
        <v>Уйчи тумани</v>
      </c>
      <c r="E1782" s="7" t="s">
        <v>2918</v>
      </c>
      <c r="F1782" s="7" t="s">
        <v>9303</v>
      </c>
      <c r="G1782" s="134">
        <f t="shared" si="199"/>
        <v>1</v>
      </c>
      <c r="H1782" s="134" t="str">
        <f t="shared" si="200"/>
        <v/>
      </c>
      <c r="I1782" s="7" t="s">
        <v>158</v>
      </c>
      <c r="J1782" s="7" t="s">
        <v>2</v>
      </c>
      <c r="K1782" s="7"/>
      <c r="L1782" s="7" t="s">
        <v>167</v>
      </c>
      <c r="M1782" s="7" t="s">
        <v>5381</v>
      </c>
      <c r="N1782" s="7" t="s">
        <v>170</v>
      </c>
      <c r="O1782" s="7" t="s">
        <v>162</v>
      </c>
      <c r="P1782" s="7" t="s">
        <v>7088</v>
      </c>
      <c r="Q1782" s="129">
        <v>46199</v>
      </c>
      <c r="R1782" s="130">
        <f t="shared" si="198"/>
        <v>46202</v>
      </c>
      <c r="S1782" s="131">
        <f t="shared" si="197"/>
        <v>3</v>
      </c>
      <c r="T1782" s="7" t="s">
        <v>947</v>
      </c>
      <c r="U1782" s="7" t="s">
        <v>260</v>
      </c>
      <c r="V1782" s="7"/>
      <c r="W1782" s="7">
        <v>41.51</v>
      </c>
      <c r="X1782" s="132">
        <f t="shared" si="195"/>
        <v>10</v>
      </c>
      <c r="Y1782" s="133"/>
      <c r="Z1782" s="133"/>
      <c r="AA1782" s="133"/>
    </row>
    <row r="1783" spans="1:27" hidden="1" x14ac:dyDescent="0.25">
      <c r="A1783" s="127">
        <v>1954</v>
      </c>
      <c r="B1783" s="128" t="str">
        <f t="shared" si="196"/>
        <v>TORT</v>
      </c>
      <c r="C1783" s="128" t="str">
        <f>+VLOOKUP(U1783,Ходим!A:B,2,0)</f>
        <v>31704782130035</v>
      </c>
      <c r="D1783" s="128" t="str">
        <f>IFERROR(VLOOKUP($B:$B,[20]свод!$A:$AB,3,0)," ")</f>
        <v>Тўрақўрғон тумани</v>
      </c>
      <c r="E1783" s="7" t="s">
        <v>2919</v>
      </c>
      <c r="F1783" s="7" t="s">
        <v>9304</v>
      </c>
      <c r="G1783" s="134">
        <f t="shared" si="199"/>
        <v>1</v>
      </c>
      <c r="H1783" s="134" t="str">
        <f t="shared" si="200"/>
        <v/>
      </c>
      <c r="I1783" s="7" t="s">
        <v>158</v>
      </c>
      <c r="J1783" s="7" t="s">
        <v>2</v>
      </c>
      <c r="K1783" s="7"/>
      <c r="L1783" s="7" t="s">
        <v>167</v>
      </c>
      <c r="M1783" s="7" t="s">
        <v>5382</v>
      </c>
      <c r="N1783" s="7" t="s">
        <v>170</v>
      </c>
      <c r="O1783" s="7" t="s">
        <v>162</v>
      </c>
      <c r="P1783" s="7" t="s">
        <v>7089</v>
      </c>
      <c r="Q1783" s="129">
        <v>46199</v>
      </c>
      <c r="R1783" s="130">
        <f t="shared" si="198"/>
        <v>46202</v>
      </c>
      <c r="S1783" s="131">
        <f t="shared" si="197"/>
        <v>3</v>
      </c>
      <c r="T1783" s="7" t="s">
        <v>203</v>
      </c>
      <c r="U1783" s="7" t="s">
        <v>344</v>
      </c>
      <c r="V1783" s="7"/>
      <c r="W1783" s="7">
        <v>131.84</v>
      </c>
      <c r="X1783" s="132">
        <f t="shared" si="195"/>
        <v>10</v>
      </c>
      <c r="Y1783" s="133"/>
      <c r="Z1783" s="133"/>
      <c r="AA1783" s="133"/>
    </row>
    <row r="1784" spans="1:27" hidden="1" x14ac:dyDescent="0.25">
      <c r="A1784" s="127">
        <v>1955</v>
      </c>
      <c r="B1784" s="128" t="str">
        <f t="shared" si="196"/>
        <v>CHOT</v>
      </c>
      <c r="C1784" s="128" t="str">
        <f>+VLOOKUP(U1784,Ходим!A:B,2,0)</f>
        <v>30510945890013</v>
      </c>
      <c r="D1784" s="128" t="str">
        <f>IFERROR(VLOOKUP($B:$B,[20]свод!$A:$AB,3,0)," ")</f>
        <v>Чортоқ тумани</v>
      </c>
      <c r="E1784" s="7" t="s">
        <v>2920</v>
      </c>
      <c r="F1784" s="7" t="s">
        <v>9305</v>
      </c>
      <c r="G1784" s="134" t="str">
        <f t="shared" si="199"/>
        <v/>
      </c>
      <c r="H1784" s="134">
        <f t="shared" si="200"/>
        <v>1</v>
      </c>
      <c r="I1784" s="7" t="s">
        <v>154</v>
      </c>
      <c r="J1784" s="7" t="s">
        <v>16</v>
      </c>
      <c r="K1784" s="7"/>
      <c r="L1784" s="7" t="s">
        <v>166</v>
      </c>
      <c r="M1784" s="7" t="s">
        <v>5383</v>
      </c>
      <c r="N1784" s="7" t="s">
        <v>410</v>
      </c>
      <c r="O1784" s="7" t="s">
        <v>161</v>
      </c>
      <c r="P1784" s="7" t="s">
        <v>6993</v>
      </c>
      <c r="Q1784" s="129">
        <v>46199</v>
      </c>
      <c r="R1784" s="130">
        <f t="shared" si="198"/>
        <v>46211</v>
      </c>
      <c r="S1784" s="131">
        <f t="shared" si="197"/>
        <v>12</v>
      </c>
      <c r="T1784" s="7" t="s">
        <v>184</v>
      </c>
      <c r="U1784" s="7" t="s">
        <v>185</v>
      </c>
      <c r="V1784" s="7"/>
      <c r="W1784" s="7">
        <v>1203.3</v>
      </c>
      <c r="X1784" s="132">
        <f t="shared" si="195"/>
        <v>17</v>
      </c>
      <c r="Y1784" s="133"/>
      <c r="Z1784" s="133"/>
      <c r="AA1784" s="133"/>
    </row>
    <row r="1785" spans="1:27" hidden="1" x14ac:dyDescent="0.25">
      <c r="A1785" s="127">
        <v>1956</v>
      </c>
      <c r="B1785" s="128" t="str">
        <f t="shared" si="196"/>
        <v>POPT</v>
      </c>
      <c r="C1785" s="128" t="str">
        <f>+VLOOKUP(U1785,Ходим!A:B,2,0)</f>
        <v>31710772120029</v>
      </c>
      <c r="D1785" s="128" t="str">
        <f>IFERROR(VLOOKUP($B:$B,[20]свод!$A:$AB,3,0)," ")</f>
        <v>Поп тумани</v>
      </c>
      <c r="E1785" s="7" t="s">
        <v>2921</v>
      </c>
      <c r="F1785" s="7" t="s">
        <v>9306</v>
      </c>
      <c r="G1785" s="134">
        <f t="shared" si="199"/>
        <v>1</v>
      </c>
      <c r="H1785" s="134" t="str">
        <f t="shared" si="200"/>
        <v/>
      </c>
      <c r="I1785" s="7" t="s">
        <v>156</v>
      </c>
      <c r="J1785" s="7" t="s">
        <v>25</v>
      </c>
      <c r="K1785" s="7"/>
      <c r="L1785" s="7"/>
      <c r="M1785" s="7"/>
      <c r="N1785" s="7" t="s">
        <v>170</v>
      </c>
      <c r="O1785" s="7" t="s">
        <v>162</v>
      </c>
      <c r="P1785" s="7" t="s">
        <v>7090</v>
      </c>
      <c r="Q1785" s="129">
        <v>46199</v>
      </c>
      <c r="R1785" s="130">
        <f t="shared" si="198"/>
        <v>46212</v>
      </c>
      <c r="S1785" s="131">
        <f t="shared" si="197"/>
        <v>13</v>
      </c>
      <c r="T1785" s="7" t="s">
        <v>240</v>
      </c>
      <c r="U1785" s="7" t="s">
        <v>357</v>
      </c>
      <c r="V1785" s="7"/>
      <c r="W1785" s="7"/>
      <c r="X1785" s="132">
        <f t="shared" si="195"/>
        <v>10</v>
      </c>
      <c r="Y1785" s="133"/>
      <c r="Z1785" s="133"/>
      <c r="AA1785" s="133"/>
    </row>
    <row r="1786" spans="1:27" hidden="1" x14ac:dyDescent="0.25">
      <c r="A1786" s="127">
        <v>1957</v>
      </c>
      <c r="B1786" s="128" t="str">
        <f t="shared" si="196"/>
        <v>NAMS</v>
      </c>
      <c r="C1786" s="128" t="str">
        <f>+VLOOKUP(U1786,Ходим!A:B,2,0)</f>
        <v>52107015960107</v>
      </c>
      <c r="D1786" s="128" t="str">
        <f>IFERROR(VLOOKUP($B:$B,[20]свод!$A:$AB,3,0)," ")</f>
        <v>Наманган шаҳар</v>
      </c>
      <c r="E1786" s="7" t="s">
        <v>2922</v>
      </c>
      <c r="F1786" s="7" t="s">
        <v>9307</v>
      </c>
      <c r="G1786" s="134" t="str">
        <f t="shared" si="199"/>
        <v/>
      </c>
      <c r="H1786" s="134">
        <f t="shared" si="200"/>
        <v>1</v>
      </c>
      <c r="I1786" s="7" t="s">
        <v>155</v>
      </c>
      <c r="J1786" s="7" t="s">
        <v>11</v>
      </c>
      <c r="K1786" s="7"/>
      <c r="L1786" s="7" t="s">
        <v>166</v>
      </c>
      <c r="M1786" s="7" t="s">
        <v>5384</v>
      </c>
      <c r="N1786" s="7" t="s">
        <v>170</v>
      </c>
      <c r="O1786" s="7" t="s">
        <v>161</v>
      </c>
      <c r="P1786" s="7" t="s">
        <v>6523</v>
      </c>
      <c r="Q1786" s="129">
        <v>46199</v>
      </c>
      <c r="R1786" s="130">
        <f t="shared" si="198"/>
        <v>46211</v>
      </c>
      <c r="S1786" s="131">
        <f t="shared" si="197"/>
        <v>12</v>
      </c>
      <c r="T1786" s="7" t="s">
        <v>227</v>
      </c>
      <c r="U1786" s="7" t="s">
        <v>348</v>
      </c>
      <c r="V1786" s="7"/>
      <c r="W1786" s="7">
        <v>0</v>
      </c>
      <c r="X1786" s="132">
        <f t="shared" si="195"/>
        <v>10</v>
      </c>
      <c r="Y1786" s="133"/>
      <c r="Z1786" s="133"/>
      <c r="AA1786" s="133"/>
    </row>
    <row r="1787" spans="1:27" hidden="1" x14ac:dyDescent="0.25">
      <c r="A1787" s="127">
        <v>1958</v>
      </c>
      <c r="B1787" s="128" t="str">
        <f t="shared" si="196"/>
        <v>NAMT</v>
      </c>
      <c r="C1787" s="128">
        <f>+VLOOKUP(U1787,Ходим!A:B,2,0)</f>
        <v>32712932090068</v>
      </c>
      <c r="D1787" s="128" t="str">
        <f>IFERROR(VLOOKUP($B:$B,[20]свод!$A:$AB,3,0)," ")</f>
        <v>Наманган тумани</v>
      </c>
      <c r="E1787" s="7" t="s">
        <v>2923</v>
      </c>
      <c r="F1787" s="7" t="s">
        <v>9308</v>
      </c>
      <c r="G1787" s="134" t="str">
        <f t="shared" si="199"/>
        <v/>
      </c>
      <c r="H1787" s="134">
        <f t="shared" si="200"/>
        <v>1</v>
      </c>
      <c r="I1787" s="7" t="s">
        <v>157</v>
      </c>
      <c r="J1787" s="7" t="s">
        <v>2</v>
      </c>
      <c r="K1787" s="7"/>
      <c r="L1787" s="7"/>
      <c r="M1787" s="7"/>
      <c r="N1787" s="7" t="s">
        <v>170</v>
      </c>
      <c r="O1787" s="7" t="s">
        <v>161</v>
      </c>
      <c r="P1787" s="7" t="s">
        <v>7091</v>
      </c>
      <c r="Q1787" s="129">
        <v>46199</v>
      </c>
      <c r="R1787" s="130">
        <f t="shared" si="198"/>
        <v>46202</v>
      </c>
      <c r="S1787" s="131">
        <f t="shared" si="197"/>
        <v>3</v>
      </c>
      <c r="T1787" s="7" t="s">
        <v>197</v>
      </c>
      <c r="U1787" s="7" t="s">
        <v>1016</v>
      </c>
      <c r="V1787" s="7"/>
      <c r="W1787" s="7"/>
      <c r="X1787" s="132">
        <f t="shared" si="195"/>
        <v>10</v>
      </c>
      <c r="Y1787" s="133"/>
      <c r="Z1787" s="133"/>
      <c r="AA1787" s="133"/>
    </row>
    <row r="1788" spans="1:27" hidden="1" x14ac:dyDescent="0.25">
      <c r="A1788" s="127">
        <v>1959</v>
      </c>
      <c r="B1788" s="128" t="str">
        <f t="shared" si="196"/>
        <v>TORT</v>
      </c>
      <c r="C1788" s="128" t="str">
        <f>+VLOOKUP(U1788,Ходим!A:B,2,0)</f>
        <v>31609912130025</v>
      </c>
      <c r="D1788" s="128" t="str">
        <f>IFERROR(VLOOKUP($B:$B,[20]свод!$A:$AB,3,0)," ")</f>
        <v>Тўрақўрғон тумани</v>
      </c>
      <c r="E1788" s="7" t="s">
        <v>2924</v>
      </c>
      <c r="F1788" s="7" t="s">
        <v>9309</v>
      </c>
      <c r="G1788" s="134" t="str">
        <f t="shared" si="199"/>
        <v/>
      </c>
      <c r="H1788" s="134">
        <f t="shared" si="200"/>
        <v>1</v>
      </c>
      <c r="I1788" s="7" t="s">
        <v>157</v>
      </c>
      <c r="J1788" s="7" t="s">
        <v>2</v>
      </c>
      <c r="K1788" s="7"/>
      <c r="L1788" s="7" t="s">
        <v>166</v>
      </c>
      <c r="M1788" s="7" t="s">
        <v>5385</v>
      </c>
      <c r="N1788" s="7" t="s">
        <v>170</v>
      </c>
      <c r="O1788" s="7" t="s">
        <v>161</v>
      </c>
      <c r="P1788" s="7" t="s">
        <v>7091</v>
      </c>
      <c r="Q1788" s="129">
        <v>46199</v>
      </c>
      <c r="R1788" s="130">
        <f t="shared" si="198"/>
        <v>46202</v>
      </c>
      <c r="S1788" s="131">
        <f t="shared" si="197"/>
        <v>3</v>
      </c>
      <c r="T1788" s="7" t="s">
        <v>203</v>
      </c>
      <c r="U1788" s="7" t="s">
        <v>280</v>
      </c>
      <c r="V1788" s="7"/>
      <c r="W1788" s="7">
        <v>0</v>
      </c>
      <c r="X1788" s="132">
        <f t="shared" ref="X1788:X1843" si="201">IF(N1788="Kadastr muhandisi",3,
IF(N1788="UZKAD",5,
IF(V1788="FREE",5,
IF(I1788="Registratsiya (tashqi - UZKAD da bor)",1,
IF(I1788="Avtoyo'l va suv xo'jaligi obyektining kadastr pasportini shakllantirish va ro'yxatga olish",7,
IF(I1788="Notarius uchun ma'lumotnoma (uz)",1,
IF(I1788="Qurilishi tugallangan ko'chmas mulkni foydalanishga qabul qilish",10,
IF(OR(I1788="Turar joy obyektning kadastr pasportini shakllantirish va davlat ro'yxatidan o'tkazish",I1788="Turar kompozit"),
IF(L1788="Turar yer maydoni",7,10),
IF(OR(I1788="Noturar obyektning kadastr pasportini shakllantirish va davlat ro'yxatidan o'tkazish",I1788="Noturar kompozit"),
IF(O1788="Ko‘p yillik daraxtlar xizmati",15,
IF(OR(L1788="Noturar yer maydoni",L1788="Davlat tashkilotlaridan ijaraga olingan yer uchastkasi"),7,
IF(W1788&lt;100,10,IF(W1788&lt;=1000,12,IF(W1788&lt;=5000,17,IF(W1788&lt;=15000,22,IF(W1788&lt;=50000,28,37))))))),
IF(I1788="Umumiy foydalanishdagi ko'chmas mulk qismini yaratish",
IF(IF(TRIM(L1788)="",IF(OR(O1788="Turar joy xizmati",O1788="Yakka tartibdagi turar joy"),"Turar","Noturar"),IF(OR(L1788="Yakka tartibdagi turar joy",L1788="Turar joy xizmati"),"Turar","Noturar"))="Turar",
10,IF(W1788&lt;100,10,IF(W1788&lt;=1000,12,IF(W1788&lt;=5000,17,IF(W1788&lt;=15000,22,IF(W1788&lt;=50000,28,37)))))),
0))))))))))</f>
        <v>10</v>
      </c>
      <c r="Y1788" s="133"/>
      <c r="Z1788" s="133"/>
      <c r="AA1788" s="133"/>
    </row>
    <row r="1789" spans="1:27" hidden="1" x14ac:dyDescent="0.25">
      <c r="A1789" s="127">
        <v>1960</v>
      </c>
      <c r="B1789" s="128" t="str">
        <f t="shared" ref="B1789:B1844" si="202">LEFT(E1789,4)</f>
        <v>YGQT</v>
      </c>
      <c r="C1789" s="128" t="str">
        <f>+VLOOKUP(U1789,Ходим!A:B,2,0)</f>
        <v>50710015950029</v>
      </c>
      <c r="D1789" s="128" t="str">
        <f>IFERROR(VLOOKUP($B:$B,[20]свод!$A:$AB,3,0)," ")</f>
        <v>Янгиқўрғон тумани</v>
      </c>
      <c r="E1789" s="7" t="s">
        <v>2925</v>
      </c>
      <c r="F1789" s="7" t="s">
        <v>9310</v>
      </c>
      <c r="G1789" s="134">
        <f t="shared" si="199"/>
        <v>1</v>
      </c>
      <c r="H1789" s="134" t="str">
        <f t="shared" si="200"/>
        <v/>
      </c>
      <c r="I1789" s="7" t="s">
        <v>158</v>
      </c>
      <c r="J1789" s="7" t="s">
        <v>16</v>
      </c>
      <c r="K1789" s="7"/>
      <c r="L1789" s="7" t="s">
        <v>167</v>
      </c>
      <c r="M1789" s="7" t="s">
        <v>5386</v>
      </c>
      <c r="N1789" s="7" t="s">
        <v>170</v>
      </c>
      <c r="O1789" s="7" t="s">
        <v>162</v>
      </c>
      <c r="P1789" s="7" t="s">
        <v>7091</v>
      </c>
      <c r="Q1789" s="129">
        <v>46199</v>
      </c>
      <c r="R1789" s="130">
        <f t="shared" si="198"/>
        <v>46202</v>
      </c>
      <c r="S1789" s="131">
        <f t="shared" ref="S1789:S1844" si="203">R1789-Q1789</f>
        <v>3</v>
      </c>
      <c r="T1789" s="7" t="s">
        <v>255</v>
      </c>
      <c r="U1789" s="7" t="s">
        <v>312</v>
      </c>
      <c r="V1789" s="7"/>
      <c r="W1789" s="7">
        <v>32.799999999999997</v>
      </c>
      <c r="X1789" s="132">
        <f t="shared" si="201"/>
        <v>10</v>
      </c>
      <c r="Y1789" s="133"/>
      <c r="Z1789" s="133"/>
      <c r="AA1789" s="133"/>
    </row>
    <row r="1790" spans="1:27" hidden="1" x14ac:dyDescent="0.25">
      <c r="A1790" s="127">
        <v>1961</v>
      </c>
      <c r="B1790" s="128" t="str">
        <f t="shared" si="202"/>
        <v>NAMS</v>
      </c>
      <c r="C1790" s="128" t="str">
        <f>+VLOOKUP(U1790,Ходим!A:B,2,0)</f>
        <v>52710005960025</v>
      </c>
      <c r="D1790" s="128" t="str">
        <f>IFERROR(VLOOKUP($B:$B,[20]свод!$A:$AB,3,0)," ")</f>
        <v>Наманган шаҳар</v>
      </c>
      <c r="E1790" s="7" t="s">
        <v>2926</v>
      </c>
      <c r="F1790" s="7" t="s">
        <v>9311</v>
      </c>
      <c r="G1790" s="134">
        <f t="shared" si="199"/>
        <v>1</v>
      </c>
      <c r="H1790" s="134" t="str">
        <f t="shared" si="200"/>
        <v/>
      </c>
      <c r="I1790" s="7" t="s">
        <v>158</v>
      </c>
      <c r="J1790" s="7" t="s">
        <v>2</v>
      </c>
      <c r="K1790" s="7"/>
      <c r="L1790" s="7" t="s">
        <v>167</v>
      </c>
      <c r="M1790" s="7" t="s">
        <v>5387</v>
      </c>
      <c r="N1790" s="7" t="s">
        <v>170</v>
      </c>
      <c r="O1790" s="7" t="s">
        <v>162</v>
      </c>
      <c r="P1790" s="7" t="s">
        <v>7091</v>
      </c>
      <c r="Q1790" s="129">
        <v>46199</v>
      </c>
      <c r="R1790" s="130">
        <f t="shared" si="198"/>
        <v>46202</v>
      </c>
      <c r="S1790" s="131">
        <f t="shared" si="203"/>
        <v>3</v>
      </c>
      <c r="T1790" s="7" t="s">
        <v>173</v>
      </c>
      <c r="U1790" s="7" t="s">
        <v>274</v>
      </c>
      <c r="V1790" s="7"/>
      <c r="W1790" s="7">
        <v>210.28</v>
      </c>
      <c r="X1790" s="132">
        <f t="shared" si="201"/>
        <v>10</v>
      </c>
      <c r="Y1790" s="133"/>
      <c r="Z1790" s="133"/>
      <c r="AA1790" s="133"/>
    </row>
    <row r="1791" spans="1:27" hidden="1" x14ac:dyDescent="0.25">
      <c r="A1791" s="127">
        <v>1962</v>
      </c>
      <c r="B1791" s="128" t="str">
        <f t="shared" si="202"/>
        <v>UYCT</v>
      </c>
      <c r="C1791" s="128" t="str">
        <f>+VLOOKUP(U1791,Ходим!A:B,2,0)</f>
        <v>31101985930022</v>
      </c>
      <c r="D1791" s="128" t="str">
        <f>IFERROR(VLOOKUP($B:$B,[20]свод!$A:$AB,3,0)," ")</f>
        <v>Уйчи тумани</v>
      </c>
      <c r="E1791" s="7" t="s">
        <v>2927</v>
      </c>
      <c r="F1791" s="7" t="s">
        <v>9312</v>
      </c>
      <c r="G1791" s="134">
        <f t="shared" si="199"/>
        <v>1</v>
      </c>
      <c r="H1791" s="134" t="str">
        <f t="shared" si="200"/>
        <v/>
      </c>
      <c r="I1791" s="7" t="s">
        <v>158</v>
      </c>
      <c r="J1791" s="7" t="s">
        <v>29</v>
      </c>
      <c r="K1791" s="7"/>
      <c r="L1791" s="7" t="s">
        <v>169</v>
      </c>
      <c r="M1791" s="7" t="s">
        <v>386</v>
      </c>
      <c r="N1791" s="7" t="s">
        <v>170</v>
      </c>
      <c r="O1791" s="7" t="s">
        <v>162</v>
      </c>
      <c r="P1791" s="7" t="s">
        <v>6629</v>
      </c>
      <c r="Q1791" s="129">
        <v>46199</v>
      </c>
      <c r="R1791" s="130">
        <f t="shared" si="198"/>
        <v>46202</v>
      </c>
      <c r="S1791" s="131">
        <f t="shared" si="203"/>
        <v>3</v>
      </c>
      <c r="T1791" s="7" t="s">
        <v>947</v>
      </c>
      <c r="U1791" s="7" t="s">
        <v>299</v>
      </c>
      <c r="V1791" s="7"/>
      <c r="W1791" s="7">
        <v>0</v>
      </c>
      <c r="X1791" s="132">
        <f t="shared" si="201"/>
        <v>7</v>
      </c>
      <c r="Y1791" s="133"/>
      <c r="Z1791" s="133"/>
      <c r="AA1791" s="133"/>
    </row>
    <row r="1792" spans="1:27" hidden="1" x14ac:dyDescent="0.25">
      <c r="A1792" s="127">
        <v>1963</v>
      </c>
      <c r="B1792" s="128" t="str">
        <f t="shared" si="202"/>
        <v>TORT</v>
      </c>
      <c r="C1792" s="128" t="str">
        <f>+VLOOKUP(U1792,Ходим!A:B,2,0)</f>
        <v>40302922130046</v>
      </c>
      <c r="D1792" s="128" t="str">
        <f>IFERROR(VLOOKUP($B:$B,[20]свод!$A:$AB,3,0)," ")</f>
        <v>Тўрақўрғон тумани</v>
      </c>
      <c r="E1792" s="7" t="s">
        <v>2928</v>
      </c>
      <c r="F1792" s="7" t="s">
        <v>9313</v>
      </c>
      <c r="G1792" s="134">
        <f t="shared" si="199"/>
        <v>1</v>
      </c>
      <c r="H1792" s="134" t="str">
        <f t="shared" si="200"/>
        <v/>
      </c>
      <c r="I1792" s="7" t="s">
        <v>158</v>
      </c>
      <c r="J1792" s="7" t="s">
        <v>2</v>
      </c>
      <c r="K1792" s="7"/>
      <c r="L1792" s="7"/>
      <c r="M1792" s="7"/>
      <c r="N1792" s="7" t="s">
        <v>170</v>
      </c>
      <c r="O1792" s="7" t="s">
        <v>162</v>
      </c>
      <c r="P1792" s="7" t="s">
        <v>7092</v>
      </c>
      <c r="Q1792" s="129">
        <v>46199</v>
      </c>
      <c r="R1792" s="130">
        <f t="shared" si="198"/>
        <v>46202</v>
      </c>
      <c r="S1792" s="131">
        <f t="shared" si="203"/>
        <v>3</v>
      </c>
      <c r="T1792" s="7" t="s">
        <v>203</v>
      </c>
      <c r="U1792" s="7" t="s">
        <v>258</v>
      </c>
      <c r="V1792" s="7"/>
      <c r="W1792" s="7"/>
      <c r="X1792" s="132">
        <f t="shared" si="201"/>
        <v>10</v>
      </c>
      <c r="Y1792" s="133"/>
      <c r="Z1792" s="133"/>
      <c r="AA1792" s="133"/>
    </row>
    <row r="1793" spans="1:27" hidden="1" x14ac:dyDescent="0.25">
      <c r="A1793" s="127">
        <v>1964</v>
      </c>
      <c r="B1793" s="128" t="str">
        <f t="shared" si="202"/>
        <v>POPT</v>
      </c>
      <c r="C1793" s="128" t="str">
        <f>+VLOOKUP(U1793,Ходим!A:B,2,0)</f>
        <v>50310025910024</v>
      </c>
      <c r="D1793" s="128" t="str">
        <f>IFERROR(VLOOKUP($B:$B,[20]свод!$A:$AB,3,0)," ")</f>
        <v>Поп тумани</v>
      </c>
      <c r="E1793" s="7" t="s">
        <v>2929</v>
      </c>
      <c r="F1793" s="7" t="s">
        <v>9314</v>
      </c>
      <c r="G1793" s="134">
        <f t="shared" si="199"/>
        <v>1</v>
      </c>
      <c r="H1793" s="134" t="str">
        <f t="shared" si="200"/>
        <v/>
      </c>
      <c r="I1793" s="7" t="s">
        <v>156</v>
      </c>
      <c r="J1793" s="7" t="s">
        <v>25</v>
      </c>
      <c r="K1793" s="7"/>
      <c r="L1793" s="7"/>
      <c r="M1793" s="7"/>
      <c r="N1793" s="7" t="s">
        <v>170</v>
      </c>
      <c r="O1793" s="7" t="s">
        <v>162</v>
      </c>
      <c r="P1793" s="7" t="s">
        <v>7093</v>
      </c>
      <c r="Q1793" s="129">
        <v>46199</v>
      </c>
      <c r="R1793" s="130">
        <f t="shared" si="198"/>
        <v>46212</v>
      </c>
      <c r="S1793" s="131">
        <f t="shared" si="203"/>
        <v>13</v>
      </c>
      <c r="T1793" s="7" t="s">
        <v>240</v>
      </c>
      <c r="U1793" s="7" t="s">
        <v>964</v>
      </c>
      <c r="V1793" s="7"/>
      <c r="W1793" s="7"/>
      <c r="X1793" s="132">
        <f t="shared" si="201"/>
        <v>10</v>
      </c>
      <c r="Y1793" s="133"/>
      <c r="Z1793" s="133"/>
      <c r="AA1793" s="133"/>
    </row>
    <row r="1794" spans="1:27" hidden="1" x14ac:dyDescent="0.25">
      <c r="A1794" s="127">
        <v>1965</v>
      </c>
      <c r="B1794" s="128" t="str">
        <f t="shared" si="202"/>
        <v>UCQT</v>
      </c>
      <c r="C1794" s="128" t="str">
        <f>+VLOOKUP(U1794,Ходим!A:B,2,0)</f>
        <v>32805962150027</v>
      </c>
      <c r="D1794" s="128" t="str">
        <f>IFERROR(VLOOKUP($B:$B,[20]свод!$A:$AB,3,0)," ")</f>
        <v>Учқўрғон тумани</v>
      </c>
      <c r="E1794" s="7" t="s">
        <v>2930</v>
      </c>
      <c r="F1794" s="7" t="s">
        <v>9315</v>
      </c>
      <c r="G1794" s="134">
        <f t="shared" si="199"/>
        <v>1</v>
      </c>
      <c r="H1794" s="134" t="str">
        <f t="shared" si="200"/>
        <v/>
      </c>
      <c r="I1794" s="7" t="s">
        <v>154</v>
      </c>
      <c r="J1794" s="7" t="s">
        <v>115</v>
      </c>
      <c r="K1794" s="7"/>
      <c r="L1794" s="7"/>
      <c r="M1794" s="7"/>
      <c r="N1794" s="7" t="s">
        <v>170</v>
      </c>
      <c r="O1794" s="7" t="s">
        <v>162</v>
      </c>
      <c r="P1794" s="7" t="s">
        <v>7092</v>
      </c>
      <c r="Q1794" s="129">
        <v>46199</v>
      </c>
      <c r="R1794" s="130">
        <f t="shared" si="198"/>
        <v>46202</v>
      </c>
      <c r="S1794" s="131">
        <f t="shared" si="203"/>
        <v>3</v>
      </c>
      <c r="T1794" s="7" t="s">
        <v>175</v>
      </c>
      <c r="U1794" s="7" t="s">
        <v>369</v>
      </c>
      <c r="V1794" s="7"/>
      <c r="W1794" s="7"/>
      <c r="X1794" s="132">
        <f t="shared" si="201"/>
        <v>10</v>
      </c>
      <c r="Y1794" s="133"/>
      <c r="Z1794" s="133"/>
      <c r="AA1794" s="133"/>
    </row>
    <row r="1795" spans="1:27" hidden="1" x14ac:dyDescent="0.25">
      <c r="A1795" s="127">
        <v>1966</v>
      </c>
      <c r="B1795" s="128" t="str">
        <f t="shared" si="202"/>
        <v>CHUT</v>
      </c>
      <c r="C1795" s="128" t="str">
        <f>+VLOOKUP(U1795,Ходим!A:B,2,0)</f>
        <v>31608922180118</v>
      </c>
      <c r="D1795" s="128" t="str">
        <f>IFERROR(VLOOKUP($B:$B,[20]свод!$A:$AB,3,0)," ")</f>
        <v>Чуст тумани</v>
      </c>
      <c r="E1795" s="7" t="s">
        <v>2931</v>
      </c>
      <c r="F1795" s="7" t="s">
        <v>9316</v>
      </c>
      <c r="G1795" s="134">
        <f t="shared" si="199"/>
        <v>1</v>
      </c>
      <c r="H1795" s="134" t="str">
        <f t="shared" si="200"/>
        <v/>
      </c>
      <c r="I1795" s="7" t="s">
        <v>158</v>
      </c>
      <c r="J1795" s="7" t="s">
        <v>172</v>
      </c>
      <c r="K1795" s="7"/>
      <c r="L1795" s="7" t="s">
        <v>167</v>
      </c>
      <c r="M1795" s="7" t="s">
        <v>5388</v>
      </c>
      <c r="N1795" s="7" t="s">
        <v>170</v>
      </c>
      <c r="O1795" s="7" t="s">
        <v>162</v>
      </c>
      <c r="P1795" s="7" t="s">
        <v>6419</v>
      </c>
      <c r="Q1795" s="129">
        <v>46199</v>
      </c>
      <c r="R1795" s="130">
        <f t="shared" si="198"/>
        <v>46204</v>
      </c>
      <c r="S1795" s="131">
        <f t="shared" si="203"/>
        <v>5</v>
      </c>
      <c r="T1795" s="7" t="s">
        <v>178</v>
      </c>
      <c r="U1795" s="7" t="s">
        <v>284</v>
      </c>
      <c r="V1795" s="7"/>
      <c r="W1795" s="7">
        <v>204.3</v>
      </c>
      <c r="X1795" s="132">
        <f t="shared" si="201"/>
        <v>10</v>
      </c>
      <c r="Y1795" s="133"/>
      <c r="Z1795" s="133"/>
      <c r="AA1795" s="133"/>
    </row>
    <row r="1796" spans="1:27" hidden="1" x14ac:dyDescent="0.25">
      <c r="A1796" s="127">
        <v>1967</v>
      </c>
      <c r="B1796" s="128" t="str">
        <f t="shared" si="202"/>
        <v>POPT</v>
      </c>
      <c r="C1796" s="128" t="str">
        <f>+VLOOKUP(U1796,Ходим!A:B,2,0)</f>
        <v>33110905910015</v>
      </c>
      <c r="D1796" s="128" t="str">
        <f>IFERROR(VLOOKUP($B:$B,[20]свод!$A:$AB,3,0)," ")</f>
        <v>Поп тумани</v>
      </c>
      <c r="E1796" s="7" t="s">
        <v>2932</v>
      </c>
      <c r="F1796" s="7" t="s">
        <v>9317</v>
      </c>
      <c r="G1796" s="134">
        <f t="shared" si="199"/>
        <v>1</v>
      </c>
      <c r="H1796" s="134" t="str">
        <f t="shared" si="200"/>
        <v/>
      </c>
      <c r="I1796" s="7" t="s">
        <v>158</v>
      </c>
      <c r="J1796" s="7" t="s">
        <v>12</v>
      </c>
      <c r="K1796" s="7"/>
      <c r="L1796" s="7" t="s">
        <v>167</v>
      </c>
      <c r="M1796" s="7" t="s">
        <v>5389</v>
      </c>
      <c r="N1796" s="7" t="s">
        <v>170</v>
      </c>
      <c r="O1796" s="7" t="s">
        <v>162</v>
      </c>
      <c r="P1796" s="7" t="s">
        <v>7094</v>
      </c>
      <c r="Q1796" s="129">
        <v>46199</v>
      </c>
      <c r="R1796" s="130">
        <f t="shared" si="198"/>
        <v>46202</v>
      </c>
      <c r="S1796" s="131">
        <f t="shared" si="203"/>
        <v>3</v>
      </c>
      <c r="T1796" s="7" t="s">
        <v>240</v>
      </c>
      <c r="U1796" s="7" t="s">
        <v>305</v>
      </c>
      <c r="V1796" s="7"/>
      <c r="W1796" s="7">
        <v>433.73</v>
      </c>
      <c r="X1796" s="132">
        <f t="shared" si="201"/>
        <v>10</v>
      </c>
      <c r="Y1796" s="133"/>
      <c r="Z1796" s="133"/>
      <c r="AA1796" s="133"/>
    </row>
    <row r="1797" spans="1:27" hidden="1" x14ac:dyDescent="0.25">
      <c r="A1797" s="127">
        <v>1968</v>
      </c>
      <c r="B1797" s="128" t="str">
        <f t="shared" si="202"/>
        <v>MINT</v>
      </c>
      <c r="C1797" s="128" t="str">
        <f>+VLOOKUP(U1797,Ходим!A:B,2,0)</f>
        <v>51604025990014</v>
      </c>
      <c r="D1797" s="128" t="str">
        <f>IFERROR(VLOOKUP($B:$B,[20]свод!$A:$AB,3,0)," ")</f>
        <v>Мингбулоқ тумани</v>
      </c>
      <c r="E1797" s="7" t="s">
        <v>2933</v>
      </c>
      <c r="F1797" s="7" t="s">
        <v>9318</v>
      </c>
      <c r="G1797" s="134">
        <f t="shared" si="199"/>
        <v>1</v>
      </c>
      <c r="H1797" s="134" t="str">
        <f t="shared" si="200"/>
        <v/>
      </c>
      <c r="I1797" s="7" t="s">
        <v>158</v>
      </c>
      <c r="J1797" s="7" t="s">
        <v>134</v>
      </c>
      <c r="K1797" s="7"/>
      <c r="L1797" s="7"/>
      <c r="M1797" s="7"/>
      <c r="N1797" s="7" t="s">
        <v>410</v>
      </c>
      <c r="O1797" s="7" t="s">
        <v>162</v>
      </c>
      <c r="P1797" s="7" t="s">
        <v>6574</v>
      </c>
      <c r="Q1797" s="129">
        <v>46199</v>
      </c>
      <c r="R1797" s="130">
        <f t="shared" si="198"/>
        <v>46205</v>
      </c>
      <c r="S1797" s="131">
        <f t="shared" si="203"/>
        <v>6</v>
      </c>
      <c r="T1797" s="7" t="s">
        <v>220</v>
      </c>
      <c r="U1797" s="7" t="s">
        <v>252</v>
      </c>
      <c r="V1797" s="7"/>
      <c r="W1797" s="7"/>
      <c r="X1797" s="132">
        <f t="shared" si="201"/>
        <v>10</v>
      </c>
      <c r="Y1797" s="133"/>
      <c r="Z1797" s="133"/>
      <c r="AA1797" s="133"/>
    </row>
    <row r="1798" spans="1:27" hidden="1" x14ac:dyDescent="0.25">
      <c r="A1798" s="127">
        <v>1969</v>
      </c>
      <c r="B1798" s="128" t="str">
        <f t="shared" si="202"/>
        <v>NAMS</v>
      </c>
      <c r="C1798" s="128">
        <f>+VLOOKUP(U1798,Ходим!A:B,2,0)</f>
        <v>50703045960050</v>
      </c>
      <c r="D1798" s="128" t="str">
        <f>IFERROR(VLOOKUP($B:$B,[20]свод!$A:$AB,3,0)," ")</f>
        <v>Наманган шаҳар</v>
      </c>
      <c r="E1798" s="7" t="s">
        <v>2934</v>
      </c>
      <c r="F1798" s="7" t="s">
        <v>9319</v>
      </c>
      <c r="G1798" s="134" t="str">
        <f t="shared" si="199"/>
        <v/>
      </c>
      <c r="H1798" s="134">
        <f t="shared" si="200"/>
        <v>1</v>
      </c>
      <c r="I1798" s="7" t="s">
        <v>155</v>
      </c>
      <c r="J1798" s="7" t="s">
        <v>25</v>
      </c>
      <c r="K1798" s="7"/>
      <c r="L1798" s="7" t="s">
        <v>166</v>
      </c>
      <c r="M1798" s="7" t="s">
        <v>5390</v>
      </c>
      <c r="N1798" s="7" t="s">
        <v>170</v>
      </c>
      <c r="O1798" s="7" t="s">
        <v>161</v>
      </c>
      <c r="P1798" s="7" t="s">
        <v>6834</v>
      </c>
      <c r="Q1798" s="129">
        <v>46199</v>
      </c>
      <c r="R1798" s="130">
        <f t="shared" si="198"/>
        <v>46220</v>
      </c>
      <c r="S1798" s="131">
        <f t="shared" si="203"/>
        <v>21</v>
      </c>
      <c r="T1798" s="7" t="s">
        <v>227</v>
      </c>
      <c r="U1798" s="7" t="s">
        <v>948</v>
      </c>
      <c r="V1798" s="7"/>
      <c r="W1798" s="7">
        <v>1333.25</v>
      </c>
      <c r="X1798" s="132">
        <f t="shared" si="201"/>
        <v>17</v>
      </c>
      <c r="Y1798" s="133"/>
      <c r="Z1798" s="133"/>
      <c r="AA1798" s="133"/>
    </row>
    <row r="1799" spans="1:27" hidden="1" x14ac:dyDescent="0.25">
      <c r="A1799" s="127">
        <v>1970</v>
      </c>
      <c r="B1799" s="128" t="str">
        <f t="shared" si="202"/>
        <v>TORT</v>
      </c>
      <c r="C1799" s="128">
        <f>+VLOOKUP(U1799,Ходим!A:B,2,0)</f>
        <v>30603862130011</v>
      </c>
      <c r="D1799" s="128" t="str">
        <f>IFERROR(VLOOKUP($B:$B,[20]свод!$A:$AB,3,0)," ")</f>
        <v>Тўрақўрғон тумани</v>
      </c>
      <c r="E1799" s="7" t="s">
        <v>2935</v>
      </c>
      <c r="F1799" s="7" t="s">
        <v>9320</v>
      </c>
      <c r="G1799" s="134">
        <f t="shared" si="199"/>
        <v>1</v>
      </c>
      <c r="H1799" s="134" t="str">
        <f t="shared" si="200"/>
        <v/>
      </c>
      <c r="I1799" s="7" t="s">
        <v>158</v>
      </c>
      <c r="J1799" s="7" t="s">
        <v>1</v>
      </c>
      <c r="K1799" s="7"/>
      <c r="L1799" s="7" t="s">
        <v>167</v>
      </c>
      <c r="M1799" s="7" t="s">
        <v>5391</v>
      </c>
      <c r="N1799" s="7" t="s">
        <v>170</v>
      </c>
      <c r="O1799" s="7" t="s">
        <v>163</v>
      </c>
      <c r="P1799" s="7" t="s">
        <v>6588</v>
      </c>
      <c r="Q1799" s="129">
        <v>46199</v>
      </c>
      <c r="R1799" s="130">
        <f t="shared" si="198"/>
        <v>46205</v>
      </c>
      <c r="S1799" s="131">
        <f t="shared" si="203"/>
        <v>6</v>
      </c>
      <c r="T1799" s="7" t="s">
        <v>203</v>
      </c>
      <c r="U1799" s="7" t="s">
        <v>950</v>
      </c>
      <c r="V1799" s="7"/>
      <c r="W1799" s="7">
        <v>205.63</v>
      </c>
      <c r="X1799" s="132">
        <f t="shared" si="201"/>
        <v>10</v>
      </c>
      <c r="Y1799" s="133"/>
      <c r="Z1799" s="133"/>
      <c r="AA1799" s="133"/>
    </row>
    <row r="1800" spans="1:27" hidden="1" x14ac:dyDescent="0.25">
      <c r="A1800" s="127">
        <v>1971</v>
      </c>
      <c r="B1800" s="128" t="str">
        <f t="shared" si="202"/>
        <v>MINT</v>
      </c>
      <c r="C1800" s="128" t="str">
        <f>+VLOOKUP(U1800,Ходим!A:B,2,0)</f>
        <v>51604025990014</v>
      </c>
      <c r="D1800" s="128" t="str">
        <f>IFERROR(VLOOKUP($B:$B,[20]свод!$A:$AB,3,0)," ")</f>
        <v>Мингбулоқ тумани</v>
      </c>
      <c r="E1800" s="7" t="s">
        <v>2936</v>
      </c>
      <c r="F1800" s="7" t="s">
        <v>9321</v>
      </c>
      <c r="G1800" s="134">
        <f t="shared" si="199"/>
        <v>1</v>
      </c>
      <c r="H1800" s="134" t="str">
        <f t="shared" si="200"/>
        <v/>
      </c>
      <c r="I1800" s="7" t="s">
        <v>158</v>
      </c>
      <c r="J1800" s="7" t="s">
        <v>36</v>
      </c>
      <c r="K1800" s="7"/>
      <c r="L1800" s="7" t="s">
        <v>167</v>
      </c>
      <c r="M1800" s="7" t="s">
        <v>5392</v>
      </c>
      <c r="N1800" s="7" t="s">
        <v>410</v>
      </c>
      <c r="O1800" s="7" t="s">
        <v>162</v>
      </c>
      <c r="P1800" s="7" t="s">
        <v>6575</v>
      </c>
      <c r="Q1800" s="129">
        <v>46199</v>
      </c>
      <c r="R1800" s="130">
        <f t="shared" si="198"/>
        <v>46205</v>
      </c>
      <c r="S1800" s="131">
        <f t="shared" si="203"/>
        <v>6</v>
      </c>
      <c r="T1800" s="7" t="s">
        <v>220</v>
      </c>
      <c r="U1800" s="7" t="s">
        <v>252</v>
      </c>
      <c r="V1800" s="7"/>
      <c r="W1800" s="7">
        <v>0</v>
      </c>
      <c r="X1800" s="132">
        <f t="shared" si="201"/>
        <v>10</v>
      </c>
      <c r="Y1800" s="133"/>
      <c r="Z1800" s="133"/>
      <c r="AA1800" s="133"/>
    </row>
    <row r="1801" spans="1:27" hidden="1" x14ac:dyDescent="0.25">
      <c r="A1801" s="127">
        <v>1972</v>
      </c>
      <c r="B1801" s="128" t="str">
        <f t="shared" si="202"/>
        <v>NAMT</v>
      </c>
      <c r="C1801" s="128" t="str">
        <f>+VLOOKUP(U1801,Ходим!A:B,2,0)</f>
        <v>32204892090133</v>
      </c>
      <c r="D1801" s="128" t="str">
        <f>IFERROR(VLOOKUP($B:$B,[20]свод!$A:$AB,3,0)," ")</f>
        <v>Наманган тумани</v>
      </c>
      <c r="E1801" s="7" t="s">
        <v>2937</v>
      </c>
      <c r="F1801" s="7" t="s">
        <v>9322</v>
      </c>
      <c r="G1801" s="134">
        <f t="shared" si="199"/>
        <v>1</v>
      </c>
      <c r="H1801" s="134" t="str">
        <f t="shared" si="200"/>
        <v/>
      </c>
      <c r="I1801" s="7" t="s">
        <v>158</v>
      </c>
      <c r="J1801" s="7" t="s">
        <v>13</v>
      </c>
      <c r="K1801" s="7"/>
      <c r="L1801" s="7" t="s">
        <v>167</v>
      </c>
      <c r="M1801" s="7" t="s">
        <v>5393</v>
      </c>
      <c r="N1801" s="7" t="s">
        <v>170</v>
      </c>
      <c r="O1801" s="7" t="s">
        <v>162</v>
      </c>
      <c r="P1801" s="7" t="s">
        <v>7095</v>
      </c>
      <c r="Q1801" s="129">
        <v>46199</v>
      </c>
      <c r="R1801" s="130">
        <f t="shared" si="198"/>
        <v>46202</v>
      </c>
      <c r="S1801" s="131">
        <f t="shared" si="203"/>
        <v>3</v>
      </c>
      <c r="T1801" s="7" t="s">
        <v>197</v>
      </c>
      <c r="U1801" s="7" t="s">
        <v>198</v>
      </c>
      <c r="V1801" s="7"/>
      <c r="W1801" s="7">
        <v>334.7</v>
      </c>
      <c r="X1801" s="132">
        <f t="shared" si="201"/>
        <v>10</v>
      </c>
      <c r="Y1801" s="133"/>
      <c r="Z1801" s="133"/>
      <c r="AA1801" s="133"/>
    </row>
    <row r="1802" spans="1:27" hidden="1" x14ac:dyDescent="0.25">
      <c r="A1802" s="127">
        <v>1973</v>
      </c>
      <c r="B1802" s="128" t="str">
        <f t="shared" si="202"/>
        <v>MINT</v>
      </c>
      <c r="C1802" s="128" t="str">
        <f>+VLOOKUP(U1802,Ходим!A:B,2,0)</f>
        <v>31710662200035</v>
      </c>
      <c r="D1802" s="128" t="str">
        <f>IFERROR(VLOOKUP($B:$B,[20]свод!$A:$AB,3,0)," ")</f>
        <v>Мингбулоқ тумани</v>
      </c>
      <c r="E1802" s="7" t="s">
        <v>2938</v>
      </c>
      <c r="F1802" s="7" t="s">
        <v>9323</v>
      </c>
      <c r="G1802" s="134">
        <f t="shared" si="199"/>
        <v>1</v>
      </c>
      <c r="H1802" s="134" t="str">
        <f t="shared" si="200"/>
        <v/>
      </c>
      <c r="I1802" s="7" t="s">
        <v>158</v>
      </c>
      <c r="J1802" s="7" t="s">
        <v>1</v>
      </c>
      <c r="K1802" s="7"/>
      <c r="L1802" s="7" t="s">
        <v>167</v>
      </c>
      <c r="M1802" s="7" t="s">
        <v>5394</v>
      </c>
      <c r="N1802" s="7" t="s">
        <v>410</v>
      </c>
      <c r="O1802" s="7" t="s">
        <v>162</v>
      </c>
      <c r="P1802" s="7" t="s">
        <v>7095</v>
      </c>
      <c r="Q1802" s="129">
        <v>46199</v>
      </c>
      <c r="R1802" s="130">
        <f t="shared" si="198"/>
        <v>46202</v>
      </c>
      <c r="S1802" s="131">
        <f t="shared" si="203"/>
        <v>3</v>
      </c>
      <c r="T1802" s="7" t="s">
        <v>220</v>
      </c>
      <c r="U1802" s="7" t="s">
        <v>268</v>
      </c>
      <c r="V1802" s="7"/>
      <c r="W1802" s="7">
        <v>463.02</v>
      </c>
      <c r="X1802" s="132">
        <f t="shared" si="201"/>
        <v>10</v>
      </c>
      <c r="Y1802" s="133"/>
      <c r="Z1802" s="133"/>
      <c r="AA1802" s="133"/>
    </row>
    <row r="1803" spans="1:27" hidden="1" x14ac:dyDescent="0.25">
      <c r="A1803" s="127">
        <v>1974</v>
      </c>
      <c r="B1803" s="128" t="str">
        <f t="shared" si="202"/>
        <v>CHUT</v>
      </c>
      <c r="C1803" s="128" t="str">
        <f>+VLOOKUP(U1803,Ходим!A:B,2,0)</f>
        <v>31312912180061</v>
      </c>
      <c r="D1803" s="128" t="str">
        <f>IFERROR(VLOOKUP($B:$B,[20]свод!$A:$AB,3,0)," ")</f>
        <v>Чуст тумани</v>
      </c>
      <c r="E1803" s="7" t="s">
        <v>2939</v>
      </c>
      <c r="F1803" s="7" t="s">
        <v>9324</v>
      </c>
      <c r="G1803" s="134" t="str">
        <f t="shared" si="199"/>
        <v/>
      </c>
      <c r="H1803" s="134">
        <f t="shared" si="200"/>
        <v>1</v>
      </c>
      <c r="I1803" s="7" t="s">
        <v>157</v>
      </c>
      <c r="J1803" s="7" t="s">
        <v>1</v>
      </c>
      <c r="K1803" s="7"/>
      <c r="L1803" s="7" t="s">
        <v>166</v>
      </c>
      <c r="M1803" s="7" t="s">
        <v>5395</v>
      </c>
      <c r="N1803" s="7" t="s">
        <v>170</v>
      </c>
      <c r="O1803" s="7" t="s">
        <v>161</v>
      </c>
      <c r="P1803" s="7" t="s">
        <v>7096</v>
      </c>
      <c r="Q1803" s="129">
        <v>46199</v>
      </c>
      <c r="R1803" s="130">
        <f t="shared" si="198"/>
        <v>46216</v>
      </c>
      <c r="S1803" s="131">
        <f t="shared" si="203"/>
        <v>17</v>
      </c>
      <c r="T1803" s="7" t="s">
        <v>178</v>
      </c>
      <c r="U1803" s="7" t="s">
        <v>202</v>
      </c>
      <c r="V1803" s="7"/>
      <c r="W1803" s="7">
        <v>1727.36</v>
      </c>
      <c r="X1803" s="132">
        <f t="shared" si="201"/>
        <v>17</v>
      </c>
      <c r="Y1803" s="133"/>
      <c r="Z1803" s="133"/>
      <c r="AA1803" s="133"/>
    </row>
    <row r="1804" spans="1:27" hidden="1" x14ac:dyDescent="0.25">
      <c r="A1804" s="127">
        <v>1975</v>
      </c>
      <c r="B1804" s="128" t="str">
        <f t="shared" si="202"/>
        <v>CHOT</v>
      </c>
      <c r="C1804" s="128" t="str">
        <f>+VLOOKUP(U1804,Ходим!A:B,2,0)</f>
        <v>30608892100030</v>
      </c>
      <c r="D1804" s="128" t="str">
        <f>IFERROR(VLOOKUP($B:$B,[20]свод!$A:$AB,3,0)," ")</f>
        <v>Чортоқ тумани</v>
      </c>
      <c r="E1804" s="7" t="s">
        <v>2940</v>
      </c>
      <c r="F1804" s="7" t="s">
        <v>9325</v>
      </c>
      <c r="G1804" s="134">
        <f t="shared" si="199"/>
        <v>1</v>
      </c>
      <c r="H1804" s="134" t="str">
        <f t="shared" si="200"/>
        <v/>
      </c>
      <c r="I1804" s="7" t="s">
        <v>156</v>
      </c>
      <c r="J1804" s="7" t="s">
        <v>25</v>
      </c>
      <c r="K1804" s="7"/>
      <c r="L1804" s="7"/>
      <c r="M1804" s="7"/>
      <c r="N1804" s="7" t="s">
        <v>410</v>
      </c>
      <c r="O1804" s="7" t="s">
        <v>162</v>
      </c>
      <c r="P1804" s="7" t="s">
        <v>7097</v>
      </c>
      <c r="Q1804" s="129">
        <v>46199</v>
      </c>
      <c r="R1804" s="130">
        <f t="shared" si="198"/>
        <v>46212</v>
      </c>
      <c r="S1804" s="131">
        <f t="shared" si="203"/>
        <v>13</v>
      </c>
      <c r="T1804" s="7" t="s">
        <v>10635</v>
      </c>
      <c r="U1804" s="7" t="s">
        <v>266</v>
      </c>
      <c r="V1804" s="7"/>
      <c r="W1804" s="7"/>
      <c r="X1804" s="132">
        <f t="shared" si="201"/>
        <v>10</v>
      </c>
      <c r="Y1804" s="133"/>
      <c r="Z1804" s="133"/>
      <c r="AA1804" s="133"/>
    </row>
    <row r="1805" spans="1:27" hidden="1" x14ac:dyDescent="0.25">
      <c r="A1805" s="127">
        <v>1976</v>
      </c>
      <c r="B1805" s="128" t="str">
        <f t="shared" si="202"/>
        <v>KSST</v>
      </c>
      <c r="C1805" s="128" t="str">
        <f>+VLOOKUP(U1805,Ходим!A:B,2,0)</f>
        <v>31407932190092</v>
      </c>
      <c r="D1805" s="128" t="str">
        <f>IFERROR(VLOOKUP($B:$B,[20]свод!$A:$AB,3,0)," ")</f>
        <v>Косонсой тумани</v>
      </c>
      <c r="E1805" s="7" t="s">
        <v>2941</v>
      </c>
      <c r="F1805" s="7" t="s">
        <v>9326</v>
      </c>
      <c r="G1805" s="134" t="str">
        <f t="shared" si="199"/>
        <v/>
      </c>
      <c r="H1805" s="134">
        <f t="shared" si="200"/>
        <v>1</v>
      </c>
      <c r="I1805" s="7" t="s">
        <v>157</v>
      </c>
      <c r="J1805" s="7" t="s">
        <v>84</v>
      </c>
      <c r="K1805" s="7"/>
      <c r="L1805" s="7" t="s">
        <v>166</v>
      </c>
      <c r="M1805" s="7" t="s">
        <v>5396</v>
      </c>
      <c r="N1805" s="7" t="s">
        <v>170</v>
      </c>
      <c r="O1805" s="7" t="s">
        <v>161</v>
      </c>
      <c r="P1805" s="7" t="s">
        <v>7032</v>
      </c>
      <c r="Q1805" s="129">
        <v>46199</v>
      </c>
      <c r="R1805" s="130">
        <f t="shared" si="198"/>
        <v>46204</v>
      </c>
      <c r="S1805" s="131">
        <f t="shared" si="203"/>
        <v>5</v>
      </c>
      <c r="T1805" s="7" t="s">
        <v>180</v>
      </c>
      <c r="U1805" s="7" t="s">
        <v>188</v>
      </c>
      <c r="V1805" s="7"/>
      <c r="W1805" s="7">
        <v>254.64</v>
      </c>
      <c r="X1805" s="132">
        <f t="shared" si="201"/>
        <v>12</v>
      </c>
      <c r="Y1805" s="133"/>
      <c r="Z1805" s="133"/>
      <c r="AA1805" s="133"/>
    </row>
    <row r="1806" spans="1:27" hidden="1" x14ac:dyDescent="0.25">
      <c r="A1806" s="127">
        <v>1977</v>
      </c>
      <c r="B1806" s="128" t="str">
        <f t="shared" si="202"/>
        <v>CHUT</v>
      </c>
      <c r="C1806" s="128" t="str">
        <f>+VLOOKUP(U1806,Ходим!A:B,2,0)</f>
        <v>31910975970049</v>
      </c>
      <c r="D1806" s="128" t="str">
        <f>IFERROR(VLOOKUP($B:$B,[20]свод!$A:$AB,3,0)," ")</f>
        <v>Чуст тумани</v>
      </c>
      <c r="E1806" s="7" t="s">
        <v>2942</v>
      </c>
      <c r="F1806" s="7" t="s">
        <v>9327</v>
      </c>
      <c r="G1806" s="134">
        <f t="shared" si="199"/>
        <v>1</v>
      </c>
      <c r="H1806" s="134" t="str">
        <f t="shared" si="200"/>
        <v/>
      </c>
      <c r="I1806" s="7" t="s">
        <v>158</v>
      </c>
      <c r="J1806" s="7" t="s">
        <v>172</v>
      </c>
      <c r="K1806" s="7"/>
      <c r="L1806" s="7" t="s">
        <v>167</v>
      </c>
      <c r="M1806" s="7" t="s">
        <v>5397</v>
      </c>
      <c r="N1806" s="7" t="s">
        <v>410</v>
      </c>
      <c r="O1806" s="7" t="s">
        <v>162</v>
      </c>
      <c r="P1806" s="7" t="s">
        <v>7098</v>
      </c>
      <c r="Q1806" s="129">
        <v>46199</v>
      </c>
      <c r="R1806" s="130">
        <f t="shared" si="198"/>
        <v>46202</v>
      </c>
      <c r="S1806" s="131">
        <f t="shared" si="203"/>
        <v>3</v>
      </c>
      <c r="T1806" s="7" t="s">
        <v>178</v>
      </c>
      <c r="U1806" s="7" t="s">
        <v>352</v>
      </c>
      <c r="V1806" s="7"/>
      <c r="W1806" s="7">
        <v>189.4</v>
      </c>
      <c r="X1806" s="132">
        <f t="shared" si="201"/>
        <v>10</v>
      </c>
      <c r="Y1806" s="133"/>
      <c r="Z1806" s="133"/>
      <c r="AA1806" s="133"/>
    </row>
    <row r="1807" spans="1:27" hidden="1" x14ac:dyDescent="0.25">
      <c r="A1807" s="127">
        <v>1978</v>
      </c>
      <c r="B1807" s="128" t="str">
        <f t="shared" si="202"/>
        <v>NAMT</v>
      </c>
      <c r="C1807" s="128" t="str">
        <f>+VLOOKUP(U1807,Ходим!A:B,2,0)</f>
        <v>32204892090133</v>
      </c>
      <c r="D1807" s="128" t="str">
        <f>IFERROR(VLOOKUP($B:$B,[20]свод!$A:$AB,3,0)," ")</f>
        <v>Наманган тумани</v>
      </c>
      <c r="E1807" s="7" t="s">
        <v>2943</v>
      </c>
      <c r="F1807" s="7" t="s">
        <v>9328</v>
      </c>
      <c r="G1807" s="134">
        <f t="shared" si="199"/>
        <v>1</v>
      </c>
      <c r="H1807" s="134" t="str">
        <f t="shared" si="200"/>
        <v/>
      </c>
      <c r="I1807" s="7" t="s">
        <v>158</v>
      </c>
      <c r="J1807" s="7" t="s">
        <v>13</v>
      </c>
      <c r="K1807" s="7"/>
      <c r="L1807" s="7" t="s">
        <v>167</v>
      </c>
      <c r="M1807" s="7" t="s">
        <v>5398</v>
      </c>
      <c r="N1807" s="7" t="s">
        <v>170</v>
      </c>
      <c r="O1807" s="7" t="s">
        <v>162</v>
      </c>
      <c r="P1807" s="7" t="s">
        <v>7098</v>
      </c>
      <c r="Q1807" s="129">
        <v>46199</v>
      </c>
      <c r="R1807" s="130">
        <f t="shared" si="198"/>
        <v>46202</v>
      </c>
      <c r="S1807" s="131">
        <f t="shared" si="203"/>
        <v>3</v>
      </c>
      <c r="T1807" s="7" t="s">
        <v>197</v>
      </c>
      <c r="U1807" s="7" t="s">
        <v>198</v>
      </c>
      <c r="V1807" s="7"/>
      <c r="W1807" s="7">
        <v>34.9</v>
      </c>
      <c r="X1807" s="132">
        <f t="shared" si="201"/>
        <v>10</v>
      </c>
      <c r="Y1807" s="133"/>
      <c r="Z1807" s="133"/>
      <c r="AA1807" s="133"/>
    </row>
    <row r="1808" spans="1:27" hidden="1" x14ac:dyDescent="0.25">
      <c r="A1808" s="127">
        <v>1979</v>
      </c>
      <c r="B1808" s="128" t="str">
        <f t="shared" si="202"/>
        <v>NAMS</v>
      </c>
      <c r="C1808" s="128" t="str">
        <f>+VLOOKUP(U1808,Ходим!A:B,2,0)</f>
        <v>31312985950011</v>
      </c>
      <c r="D1808" s="128" t="str">
        <f>IFERROR(VLOOKUP($B:$B,[20]свод!$A:$AB,3,0)," ")</f>
        <v>Наманган шаҳар</v>
      </c>
      <c r="E1808" s="7" t="s">
        <v>2944</v>
      </c>
      <c r="F1808" s="7" t="s">
        <v>9329</v>
      </c>
      <c r="G1808" s="134" t="str">
        <f t="shared" si="199"/>
        <v/>
      </c>
      <c r="H1808" s="134">
        <f t="shared" si="200"/>
        <v>1</v>
      </c>
      <c r="I1808" s="7" t="s">
        <v>157</v>
      </c>
      <c r="J1808" s="7" t="s">
        <v>16</v>
      </c>
      <c r="K1808" s="7"/>
      <c r="L1808" s="7" t="s">
        <v>166</v>
      </c>
      <c r="M1808" s="7" t="s">
        <v>5399</v>
      </c>
      <c r="N1808" s="7" t="s">
        <v>170</v>
      </c>
      <c r="O1808" s="7" t="s">
        <v>161</v>
      </c>
      <c r="P1808" s="7" t="s">
        <v>7099</v>
      </c>
      <c r="Q1808" s="129">
        <v>46199</v>
      </c>
      <c r="R1808" s="130">
        <f t="shared" si="198"/>
        <v>46204</v>
      </c>
      <c r="S1808" s="131">
        <f t="shared" si="203"/>
        <v>5</v>
      </c>
      <c r="T1808" s="7" t="s">
        <v>227</v>
      </c>
      <c r="U1808" s="7" t="s">
        <v>303</v>
      </c>
      <c r="V1808" s="7"/>
      <c r="W1808" s="7">
        <v>945.83</v>
      </c>
      <c r="X1808" s="132">
        <f t="shared" si="201"/>
        <v>12</v>
      </c>
      <c r="Y1808" s="133"/>
      <c r="Z1808" s="133"/>
      <c r="AA1808" s="133"/>
    </row>
    <row r="1809" spans="1:27" hidden="1" x14ac:dyDescent="0.25">
      <c r="A1809" s="127">
        <v>1980</v>
      </c>
      <c r="B1809" s="128" t="str">
        <f t="shared" si="202"/>
        <v>POPT</v>
      </c>
      <c r="C1809" s="128" t="str">
        <f>+VLOOKUP(U1809,Ходим!A:B,2,0)</f>
        <v>30809922120031</v>
      </c>
      <c r="D1809" s="128" t="str">
        <f>IFERROR(VLOOKUP($B:$B,[20]свод!$A:$AB,3,0)," ")</f>
        <v>Поп тумани</v>
      </c>
      <c r="E1809" s="7" t="s">
        <v>2945</v>
      </c>
      <c r="F1809" s="7" t="s">
        <v>9330</v>
      </c>
      <c r="G1809" s="134" t="str">
        <f t="shared" si="199"/>
        <v/>
      </c>
      <c r="H1809" s="134">
        <f t="shared" si="200"/>
        <v>1</v>
      </c>
      <c r="I1809" s="7" t="s">
        <v>157</v>
      </c>
      <c r="J1809" s="7" t="s">
        <v>2</v>
      </c>
      <c r="K1809" s="7"/>
      <c r="L1809" s="7"/>
      <c r="M1809" s="7"/>
      <c r="N1809" s="7" t="s">
        <v>170</v>
      </c>
      <c r="O1809" s="7" t="s">
        <v>161</v>
      </c>
      <c r="P1809" s="7" t="s">
        <v>7099</v>
      </c>
      <c r="Q1809" s="129">
        <v>46199</v>
      </c>
      <c r="R1809" s="130">
        <f t="shared" si="198"/>
        <v>46202</v>
      </c>
      <c r="S1809" s="131">
        <f t="shared" si="203"/>
        <v>3</v>
      </c>
      <c r="T1809" s="7" t="s">
        <v>214</v>
      </c>
      <c r="U1809" s="7" t="s">
        <v>339</v>
      </c>
      <c r="V1809" s="7"/>
      <c r="W1809" s="7"/>
      <c r="X1809" s="132">
        <f t="shared" si="201"/>
        <v>10</v>
      </c>
      <c r="Y1809" s="133"/>
      <c r="Z1809" s="133"/>
      <c r="AA1809" s="133"/>
    </row>
    <row r="1810" spans="1:27" hidden="1" x14ac:dyDescent="0.25">
      <c r="A1810" s="127">
        <v>1982</v>
      </c>
      <c r="B1810" s="128" t="str">
        <f t="shared" si="202"/>
        <v>CHOT</v>
      </c>
      <c r="C1810" s="128" t="str">
        <f>+VLOOKUP(U1810,Ходим!A:B,2,0)</f>
        <v>50310015890046</v>
      </c>
      <c r="D1810" s="128" t="str">
        <f>IFERROR(VLOOKUP($B:$B,[20]свод!$A:$AB,3,0)," ")</f>
        <v>Чортоқ тумани</v>
      </c>
      <c r="E1810" s="7" t="s">
        <v>2946</v>
      </c>
      <c r="F1810" s="7" t="s">
        <v>9331</v>
      </c>
      <c r="G1810" s="134" t="str">
        <f t="shared" si="199"/>
        <v/>
      </c>
      <c r="H1810" s="134">
        <f t="shared" si="200"/>
        <v>1</v>
      </c>
      <c r="I1810" s="7" t="s">
        <v>157</v>
      </c>
      <c r="J1810" s="7" t="s">
        <v>16</v>
      </c>
      <c r="K1810" s="7"/>
      <c r="L1810" s="7" t="s">
        <v>166</v>
      </c>
      <c r="M1810" s="7" t="s">
        <v>5400</v>
      </c>
      <c r="N1810" s="7" t="s">
        <v>410</v>
      </c>
      <c r="O1810" s="7" t="s">
        <v>161</v>
      </c>
      <c r="P1810" s="7" t="s">
        <v>7099</v>
      </c>
      <c r="Q1810" s="129">
        <v>46199</v>
      </c>
      <c r="R1810" s="130">
        <f t="shared" si="198"/>
        <v>46204</v>
      </c>
      <c r="S1810" s="131">
        <f t="shared" si="203"/>
        <v>5</v>
      </c>
      <c r="T1810" s="7" t="s">
        <v>184</v>
      </c>
      <c r="U1810" s="7" t="s">
        <v>404</v>
      </c>
      <c r="V1810" s="7"/>
      <c r="W1810" s="7">
        <v>267.13</v>
      </c>
      <c r="X1810" s="132">
        <f t="shared" si="201"/>
        <v>12</v>
      </c>
      <c r="Y1810" s="133"/>
      <c r="Z1810" s="133"/>
      <c r="AA1810" s="133"/>
    </row>
    <row r="1811" spans="1:27" hidden="1" x14ac:dyDescent="0.25">
      <c r="A1811" s="127">
        <v>1984</v>
      </c>
      <c r="B1811" s="128" t="str">
        <f t="shared" si="202"/>
        <v>NAMS</v>
      </c>
      <c r="C1811" s="128" t="str">
        <f>+VLOOKUP(U1811,Ходим!A:B,2,0)</f>
        <v>31601642170089</v>
      </c>
      <c r="D1811" s="128" t="str">
        <f>IFERROR(VLOOKUP($B:$B,[20]свод!$A:$AB,3,0)," ")</f>
        <v>Наманган шаҳар</v>
      </c>
      <c r="E1811" s="7" t="s">
        <v>2947</v>
      </c>
      <c r="F1811" s="7" t="s">
        <v>9332</v>
      </c>
      <c r="G1811" s="134">
        <f t="shared" si="199"/>
        <v>1</v>
      </c>
      <c r="H1811" s="134" t="str">
        <f t="shared" si="200"/>
        <v/>
      </c>
      <c r="I1811" s="7" t="s">
        <v>158</v>
      </c>
      <c r="J1811" s="7" t="s">
        <v>1</v>
      </c>
      <c r="K1811" s="7"/>
      <c r="L1811" s="7" t="s">
        <v>167</v>
      </c>
      <c r="M1811" s="7" t="s">
        <v>5401</v>
      </c>
      <c r="N1811" s="7" t="s">
        <v>170</v>
      </c>
      <c r="O1811" s="7" t="s">
        <v>162</v>
      </c>
      <c r="P1811" s="7" t="s">
        <v>6349</v>
      </c>
      <c r="Q1811" s="129">
        <v>46199</v>
      </c>
      <c r="R1811" s="130">
        <f t="shared" si="198"/>
        <v>46204</v>
      </c>
      <c r="S1811" s="131">
        <f t="shared" si="203"/>
        <v>5</v>
      </c>
      <c r="T1811" s="7" t="s">
        <v>185</v>
      </c>
      <c r="U1811" s="7" t="s">
        <v>201</v>
      </c>
      <c r="V1811" s="7"/>
      <c r="W1811" s="7">
        <v>351.57</v>
      </c>
      <c r="X1811" s="132">
        <f t="shared" si="201"/>
        <v>10</v>
      </c>
      <c r="Y1811" s="133"/>
      <c r="Z1811" s="133"/>
      <c r="AA1811" s="133"/>
    </row>
    <row r="1812" spans="1:27" hidden="1" x14ac:dyDescent="0.25">
      <c r="A1812" s="127">
        <v>1985</v>
      </c>
      <c r="B1812" s="128" t="str">
        <f t="shared" si="202"/>
        <v>UYCT</v>
      </c>
      <c r="C1812" s="128" t="str">
        <f>+VLOOKUP(U1812,Ходим!A:B,2,0)</f>
        <v>31007985930029</v>
      </c>
      <c r="D1812" s="128" t="str">
        <f>IFERROR(VLOOKUP($B:$B,[20]свод!$A:$AB,3,0)," ")</f>
        <v>Уйчи тумани</v>
      </c>
      <c r="E1812" s="7" t="s">
        <v>2948</v>
      </c>
      <c r="F1812" s="7" t="s">
        <v>9333</v>
      </c>
      <c r="G1812" s="134">
        <f t="shared" si="199"/>
        <v>1</v>
      </c>
      <c r="H1812" s="134" t="str">
        <f t="shared" si="200"/>
        <v/>
      </c>
      <c r="I1812" s="7" t="s">
        <v>158</v>
      </c>
      <c r="J1812" s="7" t="s">
        <v>35</v>
      </c>
      <c r="K1812" s="7"/>
      <c r="L1812" s="7" t="s">
        <v>167</v>
      </c>
      <c r="M1812" s="7" t="s">
        <v>5402</v>
      </c>
      <c r="N1812" s="7" t="s">
        <v>170</v>
      </c>
      <c r="O1812" s="7" t="s">
        <v>162</v>
      </c>
      <c r="P1812" s="7" t="s">
        <v>7026</v>
      </c>
      <c r="Q1812" s="129">
        <v>46199</v>
      </c>
      <c r="R1812" s="130">
        <f t="shared" ref="R1812:R1867" si="204">WORKDAY(P1812,X1812,$Y$1:$AA$1)</f>
        <v>46206</v>
      </c>
      <c r="S1812" s="131">
        <f t="shared" si="203"/>
        <v>7</v>
      </c>
      <c r="T1812" s="7" t="s">
        <v>947</v>
      </c>
      <c r="U1812" s="7" t="s">
        <v>389</v>
      </c>
      <c r="V1812" s="7"/>
      <c r="W1812" s="7">
        <v>273.3</v>
      </c>
      <c r="X1812" s="132">
        <f t="shared" si="201"/>
        <v>10</v>
      </c>
      <c r="Y1812" s="133"/>
      <c r="Z1812" s="133"/>
      <c r="AA1812" s="133"/>
    </row>
    <row r="1813" spans="1:27" x14ac:dyDescent="0.25">
      <c r="A1813" s="127">
        <v>1986</v>
      </c>
      <c r="B1813" s="128" t="str">
        <f t="shared" si="202"/>
        <v>NAMS</v>
      </c>
      <c r="C1813" s="128" t="str">
        <f>+VLOOKUP(U1813,Ходим!A:B,2,0)</f>
        <v>31608732170178</v>
      </c>
      <c r="D1813" s="128" t="str">
        <f>IFERROR(VLOOKUP($B:$B,[20]свод!$A:$AB,3,0)," ")</f>
        <v>Наманган шаҳар</v>
      </c>
      <c r="E1813" s="7" t="s">
        <v>2949</v>
      </c>
      <c r="F1813" s="7" t="s">
        <v>9334</v>
      </c>
      <c r="G1813" s="134">
        <f t="shared" si="199"/>
        <v>1</v>
      </c>
      <c r="H1813" s="134" t="str">
        <f t="shared" si="200"/>
        <v/>
      </c>
      <c r="I1813" s="7" t="s">
        <v>158</v>
      </c>
      <c r="J1813" s="7" t="s">
        <v>2</v>
      </c>
      <c r="K1813" s="7"/>
      <c r="L1813" s="7" t="s">
        <v>167</v>
      </c>
      <c r="M1813" s="7" t="s">
        <v>5403</v>
      </c>
      <c r="N1813" s="7" t="s">
        <v>170</v>
      </c>
      <c r="O1813" s="7" t="s">
        <v>162</v>
      </c>
      <c r="P1813" s="7" t="s">
        <v>7100</v>
      </c>
      <c r="Q1813" s="129">
        <v>46199</v>
      </c>
      <c r="R1813" s="130">
        <f t="shared" si="204"/>
        <v>46197</v>
      </c>
      <c r="S1813" s="131">
        <f t="shared" si="203"/>
        <v>-2</v>
      </c>
      <c r="T1813" s="7" t="s">
        <v>173</v>
      </c>
      <c r="U1813" s="7" t="s">
        <v>267</v>
      </c>
      <c r="V1813" s="7"/>
      <c r="W1813" s="7">
        <v>350.5</v>
      </c>
      <c r="X1813" s="132">
        <f t="shared" si="201"/>
        <v>10</v>
      </c>
      <c r="Y1813" s="133"/>
      <c r="Z1813" s="133"/>
      <c r="AA1813" s="133"/>
    </row>
    <row r="1814" spans="1:27" hidden="1" x14ac:dyDescent="0.25">
      <c r="A1814" s="127">
        <v>1987</v>
      </c>
      <c r="B1814" s="128" t="str">
        <f t="shared" si="202"/>
        <v>NORT</v>
      </c>
      <c r="C1814" s="128" t="str">
        <f>+VLOOKUP(U1814,Ходим!A:B,2,0)</f>
        <v>40601902150077</v>
      </c>
      <c r="D1814" s="128" t="str">
        <f>IFERROR(VLOOKUP($B:$B,[20]свод!$A:$AB,3,0)," ")</f>
        <v>Норин тумани</v>
      </c>
      <c r="E1814" s="7" t="s">
        <v>2950</v>
      </c>
      <c r="F1814" s="7" t="s">
        <v>9335</v>
      </c>
      <c r="G1814" s="134" t="str">
        <f t="shared" si="199"/>
        <v/>
      </c>
      <c r="H1814" s="134">
        <f t="shared" si="200"/>
        <v>1</v>
      </c>
      <c r="I1814" s="7" t="s">
        <v>157</v>
      </c>
      <c r="J1814" s="7" t="s">
        <v>36</v>
      </c>
      <c r="K1814" s="7"/>
      <c r="L1814" s="7" t="s">
        <v>166</v>
      </c>
      <c r="M1814" s="7" t="s">
        <v>5404</v>
      </c>
      <c r="N1814" s="7" t="s">
        <v>410</v>
      </c>
      <c r="O1814" s="7" t="s">
        <v>161</v>
      </c>
      <c r="P1814" s="7" t="s">
        <v>7101</v>
      </c>
      <c r="Q1814" s="129">
        <v>46199</v>
      </c>
      <c r="R1814" s="130">
        <f t="shared" si="204"/>
        <v>46204</v>
      </c>
      <c r="S1814" s="131">
        <f t="shared" si="203"/>
        <v>5</v>
      </c>
      <c r="T1814" s="7" t="s">
        <v>210</v>
      </c>
      <c r="U1814" s="7" t="s">
        <v>249</v>
      </c>
      <c r="V1814" s="7"/>
      <c r="W1814" s="7">
        <v>67.2</v>
      </c>
      <c r="X1814" s="132">
        <f t="shared" si="201"/>
        <v>10</v>
      </c>
      <c r="Y1814" s="133"/>
      <c r="Z1814" s="133"/>
      <c r="AA1814" s="133"/>
    </row>
    <row r="1815" spans="1:27" hidden="1" x14ac:dyDescent="0.25">
      <c r="A1815" s="127">
        <v>1989</v>
      </c>
      <c r="B1815" s="128" t="str">
        <f t="shared" si="202"/>
        <v>NAMT</v>
      </c>
      <c r="C1815" s="128" t="str">
        <f>+VLOOKUP(U1815,Ходим!A:B,2,0)</f>
        <v>52012025880014</v>
      </c>
      <c r="D1815" s="128" t="str">
        <f>IFERROR(VLOOKUP($B:$B,[20]свод!$A:$AB,3,0)," ")</f>
        <v>Наманган тумани</v>
      </c>
      <c r="E1815" s="7" t="s">
        <v>2951</v>
      </c>
      <c r="F1815" s="7" t="s">
        <v>9336</v>
      </c>
      <c r="G1815" s="134">
        <f t="shared" ref="G1815:G1871" si="205">IF(OR(
I1815="Turar joy obyektning kadastr pasportini shakllantirish va davlat ro'yxatidan o'tkazish",
I1815="Turar kompozit"
),
1,
IF(OR(
I1815="Noturar kompozit",
I1815="Avtoyo'l va suv xo'jaligi obyektining kadastr pasportini shakllantirish va ro'yxatga olish",
I1815="Noturar obyektning kadastr pasportining kadastr pasportini shakllantirish va davlat ro'yxatidan o'tkazish"
),
"",
IF(OR(
I1815="Notarius uchun ma'lumotnoma (uz)",
I1815="Qurilishi tugallangan ko'chmas mulkni foydalanishga qabul qilish",
I1815="Umumiy foydalanishdagi ko'chmas mulk qismini yaratish",
I1815="Registratsiya (tashqi - UZKAD da bor)"
),
IF(OR(L1815="Turar yer maydoni",L1815="Yakka tartibdagi turar joy"),1,
IF(L1815="Noturar bino","",
IF(L1815="Noturar yer maydoni","",
IF(L1815="",IF(OR(O1815="Turar joy xizmati",O1815="Foydalanishga ruxsatnoma berish xizmati"),1,""),"")
))),
"")))</f>
        <v>1</v>
      </c>
      <c r="H1815" s="134" t="str">
        <f t="shared" ref="H1815:H1871" si="206">IF(OR(
I1815="Turar joy obyektning kadastr pasportini shakllantirish va davlat ro'yxatidan o'tkazish",
I1815="Turar kompozit"
),
"",
IF(OR(
I1815="Noturar kompozit",
I1815="Avtoyo'l va suv xo'jaligi obyektining kadastr pasportini shakllantirish va ro'yxatga olish",
I1815="Noturar obyektning kadastr pasportini shakllantirish va davlat ro'yxatidan o'tkazish"
),
1,
IF(OR(
I1815="Notarius uchun ma'lumotnoma (uz)",
I1815="Qurilishi tugallangan ko'chmas mulkni foydalanishga qabul qilish",
I1815="Umumiy foydalanishdagi ko'chmas mulk qismini yaratish",
I1815="Registratsiya (tashqi - UZKAD da bor)"
),
IF(OR(L1815="Turar yer maydoni",L1815="Yakka tartibdagi turar joy"),"",
IF(L1815="Noturar bino",1,
IF(L1815="Noturar yer maydoni",1,
IF(L1815="",IF(OR(O1815="Turar joy xizmati",O1815="Foydalanishga ruxsatnoma berish xizmati"),"",1),"")
))),
"")))</f>
        <v/>
      </c>
      <c r="I1815" s="7" t="s">
        <v>158</v>
      </c>
      <c r="J1815" s="7" t="s">
        <v>1</v>
      </c>
      <c r="K1815" s="7"/>
      <c r="L1815" s="7" t="s">
        <v>167</v>
      </c>
      <c r="M1815" s="7" t="s">
        <v>5405</v>
      </c>
      <c r="N1815" s="7" t="s">
        <v>170</v>
      </c>
      <c r="O1815" s="7" t="s">
        <v>162</v>
      </c>
      <c r="P1815" s="7" t="s">
        <v>6461</v>
      </c>
      <c r="Q1815" s="129">
        <v>46199</v>
      </c>
      <c r="R1815" s="130">
        <f t="shared" si="204"/>
        <v>46205</v>
      </c>
      <c r="S1815" s="131">
        <f t="shared" si="203"/>
        <v>6</v>
      </c>
      <c r="T1815" s="7" t="s">
        <v>193</v>
      </c>
      <c r="U1815" s="7" t="s">
        <v>216</v>
      </c>
      <c r="V1815" s="7"/>
      <c r="W1815" s="7">
        <v>178.61</v>
      </c>
      <c r="X1815" s="132">
        <f t="shared" si="201"/>
        <v>10</v>
      </c>
      <c r="Y1815" s="133"/>
      <c r="Z1815" s="133"/>
      <c r="AA1815" s="133"/>
    </row>
    <row r="1816" spans="1:27" hidden="1" x14ac:dyDescent="0.25">
      <c r="A1816" s="127">
        <v>1990</v>
      </c>
      <c r="B1816" s="128" t="str">
        <f t="shared" si="202"/>
        <v>CHOT</v>
      </c>
      <c r="C1816" s="128" t="str">
        <f>+VLOOKUP(U1816,Ходим!A:B,2,0)</f>
        <v>30308922100022</v>
      </c>
      <c r="D1816" s="128" t="str">
        <f>IFERROR(VLOOKUP($B:$B,[20]свод!$A:$AB,3,0)," ")</f>
        <v>Чортоқ тумани</v>
      </c>
      <c r="E1816" s="7" t="s">
        <v>2952</v>
      </c>
      <c r="F1816" s="7" t="s">
        <v>9337</v>
      </c>
      <c r="G1816" s="134" t="str">
        <f t="shared" si="205"/>
        <v/>
      </c>
      <c r="H1816" s="134">
        <f t="shared" si="206"/>
        <v>1</v>
      </c>
      <c r="I1816" s="7" t="s">
        <v>157</v>
      </c>
      <c r="J1816" s="7" t="s">
        <v>172</v>
      </c>
      <c r="K1816" s="7"/>
      <c r="L1816" s="7" t="s">
        <v>166</v>
      </c>
      <c r="M1816" s="7" t="s">
        <v>5406</v>
      </c>
      <c r="N1816" s="7" t="s">
        <v>170</v>
      </c>
      <c r="O1816" s="7" t="s">
        <v>161</v>
      </c>
      <c r="P1816" s="7" t="s">
        <v>7102</v>
      </c>
      <c r="Q1816" s="129">
        <v>46199</v>
      </c>
      <c r="R1816" s="130">
        <f t="shared" si="204"/>
        <v>46206</v>
      </c>
      <c r="S1816" s="131">
        <f t="shared" si="203"/>
        <v>7</v>
      </c>
      <c r="T1816" s="7" t="s">
        <v>184</v>
      </c>
      <c r="U1816" s="7" t="s">
        <v>190</v>
      </c>
      <c r="V1816" s="7"/>
      <c r="W1816" s="7">
        <v>0</v>
      </c>
      <c r="X1816" s="132">
        <f t="shared" si="201"/>
        <v>10</v>
      </c>
      <c r="Y1816" s="133"/>
      <c r="Z1816" s="133"/>
      <c r="AA1816" s="133"/>
    </row>
    <row r="1817" spans="1:27" hidden="1" x14ac:dyDescent="0.25">
      <c r="A1817" s="127">
        <v>1991</v>
      </c>
      <c r="B1817" s="128" t="str">
        <f t="shared" si="202"/>
        <v>POPT</v>
      </c>
      <c r="C1817" s="128" t="str">
        <f>+VLOOKUP(U1817,Ходим!A:B,2,0)</f>
        <v>30901742120047</v>
      </c>
      <c r="D1817" s="128" t="str">
        <f>IFERROR(VLOOKUP($B:$B,[20]свод!$A:$AB,3,0)," ")</f>
        <v>Поп тумани</v>
      </c>
      <c r="E1817" s="7" t="s">
        <v>2953</v>
      </c>
      <c r="F1817" s="7" t="s">
        <v>9338</v>
      </c>
      <c r="G1817" s="134">
        <f t="shared" si="205"/>
        <v>1</v>
      </c>
      <c r="H1817" s="134" t="str">
        <f t="shared" si="206"/>
        <v/>
      </c>
      <c r="I1817" s="7" t="s">
        <v>158</v>
      </c>
      <c r="J1817" s="7" t="s">
        <v>2</v>
      </c>
      <c r="K1817" s="7"/>
      <c r="L1817" s="7" t="s">
        <v>167</v>
      </c>
      <c r="M1817" s="7" t="s">
        <v>5407</v>
      </c>
      <c r="N1817" s="7" t="s">
        <v>170</v>
      </c>
      <c r="O1817" s="7" t="s">
        <v>162</v>
      </c>
      <c r="P1817" s="7" t="s">
        <v>7103</v>
      </c>
      <c r="Q1817" s="129">
        <v>46199</v>
      </c>
      <c r="R1817" s="130">
        <f t="shared" si="204"/>
        <v>46202</v>
      </c>
      <c r="S1817" s="131">
        <f t="shared" si="203"/>
        <v>3</v>
      </c>
      <c r="T1817" s="7" t="s">
        <v>240</v>
      </c>
      <c r="U1817" s="7" t="s">
        <v>323</v>
      </c>
      <c r="V1817" s="7"/>
      <c r="W1817" s="7">
        <v>360.18</v>
      </c>
      <c r="X1817" s="132">
        <f t="shared" si="201"/>
        <v>10</v>
      </c>
      <c r="Y1817" s="133"/>
      <c r="Z1817" s="133"/>
      <c r="AA1817" s="133"/>
    </row>
    <row r="1818" spans="1:27" hidden="1" x14ac:dyDescent="0.25">
      <c r="A1818" s="127">
        <v>1992</v>
      </c>
      <c r="B1818" s="128" t="str">
        <f t="shared" si="202"/>
        <v>TORT</v>
      </c>
      <c r="C1818" s="128">
        <f>+VLOOKUP(U1818,Ходим!A:B,2,0)</f>
        <v>30603862130011</v>
      </c>
      <c r="D1818" s="128" t="str">
        <f>IFERROR(VLOOKUP($B:$B,[20]свод!$A:$AB,3,0)," ")</f>
        <v>Тўрақўрғон тумани</v>
      </c>
      <c r="E1818" s="7" t="s">
        <v>2954</v>
      </c>
      <c r="F1818" s="7" t="s">
        <v>9339</v>
      </c>
      <c r="G1818" s="134">
        <f t="shared" si="205"/>
        <v>1</v>
      </c>
      <c r="H1818" s="134" t="str">
        <f t="shared" si="206"/>
        <v/>
      </c>
      <c r="I1818" s="7" t="s">
        <v>158</v>
      </c>
      <c r="J1818" s="7" t="s">
        <v>2</v>
      </c>
      <c r="K1818" s="7"/>
      <c r="L1818" s="7" t="s">
        <v>167</v>
      </c>
      <c r="M1818" s="7" t="s">
        <v>5408</v>
      </c>
      <c r="N1818" s="7" t="s">
        <v>410</v>
      </c>
      <c r="O1818" s="7" t="s">
        <v>162</v>
      </c>
      <c r="P1818" s="7" t="s">
        <v>7104</v>
      </c>
      <c r="Q1818" s="129">
        <v>46199</v>
      </c>
      <c r="R1818" s="130">
        <f t="shared" si="204"/>
        <v>46206</v>
      </c>
      <c r="S1818" s="131">
        <f t="shared" si="203"/>
        <v>7</v>
      </c>
      <c r="T1818" s="7" t="s">
        <v>203</v>
      </c>
      <c r="U1818" s="7" t="s">
        <v>950</v>
      </c>
      <c r="V1818" s="7"/>
      <c r="W1818" s="7">
        <v>324.56</v>
      </c>
      <c r="X1818" s="132">
        <f t="shared" si="201"/>
        <v>10</v>
      </c>
      <c r="Y1818" s="133"/>
      <c r="Z1818" s="133"/>
      <c r="AA1818" s="133"/>
    </row>
    <row r="1819" spans="1:27" hidden="1" x14ac:dyDescent="0.25">
      <c r="A1819" s="127">
        <v>1993</v>
      </c>
      <c r="B1819" s="128" t="str">
        <f t="shared" si="202"/>
        <v>NAMT</v>
      </c>
      <c r="C1819" s="128" t="str">
        <f>+VLOOKUP(U1819,Ходим!A:B,2,0)</f>
        <v>50706025880010</v>
      </c>
      <c r="D1819" s="128" t="str">
        <f>IFERROR(VLOOKUP($B:$B,[20]свод!$A:$AB,3,0)," ")</f>
        <v>Наманган тумани</v>
      </c>
      <c r="E1819" s="7" t="s">
        <v>2955</v>
      </c>
      <c r="F1819" s="7" t="s">
        <v>9340</v>
      </c>
      <c r="G1819" s="134">
        <f t="shared" si="205"/>
        <v>1</v>
      </c>
      <c r="H1819" s="134" t="str">
        <f t="shared" si="206"/>
        <v/>
      </c>
      <c r="I1819" s="7" t="s">
        <v>158</v>
      </c>
      <c r="J1819" s="7" t="s">
        <v>36</v>
      </c>
      <c r="K1819" s="7"/>
      <c r="L1819" s="7" t="s">
        <v>167</v>
      </c>
      <c r="M1819" s="7" t="s">
        <v>5409</v>
      </c>
      <c r="N1819" s="7" t="s">
        <v>170</v>
      </c>
      <c r="O1819" s="7" t="s">
        <v>162</v>
      </c>
      <c r="P1819" s="7" t="s">
        <v>7105</v>
      </c>
      <c r="Q1819" s="129">
        <v>46199</v>
      </c>
      <c r="R1819" s="130">
        <f t="shared" si="204"/>
        <v>46210</v>
      </c>
      <c r="S1819" s="131">
        <f t="shared" si="203"/>
        <v>11</v>
      </c>
      <c r="T1819" s="7" t="s">
        <v>197</v>
      </c>
      <c r="U1819" s="7" t="s">
        <v>397</v>
      </c>
      <c r="V1819" s="7"/>
      <c r="W1819" s="7">
        <v>0</v>
      </c>
      <c r="X1819" s="132">
        <f t="shared" si="201"/>
        <v>10</v>
      </c>
      <c r="Y1819" s="133"/>
      <c r="Z1819" s="133"/>
      <c r="AA1819" s="133"/>
    </row>
    <row r="1820" spans="1:27" x14ac:dyDescent="0.25">
      <c r="A1820" s="127">
        <v>1994</v>
      </c>
      <c r="B1820" s="128" t="str">
        <f t="shared" si="202"/>
        <v>POPT</v>
      </c>
      <c r="C1820" s="128" t="str">
        <f>+VLOOKUP(U1820,Ходим!A:B,2,0)</f>
        <v>32901912210017</v>
      </c>
      <c r="D1820" s="128" t="str">
        <f>IFERROR(VLOOKUP($B:$B,[20]свод!$A:$AB,3,0)," ")</f>
        <v>Поп тумани</v>
      </c>
      <c r="E1820" s="7" t="s">
        <v>2956</v>
      </c>
      <c r="F1820" s="7" t="s">
        <v>9341</v>
      </c>
      <c r="G1820" s="134">
        <f t="shared" si="205"/>
        <v>1</v>
      </c>
      <c r="H1820" s="134" t="str">
        <f t="shared" si="206"/>
        <v/>
      </c>
      <c r="I1820" s="7" t="s">
        <v>158</v>
      </c>
      <c r="J1820" s="7" t="s">
        <v>36</v>
      </c>
      <c r="K1820" s="7"/>
      <c r="L1820" s="7" t="s">
        <v>167</v>
      </c>
      <c r="M1820" s="7" t="s">
        <v>5410</v>
      </c>
      <c r="N1820" s="7" t="s">
        <v>170</v>
      </c>
      <c r="O1820" s="7" t="s">
        <v>162</v>
      </c>
      <c r="P1820" s="7" t="s">
        <v>6789</v>
      </c>
      <c r="Q1820" s="129">
        <v>46199</v>
      </c>
      <c r="R1820" s="130">
        <f t="shared" si="204"/>
        <v>46199</v>
      </c>
      <c r="S1820" s="131">
        <f t="shared" si="203"/>
        <v>0</v>
      </c>
      <c r="T1820" s="7" t="s">
        <v>240</v>
      </c>
      <c r="U1820" s="7" t="s">
        <v>215</v>
      </c>
      <c r="V1820" s="7"/>
      <c r="W1820" s="7">
        <v>223.4</v>
      </c>
      <c r="X1820" s="132">
        <f t="shared" si="201"/>
        <v>10</v>
      </c>
      <c r="Y1820" s="133"/>
      <c r="Z1820" s="133"/>
      <c r="AA1820" s="133"/>
    </row>
    <row r="1821" spans="1:27" x14ac:dyDescent="0.25">
      <c r="A1821" s="127">
        <v>1995</v>
      </c>
      <c r="B1821" s="128" t="str">
        <f t="shared" si="202"/>
        <v>CHUT</v>
      </c>
      <c r="C1821" s="128" t="str">
        <f>+VLOOKUP(U1821,Ходим!A:B,2,0)</f>
        <v>30202885970013</v>
      </c>
      <c r="D1821" s="128" t="str">
        <f>IFERROR(VLOOKUP($B:$B,[20]свод!$A:$AB,3,0)," ")</f>
        <v>Чуст тумани</v>
      </c>
      <c r="E1821" s="7" t="s">
        <v>2957</v>
      </c>
      <c r="F1821" s="7" t="s">
        <v>9342</v>
      </c>
      <c r="G1821" s="134">
        <f t="shared" si="205"/>
        <v>1</v>
      </c>
      <c r="H1821" s="134" t="str">
        <f t="shared" si="206"/>
        <v/>
      </c>
      <c r="I1821" s="7" t="s">
        <v>158</v>
      </c>
      <c r="J1821" s="7" t="s">
        <v>13</v>
      </c>
      <c r="K1821" s="7"/>
      <c r="L1821" s="7" t="s">
        <v>169</v>
      </c>
      <c r="M1821" s="7" t="s">
        <v>1109</v>
      </c>
      <c r="N1821" s="7" t="s">
        <v>410</v>
      </c>
      <c r="O1821" s="7" t="s">
        <v>162</v>
      </c>
      <c r="P1821" s="7" t="s">
        <v>7106</v>
      </c>
      <c r="Q1821" s="129">
        <v>46199</v>
      </c>
      <c r="R1821" s="130">
        <f t="shared" si="204"/>
        <v>46197</v>
      </c>
      <c r="S1821" s="131">
        <f t="shared" si="203"/>
        <v>-2</v>
      </c>
      <c r="T1821" s="7" t="s">
        <v>178</v>
      </c>
      <c r="U1821" s="7" t="s">
        <v>289</v>
      </c>
      <c r="V1821" s="7"/>
      <c r="W1821" s="7">
        <v>0</v>
      </c>
      <c r="X1821" s="132">
        <f t="shared" si="201"/>
        <v>7</v>
      </c>
      <c r="Y1821" s="133"/>
      <c r="Z1821" s="133"/>
      <c r="AA1821" s="133"/>
    </row>
    <row r="1822" spans="1:27" hidden="1" x14ac:dyDescent="0.25">
      <c r="A1822" s="127">
        <v>1996</v>
      </c>
      <c r="B1822" s="128" t="str">
        <f t="shared" si="202"/>
        <v>YGQT</v>
      </c>
      <c r="C1822" s="128" t="str">
        <f>+VLOOKUP(U1822,Ходим!A:B,2,0)</f>
        <v>30502995950058</v>
      </c>
      <c r="D1822" s="128" t="str">
        <f>IFERROR(VLOOKUP($B:$B,[20]свод!$A:$AB,3,0)," ")</f>
        <v>Янгиқўрғон тумани</v>
      </c>
      <c r="E1822" s="7" t="s">
        <v>2958</v>
      </c>
      <c r="F1822" s="7" t="s">
        <v>9343</v>
      </c>
      <c r="G1822" s="134">
        <f t="shared" si="205"/>
        <v>1</v>
      </c>
      <c r="H1822" s="134" t="str">
        <f t="shared" si="206"/>
        <v/>
      </c>
      <c r="I1822" s="7" t="s">
        <v>158</v>
      </c>
      <c r="J1822" s="7" t="s">
        <v>134</v>
      </c>
      <c r="K1822" s="7"/>
      <c r="L1822" s="7"/>
      <c r="M1822" s="7"/>
      <c r="N1822" s="7" t="s">
        <v>170</v>
      </c>
      <c r="O1822" s="7" t="s">
        <v>162</v>
      </c>
      <c r="P1822" s="7" t="s">
        <v>6298</v>
      </c>
      <c r="Q1822" s="129">
        <v>46199</v>
      </c>
      <c r="R1822" s="130">
        <f t="shared" si="204"/>
        <v>46204</v>
      </c>
      <c r="S1822" s="131">
        <f t="shared" si="203"/>
        <v>5</v>
      </c>
      <c r="T1822" s="7" t="s">
        <v>182</v>
      </c>
      <c r="U1822" s="7" t="s">
        <v>340</v>
      </c>
      <c r="V1822" s="7"/>
      <c r="W1822" s="7"/>
      <c r="X1822" s="132">
        <f t="shared" si="201"/>
        <v>10</v>
      </c>
      <c r="Y1822" s="133"/>
      <c r="Z1822" s="133"/>
      <c r="AA1822" s="133"/>
    </row>
    <row r="1823" spans="1:27" hidden="1" x14ac:dyDescent="0.25">
      <c r="A1823" s="127">
        <v>1999</v>
      </c>
      <c r="B1823" s="128" t="str">
        <f t="shared" si="202"/>
        <v>CHUT</v>
      </c>
      <c r="C1823" s="128" t="str">
        <f>+VLOOKUP(U1823,Ходим!A:B,2,0)</f>
        <v>30202885970013</v>
      </c>
      <c r="D1823" s="128" t="str">
        <f>IFERROR(VLOOKUP($B:$B,[20]свод!$A:$AB,3,0)," ")</f>
        <v>Чуст тумани</v>
      </c>
      <c r="E1823" s="7" t="s">
        <v>2959</v>
      </c>
      <c r="F1823" s="7" t="s">
        <v>9344</v>
      </c>
      <c r="G1823" s="134">
        <f t="shared" si="205"/>
        <v>1</v>
      </c>
      <c r="H1823" s="134" t="str">
        <f t="shared" si="206"/>
        <v/>
      </c>
      <c r="I1823" s="7" t="s">
        <v>158</v>
      </c>
      <c r="J1823" s="7" t="s">
        <v>13</v>
      </c>
      <c r="K1823" s="7"/>
      <c r="L1823" s="7" t="s">
        <v>167</v>
      </c>
      <c r="M1823" s="7" t="s">
        <v>1109</v>
      </c>
      <c r="N1823" s="7" t="s">
        <v>410</v>
      </c>
      <c r="O1823" s="7" t="s">
        <v>162</v>
      </c>
      <c r="P1823" s="7" t="s">
        <v>6971</v>
      </c>
      <c r="Q1823" s="129">
        <v>46199</v>
      </c>
      <c r="R1823" s="130">
        <f t="shared" si="204"/>
        <v>46202</v>
      </c>
      <c r="S1823" s="131">
        <f t="shared" si="203"/>
        <v>3</v>
      </c>
      <c r="T1823" s="7" t="s">
        <v>178</v>
      </c>
      <c r="U1823" s="7" t="s">
        <v>289</v>
      </c>
      <c r="V1823" s="7"/>
      <c r="W1823" s="7">
        <v>0</v>
      </c>
      <c r="X1823" s="132">
        <f t="shared" si="201"/>
        <v>10</v>
      </c>
      <c r="Y1823" s="133"/>
      <c r="Z1823" s="133"/>
      <c r="AA1823" s="133"/>
    </row>
    <row r="1824" spans="1:27" hidden="1" x14ac:dyDescent="0.25">
      <c r="A1824" s="127">
        <v>2000</v>
      </c>
      <c r="B1824" s="128" t="str">
        <f t="shared" si="202"/>
        <v>UYCT</v>
      </c>
      <c r="C1824" s="128" t="str">
        <f>+VLOOKUP(U1824,Ходим!A:B,2,0)</f>
        <v>31007942140083</v>
      </c>
      <c r="D1824" s="128" t="str">
        <f>IFERROR(VLOOKUP($B:$B,[20]свод!$A:$AB,3,0)," ")</f>
        <v>Уйчи тумани</v>
      </c>
      <c r="E1824" s="7" t="s">
        <v>2960</v>
      </c>
      <c r="F1824" s="7" t="s">
        <v>9345</v>
      </c>
      <c r="G1824" s="134">
        <f t="shared" si="205"/>
        <v>1</v>
      </c>
      <c r="H1824" s="134" t="str">
        <f t="shared" si="206"/>
        <v/>
      </c>
      <c r="I1824" s="7" t="s">
        <v>158</v>
      </c>
      <c r="J1824" s="7" t="s">
        <v>2</v>
      </c>
      <c r="K1824" s="7"/>
      <c r="L1824" s="7" t="s">
        <v>167</v>
      </c>
      <c r="M1824" s="7" t="s">
        <v>996</v>
      </c>
      <c r="N1824" s="7" t="s">
        <v>170</v>
      </c>
      <c r="O1824" s="7" t="s">
        <v>162</v>
      </c>
      <c r="P1824" s="7" t="s">
        <v>6971</v>
      </c>
      <c r="Q1824" s="129">
        <v>46199</v>
      </c>
      <c r="R1824" s="130">
        <f t="shared" si="204"/>
        <v>46202</v>
      </c>
      <c r="S1824" s="131">
        <f t="shared" si="203"/>
        <v>3</v>
      </c>
      <c r="T1824" s="7" t="s">
        <v>379</v>
      </c>
      <c r="U1824" s="7" t="s">
        <v>263</v>
      </c>
      <c r="V1824" s="7"/>
      <c r="W1824" s="7">
        <v>0</v>
      </c>
      <c r="X1824" s="132">
        <f t="shared" si="201"/>
        <v>10</v>
      </c>
      <c r="Y1824" s="133"/>
      <c r="Z1824" s="133"/>
      <c r="AA1824" s="133"/>
    </row>
    <row r="1825" spans="1:27" hidden="1" x14ac:dyDescent="0.25">
      <c r="A1825" s="127">
        <v>2001</v>
      </c>
      <c r="B1825" s="128" t="str">
        <f t="shared" si="202"/>
        <v>KSST</v>
      </c>
      <c r="C1825" s="128" t="str">
        <f>+VLOOKUP(U1825,Ходим!A:B,2,0)</f>
        <v>30507932190090</v>
      </c>
      <c r="D1825" s="128" t="str">
        <f>IFERROR(VLOOKUP($B:$B,[20]свод!$A:$AB,3,0)," ")</f>
        <v>Косонсой тумани</v>
      </c>
      <c r="E1825" s="7" t="s">
        <v>2961</v>
      </c>
      <c r="F1825" s="7" t="s">
        <v>9346</v>
      </c>
      <c r="G1825" s="134">
        <f t="shared" si="205"/>
        <v>1</v>
      </c>
      <c r="H1825" s="134" t="str">
        <f t="shared" si="206"/>
        <v/>
      </c>
      <c r="I1825" s="7" t="s">
        <v>158</v>
      </c>
      <c r="J1825" s="7" t="s">
        <v>1</v>
      </c>
      <c r="K1825" s="7"/>
      <c r="L1825" s="7" t="s">
        <v>167</v>
      </c>
      <c r="M1825" s="7" t="s">
        <v>5411</v>
      </c>
      <c r="N1825" s="7" t="s">
        <v>170</v>
      </c>
      <c r="O1825" s="7" t="s">
        <v>162</v>
      </c>
      <c r="P1825" s="7" t="s">
        <v>6971</v>
      </c>
      <c r="Q1825" s="129">
        <v>46199</v>
      </c>
      <c r="R1825" s="130">
        <f t="shared" si="204"/>
        <v>46202</v>
      </c>
      <c r="S1825" s="131">
        <f t="shared" si="203"/>
        <v>3</v>
      </c>
      <c r="T1825" s="7" t="s">
        <v>180</v>
      </c>
      <c r="U1825" s="7" t="s">
        <v>232</v>
      </c>
      <c r="V1825" s="7"/>
      <c r="W1825" s="7">
        <v>529.71</v>
      </c>
      <c r="X1825" s="132">
        <f t="shared" si="201"/>
        <v>10</v>
      </c>
      <c r="Y1825" s="133"/>
      <c r="Z1825" s="133"/>
      <c r="AA1825" s="133"/>
    </row>
    <row r="1826" spans="1:27" hidden="1" x14ac:dyDescent="0.25">
      <c r="A1826" s="127">
        <v>2002</v>
      </c>
      <c r="B1826" s="128" t="str">
        <f t="shared" si="202"/>
        <v>NORT</v>
      </c>
      <c r="C1826" s="128" t="str">
        <f>+VLOOKUP(U1826,Ходим!A:B,2,0)</f>
        <v>32907985900051</v>
      </c>
      <c r="D1826" s="128" t="str">
        <f>IFERROR(VLOOKUP($B:$B,[20]свод!$A:$AB,3,0)," ")</f>
        <v>Норин тумани</v>
      </c>
      <c r="E1826" s="7" t="s">
        <v>2962</v>
      </c>
      <c r="F1826" s="7" t="s">
        <v>9347</v>
      </c>
      <c r="G1826" s="134">
        <f t="shared" si="205"/>
        <v>1</v>
      </c>
      <c r="H1826" s="134" t="str">
        <f t="shared" si="206"/>
        <v/>
      </c>
      <c r="I1826" s="7" t="s">
        <v>158</v>
      </c>
      <c r="J1826" s="7" t="s">
        <v>2</v>
      </c>
      <c r="K1826" s="7"/>
      <c r="L1826" s="7" t="s">
        <v>167</v>
      </c>
      <c r="M1826" s="7" t="s">
        <v>5412</v>
      </c>
      <c r="N1826" s="7" t="s">
        <v>170</v>
      </c>
      <c r="O1826" s="7" t="s">
        <v>162</v>
      </c>
      <c r="P1826" s="7" t="s">
        <v>6971</v>
      </c>
      <c r="Q1826" s="129">
        <v>46199</v>
      </c>
      <c r="R1826" s="130">
        <f t="shared" si="204"/>
        <v>46202</v>
      </c>
      <c r="S1826" s="131">
        <f t="shared" si="203"/>
        <v>3</v>
      </c>
      <c r="T1826" s="7" t="s">
        <v>210</v>
      </c>
      <c r="U1826" s="7" t="s">
        <v>293</v>
      </c>
      <c r="V1826" s="7"/>
      <c r="W1826" s="7">
        <v>266.04000000000002</v>
      </c>
      <c r="X1826" s="132">
        <f t="shared" si="201"/>
        <v>10</v>
      </c>
      <c r="Y1826" s="133"/>
      <c r="Z1826" s="133"/>
      <c r="AA1826" s="133"/>
    </row>
    <row r="1827" spans="1:27" hidden="1" x14ac:dyDescent="0.25">
      <c r="A1827" s="127">
        <v>2003</v>
      </c>
      <c r="B1827" s="128" t="str">
        <f t="shared" si="202"/>
        <v>KSST</v>
      </c>
      <c r="C1827" s="128" t="str">
        <f>+VLOOKUP(U1827,Ходим!A:B,2,0)</f>
        <v>50709025980034</v>
      </c>
      <c r="D1827" s="128" t="str">
        <f>IFERROR(VLOOKUP($B:$B,[20]свод!$A:$AB,3,0)," ")</f>
        <v>Косонсой тумани</v>
      </c>
      <c r="E1827" s="7" t="s">
        <v>2963</v>
      </c>
      <c r="F1827" s="7" t="s">
        <v>9348</v>
      </c>
      <c r="G1827" s="134">
        <f t="shared" si="205"/>
        <v>1</v>
      </c>
      <c r="H1827" s="134" t="str">
        <f t="shared" si="206"/>
        <v/>
      </c>
      <c r="I1827" s="7" t="s">
        <v>158</v>
      </c>
      <c r="J1827" s="7" t="s">
        <v>2</v>
      </c>
      <c r="K1827" s="7"/>
      <c r="L1827" s="7" t="s">
        <v>167</v>
      </c>
      <c r="M1827" s="7" t="s">
        <v>5413</v>
      </c>
      <c r="N1827" s="7" t="s">
        <v>170</v>
      </c>
      <c r="O1827" s="7" t="s">
        <v>162</v>
      </c>
      <c r="P1827" s="7" t="s">
        <v>6563</v>
      </c>
      <c r="Q1827" s="129">
        <v>46199</v>
      </c>
      <c r="R1827" s="130">
        <f t="shared" si="204"/>
        <v>46211</v>
      </c>
      <c r="S1827" s="131">
        <f t="shared" si="203"/>
        <v>12</v>
      </c>
      <c r="T1827" s="7" t="s">
        <v>180</v>
      </c>
      <c r="U1827" s="7" t="s">
        <v>286</v>
      </c>
      <c r="V1827" s="7"/>
      <c r="W1827" s="7">
        <v>45.6</v>
      </c>
      <c r="X1827" s="132">
        <f t="shared" si="201"/>
        <v>10</v>
      </c>
      <c r="Y1827" s="133"/>
      <c r="Z1827" s="133"/>
      <c r="AA1827" s="133"/>
    </row>
    <row r="1828" spans="1:27" hidden="1" x14ac:dyDescent="0.25">
      <c r="A1828" s="127">
        <v>2004</v>
      </c>
      <c r="B1828" s="128" t="str">
        <f t="shared" si="202"/>
        <v>TORT</v>
      </c>
      <c r="C1828" s="128" t="str">
        <f>+VLOOKUP(U1828,Ходим!A:B,2,0)</f>
        <v>30702995920011</v>
      </c>
      <c r="D1828" s="128" t="str">
        <f>IFERROR(VLOOKUP($B:$B,[20]свод!$A:$AB,3,0)," ")</f>
        <v>Тўрақўрғон тумани</v>
      </c>
      <c r="E1828" s="7" t="s">
        <v>2964</v>
      </c>
      <c r="F1828" s="7" t="s">
        <v>9349</v>
      </c>
      <c r="G1828" s="134">
        <f t="shared" si="205"/>
        <v>1</v>
      </c>
      <c r="H1828" s="134" t="str">
        <f t="shared" si="206"/>
        <v/>
      </c>
      <c r="I1828" s="7" t="s">
        <v>156</v>
      </c>
      <c r="J1828" s="7" t="s">
        <v>25</v>
      </c>
      <c r="K1828" s="7"/>
      <c r="L1828" s="7"/>
      <c r="M1828" s="7"/>
      <c r="N1828" s="7" t="s">
        <v>170</v>
      </c>
      <c r="O1828" s="7" t="s">
        <v>162</v>
      </c>
      <c r="P1828" s="7" t="s">
        <v>7107</v>
      </c>
      <c r="Q1828" s="129">
        <v>46199</v>
      </c>
      <c r="R1828" s="130">
        <f t="shared" si="204"/>
        <v>46202</v>
      </c>
      <c r="S1828" s="131">
        <f t="shared" si="203"/>
        <v>3</v>
      </c>
      <c r="T1828" s="7" t="s">
        <v>203</v>
      </c>
      <c r="U1828" s="7" t="s">
        <v>341</v>
      </c>
      <c r="V1828" s="7"/>
      <c r="W1828" s="7"/>
      <c r="X1828" s="132">
        <f t="shared" si="201"/>
        <v>10</v>
      </c>
      <c r="Y1828" s="133"/>
      <c r="Z1828" s="133"/>
      <c r="AA1828" s="133"/>
    </row>
    <row r="1829" spans="1:27" hidden="1" x14ac:dyDescent="0.25">
      <c r="A1829" s="127">
        <v>2006</v>
      </c>
      <c r="B1829" s="128" t="str">
        <f t="shared" si="202"/>
        <v>CHUT</v>
      </c>
      <c r="C1829" s="128" t="str">
        <f>+VLOOKUP(U1829,Ходим!A:B,2,0)</f>
        <v>31509882180058</v>
      </c>
      <c r="D1829" s="128" t="str">
        <f>IFERROR(VLOOKUP($B:$B,[20]свод!$A:$AB,3,0)," ")</f>
        <v>Чуст тумани</v>
      </c>
      <c r="E1829" s="7" t="s">
        <v>2965</v>
      </c>
      <c r="F1829" s="7" t="s">
        <v>9350</v>
      </c>
      <c r="G1829" s="134" t="str">
        <f t="shared" si="205"/>
        <v/>
      </c>
      <c r="H1829" s="134">
        <f t="shared" si="206"/>
        <v>1</v>
      </c>
      <c r="I1829" s="7" t="s">
        <v>154</v>
      </c>
      <c r="J1829" s="7" t="s">
        <v>145</v>
      </c>
      <c r="K1829" s="7"/>
      <c r="L1829" s="7" t="s">
        <v>166</v>
      </c>
      <c r="M1829" s="7" t="s">
        <v>5414</v>
      </c>
      <c r="N1829" s="7" t="s">
        <v>170</v>
      </c>
      <c r="O1829" s="7" t="s">
        <v>161</v>
      </c>
      <c r="P1829" s="7" t="s">
        <v>7108</v>
      </c>
      <c r="Q1829" s="129">
        <v>46199</v>
      </c>
      <c r="R1829" s="130">
        <f t="shared" si="204"/>
        <v>46202</v>
      </c>
      <c r="S1829" s="131">
        <f t="shared" si="203"/>
        <v>3</v>
      </c>
      <c r="T1829" s="7" t="s">
        <v>178</v>
      </c>
      <c r="U1829" s="7" t="s">
        <v>324</v>
      </c>
      <c r="V1829" s="7" t="s">
        <v>359</v>
      </c>
      <c r="W1829" s="7">
        <v>8.75</v>
      </c>
      <c r="X1829" s="132">
        <f t="shared" si="201"/>
        <v>10</v>
      </c>
      <c r="Y1829" s="133"/>
      <c r="Z1829" s="133"/>
      <c r="AA1829" s="133"/>
    </row>
    <row r="1830" spans="1:27" hidden="1" x14ac:dyDescent="0.25">
      <c r="A1830" s="127">
        <v>2007</v>
      </c>
      <c r="B1830" s="128" t="str">
        <f t="shared" si="202"/>
        <v>CHOT</v>
      </c>
      <c r="C1830" s="128" t="str">
        <f>+VLOOKUP(U1830,Ходим!A:B,2,0)</f>
        <v>31904922100113</v>
      </c>
      <c r="D1830" s="128" t="str">
        <f>IFERROR(VLOOKUP($B:$B,[20]свод!$A:$AB,3,0)," ")</f>
        <v>Чортоқ тумани</v>
      </c>
      <c r="E1830" s="7" t="s">
        <v>2966</v>
      </c>
      <c r="F1830" s="7"/>
      <c r="G1830" s="134">
        <f t="shared" si="205"/>
        <v>1</v>
      </c>
      <c r="H1830" s="134" t="str">
        <f t="shared" si="206"/>
        <v/>
      </c>
      <c r="I1830" s="7" t="s">
        <v>154</v>
      </c>
      <c r="J1830" s="7" t="s">
        <v>172</v>
      </c>
      <c r="K1830" s="7"/>
      <c r="L1830" s="7" t="s">
        <v>167</v>
      </c>
      <c r="M1830" s="7" t="s">
        <v>5415</v>
      </c>
      <c r="N1830" s="7" t="s">
        <v>368</v>
      </c>
      <c r="O1830" s="7"/>
      <c r="P1830" s="7" t="s">
        <v>7109</v>
      </c>
      <c r="Q1830" s="129">
        <v>46199</v>
      </c>
      <c r="R1830" s="130">
        <f t="shared" si="204"/>
        <v>46205</v>
      </c>
      <c r="S1830" s="131">
        <f t="shared" si="203"/>
        <v>6</v>
      </c>
      <c r="T1830" s="7"/>
      <c r="U1830" s="7" t="s">
        <v>310</v>
      </c>
      <c r="V1830" s="7"/>
      <c r="W1830" s="7">
        <v>281.51</v>
      </c>
      <c r="X1830" s="132">
        <f t="shared" si="201"/>
        <v>5</v>
      </c>
      <c r="Y1830" s="133"/>
      <c r="Z1830" s="133"/>
      <c r="AA1830" s="133"/>
    </row>
    <row r="1831" spans="1:27" hidden="1" x14ac:dyDescent="0.25">
      <c r="A1831" s="127">
        <v>2008</v>
      </c>
      <c r="B1831" s="128" t="str">
        <f t="shared" si="202"/>
        <v>NAMS</v>
      </c>
      <c r="C1831" s="128" t="str">
        <f>+VLOOKUP(U1831,Ходим!A:B,2,0)</f>
        <v>51705025890024</v>
      </c>
      <c r="D1831" s="128" t="str">
        <f>IFERROR(VLOOKUP($B:$B,[20]свод!$A:$AB,3,0)," ")</f>
        <v>Наманган шаҳар</v>
      </c>
      <c r="E1831" s="7" t="s">
        <v>2967</v>
      </c>
      <c r="F1831" s="7" t="s">
        <v>9351</v>
      </c>
      <c r="G1831" s="134">
        <f t="shared" si="205"/>
        <v>1</v>
      </c>
      <c r="H1831" s="134" t="str">
        <f t="shared" si="206"/>
        <v/>
      </c>
      <c r="I1831" s="7" t="s">
        <v>158</v>
      </c>
      <c r="J1831" s="7" t="s">
        <v>1</v>
      </c>
      <c r="K1831" s="7"/>
      <c r="L1831" s="7" t="s">
        <v>167</v>
      </c>
      <c r="M1831" s="7" t="s">
        <v>5416</v>
      </c>
      <c r="N1831" s="7" t="s">
        <v>410</v>
      </c>
      <c r="O1831" s="7" t="s">
        <v>162</v>
      </c>
      <c r="P1831" s="7" t="s">
        <v>6901</v>
      </c>
      <c r="Q1831" s="129">
        <v>46199</v>
      </c>
      <c r="R1831" s="130">
        <f t="shared" si="204"/>
        <v>46206</v>
      </c>
      <c r="S1831" s="131">
        <f t="shared" si="203"/>
        <v>7</v>
      </c>
      <c r="T1831" s="7" t="s">
        <v>185</v>
      </c>
      <c r="U1831" s="7" t="s">
        <v>189</v>
      </c>
      <c r="V1831" s="7"/>
      <c r="W1831" s="7">
        <v>456.53</v>
      </c>
      <c r="X1831" s="132">
        <f t="shared" si="201"/>
        <v>10</v>
      </c>
      <c r="Y1831" s="133"/>
      <c r="Z1831" s="133"/>
      <c r="AA1831" s="133"/>
    </row>
    <row r="1832" spans="1:27" hidden="1" x14ac:dyDescent="0.25">
      <c r="A1832" s="127">
        <v>2009</v>
      </c>
      <c r="B1832" s="128" t="str">
        <f t="shared" si="202"/>
        <v>NAMS</v>
      </c>
      <c r="C1832" s="128" t="str">
        <f>+VLOOKUP(U1832,Ходим!A:B,2,0)</f>
        <v>51911035960011</v>
      </c>
      <c r="D1832" s="128" t="str">
        <f>IFERROR(VLOOKUP($B:$B,[20]свод!$A:$AB,3,0)," ")</f>
        <v>Наманган шаҳар</v>
      </c>
      <c r="E1832" s="7" t="s">
        <v>2968</v>
      </c>
      <c r="F1832" s="7" t="s">
        <v>9352</v>
      </c>
      <c r="G1832" s="134">
        <f t="shared" si="205"/>
        <v>1</v>
      </c>
      <c r="H1832" s="134" t="str">
        <f t="shared" si="206"/>
        <v/>
      </c>
      <c r="I1832" s="7" t="s">
        <v>156</v>
      </c>
      <c r="J1832" s="7" t="s">
        <v>25</v>
      </c>
      <c r="K1832" s="7"/>
      <c r="L1832" s="7"/>
      <c r="M1832" s="7"/>
      <c r="N1832" s="7" t="s">
        <v>170</v>
      </c>
      <c r="O1832" s="7" t="s">
        <v>162</v>
      </c>
      <c r="P1832" s="7" t="s">
        <v>6750</v>
      </c>
      <c r="Q1832" s="129">
        <v>46199</v>
      </c>
      <c r="R1832" s="130">
        <f t="shared" si="204"/>
        <v>46206</v>
      </c>
      <c r="S1832" s="131">
        <f t="shared" si="203"/>
        <v>7</v>
      </c>
      <c r="T1832" s="7" t="s">
        <v>173</v>
      </c>
      <c r="U1832" s="7" t="s">
        <v>371</v>
      </c>
      <c r="V1832" s="7"/>
      <c r="W1832" s="7"/>
      <c r="X1832" s="132">
        <f t="shared" si="201"/>
        <v>10</v>
      </c>
      <c r="Y1832" s="133"/>
      <c r="Z1832" s="133"/>
      <c r="AA1832" s="133"/>
    </row>
    <row r="1833" spans="1:27" x14ac:dyDescent="0.25">
      <c r="A1833" s="127">
        <v>2010</v>
      </c>
      <c r="B1833" s="128" t="str">
        <f t="shared" si="202"/>
        <v>YGQT</v>
      </c>
      <c r="C1833" s="128" t="str">
        <f>+VLOOKUP(U1833,Ходим!A:B,2,0)</f>
        <v>52010015950028</v>
      </c>
      <c r="D1833" s="128" t="str">
        <f>IFERROR(VLOOKUP($B:$B,[20]свод!$A:$AB,3,0)," ")</f>
        <v>Янгиқўрғон тумани</v>
      </c>
      <c r="E1833" s="7" t="s">
        <v>2969</v>
      </c>
      <c r="F1833" s="7" t="s">
        <v>9353</v>
      </c>
      <c r="G1833" s="134" t="str">
        <f t="shared" si="205"/>
        <v/>
      </c>
      <c r="H1833" s="134">
        <f t="shared" si="206"/>
        <v>1</v>
      </c>
      <c r="I1833" s="7" t="s">
        <v>157</v>
      </c>
      <c r="J1833" s="7" t="s">
        <v>55</v>
      </c>
      <c r="K1833" s="7"/>
      <c r="L1833" s="7" t="s">
        <v>168</v>
      </c>
      <c r="M1833" s="7" t="s">
        <v>5417</v>
      </c>
      <c r="N1833" s="7" t="s">
        <v>410</v>
      </c>
      <c r="O1833" s="7" t="s">
        <v>161</v>
      </c>
      <c r="P1833" s="7" t="s">
        <v>7110</v>
      </c>
      <c r="Q1833" s="129">
        <v>46199</v>
      </c>
      <c r="R1833" s="130">
        <f t="shared" si="204"/>
        <v>46198</v>
      </c>
      <c r="S1833" s="131">
        <f t="shared" si="203"/>
        <v>-1</v>
      </c>
      <c r="T1833" s="7" t="s">
        <v>182</v>
      </c>
      <c r="U1833" s="7" t="s">
        <v>391</v>
      </c>
      <c r="V1833" s="7" t="s">
        <v>965</v>
      </c>
      <c r="W1833" s="7">
        <v>0</v>
      </c>
      <c r="X1833" s="132">
        <f t="shared" si="201"/>
        <v>5</v>
      </c>
      <c r="Y1833" s="133"/>
      <c r="Z1833" s="133"/>
      <c r="AA1833" s="133"/>
    </row>
    <row r="1834" spans="1:27" hidden="1" x14ac:dyDescent="0.25">
      <c r="A1834" s="127">
        <v>2011</v>
      </c>
      <c r="B1834" s="128" t="str">
        <f t="shared" si="202"/>
        <v>NAMS</v>
      </c>
      <c r="C1834" s="128" t="str">
        <f>+VLOOKUP(U1834,Ходим!A:B,2,0)</f>
        <v>51110025960044</v>
      </c>
      <c r="D1834" s="128" t="str">
        <f>IFERROR(VLOOKUP($B:$B,[20]свод!$A:$AB,3,0)," ")</f>
        <v>Наманган шаҳар</v>
      </c>
      <c r="E1834" s="7" t="s">
        <v>2970</v>
      </c>
      <c r="F1834" s="7" t="s">
        <v>9354</v>
      </c>
      <c r="G1834" s="134">
        <f t="shared" si="205"/>
        <v>1</v>
      </c>
      <c r="H1834" s="134" t="str">
        <f t="shared" si="206"/>
        <v/>
      </c>
      <c r="I1834" s="7" t="s">
        <v>158</v>
      </c>
      <c r="J1834" s="7" t="s">
        <v>2</v>
      </c>
      <c r="K1834" s="7"/>
      <c r="L1834" s="7" t="s">
        <v>169</v>
      </c>
      <c r="M1834" s="7" t="s">
        <v>978</v>
      </c>
      <c r="N1834" s="7" t="s">
        <v>170</v>
      </c>
      <c r="O1834" s="7" t="s">
        <v>162</v>
      </c>
      <c r="P1834" s="7" t="s">
        <v>7111</v>
      </c>
      <c r="Q1834" s="129">
        <v>46199</v>
      </c>
      <c r="R1834" s="130">
        <f t="shared" si="204"/>
        <v>46203</v>
      </c>
      <c r="S1834" s="131">
        <f t="shared" si="203"/>
        <v>4</v>
      </c>
      <c r="T1834" s="7" t="s">
        <v>185</v>
      </c>
      <c r="U1834" s="7" t="s">
        <v>294</v>
      </c>
      <c r="V1834" s="7"/>
      <c r="W1834" s="7">
        <v>0</v>
      </c>
      <c r="X1834" s="132">
        <f t="shared" si="201"/>
        <v>7</v>
      </c>
      <c r="Y1834" s="133"/>
      <c r="Z1834" s="133"/>
      <c r="AA1834" s="133"/>
    </row>
    <row r="1835" spans="1:27" hidden="1" x14ac:dyDescent="0.25">
      <c r="A1835" s="127">
        <v>2012</v>
      </c>
      <c r="B1835" s="128" t="str">
        <f t="shared" si="202"/>
        <v>YGQT</v>
      </c>
      <c r="C1835" s="128" t="str">
        <f>+VLOOKUP(U1835,Ходим!A:B,2,0)</f>
        <v>32806922160043</v>
      </c>
      <c r="D1835" s="128" t="str">
        <f>IFERROR(VLOOKUP($B:$B,[20]свод!$A:$AB,3,0)," ")</f>
        <v>Янгиқўрғон тумани</v>
      </c>
      <c r="E1835" s="7" t="s">
        <v>2971</v>
      </c>
      <c r="F1835" s="7" t="s">
        <v>9355</v>
      </c>
      <c r="G1835" s="134" t="str">
        <f t="shared" si="205"/>
        <v/>
      </c>
      <c r="H1835" s="134">
        <f t="shared" si="206"/>
        <v>1</v>
      </c>
      <c r="I1835" s="7" t="s">
        <v>157</v>
      </c>
      <c r="J1835" s="7" t="s">
        <v>1</v>
      </c>
      <c r="K1835" s="7"/>
      <c r="L1835" s="7" t="s">
        <v>166</v>
      </c>
      <c r="M1835" s="7" t="s">
        <v>5418</v>
      </c>
      <c r="N1835" s="7" t="s">
        <v>410</v>
      </c>
      <c r="O1835" s="7" t="s">
        <v>161</v>
      </c>
      <c r="P1835" s="7" t="s">
        <v>7112</v>
      </c>
      <c r="Q1835" s="129">
        <v>46199</v>
      </c>
      <c r="R1835" s="130">
        <f t="shared" si="204"/>
        <v>46204</v>
      </c>
      <c r="S1835" s="131">
        <f t="shared" si="203"/>
        <v>5</v>
      </c>
      <c r="T1835" s="7" t="s">
        <v>182</v>
      </c>
      <c r="U1835" s="7" t="s">
        <v>186</v>
      </c>
      <c r="V1835" s="7"/>
      <c r="W1835" s="7">
        <v>114</v>
      </c>
      <c r="X1835" s="132">
        <f t="shared" si="201"/>
        <v>12</v>
      </c>
      <c r="Y1835" s="133"/>
      <c r="Z1835" s="133"/>
      <c r="AA1835" s="133"/>
    </row>
    <row r="1836" spans="1:27" hidden="1" x14ac:dyDescent="0.25">
      <c r="A1836" s="127">
        <v>2013</v>
      </c>
      <c r="B1836" s="128" t="str">
        <f t="shared" si="202"/>
        <v>NORT</v>
      </c>
      <c r="C1836" s="128" t="str">
        <f>+VLOOKUP(U1836,Ходим!A:B,2,0)</f>
        <v>31609962110019</v>
      </c>
      <c r="D1836" s="128" t="str">
        <f>IFERROR(VLOOKUP($B:$B,[20]свод!$A:$AB,3,0)," ")</f>
        <v>Норин тумани</v>
      </c>
      <c r="E1836" s="7" t="s">
        <v>2972</v>
      </c>
      <c r="F1836" s="7" t="s">
        <v>9356</v>
      </c>
      <c r="G1836" s="134" t="str">
        <f t="shared" si="205"/>
        <v/>
      </c>
      <c r="H1836" s="134">
        <f t="shared" si="206"/>
        <v>1</v>
      </c>
      <c r="I1836" s="7" t="s">
        <v>157</v>
      </c>
      <c r="J1836" s="7" t="s">
        <v>2</v>
      </c>
      <c r="K1836" s="7"/>
      <c r="L1836" s="7"/>
      <c r="M1836" s="7"/>
      <c r="N1836" s="7" t="s">
        <v>410</v>
      </c>
      <c r="O1836" s="7" t="s">
        <v>161</v>
      </c>
      <c r="P1836" s="7" t="s">
        <v>7113</v>
      </c>
      <c r="Q1836" s="129">
        <v>46199</v>
      </c>
      <c r="R1836" s="130">
        <f t="shared" si="204"/>
        <v>46202</v>
      </c>
      <c r="S1836" s="131">
        <f t="shared" si="203"/>
        <v>3</v>
      </c>
      <c r="T1836" s="7" t="s">
        <v>210</v>
      </c>
      <c r="U1836" s="7" t="s">
        <v>355</v>
      </c>
      <c r="V1836" s="7"/>
      <c r="W1836" s="7"/>
      <c r="X1836" s="132">
        <f t="shared" si="201"/>
        <v>10</v>
      </c>
      <c r="Y1836" s="133"/>
      <c r="Z1836" s="133"/>
      <c r="AA1836" s="133"/>
    </row>
    <row r="1837" spans="1:27" hidden="1" x14ac:dyDescent="0.25">
      <c r="A1837" s="127">
        <v>2014</v>
      </c>
      <c r="B1837" s="128" t="str">
        <f t="shared" si="202"/>
        <v>NORT</v>
      </c>
      <c r="C1837" s="128" t="str">
        <f>+VLOOKUP(U1837,Ходим!A:B,2,0)</f>
        <v>32103985900068</v>
      </c>
      <c r="D1837" s="128" t="str">
        <f>IFERROR(VLOOKUP($B:$B,[20]свод!$A:$AB,3,0)," ")</f>
        <v>Норин тумани</v>
      </c>
      <c r="E1837" s="7" t="s">
        <v>2973</v>
      </c>
      <c r="F1837" s="7" t="s">
        <v>9357</v>
      </c>
      <c r="G1837" s="134">
        <f t="shared" si="205"/>
        <v>1</v>
      </c>
      <c r="H1837" s="134" t="str">
        <f t="shared" si="206"/>
        <v/>
      </c>
      <c r="I1837" s="7" t="s">
        <v>158</v>
      </c>
      <c r="J1837" s="7" t="s">
        <v>16</v>
      </c>
      <c r="K1837" s="7"/>
      <c r="L1837" s="7" t="s">
        <v>167</v>
      </c>
      <c r="M1837" s="7" t="s">
        <v>5419</v>
      </c>
      <c r="N1837" s="7" t="s">
        <v>170</v>
      </c>
      <c r="O1837" s="7" t="s">
        <v>162</v>
      </c>
      <c r="P1837" s="7" t="s">
        <v>6863</v>
      </c>
      <c r="Q1837" s="129">
        <v>46199</v>
      </c>
      <c r="R1837" s="130">
        <f t="shared" si="204"/>
        <v>46202</v>
      </c>
      <c r="S1837" s="131">
        <f t="shared" si="203"/>
        <v>3</v>
      </c>
      <c r="T1837" s="7" t="s">
        <v>210</v>
      </c>
      <c r="U1837" s="7" t="s">
        <v>327</v>
      </c>
      <c r="V1837" s="7"/>
      <c r="W1837" s="7">
        <v>322.45</v>
      </c>
      <c r="X1837" s="132">
        <f t="shared" si="201"/>
        <v>10</v>
      </c>
      <c r="Y1837" s="133"/>
      <c r="Z1837" s="133"/>
      <c r="AA1837" s="133"/>
    </row>
    <row r="1838" spans="1:27" hidden="1" x14ac:dyDescent="0.25">
      <c r="A1838" s="127">
        <v>2015</v>
      </c>
      <c r="B1838" s="128" t="str">
        <f t="shared" si="202"/>
        <v>KSST</v>
      </c>
      <c r="C1838" s="128" t="str">
        <f>+VLOOKUP(U1838,Ходим!A:B,2,0)</f>
        <v>50709025980034</v>
      </c>
      <c r="D1838" s="128" t="str">
        <f>IFERROR(VLOOKUP($B:$B,[20]свод!$A:$AB,3,0)," ")</f>
        <v>Косонсой тумани</v>
      </c>
      <c r="E1838" s="7" t="s">
        <v>2974</v>
      </c>
      <c r="F1838" s="7" t="s">
        <v>9358</v>
      </c>
      <c r="G1838" s="134" t="str">
        <f t="shared" si="205"/>
        <v/>
      </c>
      <c r="H1838" s="134">
        <f t="shared" si="206"/>
        <v>1</v>
      </c>
      <c r="I1838" s="7" t="s">
        <v>157</v>
      </c>
      <c r="J1838" s="7" t="s">
        <v>2</v>
      </c>
      <c r="K1838" s="7"/>
      <c r="L1838" s="7"/>
      <c r="M1838" s="7"/>
      <c r="N1838" s="7" t="s">
        <v>170</v>
      </c>
      <c r="O1838" s="7" t="s">
        <v>161</v>
      </c>
      <c r="P1838" s="7" t="s">
        <v>7062</v>
      </c>
      <c r="Q1838" s="129">
        <v>46199</v>
      </c>
      <c r="R1838" s="130">
        <f t="shared" si="204"/>
        <v>46206</v>
      </c>
      <c r="S1838" s="131">
        <f t="shared" si="203"/>
        <v>7</v>
      </c>
      <c r="T1838" s="7" t="s">
        <v>180</v>
      </c>
      <c r="U1838" s="7" t="s">
        <v>286</v>
      </c>
      <c r="V1838" s="7"/>
      <c r="W1838" s="7"/>
      <c r="X1838" s="132">
        <f t="shared" si="201"/>
        <v>10</v>
      </c>
      <c r="Y1838" s="133"/>
      <c r="Z1838" s="133"/>
      <c r="AA1838" s="133"/>
    </row>
    <row r="1839" spans="1:27" x14ac:dyDescent="0.25">
      <c r="A1839" s="127">
        <v>2016</v>
      </c>
      <c r="B1839" s="128" t="str">
        <f t="shared" si="202"/>
        <v>NAMS</v>
      </c>
      <c r="C1839" s="128" t="str">
        <f>+VLOOKUP(U1839,Ходим!A:B,2,0)</f>
        <v>51110025960044</v>
      </c>
      <c r="D1839" s="128" t="str">
        <f>IFERROR(VLOOKUP($B:$B,[20]свод!$A:$AB,3,0)," ")</f>
        <v>Наманган шаҳар</v>
      </c>
      <c r="E1839" s="7" t="s">
        <v>2975</v>
      </c>
      <c r="F1839" s="7"/>
      <c r="G1839" s="134">
        <f t="shared" si="205"/>
        <v>1</v>
      </c>
      <c r="H1839" s="134" t="str">
        <f t="shared" si="206"/>
        <v/>
      </c>
      <c r="I1839" s="7" t="s">
        <v>154</v>
      </c>
      <c r="J1839" s="7" t="s">
        <v>145</v>
      </c>
      <c r="K1839" s="7"/>
      <c r="L1839" s="7" t="s">
        <v>167</v>
      </c>
      <c r="M1839" s="7" t="s">
        <v>5420</v>
      </c>
      <c r="N1839" s="7" t="s">
        <v>368</v>
      </c>
      <c r="O1839" s="7"/>
      <c r="P1839" s="7" t="s">
        <v>7114</v>
      </c>
      <c r="Q1839" s="129">
        <v>46199</v>
      </c>
      <c r="R1839" s="130">
        <f t="shared" si="204"/>
        <v>46199</v>
      </c>
      <c r="S1839" s="131">
        <f t="shared" si="203"/>
        <v>0</v>
      </c>
      <c r="T1839" s="7" t="s">
        <v>234</v>
      </c>
      <c r="U1839" s="7" t="s">
        <v>294</v>
      </c>
      <c r="V1839" s="7" t="s">
        <v>965</v>
      </c>
      <c r="W1839" s="7">
        <v>92.46</v>
      </c>
      <c r="X1839" s="132">
        <f t="shared" si="201"/>
        <v>5</v>
      </c>
      <c r="Y1839" s="133"/>
      <c r="Z1839" s="133"/>
      <c r="AA1839" s="133"/>
    </row>
    <row r="1840" spans="1:27" hidden="1" x14ac:dyDescent="0.25">
      <c r="A1840" s="127">
        <v>2017</v>
      </c>
      <c r="B1840" s="128" t="str">
        <f t="shared" si="202"/>
        <v>NAMT</v>
      </c>
      <c r="C1840" s="128" t="str">
        <f>+VLOOKUP(U1840,Ходим!A:B,2,0)</f>
        <v>52012025880014</v>
      </c>
      <c r="D1840" s="128" t="str">
        <f>IFERROR(VLOOKUP($B:$B,[20]свод!$A:$AB,3,0)," ")</f>
        <v>Наманган тумани</v>
      </c>
      <c r="E1840" s="7" t="s">
        <v>2976</v>
      </c>
      <c r="F1840" s="7" t="s">
        <v>9359</v>
      </c>
      <c r="G1840" s="134" t="str">
        <f t="shared" si="205"/>
        <v/>
      </c>
      <c r="H1840" s="134">
        <f t="shared" si="206"/>
        <v>1</v>
      </c>
      <c r="I1840" s="7" t="s">
        <v>157</v>
      </c>
      <c r="J1840" s="7" t="s">
        <v>1</v>
      </c>
      <c r="K1840" s="7"/>
      <c r="L1840" s="7" t="s">
        <v>168</v>
      </c>
      <c r="M1840" s="7" t="s">
        <v>5421</v>
      </c>
      <c r="N1840" s="7" t="s">
        <v>410</v>
      </c>
      <c r="O1840" s="7" t="s">
        <v>161</v>
      </c>
      <c r="P1840" s="7" t="s">
        <v>6300</v>
      </c>
      <c r="Q1840" s="129">
        <v>46199</v>
      </c>
      <c r="R1840" s="130">
        <f t="shared" si="204"/>
        <v>46205</v>
      </c>
      <c r="S1840" s="131">
        <f t="shared" si="203"/>
        <v>6</v>
      </c>
      <c r="T1840" s="7" t="s">
        <v>193</v>
      </c>
      <c r="U1840" s="7" t="s">
        <v>216</v>
      </c>
      <c r="V1840" s="7"/>
      <c r="W1840" s="7">
        <v>0</v>
      </c>
      <c r="X1840" s="132">
        <f t="shared" si="201"/>
        <v>7</v>
      </c>
      <c r="Y1840" s="133"/>
      <c r="Z1840" s="133"/>
      <c r="AA1840" s="133"/>
    </row>
    <row r="1841" spans="1:27" hidden="1" x14ac:dyDescent="0.25">
      <c r="A1841" s="127">
        <v>2018</v>
      </c>
      <c r="B1841" s="128" t="str">
        <f t="shared" si="202"/>
        <v>NORT</v>
      </c>
      <c r="C1841" s="128" t="str">
        <f>+VLOOKUP(U1841,Ходим!A:B,2,0)</f>
        <v>32609882110022</v>
      </c>
      <c r="D1841" s="128" t="str">
        <f>IFERROR(VLOOKUP($B:$B,[20]свод!$A:$AB,3,0)," ")</f>
        <v>Норин тумани</v>
      </c>
      <c r="E1841" s="7" t="s">
        <v>2977</v>
      </c>
      <c r="F1841" s="7" t="s">
        <v>9360</v>
      </c>
      <c r="G1841" s="134">
        <f t="shared" si="205"/>
        <v>1</v>
      </c>
      <c r="H1841" s="134" t="str">
        <f t="shared" si="206"/>
        <v/>
      </c>
      <c r="I1841" s="7" t="s">
        <v>158</v>
      </c>
      <c r="J1841" s="7" t="s">
        <v>1</v>
      </c>
      <c r="K1841" s="7"/>
      <c r="L1841" s="7" t="s">
        <v>167</v>
      </c>
      <c r="M1841" s="7" t="s">
        <v>5422</v>
      </c>
      <c r="N1841" s="7" t="s">
        <v>170</v>
      </c>
      <c r="O1841" s="7" t="s">
        <v>162</v>
      </c>
      <c r="P1841" s="7" t="s">
        <v>6745</v>
      </c>
      <c r="Q1841" s="129">
        <v>46199</v>
      </c>
      <c r="R1841" s="130">
        <f t="shared" si="204"/>
        <v>46206</v>
      </c>
      <c r="S1841" s="131">
        <f t="shared" si="203"/>
        <v>7</v>
      </c>
      <c r="T1841" s="7" t="s">
        <v>210</v>
      </c>
      <c r="U1841" s="7" t="s">
        <v>300</v>
      </c>
      <c r="V1841" s="7"/>
      <c r="W1841" s="7">
        <v>61.04</v>
      </c>
      <c r="X1841" s="132">
        <f t="shared" si="201"/>
        <v>10</v>
      </c>
      <c r="Y1841" s="133"/>
      <c r="Z1841" s="133"/>
      <c r="AA1841" s="133"/>
    </row>
    <row r="1842" spans="1:27" hidden="1" x14ac:dyDescent="0.25">
      <c r="A1842" s="127">
        <v>2019</v>
      </c>
      <c r="B1842" s="128" t="str">
        <f t="shared" si="202"/>
        <v>UCQT</v>
      </c>
      <c r="C1842" s="128">
        <f>+VLOOKUP(U1842,Ходим!A:B,2,0)</f>
        <v>52107015940019</v>
      </c>
      <c r="D1842" s="128" t="str">
        <f>IFERROR(VLOOKUP($B:$B,[20]свод!$A:$AB,3,0)," ")</f>
        <v>Учқўрғон тумани</v>
      </c>
      <c r="E1842" s="7" t="s">
        <v>2978</v>
      </c>
      <c r="F1842" s="7" t="s">
        <v>9361</v>
      </c>
      <c r="G1842" s="134">
        <f t="shared" si="205"/>
        <v>1</v>
      </c>
      <c r="H1842" s="134" t="str">
        <f t="shared" si="206"/>
        <v/>
      </c>
      <c r="I1842" s="7" t="s">
        <v>158</v>
      </c>
      <c r="J1842" s="7" t="s">
        <v>2</v>
      </c>
      <c r="K1842" s="7"/>
      <c r="L1842" s="7" t="s">
        <v>167</v>
      </c>
      <c r="M1842" s="7" t="s">
        <v>5423</v>
      </c>
      <c r="N1842" s="7" t="s">
        <v>170</v>
      </c>
      <c r="O1842" s="7" t="s">
        <v>162</v>
      </c>
      <c r="P1842" s="7" t="s">
        <v>7115</v>
      </c>
      <c r="Q1842" s="129">
        <v>46199</v>
      </c>
      <c r="R1842" s="130">
        <f t="shared" si="204"/>
        <v>46202</v>
      </c>
      <c r="S1842" s="131">
        <f t="shared" si="203"/>
        <v>3</v>
      </c>
      <c r="T1842" s="7" t="s">
        <v>175</v>
      </c>
      <c r="U1842" s="7" t="s">
        <v>361</v>
      </c>
      <c r="V1842" s="7"/>
      <c r="W1842" s="7">
        <v>189.53</v>
      </c>
      <c r="X1842" s="132">
        <f t="shared" si="201"/>
        <v>10</v>
      </c>
      <c r="Y1842" s="133"/>
      <c r="Z1842" s="133"/>
      <c r="AA1842" s="133"/>
    </row>
    <row r="1843" spans="1:27" hidden="1" x14ac:dyDescent="0.25">
      <c r="A1843" s="127">
        <v>2021</v>
      </c>
      <c r="B1843" s="128" t="str">
        <f t="shared" si="202"/>
        <v>CHUT</v>
      </c>
      <c r="C1843" s="128" t="e">
        <f>+VLOOKUP(U1843,Ходим!A:B,2,0)</f>
        <v>#N/A</v>
      </c>
      <c r="D1843" s="128" t="str">
        <f>IFERROR(VLOOKUP($B:$B,[20]свод!$A:$AB,3,0)," ")</f>
        <v>Чуст тумани</v>
      </c>
      <c r="E1843" s="7" t="s">
        <v>2979</v>
      </c>
      <c r="F1843" s="7" t="s">
        <v>9362</v>
      </c>
      <c r="G1843" s="134" t="str">
        <f t="shared" si="205"/>
        <v/>
      </c>
      <c r="H1843" s="134">
        <f t="shared" si="206"/>
        <v>1</v>
      </c>
      <c r="I1843" s="7" t="s">
        <v>155</v>
      </c>
      <c r="J1843" s="7" t="s">
        <v>11</v>
      </c>
      <c r="K1843" s="7"/>
      <c r="L1843" s="7" t="s">
        <v>166</v>
      </c>
      <c r="M1843" s="7" t="s">
        <v>5424</v>
      </c>
      <c r="N1843" s="7" t="s">
        <v>410</v>
      </c>
      <c r="O1843" s="7" t="s">
        <v>161</v>
      </c>
      <c r="P1843" s="7" t="s">
        <v>7116</v>
      </c>
      <c r="Q1843" s="129">
        <v>46199</v>
      </c>
      <c r="R1843" s="130">
        <f t="shared" si="204"/>
        <v>46230</v>
      </c>
      <c r="S1843" s="131">
        <f t="shared" si="203"/>
        <v>31</v>
      </c>
      <c r="T1843" s="7"/>
      <c r="U1843" s="7"/>
      <c r="V1843" s="7"/>
      <c r="W1843" s="7">
        <v>5356.8</v>
      </c>
      <c r="X1843" s="132">
        <f t="shared" si="201"/>
        <v>22</v>
      </c>
      <c r="Y1843" s="133"/>
      <c r="Z1843" s="133"/>
      <c r="AA1843" s="133"/>
    </row>
    <row r="1844" spans="1:27" hidden="1" x14ac:dyDescent="0.25">
      <c r="A1844" s="127">
        <v>2022</v>
      </c>
      <c r="B1844" s="128" t="str">
        <f t="shared" si="202"/>
        <v>UYCT</v>
      </c>
      <c r="C1844" s="128" t="str">
        <f>+VLOOKUP(U1844,Ходим!A:B,2,0)</f>
        <v>52811025930077</v>
      </c>
      <c r="D1844" s="128" t="str">
        <f>IFERROR(VLOOKUP($B:$B,[20]свод!$A:$AB,3,0)," ")</f>
        <v>Уйчи тумани</v>
      </c>
      <c r="E1844" s="7" t="s">
        <v>2980</v>
      </c>
      <c r="F1844" s="7" t="s">
        <v>9363</v>
      </c>
      <c r="G1844" s="134" t="str">
        <f t="shared" si="205"/>
        <v/>
      </c>
      <c r="H1844" s="134">
        <f t="shared" si="206"/>
        <v>1</v>
      </c>
      <c r="I1844" s="7" t="s">
        <v>157</v>
      </c>
      <c r="J1844" s="7" t="s">
        <v>16</v>
      </c>
      <c r="K1844" s="7"/>
      <c r="L1844" s="7" t="s">
        <v>166</v>
      </c>
      <c r="M1844" s="7" t="s">
        <v>5425</v>
      </c>
      <c r="N1844" s="7" t="s">
        <v>410</v>
      </c>
      <c r="O1844" s="7" t="s">
        <v>161</v>
      </c>
      <c r="P1844" s="7" t="s">
        <v>7117</v>
      </c>
      <c r="Q1844" s="129">
        <v>46199</v>
      </c>
      <c r="R1844" s="130">
        <f t="shared" si="204"/>
        <v>46209</v>
      </c>
      <c r="S1844" s="131">
        <f t="shared" si="203"/>
        <v>10</v>
      </c>
      <c r="T1844" s="7" t="s">
        <v>947</v>
      </c>
      <c r="U1844" s="7" t="s">
        <v>356</v>
      </c>
      <c r="V1844" s="7"/>
      <c r="W1844" s="7">
        <v>101.28</v>
      </c>
      <c r="X1844" s="132">
        <f t="shared" ref="X1844:X1903" si="207">IF(N1844="Kadastr muhandisi",3,
IF(N1844="UZKAD",5,
IF(V1844="FREE",5,
IF(I1844="Registratsiya (tashqi - UZKAD da bor)",1,
IF(I1844="Avtoyo'l va suv xo'jaligi obyektining kadastr pasportini shakllantirish va ro'yxatga olish",7,
IF(I1844="Notarius uchun ma'lumotnoma (uz)",1,
IF(I1844="Qurilishi tugallangan ko'chmas mulkni foydalanishga qabul qilish",10,
IF(OR(I1844="Turar joy obyektning kadastr pasportini shakllantirish va davlat ro'yxatidan o'tkazish",I1844="Turar kompozit"),
IF(L1844="Turar yer maydoni",7,10),
IF(OR(I1844="Noturar obyektning kadastr pasportini shakllantirish va davlat ro'yxatidan o'tkazish",I1844="Noturar kompozit"),
IF(O1844="Ko‘p yillik daraxtlar xizmati",15,
IF(OR(L1844="Noturar yer maydoni",L1844="Davlat tashkilotlaridan ijaraga olingan yer uchastkasi"),7,
IF(W1844&lt;100,10,IF(W1844&lt;=1000,12,IF(W1844&lt;=5000,17,IF(W1844&lt;=15000,22,IF(W1844&lt;=50000,28,37))))))),
IF(I1844="Umumiy foydalanishdagi ko'chmas mulk qismini yaratish",
IF(IF(TRIM(L1844)="",IF(OR(O1844="Turar joy xizmati",O1844="Yakka tartibdagi turar joy"),"Turar","Noturar"),IF(OR(L1844="Yakka tartibdagi turar joy",L1844="Turar joy xizmati"),"Turar","Noturar"))="Turar",
10,IF(W1844&lt;100,10,IF(W1844&lt;=1000,12,IF(W1844&lt;=5000,17,IF(W1844&lt;=15000,22,IF(W1844&lt;=50000,28,37)))))),
0))))))))))</f>
        <v>12</v>
      </c>
      <c r="Y1844" s="133"/>
      <c r="Z1844" s="133"/>
      <c r="AA1844" s="133"/>
    </row>
    <row r="1845" spans="1:27" hidden="1" x14ac:dyDescent="0.25">
      <c r="A1845" s="127">
        <v>2023</v>
      </c>
      <c r="B1845" s="128" t="str">
        <f t="shared" ref="B1845:B1904" si="208">LEFT(E1845,4)</f>
        <v>UYCT</v>
      </c>
      <c r="C1845" s="128" t="str">
        <f>+VLOOKUP(U1845,Ходим!A:B,2,0)</f>
        <v>31101985930022</v>
      </c>
      <c r="D1845" s="128" t="str">
        <f>IFERROR(VLOOKUP($B:$B,[20]свод!$A:$AB,3,0)," ")</f>
        <v>Уйчи тумани</v>
      </c>
      <c r="E1845" s="7" t="s">
        <v>2981</v>
      </c>
      <c r="F1845" s="7" t="s">
        <v>9364</v>
      </c>
      <c r="G1845" s="134">
        <f t="shared" si="205"/>
        <v>1</v>
      </c>
      <c r="H1845" s="134" t="str">
        <f t="shared" si="206"/>
        <v/>
      </c>
      <c r="I1845" s="7" t="s">
        <v>158</v>
      </c>
      <c r="J1845" s="7" t="s">
        <v>35</v>
      </c>
      <c r="K1845" s="7"/>
      <c r="L1845" s="7" t="s">
        <v>167</v>
      </c>
      <c r="M1845" s="7" t="s">
        <v>5426</v>
      </c>
      <c r="N1845" s="7" t="s">
        <v>410</v>
      </c>
      <c r="O1845" s="7" t="s">
        <v>162</v>
      </c>
      <c r="P1845" s="7" t="s">
        <v>7118</v>
      </c>
      <c r="Q1845" s="129">
        <v>46199</v>
      </c>
      <c r="R1845" s="130">
        <f t="shared" si="204"/>
        <v>46204</v>
      </c>
      <c r="S1845" s="131">
        <f t="shared" ref="S1845:S1904" si="209">R1845-Q1845</f>
        <v>5</v>
      </c>
      <c r="T1845" s="7" t="s">
        <v>947</v>
      </c>
      <c r="U1845" s="7" t="s">
        <v>299</v>
      </c>
      <c r="V1845" s="7"/>
      <c r="W1845" s="7">
        <v>371.8</v>
      </c>
      <c r="X1845" s="132">
        <f t="shared" si="207"/>
        <v>10</v>
      </c>
      <c r="Y1845" s="133"/>
      <c r="Z1845" s="133"/>
      <c r="AA1845" s="133"/>
    </row>
    <row r="1846" spans="1:27" x14ac:dyDescent="0.25">
      <c r="A1846" s="127">
        <v>2024</v>
      </c>
      <c r="B1846" s="128" t="str">
        <f t="shared" si="208"/>
        <v>NAMS</v>
      </c>
      <c r="C1846" s="128" t="str">
        <f>+VLOOKUP(U1846,Ходим!A:B,2,0)</f>
        <v>52107015960107</v>
      </c>
      <c r="D1846" s="128" t="str">
        <f>IFERROR(VLOOKUP($B:$B,[20]свод!$A:$AB,3,0)," ")</f>
        <v>Наманган шаҳар</v>
      </c>
      <c r="E1846" s="7" t="s">
        <v>2982</v>
      </c>
      <c r="F1846" s="7" t="s">
        <v>9365</v>
      </c>
      <c r="G1846" s="134">
        <f t="shared" si="205"/>
        <v>1</v>
      </c>
      <c r="H1846" s="134" t="str">
        <f t="shared" si="206"/>
        <v/>
      </c>
      <c r="I1846" s="7" t="s">
        <v>158</v>
      </c>
      <c r="J1846" s="7" t="s">
        <v>36</v>
      </c>
      <c r="K1846" s="7"/>
      <c r="L1846" s="7" t="s">
        <v>167</v>
      </c>
      <c r="M1846" s="7" t="s">
        <v>5427</v>
      </c>
      <c r="N1846" s="7" t="s">
        <v>170</v>
      </c>
      <c r="O1846" s="7" t="s">
        <v>162</v>
      </c>
      <c r="P1846" s="7" t="s">
        <v>6655</v>
      </c>
      <c r="Q1846" s="129">
        <v>46199</v>
      </c>
      <c r="R1846" s="130">
        <f t="shared" si="204"/>
        <v>46199</v>
      </c>
      <c r="S1846" s="131">
        <f t="shared" si="209"/>
        <v>0</v>
      </c>
      <c r="T1846" s="7" t="s">
        <v>173</v>
      </c>
      <c r="U1846" s="7" t="s">
        <v>348</v>
      </c>
      <c r="V1846" s="7"/>
      <c r="W1846" s="7">
        <v>404.79</v>
      </c>
      <c r="X1846" s="132">
        <f t="shared" si="207"/>
        <v>10</v>
      </c>
      <c r="Y1846" s="133"/>
      <c r="Z1846" s="133"/>
      <c r="AA1846" s="133"/>
    </row>
    <row r="1847" spans="1:27" hidden="1" x14ac:dyDescent="0.25">
      <c r="A1847" s="127">
        <v>2025</v>
      </c>
      <c r="B1847" s="128" t="str">
        <f t="shared" si="208"/>
        <v>CHUT</v>
      </c>
      <c r="C1847" s="128" t="str">
        <f>+VLOOKUP(U1847,Ходим!A:B,2,0)</f>
        <v>32304995970021</v>
      </c>
      <c r="D1847" s="128" t="str">
        <f>IFERROR(VLOOKUP($B:$B,[20]свод!$A:$AB,3,0)," ")</f>
        <v>Чуст тумани</v>
      </c>
      <c r="E1847" s="7" t="s">
        <v>2983</v>
      </c>
      <c r="F1847" s="7" t="s">
        <v>9366</v>
      </c>
      <c r="G1847" s="134" t="str">
        <f t="shared" si="205"/>
        <v/>
      </c>
      <c r="H1847" s="134">
        <f t="shared" si="206"/>
        <v>1</v>
      </c>
      <c r="I1847" s="7" t="s">
        <v>155</v>
      </c>
      <c r="J1847" s="7" t="s">
        <v>11</v>
      </c>
      <c r="K1847" s="7"/>
      <c r="L1847" s="7" t="s">
        <v>168</v>
      </c>
      <c r="M1847" s="7" t="s">
        <v>5428</v>
      </c>
      <c r="N1847" s="7" t="s">
        <v>410</v>
      </c>
      <c r="O1847" s="7" t="s">
        <v>161</v>
      </c>
      <c r="P1847" s="7" t="s">
        <v>6586</v>
      </c>
      <c r="Q1847" s="129">
        <v>46199</v>
      </c>
      <c r="R1847" s="130">
        <f t="shared" si="204"/>
        <v>46205</v>
      </c>
      <c r="S1847" s="131">
        <f t="shared" si="209"/>
        <v>6</v>
      </c>
      <c r="T1847" s="7" t="s">
        <v>178</v>
      </c>
      <c r="U1847" s="7" t="s">
        <v>938</v>
      </c>
      <c r="V1847" s="7"/>
      <c r="W1847" s="7">
        <v>0</v>
      </c>
      <c r="X1847" s="132">
        <f t="shared" si="207"/>
        <v>7</v>
      </c>
      <c r="Y1847" s="133"/>
      <c r="Z1847" s="133"/>
      <c r="AA1847" s="133"/>
    </row>
    <row r="1848" spans="1:27" hidden="1" x14ac:dyDescent="0.25">
      <c r="A1848" s="127">
        <v>2027</v>
      </c>
      <c r="B1848" s="128" t="str">
        <f t="shared" si="208"/>
        <v>CHUT</v>
      </c>
      <c r="C1848" s="128" t="str">
        <f>+VLOOKUP(U1848,Ходим!A:B,2,0)</f>
        <v>31312912180061</v>
      </c>
      <c r="D1848" s="128" t="str">
        <f>IFERROR(VLOOKUP($B:$B,[20]свод!$A:$AB,3,0)," ")</f>
        <v>Чуст тумани</v>
      </c>
      <c r="E1848" s="7" t="s">
        <v>2984</v>
      </c>
      <c r="F1848" s="7" t="s">
        <v>9367</v>
      </c>
      <c r="G1848" s="134">
        <f t="shared" si="205"/>
        <v>1</v>
      </c>
      <c r="H1848" s="134" t="str">
        <f t="shared" si="206"/>
        <v/>
      </c>
      <c r="I1848" s="7" t="s">
        <v>158</v>
      </c>
      <c r="J1848" s="7" t="s">
        <v>1</v>
      </c>
      <c r="K1848" s="7"/>
      <c r="L1848" s="7" t="s">
        <v>167</v>
      </c>
      <c r="M1848" s="7" t="s">
        <v>5429</v>
      </c>
      <c r="N1848" s="7" t="s">
        <v>170</v>
      </c>
      <c r="O1848" s="7" t="s">
        <v>162</v>
      </c>
      <c r="P1848" s="7" t="s">
        <v>7073</v>
      </c>
      <c r="Q1848" s="129">
        <v>46199</v>
      </c>
      <c r="R1848" s="130">
        <f t="shared" si="204"/>
        <v>46202</v>
      </c>
      <c r="S1848" s="131">
        <f t="shared" si="209"/>
        <v>3</v>
      </c>
      <c r="T1848" s="7" t="s">
        <v>178</v>
      </c>
      <c r="U1848" s="7" t="s">
        <v>202</v>
      </c>
      <c r="V1848" s="7"/>
      <c r="W1848" s="7">
        <v>267.24</v>
      </c>
      <c r="X1848" s="132">
        <f t="shared" si="207"/>
        <v>10</v>
      </c>
      <c r="Y1848" s="133"/>
      <c r="Z1848" s="133"/>
      <c r="AA1848" s="133"/>
    </row>
    <row r="1849" spans="1:27" hidden="1" x14ac:dyDescent="0.25">
      <c r="A1849" s="127">
        <v>2028</v>
      </c>
      <c r="B1849" s="128" t="str">
        <f t="shared" si="208"/>
        <v>UYCT</v>
      </c>
      <c r="C1849" s="128" t="str">
        <f>+VLOOKUP(U1849,Ходим!A:B,2,0)</f>
        <v>30309975930028</v>
      </c>
      <c r="D1849" s="128" t="str">
        <f>IFERROR(VLOOKUP($B:$B,[20]свод!$A:$AB,3,0)," ")</f>
        <v>Уйчи тумани</v>
      </c>
      <c r="E1849" s="7" t="s">
        <v>2985</v>
      </c>
      <c r="F1849" s="7"/>
      <c r="G1849" s="134">
        <f t="shared" si="205"/>
        <v>1</v>
      </c>
      <c r="H1849" s="134" t="str">
        <f t="shared" si="206"/>
        <v/>
      </c>
      <c r="I1849" s="7" t="s">
        <v>154</v>
      </c>
      <c r="J1849" s="7" t="s">
        <v>134</v>
      </c>
      <c r="K1849" s="7"/>
      <c r="L1849" s="7" t="s">
        <v>167</v>
      </c>
      <c r="M1849" s="7" t="s">
        <v>5430</v>
      </c>
      <c r="N1849" s="7" t="s">
        <v>368</v>
      </c>
      <c r="O1849" s="7"/>
      <c r="P1849" s="7" t="s">
        <v>6700</v>
      </c>
      <c r="Q1849" s="129">
        <v>46199</v>
      </c>
      <c r="R1849" s="130">
        <f t="shared" si="204"/>
        <v>46205</v>
      </c>
      <c r="S1849" s="131">
        <f t="shared" si="209"/>
        <v>6</v>
      </c>
      <c r="T1849" s="7"/>
      <c r="U1849" s="7" t="s">
        <v>261</v>
      </c>
      <c r="V1849" s="7"/>
      <c r="W1849" s="7">
        <v>185.05</v>
      </c>
      <c r="X1849" s="132">
        <f t="shared" si="207"/>
        <v>5</v>
      </c>
      <c r="Y1849" s="133"/>
      <c r="Z1849" s="133"/>
      <c r="AA1849" s="133"/>
    </row>
    <row r="1850" spans="1:27" hidden="1" x14ac:dyDescent="0.25">
      <c r="A1850" s="127">
        <v>2029</v>
      </c>
      <c r="B1850" s="128" t="str">
        <f t="shared" si="208"/>
        <v>CHUT</v>
      </c>
      <c r="C1850" s="128" t="str">
        <f>+VLOOKUP(U1850,Ходим!A:B,2,0)</f>
        <v>32511965970037</v>
      </c>
      <c r="D1850" s="128" t="str">
        <f>IFERROR(VLOOKUP($B:$B,[20]свод!$A:$AB,3,0)," ")</f>
        <v>Чуст тумани</v>
      </c>
      <c r="E1850" s="7" t="s">
        <v>2986</v>
      </c>
      <c r="F1850" s="7" t="s">
        <v>9368</v>
      </c>
      <c r="G1850" s="134" t="str">
        <f t="shared" si="205"/>
        <v/>
      </c>
      <c r="H1850" s="134">
        <f t="shared" si="206"/>
        <v>1</v>
      </c>
      <c r="I1850" s="7" t="s">
        <v>155</v>
      </c>
      <c r="J1850" s="7" t="s">
        <v>22</v>
      </c>
      <c r="K1850" s="7"/>
      <c r="L1850" s="7" t="s">
        <v>168</v>
      </c>
      <c r="M1850" s="7" t="s">
        <v>5431</v>
      </c>
      <c r="N1850" s="7" t="s">
        <v>410</v>
      </c>
      <c r="O1850" s="7" t="s">
        <v>161</v>
      </c>
      <c r="P1850" s="7" t="s">
        <v>6918</v>
      </c>
      <c r="Q1850" s="129">
        <v>46199</v>
      </c>
      <c r="R1850" s="130">
        <f t="shared" si="204"/>
        <v>46209</v>
      </c>
      <c r="S1850" s="131">
        <f t="shared" si="209"/>
        <v>10</v>
      </c>
      <c r="T1850" s="7" t="s">
        <v>178</v>
      </c>
      <c r="U1850" s="7" t="s">
        <v>351</v>
      </c>
      <c r="V1850" s="7"/>
      <c r="W1850" s="7">
        <v>0</v>
      </c>
      <c r="X1850" s="132">
        <f t="shared" si="207"/>
        <v>7</v>
      </c>
      <c r="Y1850" s="133"/>
      <c r="Z1850" s="133"/>
      <c r="AA1850" s="133"/>
    </row>
    <row r="1851" spans="1:27" hidden="1" x14ac:dyDescent="0.25">
      <c r="A1851" s="127">
        <v>2030</v>
      </c>
      <c r="B1851" s="128" t="str">
        <f t="shared" si="208"/>
        <v>KSST</v>
      </c>
      <c r="C1851" s="128" t="str">
        <f>+VLOOKUP(U1851,Ходим!A:B,2,0)</f>
        <v>30411985980017</v>
      </c>
      <c r="D1851" s="128" t="str">
        <f>IFERROR(VLOOKUP($B:$B,[20]свод!$A:$AB,3,0)," ")</f>
        <v>Косонсой тумани</v>
      </c>
      <c r="E1851" s="7" t="s">
        <v>2987</v>
      </c>
      <c r="F1851" s="7" t="s">
        <v>9369</v>
      </c>
      <c r="G1851" s="134">
        <f t="shared" si="205"/>
        <v>1</v>
      </c>
      <c r="H1851" s="134" t="str">
        <f t="shared" si="206"/>
        <v/>
      </c>
      <c r="I1851" s="7" t="s">
        <v>158</v>
      </c>
      <c r="J1851" s="7" t="s">
        <v>2</v>
      </c>
      <c r="K1851" s="7"/>
      <c r="L1851" s="7" t="s">
        <v>167</v>
      </c>
      <c r="M1851" s="7" t="s">
        <v>5432</v>
      </c>
      <c r="N1851" s="7" t="s">
        <v>170</v>
      </c>
      <c r="O1851" s="7" t="s">
        <v>162</v>
      </c>
      <c r="P1851" s="7" t="s">
        <v>6920</v>
      </c>
      <c r="Q1851" s="129">
        <v>46199</v>
      </c>
      <c r="R1851" s="130">
        <f t="shared" si="204"/>
        <v>46202</v>
      </c>
      <c r="S1851" s="131">
        <f t="shared" si="209"/>
        <v>3</v>
      </c>
      <c r="T1851" s="7" t="s">
        <v>180</v>
      </c>
      <c r="U1851" s="7" t="s">
        <v>360</v>
      </c>
      <c r="V1851" s="7"/>
      <c r="W1851" s="7">
        <v>274.60000000000002</v>
      </c>
      <c r="X1851" s="132">
        <f t="shared" si="207"/>
        <v>10</v>
      </c>
      <c r="Y1851" s="133"/>
      <c r="Z1851" s="133"/>
      <c r="AA1851" s="133"/>
    </row>
    <row r="1852" spans="1:27" hidden="1" x14ac:dyDescent="0.25">
      <c r="A1852" s="127">
        <v>2031</v>
      </c>
      <c r="B1852" s="128" t="str">
        <f t="shared" si="208"/>
        <v>UYCT</v>
      </c>
      <c r="C1852" s="128" t="str">
        <f>+VLOOKUP(U1852,Ходим!A:B,2,0)</f>
        <v>52811025930077</v>
      </c>
      <c r="D1852" s="128" t="str">
        <f>IFERROR(VLOOKUP($B:$B,[20]свод!$A:$AB,3,0)," ")</f>
        <v>Уйчи тумани</v>
      </c>
      <c r="E1852" s="7" t="s">
        <v>2988</v>
      </c>
      <c r="F1852" s="7" t="s">
        <v>9370</v>
      </c>
      <c r="G1852" s="134">
        <f t="shared" si="205"/>
        <v>1</v>
      </c>
      <c r="H1852" s="134" t="str">
        <f t="shared" si="206"/>
        <v/>
      </c>
      <c r="I1852" s="7" t="s">
        <v>158</v>
      </c>
      <c r="J1852" s="7" t="s">
        <v>1</v>
      </c>
      <c r="K1852" s="7"/>
      <c r="L1852" s="7" t="s">
        <v>167</v>
      </c>
      <c r="M1852" s="7" t="s">
        <v>5433</v>
      </c>
      <c r="N1852" s="7" t="s">
        <v>170</v>
      </c>
      <c r="O1852" s="7" t="s">
        <v>162</v>
      </c>
      <c r="P1852" s="7" t="s">
        <v>6876</v>
      </c>
      <c r="Q1852" s="129">
        <v>46199</v>
      </c>
      <c r="R1852" s="130">
        <f t="shared" si="204"/>
        <v>46204</v>
      </c>
      <c r="S1852" s="131">
        <f t="shared" si="209"/>
        <v>5</v>
      </c>
      <c r="T1852" s="7" t="s">
        <v>947</v>
      </c>
      <c r="U1852" s="7" t="s">
        <v>356</v>
      </c>
      <c r="V1852" s="7"/>
      <c r="W1852" s="7">
        <v>307.89999999999998</v>
      </c>
      <c r="X1852" s="132">
        <f t="shared" si="207"/>
        <v>10</v>
      </c>
      <c r="Y1852" s="133"/>
      <c r="Z1852" s="133"/>
      <c r="AA1852" s="133"/>
    </row>
    <row r="1853" spans="1:27" hidden="1" x14ac:dyDescent="0.25">
      <c r="A1853" s="127">
        <v>2032</v>
      </c>
      <c r="B1853" s="128" t="str">
        <f t="shared" si="208"/>
        <v>CHUT</v>
      </c>
      <c r="C1853" s="128" t="str">
        <f>+VLOOKUP(U1853,Ходим!A:B,2,0)</f>
        <v>31312912180061</v>
      </c>
      <c r="D1853" s="128" t="str">
        <f>IFERROR(VLOOKUP($B:$B,[20]свод!$A:$AB,3,0)," ")</f>
        <v>Чуст тумани</v>
      </c>
      <c r="E1853" s="7" t="s">
        <v>2989</v>
      </c>
      <c r="F1853" s="7" t="s">
        <v>9371</v>
      </c>
      <c r="G1853" s="134">
        <f t="shared" si="205"/>
        <v>1</v>
      </c>
      <c r="H1853" s="134" t="str">
        <f t="shared" si="206"/>
        <v/>
      </c>
      <c r="I1853" s="7" t="s">
        <v>158</v>
      </c>
      <c r="J1853" s="7" t="s">
        <v>1</v>
      </c>
      <c r="K1853" s="7"/>
      <c r="L1853" s="7" t="s">
        <v>167</v>
      </c>
      <c r="M1853" s="7" t="s">
        <v>5434</v>
      </c>
      <c r="N1853" s="7" t="s">
        <v>170</v>
      </c>
      <c r="O1853" s="7" t="s">
        <v>162</v>
      </c>
      <c r="P1853" s="7" t="s">
        <v>7075</v>
      </c>
      <c r="Q1853" s="129">
        <v>46199</v>
      </c>
      <c r="R1853" s="130">
        <f t="shared" si="204"/>
        <v>46202</v>
      </c>
      <c r="S1853" s="131">
        <f t="shared" si="209"/>
        <v>3</v>
      </c>
      <c r="T1853" s="7" t="s">
        <v>178</v>
      </c>
      <c r="U1853" s="7" t="s">
        <v>202</v>
      </c>
      <c r="V1853" s="7"/>
      <c r="W1853" s="7">
        <v>266.27</v>
      </c>
      <c r="X1853" s="132">
        <f t="shared" si="207"/>
        <v>10</v>
      </c>
      <c r="Y1853" s="133"/>
      <c r="Z1853" s="133"/>
      <c r="AA1853" s="133"/>
    </row>
    <row r="1854" spans="1:27" hidden="1" x14ac:dyDescent="0.25">
      <c r="A1854" s="127">
        <v>2034</v>
      </c>
      <c r="B1854" s="128" t="str">
        <f t="shared" si="208"/>
        <v>CHOT</v>
      </c>
      <c r="C1854" s="128" t="str">
        <f>+VLOOKUP(U1854,Ходим!A:B,2,0)</f>
        <v>30510945890013</v>
      </c>
      <c r="D1854" s="128" t="str">
        <f>IFERROR(VLOOKUP($B:$B,[20]свод!$A:$AB,3,0)," ")</f>
        <v>Чортоқ тумани</v>
      </c>
      <c r="E1854" s="7" t="s">
        <v>2990</v>
      </c>
      <c r="F1854" s="7" t="s">
        <v>9372</v>
      </c>
      <c r="G1854" s="134" t="str">
        <f t="shared" si="205"/>
        <v/>
      </c>
      <c r="H1854" s="134">
        <f t="shared" si="206"/>
        <v>1</v>
      </c>
      <c r="I1854" s="7" t="s">
        <v>157</v>
      </c>
      <c r="J1854" s="7" t="s">
        <v>1</v>
      </c>
      <c r="K1854" s="7"/>
      <c r="L1854" s="7" t="s">
        <v>168</v>
      </c>
      <c r="M1854" s="7" t="s">
        <v>5435</v>
      </c>
      <c r="N1854" s="7" t="s">
        <v>410</v>
      </c>
      <c r="O1854" s="7" t="s">
        <v>161</v>
      </c>
      <c r="P1854" s="7" t="s">
        <v>6680</v>
      </c>
      <c r="Q1854" s="129">
        <v>46199</v>
      </c>
      <c r="R1854" s="130">
        <f t="shared" si="204"/>
        <v>46209</v>
      </c>
      <c r="S1854" s="131">
        <f t="shared" si="209"/>
        <v>10</v>
      </c>
      <c r="T1854" s="7" t="s">
        <v>10635</v>
      </c>
      <c r="U1854" s="7" t="s">
        <v>185</v>
      </c>
      <c r="V1854" s="7"/>
      <c r="W1854" s="7">
        <v>0</v>
      </c>
      <c r="X1854" s="132">
        <f t="shared" si="207"/>
        <v>7</v>
      </c>
      <c r="Y1854" s="133"/>
      <c r="Z1854" s="133"/>
      <c r="AA1854" s="133"/>
    </row>
    <row r="1855" spans="1:27" hidden="1" x14ac:dyDescent="0.25">
      <c r="A1855" s="127">
        <v>2035</v>
      </c>
      <c r="B1855" s="128" t="str">
        <f t="shared" si="208"/>
        <v>NAMS</v>
      </c>
      <c r="C1855" s="128" t="str">
        <f>+VLOOKUP(U1855,Ходим!A:B,2,0)</f>
        <v>32211885960016</v>
      </c>
      <c r="D1855" s="128" t="str">
        <f>IFERROR(VLOOKUP($B:$B,[20]свод!$A:$AB,3,0)," ")</f>
        <v>Наманган шаҳар</v>
      </c>
      <c r="E1855" s="7" t="s">
        <v>2991</v>
      </c>
      <c r="F1855" s="7" t="s">
        <v>9373</v>
      </c>
      <c r="G1855" s="134" t="str">
        <f t="shared" si="205"/>
        <v/>
      </c>
      <c r="H1855" s="134">
        <f t="shared" si="206"/>
        <v>1</v>
      </c>
      <c r="I1855" s="7" t="s">
        <v>154</v>
      </c>
      <c r="J1855" s="7" t="s">
        <v>9</v>
      </c>
      <c r="K1855" s="7"/>
      <c r="L1855" s="7" t="s">
        <v>166</v>
      </c>
      <c r="M1855" s="7" t="s">
        <v>5436</v>
      </c>
      <c r="N1855" s="7" t="s">
        <v>410</v>
      </c>
      <c r="O1855" s="7" t="s">
        <v>161</v>
      </c>
      <c r="P1855" s="7" t="s">
        <v>7119</v>
      </c>
      <c r="Q1855" s="129">
        <v>46199</v>
      </c>
      <c r="R1855" s="130">
        <f t="shared" si="204"/>
        <v>46205</v>
      </c>
      <c r="S1855" s="131">
        <f t="shared" si="209"/>
        <v>6</v>
      </c>
      <c r="T1855" s="7" t="s">
        <v>983</v>
      </c>
      <c r="U1855" s="7" t="s">
        <v>279</v>
      </c>
      <c r="V1855" s="7" t="s">
        <v>965</v>
      </c>
      <c r="W1855" s="7">
        <v>2428.6999999999998</v>
      </c>
      <c r="X1855" s="132">
        <f t="shared" si="207"/>
        <v>5</v>
      </c>
      <c r="Y1855" s="133"/>
      <c r="Z1855" s="133"/>
      <c r="AA1855" s="133"/>
    </row>
    <row r="1856" spans="1:27" hidden="1" x14ac:dyDescent="0.25">
      <c r="A1856" s="127">
        <v>2037</v>
      </c>
      <c r="B1856" s="128" t="str">
        <f t="shared" si="208"/>
        <v>UYCT</v>
      </c>
      <c r="C1856" s="128" t="str">
        <f>+VLOOKUP(U1856,Ходим!A:B,2,0)</f>
        <v>31310995930032</v>
      </c>
      <c r="D1856" s="128" t="str">
        <f>IFERROR(VLOOKUP($B:$B,[20]свод!$A:$AB,3,0)," ")</f>
        <v>Уйчи тумани</v>
      </c>
      <c r="E1856" s="7" t="s">
        <v>2992</v>
      </c>
      <c r="F1856" s="7" t="s">
        <v>9374</v>
      </c>
      <c r="G1856" s="134" t="str">
        <f t="shared" si="205"/>
        <v/>
      </c>
      <c r="H1856" s="134">
        <f t="shared" si="206"/>
        <v>1</v>
      </c>
      <c r="I1856" s="7" t="s">
        <v>157</v>
      </c>
      <c r="J1856" s="7" t="s">
        <v>1</v>
      </c>
      <c r="K1856" s="7"/>
      <c r="L1856" s="7" t="s">
        <v>166</v>
      </c>
      <c r="M1856" s="7" t="s">
        <v>1031</v>
      </c>
      <c r="N1856" s="7" t="s">
        <v>170</v>
      </c>
      <c r="O1856" s="7" t="s">
        <v>165</v>
      </c>
      <c r="P1856" s="7" t="s">
        <v>7078</v>
      </c>
      <c r="Q1856" s="129">
        <v>46199</v>
      </c>
      <c r="R1856" s="130">
        <f t="shared" si="204"/>
        <v>46209</v>
      </c>
      <c r="S1856" s="131">
        <f t="shared" si="209"/>
        <v>10</v>
      </c>
      <c r="T1856" s="7" t="s">
        <v>947</v>
      </c>
      <c r="U1856" s="7" t="s">
        <v>399</v>
      </c>
      <c r="V1856" s="7"/>
      <c r="W1856" s="7">
        <v>0</v>
      </c>
      <c r="X1856" s="132">
        <f t="shared" si="207"/>
        <v>15</v>
      </c>
      <c r="Y1856" s="133"/>
      <c r="Z1856" s="133"/>
      <c r="AA1856" s="133"/>
    </row>
    <row r="1857" spans="1:27" x14ac:dyDescent="0.25">
      <c r="A1857" s="127">
        <v>2038</v>
      </c>
      <c r="B1857" s="128" t="str">
        <f t="shared" si="208"/>
        <v>CHOT</v>
      </c>
      <c r="C1857" s="128" t="str">
        <f>+VLOOKUP(U1857,Ходим!A:B,2,0)</f>
        <v>30510945890013</v>
      </c>
      <c r="D1857" s="128" t="str">
        <f>IFERROR(VLOOKUP($B:$B,[20]свод!$A:$AB,3,0)," ")</f>
        <v>Чортоқ тумани</v>
      </c>
      <c r="E1857" s="7" t="s">
        <v>2993</v>
      </c>
      <c r="F1857" s="7" t="s">
        <v>9375</v>
      </c>
      <c r="G1857" s="134" t="str">
        <f t="shared" si="205"/>
        <v/>
      </c>
      <c r="H1857" s="134">
        <f t="shared" si="206"/>
        <v>1</v>
      </c>
      <c r="I1857" s="7" t="s">
        <v>157</v>
      </c>
      <c r="J1857" s="7" t="s">
        <v>1</v>
      </c>
      <c r="K1857" s="7"/>
      <c r="L1857" s="7" t="s">
        <v>168</v>
      </c>
      <c r="M1857" s="7" t="s">
        <v>5437</v>
      </c>
      <c r="N1857" s="7" t="s">
        <v>170</v>
      </c>
      <c r="O1857" s="7" t="s">
        <v>161</v>
      </c>
      <c r="P1857" s="7" t="s">
        <v>7120</v>
      </c>
      <c r="Q1857" s="129">
        <v>46199</v>
      </c>
      <c r="R1857" s="130">
        <f t="shared" si="204"/>
        <v>46199</v>
      </c>
      <c r="S1857" s="131">
        <f t="shared" si="209"/>
        <v>0</v>
      </c>
      <c r="T1857" s="7" t="s">
        <v>10635</v>
      </c>
      <c r="U1857" s="7" t="s">
        <v>185</v>
      </c>
      <c r="V1857" s="7"/>
      <c r="W1857" s="7">
        <v>0</v>
      </c>
      <c r="X1857" s="132">
        <f t="shared" si="207"/>
        <v>7</v>
      </c>
      <c r="Y1857" s="133"/>
      <c r="Z1857" s="133"/>
      <c r="AA1857" s="133"/>
    </row>
    <row r="1858" spans="1:27" hidden="1" x14ac:dyDescent="0.25">
      <c r="A1858" s="127">
        <v>2039</v>
      </c>
      <c r="B1858" s="128" t="str">
        <f t="shared" si="208"/>
        <v>MINT</v>
      </c>
      <c r="C1858" s="128" t="str">
        <f>+VLOOKUP(U1858,Ходим!A:B,2,0)</f>
        <v>53110035990017</v>
      </c>
      <c r="D1858" s="128" t="str">
        <f>IFERROR(VLOOKUP($B:$B,[20]свод!$A:$AB,3,0)," ")</f>
        <v>Мингбулоқ тумани</v>
      </c>
      <c r="E1858" s="7" t="s">
        <v>2994</v>
      </c>
      <c r="F1858" s="7" t="s">
        <v>9376</v>
      </c>
      <c r="G1858" s="134">
        <f t="shared" si="205"/>
        <v>1</v>
      </c>
      <c r="H1858" s="134" t="str">
        <f t="shared" si="206"/>
        <v/>
      </c>
      <c r="I1858" s="7" t="s">
        <v>158</v>
      </c>
      <c r="J1858" s="7" t="s">
        <v>134</v>
      </c>
      <c r="K1858" s="7"/>
      <c r="L1858" s="7"/>
      <c r="M1858" s="7"/>
      <c r="N1858" s="7" t="s">
        <v>410</v>
      </c>
      <c r="O1858" s="7" t="s">
        <v>162</v>
      </c>
      <c r="P1858" s="7" t="s">
        <v>7121</v>
      </c>
      <c r="Q1858" s="129">
        <v>46199</v>
      </c>
      <c r="R1858" s="130">
        <f t="shared" si="204"/>
        <v>46202</v>
      </c>
      <c r="S1858" s="131">
        <f t="shared" si="209"/>
        <v>3</v>
      </c>
      <c r="T1858" s="7" t="s">
        <v>220</v>
      </c>
      <c r="U1858" s="7" t="s">
        <v>372</v>
      </c>
      <c r="V1858" s="7"/>
      <c r="W1858" s="7"/>
      <c r="X1858" s="132">
        <f t="shared" si="207"/>
        <v>10</v>
      </c>
      <c r="Y1858" s="133"/>
      <c r="Z1858" s="133"/>
      <c r="AA1858" s="133"/>
    </row>
    <row r="1859" spans="1:27" hidden="1" x14ac:dyDescent="0.25">
      <c r="A1859" s="127">
        <v>2040</v>
      </c>
      <c r="B1859" s="128" t="str">
        <f t="shared" si="208"/>
        <v>NAMS</v>
      </c>
      <c r="C1859" s="128" t="str">
        <f>+VLOOKUP(U1859,Ходим!A:B,2,0)</f>
        <v>31312985950011</v>
      </c>
      <c r="D1859" s="128" t="str">
        <f>IFERROR(VLOOKUP($B:$B,[20]свод!$A:$AB,3,0)," ")</f>
        <v>Наманган шаҳар</v>
      </c>
      <c r="E1859" s="7" t="s">
        <v>2995</v>
      </c>
      <c r="F1859" s="7" t="s">
        <v>9377</v>
      </c>
      <c r="G1859" s="134" t="str">
        <f t="shared" si="205"/>
        <v/>
      </c>
      <c r="H1859" s="134">
        <f t="shared" si="206"/>
        <v>1</v>
      </c>
      <c r="I1859" s="7" t="s">
        <v>157</v>
      </c>
      <c r="J1859" s="7" t="s">
        <v>2</v>
      </c>
      <c r="K1859" s="7"/>
      <c r="L1859" s="7"/>
      <c r="M1859" s="7"/>
      <c r="N1859" s="7" t="s">
        <v>170</v>
      </c>
      <c r="O1859" s="7" t="s">
        <v>161</v>
      </c>
      <c r="P1859" s="7" t="s">
        <v>7122</v>
      </c>
      <c r="Q1859" s="129">
        <v>46199</v>
      </c>
      <c r="R1859" s="130">
        <f t="shared" si="204"/>
        <v>46209</v>
      </c>
      <c r="S1859" s="131">
        <f t="shared" si="209"/>
        <v>10</v>
      </c>
      <c r="T1859" s="7" t="s">
        <v>173</v>
      </c>
      <c r="U1859" s="7" t="s">
        <v>303</v>
      </c>
      <c r="V1859" s="7"/>
      <c r="W1859" s="7"/>
      <c r="X1859" s="132">
        <f t="shared" si="207"/>
        <v>10</v>
      </c>
      <c r="Y1859" s="133"/>
      <c r="Z1859" s="133"/>
      <c r="AA1859" s="133"/>
    </row>
    <row r="1860" spans="1:27" hidden="1" x14ac:dyDescent="0.25">
      <c r="A1860" s="127">
        <v>2041</v>
      </c>
      <c r="B1860" s="128" t="str">
        <f t="shared" si="208"/>
        <v>TORT</v>
      </c>
      <c r="C1860" s="128" t="str">
        <f>+VLOOKUP(U1860,Ходим!A:B,2,0)</f>
        <v>31110892130070</v>
      </c>
      <c r="D1860" s="128" t="str">
        <f>IFERROR(VLOOKUP($B:$B,[20]свод!$A:$AB,3,0)," ")</f>
        <v>Тўрақўрғон тумани</v>
      </c>
      <c r="E1860" s="7" t="s">
        <v>2996</v>
      </c>
      <c r="F1860" s="7" t="s">
        <v>9378</v>
      </c>
      <c r="G1860" s="134" t="str">
        <f t="shared" si="205"/>
        <v/>
      </c>
      <c r="H1860" s="134">
        <f t="shared" si="206"/>
        <v>1</v>
      </c>
      <c r="I1860" s="7" t="s">
        <v>157</v>
      </c>
      <c r="J1860" s="7" t="s">
        <v>1137</v>
      </c>
      <c r="K1860" s="7"/>
      <c r="L1860" s="7" t="s">
        <v>166</v>
      </c>
      <c r="M1860" s="7" t="s">
        <v>5438</v>
      </c>
      <c r="N1860" s="7" t="s">
        <v>410</v>
      </c>
      <c r="O1860" s="7" t="s">
        <v>163</v>
      </c>
      <c r="P1860" s="7" t="s">
        <v>6752</v>
      </c>
      <c r="Q1860" s="129">
        <v>46199</v>
      </c>
      <c r="R1860" s="130">
        <f t="shared" si="204"/>
        <v>46205</v>
      </c>
      <c r="S1860" s="131">
        <f t="shared" si="209"/>
        <v>6</v>
      </c>
      <c r="T1860" s="7" t="s">
        <v>203</v>
      </c>
      <c r="U1860" s="7" t="s">
        <v>297</v>
      </c>
      <c r="V1860" s="7" t="s">
        <v>965</v>
      </c>
      <c r="W1860" s="7">
        <v>708</v>
      </c>
      <c r="X1860" s="132">
        <f t="shared" si="207"/>
        <v>5</v>
      </c>
      <c r="Y1860" s="133"/>
      <c r="Z1860" s="133"/>
      <c r="AA1860" s="133"/>
    </row>
    <row r="1861" spans="1:27" hidden="1" x14ac:dyDescent="0.25">
      <c r="A1861" s="127">
        <v>2042</v>
      </c>
      <c r="B1861" s="128" t="str">
        <f t="shared" si="208"/>
        <v>TORT</v>
      </c>
      <c r="C1861" s="128" t="str">
        <f>+VLOOKUP(U1861,Ходим!A:B,2,0)</f>
        <v>30702995920011</v>
      </c>
      <c r="D1861" s="128" t="str">
        <f>IFERROR(VLOOKUP($B:$B,[20]свод!$A:$AB,3,0)," ")</f>
        <v>Тўрақўрғон тумани</v>
      </c>
      <c r="E1861" s="7" t="s">
        <v>2997</v>
      </c>
      <c r="F1861" s="7" t="s">
        <v>9379</v>
      </c>
      <c r="G1861" s="134">
        <f t="shared" si="205"/>
        <v>1</v>
      </c>
      <c r="H1861" s="134" t="str">
        <f t="shared" si="206"/>
        <v/>
      </c>
      <c r="I1861" s="7" t="s">
        <v>158</v>
      </c>
      <c r="J1861" s="7" t="s">
        <v>84</v>
      </c>
      <c r="K1861" s="7"/>
      <c r="L1861" s="7" t="s">
        <v>167</v>
      </c>
      <c r="M1861" s="7" t="s">
        <v>5439</v>
      </c>
      <c r="N1861" s="7" t="s">
        <v>170</v>
      </c>
      <c r="O1861" s="7" t="s">
        <v>162</v>
      </c>
      <c r="P1861" s="7" t="s">
        <v>7030</v>
      </c>
      <c r="Q1861" s="129">
        <v>46199</v>
      </c>
      <c r="R1861" s="130">
        <f t="shared" si="204"/>
        <v>46202</v>
      </c>
      <c r="S1861" s="131">
        <f t="shared" si="209"/>
        <v>3</v>
      </c>
      <c r="T1861" s="7" t="s">
        <v>203</v>
      </c>
      <c r="U1861" s="7" t="s">
        <v>341</v>
      </c>
      <c r="V1861" s="7"/>
      <c r="W1861" s="7">
        <v>332.81</v>
      </c>
      <c r="X1861" s="132">
        <f t="shared" si="207"/>
        <v>10</v>
      </c>
      <c r="Y1861" s="133"/>
      <c r="Z1861" s="133"/>
      <c r="AA1861" s="133"/>
    </row>
    <row r="1862" spans="1:27" hidden="1" x14ac:dyDescent="0.25">
      <c r="A1862" s="127">
        <v>2043</v>
      </c>
      <c r="B1862" s="128" t="str">
        <f t="shared" si="208"/>
        <v>TORT</v>
      </c>
      <c r="C1862" s="128" t="str">
        <f>+VLOOKUP(U1862,Ходим!A:B,2,0)</f>
        <v>40302922130046</v>
      </c>
      <c r="D1862" s="128" t="str">
        <f>IFERROR(VLOOKUP($B:$B,[20]свод!$A:$AB,3,0)," ")</f>
        <v>Тўрақўрғон тумани</v>
      </c>
      <c r="E1862" s="7" t="s">
        <v>2998</v>
      </c>
      <c r="F1862" s="7" t="s">
        <v>9380</v>
      </c>
      <c r="G1862" s="134">
        <f t="shared" si="205"/>
        <v>1</v>
      </c>
      <c r="H1862" s="134" t="str">
        <f t="shared" si="206"/>
        <v/>
      </c>
      <c r="I1862" s="7" t="s">
        <v>158</v>
      </c>
      <c r="J1862" s="7" t="s">
        <v>2</v>
      </c>
      <c r="K1862" s="7"/>
      <c r="L1862" s="7" t="s">
        <v>167</v>
      </c>
      <c r="M1862" s="7" t="s">
        <v>5440</v>
      </c>
      <c r="N1862" s="7" t="s">
        <v>410</v>
      </c>
      <c r="O1862" s="7" t="s">
        <v>163</v>
      </c>
      <c r="P1862" s="7" t="s">
        <v>7123</v>
      </c>
      <c r="Q1862" s="129">
        <v>46199</v>
      </c>
      <c r="R1862" s="130">
        <f t="shared" si="204"/>
        <v>46202</v>
      </c>
      <c r="S1862" s="131">
        <f t="shared" si="209"/>
        <v>3</v>
      </c>
      <c r="T1862" s="7" t="s">
        <v>203</v>
      </c>
      <c r="U1862" s="7" t="s">
        <v>258</v>
      </c>
      <c r="V1862" s="7"/>
      <c r="W1862" s="7">
        <v>120.9</v>
      </c>
      <c r="X1862" s="132">
        <f t="shared" si="207"/>
        <v>10</v>
      </c>
      <c r="Y1862" s="133"/>
      <c r="Z1862" s="133"/>
      <c r="AA1862" s="133"/>
    </row>
    <row r="1863" spans="1:27" hidden="1" x14ac:dyDescent="0.25">
      <c r="A1863" s="127">
        <v>2044</v>
      </c>
      <c r="B1863" s="128" t="str">
        <f t="shared" si="208"/>
        <v>NAMS</v>
      </c>
      <c r="C1863" s="128" t="str">
        <f>+VLOOKUP(U1863,Ходим!A:B,2,0)</f>
        <v>51110025960044</v>
      </c>
      <c r="D1863" s="128" t="str">
        <f>IFERROR(VLOOKUP($B:$B,[20]свод!$A:$AB,3,0)," ")</f>
        <v>Наманган шаҳар</v>
      </c>
      <c r="E1863" s="7" t="s">
        <v>2999</v>
      </c>
      <c r="F1863" s="7" t="s">
        <v>9381</v>
      </c>
      <c r="G1863" s="134">
        <f t="shared" si="205"/>
        <v>1</v>
      </c>
      <c r="H1863" s="134" t="str">
        <f t="shared" si="206"/>
        <v/>
      </c>
      <c r="I1863" s="7" t="s">
        <v>158</v>
      </c>
      <c r="J1863" s="7" t="s">
        <v>2</v>
      </c>
      <c r="K1863" s="7"/>
      <c r="L1863" s="7" t="s">
        <v>167</v>
      </c>
      <c r="M1863" s="7" t="s">
        <v>5441</v>
      </c>
      <c r="N1863" s="7" t="s">
        <v>410</v>
      </c>
      <c r="O1863" s="7" t="s">
        <v>162</v>
      </c>
      <c r="P1863" s="7" t="s">
        <v>7123</v>
      </c>
      <c r="Q1863" s="129">
        <v>46199</v>
      </c>
      <c r="R1863" s="130">
        <f t="shared" si="204"/>
        <v>46202</v>
      </c>
      <c r="S1863" s="131">
        <f t="shared" si="209"/>
        <v>3</v>
      </c>
      <c r="T1863" s="7" t="s">
        <v>173</v>
      </c>
      <c r="U1863" s="7" t="s">
        <v>294</v>
      </c>
      <c r="V1863" s="7"/>
      <c r="W1863" s="7">
        <v>1038.8499999999999</v>
      </c>
      <c r="X1863" s="132">
        <f t="shared" si="207"/>
        <v>10</v>
      </c>
      <c r="Y1863" s="133"/>
      <c r="Z1863" s="133"/>
      <c r="AA1863" s="133"/>
    </row>
    <row r="1864" spans="1:27" hidden="1" x14ac:dyDescent="0.25">
      <c r="A1864" s="127">
        <v>2045</v>
      </c>
      <c r="B1864" s="128" t="str">
        <f t="shared" si="208"/>
        <v>POPT</v>
      </c>
      <c r="C1864" s="128" t="str">
        <f>+VLOOKUP(U1864,Ходим!A:B,2,0)</f>
        <v>30304872210053</v>
      </c>
      <c r="D1864" s="128" t="str">
        <f>IFERROR(VLOOKUP($B:$B,[20]свод!$A:$AB,3,0)," ")</f>
        <v>Поп тумани</v>
      </c>
      <c r="E1864" s="7" t="s">
        <v>3000</v>
      </c>
      <c r="F1864" s="7" t="s">
        <v>9382</v>
      </c>
      <c r="G1864" s="134" t="str">
        <f t="shared" si="205"/>
        <v/>
      </c>
      <c r="H1864" s="134">
        <f t="shared" si="206"/>
        <v>1</v>
      </c>
      <c r="I1864" s="7" t="s">
        <v>157</v>
      </c>
      <c r="J1864" s="7" t="s">
        <v>12</v>
      </c>
      <c r="K1864" s="7"/>
      <c r="L1864" s="7" t="s">
        <v>166</v>
      </c>
      <c r="M1864" s="7" t="s">
        <v>5442</v>
      </c>
      <c r="N1864" s="7" t="s">
        <v>170</v>
      </c>
      <c r="O1864" s="7" t="s">
        <v>161</v>
      </c>
      <c r="P1864" s="7" t="s">
        <v>7124</v>
      </c>
      <c r="Q1864" s="129">
        <v>46199</v>
      </c>
      <c r="R1864" s="130">
        <f t="shared" si="204"/>
        <v>46206</v>
      </c>
      <c r="S1864" s="131">
        <f t="shared" si="209"/>
        <v>7</v>
      </c>
      <c r="T1864" s="7" t="s">
        <v>240</v>
      </c>
      <c r="U1864" s="7" t="s">
        <v>235</v>
      </c>
      <c r="V1864" s="7"/>
      <c r="W1864" s="7">
        <v>1076.77</v>
      </c>
      <c r="X1864" s="132">
        <f t="shared" si="207"/>
        <v>17</v>
      </c>
      <c r="Y1864" s="133"/>
      <c r="Z1864" s="133"/>
      <c r="AA1864" s="133"/>
    </row>
    <row r="1865" spans="1:27" hidden="1" x14ac:dyDescent="0.25">
      <c r="A1865" s="127">
        <v>2046</v>
      </c>
      <c r="B1865" s="128" t="str">
        <f t="shared" si="208"/>
        <v>NAMS</v>
      </c>
      <c r="C1865" s="128" t="str">
        <f>+VLOOKUP(U1865,Ходим!A:B,2,0)</f>
        <v>30910985930021</v>
      </c>
      <c r="D1865" s="128" t="str">
        <f>IFERROR(VLOOKUP($B:$B,[20]свод!$A:$AB,3,0)," ")</f>
        <v>Наманган шаҳар</v>
      </c>
      <c r="E1865" s="7" t="s">
        <v>3001</v>
      </c>
      <c r="F1865" s="7" t="s">
        <v>9383</v>
      </c>
      <c r="G1865" s="134" t="str">
        <f t="shared" si="205"/>
        <v/>
      </c>
      <c r="H1865" s="134">
        <f t="shared" si="206"/>
        <v>1</v>
      </c>
      <c r="I1865" s="7" t="s">
        <v>157</v>
      </c>
      <c r="J1865" s="7" t="s">
        <v>2</v>
      </c>
      <c r="K1865" s="7"/>
      <c r="L1865" s="7" t="s">
        <v>166</v>
      </c>
      <c r="M1865" s="7" t="s">
        <v>5443</v>
      </c>
      <c r="N1865" s="7" t="s">
        <v>410</v>
      </c>
      <c r="O1865" s="7" t="s">
        <v>161</v>
      </c>
      <c r="P1865" s="7" t="s">
        <v>7125</v>
      </c>
      <c r="Q1865" s="129">
        <v>46199</v>
      </c>
      <c r="R1865" s="130">
        <f t="shared" si="204"/>
        <v>46206</v>
      </c>
      <c r="S1865" s="131">
        <f t="shared" si="209"/>
        <v>7</v>
      </c>
      <c r="T1865" s="7" t="s">
        <v>173</v>
      </c>
      <c r="U1865" s="7" t="s">
        <v>963</v>
      </c>
      <c r="V1865" s="7"/>
      <c r="W1865" s="7">
        <v>115.09</v>
      </c>
      <c r="X1865" s="132">
        <f t="shared" si="207"/>
        <v>12</v>
      </c>
      <c r="Y1865" s="133"/>
      <c r="Z1865" s="133"/>
      <c r="AA1865" s="133"/>
    </row>
    <row r="1866" spans="1:27" hidden="1" x14ac:dyDescent="0.25">
      <c r="A1866" s="127">
        <v>2047</v>
      </c>
      <c r="B1866" s="128" t="str">
        <f t="shared" si="208"/>
        <v>KSST</v>
      </c>
      <c r="C1866" s="128" t="str">
        <f>+VLOOKUP(U1866,Ходим!A:B,2,0)</f>
        <v>31407932190092</v>
      </c>
      <c r="D1866" s="128" t="str">
        <f>IFERROR(VLOOKUP($B:$B,[20]свод!$A:$AB,3,0)," ")</f>
        <v>Косонсой тумани</v>
      </c>
      <c r="E1866" s="7" t="s">
        <v>3002</v>
      </c>
      <c r="F1866" s="7" t="s">
        <v>9384</v>
      </c>
      <c r="G1866" s="134" t="str">
        <f t="shared" si="205"/>
        <v/>
      </c>
      <c r="H1866" s="134">
        <f t="shared" si="206"/>
        <v>1</v>
      </c>
      <c r="I1866" s="7" t="s">
        <v>155</v>
      </c>
      <c r="J1866" s="7" t="s">
        <v>25</v>
      </c>
      <c r="K1866" s="7"/>
      <c r="L1866" s="7" t="s">
        <v>166</v>
      </c>
      <c r="M1866" s="7" t="s">
        <v>5444</v>
      </c>
      <c r="N1866" s="7" t="s">
        <v>410</v>
      </c>
      <c r="O1866" s="7" t="s">
        <v>161</v>
      </c>
      <c r="P1866" s="7" t="s">
        <v>7126</v>
      </c>
      <c r="Q1866" s="129">
        <v>46199</v>
      </c>
      <c r="R1866" s="130">
        <f t="shared" si="204"/>
        <v>46216</v>
      </c>
      <c r="S1866" s="131">
        <f t="shared" si="209"/>
        <v>17</v>
      </c>
      <c r="T1866" s="7" t="s">
        <v>180</v>
      </c>
      <c r="U1866" s="7" t="s">
        <v>188</v>
      </c>
      <c r="V1866" s="7"/>
      <c r="W1866" s="7">
        <v>827.27</v>
      </c>
      <c r="X1866" s="132">
        <f t="shared" si="207"/>
        <v>12</v>
      </c>
      <c r="Y1866" s="133"/>
      <c r="Z1866" s="133"/>
      <c r="AA1866" s="133"/>
    </row>
    <row r="1867" spans="1:27" hidden="1" x14ac:dyDescent="0.25">
      <c r="A1867" s="127">
        <v>2048</v>
      </c>
      <c r="B1867" s="128" t="str">
        <f t="shared" si="208"/>
        <v>KSST</v>
      </c>
      <c r="C1867" s="128" t="str">
        <f>+VLOOKUP(U1867,Ходим!A:B,2,0)</f>
        <v>31611995980026</v>
      </c>
      <c r="D1867" s="128" t="str">
        <f>IFERROR(VLOOKUP($B:$B,[20]свод!$A:$AB,3,0)," ")</f>
        <v>Косонсой тумани</v>
      </c>
      <c r="E1867" s="7" t="s">
        <v>3003</v>
      </c>
      <c r="F1867" s="7" t="s">
        <v>9385</v>
      </c>
      <c r="G1867" s="134" t="str">
        <f t="shared" si="205"/>
        <v/>
      </c>
      <c r="H1867" s="134">
        <f t="shared" si="206"/>
        <v>1</v>
      </c>
      <c r="I1867" s="7" t="s">
        <v>157</v>
      </c>
      <c r="J1867" s="7" t="s">
        <v>2</v>
      </c>
      <c r="K1867" s="7"/>
      <c r="L1867" s="7" t="s">
        <v>166</v>
      </c>
      <c r="M1867" s="7" t="s">
        <v>5445</v>
      </c>
      <c r="N1867" s="7" t="s">
        <v>410</v>
      </c>
      <c r="O1867" s="7" t="s">
        <v>161</v>
      </c>
      <c r="P1867" s="7" t="s">
        <v>7126</v>
      </c>
      <c r="Q1867" s="129">
        <v>46199</v>
      </c>
      <c r="R1867" s="130">
        <f t="shared" si="204"/>
        <v>46212</v>
      </c>
      <c r="S1867" s="131">
        <f t="shared" si="209"/>
        <v>13</v>
      </c>
      <c r="T1867" s="7" t="s">
        <v>180</v>
      </c>
      <c r="U1867" s="7" t="s">
        <v>181</v>
      </c>
      <c r="V1867" s="7"/>
      <c r="W1867" s="7">
        <v>0</v>
      </c>
      <c r="X1867" s="132">
        <f t="shared" si="207"/>
        <v>10</v>
      </c>
      <c r="Y1867" s="133"/>
      <c r="Z1867" s="133"/>
      <c r="AA1867" s="133"/>
    </row>
    <row r="1868" spans="1:27" hidden="1" x14ac:dyDescent="0.25">
      <c r="A1868" s="127">
        <v>2049</v>
      </c>
      <c r="B1868" s="128" t="str">
        <f t="shared" si="208"/>
        <v>POPT</v>
      </c>
      <c r="C1868" s="128" t="str">
        <f>+VLOOKUP(U1868,Ходим!A:B,2,0)</f>
        <v>30609882120085</v>
      </c>
      <c r="D1868" s="128" t="str">
        <f>IFERROR(VLOOKUP($B:$B,[20]свод!$A:$AB,3,0)," ")</f>
        <v>Поп тумани</v>
      </c>
      <c r="E1868" s="7" t="s">
        <v>3004</v>
      </c>
      <c r="F1868" s="7" t="s">
        <v>9386</v>
      </c>
      <c r="G1868" s="134" t="str">
        <f t="shared" si="205"/>
        <v/>
      </c>
      <c r="H1868" s="134">
        <f t="shared" si="206"/>
        <v>1</v>
      </c>
      <c r="I1868" s="7" t="s">
        <v>155</v>
      </c>
      <c r="J1868" s="7" t="s">
        <v>25</v>
      </c>
      <c r="K1868" s="7"/>
      <c r="L1868" s="7" t="s">
        <v>166</v>
      </c>
      <c r="M1868" s="7" t="s">
        <v>5446</v>
      </c>
      <c r="N1868" s="7" t="s">
        <v>410</v>
      </c>
      <c r="O1868" s="7" t="s">
        <v>163</v>
      </c>
      <c r="P1868" s="7" t="s">
        <v>7126</v>
      </c>
      <c r="Q1868" s="129">
        <v>46199</v>
      </c>
      <c r="R1868" s="130">
        <f t="shared" ref="R1868:R1931" si="210">WORKDAY(P1868,X1868,$Y$1:$AA$1)</f>
        <v>46223</v>
      </c>
      <c r="S1868" s="131">
        <f t="shared" si="209"/>
        <v>24</v>
      </c>
      <c r="T1868" s="7" t="s">
        <v>240</v>
      </c>
      <c r="U1868" s="7" t="s">
        <v>248</v>
      </c>
      <c r="V1868" s="7"/>
      <c r="W1868" s="7">
        <v>1038.8399999999999</v>
      </c>
      <c r="X1868" s="132">
        <f t="shared" si="207"/>
        <v>17</v>
      </c>
      <c r="Y1868" s="133"/>
      <c r="Z1868" s="133"/>
      <c r="AA1868" s="133"/>
    </row>
    <row r="1869" spans="1:27" hidden="1" x14ac:dyDescent="0.25">
      <c r="A1869" s="127">
        <v>2050</v>
      </c>
      <c r="B1869" s="128" t="str">
        <f t="shared" si="208"/>
        <v>NAMT</v>
      </c>
      <c r="C1869" s="128" t="str">
        <f>+VLOOKUP(U1869,Ходим!A:B,2,0)</f>
        <v>52012025880014</v>
      </c>
      <c r="D1869" s="128" t="str">
        <f>IFERROR(VLOOKUP($B:$B,[20]свод!$A:$AB,3,0)," ")</f>
        <v>Наманган тумани</v>
      </c>
      <c r="E1869" s="7" t="s">
        <v>3005</v>
      </c>
      <c r="F1869" s="7" t="s">
        <v>9387</v>
      </c>
      <c r="G1869" s="134">
        <f t="shared" si="205"/>
        <v>1</v>
      </c>
      <c r="H1869" s="134" t="str">
        <f t="shared" si="206"/>
        <v/>
      </c>
      <c r="I1869" s="7" t="s">
        <v>158</v>
      </c>
      <c r="J1869" s="7" t="s">
        <v>1</v>
      </c>
      <c r="K1869" s="7"/>
      <c r="L1869" s="7" t="s">
        <v>167</v>
      </c>
      <c r="M1869" s="7" t="s">
        <v>5447</v>
      </c>
      <c r="N1869" s="7" t="s">
        <v>170</v>
      </c>
      <c r="O1869" s="7" t="s">
        <v>162</v>
      </c>
      <c r="P1869" s="7" t="s">
        <v>6987</v>
      </c>
      <c r="Q1869" s="129">
        <v>46199</v>
      </c>
      <c r="R1869" s="130">
        <f t="shared" si="210"/>
        <v>46202</v>
      </c>
      <c r="S1869" s="131">
        <f t="shared" si="209"/>
        <v>3</v>
      </c>
      <c r="T1869" s="7" t="s">
        <v>193</v>
      </c>
      <c r="U1869" s="7" t="s">
        <v>216</v>
      </c>
      <c r="V1869" s="7"/>
      <c r="W1869" s="7">
        <v>303.95999999999998</v>
      </c>
      <c r="X1869" s="132">
        <f t="shared" si="207"/>
        <v>10</v>
      </c>
      <c r="Y1869" s="133"/>
      <c r="Z1869" s="133"/>
      <c r="AA1869" s="133"/>
    </row>
    <row r="1870" spans="1:27" x14ac:dyDescent="0.25">
      <c r="A1870" s="127">
        <v>2051</v>
      </c>
      <c r="B1870" s="128" t="str">
        <f t="shared" si="208"/>
        <v>YGQT</v>
      </c>
      <c r="C1870" s="128" t="str">
        <f>+VLOOKUP(U1870,Ходим!A:B,2,0)</f>
        <v>30903902160122</v>
      </c>
      <c r="D1870" s="128" t="str">
        <f>IFERROR(VLOOKUP($B:$B,[20]свод!$A:$AB,3,0)," ")</f>
        <v>Янгиқўрғон тумани</v>
      </c>
      <c r="E1870" s="7" t="s">
        <v>3006</v>
      </c>
      <c r="F1870" s="7" t="s">
        <v>9388</v>
      </c>
      <c r="G1870" s="134" t="str">
        <f t="shared" si="205"/>
        <v/>
      </c>
      <c r="H1870" s="134">
        <f t="shared" si="206"/>
        <v>1</v>
      </c>
      <c r="I1870" s="7" t="s">
        <v>157</v>
      </c>
      <c r="J1870" s="7" t="s">
        <v>55</v>
      </c>
      <c r="K1870" s="7"/>
      <c r="L1870" s="7" t="s">
        <v>166</v>
      </c>
      <c r="M1870" s="7" t="s">
        <v>1048</v>
      </c>
      <c r="N1870" s="7" t="s">
        <v>170</v>
      </c>
      <c r="O1870" s="7" t="s">
        <v>161</v>
      </c>
      <c r="P1870" s="7" t="s">
        <v>7127</v>
      </c>
      <c r="Q1870" s="129">
        <v>46199</v>
      </c>
      <c r="R1870" s="130">
        <f t="shared" si="210"/>
        <v>46199</v>
      </c>
      <c r="S1870" s="131">
        <f t="shared" si="209"/>
        <v>0</v>
      </c>
      <c r="T1870" s="7" t="s">
        <v>182</v>
      </c>
      <c r="U1870" s="7" t="s">
        <v>230</v>
      </c>
      <c r="V1870" s="7" t="s">
        <v>965</v>
      </c>
      <c r="W1870" s="7">
        <v>171.71</v>
      </c>
      <c r="X1870" s="132">
        <f t="shared" si="207"/>
        <v>5</v>
      </c>
      <c r="Y1870" s="133"/>
      <c r="Z1870" s="133"/>
      <c r="AA1870" s="133"/>
    </row>
    <row r="1871" spans="1:27" hidden="1" x14ac:dyDescent="0.25">
      <c r="A1871" s="127">
        <v>2052</v>
      </c>
      <c r="B1871" s="128" t="str">
        <f t="shared" si="208"/>
        <v>UYCT</v>
      </c>
      <c r="C1871" s="128" t="str">
        <f>+VLOOKUP(U1871,Ходим!A:B,2,0)</f>
        <v>53007005930024</v>
      </c>
      <c r="D1871" s="128" t="str">
        <f>IFERROR(VLOOKUP($B:$B,[20]свод!$A:$AB,3,0)," ")</f>
        <v>Уйчи тумани</v>
      </c>
      <c r="E1871" s="7" t="s">
        <v>3007</v>
      </c>
      <c r="F1871" s="7" t="s">
        <v>9389</v>
      </c>
      <c r="G1871" s="134" t="str">
        <f t="shared" si="205"/>
        <v/>
      </c>
      <c r="H1871" s="134">
        <f t="shared" si="206"/>
        <v>1</v>
      </c>
      <c r="I1871" s="7" t="s">
        <v>155</v>
      </c>
      <c r="J1871" s="7" t="s">
        <v>25</v>
      </c>
      <c r="K1871" s="7"/>
      <c r="L1871" s="7" t="s">
        <v>166</v>
      </c>
      <c r="M1871" s="7" t="s">
        <v>5448</v>
      </c>
      <c r="N1871" s="7" t="s">
        <v>170</v>
      </c>
      <c r="O1871" s="7" t="s">
        <v>161</v>
      </c>
      <c r="P1871" s="7" t="s">
        <v>6918</v>
      </c>
      <c r="Q1871" s="129">
        <v>46199</v>
      </c>
      <c r="R1871" s="130">
        <f t="shared" si="210"/>
        <v>46212</v>
      </c>
      <c r="S1871" s="131">
        <f t="shared" si="209"/>
        <v>13</v>
      </c>
      <c r="T1871" s="7" t="s">
        <v>947</v>
      </c>
      <c r="U1871" s="7" t="s">
        <v>378</v>
      </c>
      <c r="V1871" s="7"/>
      <c r="W1871" s="7">
        <v>68.3</v>
      </c>
      <c r="X1871" s="132">
        <f t="shared" si="207"/>
        <v>10</v>
      </c>
      <c r="Y1871" s="133"/>
      <c r="Z1871" s="133"/>
      <c r="AA1871" s="133"/>
    </row>
    <row r="1872" spans="1:27" hidden="1" x14ac:dyDescent="0.25">
      <c r="A1872" s="127">
        <v>2053</v>
      </c>
      <c r="B1872" s="128" t="str">
        <f t="shared" si="208"/>
        <v>NAMT</v>
      </c>
      <c r="C1872" s="128" t="str">
        <f>+VLOOKUP(U1872,Ходим!A:B,2,0)</f>
        <v>31205812090050</v>
      </c>
      <c r="D1872" s="128" t="str">
        <f>IFERROR(VLOOKUP($B:$B,[20]свод!$A:$AB,3,0)," ")</f>
        <v>Наманган тумани</v>
      </c>
      <c r="E1872" s="7" t="s">
        <v>3008</v>
      </c>
      <c r="F1872" s="7" t="s">
        <v>9390</v>
      </c>
      <c r="G1872" s="134">
        <f t="shared" ref="G1872:G1935" si="211">IF(OR(
I1872="Turar joy obyektning kadastr pasportini shakllantirish va davlat ro'yxatidan o'tkazish",
I1872="Turar kompozit"
),
1,
IF(OR(
I1872="Noturar kompozit",
I1872="Avtoyo'l va suv xo'jaligi obyektining kadastr pasportini shakllantirish va ro'yxatga olish",
I1872="Noturar obyektning kadastr pasportining kadastr pasportini shakllantirish va davlat ro'yxatidan o'tkazish"
),
"",
IF(OR(
I1872="Notarius uchun ma'lumotnoma (uz)",
I1872="Qurilishi tugallangan ko'chmas mulkni foydalanishga qabul qilish",
I1872="Umumiy foydalanishdagi ko'chmas mulk qismini yaratish",
I1872="Registratsiya (tashqi - UZKAD da bor)"
),
IF(OR(L1872="Turar yer maydoni",L1872="Yakka tartibdagi turar joy"),1,
IF(L1872="Noturar bino","",
IF(L1872="Noturar yer maydoni","",
IF(L1872="",IF(OR(O1872="Turar joy xizmati",O1872="Foydalanishga ruxsatnoma berish xizmati"),1,""),"")
))),
"")))</f>
        <v>1</v>
      </c>
      <c r="H1872" s="134" t="str">
        <f t="shared" ref="H1872:H1935" si="212">IF(OR(
I1872="Turar joy obyektning kadastr pasportini shakllantirish va davlat ro'yxatidan o'tkazish",
I1872="Turar kompozit"
),
"",
IF(OR(
I1872="Noturar kompozit",
I1872="Avtoyo'l va suv xo'jaligi obyektining kadastr pasportini shakllantirish va ro'yxatga olish",
I1872="Noturar obyektning kadastr pasportini shakllantirish va davlat ro'yxatidan o'tkazish"
),
1,
IF(OR(
I1872="Notarius uchun ma'lumotnoma (uz)",
I1872="Qurilishi tugallangan ko'chmas mulkni foydalanishga qabul qilish",
I1872="Umumiy foydalanishdagi ko'chmas mulk qismini yaratish",
I1872="Registratsiya (tashqi - UZKAD da bor)"
),
IF(OR(L1872="Turar yer maydoni",L1872="Yakka tartibdagi turar joy"),"",
IF(L1872="Noturar bino",1,
IF(L1872="Noturar yer maydoni",1,
IF(L1872="",IF(OR(O1872="Turar joy xizmati",O1872="Foydalanishga ruxsatnoma berish xizmati"),"",1),"")
))),
"")))</f>
        <v/>
      </c>
      <c r="I1872" s="7" t="s">
        <v>158</v>
      </c>
      <c r="J1872" s="7" t="s">
        <v>2</v>
      </c>
      <c r="K1872" s="7"/>
      <c r="L1872" s="7"/>
      <c r="M1872" s="7"/>
      <c r="N1872" s="7" t="s">
        <v>410</v>
      </c>
      <c r="O1872" s="7" t="s">
        <v>162</v>
      </c>
      <c r="P1872" s="7" t="s">
        <v>7025</v>
      </c>
      <c r="Q1872" s="129">
        <v>46199</v>
      </c>
      <c r="R1872" s="130">
        <f t="shared" si="210"/>
        <v>46202</v>
      </c>
      <c r="S1872" s="131">
        <f t="shared" si="209"/>
        <v>3</v>
      </c>
      <c r="T1872" s="7" t="s">
        <v>197</v>
      </c>
      <c r="U1872" s="7" t="s">
        <v>346</v>
      </c>
      <c r="V1872" s="7"/>
      <c r="W1872" s="7"/>
      <c r="X1872" s="132">
        <f t="shared" si="207"/>
        <v>10</v>
      </c>
      <c r="Y1872" s="133"/>
      <c r="Z1872" s="133"/>
      <c r="AA1872" s="133"/>
    </row>
    <row r="1873" spans="1:27" hidden="1" x14ac:dyDescent="0.25">
      <c r="A1873" s="127">
        <v>2054</v>
      </c>
      <c r="B1873" s="128" t="str">
        <f t="shared" si="208"/>
        <v>NAMT</v>
      </c>
      <c r="C1873" s="128" t="str">
        <f>+VLOOKUP(U1873,Ходим!A:B,2,0)</f>
        <v>32204892090133</v>
      </c>
      <c r="D1873" s="128" t="str">
        <f>IFERROR(VLOOKUP($B:$B,[20]свод!$A:$AB,3,0)," ")</f>
        <v>Наманган тумани</v>
      </c>
      <c r="E1873" s="7" t="s">
        <v>3009</v>
      </c>
      <c r="F1873" s="7" t="s">
        <v>9391</v>
      </c>
      <c r="G1873" s="134">
        <f t="shared" si="211"/>
        <v>1</v>
      </c>
      <c r="H1873" s="134" t="str">
        <f t="shared" si="212"/>
        <v/>
      </c>
      <c r="I1873" s="7" t="s">
        <v>158</v>
      </c>
      <c r="J1873" s="7" t="s">
        <v>36</v>
      </c>
      <c r="K1873" s="7"/>
      <c r="L1873" s="7" t="s">
        <v>167</v>
      </c>
      <c r="M1873" s="7" t="s">
        <v>5449</v>
      </c>
      <c r="N1873" s="7" t="s">
        <v>410</v>
      </c>
      <c r="O1873" s="7" t="s">
        <v>162</v>
      </c>
      <c r="P1873" s="7" t="s">
        <v>7128</v>
      </c>
      <c r="Q1873" s="129">
        <v>46199</v>
      </c>
      <c r="R1873" s="130">
        <f t="shared" si="210"/>
        <v>46202</v>
      </c>
      <c r="S1873" s="131">
        <f t="shared" si="209"/>
        <v>3</v>
      </c>
      <c r="T1873" s="7" t="s">
        <v>197</v>
      </c>
      <c r="U1873" s="7" t="s">
        <v>198</v>
      </c>
      <c r="V1873" s="7"/>
      <c r="W1873" s="7">
        <v>268.14</v>
      </c>
      <c r="X1873" s="132">
        <f t="shared" si="207"/>
        <v>10</v>
      </c>
      <c r="Y1873" s="133"/>
      <c r="Z1873" s="133"/>
      <c r="AA1873" s="133"/>
    </row>
    <row r="1874" spans="1:27" hidden="1" x14ac:dyDescent="0.25">
      <c r="A1874" s="127">
        <v>2055</v>
      </c>
      <c r="B1874" s="128" t="str">
        <f t="shared" si="208"/>
        <v>MINT</v>
      </c>
      <c r="C1874" s="128" t="e">
        <f>+VLOOKUP(U1874,Ходим!A:B,2,0)</f>
        <v>#N/A</v>
      </c>
      <c r="D1874" s="128" t="str">
        <f>IFERROR(VLOOKUP($B:$B,[20]свод!$A:$AB,3,0)," ")</f>
        <v>Мингбулоқ тумани</v>
      </c>
      <c r="E1874" s="7" t="s">
        <v>3010</v>
      </c>
      <c r="F1874" s="7" t="s">
        <v>9392</v>
      </c>
      <c r="G1874" s="134">
        <f t="shared" si="211"/>
        <v>1</v>
      </c>
      <c r="H1874" s="134" t="str">
        <f t="shared" si="212"/>
        <v/>
      </c>
      <c r="I1874" s="7" t="s">
        <v>156</v>
      </c>
      <c r="J1874" s="7" t="s">
        <v>11</v>
      </c>
      <c r="K1874" s="7"/>
      <c r="L1874" s="7" t="s">
        <v>167</v>
      </c>
      <c r="M1874" s="7" t="s">
        <v>1127</v>
      </c>
      <c r="N1874" s="7" t="s">
        <v>410</v>
      </c>
      <c r="O1874" s="7" t="s">
        <v>162</v>
      </c>
      <c r="P1874" s="7" t="s">
        <v>7129</v>
      </c>
      <c r="Q1874" s="129">
        <v>46199</v>
      </c>
      <c r="R1874" s="130">
        <f t="shared" si="210"/>
        <v>46212</v>
      </c>
      <c r="S1874" s="131">
        <f t="shared" si="209"/>
        <v>13</v>
      </c>
      <c r="T1874" s="7"/>
      <c r="U1874" s="7"/>
      <c r="V1874" s="7"/>
      <c r="W1874" s="7">
        <v>62.06</v>
      </c>
      <c r="X1874" s="132">
        <f t="shared" si="207"/>
        <v>10</v>
      </c>
      <c r="Y1874" s="133"/>
      <c r="Z1874" s="133"/>
      <c r="AA1874" s="133"/>
    </row>
    <row r="1875" spans="1:27" hidden="1" x14ac:dyDescent="0.25">
      <c r="A1875" s="127">
        <v>2056</v>
      </c>
      <c r="B1875" s="128" t="str">
        <f t="shared" si="208"/>
        <v>NAMS</v>
      </c>
      <c r="C1875" s="128">
        <f>+VLOOKUP(U1875,Ходим!A:B,2,0)</f>
        <v>52004005950071</v>
      </c>
      <c r="D1875" s="128" t="str">
        <f>IFERROR(VLOOKUP($B:$B,[20]свод!$A:$AB,3,0)," ")</f>
        <v>Наманган шаҳар</v>
      </c>
      <c r="E1875" s="7" t="s">
        <v>3011</v>
      </c>
      <c r="F1875" s="7" t="s">
        <v>9393</v>
      </c>
      <c r="G1875" s="134">
        <f t="shared" si="211"/>
        <v>1</v>
      </c>
      <c r="H1875" s="134" t="str">
        <f t="shared" si="212"/>
        <v/>
      </c>
      <c r="I1875" s="7" t="s">
        <v>156</v>
      </c>
      <c r="J1875" s="7" t="s">
        <v>22</v>
      </c>
      <c r="K1875" s="7"/>
      <c r="L1875" s="7"/>
      <c r="M1875" s="7"/>
      <c r="N1875" s="7" t="s">
        <v>170</v>
      </c>
      <c r="O1875" s="7" t="s">
        <v>162</v>
      </c>
      <c r="P1875" s="7" t="s">
        <v>7027</v>
      </c>
      <c r="Q1875" s="129">
        <v>46199</v>
      </c>
      <c r="R1875" s="130">
        <f t="shared" si="210"/>
        <v>46212</v>
      </c>
      <c r="S1875" s="131">
        <f t="shared" si="209"/>
        <v>13</v>
      </c>
      <c r="T1875" s="7" t="s">
        <v>173</v>
      </c>
      <c r="U1875" s="7" t="s">
        <v>1015</v>
      </c>
      <c r="V1875" s="7"/>
      <c r="W1875" s="7"/>
      <c r="X1875" s="132">
        <f t="shared" si="207"/>
        <v>10</v>
      </c>
      <c r="Y1875" s="133"/>
      <c r="Z1875" s="133"/>
      <c r="AA1875" s="133"/>
    </row>
    <row r="1876" spans="1:27" hidden="1" x14ac:dyDescent="0.25">
      <c r="A1876" s="127">
        <v>2057</v>
      </c>
      <c r="B1876" s="128" t="str">
        <f t="shared" si="208"/>
        <v>CHUT</v>
      </c>
      <c r="C1876" s="128" t="str">
        <f>+VLOOKUP(U1876,Ходим!A:B,2,0)</f>
        <v>31312912180061</v>
      </c>
      <c r="D1876" s="128" t="str">
        <f>IFERROR(VLOOKUP($B:$B,[20]свод!$A:$AB,3,0)," ")</f>
        <v>Чуст тумани</v>
      </c>
      <c r="E1876" s="7" t="s">
        <v>3012</v>
      </c>
      <c r="F1876" s="7" t="s">
        <v>9394</v>
      </c>
      <c r="G1876" s="134">
        <f t="shared" si="211"/>
        <v>1</v>
      </c>
      <c r="H1876" s="134" t="str">
        <f t="shared" si="212"/>
        <v/>
      </c>
      <c r="I1876" s="7" t="s">
        <v>158</v>
      </c>
      <c r="J1876" s="7" t="s">
        <v>1</v>
      </c>
      <c r="K1876" s="7"/>
      <c r="L1876" s="7" t="s">
        <v>167</v>
      </c>
      <c r="M1876" s="7" t="s">
        <v>5450</v>
      </c>
      <c r="N1876" s="7" t="s">
        <v>170</v>
      </c>
      <c r="O1876" s="7" t="s">
        <v>162</v>
      </c>
      <c r="P1876" s="7" t="s">
        <v>7049</v>
      </c>
      <c r="Q1876" s="129">
        <v>46199</v>
      </c>
      <c r="R1876" s="130">
        <f t="shared" si="210"/>
        <v>46202</v>
      </c>
      <c r="S1876" s="131">
        <f t="shared" si="209"/>
        <v>3</v>
      </c>
      <c r="T1876" s="7" t="s">
        <v>178</v>
      </c>
      <c r="U1876" s="7" t="s">
        <v>202</v>
      </c>
      <c r="V1876" s="7"/>
      <c r="W1876" s="7">
        <v>313.33</v>
      </c>
      <c r="X1876" s="132">
        <f t="shared" si="207"/>
        <v>10</v>
      </c>
      <c r="Y1876" s="133"/>
      <c r="Z1876" s="133"/>
      <c r="AA1876" s="133"/>
    </row>
    <row r="1877" spans="1:27" hidden="1" x14ac:dyDescent="0.25">
      <c r="A1877" s="127">
        <v>2058</v>
      </c>
      <c r="B1877" s="128" t="str">
        <f t="shared" si="208"/>
        <v>NAMS</v>
      </c>
      <c r="C1877" s="128" t="str">
        <f>+VLOOKUP(U1877,Ходим!A:B,2,0)</f>
        <v>30108932170088</v>
      </c>
      <c r="D1877" s="128" t="str">
        <f>IFERROR(VLOOKUP($B:$B,[20]свод!$A:$AB,3,0)," ")</f>
        <v>Наманган шаҳар</v>
      </c>
      <c r="E1877" s="7" t="s">
        <v>3013</v>
      </c>
      <c r="F1877" s="7" t="s">
        <v>9395</v>
      </c>
      <c r="G1877" s="134">
        <f t="shared" si="211"/>
        <v>1</v>
      </c>
      <c r="H1877" s="134" t="str">
        <f t="shared" si="212"/>
        <v/>
      </c>
      <c r="I1877" s="7" t="s">
        <v>156</v>
      </c>
      <c r="J1877" s="7" t="s">
        <v>22</v>
      </c>
      <c r="K1877" s="7"/>
      <c r="L1877" s="7"/>
      <c r="M1877" s="7"/>
      <c r="N1877" s="7" t="s">
        <v>170</v>
      </c>
      <c r="O1877" s="7" t="s">
        <v>162</v>
      </c>
      <c r="P1877" s="7" t="s">
        <v>6994</v>
      </c>
      <c r="Q1877" s="129">
        <v>46199</v>
      </c>
      <c r="R1877" s="130">
        <f t="shared" si="210"/>
        <v>46212</v>
      </c>
      <c r="S1877" s="131">
        <f t="shared" si="209"/>
        <v>13</v>
      </c>
      <c r="T1877" s="7" t="s">
        <v>173</v>
      </c>
      <c r="U1877" s="7" t="s">
        <v>329</v>
      </c>
      <c r="V1877" s="7"/>
      <c r="W1877" s="7"/>
      <c r="X1877" s="132">
        <f t="shared" si="207"/>
        <v>10</v>
      </c>
      <c r="Y1877" s="133"/>
      <c r="Z1877" s="133"/>
      <c r="AA1877" s="133"/>
    </row>
    <row r="1878" spans="1:27" hidden="1" x14ac:dyDescent="0.25">
      <c r="A1878" s="127">
        <v>2059</v>
      </c>
      <c r="B1878" s="128" t="str">
        <f t="shared" si="208"/>
        <v>NAMT</v>
      </c>
      <c r="C1878" s="128" t="str">
        <f>+VLOOKUP(U1878,Ходим!A:B,2,0)</f>
        <v>50706025880010</v>
      </c>
      <c r="D1878" s="128" t="str">
        <f>IFERROR(VLOOKUP($B:$B,[20]свод!$A:$AB,3,0)," ")</f>
        <v>Наманган тумани</v>
      </c>
      <c r="E1878" s="7" t="s">
        <v>3014</v>
      </c>
      <c r="F1878" s="7" t="s">
        <v>9396</v>
      </c>
      <c r="G1878" s="134">
        <f t="shared" si="211"/>
        <v>1</v>
      </c>
      <c r="H1878" s="134" t="str">
        <f t="shared" si="212"/>
        <v/>
      </c>
      <c r="I1878" s="7" t="s">
        <v>158</v>
      </c>
      <c r="J1878" s="7" t="s">
        <v>55</v>
      </c>
      <c r="K1878" s="7"/>
      <c r="L1878" s="7" t="s">
        <v>167</v>
      </c>
      <c r="M1878" s="7" t="s">
        <v>1088</v>
      </c>
      <c r="N1878" s="7" t="s">
        <v>170</v>
      </c>
      <c r="O1878" s="7" t="s">
        <v>162</v>
      </c>
      <c r="P1878" s="7" t="s">
        <v>7130</v>
      </c>
      <c r="Q1878" s="129">
        <v>46199</v>
      </c>
      <c r="R1878" s="130">
        <f t="shared" si="210"/>
        <v>46202</v>
      </c>
      <c r="S1878" s="131">
        <f t="shared" si="209"/>
        <v>3</v>
      </c>
      <c r="T1878" s="7" t="s">
        <v>193</v>
      </c>
      <c r="U1878" s="7" t="s">
        <v>397</v>
      </c>
      <c r="V1878" s="7" t="s">
        <v>965</v>
      </c>
      <c r="W1878" s="7">
        <v>456.88</v>
      </c>
      <c r="X1878" s="132">
        <f t="shared" si="207"/>
        <v>5</v>
      </c>
      <c r="Y1878" s="133"/>
      <c r="Z1878" s="133"/>
      <c r="AA1878" s="133"/>
    </row>
    <row r="1879" spans="1:27" hidden="1" x14ac:dyDescent="0.25">
      <c r="A1879" s="127">
        <v>2060</v>
      </c>
      <c r="B1879" s="128" t="str">
        <f t="shared" si="208"/>
        <v>UYCT</v>
      </c>
      <c r="C1879" s="128" t="str">
        <f>+VLOOKUP(U1879,Ходим!A:B,2,0)</f>
        <v>52811025930077</v>
      </c>
      <c r="D1879" s="128" t="str">
        <f>IFERROR(VLOOKUP($B:$B,[20]свод!$A:$AB,3,0)," ")</f>
        <v>Уйчи тумани</v>
      </c>
      <c r="E1879" s="7" t="s">
        <v>3015</v>
      </c>
      <c r="F1879" s="7" t="s">
        <v>9397</v>
      </c>
      <c r="G1879" s="134">
        <f t="shared" si="211"/>
        <v>1</v>
      </c>
      <c r="H1879" s="134" t="str">
        <f t="shared" si="212"/>
        <v/>
      </c>
      <c r="I1879" s="7" t="s">
        <v>158</v>
      </c>
      <c r="J1879" s="7" t="s">
        <v>2</v>
      </c>
      <c r="K1879" s="7"/>
      <c r="L1879" s="7" t="s">
        <v>167</v>
      </c>
      <c r="M1879" s="7" t="s">
        <v>5451</v>
      </c>
      <c r="N1879" s="7" t="s">
        <v>170</v>
      </c>
      <c r="O1879" s="7" t="s">
        <v>162</v>
      </c>
      <c r="P1879" s="7" t="s">
        <v>7131</v>
      </c>
      <c r="Q1879" s="129">
        <v>46199</v>
      </c>
      <c r="R1879" s="130">
        <f t="shared" si="210"/>
        <v>46209</v>
      </c>
      <c r="S1879" s="131">
        <f t="shared" si="209"/>
        <v>10</v>
      </c>
      <c r="T1879" s="7" t="s">
        <v>947</v>
      </c>
      <c r="U1879" s="7" t="s">
        <v>356</v>
      </c>
      <c r="V1879" s="7"/>
      <c r="W1879" s="7">
        <v>420.19</v>
      </c>
      <c r="X1879" s="132">
        <f t="shared" si="207"/>
        <v>10</v>
      </c>
      <c r="Y1879" s="133"/>
      <c r="Z1879" s="133"/>
      <c r="AA1879" s="133"/>
    </row>
    <row r="1880" spans="1:27" hidden="1" x14ac:dyDescent="0.25">
      <c r="A1880" s="127">
        <v>2061</v>
      </c>
      <c r="B1880" s="128" t="str">
        <f t="shared" si="208"/>
        <v>MINT</v>
      </c>
      <c r="C1880" s="128" t="str">
        <f>+VLOOKUP(U1880,Ходим!A:B,2,0)</f>
        <v>51604025990014</v>
      </c>
      <c r="D1880" s="128" t="str">
        <f>IFERROR(VLOOKUP($B:$B,[20]свод!$A:$AB,3,0)," ")</f>
        <v>Мингбулоқ тумани</v>
      </c>
      <c r="E1880" s="7" t="s">
        <v>3016</v>
      </c>
      <c r="F1880" s="7" t="s">
        <v>9398</v>
      </c>
      <c r="G1880" s="134">
        <f t="shared" si="211"/>
        <v>1</v>
      </c>
      <c r="H1880" s="134" t="str">
        <f t="shared" si="212"/>
        <v/>
      </c>
      <c r="I1880" s="7" t="s">
        <v>158</v>
      </c>
      <c r="J1880" s="7" t="s">
        <v>10</v>
      </c>
      <c r="K1880" s="7"/>
      <c r="L1880" s="7" t="s">
        <v>167</v>
      </c>
      <c r="M1880" s="7" t="s">
        <v>5452</v>
      </c>
      <c r="N1880" s="7" t="s">
        <v>170</v>
      </c>
      <c r="O1880" s="7" t="s">
        <v>162</v>
      </c>
      <c r="P1880" s="7" t="s">
        <v>6464</v>
      </c>
      <c r="Q1880" s="129">
        <v>46199</v>
      </c>
      <c r="R1880" s="130">
        <f t="shared" si="210"/>
        <v>46205</v>
      </c>
      <c r="S1880" s="131">
        <f t="shared" si="209"/>
        <v>6</v>
      </c>
      <c r="T1880" s="7" t="s">
        <v>220</v>
      </c>
      <c r="U1880" s="7" t="s">
        <v>252</v>
      </c>
      <c r="V1880" s="7"/>
      <c r="W1880" s="7">
        <v>296.02</v>
      </c>
      <c r="X1880" s="132">
        <f t="shared" si="207"/>
        <v>10</v>
      </c>
      <c r="Y1880" s="133"/>
      <c r="Z1880" s="133"/>
      <c r="AA1880" s="133"/>
    </row>
    <row r="1881" spans="1:27" hidden="1" x14ac:dyDescent="0.25">
      <c r="A1881" s="127">
        <v>2062</v>
      </c>
      <c r="B1881" s="128" t="str">
        <f t="shared" si="208"/>
        <v>KSST</v>
      </c>
      <c r="C1881" s="128" t="str">
        <f>+VLOOKUP(U1881,Ходим!A:B,2,0)</f>
        <v>50709025980034</v>
      </c>
      <c r="D1881" s="128" t="str">
        <f>IFERROR(VLOOKUP($B:$B,[20]свод!$A:$AB,3,0)," ")</f>
        <v>Косонсой тумани</v>
      </c>
      <c r="E1881" s="7" t="s">
        <v>3017</v>
      </c>
      <c r="F1881" s="7" t="s">
        <v>9399</v>
      </c>
      <c r="G1881" s="134" t="str">
        <f t="shared" si="211"/>
        <v/>
      </c>
      <c r="H1881" s="134">
        <f t="shared" si="212"/>
        <v>1</v>
      </c>
      <c r="I1881" s="7" t="s">
        <v>154</v>
      </c>
      <c r="J1881" s="7" t="s">
        <v>100</v>
      </c>
      <c r="K1881" s="7"/>
      <c r="L1881" s="7" t="s">
        <v>166</v>
      </c>
      <c r="M1881" s="7" t="s">
        <v>5453</v>
      </c>
      <c r="N1881" s="7" t="s">
        <v>410</v>
      </c>
      <c r="O1881" s="7" t="s">
        <v>161</v>
      </c>
      <c r="P1881" s="7" t="s">
        <v>7004</v>
      </c>
      <c r="Q1881" s="129">
        <v>46199</v>
      </c>
      <c r="R1881" s="130">
        <f t="shared" si="210"/>
        <v>46223</v>
      </c>
      <c r="S1881" s="131">
        <f t="shared" si="209"/>
        <v>24</v>
      </c>
      <c r="T1881" s="7" t="s">
        <v>180</v>
      </c>
      <c r="U1881" s="7" t="s">
        <v>286</v>
      </c>
      <c r="V1881" s="7"/>
      <c r="W1881" s="7">
        <v>1518.19</v>
      </c>
      <c r="X1881" s="132">
        <f t="shared" si="207"/>
        <v>17</v>
      </c>
      <c r="Y1881" s="133"/>
      <c r="Z1881" s="133"/>
      <c r="AA1881" s="133"/>
    </row>
    <row r="1882" spans="1:27" hidden="1" x14ac:dyDescent="0.25">
      <c r="A1882" s="127">
        <v>2063</v>
      </c>
      <c r="B1882" s="128" t="str">
        <f t="shared" si="208"/>
        <v>NAMS</v>
      </c>
      <c r="C1882" s="128">
        <f>+VLOOKUP(U1882,Ходим!A:B,2,0)</f>
        <v>52004005950071</v>
      </c>
      <c r="D1882" s="128" t="str">
        <f>IFERROR(VLOOKUP($B:$B,[20]свод!$A:$AB,3,0)," ")</f>
        <v>Наманган шаҳар</v>
      </c>
      <c r="E1882" s="7" t="s">
        <v>3018</v>
      </c>
      <c r="F1882" s="7" t="s">
        <v>9400</v>
      </c>
      <c r="G1882" s="134">
        <f t="shared" si="211"/>
        <v>1</v>
      </c>
      <c r="H1882" s="134" t="str">
        <f t="shared" si="212"/>
        <v/>
      </c>
      <c r="I1882" s="7" t="s">
        <v>158</v>
      </c>
      <c r="J1882" s="7" t="s">
        <v>134</v>
      </c>
      <c r="K1882" s="7"/>
      <c r="L1882" s="7"/>
      <c r="M1882" s="7"/>
      <c r="N1882" s="7" t="s">
        <v>170</v>
      </c>
      <c r="O1882" s="7" t="s">
        <v>162</v>
      </c>
      <c r="P1882" s="7" t="s">
        <v>6289</v>
      </c>
      <c r="Q1882" s="129">
        <v>46199</v>
      </c>
      <c r="R1882" s="130">
        <f t="shared" si="210"/>
        <v>46210</v>
      </c>
      <c r="S1882" s="131">
        <f t="shared" si="209"/>
        <v>11</v>
      </c>
      <c r="T1882" s="7" t="s">
        <v>173</v>
      </c>
      <c r="U1882" s="7" t="s">
        <v>1015</v>
      </c>
      <c r="V1882" s="7"/>
      <c r="W1882" s="7"/>
      <c r="X1882" s="132">
        <f t="shared" si="207"/>
        <v>10</v>
      </c>
      <c r="Y1882" s="133"/>
      <c r="Z1882" s="133"/>
      <c r="AA1882" s="133"/>
    </row>
    <row r="1883" spans="1:27" hidden="1" x14ac:dyDescent="0.25">
      <c r="A1883" s="127">
        <v>2064</v>
      </c>
      <c r="B1883" s="128" t="str">
        <f t="shared" si="208"/>
        <v>YGQT</v>
      </c>
      <c r="C1883" s="128" t="str">
        <f>+VLOOKUP(U1883,Ходим!A:B,2,0)</f>
        <v>50710015950029</v>
      </c>
      <c r="D1883" s="128" t="str">
        <f>IFERROR(VLOOKUP($B:$B,[20]свод!$A:$AB,3,0)," ")</f>
        <v>Янгиқўрғон тумани</v>
      </c>
      <c r="E1883" s="7" t="s">
        <v>3019</v>
      </c>
      <c r="F1883" s="7" t="s">
        <v>9401</v>
      </c>
      <c r="G1883" s="134">
        <f t="shared" si="211"/>
        <v>1</v>
      </c>
      <c r="H1883" s="134" t="str">
        <f t="shared" si="212"/>
        <v/>
      </c>
      <c r="I1883" s="7" t="s">
        <v>158</v>
      </c>
      <c r="J1883" s="7" t="s">
        <v>2</v>
      </c>
      <c r="K1883" s="7"/>
      <c r="L1883" s="7" t="s">
        <v>167</v>
      </c>
      <c r="M1883" s="7" t="s">
        <v>5454</v>
      </c>
      <c r="N1883" s="7" t="s">
        <v>170</v>
      </c>
      <c r="O1883" s="7" t="s">
        <v>162</v>
      </c>
      <c r="P1883" s="7" t="s">
        <v>7046</v>
      </c>
      <c r="Q1883" s="129">
        <v>46199</v>
      </c>
      <c r="R1883" s="130">
        <f t="shared" si="210"/>
        <v>46212</v>
      </c>
      <c r="S1883" s="131">
        <f t="shared" si="209"/>
        <v>13</v>
      </c>
      <c r="T1883" s="7" t="s">
        <v>255</v>
      </c>
      <c r="U1883" s="7" t="s">
        <v>312</v>
      </c>
      <c r="V1883" s="7"/>
      <c r="W1883" s="7">
        <v>0</v>
      </c>
      <c r="X1883" s="132">
        <f t="shared" si="207"/>
        <v>10</v>
      </c>
      <c r="Y1883" s="133"/>
      <c r="Z1883" s="133"/>
      <c r="AA1883" s="133"/>
    </row>
    <row r="1884" spans="1:27" hidden="1" x14ac:dyDescent="0.25">
      <c r="A1884" s="127">
        <v>2065</v>
      </c>
      <c r="B1884" s="128" t="str">
        <f t="shared" si="208"/>
        <v>UYCT</v>
      </c>
      <c r="C1884" s="128" t="str">
        <f>+VLOOKUP(U1884,Ходим!A:B,2,0)</f>
        <v>31007985930029</v>
      </c>
      <c r="D1884" s="128" t="str">
        <f>IFERROR(VLOOKUP($B:$B,[20]свод!$A:$AB,3,0)," ")</f>
        <v>Уйчи тумани</v>
      </c>
      <c r="E1884" s="7" t="s">
        <v>3020</v>
      </c>
      <c r="F1884" s="7" t="s">
        <v>9402</v>
      </c>
      <c r="G1884" s="134">
        <f t="shared" si="211"/>
        <v>1</v>
      </c>
      <c r="H1884" s="134" t="str">
        <f t="shared" si="212"/>
        <v/>
      </c>
      <c r="I1884" s="7" t="s">
        <v>156</v>
      </c>
      <c r="J1884" s="7" t="s">
        <v>25</v>
      </c>
      <c r="K1884" s="7"/>
      <c r="L1884" s="7"/>
      <c r="M1884" s="7"/>
      <c r="N1884" s="7" t="s">
        <v>170</v>
      </c>
      <c r="O1884" s="7" t="s">
        <v>162</v>
      </c>
      <c r="P1884" s="7" t="s">
        <v>6808</v>
      </c>
      <c r="Q1884" s="129">
        <v>46199</v>
      </c>
      <c r="R1884" s="130">
        <f t="shared" si="210"/>
        <v>46212</v>
      </c>
      <c r="S1884" s="131">
        <f t="shared" si="209"/>
        <v>13</v>
      </c>
      <c r="T1884" s="7" t="s">
        <v>947</v>
      </c>
      <c r="U1884" s="7" t="s">
        <v>389</v>
      </c>
      <c r="V1884" s="7"/>
      <c r="W1884" s="7"/>
      <c r="X1884" s="132">
        <f t="shared" si="207"/>
        <v>10</v>
      </c>
      <c r="Y1884" s="133"/>
      <c r="Z1884" s="133"/>
      <c r="AA1884" s="133"/>
    </row>
    <row r="1885" spans="1:27" hidden="1" x14ac:dyDescent="0.25">
      <c r="A1885" s="127">
        <v>2066</v>
      </c>
      <c r="B1885" s="128" t="str">
        <f t="shared" si="208"/>
        <v>NAMS</v>
      </c>
      <c r="C1885" s="128" t="str">
        <f>+VLOOKUP(U1885,Ходим!A:B,2,0)</f>
        <v>31608732170178</v>
      </c>
      <c r="D1885" s="128" t="str">
        <f>IFERROR(VLOOKUP($B:$B,[20]свод!$A:$AB,3,0)," ")</f>
        <v>Наманган шаҳар</v>
      </c>
      <c r="E1885" s="7" t="s">
        <v>3021</v>
      </c>
      <c r="F1885" s="7" t="s">
        <v>9403</v>
      </c>
      <c r="G1885" s="134">
        <f t="shared" si="211"/>
        <v>1</v>
      </c>
      <c r="H1885" s="134" t="str">
        <f t="shared" si="212"/>
        <v/>
      </c>
      <c r="I1885" s="7" t="s">
        <v>158</v>
      </c>
      <c r="J1885" s="7" t="s">
        <v>2</v>
      </c>
      <c r="K1885" s="7"/>
      <c r="L1885" s="7" t="s">
        <v>167</v>
      </c>
      <c r="M1885" s="7" t="s">
        <v>5455</v>
      </c>
      <c r="N1885" s="7" t="s">
        <v>170</v>
      </c>
      <c r="O1885" s="7" t="s">
        <v>162</v>
      </c>
      <c r="P1885" s="7" t="s">
        <v>7132</v>
      </c>
      <c r="Q1885" s="129">
        <v>46199</v>
      </c>
      <c r="R1885" s="130">
        <f t="shared" si="210"/>
        <v>46203</v>
      </c>
      <c r="S1885" s="131">
        <f t="shared" si="209"/>
        <v>4</v>
      </c>
      <c r="T1885" s="7" t="s">
        <v>173</v>
      </c>
      <c r="U1885" s="7" t="s">
        <v>267</v>
      </c>
      <c r="V1885" s="7"/>
      <c r="W1885" s="7">
        <v>54</v>
      </c>
      <c r="X1885" s="132">
        <f t="shared" si="207"/>
        <v>10</v>
      </c>
      <c r="Y1885" s="133"/>
      <c r="Z1885" s="133"/>
      <c r="AA1885" s="133"/>
    </row>
    <row r="1886" spans="1:27" hidden="1" x14ac:dyDescent="0.25">
      <c r="A1886" s="127">
        <v>2067</v>
      </c>
      <c r="B1886" s="128" t="str">
        <f t="shared" si="208"/>
        <v>CHUT</v>
      </c>
      <c r="C1886" s="128" t="str">
        <f>+VLOOKUP(U1886,Ходим!A:B,2,0)</f>
        <v>31312912180061</v>
      </c>
      <c r="D1886" s="128" t="str">
        <f>IFERROR(VLOOKUP($B:$B,[20]свод!$A:$AB,3,0)," ")</f>
        <v>Чуст тумани</v>
      </c>
      <c r="E1886" s="7" t="s">
        <v>3022</v>
      </c>
      <c r="F1886" s="7" t="s">
        <v>9404</v>
      </c>
      <c r="G1886" s="134">
        <f t="shared" si="211"/>
        <v>1</v>
      </c>
      <c r="H1886" s="134" t="str">
        <f t="shared" si="212"/>
        <v/>
      </c>
      <c r="I1886" s="7" t="s">
        <v>158</v>
      </c>
      <c r="J1886" s="7" t="s">
        <v>172</v>
      </c>
      <c r="K1886" s="7"/>
      <c r="L1886" s="7" t="s">
        <v>167</v>
      </c>
      <c r="M1886" s="7" t="s">
        <v>5456</v>
      </c>
      <c r="N1886" s="7" t="s">
        <v>170</v>
      </c>
      <c r="O1886" s="7" t="s">
        <v>162</v>
      </c>
      <c r="P1886" s="7" t="s">
        <v>7132</v>
      </c>
      <c r="Q1886" s="129">
        <v>46199</v>
      </c>
      <c r="R1886" s="130">
        <f t="shared" si="210"/>
        <v>46203</v>
      </c>
      <c r="S1886" s="131">
        <f t="shared" si="209"/>
        <v>4</v>
      </c>
      <c r="T1886" s="7" t="s">
        <v>178</v>
      </c>
      <c r="U1886" s="7" t="s">
        <v>202</v>
      </c>
      <c r="V1886" s="7"/>
      <c r="W1886" s="7">
        <v>312.7</v>
      </c>
      <c r="X1886" s="132">
        <f t="shared" si="207"/>
        <v>10</v>
      </c>
      <c r="Y1886" s="133"/>
      <c r="Z1886" s="133"/>
      <c r="AA1886" s="133"/>
    </row>
    <row r="1887" spans="1:27" hidden="1" x14ac:dyDescent="0.25">
      <c r="A1887" s="127">
        <v>2068</v>
      </c>
      <c r="B1887" s="128" t="str">
        <f t="shared" si="208"/>
        <v>KSST</v>
      </c>
      <c r="C1887" s="128" t="str">
        <f>+VLOOKUP(U1887,Ходим!A:B,2,0)</f>
        <v>30507932190090</v>
      </c>
      <c r="D1887" s="128" t="str">
        <f>IFERROR(VLOOKUP($B:$B,[20]свод!$A:$AB,3,0)," ")</f>
        <v>Косонсой тумани</v>
      </c>
      <c r="E1887" s="7" t="s">
        <v>3023</v>
      </c>
      <c r="F1887" s="7" t="s">
        <v>9405</v>
      </c>
      <c r="G1887" s="134">
        <f t="shared" si="211"/>
        <v>1</v>
      </c>
      <c r="H1887" s="134" t="str">
        <f t="shared" si="212"/>
        <v/>
      </c>
      <c r="I1887" s="7" t="s">
        <v>158</v>
      </c>
      <c r="J1887" s="7" t="s">
        <v>1</v>
      </c>
      <c r="K1887" s="7"/>
      <c r="L1887" s="7" t="s">
        <v>167</v>
      </c>
      <c r="M1887" s="7" t="s">
        <v>5457</v>
      </c>
      <c r="N1887" s="7" t="s">
        <v>170</v>
      </c>
      <c r="O1887" s="7" t="s">
        <v>162</v>
      </c>
      <c r="P1887" s="7" t="s">
        <v>7132</v>
      </c>
      <c r="Q1887" s="129">
        <v>46199</v>
      </c>
      <c r="R1887" s="130">
        <f t="shared" si="210"/>
        <v>46203</v>
      </c>
      <c r="S1887" s="131">
        <f t="shared" si="209"/>
        <v>4</v>
      </c>
      <c r="T1887" s="7" t="s">
        <v>180</v>
      </c>
      <c r="U1887" s="7" t="s">
        <v>232</v>
      </c>
      <c r="V1887" s="7"/>
      <c r="W1887" s="7">
        <v>171.1</v>
      </c>
      <c r="X1887" s="132">
        <f t="shared" si="207"/>
        <v>10</v>
      </c>
      <c r="Y1887" s="133"/>
      <c r="Z1887" s="133"/>
      <c r="AA1887" s="133"/>
    </row>
    <row r="1888" spans="1:27" hidden="1" x14ac:dyDescent="0.25">
      <c r="A1888" s="127">
        <v>2069</v>
      </c>
      <c r="B1888" s="128" t="str">
        <f t="shared" si="208"/>
        <v>NAMT</v>
      </c>
      <c r="C1888" s="128" t="str">
        <f>+VLOOKUP(U1888,Ходим!A:B,2,0)</f>
        <v>32204892090133</v>
      </c>
      <c r="D1888" s="128" t="str">
        <f>IFERROR(VLOOKUP($B:$B,[20]свод!$A:$AB,3,0)," ")</f>
        <v>Наманган тумани</v>
      </c>
      <c r="E1888" s="7" t="s">
        <v>3024</v>
      </c>
      <c r="F1888" s="7" t="s">
        <v>9406</v>
      </c>
      <c r="G1888" s="134">
        <f t="shared" si="211"/>
        <v>1</v>
      </c>
      <c r="H1888" s="134" t="str">
        <f t="shared" si="212"/>
        <v/>
      </c>
      <c r="I1888" s="7" t="s">
        <v>158</v>
      </c>
      <c r="J1888" s="7" t="s">
        <v>13</v>
      </c>
      <c r="K1888" s="7"/>
      <c r="L1888" s="7" t="s">
        <v>167</v>
      </c>
      <c r="M1888" s="7" t="s">
        <v>5458</v>
      </c>
      <c r="N1888" s="7" t="s">
        <v>410</v>
      </c>
      <c r="O1888" s="7" t="s">
        <v>162</v>
      </c>
      <c r="P1888" s="7" t="s">
        <v>7133</v>
      </c>
      <c r="Q1888" s="129">
        <v>46199</v>
      </c>
      <c r="R1888" s="130">
        <f t="shared" si="210"/>
        <v>46202</v>
      </c>
      <c r="S1888" s="131">
        <f t="shared" si="209"/>
        <v>3</v>
      </c>
      <c r="T1888" s="7" t="s">
        <v>197</v>
      </c>
      <c r="U1888" s="7" t="s">
        <v>198</v>
      </c>
      <c r="V1888" s="7"/>
      <c r="W1888" s="7">
        <v>337.33</v>
      </c>
      <c r="X1888" s="132">
        <f t="shared" si="207"/>
        <v>10</v>
      </c>
      <c r="Y1888" s="133"/>
      <c r="Z1888" s="133"/>
      <c r="AA1888" s="133"/>
    </row>
    <row r="1889" spans="1:27" hidden="1" x14ac:dyDescent="0.25">
      <c r="A1889" s="127">
        <v>2070</v>
      </c>
      <c r="B1889" s="128" t="str">
        <f t="shared" si="208"/>
        <v>TORT</v>
      </c>
      <c r="C1889" s="128" t="str">
        <f>+VLOOKUP(U1889,Ходим!A:B,2,0)</f>
        <v>40302922130046</v>
      </c>
      <c r="D1889" s="128" t="str">
        <f>IFERROR(VLOOKUP($B:$B,[20]свод!$A:$AB,3,0)," ")</f>
        <v>Тўрақўрғон тумани</v>
      </c>
      <c r="E1889" s="7" t="s">
        <v>3025</v>
      </c>
      <c r="F1889" s="7" t="s">
        <v>9407</v>
      </c>
      <c r="G1889" s="134">
        <f t="shared" si="211"/>
        <v>1</v>
      </c>
      <c r="H1889" s="134" t="str">
        <f t="shared" si="212"/>
        <v/>
      </c>
      <c r="I1889" s="7" t="s">
        <v>156</v>
      </c>
      <c r="J1889" s="7" t="s">
        <v>25</v>
      </c>
      <c r="K1889" s="7"/>
      <c r="L1889" s="7" t="s">
        <v>167</v>
      </c>
      <c r="M1889" s="7" t="s">
        <v>5459</v>
      </c>
      <c r="N1889" s="7" t="s">
        <v>410</v>
      </c>
      <c r="O1889" s="7" t="s">
        <v>162</v>
      </c>
      <c r="P1889" s="7" t="s">
        <v>7134</v>
      </c>
      <c r="Q1889" s="129">
        <v>46199</v>
      </c>
      <c r="R1889" s="130">
        <f t="shared" si="210"/>
        <v>46212</v>
      </c>
      <c r="S1889" s="131">
        <f t="shared" si="209"/>
        <v>13</v>
      </c>
      <c r="T1889" s="7" t="s">
        <v>203</v>
      </c>
      <c r="U1889" s="7" t="s">
        <v>258</v>
      </c>
      <c r="V1889" s="7"/>
      <c r="W1889" s="7">
        <v>365.9</v>
      </c>
      <c r="X1889" s="132">
        <f t="shared" si="207"/>
        <v>10</v>
      </c>
      <c r="Y1889" s="133"/>
      <c r="Z1889" s="133"/>
      <c r="AA1889" s="133"/>
    </row>
    <row r="1890" spans="1:27" hidden="1" x14ac:dyDescent="0.25">
      <c r="A1890" s="127">
        <v>2071</v>
      </c>
      <c r="B1890" s="128" t="str">
        <f t="shared" si="208"/>
        <v>YGQT</v>
      </c>
      <c r="C1890" s="128" t="str">
        <f>+VLOOKUP(U1890,Ходим!A:B,2,0)</f>
        <v>52009035950022</v>
      </c>
      <c r="D1890" s="128" t="str">
        <f>IFERROR(VLOOKUP($B:$B,[20]свод!$A:$AB,3,0)," ")</f>
        <v>Янгиқўрғон тумани</v>
      </c>
      <c r="E1890" s="7" t="s">
        <v>3026</v>
      </c>
      <c r="F1890" s="7" t="s">
        <v>9408</v>
      </c>
      <c r="G1890" s="134" t="str">
        <f t="shared" si="211"/>
        <v/>
      </c>
      <c r="H1890" s="134">
        <f t="shared" si="212"/>
        <v>1</v>
      </c>
      <c r="I1890" s="7" t="s">
        <v>157</v>
      </c>
      <c r="J1890" s="7" t="s">
        <v>1</v>
      </c>
      <c r="K1890" s="7"/>
      <c r="L1890" s="7" t="s">
        <v>166</v>
      </c>
      <c r="M1890" s="7" t="s">
        <v>5460</v>
      </c>
      <c r="N1890" s="7" t="s">
        <v>170</v>
      </c>
      <c r="O1890" s="7" t="s">
        <v>161</v>
      </c>
      <c r="P1890" s="7" t="s">
        <v>7075</v>
      </c>
      <c r="Q1890" s="129">
        <v>46199</v>
      </c>
      <c r="R1890" s="130">
        <f t="shared" si="210"/>
        <v>46211</v>
      </c>
      <c r="S1890" s="131">
        <f t="shared" si="209"/>
        <v>12</v>
      </c>
      <c r="T1890" s="7" t="s">
        <v>255</v>
      </c>
      <c r="U1890" s="7" t="s">
        <v>272</v>
      </c>
      <c r="V1890" s="7"/>
      <c r="W1890" s="7">
        <v>2147</v>
      </c>
      <c r="X1890" s="132">
        <f t="shared" si="207"/>
        <v>17</v>
      </c>
      <c r="Y1890" s="133"/>
      <c r="Z1890" s="133"/>
      <c r="AA1890" s="133"/>
    </row>
    <row r="1891" spans="1:27" hidden="1" x14ac:dyDescent="0.25">
      <c r="A1891" s="127">
        <v>2072</v>
      </c>
      <c r="B1891" s="128" t="str">
        <f t="shared" si="208"/>
        <v>NAMT</v>
      </c>
      <c r="C1891" s="128">
        <f>+VLOOKUP(U1891,Ходим!A:B,2,0)</f>
        <v>52908045880018</v>
      </c>
      <c r="D1891" s="128" t="str">
        <f>IFERROR(VLOOKUP($B:$B,[20]свод!$A:$AB,3,0)," ")</f>
        <v>Наманган тумани</v>
      </c>
      <c r="E1891" s="7" t="s">
        <v>3027</v>
      </c>
      <c r="F1891" s="7" t="s">
        <v>9409</v>
      </c>
      <c r="G1891" s="134">
        <f t="shared" si="211"/>
        <v>1</v>
      </c>
      <c r="H1891" s="134" t="str">
        <f t="shared" si="212"/>
        <v/>
      </c>
      <c r="I1891" s="7" t="s">
        <v>158</v>
      </c>
      <c r="J1891" s="7" t="s">
        <v>13</v>
      </c>
      <c r="K1891" s="7"/>
      <c r="L1891" s="7" t="s">
        <v>167</v>
      </c>
      <c r="M1891" s="7" t="s">
        <v>1139</v>
      </c>
      <c r="N1891" s="7" t="s">
        <v>170</v>
      </c>
      <c r="O1891" s="7" t="s">
        <v>162</v>
      </c>
      <c r="P1891" s="7" t="s">
        <v>7135</v>
      </c>
      <c r="Q1891" s="129">
        <v>46199</v>
      </c>
      <c r="R1891" s="130">
        <f t="shared" si="210"/>
        <v>46206</v>
      </c>
      <c r="S1891" s="131">
        <f t="shared" si="209"/>
        <v>7</v>
      </c>
      <c r="T1891" s="7" t="s">
        <v>193</v>
      </c>
      <c r="U1891" s="7" t="s">
        <v>982</v>
      </c>
      <c r="V1891" s="7"/>
      <c r="W1891" s="7">
        <v>0</v>
      </c>
      <c r="X1891" s="132">
        <f t="shared" si="207"/>
        <v>10</v>
      </c>
      <c r="Y1891" s="133"/>
      <c r="Z1891" s="133"/>
      <c r="AA1891" s="133"/>
    </row>
    <row r="1892" spans="1:27" hidden="1" x14ac:dyDescent="0.25">
      <c r="A1892" s="127">
        <v>2073</v>
      </c>
      <c r="B1892" s="128" t="str">
        <f t="shared" si="208"/>
        <v>NAMT</v>
      </c>
      <c r="C1892" s="128">
        <f>+VLOOKUP(U1892,Ходим!A:B,2,0)</f>
        <v>52908045880018</v>
      </c>
      <c r="D1892" s="128" t="str">
        <f>IFERROR(VLOOKUP($B:$B,[20]свод!$A:$AB,3,0)," ")</f>
        <v>Наманган тумани</v>
      </c>
      <c r="E1892" s="7" t="s">
        <v>3028</v>
      </c>
      <c r="F1892" s="7" t="s">
        <v>9410</v>
      </c>
      <c r="G1892" s="134">
        <f t="shared" si="211"/>
        <v>1</v>
      </c>
      <c r="H1892" s="134" t="str">
        <f t="shared" si="212"/>
        <v/>
      </c>
      <c r="I1892" s="7" t="s">
        <v>158</v>
      </c>
      <c r="J1892" s="7" t="s">
        <v>13</v>
      </c>
      <c r="K1892" s="7"/>
      <c r="L1892" s="7" t="s">
        <v>167</v>
      </c>
      <c r="M1892" s="7" t="s">
        <v>1139</v>
      </c>
      <c r="N1892" s="7" t="s">
        <v>170</v>
      </c>
      <c r="O1892" s="7" t="s">
        <v>162</v>
      </c>
      <c r="P1892" s="7" t="s">
        <v>7135</v>
      </c>
      <c r="Q1892" s="129">
        <v>46199</v>
      </c>
      <c r="R1892" s="130">
        <f t="shared" si="210"/>
        <v>46206</v>
      </c>
      <c r="S1892" s="131">
        <f t="shared" si="209"/>
        <v>7</v>
      </c>
      <c r="T1892" s="7" t="s">
        <v>193</v>
      </c>
      <c r="U1892" s="7" t="s">
        <v>982</v>
      </c>
      <c r="V1892" s="7"/>
      <c r="W1892" s="7">
        <v>0</v>
      </c>
      <c r="X1892" s="132">
        <f t="shared" si="207"/>
        <v>10</v>
      </c>
      <c r="Y1892" s="133"/>
      <c r="Z1892" s="133"/>
      <c r="AA1892" s="133"/>
    </row>
    <row r="1893" spans="1:27" hidden="1" x14ac:dyDescent="0.25">
      <c r="A1893" s="127">
        <v>2074</v>
      </c>
      <c r="B1893" s="128" t="str">
        <f t="shared" si="208"/>
        <v>NAMS</v>
      </c>
      <c r="C1893" s="128" t="str">
        <f>+VLOOKUP(U1893,Ходим!A:B,2,0)</f>
        <v>30108932170088</v>
      </c>
      <c r="D1893" s="128" t="str">
        <f>IFERROR(VLOOKUP($B:$B,[20]свод!$A:$AB,3,0)," ")</f>
        <v>Наманган шаҳар</v>
      </c>
      <c r="E1893" s="7" t="s">
        <v>3029</v>
      </c>
      <c r="F1893" s="7" t="s">
        <v>9411</v>
      </c>
      <c r="G1893" s="134">
        <f t="shared" si="211"/>
        <v>1</v>
      </c>
      <c r="H1893" s="134" t="str">
        <f t="shared" si="212"/>
        <v/>
      </c>
      <c r="I1893" s="7" t="s">
        <v>158</v>
      </c>
      <c r="J1893" s="7" t="s">
        <v>12</v>
      </c>
      <c r="K1893" s="7"/>
      <c r="L1893" s="7" t="s">
        <v>167</v>
      </c>
      <c r="M1893" s="7" t="s">
        <v>5461</v>
      </c>
      <c r="N1893" s="7" t="s">
        <v>170</v>
      </c>
      <c r="O1893" s="7" t="s">
        <v>162</v>
      </c>
      <c r="P1893" s="7" t="s">
        <v>7135</v>
      </c>
      <c r="Q1893" s="129">
        <v>46199</v>
      </c>
      <c r="R1893" s="130">
        <f t="shared" si="210"/>
        <v>46206</v>
      </c>
      <c r="S1893" s="131">
        <f t="shared" si="209"/>
        <v>7</v>
      </c>
      <c r="T1893" s="7" t="s">
        <v>173</v>
      </c>
      <c r="U1893" s="7" t="s">
        <v>329</v>
      </c>
      <c r="V1893" s="7"/>
      <c r="W1893" s="7">
        <v>279.76</v>
      </c>
      <c r="X1893" s="132">
        <f t="shared" si="207"/>
        <v>10</v>
      </c>
      <c r="Y1893" s="133"/>
      <c r="Z1893" s="133"/>
      <c r="AA1893" s="133"/>
    </row>
    <row r="1894" spans="1:27" hidden="1" x14ac:dyDescent="0.25">
      <c r="A1894" s="127">
        <v>2075</v>
      </c>
      <c r="B1894" s="128" t="str">
        <f t="shared" si="208"/>
        <v>NORT</v>
      </c>
      <c r="C1894" s="128" t="str">
        <f>+VLOOKUP(U1894,Ходим!A:B,2,0)</f>
        <v>31609962110019</v>
      </c>
      <c r="D1894" s="128" t="str">
        <f>IFERROR(VLOOKUP($B:$B,[20]свод!$A:$AB,3,0)," ")</f>
        <v>Норин тумани</v>
      </c>
      <c r="E1894" s="7" t="s">
        <v>3030</v>
      </c>
      <c r="F1894" s="7" t="s">
        <v>9412</v>
      </c>
      <c r="G1894" s="134">
        <f t="shared" si="211"/>
        <v>1</v>
      </c>
      <c r="H1894" s="134" t="str">
        <f t="shared" si="212"/>
        <v/>
      </c>
      <c r="I1894" s="7" t="s">
        <v>158</v>
      </c>
      <c r="J1894" s="7" t="s">
        <v>36</v>
      </c>
      <c r="K1894" s="7"/>
      <c r="L1894" s="7" t="s">
        <v>167</v>
      </c>
      <c r="M1894" s="7" t="s">
        <v>5462</v>
      </c>
      <c r="N1894" s="7" t="s">
        <v>410</v>
      </c>
      <c r="O1894" s="7" t="s">
        <v>162</v>
      </c>
      <c r="P1894" s="7" t="s">
        <v>7136</v>
      </c>
      <c r="Q1894" s="129">
        <v>46199</v>
      </c>
      <c r="R1894" s="130">
        <f t="shared" si="210"/>
        <v>46203</v>
      </c>
      <c r="S1894" s="131">
        <f t="shared" si="209"/>
        <v>4</v>
      </c>
      <c r="T1894" s="7" t="s">
        <v>210</v>
      </c>
      <c r="U1894" s="7" t="s">
        <v>355</v>
      </c>
      <c r="V1894" s="7"/>
      <c r="W1894" s="7">
        <v>0</v>
      </c>
      <c r="X1894" s="132">
        <f t="shared" si="207"/>
        <v>10</v>
      </c>
      <c r="Y1894" s="133"/>
      <c r="Z1894" s="133"/>
      <c r="AA1894" s="133"/>
    </row>
    <row r="1895" spans="1:27" hidden="1" x14ac:dyDescent="0.25">
      <c r="A1895" s="127">
        <v>2076</v>
      </c>
      <c r="B1895" s="128" t="str">
        <f t="shared" si="208"/>
        <v>MINT</v>
      </c>
      <c r="C1895" s="128" t="str">
        <f>+VLOOKUP(U1895,Ходим!A:B,2,0)</f>
        <v>31005942200035</v>
      </c>
      <c r="D1895" s="128" t="str">
        <f>IFERROR(VLOOKUP($B:$B,[20]свод!$A:$AB,3,0)," ")</f>
        <v>Мингбулоқ тумани</v>
      </c>
      <c r="E1895" s="7" t="s">
        <v>3031</v>
      </c>
      <c r="F1895" s="7" t="s">
        <v>9413</v>
      </c>
      <c r="G1895" s="134">
        <f t="shared" si="211"/>
        <v>1</v>
      </c>
      <c r="H1895" s="134" t="str">
        <f t="shared" si="212"/>
        <v/>
      </c>
      <c r="I1895" s="7" t="s">
        <v>158</v>
      </c>
      <c r="J1895" s="7" t="s">
        <v>172</v>
      </c>
      <c r="K1895" s="7"/>
      <c r="L1895" s="7" t="s">
        <v>167</v>
      </c>
      <c r="M1895" s="7" t="s">
        <v>1100</v>
      </c>
      <c r="N1895" s="7" t="s">
        <v>410</v>
      </c>
      <c r="O1895" s="7" t="s">
        <v>162</v>
      </c>
      <c r="P1895" s="7" t="s">
        <v>7137</v>
      </c>
      <c r="Q1895" s="129">
        <v>46199</v>
      </c>
      <c r="R1895" s="130">
        <f t="shared" si="210"/>
        <v>46202</v>
      </c>
      <c r="S1895" s="131">
        <f t="shared" si="209"/>
        <v>3</v>
      </c>
      <c r="T1895" s="7" t="s">
        <v>220</v>
      </c>
      <c r="U1895" s="7" t="s">
        <v>222</v>
      </c>
      <c r="V1895" s="7"/>
      <c r="W1895" s="7">
        <v>0</v>
      </c>
      <c r="X1895" s="132">
        <f t="shared" si="207"/>
        <v>10</v>
      </c>
      <c r="Y1895" s="133"/>
      <c r="Z1895" s="133"/>
      <c r="AA1895" s="133"/>
    </row>
    <row r="1896" spans="1:27" hidden="1" x14ac:dyDescent="0.25">
      <c r="A1896" s="127">
        <v>2077</v>
      </c>
      <c r="B1896" s="128" t="str">
        <f t="shared" si="208"/>
        <v>UCQT</v>
      </c>
      <c r="C1896" s="128" t="str">
        <f>+VLOOKUP(U1896,Ходим!A:B,2,0)</f>
        <v>31402915940019</v>
      </c>
      <c r="D1896" s="128" t="str">
        <f>IFERROR(VLOOKUP($B:$B,[20]свод!$A:$AB,3,0)," ")</f>
        <v>Учқўрғон тумани</v>
      </c>
      <c r="E1896" s="7" t="s">
        <v>3032</v>
      </c>
      <c r="F1896" s="7" t="s">
        <v>9414</v>
      </c>
      <c r="G1896" s="134" t="str">
        <f t="shared" si="211"/>
        <v/>
      </c>
      <c r="H1896" s="134">
        <f t="shared" si="212"/>
        <v>1</v>
      </c>
      <c r="I1896" s="7" t="s">
        <v>157</v>
      </c>
      <c r="J1896" s="7" t="s">
        <v>2</v>
      </c>
      <c r="K1896" s="7"/>
      <c r="L1896" s="7" t="s">
        <v>166</v>
      </c>
      <c r="M1896" s="7" t="s">
        <v>5463</v>
      </c>
      <c r="N1896" s="7" t="s">
        <v>170</v>
      </c>
      <c r="O1896" s="7" t="s">
        <v>161</v>
      </c>
      <c r="P1896" s="7" t="s">
        <v>7138</v>
      </c>
      <c r="Q1896" s="129">
        <v>46199</v>
      </c>
      <c r="R1896" s="130">
        <f t="shared" si="210"/>
        <v>46204</v>
      </c>
      <c r="S1896" s="131">
        <f t="shared" si="209"/>
        <v>5</v>
      </c>
      <c r="T1896" s="7" t="s">
        <v>175</v>
      </c>
      <c r="U1896" s="7" t="s">
        <v>292</v>
      </c>
      <c r="V1896" s="7"/>
      <c r="W1896" s="7">
        <v>0</v>
      </c>
      <c r="X1896" s="132">
        <f t="shared" si="207"/>
        <v>10</v>
      </c>
      <c r="Y1896" s="133"/>
      <c r="Z1896" s="133"/>
      <c r="AA1896" s="133"/>
    </row>
    <row r="1897" spans="1:27" hidden="1" x14ac:dyDescent="0.25">
      <c r="A1897" s="127">
        <v>2078</v>
      </c>
      <c r="B1897" s="128" t="str">
        <f t="shared" si="208"/>
        <v>YGQT</v>
      </c>
      <c r="C1897" s="128" t="str">
        <f>+VLOOKUP(U1897,Ходим!A:B,2,0)</f>
        <v>30903902160122</v>
      </c>
      <c r="D1897" s="128" t="str">
        <f>IFERROR(VLOOKUP($B:$B,[20]свод!$A:$AB,3,0)," ")</f>
        <v>Янгиқўрғон тумани</v>
      </c>
      <c r="E1897" s="7" t="s">
        <v>3033</v>
      </c>
      <c r="F1897" s="7" t="s">
        <v>9415</v>
      </c>
      <c r="G1897" s="134">
        <f t="shared" si="211"/>
        <v>1</v>
      </c>
      <c r="H1897" s="134" t="str">
        <f t="shared" si="212"/>
        <v/>
      </c>
      <c r="I1897" s="7" t="s">
        <v>158</v>
      </c>
      <c r="J1897" s="7" t="s">
        <v>134</v>
      </c>
      <c r="K1897" s="7"/>
      <c r="L1897" s="7"/>
      <c r="M1897" s="7"/>
      <c r="N1897" s="7" t="s">
        <v>170</v>
      </c>
      <c r="O1897" s="7" t="s">
        <v>162</v>
      </c>
      <c r="P1897" s="7" t="s">
        <v>7136</v>
      </c>
      <c r="Q1897" s="129">
        <v>46199</v>
      </c>
      <c r="R1897" s="130">
        <f t="shared" si="210"/>
        <v>46203</v>
      </c>
      <c r="S1897" s="131">
        <f t="shared" si="209"/>
        <v>4</v>
      </c>
      <c r="T1897" s="7" t="s">
        <v>182</v>
      </c>
      <c r="U1897" s="7" t="s">
        <v>230</v>
      </c>
      <c r="V1897" s="7"/>
      <c r="W1897" s="7"/>
      <c r="X1897" s="132">
        <f t="shared" si="207"/>
        <v>10</v>
      </c>
      <c r="Y1897" s="133"/>
      <c r="Z1897" s="133"/>
      <c r="AA1897" s="133"/>
    </row>
    <row r="1898" spans="1:27" x14ac:dyDescent="0.25">
      <c r="A1898" s="127">
        <v>2079</v>
      </c>
      <c r="B1898" s="128" t="str">
        <f t="shared" si="208"/>
        <v>TORT</v>
      </c>
      <c r="C1898" s="128" t="str">
        <f>+VLOOKUP(U1898,Ходим!A:B,2,0)</f>
        <v>31701915920077</v>
      </c>
      <c r="D1898" s="128" t="str">
        <f>IFERROR(VLOOKUP($B:$B,[20]свод!$A:$AB,3,0)," ")</f>
        <v>Тўрақўрғон тумани</v>
      </c>
      <c r="E1898" s="7" t="s">
        <v>3034</v>
      </c>
      <c r="F1898" s="7" t="s">
        <v>9416</v>
      </c>
      <c r="G1898" s="134" t="str">
        <f t="shared" si="211"/>
        <v/>
      </c>
      <c r="H1898" s="134">
        <f t="shared" si="212"/>
        <v>1</v>
      </c>
      <c r="I1898" s="7" t="s">
        <v>157</v>
      </c>
      <c r="J1898" s="7" t="s">
        <v>13</v>
      </c>
      <c r="K1898" s="7"/>
      <c r="L1898" s="7" t="s">
        <v>168</v>
      </c>
      <c r="M1898" s="7" t="s">
        <v>1125</v>
      </c>
      <c r="N1898" s="7" t="s">
        <v>410</v>
      </c>
      <c r="O1898" s="7" t="s">
        <v>161</v>
      </c>
      <c r="P1898" s="7" t="s">
        <v>7056</v>
      </c>
      <c r="Q1898" s="129">
        <v>46199</v>
      </c>
      <c r="R1898" s="130">
        <f t="shared" si="210"/>
        <v>46197</v>
      </c>
      <c r="S1898" s="131">
        <f t="shared" si="209"/>
        <v>-2</v>
      </c>
      <c r="T1898" s="7" t="s">
        <v>203</v>
      </c>
      <c r="U1898" s="7" t="s">
        <v>332</v>
      </c>
      <c r="V1898" s="7"/>
      <c r="W1898" s="7">
        <v>0</v>
      </c>
      <c r="X1898" s="132">
        <f t="shared" si="207"/>
        <v>7</v>
      </c>
      <c r="Y1898" s="133"/>
      <c r="Z1898" s="133"/>
      <c r="AA1898" s="133"/>
    </row>
    <row r="1899" spans="1:27" hidden="1" x14ac:dyDescent="0.25">
      <c r="A1899" s="127">
        <v>2080</v>
      </c>
      <c r="B1899" s="128" t="str">
        <f t="shared" si="208"/>
        <v>YGQT</v>
      </c>
      <c r="C1899" s="128" t="str">
        <f>+VLOOKUP(U1899,Ходим!A:B,2,0)</f>
        <v>31501762160017</v>
      </c>
      <c r="D1899" s="128" t="str">
        <f>IFERROR(VLOOKUP($B:$B,[20]свод!$A:$AB,3,0)," ")</f>
        <v>Янгиқўрғон тумани</v>
      </c>
      <c r="E1899" s="7" t="s">
        <v>3035</v>
      </c>
      <c r="F1899" s="7" t="s">
        <v>9417</v>
      </c>
      <c r="G1899" s="134" t="str">
        <f t="shared" si="211"/>
        <v/>
      </c>
      <c r="H1899" s="134">
        <f t="shared" si="212"/>
        <v>1</v>
      </c>
      <c r="I1899" s="7" t="s">
        <v>157</v>
      </c>
      <c r="J1899" s="7" t="s">
        <v>10</v>
      </c>
      <c r="K1899" s="7"/>
      <c r="L1899" s="7" t="s">
        <v>166</v>
      </c>
      <c r="M1899" s="7" t="s">
        <v>5464</v>
      </c>
      <c r="N1899" s="7" t="s">
        <v>170</v>
      </c>
      <c r="O1899" s="7" t="s">
        <v>165</v>
      </c>
      <c r="P1899" s="7" t="s">
        <v>7139</v>
      </c>
      <c r="Q1899" s="129">
        <v>46199</v>
      </c>
      <c r="R1899" s="130">
        <f t="shared" si="210"/>
        <v>46204</v>
      </c>
      <c r="S1899" s="131">
        <f t="shared" si="209"/>
        <v>5</v>
      </c>
      <c r="T1899" s="7" t="s">
        <v>182</v>
      </c>
      <c r="U1899" s="7" t="s">
        <v>275</v>
      </c>
      <c r="V1899" s="7"/>
      <c r="W1899" s="7">
        <v>0</v>
      </c>
      <c r="X1899" s="132">
        <f t="shared" si="207"/>
        <v>15</v>
      </c>
      <c r="Y1899" s="133"/>
      <c r="Z1899" s="133"/>
      <c r="AA1899" s="133"/>
    </row>
    <row r="1900" spans="1:27" hidden="1" x14ac:dyDescent="0.25">
      <c r="A1900" s="127">
        <v>2081</v>
      </c>
      <c r="B1900" s="128" t="str">
        <f t="shared" si="208"/>
        <v>NAMT</v>
      </c>
      <c r="C1900" s="128">
        <f>+VLOOKUP(U1900,Ходим!A:B,2,0)</f>
        <v>52908045880018</v>
      </c>
      <c r="D1900" s="128" t="str">
        <f>IFERROR(VLOOKUP($B:$B,[20]свод!$A:$AB,3,0)," ")</f>
        <v>Наманган тумани</v>
      </c>
      <c r="E1900" s="7" t="s">
        <v>3036</v>
      </c>
      <c r="F1900" s="7" t="s">
        <v>9418</v>
      </c>
      <c r="G1900" s="134">
        <f t="shared" si="211"/>
        <v>1</v>
      </c>
      <c r="H1900" s="134" t="str">
        <f t="shared" si="212"/>
        <v/>
      </c>
      <c r="I1900" s="7" t="s">
        <v>158</v>
      </c>
      <c r="J1900" s="7" t="s">
        <v>13</v>
      </c>
      <c r="K1900" s="7"/>
      <c r="L1900" s="7" t="s">
        <v>167</v>
      </c>
      <c r="M1900" s="7" t="s">
        <v>1139</v>
      </c>
      <c r="N1900" s="7" t="s">
        <v>170</v>
      </c>
      <c r="O1900" s="7" t="s">
        <v>162</v>
      </c>
      <c r="P1900" s="7" t="s">
        <v>7140</v>
      </c>
      <c r="Q1900" s="129">
        <v>46199</v>
      </c>
      <c r="R1900" s="130">
        <f t="shared" si="210"/>
        <v>46206</v>
      </c>
      <c r="S1900" s="131">
        <f t="shared" si="209"/>
        <v>7</v>
      </c>
      <c r="T1900" s="7" t="s">
        <v>193</v>
      </c>
      <c r="U1900" s="7" t="s">
        <v>982</v>
      </c>
      <c r="V1900" s="7"/>
      <c r="W1900" s="7">
        <v>0</v>
      </c>
      <c r="X1900" s="132">
        <f t="shared" si="207"/>
        <v>10</v>
      </c>
      <c r="Y1900" s="133"/>
      <c r="Z1900" s="133"/>
      <c r="AA1900" s="133"/>
    </row>
    <row r="1901" spans="1:27" x14ac:dyDescent="0.25">
      <c r="A1901" s="127">
        <v>2082</v>
      </c>
      <c r="B1901" s="128" t="str">
        <f t="shared" si="208"/>
        <v>TORT</v>
      </c>
      <c r="C1901" s="128" t="str">
        <f>+VLOOKUP(U1901,Ходим!A:B,2,0)</f>
        <v>31110892130070</v>
      </c>
      <c r="D1901" s="128" t="str">
        <f>IFERROR(VLOOKUP($B:$B,[20]свод!$A:$AB,3,0)," ")</f>
        <v>Тўрақўрғон тумани</v>
      </c>
      <c r="E1901" s="7" t="s">
        <v>3037</v>
      </c>
      <c r="F1901" s="7" t="s">
        <v>9419</v>
      </c>
      <c r="G1901" s="134">
        <f t="shared" si="211"/>
        <v>1</v>
      </c>
      <c r="H1901" s="134" t="str">
        <f t="shared" si="212"/>
        <v/>
      </c>
      <c r="I1901" s="7" t="s">
        <v>158</v>
      </c>
      <c r="J1901" s="7" t="s">
        <v>1</v>
      </c>
      <c r="K1901" s="7"/>
      <c r="L1901" s="7" t="s">
        <v>167</v>
      </c>
      <c r="M1901" s="7" t="s">
        <v>5465</v>
      </c>
      <c r="N1901" s="7" t="s">
        <v>410</v>
      </c>
      <c r="O1901" s="7" t="s">
        <v>162</v>
      </c>
      <c r="P1901" s="7" t="s">
        <v>7006</v>
      </c>
      <c r="Q1901" s="129">
        <v>46199</v>
      </c>
      <c r="R1901" s="130">
        <f t="shared" si="210"/>
        <v>46199</v>
      </c>
      <c r="S1901" s="131">
        <f t="shared" si="209"/>
        <v>0</v>
      </c>
      <c r="T1901" s="7" t="s">
        <v>203</v>
      </c>
      <c r="U1901" s="7" t="s">
        <v>297</v>
      </c>
      <c r="V1901" s="7"/>
      <c r="W1901" s="7">
        <v>392.49</v>
      </c>
      <c r="X1901" s="132">
        <f t="shared" si="207"/>
        <v>10</v>
      </c>
      <c r="Y1901" s="133"/>
      <c r="Z1901" s="133"/>
      <c r="AA1901" s="133"/>
    </row>
    <row r="1902" spans="1:27" hidden="1" x14ac:dyDescent="0.25">
      <c r="A1902" s="127">
        <v>2083</v>
      </c>
      <c r="B1902" s="128" t="str">
        <f t="shared" si="208"/>
        <v>NAMS</v>
      </c>
      <c r="C1902" s="128" t="str">
        <f>+VLOOKUP(U1902,Ходим!A:B,2,0)</f>
        <v>32211885960016</v>
      </c>
      <c r="D1902" s="128" t="str">
        <f>IFERROR(VLOOKUP($B:$B,[20]свод!$A:$AB,3,0)," ")</f>
        <v>Наманган шаҳар</v>
      </c>
      <c r="E1902" s="7" t="s">
        <v>3038</v>
      </c>
      <c r="F1902" s="7" t="s">
        <v>9420</v>
      </c>
      <c r="G1902" s="134">
        <f t="shared" si="211"/>
        <v>1</v>
      </c>
      <c r="H1902" s="134" t="str">
        <f t="shared" si="212"/>
        <v/>
      </c>
      <c r="I1902" s="7" t="s">
        <v>158</v>
      </c>
      <c r="J1902" s="7" t="s">
        <v>1</v>
      </c>
      <c r="K1902" s="7"/>
      <c r="L1902" s="7" t="s">
        <v>167</v>
      </c>
      <c r="M1902" s="7" t="s">
        <v>5466</v>
      </c>
      <c r="N1902" s="7" t="s">
        <v>170</v>
      </c>
      <c r="O1902" s="7" t="s">
        <v>163</v>
      </c>
      <c r="P1902" s="7" t="s">
        <v>6900</v>
      </c>
      <c r="Q1902" s="129">
        <v>46199</v>
      </c>
      <c r="R1902" s="130">
        <f t="shared" si="210"/>
        <v>46202</v>
      </c>
      <c r="S1902" s="131">
        <f t="shared" si="209"/>
        <v>3</v>
      </c>
      <c r="T1902" s="7" t="s">
        <v>185</v>
      </c>
      <c r="U1902" s="7" t="s">
        <v>279</v>
      </c>
      <c r="V1902" s="7"/>
      <c r="W1902" s="7">
        <v>323.08999999999997</v>
      </c>
      <c r="X1902" s="132">
        <f t="shared" si="207"/>
        <v>10</v>
      </c>
      <c r="Y1902" s="133"/>
      <c r="Z1902" s="133"/>
      <c r="AA1902" s="133"/>
    </row>
    <row r="1903" spans="1:27" hidden="1" x14ac:dyDescent="0.25">
      <c r="A1903" s="127">
        <v>2084</v>
      </c>
      <c r="B1903" s="128" t="str">
        <f t="shared" si="208"/>
        <v>TORT</v>
      </c>
      <c r="C1903" s="128" t="str">
        <f>+VLOOKUP(U1903,Ходим!A:B,2,0)</f>
        <v>30702995920011</v>
      </c>
      <c r="D1903" s="128" t="str">
        <f>IFERROR(VLOOKUP($B:$B,[20]свод!$A:$AB,3,0)," ")</f>
        <v>Тўрақўрғон тумани</v>
      </c>
      <c r="E1903" s="7" t="s">
        <v>3039</v>
      </c>
      <c r="F1903" s="7" t="s">
        <v>9421</v>
      </c>
      <c r="G1903" s="134">
        <f t="shared" si="211"/>
        <v>1</v>
      </c>
      <c r="H1903" s="134" t="str">
        <f t="shared" si="212"/>
        <v/>
      </c>
      <c r="I1903" s="7" t="s">
        <v>158</v>
      </c>
      <c r="J1903" s="7" t="s">
        <v>1</v>
      </c>
      <c r="K1903" s="7"/>
      <c r="L1903" s="7" t="s">
        <v>167</v>
      </c>
      <c r="M1903" s="7" t="s">
        <v>5467</v>
      </c>
      <c r="N1903" s="7" t="s">
        <v>170</v>
      </c>
      <c r="O1903" s="7" t="s">
        <v>163</v>
      </c>
      <c r="P1903" s="7" t="s">
        <v>6419</v>
      </c>
      <c r="Q1903" s="129">
        <v>46199</v>
      </c>
      <c r="R1903" s="130">
        <f t="shared" si="210"/>
        <v>46204</v>
      </c>
      <c r="S1903" s="131">
        <f t="shared" si="209"/>
        <v>5</v>
      </c>
      <c r="T1903" s="7" t="s">
        <v>203</v>
      </c>
      <c r="U1903" s="7" t="s">
        <v>341</v>
      </c>
      <c r="V1903" s="7"/>
      <c r="W1903" s="7">
        <v>153.94999999999999</v>
      </c>
      <c r="X1903" s="132">
        <f t="shared" si="207"/>
        <v>10</v>
      </c>
      <c r="Y1903" s="133"/>
      <c r="Z1903" s="133"/>
      <c r="AA1903" s="133"/>
    </row>
    <row r="1904" spans="1:27" hidden="1" x14ac:dyDescent="0.25">
      <c r="A1904" s="127">
        <v>2085</v>
      </c>
      <c r="B1904" s="128" t="str">
        <f t="shared" si="208"/>
        <v>YGQT</v>
      </c>
      <c r="C1904" s="128" t="str">
        <f>+VLOOKUP(U1904,Ходим!A:B,2,0)</f>
        <v>50710015950029</v>
      </c>
      <c r="D1904" s="128" t="str">
        <f>IFERROR(VLOOKUP($B:$B,[20]свод!$A:$AB,3,0)," ")</f>
        <v>Янгиқўрғон тумани</v>
      </c>
      <c r="E1904" s="7" t="s">
        <v>3040</v>
      </c>
      <c r="F1904" s="7" t="s">
        <v>9422</v>
      </c>
      <c r="G1904" s="134" t="str">
        <f t="shared" si="211"/>
        <v/>
      </c>
      <c r="H1904" s="134">
        <f t="shared" si="212"/>
        <v>1</v>
      </c>
      <c r="I1904" s="7" t="s">
        <v>157</v>
      </c>
      <c r="J1904" s="7" t="s">
        <v>10</v>
      </c>
      <c r="K1904" s="7"/>
      <c r="L1904" s="7" t="s">
        <v>166</v>
      </c>
      <c r="M1904" s="7" t="s">
        <v>5468</v>
      </c>
      <c r="N1904" s="7" t="s">
        <v>170</v>
      </c>
      <c r="O1904" s="7" t="s">
        <v>161</v>
      </c>
      <c r="P1904" s="7" t="s">
        <v>7141</v>
      </c>
      <c r="Q1904" s="129">
        <v>46199</v>
      </c>
      <c r="R1904" s="130">
        <f t="shared" si="210"/>
        <v>46202</v>
      </c>
      <c r="S1904" s="131">
        <f t="shared" si="209"/>
        <v>3</v>
      </c>
      <c r="T1904" s="7" t="s">
        <v>182</v>
      </c>
      <c r="U1904" s="7" t="s">
        <v>312</v>
      </c>
      <c r="V1904" s="7"/>
      <c r="W1904" s="7">
        <v>706.15</v>
      </c>
      <c r="X1904" s="132">
        <f t="shared" ref="X1904:X1965" si="213">IF(N1904="Kadastr muhandisi",3,
IF(N1904="UZKAD",5,
IF(V1904="FREE",5,
IF(I1904="Registratsiya (tashqi - UZKAD da bor)",1,
IF(I1904="Avtoyo'l va suv xo'jaligi obyektining kadastr pasportini shakllantirish va ro'yxatga olish",7,
IF(I1904="Notarius uchun ma'lumotnoma (uz)",1,
IF(I1904="Qurilishi tugallangan ko'chmas mulkni foydalanishga qabul qilish",10,
IF(OR(I1904="Turar joy obyektning kadastr pasportini shakllantirish va davlat ro'yxatidan o'tkazish",I1904="Turar kompozit"),
IF(L1904="Turar yer maydoni",7,10),
IF(OR(I1904="Noturar obyektning kadastr pasportini shakllantirish va davlat ro'yxatidan o'tkazish",I1904="Noturar kompozit"),
IF(O1904="Ko‘p yillik daraxtlar xizmati",15,
IF(OR(L1904="Noturar yer maydoni",L1904="Davlat tashkilotlaridan ijaraga olingan yer uchastkasi"),7,
IF(W1904&lt;100,10,IF(W1904&lt;=1000,12,IF(W1904&lt;=5000,17,IF(W1904&lt;=15000,22,IF(W1904&lt;=50000,28,37))))))),
IF(I1904="Umumiy foydalanishdagi ko'chmas mulk qismini yaratish",
IF(IF(TRIM(L1904)="",IF(OR(O1904="Turar joy xizmati",O1904="Yakka tartibdagi turar joy"),"Turar","Noturar"),IF(OR(L1904="Yakka tartibdagi turar joy",L1904="Turar joy xizmati"),"Turar","Noturar"))="Turar",
10,IF(W1904&lt;100,10,IF(W1904&lt;=1000,12,IF(W1904&lt;=5000,17,IF(W1904&lt;=15000,22,IF(W1904&lt;=50000,28,37)))))),
0))))))))))</f>
        <v>12</v>
      </c>
      <c r="Y1904" s="133"/>
      <c r="Z1904" s="133"/>
      <c r="AA1904" s="133"/>
    </row>
    <row r="1905" spans="1:27" hidden="1" x14ac:dyDescent="0.25">
      <c r="A1905" s="127">
        <v>2086</v>
      </c>
      <c r="B1905" s="128" t="str">
        <f t="shared" ref="B1905:B1966" si="214">LEFT(E1905,4)</f>
        <v>UYCT</v>
      </c>
      <c r="C1905" s="128" t="str">
        <f>+VLOOKUP(U1905,Ходим!A:B,2,0)</f>
        <v>32002975930037</v>
      </c>
      <c r="D1905" s="128" t="str">
        <f>IFERROR(VLOOKUP($B:$B,[20]свод!$A:$AB,3,0)," ")</f>
        <v>Уйчи тумани</v>
      </c>
      <c r="E1905" s="7" t="s">
        <v>3041</v>
      </c>
      <c r="F1905" s="7" t="s">
        <v>9423</v>
      </c>
      <c r="G1905" s="134">
        <f t="shared" si="211"/>
        <v>1</v>
      </c>
      <c r="H1905" s="134" t="str">
        <f t="shared" si="212"/>
        <v/>
      </c>
      <c r="I1905" s="7" t="s">
        <v>158</v>
      </c>
      <c r="J1905" s="7" t="s">
        <v>35</v>
      </c>
      <c r="K1905" s="7"/>
      <c r="L1905" s="7" t="s">
        <v>167</v>
      </c>
      <c r="M1905" s="7" t="s">
        <v>5469</v>
      </c>
      <c r="N1905" s="7" t="s">
        <v>410</v>
      </c>
      <c r="O1905" s="7" t="s">
        <v>162</v>
      </c>
      <c r="P1905" s="7" t="s">
        <v>7142</v>
      </c>
      <c r="Q1905" s="129">
        <v>46199</v>
      </c>
      <c r="R1905" s="130">
        <f t="shared" si="210"/>
        <v>46203</v>
      </c>
      <c r="S1905" s="131">
        <f t="shared" ref="S1905:S1966" si="215">R1905-Q1905</f>
        <v>4</v>
      </c>
      <c r="T1905" s="7" t="s">
        <v>947</v>
      </c>
      <c r="U1905" s="7" t="s">
        <v>260</v>
      </c>
      <c r="V1905" s="7"/>
      <c r="W1905" s="7">
        <v>71.900000000000006</v>
      </c>
      <c r="X1905" s="132">
        <f t="shared" si="213"/>
        <v>10</v>
      </c>
      <c r="Y1905" s="133"/>
      <c r="Z1905" s="133"/>
      <c r="AA1905" s="133"/>
    </row>
    <row r="1906" spans="1:27" x14ac:dyDescent="0.25">
      <c r="A1906" s="127">
        <v>2087</v>
      </c>
      <c r="B1906" s="128" t="str">
        <f t="shared" si="214"/>
        <v>YGQT</v>
      </c>
      <c r="C1906" s="128" t="str">
        <f>+VLOOKUP(U1906,Ходим!A:B,2,0)</f>
        <v>52009035950022</v>
      </c>
      <c r="D1906" s="128" t="str">
        <f>IFERROR(VLOOKUP($B:$B,[20]свод!$A:$AB,3,0)," ")</f>
        <v>Янгиқўрғон тумани</v>
      </c>
      <c r="E1906" s="7" t="s">
        <v>3042</v>
      </c>
      <c r="F1906" s="7" t="s">
        <v>9424</v>
      </c>
      <c r="G1906" s="134">
        <f t="shared" si="211"/>
        <v>1</v>
      </c>
      <c r="H1906" s="134" t="str">
        <f t="shared" si="212"/>
        <v/>
      </c>
      <c r="I1906" s="7" t="s">
        <v>158</v>
      </c>
      <c r="J1906" s="7" t="s">
        <v>2</v>
      </c>
      <c r="K1906" s="7"/>
      <c r="L1906" s="7" t="s">
        <v>169</v>
      </c>
      <c r="M1906" s="7" t="s">
        <v>382</v>
      </c>
      <c r="N1906" s="7" t="s">
        <v>170</v>
      </c>
      <c r="O1906" s="7" t="s">
        <v>162</v>
      </c>
      <c r="P1906" s="7" t="s">
        <v>7143</v>
      </c>
      <c r="Q1906" s="129">
        <v>46199</v>
      </c>
      <c r="R1906" s="130">
        <f t="shared" si="210"/>
        <v>46198</v>
      </c>
      <c r="S1906" s="131">
        <f t="shared" si="215"/>
        <v>-1</v>
      </c>
      <c r="T1906" s="7" t="s">
        <v>255</v>
      </c>
      <c r="U1906" s="7" t="s">
        <v>272</v>
      </c>
      <c r="V1906" s="7"/>
      <c r="W1906" s="7">
        <v>0</v>
      </c>
      <c r="X1906" s="132">
        <f t="shared" si="213"/>
        <v>7</v>
      </c>
      <c r="Y1906" s="133"/>
      <c r="Z1906" s="133"/>
      <c r="AA1906" s="133"/>
    </row>
    <row r="1907" spans="1:27" hidden="1" x14ac:dyDescent="0.25">
      <c r="A1907" s="127">
        <v>2088</v>
      </c>
      <c r="B1907" s="128" t="str">
        <f t="shared" si="214"/>
        <v>UCQT</v>
      </c>
      <c r="C1907" s="128" t="str">
        <f>+VLOOKUP(U1907,Ходим!A:B,2,0)</f>
        <v>42005872150022</v>
      </c>
      <c r="D1907" s="128" t="str">
        <f>IFERROR(VLOOKUP($B:$B,[20]свод!$A:$AB,3,0)," ")</f>
        <v>Учқўрғон тумани</v>
      </c>
      <c r="E1907" s="7" t="s">
        <v>3043</v>
      </c>
      <c r="F1907" s="7" t="s">
        <v>9425</v>
      </c>
      <c r="G1907" s="134">
        <f t="shared" si="211"/>
        <v>1</v>
      </c>
      <c r="H1907" s="134" t="str">
        <f t="shared" si="212"/>
        <v/>
      </c>
      <c r="I1907" s="7" t="s">
        <v>158</v>
      </c>
      <c r="J1907" s="7" t="s">
        <v>2</v>
      </c>
      <c r="K1907" s="7"/>
      <c r="L1907" s="7" t="s">
        <v>167</v>
      </c>
      <c r="M1907" s="7" t="s">
        <v>5470</v>
      </c>
      <c r="N1907" s="7" t="s">
        <v>170</v>
      </c>
      <c r="O1907" s="7" t="s">
        <v>162</v>
      </c>
      <c r="P1907" s="7" t="s">
        <v>7143</v>
      </c>
      <c r="Q1907" s="129">
        <v>46199</v>
      </c>
      <c r="R1907" s="130">
        <f t="shared" si="210"/>
        <v>46203</v>
      </c>
      <c r="S1907" s="131">
        <f t="shared" si="215"/>
        <v>4</v>
      </c>
      <c r="T1907" s="7" t="s">
        <v>175</v>
      </c>
      <c r="U1907" s="7" t="s">
        <v>176</v>
      </c>
      <c r="V1907" s="7"/>
      <c r="W1907" s="7">
        <v>108.5</v>
      </c>
      <c r="X1907" s="132">
        <f t="shared" si="213"/>
        <v>10</v>
      </c>
      <c r="Y1907" s="133"/>
      <c r="Z1907" s="133"/>
      <c r="AA1907" s="133"/>
    </row>
    <row r="1908" spans="1:27" x14ac:dyDescent="0.25">
      <c r="A1908" s="127">
        <v>2089</v>
      </c>
      <c r="B1908" s="128" t="str">
        <f t="shared" si="214"/>
        <v>NAMS</v>
      </c>
      <c r="C1908" s="128">
        <f>+VLOOKUP(U1908,Ходим!A:B,2,0)</f>
        <v>52004005950071</v>
      </c>
      <c r="D1908" s="128" t="str">
        <f>IFERROR(VLOOKUP($B:$B,[20]свод!$A:$AB,3,0)," ")</f>
        <v>Наманган шаҳар</v>
      </c>
      <c r="E1908" s="7" t="s">
        <v>3044</v>
      </c>
      <c r="F1908" s="7" t="s">
        <v>9426</v>
      </c>
      <c r="G1908" s="134">
        <f t="shared" si="211"/>
        <v>1</v>
      </c>
      <c r="H1908" s="134" t="str">
        <f t="shared" si="212"/>
        <v/>
      </c>
      <c r="I1908" s="7" t="s">
        <v>158</v>
      </c>
      <c r="J1908" s="7" t="s">
        <v>1137</v>
      </c>
      <c r="K1908" s="7"/>
      <c r="L1908" s="7" t="s">
        <v>167</v>
      </c>
      <c r="M1908" s="7" t="s">
        <v>5471</v>
      </c>
      <c r="N1908" s="7" t="s">
        <v>170</v>
      </c>
      <c r="O1908" s="7" t="s">
        <v>162</v>
      </c>
      <c r="P1908" s="7" t="s">
        <v>7144</v>
      </c>
      <c r="Q1908" s="129">
        <v>46199</v>
      </c>
      <c r="R1908" s="130">
        <f t="shared" si="210"/>
        <v>46189</v>
      </c>
      <c r="S1908" s="131">
        <f t="shared" si="215"/>
        <v>-10</v>
      </c>
      <c r="T1908" s="7" t="s">
        <v>983</v>
      </c>
      <c r="U1908" s="7" t="s">
        <v>1015</v>
      </c>
      <c r="V1908" s="7" t="s">
        <v>965</v>
      </c>
      <c r="W1908" s="7">
        <v>206.84</v>
      </c>
      <c r="X1908" s="132">
        <f t="shared" si="213"/>
        <v>5</v>
      </c>
      <c r="Y1908" s="133"/>
      <c r="Z1908" s="133"/>
      <c r="AA1908" s="133"/>
    </row>
    <row r="1909" spans="1:27" hidden="1" x14ac:dyDescent="0.25">
      <c r="A1909" s="127">
        <v>2090</v>
      </c>
      <c r="B1909" s="128" t="str">
        <f t="shared" si="214"/>
        <v>NAMS</v>
      </c>
      <c r="C1909" s="128" t="str">
        <f>+VLOOKUP(U1909,Ходим!A:B,2,0)</f>
        <v>51705025890024</v>
      </c>
      <c r="D1909" s="128" t="str">
        <f>IFERROR(VLOOKUP($B:$B,[20]свод!$A:$AB,3,0)," ")</f>
        <v>Наманган шаҳар</v>
      </c>
      <c r="E1909" s="7" t="s">
        <v>3045</v>
      </c>
      <c r="F1909" s="7" t="s">
        <v>9427</v>
      </c>
      <c r="G1909" s="134">
        <f t="shared" si="211"/>
        <v>1</v>
      </c>
      <c r="H1909" s="134" t="str">
        <f t="shared" si="212"/>
        <v/>
      </c>
      <c r="I1909" s="7" t="s">
        <v>158</v>
      </c>
      <c r="J1909" s="7" t="s">
        <v>13</v>
      </c>
      <c r="K1909" s="7"/>
      <c r="L1909" s="7" t="s">
        <v>167</v>
      </c>
      <c r="M1909" s="7" t="s">
        <v>5472</v>
      </c>
      <c r="N1909" s="7" t="s">
        <v>170</v>
      </c>
      <c r="O1909" s="7" t="s">
        <v>162</v>
      </c>
      <c r="P1909" s="7" t="s">
        <v>7145</v>
      </c>
      <c r="Q1909" s="129">
        <v>46199</v>
      </c>
      <c r="R1909" s="130">
        <f t="shared" si="210"/>
        <v>46203</v>
      </c>
      <c r="S1909" s="131">
        <f t="shared" si="215"/>
        <v>4</v>
      </c>
      <c r="T1909" s="7" t="s">
        <v>173</v>
      </c>
      <c r="U1909" s="7" t="s">
        <v>189</v>
      </c>
      <c r="V1909" s="7"/>
      <c r="W1909" s="7">
        <v>142.96</v>
      </c>
      <c r="X1909" s="132">
        <f t="shared" si="213"/>
        <v>10</v>
      </c>
      <c r="Y1909" s="133"/>
      <c r="Z1909" s="133"/>
      <c r="AA1909" s="133"/>
    </row>
    <row r="1910" spans="1:27" hidden="1" x14ac:dyDescent="0.25">
      <c r="A1910" s="127">
        <v>2091</v>
      </c>
      <c r="B1910" s="128" t="str">
        <f t="shared" si="214"/>
        <v>UYCT</v>
      </c>
      <c r="C1910" s="128" t="str">
        <f>+VLOOKUP(U1910,Ходим!A:B,2,0)</f>
        <v>51501005930032</v>
      </c>
      <c r="D1910" s="128" t="str">
        <f>IFERROR(VLOOKUP($B:$B,[20]свод!$A:$AB,3,0)," ")</f>
        <v>Уйчи тумани</v>
      </c>
      <c r="E1910" s="7" t="s">
        <v>3046</v>
      </c>
      <c r="F1910" s="7" t="s">
        <v>9428</v>
      </c>
      <c r="G1910" s="134">
        <f t="shared" si="211"/>
        <v>1</v>
      </c>
      <c r="H1910" s="134" t="str">
        <f t="shared" si="212"/>
        <v/>
      </c>
      <c r="I1910" s="7" t="s">
        <v>158</v>
      </c>
      <c r="J1910" s="7" t="s">
        <v>1</v>
      </c>
      <c r="K1910" s="7"/>
      <c r="L1910" s="7" t="s">
        <v>167</v>
      </c>
      <c r="M1910" s="7" t="s">
        <v>5473</v>
      </c>
      <c r="N1910" s="7" t="s">
        <v>170</v>
      </c>
      <c r="O1910" s="7" t="s">
        <v>162</v>
      </c>
      <c r="P1910" s="7" t="s">
        <v>7146</v>
      </c>
      <c r="Q1910" s="129">
        <v>46199</v>
      </c>
      <c r="R1910" s="130">
        <f t="shared" si="210"/>
        <v>46203</v>
      </c>
      <c r="S1910" s="131">
        <f t="shared" si="215"/>
        <v>4</v>
      </c>
      <c r="T1910" s="7" t="s">
        <v>379</v>
      </c>
      <c r="U1910" s="7" t="s">
        <v>326</v>
      </c>
      <c r="V1910" s="7"/>
      <c r="W1910" s="7">
        <v>187.2</v>
      </c>
      <c r="X1910" s="132">
        <f t="shared" si="213"/>
        <v>10</v>
      </c>
      <c r="Y1910" s="133"/>
      <c r="Z1910" s="133"/>
      <c r="AA1910" s="133"/>
    </row>
    <row r="1911" spans="1:27" hidden="1" x14ac:dyDescent="0.25">
      <c r="A1911" s="127">
        <v>2092</v>
      </c>
      <c r="B1911" s="128" t="str">
        <f t="shared" si="214"/>
        <v>MINT</v>
      </c>
      <c r="C1911" s="128" t="str">
        <f>+VLOOKUP(U1911,Ходим!A:B,2,0)</f>
        <v>53110035990017</v>
      </c>
      <c r="D1911" s="128" t="str">
        <f>IFERROR(VLOOKUP($B:$B,[20]свод!$A:$AB,3,0)," ")</f>
        <v>Мингбулоқ тумани</v>
      </c>
      <c r="E1911" s="7" t="s">
        <v>3047</v>
      </c>
      <c r="F1911" s="7" t="s">
        <v>9429</v>
      </c>
      <c r="G1911" s="134" t="str">
        <f t="shared" si="211"/>
        <v/>
      </c>
      <c r="H1911" s="134">
        <f t="shared" si="212"/>
        <v>1</v>
      </c>
      <c r="I1911" s="7" t="s">
        <v>157</v>
      </c>
      <c r="J1911" s="7" t="s">
        <v>2</v>
      </c>
      <c r="K1911" s="7"/>
      <c r="L1911" s="7"/>
      <c r="M1911" s="7"/>
      <c r="N1911" s="7" t="s">
        <v>170</v>
      </c>
      <c r="O1911" s="7" t="s">
        <v>161</v>
      </c>
      <c r="P1911" s="7" t="s">
        <v>7147</v>
      </c>
      <c r="Q1911" s="129">
        <v>46199</v>
      </c>
      <c r="R1911" s="130">
        <f t="shared" si="210"/>
        <v>46203</v>
      </c>
      <c r="S1911" s="131">
        <f t="shared" si="215"/>
        <v>4</v>
      </c>
      <c r="T1911" s="7" t="s">
        <v>220</v>
      </c>
      <c r="U1911" s="7" t="s">
        <v>372</v>
      </c>
      <c r="V1911" s="7"/>
      <c r="W1911" s="7"/>
      <c r="X1911" s="132">
        <f t="shared" si="213"/>
        <v>10</v>
      </c>
      <c r="Y1911" s="133"/>
      <c r="Z1911" s="133"/>
      <c r="AA1911" s="133"/>
    </row>
    <row r="1912" spans="1:27" x14ac:dyDescent="0.25">
      <c r="A1912" s="127">
        <v>2093</v>
      </c>
      <c r="B1912" s="128" t="str">
        <f t="shared" si="214"/>
        <v>CHUT</v>
      </c>
      <c r="C1912" s="128" t="str">
        <f>+VLOOKUP(U1912,Ходим!A:B,2,0)</f>
        <v>32003822180063</v>
      </c>
      <c r="D1912" s="128" t="str">
        <f>IFERROR(VLOOKUP($B:$B,[20]свод!$A:$AB,3,0)," ")</f>
        <v>Чуст тумани</v>
      </c>
      <c r="E1912" s="7" t="s">
        <v>3048</v>
      </c>
      <c r="F1912" s="7" t="s">
        <v>9430</v>
      </c>
      <c r="G1912" s="134" t="str">
        <f t="shared" si="211"/>
        <v/>
      </c>
      <c r="H1912" s="134">
        <f t="shared" si="212"/>
        <v>1</v>
      </c>
      <c r="I1912" s="7" t="s">
        <v>157</v>
      </c>
      <c r="J1912" s="7" t="s">
        <v>33</v>
      </c>
      <c r="K1912" s="7"/>
      <c r="L1912" s="7" t="s">
        <v>168</v>
      </c>
      <c r="M1912" s="7" t="s">
        <v>5474</v>
      </c>
      <c r="N1912" s="7" t="s">
        <v>410</v>
      </c>
      <c r="O1912" s="7" t="s">
        <v>161</v>
      </c>
      <c r="P1912" s="7" t="s">
        <v>7148</v>
      </c>
      <c r="Q1912" s="129">
        <v>46199</v>
      </c>
      <c r="R1912" s="130">
        <f t="shared" si="210"/>
        <v>46198</v>
      </c>
      <c r="S1912" s="131">
        <f t="shared" si="215"/>
        <v>-1</v>
      </c>
      <c r="T1912" s="7" t="s">
        <v>178</v>
      </c>
      <c r="U1912" s="7" t="s">
        <v>200</v>
      </c>
      <c r="V1912" s="7"/>
      <c r="W1912" s="7">
        <v>0</v>
      </c>
      <c r="X1912" s="132">
        <f t="shared" si="213"/>
        <v>7</v>
      </c>
      <c r="Y1912" s="133"/>
      <c r="Z1912" s="133"/>
      <c r="AA1912" s="133"/>
    </row>
    <row r="1913" spans="1:27" x14ac:dyDescent="0.25">
      <c r="A1913" s="127">
        <v>2094</v>
      </c>
      <c r="B1913" s="128" t="str">
        <f t="shared" si="214"/>
        <v>UCQT</v>
      </c>
      <c r="C1913" s="128" t="str">
        <f>+VLOOKUP(U1913,Ходим!A:B,2,0)</f>
        <v>31402915940019</v>
      </c>
      <c r="D1913" s="128" t="str">
        <f>IFERROR(VLOOKUP($B:$B,[20]свод!$A:$AB,3,0)," ")</f>
        <v>Учқўрғон тумани</v>
      </c>
      <c r="E1913" s="7" t="s">
        <v>3049</v>
      </c>
      <c r="F1913" s="7" t="s">
        <v>9431</v>
      </c>
      <c r="G1913" s="134">
        <f t="shared" si="211"/>
        <v>1</v>
      </c>
      <c r="H1913" s="134" t="str">
        <f t="shared" si="212"/>
        <v/>
      </c>
      <c r="I1913" s="7" t="s">
        <v>154</v>
      </c>
      <c r="J1913" s="7" t="s">
        <v>109</v>
      </c>
      <c r="K1913" s="7"/>
      <c r="L1913" s="7"/>
      <c r="M1913" s="7"/>
      <c r="N1913" s="7" t="s">
        <v>170</v>
      </c>
      <c r="O1913" s="7" t="s">
        <v>162</v>
      </c>
      <c r="P1913" s="7" t="s">
        <v>7149</v>
      </c>
      <c r="Q1913" s="129">
        <v>46199</v>
      </c>
      <c r="R1913" s="130">
        <f t="shared" si="210"/>
        <v>46199</v>
      </c>
      <c r="S1913" s="131">
        <f t="shared" si="215"/>
        <v>0</v>
      </c>
      <c r="T1913" s="7" t="s">
        <v>175</v>
      </c>
      <c r="U1913" s="7" t="s">
        <v>292</v>
      </c>
      <c r="V1913" s="7"/>
      <c r="W1913" s="7"/>
      <c r="X1913" s="132">
        <f t="shared" si="213"/>
        <v>10</v>
      </c>
      <c r="Y1913" s="133"/>
      <c r="Z1913" s="133"/>
      <c r="AA1913" s="133"/>
    </row>
    <row r="1914" spans="1:27" hidden="1" x14ac:dyDescent="0.25">
      <c r="A1914" s="127">
        <v>2095</v>
      </c>
      <c r="B1914" s="128" t="str">
        <f t="shared" si="214"/>
        <v>MINT</v>
      </c>
      <c r="C1914" s="128" t="str">
        <f>+VLOOKUP(U1914,Ходим!A:B,2,0)</f>
        <v>30910905990010</v>
      </c>
      <c r="D1914" s="128" t="str">
        <f>IFERROR(VLOOKUP($B:$B,[20]свод!$A:$AB,3,0)," ")</f>
        <v>Мингбулоқ тумани</v>
      </c>
      <c r="E1914" s="7" t="s">
        <v>3050</v>
      </c>
      <c r="F1914" s="7" t="s">
        <v>9432</v>
      </c>
      <c r="G1914" s="134">
        <f t="shared" si="211"/>
        <v>1</v>
      </c>
      <c r="H1914" s="134" t="str">
        <f t="shared" si="212"/>
        <v/>
      </c>
      <c r="I1914" s="7" t="s">
        <v>154</v>
      </c>
      <c r="J1914" s="7" t="s">
        <v>109</v>
      </c>
      <c r="K1914" s="7"/>
      <c r="L1914" s="7"/>
      <c r="M1914" s="7"/>
      <c r="N1914" s="7" t="s">
        <v>170</v>
      </c>
      <c r="O1914" s="7" t="s">
        <v>162</v>
      </c>
      <c r="P1914" s="7" t="s">
        <v>7150</v>
      </c>
      <c r="Q1914" s="129">
        <v>46199</v>
      </c>
      <c r="R1914" s="130">
        <f t="shared" si="210"/>
        <v>46203</v>
      </c>
      <c r="S1914" s="131">
        <f t="shared" si="215"/>
        <v>4</v>
      </c>
      <c r="T1914" s="7" t="s">
        <v>220</v>
      </c>
      <c r="U1914" s="7" t="s">
        <v>221</v>
      </c>
      <c r="V1914" s="7"/>
      <c r="W1914" s="7"/>
      <c r="X1914" s="132">
        <f t="shared" si="213"/>
        <v>10</v>
      </c>
      <c r="Y1914" s="133"/>
      <c r="Z1914" s="133"/>
      <c r="AA1914" s="133"/>
    </row>
    <row r="1915" spans="1:27" hidden="1" x14ac:dyDescent="0.25">
      <c r="A1915" s="127">
        <v>2096</v>
      </c>
      <c r="B1915" s="128" t="str">
        <f t="shared" si="214"/>
        <v>NAMS</v>
      </c>
      <c r="C1915" s="128" t="str">
        <f>+VLOOKUP(U1915,Ходим!A:B,2,0)</f>
        <v>30108932170088</v>
      </c>
      <c r="D1915" s="128" t="str">
        <f>IFERROR(VLOOKUP($B:$B,[20]свод!$A:$AB,3,0)," ")</f>
        <v>Наманган шаҳар</v>
      </c>
      <c r="E1915" s="7" t="s">
        <v>3051</v>
      </c>
      <c r="F1915" s="7" t="s">
        <v>9433</v>
      </c>
      <c r="G1915" s="134">
        <f t="shared" si="211"/>
        <v>1</v>
      </c>
      <c r="H1915" s="134" t="str">
        <f t="shared" si="212"/>
        <v/>
      </c>
      <c r="I1915" s="7" t="s">
        <v>158</v>
      </c>
      <c r="J1915" s="7" t="s">
        <v>2</v>
      </c>
      <c r="K1915" s="7"/>
      <c r="L1915" s="7" t="s">
        <v>167</v>
      </c>
      <c r="M1915" s="7" t="s">
        <v>5475</v>
      </c>
      <c r="N1915" s="7" t="s">
        <v>170</v>
      </c>
      <c r="O1915" s="7" t="s">
        <v>162</v>
      </c>
      <c r="P1915" s="7" t="s">
        <v>7151</v>
      </c>
      <c r="Q1915" s="129">
        <v>46199</v>
      </c>
      <c r="R1915" s="130">
        <f t="shared" si="210"/>
        <v>46203</v>
      </c>
      <c r="S1915" s="131">
        <f t="shared" si="215"/>
        <v>4</v>
      </c>
      <c r="T1915" s="7" t="s">
        <v>173</v>
      </c>
      <c r="U1915" s="7" t="s">
        <v>329</v>
      </c>
      <c r="V1915" s="7"/>
      <c r="W1915" s="7">
        <v>141.47999999999999</v>
      </c>
      <c r="X1915" s="132">
        <f t="shared" si="213"/>
        <v>10</v>
      </c>
      <c r="Y1915" s="133"/>
      <c r="Z1915" s="133"/>
      <c r="AA1915" s="133"/>
    </row>
    <row r="1916" spans="1:27" hidden="1" x14ac:dyDescent="0.25">
      <c r="A1916" s="127">
        <v>2097</v>
      </c>
      <c r="B1916" s="128" t="str">
        <f t="shared" si="214"/>
        <v>NAMS</v>
      </c>
      <c r="C1916" s="128" t="str">
        <f>+VLOOKUP(U1916,Ходим!A:B,2,0)</f>
        <v>30304915960053</v>
      </c>
      <c r="D1916" s="128" t="str">
        <f>IFERROR(VLOOKUP($B:$B,[20]свод!$A:$AB,3,0)," ")</f>
        <v>Наманган шаҳар</v>
      </c>
      <c r="E1916" s="7" t="s">
        <v>3052</v>
      </c>
      <c r="F1916" s="7" t="s">
        <v>9434</v>
      </c>
      <c r="G1916" s="134" t="str">
        <f t="shared" si="211"/>
        <v/>
      </c>
      <c r="H1916" s="134">
        <f t="shared" si="212"/>
        <v>1</v>
      </c>
      <c r="I1916" s="7" t="s">
        <v>157</v>
      </c>
      <c r="J1916" s="7" t="s">
        <v>1</v>
      </c>
      <c r="K1916" s="7"/>
      <c r="L1916" s="7" t="s">
        <v>166</v>
      </c>
      <c r="M1916" s="7" t="s">
        <v>5476</v>
      </c>
      <c r="N1916" s="7" t="s">
        <v>410</v>
      </c>
      <c r="O1916" s="7" t="s">
        <v>161</v>
      </c>
      <c r="P1916" s="7" t="s">
        <v>6846</v>
      </c>
      <c r="Q1916" s="129">
        <v>46199</v>
      </c>
      <c r="R1916" s="130">
        <f t="shared" si="210"/>
        <v>46205</v>
      </c>
      <c r="S1916" s="131">
        <f t="shared" si="215"/>
        <v>6</v>
      </c>
      <c r="T1916" s="7" t="s">
        <v>227</v>
      </c>
      <c r="U1916" s="7" t="s">
        <v>314</v>
      </c>
      <c r="V1916" s="7"/>
      <c r="W1916" s="7">
        <v>894.67</v>
      </c>
      <c r="X1916" s="132">
        <f t="shared" si="213"/>
        <v>12</v>
      </c>
      <c r="Y1916" s="133"/>
      <c r="Z1916" s="133"/>
      <c r="AA1916" s="133"/>
    </row>
    <row r="1917" spans="1:27" x14ac:dyDescent="0.25">
      <c r="A1917" s="127">
        <v>2098</v>
      </c>
      <c r="B1917" s="128" t="str">
        <f t="shared" si="214"/>
        <v>UCQT</v>
      </c>
      <c r="C1917" s="128" t="str">
        <f>+VLOOKUP(U1917,Ходим!A:B,2,0)</f>
        <v>32911835940021</v>
      </c>
      <c r="D1917" s="128" t="str">
        <f>IFERROR(VLOOKUP($B:$B,[20]свод!$A:$AB,3,0)," ")</f>
        <v>Учқўрғон тумани</v>
      </c>
      <c r="E1917" s="7" t="s">
        <v>3053</v>
      </c>
      <c r="F1917" s="7" t="s">
        <v>9435</v>
      </c>
      <c r="G1917" s="134" t="str">
        <f t="shared" si="211"/>
        <v/>
      </c>
      <c r="H1917" s="134">
        <f t="shared" si="212"/>
        <v>1</v>
      </c>
      <c r="I1917" s="7" t="s">
        <v>157</v>
      </c>
      <c r="J1917" s="7" t="s">
        <v>2</v>
      </c>
      <c r="K1917" s="7"/>
      <c r="L1917" s="7" t="s">
        <v>166</v>
      </c>
      <c r="M1917" s="7" t="s">
        <v>5477</v>
      </c>
      <c r="N1917" s="7" t="s">
        <v>170</v>
      </c>
      <c r="O1917" s="7" t="s">
        <v>161</v>
      </c>
      <c r="P1917" s="7" t="s">
        <v>7152</v>
      </c>
      <c r="Q1917" s="129">
        <v>46199</v>
      </c>
      <c r="R1917" s="130">
        <f t="shared" si="210"/>
        <v>46199</v>
      </c>
      <c r="S1917" s="131">
        <f t="shared" si="215"/>
        <v>0</v>
      </c>
      <c r="T1917" s="7" t="s">
        <v>175</v>
      </c>
      <c r="U1917" s="7" t="s">
        <v>321</v>
      </c>
      <c r="V1917" s="7"/>
      <c r="W1917" s="7">
        <v>54.06</v>
      </c>
      <c r="X1917" s="132">
        <f t="shared" si="213"/>
        <v>10</v>
      </c>
      <c r="Y1917" s="133"/>
      <c r="Z1917" s="133"/>
      <c r="AA1917" s="133"/>
    </row>
    <row r="1918" spans="1:27" hidden="1" x14ac:dyDescent="0.25">
      <c r="A1918" s="127">
        <v>2099</v>
      </c>
      <c r="B1918" s="128" t="str">
        <f t="shared" si="214"/>
        <v>UCQT</v>
      </c>
      <c r="C1918" s="128" t="str">
        <f>+VLOOKUP(U1918,Ходим!A:B,2,0)</f>
        <v>32911835940021</v>
      </c>
      <c r="D1918" s="128" t="str">
        <f>IFERROR(VLOOKUP($B:$B,[20]свод!$A:$AB,3,0)," ")</f>
        <v>Учқўрғон тумани</v>
      </c>
      <c r="E1918" s="7" t="s">
        <v>3054</v>
      </c>
      <c r="F1918" s="7" t="s">
        <v>9436</v>
      </c>
      <c r="G1918" s="134">
        <f t="shared" si="211"/>
        <v>1</v>
      </c>
      <c r="H1918" s="134" t="str">
        <f t="shared" si="212"/>
        <v/>
      </c>
      <c r="I1918" s="7" t="s">
        <v>158</v>
      </c>
      <c r="J1918" s="7" t="s">
        <v>2</v>
      </c>
      <c r="K1918" s="7"/>
      <c r="L1918" s="7" t="s">
        <v>167</v>
      </c>
      <c r="M1918" s="7" t="s">
        <v>5478</v>
      </c>
      <c r="N1918" s="7" t="s">
        <v>170</v>
      </c>
      <c r="O1918" s="7" t="s">
        <v>162</v>
      </c>
      <c r="P1918" s="7" t="s">
        <v>7153</v>
      </c>
      <c r="Q1918" s="129">
        <v>46199</v>
      </c>
      <c r="R1918" s="130">
        <f t="shared" si="210"/>
        <v>46203</v>
      </c>
      <c r="S1918" s="131">
        <f t="shared" si="215"/>
        <v>4</v>
      </c>
      <c r="T1918" s="7" t="s">
        <v>175</v>
      </c>
      <c r="U1918" s="7" t="s">
        <v>321</v>
      </c>
      <c r="V1918" s="7"/>
      <c r="W1918" s="7">
        <v>217.67</v>
      </c>
      <c r="X1918" s="132">
        <f t="shared" si="213"/>
        <v>10</v>
      </c>
      <c r="Y1918" s="133"/>
      <c r="Z1918" s="133"/>
      <c r="AA1918" s="133"/>
    </row>
    <row r="1919" spans="1:27" x14ac:dyDescent="0.25">
      <c r="A1919" s="127">
        <v>2100</v>
      </c>
      <c r="B1919" s="128" t="str">
        <f t="shared" si="214"/>
        <v>UCQT</v>
      </c>
      <c r="C1919" s="128" t="str">
        <f>+VLOOKUP(U1919,Ходим!A:B,2,0)</f>
        <v>32911835940021</v>
      </c>
      <c r="D1919" s="128" t="str">
        <f>IFERROR(VLOOKUP($B:$B,[20]свод!$A:$AB,3,0)," ")</f>
        <v>Учқўрғон тумани</v>
      </c>
      <c r="E1919" s="7" t="s">
        <v>3055</v>
      </c>
      <c r="F1919" s="7" t="s">
        <v>9437</v>
      </c>
      <c r="G1919" s="134">
        <f t="shared" si="211"/>
        <v>1</v>
      </c>
      <c r="H1919" s="134" t="str">
        <f t="shared" si="212"/>
        <v/>
      </c>
      <c r="I1919" s="7" t="s">
        <v>158</v>
      </c>
      <c r="J1919" s="7" t="s">
        <v>36</v>
      </c>
      <c r="K1919" s="7"/>
      <c r="L1919" s="7" t="s">
        <v>167</v>
      </c>
      <c r="M1919" s="7" t="s">
        <v>5479</v>
      </c>
      <c r="N1919" s="7" t="s">
        <v>170</v>
      </c>
      <c r="O1919" s="7" t="s">
        <v>162</v>
      </c>
      <c r="P1919" s="7" t="s">
        <v>6664</v>
      </c>
      <c r="Q1919" s="129">
        <v>46199</v>
      </c>
      <c r="R1919" s="130">
        <f t="shared" si="210"/>
        <v>46199</v>
      </c>
      <c r="S1919" s="131">
        <f t="shared" si="215"/>
        <v>0</v>
      </c>
      <c r="T1919" s="7" t="s">
        <v>175</v>
      </c>
      <c r="U1919" s="7" t="s">
        <v>321</v>
      </c>
      <c r="V1919" s="7"/>
      <c r="W1919" s="7">
        <v>370.9</v>
      </c>
      <c r="X1919" s="132">
        <f t="shared" si="213"/>
        <v>10</v>
      </c>
      <c r="Y1919" s="133"/>
      <c r="Z1919" s="133"/>
      <c r="AA1919" s="133"/>
    </row>
    <row r="1920" spans="1:27" hidden="1" x14ac:dyDescent="0.25">
      <c r="A1920" s="127">
        <v>2101</v>
      </c>
      <c r="B1920" s="128" t="str">
        <f t="shared" si="214"/>
        <v>NAMS</v>
      </c>
      <c r="C1920" s="128" t="str">
        <f>+VLOOKUP(U1920,Ходим!A:B,2,0)</f>
        <v>31608732170178</v>
      </c>
      <c r="D1920" s="128" t="str">
        <f>IFERROR(VLOOKUP($B:$B,[20]свод!$A:$AB,3,0)," ")</f>
        <v>Наманган шаҳар</v>
      </c>
      <c r="E1920" s="7" t="s">
        <v>3056</v>
      </c>
      <c r="F1920" s="7" t="s">
        <v>9438</v>
      </c>
      <c r="G1920" s="134">
        <f t="shared" si="211"/>
        <v>1</v>
      </c>
      <c r="H1920" s="134" t="str">
        <f t="shared" si="212"/>
        <v/>
      </c>
      <c r="I1920" s="7" t="s">
        <v>158</v>
      </c>
      <c r="J1920" s="7" t="s">
        <v>134</v>
      </c>
      <c r="K1920" s="7"/>
      <c r="L1920" s="7"/>
      <c r="M1920" s="7"/>
      <c r="N1920" s="7" t="s">
        <v>170</v>
      </c>
      <c r="O1920" s="7" t="s">
        <v>162</v>
      </c>
      <c r="P1920" s="7" t="s">
        <v>7154</v>
      </c>
      <c r="Q1920" s="129">
        <v>46199</v>
      </c>
      <c r="R1920" s="130">
        <f t="shared" si="210"/>
        <v>46203</v>
      </c>
      <c r="S1920" s="131">
        <f t="shared" si="215"/>
        <v>4</v>
      </c>
      <c r="T1920" s="7" t="s">
        <v>173</v>
      </c>
      <c r="U1920" s="7" t="s">
        <v>267</v>
      </c>
      <c r="V1920" s="7"/>
      <c r="W1920" s="7"/>
      <c r="X1920" s="132">
        <f t="shared" si="213"/>
        <v>10</v>
      </c>
      <c r="Y1920" s="133"/>
      <c r="Z1920" s="133"/>
      <c r="AA1920" s="133"/>
    </row>
    <row r="1921" spans="1:27" hidden="1" x14ac:dyDescent="0.25">
      <c r="A1921" s="127">
        <v>2102</v>
      </c>
      <c r="B1921" s="128" t="str">
        <f t="shared" si="214"/>
        <v>CHUT</v>
      </c>
      <c r="C1921" s="128" t="str">
        <f>+VLOOKUP(U1921,Ходим!A:B,2,0)</f>
        <v>50309005970046</v>
      </c>
      <c r="D1921" s="128" t="str">
        <f>IFERROR(VLOOKUP($B:$B,[20]свод!$A:$AB,3,0)," ")</f>
        <v>Чуст тумани</v>
      </c>
      <c r="E1921" s="7" t="s">
        <v>3057</v>
      </c>
      <c r="F1921" s="7" t="s">
        <v>9439</v>
      </c>
      <c r="G1921" s="134">
        <f t="shared" si="211"/>
        <v>1</v>
      </c>
      <c r="H1921" s="134" t="str">
        <f t="shared" si="212"/>
        <v/>
      </c>
      <c r="I1921" s="7" t="s">
        <v>158</v>
      </c>
      <c r="J1921" s="7" t="s">
        <v>172</v>
      </c>
      <c r="K1921" s="7"/>
      <c r="L1921" s="7" t="s">
        <v>167</v>
      </c>
      <c r="M1921" s="7" t="s">
        <v>5480</v>
      </c>
      <c r="N1921" s="7" t="s">
        <v>170</v>
      </c>
      <c r="O1921" s="7" t="s">
        <v>162</v>
      </c>
      <c r="P1921" s="7" t="s">
        <v>7154</v>
      </c>
      <c r="Q1921" s="129">
        <v>46199</v>
      </c>
      <c r="R1921" s="130">
        <f t="shared" si="210"/>
        <v>46203</v>
      </c>
      <c r="S1921" s="131">
        <f t="shared" si="215"/>
        <v>4</v>
      </c>
      <c r="T1921" s="7" t="s">
        <v>178</v>
      </c>
      <c r="U1921" s="7" t="s">
        <v>290</v>
      </c>
      <c r="V1921" s="7"/>
      <c r="W1921" s="7">
        <v>263.64999999999998</v>
      </c>
      <c r="X1921" s="132">
        <f t="shared" si="213"/>
        <v>10</v>
      </c>
      <c r="Y1921" s="133"/>
      <c r="Z1921" s="133"/>
      <c r="AA1921" s="133"/>
    </row>
    <row r="1922" spans="1:27" hidden="1" x14ac:dyDescent="0.25">
      <c r="A1922" s="127">
        <v>2103</v>
      </c>
      <c r="B1922" s="128" t="str">
        <f t="shared" si="214"/>
        <v>UCQT</v>
      </c>
      <c r="C1922" s="128" t="str">
        <f>+VLOOKUP(U1922,Ходим!A:B,2,0)</f>
        <v>31402915940019</v>
      </c>
      <c r="D1922" s="128" t="str">
        <f>IFERROR(VLOOKUP($B:$B,[20]свод!$A:$AB,3,0)," ")</f>
        <v>Учқўрғон тумани</v>
      </c>
      <c r="E1922" s="7" t="s">
        <v>3058</v>
      </c>
      <c r="F1922" s="7" t="s">
        <v>9440</v>
      </c>
      <c r="G1922" s="134">
        <f t="shared" si="211"/>
        <v>1</v>
      </c>
      <c r="H1922" s="134" t="str">
        <f t="shared" si="212"/>
        <v/>
      </c>
      <c r="I1922" s="7" t="s">
        <v>158</v>
      </c>
      <c r="J1922" s="7" t="s">
        <v>2</v>
      </c>
      <c r="K1922" s="7"/>
      <c r="L1922" s="7" t="s">
        <v>167</v>
      </c>
      <c r="M1922" s="7" t="s">
        <v>5481</v>
      </c>
      <c r="N1922" s="7" t="s">
        <v>170</v>
      </c>
      <c r="O1922" s="7" t="s">
        <v>162</v>
      </c>
      <c r="P1922" s="7" t="s">
        <v>7154</v>
      </c>
      <c r="Q1922" s="129">
        <v>46199</v>
      </c>
      <c r="R1922" s="130">
        <f t="shared" si="210"/>
        <v>46203</v>
      </c>
      <c r="S1922" s="131">
        <f t="shared" si="215"/>
        <v>4</v>
      </c>
      <c r="T1922" s="7" t="s">
        <v>175</v>
      </c>
      <c r="U1922" s="7" t="s">
        <v>292</v>
      </c>
      <c r="V1922" s="7"/>
      <c r="W1922" s="7">
        <v>223.68</v>
      </c>
      <c r="X1922" s="132">
        <f t="shared" si="213"/>
        <v>10</v>
      </c>
      <c r="Y1922" s="133"/>
      <c r="Z1922" s="133"/>
      <c r="AA1922" s="133"/>
    </row>
    <row r="1923" spans="1:27" hidden="1" x14ac:dyDescent="0.25">
      <c r="A1923" s="127">
        <v>2104</v>
      </c>
      <c r="B1923" s="128" t="str">
        <f t="shared" si="214"/>
        <v>UYCT</v>
      </c>
      <c r="C1923" s="128" t="str">
        <f>+VLOOKUP(U1923,Ходим!A:B,2,0)</f>
        <v>32906985930035</v>
      </c>
      <c r="D1923" s="128" t="str">
        <f>IFERROR(VLOOKUP($B:$B,[20]свод!$A:$AB,3,0)," ")</f>
        <v>Уйчи тумани</v>
      </c>
      <c r="E1923" s="7" t="s">
        <v>3059</v>
      </c>
      <c r="F1923" s="7" t="s">
        <v>9441</v>
      </c>
      <c r="G1923" s="134" t="str">
        <f t="shared" si="211"/>
        <v/>
      </c>
      <c r="H1923" s="134">
        <f t="shared" si="212"/>
        <v>1</v>
      </c>
      <c r="I1923" s="7" t="s">
        <v>157</v>
      </c>
      <c r="J1923" s="7" t="s">
        <v>35</v>
      </c>
      <c r="K1923" s="7"/>
      <c r="L1923" s="7" t="s">
        <v>166</v>
      </c>
      <c r="M1923" s="7" t="s">
        <v>5482</v>
      </c>
      <c r="N1923" s="7" t="s">
        <v>170</v>
      </c>
      <c r="O1923" s="7" t="s">
        <v>161</v>
      </c>
      <c r="P1923" s="7" t="s">
        <v>6488</v>
      </c>
      <c r="Q1923" s="129">
        <v>46199</v>
      </c>
      <c r="R1923" s="130">
        <f t="shared" si="210"/>
        <v>46220</v>
      </c>
      <c r="S1923" s="131">
        <f t="shared" si="215"/>
        <v>21</v>
      </c>
      <c r="T1923" s="7" t="s">
        <v>947</v>
      </c>
      <c r="U1923" s="7" t="s">
        <v>257</v>
      </c>
      <c r="V1923" s="7"/>
      <c r="W1923" s="7">
        <v>5786.09</v>
      </c>
      <c r="X1923" s="132">
        <f t="shared" si="213"/>
        <v>22</v>
      </c>
      <c r="Y1923" s="133"/>
      <c r="Z1923" s="133"/>
      <c r="AA1923" s="133"/>
    </row>
    <row r="1924" spans="1:27" hidden="1" x14ac:dyDescent="0.25">
      <c r="A1924" s="127">
        <v>2105</v>
      </c>
      <c r="B1924" s="128" t="str">
        <f t="shared" si="214"/>
        <v>MINT</v>
      </c>
      <c r="C1924" s="128" t="str">
        <f>+VLOOKUP(U1924,Ходим!A:B,2,0)</f>
        <v>30910905990010</v>
      </c>
      <c r="D1924" s="128" t="str">
        <f>IFERROR(VLOOKUP($B:$B,[20]свод!$A:$AB,3,0)," ")</f>
        <v>Мингбулоқ тумани</v>
      </c>
      <c r="E1924" s="7" t="s">
        <v>3060</v>
      </c>
      <c r="F1924" s="7" t="s">
        <v>9442</v>
      </c>
      <c r="G1924" s="134">
        <f t="shared" si="211"/>
        <v>1</v>
      </c>
      <c r="H1924" s="134" t="str">
        <f t="shared" si="212"/>
        <v/>
      </c>
      <c r="I1924" s="7" t="s">
        <v>158</v>
      </c>
      <c r="J1924" s="7" t="s">
        <v>134</v>
      </c>
      <c r="K1924" s="7"/>
      <c r="L1924" s="7" t="s">
        <v>167</v>
      </c>
      <c r="M1924" s="7" t="s">
        <v>5483</v>
      </c>
      <c r="N1924" s="7" t="s">
        <v>170</v>
      </c>
      <c r="O1924" s="7" t="s">
        <v>162</v>
      </c>
      <c r="P1924" s="7" t="s">
        <v>7155</v>
      </c>
      <c r="Q1924" s="129">
        <v>46199</v>
      </c>
      <c r="R1924" s="130">
        <f t="shared" si="210"/>
        <v>46203</v>
      </c>
      <c r="S1924" s="131">
        <f t="shared" si="215"/>
        <v>4</v>
      </c>
      <c r="T1924" s="7" t="s">
        <v>220</v>
      </c>
      <c r="U1924" s="7" t="s">
        <v>221</v>
      </c>
      <c r="V1924" s="7"/>
      <c r="W1924" s="7">
        <v>358.04</v>
      </c>
      <c r="X1924" s="132">
        <f t="shared" si="213"/>
        <v>10</v>
      </c>
      <c r="Y1924" s="133"/>
      <c r="Z1924" s="133"/>
      <c r="AA1924" s="133"/>
    </row>
    <row r="1925" spans="1:27" hidden="1" x14ac:dyDescent="0.25">
      <c r="A1925" s="127">
        <v>2106</v>
      </c>
      <c r="B1925" s="128" t="str">
        <f t="shared" si="214"/>
        <v>UYCT</v>
      </c>
      <c r="C1925" s="128" t="str">
        <f>+VLOOKUP(U1925,Ходим!A:B,2,0)</f>
        <v>52009025890053</v>
      </c>
      <c r="D1925" s="128" t="str">
        <f>IFERROR(VLOOKUP($B:$B,[20]свод!$A:$AB,3,0)," ")</f>
        <v>Уйчи тумани</v>
      </c>
      <c r="E1925" s="7" t="s">
        <v>3061</v>
      </c>
      <c r="F1925" s="7" t="s">
        <v>9443</v>
      </c>
      <c r="G1925" s="134">
        <f t="shared" si="211"/>
        <v>1</v>
      </c>
      <c r="H1925" s="134" t="str">
        <f t="shared" si="212"/>
        <v/>
      </c>
      <c r="I1925" s="7" t="s">
        <v>158</v>
      </c>
      <c r="J1925" s="7" t="s">
        <v>2</v>
      </c>
      <c r="K1925" s="7"/>
      <c r="L1925" s="7" t="s">
        <v>167</v>
      </c>
      <c r="M1925" s="7" t="s">
        <v>1071</v>
      </c>
      <c r="N1925" s="7" t="s">
        <v>410</v>
      </c>
      <c r="O1925" s="7" t="s">
        <v>162</v>
      </c>
      <c r="P1925" s="7" t="s">
        <v>6478</v>
      </c>
      <c r="Q1925" s="129">
        <v>46199</v>
      </c>
      <c r="R1925" s="130">
        <f t="shared" si="210"/>
        <v>46205</v>
      </c>
      <c r="S1925" s="131">
        <f t="shared" si="215"/>
        <v>6</v>
      </c>
      <c r="T1925" s="7" t="s">
        <v>947</v>
      </c>
      <c r="U1925" s="7" t="s">
        <v>407</v>
      </c>
      <c r="V1925" s="7"/>
      <c r="W1925" s="7">
        <v>0</v>
      </c>
      <c r="X1925" s="132">
        <f t="shared" si="213"/>
        <v>10</v>
      </c>
      <c r="Y1925" s="133"/>
      <c r="Z1925" s="133"/>
      <c r="AA1925" s="133"/>
    </row>
    <row r="1926" spans="1:27" hidden="1" x14ac:dyDescent="0.25">
      <c r="A1926" s="127">
        <v>2107</v>
      </c>
      <c r="B1926" s="128" t="str">
        <f t="shared" si="214"/>
        <v>POPT</v>
      </c>
      <c r="C1926" s="128" t="str">
        <f>+VLOOKUP(U1926,Ходим!A:B,2,0)</f>
        <v>31103842180041</v>
      </c>
      <c r="D1926" s="128" t="str">
        <f>IFERROR(VLOOKUP($B:$B,[20]свод!$A:$AB,3,0)," ")</f>
        <v>Поп тумани</v>
      </c>
      <c r="E1926" s="7" t="s">
        <v>3062</v>
      </c>
      <c r="F1926" s="7" t="s">
        <v>9444</v>
      </c>
      <c r="G1926" s="134">
        <f t="shared" si="211"/>
        <v>1</v>
      </c>
      <c r="H1926" s="134" t="str">
        <f t="shared" si="212"/>
        <v/>
      </c>
      <c r="I1926" s="7" t="s">
        <v>158</v>
      </c>
      <c r="J1926" s="7" t="s">
        <v>2</v>
      </c>
      <c r="K1926" s="7"/>
      <c r="L1926" s="7" t="s">
        <v>167</v>
      </c>
      <c r="M1926" s="7" t="s">
        <v>5484</v>
      </c>
      <c r="N1926" s="7" t="s">
        <v>410</v>
      </c>
      <c r="O1926" s="7" t="s">
        <v>162</v>
      </c>
      <c r="P1926" s="7" t="s">
        <v>6904</v>
      </c>
      <c r="Q1926" s="129">
        <v>46199</v>
      </c>
      <c r="R1926" s="130">
        <f t="shared" si="210"/>
        <v>46206</v>
      </c>
      <c r="S1926" s="131">
        <f t="shared" si="215"/>
        <v>7</v>
      </c>
      <c r="T1926" s="7" t="s">
        <v>240</v>
      </c>
      <c r="U1926" s="7" t="s">
        <v>337</v>
      </c>
      <c r="V1926" s="7"/>
      <c r="W1926" s="7">
        <v>173.7</v>
      </c>
      <c r="X1926" s="132">
        <f t="shared" si="213"/>
        <v>10</v>
      </c>
      <c r="Y1926" s="133"/>
      <c r="Z1926" s="133"/>
      <c r="AA1926" s="133"/>
    </row>
    <row r="1927" spans="1:27" hidden="1" x14ac:dyDescent="0.25">
      <c r="A1927" s="127">
        <v>2108</v>
      </c>
      <c r="B1927" s="128" t="str">
        <f t="shared" si="214"/>
        <v>NAMS</v>
      </c>
      <c r="C1927" s="128" t="str">
        <f>+VLOOKUP(U1927,Ходим!A:B,2,0)</f>
        <v>33012942170121</v>
      </c>
      <c r="D1927" s="128" t="str">
        <f>IFERROR(VLOOKUP($B:$B,[20]свод!$A:$AB,3,0)," ")</f>
        <v>Наманган шаҳар</v>
      </c>
      <c r="E1927" s="7" t="s">
        <v>3063</v>
      </c>
      <c r="F1927" s="7" t="s">
        <v>9445</v>
      </c>
      <c r="G1927" s="134">
        <f t="shared" si="211"/>
        <v>1</v>
      </c>
      <c r="H1927" s="134" t="str">
        <f t="shared" si="212"/>
        <v/>
      </c>
      <c r="I1927" s="7" t="s">
        <v>158</v>
      </c>
      <c r="J1927" s="7" t="s">
        <v>2</v>
      </c>
      <c r="K1927" s="7"/>
      <c r="L1927" s="7"/>
      <c r="M1927" s="7"/>
      <c r="N1927" s="7" t="s">
        <v>170</v>
      </c>
      <c r="O1927" s="7" t="s">
        <v>162</v>
      </c>
      <c r="P1927" s="7" t="s">
        <v>7156</v>
      </c>
      <c r="Q1927" s="129">
        <v>46199</v>
      </c>
      <c r="R1927" s="130">
        <f t="shared" si="210"/>
        <v>46203</v>
      </c>
      <c r="S1927" s="131">
        <f t="shared" si="215"/>
        <v>4</v>
      </c>
      <c r="T1927" s="7" t="s">
        <v>185</v>
      </c>
      <c r="U1927" s="7" t="s">
        <v>259</v>
      </c>
      <c r="V1927" s="7"/>
      <c r="W1927" s="7"/>
      <c r="X1927" s="132">
        <f t="shared" si="213"/>
        <v>10</v>
      </c>
      <c r="Y1927" s="133"/>
      <c r="Z1927" s="133"/>
      <c r="AA1927" s="133"/>
    </row>
    <row r="1928" spans="1:27" hidden="1" x14ac:dyDescent="0.25">
      <c r="A1928" s="127">
        <v>2109</v>
      </c>
      <c r="B1928" s="128" t="str">
        <f t="shared" si="214"/>
        <v>UYCT</v>
      </c>
      <c r="C1928" s="128" t="str">
        <f>+VLOOKUP(U1928,Ходим!A:B,2,0)</f>
        <v>31703985930055</v>
      </c>
      <c r="D1928" s="128" t="str">
        <f>IFERROR(VLOOKUP($B:$B,[20]свод!$A:$AB,3,0)," ")</f>
        <v>Уйчи тумани</v>
      </c>
      <c r="E1928" s="7" t="s">
        <v>3064</v>
      </c>
      <c r="F1928" s="7" t="s">
        <v>9446</v>
      </c>
      <c r="G1928" s="134">
        <f t="shared" si="211"/>
        <v>1</v>
      </c>
      <c r="H1928" s="134" t="str">
        <f t="shared" si="212"/>
        <v/>
      </c>
      <c r="I1928" s="7" t="s">
        <v>158</v>
      </c>
      <c r="J1928" s="7" t="s">
        <v>84</v>
      </c>
      <c r="K1928" s="7"/>
      <c r="L1928" s="7" t="s">
        <v>167</v>
      </c>
      <c r="M1928" s="7" t="s">
        <v>5485</v>
      </c>
      <c r="N1928" s="7" t="s">
        <v>170</v>
      </c>
      <c r="O1928" s="7" t="s">
        <v>162</v>
      </c>
      <c r="P1928" s="7" t="s">
        <v>7156</v>
      </c>
      <c r="Q1928" s="129">
        <v>46199</v>
      </c>
      <c r="R1928" s="130">
        <f t="shared" si="210"/>
        <v>46203</v>
      </c>
      <c r="S1928" s="131">
        <f t="shared" si="215"/>
        <v>4</v>
      </c>
      <c r="T1928" s="7" t="s">
        <v>947</v>
      </c>
      <c r="U1928" s="7" t="s">
        <v>276</v>
      </c>
      <c r="V1928" s="7"/>
      <c r="W1928" s="7">
        <v>162.6</v>
      </c>
      <c r="X1928" s="132">
        <f t="shared" si="213"/>
        <v>10</v>
      </c>
      <c r="Y1928" s="133"/>
      <c r="Z1928" s="133"/>
      <c r="AA1928" s="133"/>
    </row>
    <row r="1929" spans="1:27" hidden="1" x14ac:dyDescent="0.25">
      <c r="A1929" s="127">
        <v>2110</v>
      </c>
      <c r="B1929" s="128" t="str">
        <f t="shared" si="214"/>
        <v>CHUT</v>
      </c>
      <c r="C1929" s="128" t="str">
        <f>+VLOOKUP(U1929,Ходим!A:B,2,0)</f>
        <v>50309005970046</v>
      </c>
      <c r="D1929" s="128" t="str">
        <f>IFERROR(VLOOKUP($B:$B,[20]свод!$A:$AB,3,0)," ")</f>
        <v>Чуст тумани</v>
      </c>
      <c r="E1929" s="7" t="s">
        <v>3065</v>
      </c>
      <c r="F1929" s="7" t="s">
        <v>9447</v>
      </c>
      <c r="G1929" s="134">
        <f t="shared" si="211"/>
        <v>1</v>
      </c>
      <c r="H1929" s="134" t="str">
        <f t="shared" si="212"/>
        <v/>
      </c>
      <c r="I1929" s="7" t="s">
        <v>158</v>
      </c>
      <c r="J1929" s="7" t="s">
        <v>172</v>
      </c>
      <c r="K1929" s="7"/>
      <c r="L1929" s="7" t="s">
        <v>167</v>
      </c>
      <c r="M1929" s="7" t="s">
        <v>5486</v>
      </c>
      <c r="N1929" s="7" t="s">
        <v>170</v>
      </c>
      <c r="O1929" s="7" t="s">
        <v>163</v>
      </c>
      <c r="P1929" s="7" t="s">
        <v>7157</v>
      </c>
      <c r="Q1929" s="129">
        <v>46199</v>
      </c>
      <c r="R1929" s="130">
        <f t="shared" si="210"/>
        <v>46203</v>
      </c>
      <c r="S1929" s="131">
        <f t="shared" si="215"/>
        <v>4</v>
      </c>
      <c r="T1929" s="7" t="s">
        <v>178</v>
      </c>
      <c r="U1929" s="7" t="s">
        <v>290</v>
      </c>
      <c r="V1929" s="7"/>
      <c r="W1929" s="7">
        <v>195.65</v>
      </c>
      <c r="X1929" s="132">
        <f t="shared" si="213"/>
        <v>10</v>
      </c>
      <c r="Y1929" s="133"/>
      <c r="Z1929" s="133"/>
      <c r="AA1929" s="133"/>
    </row>
    <row r="1930" spans="1:27" hidden="1" x14ac:dyDescent="0.25">
      <c r="A1930" s="127">
        <v>2111</v>
      </c>
      <c r="B1930" s="128" t="str">
        <f t="shared" si="214"/>
        <v>CHUT</v>
      </c>
      <c r="C1930" s="128" t="str">
        <f>+VLOOKUP(U1930,Ходим!A:B,2,0)</f>
        <v>32006862180015</v>
      </c>
      <c r="D1930" s="128" t="str">
        <f>IFERROR(VLOOKUP($B:$B,[20]свод!$A:$AB,3,0)," ")</f>
        <v>Чуст тумани</v>
      </c>
      <c r="E1930" s="7" t="s">
        <v>3066</v>
      </c>
      <c r="F1930" s="7" t="s">
        <v>9448</v>
      </c>
      <c r="G1930" s="134">
        <f t="shared" si="211"/>
        <v>1</v>
      </c>
      <c r="H1930" s="134" t="str">
        <f t="shared" si="212"/>
        <v/>
      </c>
      <c r="I1930" s="7" t="s">
        <v>158</v>
      </c>
      <c r="J1930" s="7" t="s">
        <v>172</v>
      </c>
      <c r="K1930" s="7"/>
      <c r="L1930" s="7" t="s">
        <v>167</v>
      </c>
      <c r="M1930" s="7" t="s">
        <v>5487</v>
      </c>
      <c r="N1930" s="7" t="s">
        <v>170</v>
      </c>
      <c r="O1930" s="7" t="s">
        <v>162</v>
      </c>
      <c r="P1930" s="7" t="s">
        <v>7157</v>
      </c>
      <c r="Q1930" s="129">
        <v>46199</v>
      </c>
      <c r="R1930" s="130">
        <f t="shared" si="210"/>
        <v>46203</v>
      </c>
      <c r="S1930" s="131">
        <f t="shared" si="215"/>
        <v>4</v>
      </c>
      <c r="T1930" s="7" t="s">
        <v>178</v>
      </c>
      <c r="U1930" s="7" t="s">
        <v>347</v>
      </c>
      <c r="V1930" s="7"/>
      <c r="W1930" s="7">
        <v>197.37</v>
      </c>
      <c r="X1930" s="132">
        <f t="shared" si="213"/>
        <v>10</v>
      </c>
      <c r="Y1930" s="133"/>
      <c r="Z1930" s="133"/>
      <c r="AA1930" s="133"/>
    </row>
    <row r="1931" spans="1:27" hidden="1" x14ac:dyDescent="0.25">
      <c r="A1931" s="127">
        <v>2112</v>
      </c>
      <c r="B1931" s="128" t="str">
        <f t="shared" si="214"/>
        <v>YGQT</v>
      </c>
      <c r="C1931" s="128" t="str">
        <f>+VLOOKUP(U1931,Ходим!A:B,2,0)</f>
        <v>52410005950025</v>
      </c>
      <c r="D1931" s="128" t="str">
        <f>IFERROR(VLOOKUP($B:$B,[20]свод!$A:$AB,3,0)," ")</f>
        <v>Янгиқўрғон тумани</v>
      </c>
      <c r="E1931" s="7" t="s">
        <v>3067</v>
      </c>
      <c r="F1931" s="7"/>
      <c r="G1931" s="134">
        <f t="shared" si="211"/>
        <v>1</v>
      </c>
      <c r="H1931" s="134" t="str">
        <f t="shared" si="212"/>
        <v/>
      </c>
      <c r="I1931" s="7" t="s">
        <v>154</v>
      </c>
      <c r="J1931" s="7" t="s">
        <v>12</v>
      </c>
      <c r="K1931" s="7"/>
      <c r="L1931" s="7" t="s">
        <v>167</v>
      </c>
      <c r="M1931" s="7" t="s">
        <v>5488</v>
      </c>
      <c r="N1931" s="7" t="s">
        <v>368</v>
      </c>
      <c r="O1931" s="7"/>
      <c r="P1931" s="7" t="s">
        <v>7158</v>
      </c>
      <c r="Q1931" s="129">
        <v>46199</v>
      </c>
      <c r="R1931" s="130">
        <f t="shared" si="210"/>
        <v>46203</v>
      </c>
      <c r="S1931" s="131">
        <f t="shared" si="215"/>
        <v>4</v>
      </c>
      <c r="T1931" s="7"/>
      <c r="U1931" s="7" t="s">
        <v>256</v>
      </c>
      <c r="V1931" s="7"/>
      <c r="W1931" s="7">
        <v>194.36</v>
      </c>
      <c r="X1931" s="132">
        <f t="shared" si="213"/>
        <v>5</v>
      </c>
      <c r="Y1931" s="133"/>
      <c r="Z1931" s="133"/>
      <c r="AA1931" s="133"/>
    </row>
    <row r="1932" spans="1:27" hidden="1" x14ac:dyDescent="0.25">
      <c r="A1932" s="127">
        <v>2113</v>
      </c>
      <c r="B1932" s="128" t="str">
        <f t="shared" si="214"/>
        <v>MINT</v>
      </c>
      <c r="C1932" s="128" t="str">
        <f>+VLOOKUP(U1932,Ходим!A:B,2,0)</f>
        <v>30910905990010</v>
      </c>
      <c r="D1932" s="128" t="str">
        <f>IFERROR(VLOOKUP($B:$B,[20]свод!$A:$AB,3,0)," ")</f>
        <v>Мингбулоқ тумани</v>
      </c>
      <c r="E1932" s="7" t="s">
        <v>3068</v>
      </c>
      <c r="F1932" s="7" t="s">
        <v>9449</v>
      </c>
      <c r="G1932" s="134">
        <f t="shared" si="211"/>
        <v>1</v>
      </c>
      <c r="H1932" s="134" t="str">
        <f t="shared" si="212"/>
        <v/>
      </c>
      <c r="I1932" s="7" t="s">
        <v>158</v>
      </c>
      <c r="J1932" s="7" t="s">
        <v>1</v>
      </c>
      <c r="K1932" s="7"/>
      <c r="L1932" s="7" t="s">
        <v>167</v>
      </c>
      <c r="M1932" s="7" t="s">
        <v>5489</v>
      </c>
      <c r="N1932" s="7" t="s">
        <v>170</v>
      </c>
      <c r="O1932" s="7" t="s">
        <v>162</v>
      </c>
      <c r="P1932" s="7" t="s">
        <v>7159</v>
      </c>
      <c r="Q1932" s="129">
        <v>46199</v>
      </c>
      <c r="R1932" s="130">
        <f t="shared" ref="R1932:R1993" si="216">WORKDAY(P1932,X1932,$Y$1:$AA$1)</f>
        <v>46203</v>
      </c>
      <c r="S1932" s="131">
        <f t="shared" si="215"/>
        <v>4</v>
      </c>
      <c r="T1932" s="7" t="s">
        <v>220</v>
      </c>
      <c r="U1932" s="7" t="s">
        <v>221</v>
      </c>
      <c r="V1932" s="7"/>
      <c r="W1932" s="7">
        <v>488.66</v>
      </c>
      <c r="X1932" s="132">
        <f t="shared" si="213"/>
        <v>10</v>
      </c>
      <c r="Y1932" s="133"/>
      <c r="Z1932" s="133"/>
      <c r="AA1932" s="133"/>
    </row>
    <row r="1933" spans="1:27" hidden="1" x14ac:dyDescent="0.25">
      <c r="A1933" s="127">
        <v>2114</v>
      </c>
      <c r="B1933" s="128" t="str">
        <f t="shared" si="214"/>
        <v>TORT</v>
      </c>
      <c r="C1933" s="128" t="str">
        <f>+VLOOKUP(U1933,Ходим!A:B,2,0)</f>
        <v>40302922130046</v>
      </c>
      <c r="D1933" s="128" t="str">
        <f>IFERROR(VLOOKUP($B:$B,[20]свод!$A:$AB,3,0)," ")</f>
        <v>Тўрақўрғон тумани</v>
      </c>
      <c r="E1933" s="7" t="s">
        <v>3069</v>
      </c>
      <c r="F1933" s="7" t="s">
        <v>9450</v>
      </c>
      <c r="G1933" s="134">
        <f t="shared" si="211"/>
        <v>1</v>
      </c>
      <c r="H1933" s="134" t="str">
        <f t="shared" si="212"/>
        <v/>
      </c>
      <c r="I1933" s="7" t="s">
        <v>158</v>
      </c>
      <c r="J1933" s="7" t="s">
        <v>2</v>
      </c>
      <c r="K1933" s="7"/>
      <c r="L1933" s="7" t="s">
        <v>167</v>
      </c>
      <c r="M1933" s="7" t="s">
        <v>5490</v>
      </c>
      <c r="N1933" s="7" t="s">
        <v>170</v>
      </c>
      <c r="O1933" s="7" t="s">
        <v>162</v>
      </c>
      <c r="P1933" s="7" t="s">
        <v>7159</v>
      </c>
      <c r="Q1933" s="129">
        <v>46199</v>
      </c>
      <c r="R1933" s="130">
        <f t="shared" si="216"/>
        <v>46203</v>
      </c>
      <c r="S1933" s="131">
        <f t="shared" si="215"/>
        <v>4</v>
      </c>
      <c r="T1933" s="7" t="s">
        <v>203</v>
      </c>
      <c r="U1933" s="7" t="s">
        <v>258</v>
      </c>
      <c r="V1933" s="7"/>
      <c r="W1933" s="7">
        <v>0</v>
      </c>
      <c r="X1933" s="132">
        <f t="shared" si="213"/>
        <v>10</v>
      </c>
      <c r="Y1933" s="133"/>
      <c r="Z1933" s="133"/>
      <c r="AA1933" s="133"/>
    </row>
    <row r="1934" spans="1:27" hidden="1" x14ac:dyDescent="0.25">
      <c r="A1934" s="127">
        <v>2115</v>
      </c>
      <c r="B1934" s="128" t="str">
        <f t="shared" si="214"/>
        <v>NAMS</v>
      </c>
      <c r="C1934" s="128" t="str">
        <f>+VLOOKUP(U1934,Ходим!A:B,2,0)</f>
        <v>33012942170121</v>
      </c>
      <c r="D1934" s="128" t="str">
        <f>IFERROR(VLOOKUP($B:$B,[20]свод!$A:$AB,3,0)," ")</f>
        <v>Наманган шаҳар</v>
      </c>
      <c r="E1934" s="7" t="s">
        <v>3070</v>
      </c>
      <c r="F1934" s="7" t="s">
        <v>9451</v>
      </c>
      <c r="G1934" s="134">
        <f t="shared" si="211"/>
        <v>1</v>
      </c>
      <c r="H1934" s="134" t="str">
        <f t="shared" si="212"/>
        <v/>
      </c>
      <c r="I1934" s="7" t="s">
        <v>158</v>
      </c>
      <c r="J1934" s="7" t="s">
        <v>134</v>
      </c>
      <c r="K1934" s="7"/>
      <c r="L1934" s="7"/>
      <c r="M1934" s="7"/>
      <c r="N1934" s="7" t="s">
        <v>170</v>
      </c>
      <c r="O1934" s="7" t="s">
        <v>162</v>
      </c>
      <c r="P1934" s="7" t="s">
        <v>7159</v>
      </c>
      <c r="Q1934" s="129">
        <v>46199</v>
      </c>
      <c r="R1934" s="130">
        <f t="shared" si="216"/>
        <v>46203</v>
      </c>
      <c r="S1934" s="131">
        <f t="shared" si="215"/>
        <v>4</v>
      </c>
      <c r="T1934" s="7" t="s">
        <v>173</v>
      </c>
      <c r="U1934" s="7" t="s">
        <v>259</v>
      </c>
      <c r="V1934" s="7"/>
      <c r="W1934" s="7"/>
      <c r="X1934" s="132">
        <f t="shared" si="213"/>
        <v>10</v>
      </c>
      <c r="Y1934" s="133"/>
      <c r="Z1934" s="133"/>
      <c r="AA1934" s="133"/>
    </row>
    <row r="1935" spans="1:27" hidden="1" x14ac:dyDescent="0.25">
      <c r="A1935" s="127">
        <v>2116</v>
      </c>
      <c r="B1935" s="128" t="str">
        <f t="shared" si="214"/>
        <v>MINT</v>
      </c>
      <c r="C1935" s="128" t="str">
        <f>+VLOOKUP(U1935,Ходим!A:B,2,0)</f>
        <v>53110035990017</v>
      </c>
      <c r="D1935" s="128" t="str">
        <f>IFERROR(VLOOKUP($B:$B,[20]свод!$A:$AB,3,0)," ")</f>
        <v>Мингбулоқ тумани</v>
      </c>
      <c r="E1935" s="7" t="s">
        <v>3071</v>
      </c>
      <c r="F1935" s="7" t="s">
        <v>9452</v>
      </c>
      <c r="G1935" s="134">
        <f t="shared" si="211"/>
        <v>1</v>
      </c>
      <c r="H1935" s="134" t="str">
        <f t="shared" si="212"/>
        <v/>
      </c>
      <c r="I1935" s="7" t="s">
        <v>158</v>
      </c>
      <c r="J1935" s="7" t="s">
        <v>2</v>
      </c>
      <c r="K1935" s="7"/>
      <c r="L1935" s="7"/>
      <c r="M1935" s="7"/>
      <c r="N1935" s="7" t="s">
        <v>410</v>
      </c>
      <c r="O1935" s="7" t="s">
        <v>162</v>
      </c>
      <c r="P1935" s="7" t="s">
        <v>7160</v>
      </c>
      <c r="Q1935" s="129">
        <v>46199</v>
      </c>
      <c r="R1935" s="130">
        <f t="shared" si="216"/>
        <v>46203</v>
      </c>
      <c r="S1935" s="131">
        <f t="shared" si="215"/>
        <v>4</v>
      </c>
      <c r="T1935" s="7" t="s">
        <v>220</v>
      </c>
      <c r="U1935" s="7" t="s">
        <v>372</v>
      </c>
      <c r="V1935" s="7"/>
      <c r="W1935" s="7"/>
      <c r="X1935" s="132">
        <f t="shared" si="213"/>
        <v>10</v>
      </c>
      <c r="Y1935" s="133"/>
      <c r="Z1935" s="133"/>
      <c r="AA1935" s="133"/>
    </row>
    <row r="1936" spans="1:27" hidden="1" x14ac:dyDescent="0.25">
      <c r="A1936" s="127">
        <v>2117</v>
      </c>
      <c r="B1936" s="128" t="str">
        <f t="shared" si="214"/>
        <v>CHOT</v>
      </c>
      <c r="C1936" s="128" t="str">
        <f>+VLOOKUP(U1936,Ходим!A:B,2,0)</f>
        <v>32906975890046</v>
      </c>
      <c r="D1936" s="128" t="str">
        <f>IFERROR(VLOOKUP($B:$B,[20]свод!$A:$AB,3,0)," ")</f>
        <v>Чортоқ тумани</v>
      </c>
      <c r="E1936" s="7" t="s">
        <v>3072</v>
      </c>
      <c r="F1936" s="7" t="s">
        <v>9453</v>
      </c>
      <c r="G1936" s="134" t="str">
        <f t="shared" ref="G1936:G1997" si="217">IF(OR(
I1936="Turar joy obyektning kadastr pasportini shakllantirish va davlat ro'yxatidan o'tkazish",
I1936="Turar kompozit"
),
1,
IF(OR(
I1936="Noturar kompozit",
I1936="Avtoyo'l va suv xo'jaligi obyektining kadastr pasportini shakllantirish va ro'yxatga olish",
I1936="Noturar obyektning kadastr pasportining kadastr pasportini shakllantirish va davlat ro'yxatidan o'tkazish"
),
"",
IF(OR(
I1936="Notarius uchun ma'lumotnoma (uz)",
I1936="Qurilishi tugallangan ko'chmas mulkni foydalanishga qabul qilish",
I1936="Umumiy foydalanishdagi ko'chmas mulk qismini yaratish",
I1936="Registratsiya (tashqi - UZKAD da bor)"
),
IF(OR(L1936="Turar yer maydoni",L1936="Yakka tartibdagi turar joy"),1,
IF(L1936="Noturar bino","",
IF(L1936="Noturar yer maydoni","",
IF(L1936="",IF(OR(O1936="Turar joy xizmati",O1936="Foydalanishga ruxsatnoma berish xizmati"),1,""),"")
))),
"")))</f>
        <v/>
      </c>
      <c r="H1936" s="134">
        <f t="shared" ref="H1936:H1997" si="218">IF(OR(
I1936="Turar joy obyektning kadastr pasportini shakllantirish va davlat ro'yxatidan o'tkazish",
I1936="Turar kompozit"
),
"",
IF(OR(
I1936="Noturar kompozit",
I1936="Avtoyo'l va suv xo'jaligi obyektining kadastr pasportini shakllantirish va ro'yxatga olish",
I1936="Noturar obyektning kadastr pasportini shakllantirish va davlat ro'yxatidan o'tkazish"
),
1,
IF(OR(
I1936="Notarius uchun ma'lumotnoma (uz)",
I1936="Qurilishi tugallangan ko'chmas mulkni foydalanishga qabul qilish",
I1936="Umumiy foydalanishdagi ko'chmas mulk qismini yaratish",
I1936="Registratsiya (tashqi - UZKAD da bor)"
),
IF(OR(L1936="Turar yer maydoni",L1936="Yakka tartibdagi turar joy"),"",
IF(L1936="Noturar bino",1,
IF(L1936="Noturar yer maydoni",1,
IF(L1936="",IF(OR(O1936="Turar joy xizmati",O1936="Foydalanishga ruxsatnoma berish xizmati"),"",1),"")
))),
"")))</f>
        <v>1</v>
      </c>
      <c r="I1936" s="7" t="s">
        <v>157</v>
      </c>
      <c r="J1936" s="7" t="s">
        <v>2</v>
      </c>
      <c r="K1936" s="7"/>
      <c r="L1936" s="7"/>
      <c r="M1936" s="7"/>
      <c r="N1936" s="7" t="s">
        <v>170</v>
      </c>
      <c r="O1936" s="7" t="s">
        <v>161</v>
      </c>
      <c r="P1936" s="7" t="s">
        <v>7161</v>
      </c>
      <c r="Q1936" s="129">
        <v>46199</v>
      </c>
      <c r="R1936" s="130">
        <f t="shared" si="216"/>
        <v>46203</v>
      </c>
      <c r="S1936" s="131">
        <f t="shared" si="215"/>
        <v>4</v>
      </c>
      <c r="T1936" s="7" t="s">
        <v>10635</v>
      </c>
      <c r="U1936" s="7" t="s">
        <v>335</v>
      </c>
      <c r="V1936" s="7"/>
      <c r="W1936" s="7"/>
      <c r="X1936" s="132">
        <f t="shared" si="213"/>
        <v>10</v>
      </c>
      <c r="Y1936" s="133"/>
      <c r="Z1936" s="133"/>
      <c r="AA1936" s="133"/>
    </row>
    <row r="1937" spans="1:27" hidden="1" x14ac:dyDescent="0.25">
      <c r="A1937" s="127">
        <v>2118</v>
      </c>
      <c r="B1937" s="128" t="str">
        <f t="shared" si="214"/>
        <v>NAMS</v>
      </c>
      <c r="C1937" s="128" t="str">
        <f>+VLOOKUP(U1937,Ходим!A:B,2,0)</f>
        <v>31007955980023</v>
      </c>
      <c r="D1937" s="128" t="str">
        <f>IFERROR(VLOOKUP($B:$B,[20]свод!$A:$AB,3,0)," ")</f>
        <v>Наманган шаҳар</v>
      </c>
      <c r="E1937" s="7" t="s">
        <v>3073</v>
      </c>
      <c r="F1937" s="7" t="s">
        <v>9454</v>
      </c>
      <c r="G1937" s="134">
        <f t="shared" si="217"/>
        <v>1</v>
      </c>
      <c r="H1937" s="134" t="str">
        <f t="shared" si="218"/>
        <v/>
      </c>
      <c r="I1937" s="7" t="s">
        <v>158</v>
      </c>
      <c r="J1937" s="7" t="s">
        <v>2</v>
      </c>
      <c r="K1937" s="7"/>
      <c r="L1937" s="7" t="s">
        <v>167</v>
      </c>
      <c r="M1937" s="7" t="s">
        <v>381</v>
      </c>
      <c r="N1937" s="7" t="s">
        <v>170</v>
      </c>
      <c r="O1937" s="7" t="s">
        <v>162</v>
      </c>
      <c r="P1937" s="7" t="s">
        <v>7162</v>
      </c>
      <c r="Q1937" s="129">
        <v>46199</v>
      </c>
      <c r="R1937" s="130">
        <f t="shared" si="216"/>
        <v>46203</v>
      </c>
      <c r="S1937" s="131">
        <f t="shared" si="215"/>
        <v>4</v>
      </c>
      <c r="T1937" s="7" t="s">
        <v>173</v>
      </c>
      <c r="U1937" s="7" t="s">
        <v>207</v>
      </c>
      <c r="V1937" s="7"/>
      <c r="W1937" s="7">
        <v>0</v>
      </c>
      <c r="X1937" s="132">
        <f t="shared" si="213"/>
        <v>10</v>
      </c>
      <c r="Y1937" s="133"/>
      <c r="Z1937" s="133"/>
      <c r="AA1937" s="133"/>
    </row>
    <row r="1938" spans="1:27" hidden="1" x14ac:dyDescent="0.25">
      <c r="A1938" s="127">
        <v>2119</v>
      </c>
      <c r="B1938" s="128" t="str">
        <f t="shared" si="214"/>
        <v>TORT</v>
      </c>
      <c r="C1938" s="128" t="str">
        <f>+VLOOKUP(U1938,Ходим!A:B,2,0)</f>
        <v>31609912130025</v>
      </c>
      <c r="D1938" s="128" t="str">
        <f>IFERROR(VLOOKUP($B:$B,[20]свод!$A:$AB,3,0)," ")</f>
        <v>Тўрақўрғон тумани</v>
      </c>
      <c r="E1938" s="7" t="s">
        <v>3074</v>
      </c>
      <c r="F1938" s="7" t="s">
        <v>9455</v>
      </c>
      <c r="G1938" s="134">
        <f t="shared" si="217"/>
        <v>1</v>
      </c>
      <c r="H1938" s="134" t="str">
        <f t="shared" si="218"/>
        <v/>
      </c>
      <c r="I1938" s="7" t="s">
        <v>158</v>
      </c>
      <c r="J1938" s="7" t="s">
        <v>2</v>
      </c>
      <c r="K1938" s="7"/>
      <c r="L1938" s="7" t="s">
        <v>167</v>
      </c>
      <c r="M1938" s="7" t="s">
        <v>5491</v>
      </c>
      <c r="N1938" s="7" t="s">
        <v>170</v>
      </c>
      <c r="O1938" s="7" t="s">
        <v>162</v>
      </c>
      <c r="P1938" s="7" t="s">
        <v>7163</v>
      </c>
      <c r="Q1938" s="129">
        <v>46199</v>
      </c>
      <c r="R1938" s="130">
        <f t="shared" si="216"/>
        <v>46203</v>
      </c>
      <c r="S1938" s="131">
        <f t="shared" si="215"/>
        <v>4</v>
      </c>
      <c r="T1938" s="7" t="s">
        <v>203</v>
      </c>
      <c r="U1938" s="7" t="s">
        <v>280</v>
      </c>
      <c r="V1938" s="7"/>
      <c r="W1938" s="7">
        <v>337.78</v>
      </c>
      <c r="X1938" s="132">
        <f t="shared" si="213"/>
        <v>10</v>
      </c>
      <c r="Y1938" s="133"/>
      <c r="Z1938" s="133"/>
      <c r="AA1938" s="133"/>
    </row>
    <row r="1939" spans="1:27" hidden="1" x14ac:dyDescent="0.25">
      <c r="A1939" s="127">
        <v>2120</v>
      </c>
      <c r="B1939" s="128" t="str">
        <f t="shared" si="214"/>
        <v>UYCT</v>
      </c>
      <c r="C1939" s="128" t="str">
        <f>+VLOOKUP(U1939,Ходим!A:B,2,0)</f>
        <v>51501005930032</v>
      </c>
      <c r="D1939" s="128" t="str">
        <f>IFERROR(VLOOKUP($B:$B,[20]свод!$A:$AB,3,0)," ")</f>
        <v>Уйчи тумани</v>
      </c>
      <c r="E1939" s="7" t="s">
        <v>3075</v>
      </c>
      <c r="F1939" s="7" t="s">
        <v>9456</v>
      </c>
      <c r="G1939" s="134">
        <f t="shared" si="217"/>
        <v>1</v>
      </c>
      <c r="H1939" s="134" t="str">
        <f t="shared" si="218"/>
        <v/>
      </c>
      <c r="I1939" s="7" t="s">
        <v>158</v>
      </c>
      <c r="J1939" s="7" t="s">
        <v>13</v>
      </c>
      <c r="K1939" s="7"/>
      <c r="L1939" s="7" t="s">
        <v>167</v>
      </c>
      <c r="M1939" s="7" t="s">
        <v>5492</v>
      </c>
      <c r="N1939" s="7" t="s">
        <v>170</v>
      </c>
      <c r="O1939" s="7" t="s">
        <v>162</v>
      </c>
      <c r="P1939" s="7" t="s">
        <v>7164</v>
      </c>
      <c r="Q1939" s="129">
        <v>46199</v>
      </c>
      <c r="R1939" s="130">
        <f t="shared" si="216"/>
        <v>46203</v>
      </c>
      <c r="S1939" s="131">
        <f t="shared" si="215"/>
        <v>4</v>
      </c>
      <c r="T1939" s="7" t="s">
        <v>947</v>
      </c>
      <c r="U1939" s="7" t="s">
        <v>326</v>
      </c>
      <c r="V1939" s="7"/>
      <c r="W1939" s="7">
        <v>214.8</v>
      </c>
      <c r="X1939" s="132">
        <f t="shared" si="213"/>
        <v>10</v>
      </c>
      <c r="Y1939" s="133"/>
      <c r="Z1939" s="133"/>
      <c r="AA1939" s="133"/>
    </row>
    <row r="1940" spans="1:27" hidden="1" x14ac:dyDescent="0.25">
      <c r="A1940" s="127">
        <v>2121</v>
      </c>
      <c r="B1940" s="128" t="str">
        <f t="shared" si="214"/>
        <v>NAMS</v>
      </c>
      <c r="C1940" s="128" t="str">
        <f>+VLOOKUP(U1940,Ходим!A:B,2,0)</f>
        <v>31007955980023</v>
      </c>
      <c r="D1940" s="128" t="str">
        <f>IFERROR(VLOOKUP($B:$B,[20]свод!$A:$AB,3,0)," ")</f>
        <v>Наманган шаҳар</v>
      </c>
      <c r="E1940" s="7" t="s">
        <v>3076</v>
      </c>
      <c r="F1940" s="7" t="s">
        <v>9457</v>
      </c>
      <c r="G1940" s="134">
        <f t="shared" si="217"/>
        <v>1</v>
      </c>
      <c r="H1940" s="134" t="str">
        <f t="shared" si="218"/>
        <v/>
      </c>
      <c r="I1940" s="7" t="s">
        <v>158</v>
      </c>
      <c r="J1940" s="7" t="s">
        <v>2</v>
      </c>
      <c r="K1940" s="7"/>
      <c r="L1940" s="7" t="s">
        <v>167</v>
      </c>
      <c r="M1940" s="7" t="s">
        <v>5493</v>
      </c>
      <c r="N1940" s="7" t="s">
        <v>170</v>
      </c>
      <c r="O1940" s="7" t="s">
        <v>162</v>
      </c>
      <c r="P1940" s="7" t="s">
        <v>7165</v>
      </c>
      <c r="Q1940" s="129">
        <v>46199</v>
      </c>
      <c r="R1940" s="130">
        <f t="shared" si="216"/>
        <v>46203</v>
      </c>
      <c r="S1940" s="131">
        <f t="shared" si="215"/>
        <v>4</v>
      </c>
      <c r="T1940" s="7" t="s">
        <v>173</v>
      </c>
      <c r="U1940" s="7" t="s">
        <v>207</v>
      </c>
      <c r="V1940" s="7"/>
      <c r="W1940" s="7">
        <v>392.87</v>
      </c>
      <c r="X1940" s="132">
        <f t="shared" si="213"/>
        <v>10</v>
      </c>
      <c r="Y1940" s="133"/>
      <c r="Z1940" s="133"/>
      <c r="AA1940" s="133"/>
    </row>
    <row r="1941" spans="1:27" hidden="1" x14ac:dyDescent="0.25">
      <c r="A1941" s="127">
        <v>2122</v>
      </c>
      <c r="B1941" s="128" t="str">
        <f t="shared" si="214"/>
        <v>POPT</v>
      </c>
      <c r="C1941" s="128" t="str">
        <f>+VLOOKUP(U1941,Ходим!A:B,2,0)</f>
        <v>30901742120047</v>
      </c>
      <c r="D1941" s="128" t="str">
        <f>IFERROR(VLOOKUP($B:$B,[20]свод!$A:$AB,3,0)," ")</f>
        <v>Поп тумани</v>
      </c>
      <c r="E1941" s="7" t="s">
        <v>3077</v>
      </c>
      <c r="F1941" s="7" t="s">
        <v>9458</v>
      </c>
      <c r="G1941" s="134">
        <f t="shared" si="217"/>
        <v>1</v>
      </c>
      <c r="H1941" s="134" t="str">
        <f t="shared" si="218"/>
        <v/>
      </c>
      <c r="I1941" s="7" t="s">
        <v>156</v>
      </c>
      <c r="J1941" s="7" t="s">
        <v>22</v>
      </c>
      <c r="K1941" s="7"/>
      <c r="L1941" s="7" t="s">
        <v>167</v>
      </c>
      <c r="M1941" s="7" t="s">
        <v>5494</v>
      </c>
      <c r="N1941" s="7" t="s">
        <v>410</v>
      </c>
      <c r="O1941" s="7" t="s">
        <v>162</v>
      </c>
      <c r="P1941" s="7" t="s">
        <v>7165</v>
      </c>
      <c r="Q1941" s="129">
        <v>46199</v>
      </c>
      <c r="R1941" s="130">
        <f t="shared" si="216"/>
        <v>46203</v>
      </c>
      <c r="S1941" s="131">
        <f t="shared" si="215"/>
        <v>4</v>
      </c>
      <c r="T1941" s="7" t="s">
        <v>214</v>
      </c>
      <c r="U1941" s="7" t="s">
        <v>323</v>
      </c>
      <c r="V1941" s="7"/>
      <c r="W1941" s="7">
        <v>0</v>
      </c>
      <c r="X1941" s="132">
        <f t="shared" si="213"/>
        <v>10</v>
      </c>
      <c r="Y1941" s="133"/>
      <c r="Z1941" s="133"/>
      <c r="AA1941" s="133"/>
    </row>
    <row r="1942" spans="1:27" hidden="1" x14ac:dyDescent="0.25">
      <c r="A1942" s="127">
        <v>2123</v>
      </c>
      <c r="B1942" s="128" t="str">
        <f t="shared" si="214"/>
        <v>MINT</v>
      </c>
      <c r="C1942" s="128" t="str">
        <f>+VLOOKUP(U1942,Ходим!A:B,2,0)</f>
        <v>30703975990033</v>
      </c>
      <c r="D1942" s="128" t="str">
        <f>IFERROR(VLOOKUP($B:$B,[20]свод!$A:$AB,3,0)," ")</f>
        <v>Мингбулоқ тумани</v>
      </c>
      <c r="E1942" s="7" t="s">
        <v>3078</v>
      </c>
      <c r="F1942" s="7" t="s">
        <v>9459</v>
      </c>
      <c r="G1942" s="134">
        <f t="shared" si="217"/>
        <v>1</v>
      </c>
      <c r="H1942" s="134" t="str">
        <f t="shared" si="218"/>
        <v/>
      </c>
      <c r="I1942" s="7" t="s">
        <v>158</v>
      </c>
      <c r="J1942" s="7" t="s">
        <v>2</v>
      </c>
      <c r="K1942" s="7"/>
      <c r="L1942" s="7"/>
      <c r="M1942" s="7"/>
      <c r="N1942" s="7" t="s">
        <v>410</v>
      </c>
      <c r="O1942" s="7" t="s">
        <v>162</v>
      </c>
      <c r="P1942" s="7" t="s">
        <v>7165</v>
      </c>
      <c r="Q1942" s="129">
        <v>46199</v>
      </c>
      <c r="R1942" s="130">
        <f t="shared" si="216"/>
        <v>46203</v>
      </c>
      <c r="S1942" s="131">
        <f t="shared" si="215"/>
        <v>4</v>
      </c>
      <c r="T1942" s="7" t="s">
        <v>220</v>
      </c>
      <c r="U1942" s="7" t="s">
        <v>291</v>
      </c>
      <c r="V1942" s="7"/>
      <c r="W1942" s="7"/>
      <c r="X1942" s="132">
        <f t="shared" si="213"/>
        <v>10</v>
      </c>
      <c r="Y1942" s="133"/>
      <c r="Z1942" s="133"/>
      <c r="AA1942" s="133"/>
    </row>
    <row r="1943" spans="1:27" hidden="1" x14ac:dyDescent="0.25">
      <c r="A1943" s="127">
        <v>2124</v>
      </c>
      <c r="B1943" s="128" t="str">
        <f t="shared" si="214"/>
        <v>MINT</v>
      </c>
      <c r="C1943" s="128" t="str">
        <f>+VLOOKUP(U1943,Ходим!A:B,2,0)</f>
        <v>31205995920018</v>
      </c>
      <c r="D1943" s="128" t="str">
        <f>IFERROR(VLOOKUP($B:$B,[20]свод!$A:$AB,3,0)," ")</f>
        <v>Мингбулоқ тумани</v>
      </c>
      <c r="E1943" s="7" t="s">
        <v>3079</v>
      </c>
      <c r="F1943" s="7" t="s">
        <v>9460</v>
      </c>
      <c r="G1943" s="134">
        <f t="shared" si="217"/>
        <v>1</v>
      </c>
      <c r="H1943" s="134" t="str">
        <f t="shared" si="218"/>
        <v/>
      </c>
      <c r="I1943" s="7" t="s">
        <v>158</v>
      </c>
      <c r="J1943" s="7" t="s">
        <v>2</v>
      </c>
      <c r="K1943" s="7"/>
      <c r="L1943" s="7" t="s">
        <v>167</v>
      </c>
      <c r="M1943" s="7" t="s">
        <v>5495</v>
      </c>
      <c r="N1943" s="7" t="s">
        <v>170</v>
      </c>
      <c r="O1943" s="7" t="s">
        <v>162</v>
      </c>
      <c r="P1943" s="7" t="s">
        <v>6547</v>
      </c>
      <c r="Q1943" s="129">
        <v>46199</v>
      </c>
      <c r="R1943" s="130">
        <f t="shared" si="216"/>
        <v>46205</v>
      </c>
      <c r="S1943" s="131">
        <f t="shared" si="215"/>
        <v>6</v>
      </c>
      <c r="T1943" s="7" t="s">
        <v>220</v>
      </c>
      <c r="U1943" s="7" t="s">
        <v>271</v>
      </c>
      <c r="V1943" s="7"/>
      <c r="W1943" s="7">
        <v>338.7</v>
      </c>
      <c r="X1943" s="132">
        <f t="shared" si="213"/>
        <v>10</v>
      </c>
      <c r="Y1943" s="133"/>
      <c r="Z1943" s="133"/>
      <c r="AA1943" s="133"/>
    </row>
    <row r="1944" spans="1:27" hidden="1" x14ac:dyDescent="0.25">
      <c r="A1944" s="127">
        <v>2125</v>
      </c>
      <c r="B1944" s="128" t="str">
        <f t="shared" si="214"/>
        <v>NAMS</v>
      </c>
      <c r="C1944" s="128" t="str">
        <f>+VLOOKUP(U1944,Ходим!A:B,2,0)</f>
        <v>51110025960044</v>
      </c>
      <c r="D1944" s="128" t="str">
        <f>IFERROR(VLOOKUP($B:$B,[20]свод!$A:$AB,3,0)," ")</f>
        <v>Наманган шаҳар</v>
      </c>
      <c r="E1944" s="7" t="s">
        <v>3080</v>
      </c>
      <c r="F1944" s="7" t="s">
        <v>9461</v>
      </c>
      <c r="G1944" s="134">
        <f t="shared" si="217"/>
        <v>1</v>
      </c>
      <c r="H1944" s="134" t="str">
        <f t="shared" si="218"/>
        <v/>
      </c>
      <c r="I1944" s="7" t="s">
        <v>158</v>
      </c>
      <c r="J1944" s="7" t="s">
        <v>2</v>
      </c>
      <c r="K1944" s="7"/>
      <c r="L1944" s="7" t="s">
        <v>167</v>
      </c>
      <c r="M1944" s="7" t="s">
        <v>5496</v>
      </c>
      <c r="N1944" s="7" t="s">
        <v>170</v>
      </c>
      <c r="O1944" s="7" t="s">
        <v>162</v>
      </c>
      <c r="P1944" s="7" t="s">
        <v>7166</v>
      </c>
      <c r="Q1944" s="129">
        <v>46199</v>
      </c>
      <c r="R1944" s="130">
        <f t="shared" si="216"/>
        <v>46203</v>
      </c>
      <c r="S1944" s="131">
        <f t="shared" si="215"/>
        <v>4</v>
      </c>
      <c r="T1944" s="7" t="s">
        <v>173</v>
      </c>
      <c r="U1944" s="7" t="s">
        <v>294</v>
      </c>
      <c r="V1944" s="7"/>
      <c r="W1944" s="7">
        <v>0</v>
      </c>
      <c r="X1944" s="132">
        <f t="shared" si="213"/>
        <v>10</v>
      </c>
      <c r="Y1944" s="133"/>
      <c r="Z1944" s="133"/>
      <c r="AA1944" s="133"/>
    </row>
    <row r="1945" spans="1:27" hidden="1" x14ac:dyDescent="0.25">
      <c r="A1945" s="127">
        <v>2126</v>
      </c>
      <c r="B1945" s="128" t="str">
        <f t="shared" si="214"/>
        <v>NAMS</v>
      </c>
      <c r="C1945" s="128" t="str">
        <f>+VLOOKUP(U1945,Ходим!A:B,2,0)</f>
        <v>52407055960122</v>
      </c>
      <c r="D1945" s="128" t="str">
        <f>IFERROR(VLOOKUP($B:$B,[20]свод!$A:$AB,3,0)," ")</f>
        <v>Наманган шаҳар</v>
      </c>
      <c r="E1945" s="7" t="s">
        <v>3081</v>
      </c>
      <c r="F1945" s="7" t="s">
        <v>9462</v>
      </c>
      <c r="G1945" s="134">
        <f t="shared" si="217"/>
        <v>1</v>
      </c>
      <c r="H1945" s="134" t="str">
        <f t="shared" si="218"/>
        <v/>
      </c>
      <c r="I1945" s="7" t="s">
        <v>156</v>
      </c>
      <c r="J1945" s="7" t="s">
        <v>25</v>
      </c>
      <c r="K1945" s="7"/>
      <c r="L1945" s="7"/>
      <c r="M1945" s="7"/>
      <c r="N1945" s="7" t="s">
        <v>170</v>
      </c>
      <c r="O1945" s="7" t="s">
        <v>162</v>
      </c>
      <c r="P1945" s="7" t="s">
        <v>7166</v>
      </c>
      <c r="Q1945" s="129">
        <v>46199</v>
      </c>
      <c r="R1945" s="130">
        <f t="shared" si="216"/>
        <v>46203</v>
      </c>
      <c r="S1945" s="131">
        <f t="shared" si="215"/>
        <v>4</v>
      </c>
      <c r="T1945" s="7" t="s">
        <v>173</v>
      </c>
      <c r="U1945" s="7" t="s">
        <v>345</v>
      </c>
      <c r="V1945" s="7"/>
      <c r="W1945" s="7"/>
      <c r="X1945" s="132">
        <f t="shared" si="213"/>
        <v>10</v>
      </c>
      <c r="Y1945" s="133"/>
      <c r="Z1945" s="133"/>
      <c r="AA1945" s="133"/>
    </row>
    <row r="1946" spans="1:27" hidden="1" x14ac:dyDescent="0.25">
      <c r="A1946" s="127">
        <v>2127</v>
      </c>
      <c r="B1946" s="128" t="str">
        <f t="shared" si="214"/>
        <v>NAMS</v>
      </c>
      <c r="C1946" s="128" t="str">
        <f>+VLOOKUP(U1946,Ходим!A:B,2,0)</f>
        <v>51911035960011</v>
      </c>
      <c r="D1946" s="128" t="str">
        <f>IFERROR(VLOOKUP($B:$B,[20]свод!$A:$AB,3,0)," ")</f>
        <v>Наманган шаҳар</v>
      </c>
      <c r="E1946" s="7" t="s">
        <v>3082</v>
      </c>
      <c r="F1946" s="7" t="s">
        <v>9463</v>
      </c>
      <c r="G1946" s="134">
        <f t="shared" si="217"/>
        <v>1</v>
      </c>
      <c r="H1946" s="134" t="str">
        <f t="shared" si="218"/>
        <v/>
      </c>
      <c r="I1946" s="7" t="s">
        <v>158</v>
      </c>
      <c r="J1946" s="7" t="s">
        <v>2</v>
      </c>
      <c r="K1946" s="7"/>
      <c r="L1946" s="7" t="s">
        <v>167</v>
      </c>
      <c r="M1946" s="7" t="s">
        <v>5497</v>
      </c>
      <c r="N1946" s="7" t="s">
        <v>170</v>
      </c>
      <c r="O1946" s="7" t="s">
        <v>162</v>
      </c>
      <c r="P1946" s="7" t="s">
        <v>7166</v>
      </c>
      <c r="Q1946" s="129">
        <v>46199</v>
      </c>
      <c r="R1946" s="130">
        <f t="shared" si="216"/>
        <v>46203</v>
      </c>
      <c r="S1946" s="131">
        <f t="shared" si="215"/>
        <v>4</v>
      </c>
      <c r="T1946" s="7" t="s">
        <v>173</v>
      </c>
      <c r="U1946" s="7" t="s">
        <v>371</v>
      </c>
      <c r="V1946" s="7"/>
      <c r="W1946" s="7">
        <v>259.20999999999998</v>
      </c>
      <c r="X1946" s="132">
        <f t="shared" si="213"/>
        <v>10</v>
      </c>
      <c r="Y1946" s="133"/>
      <c r="Z1946" s="133"/>
      <c r="AA1946" s="133"/>
    </row>
    <row r="1947" spans="1:27" hidden="1" x14ac:dyDescent="0.25">
      <c r="A1947" s="127">
        <v>2128</v>
      </c>
      <c r="B1947" s="128" t="str">
        <f t="shared" si="214"/>
        <v>YGQT</v>
      </c>
      <c r="C1947" s="128" t="str">
        <f>+VLOOKUP(U1947,Ходим!A:B,2,0)</f>
        <v>30809995950021</v>
      </c>
      <c r="D1947" s="128" t="str">
        <f>IFERROR(VLOOKUP($B:$B,[20]свод!$A:$AB,3,0)," ")</f>
        <v>Янгиқўрғон тумани</v>
      </c>
      <c r="E1947" s="7" t="s">
        <v>3083</v>
      </c>
      <c r="F1947" s="7" t="s">
        <v>9464</v>
      </c>
      <c r="G1947" s="134">
        <f t="shared" si="217"/>
        <v>1</v>
      </c>
      <c r="H1947" s="134" t="str">
        <f t="shared" si="218"/>
        <v/>
      </c>
      <c r="I1947" s="7" t="s">
        <v>158</v>
      </c>
      <c r="J1947" s="7" t="s">
        <v>36</v>
      </c>
      <c r="K1947" s="7"/>
      <c r="L1947" s="7" t="s">
        <v>167</v>
      </c>
      <c r="M1947" s="7" t="s">
        <v>5498</v>
      </c>
      <c r="N1947" s="7" t="s">
        <v>410</v>
      </c>
      <c r="O1947" s="7" t="s">
        <v>162</v>
      </c>
      <c r="P1947" s="7" t="s">
        <v>7167</v>
      </c>
      <c r="Q1947" s="129">
        <v>46199</v>
      </c>
      <c r="R1947" s="130">
        <f t="shared" si="216"/>
        <v>46206</v>
      </c>
      <c r="S1947" s="131">
        <f t="shared" si="215"/>
        <v>7</v>
      </c>
      <c r="T1947" s="7" t="s">
        <v>255</v>
      </c>
      <c r="U1947" s="7" t="s">
        <v>223</v>
      </c>
      <c r="V1947" s="7"/>
      <c r="W1947" s="7">
        <v>341.09500000000003</v>
      </c>
      <c r="X1947" s="132">
        <f t="shared" si="213"/>
        <v>10</v>
      </c>
      <c r="Y1947" s="133"/>
      <c r="Z1947" s="133"/>
      <c r="AA1947" s="133"/>
    </row>
    <row r="1948" spans="1:27" hidden="1" x14ac:dyDescent="0.25">
      <c r="A1948" s="127">
        <v>2129</v>
      </c>
      <c r="B1948" s="128" t="str">
        <f t="shared" si="214"/>
        <v>UCQT</v>
      </c>
      <c r="C1948" s="128" t="str">
        <f>+VLOOKUP(U1948,Ходим!A:B,2,0)</f>
        <v>31402915940019</v>
      </c>
      <c r="D1948" s="128" t="str">
        <f>IFERROR(VLOOKUP($B:$B,[20]свод!$A:$AB,3,0)," ")</f>
        <v>Учқўрғон тумани</v>
      </c>
      <c r="E1948" s="7" t="s">
        <v>3084</v>
      </c>
      <c r="F1948" s="7" t="s">
        <v>9465</v>
      </c>
      <c r="G1948" s="134">
        <f t="shared" si="217"/>
        <v>1</v>
      </c>
      <c r="H1948" s="134" t="str">
        <f t="shared" si="218"/>
        <v/>
      </c>
      <c r="I1948" s="7" t="s">
        <v>158</v>
      </c>
      <c r="J1948" s="7" t="s">
        <v>2</v>
      </c>
      <c r="K1948" s="7"/>
      <c r="L1948" s="7" t="s">
        <v>167</v>
      </c>
      <c r="M1948" s="7" t="s">
        <v>5499</v>
      </c>
      <c r="N1948" s="7" t="s">
        <v>170</v>
      </c>
      <c r="O1948" s="7" t="s">
        <v>162</v>
      </c>
      <c r="P1948" s="7" t="s">
        <v>6846</v>
      </c>
      <c r="Q1948" s="129">
        <v>46199</v>
      </c>
      <c r="R1948" s="130">
        <f t="shared" si="216"/>
        <v>46203</v>
      </c>
      <c r="S1948" s="131">
        <f t="shared" si="215"/>
        <v>4</v>
      </c>
      <c r="T1948" s="7" t="s">
        <v>175</v>
      </c>
      <c r="U1948" s="7" t="s">
        <v>292</v>
      </c>
      <c r="V1948" s="7"/>
      <c r="W1948" s="7">
        <v>336.5</v>
      </c>
      <c r="X1948" s="132">
        <f t="shared" si="213"/>
        <v>10</v>
      </c>
      <c r="Y1948" s="133"/>
      <c r="Z1948" s="133"/>
      <c r="AA1948" s="133"/>
    </row>
    <row r="1949" spans="1:27" hidden="1" x14ac:dyDescent="0.25">
      <c r="A1949" s="127">
        <v>2130</v>
      </c>
      <c r="B1949" s="128" t="str">
        <f t="shared" si="214"/>
        <v>YGQT</v>
      </c>
      <c r="C1949" s="128" t="e">
        <f>+VLOOKUP(U1949,Ходим!A:B,2,0)</f>
        <v>#N/A</v>
      </c>
      <c r="D1949" s="128" t="str">
        <f>IFERROR(VLOOKUP($B:$B,[20]свод!$A:$AB,3,0)," ")</f>
        <v>Янгиқўрғон тумани</v>
      </c>
      <c r="E1949" s="7" t="s">
        <v>3085</v>
      </c>
      <c r="F1949" s="7" t="s">
        <v>9466</v>
      </c>
      <c r="G1949" s="134" t="str">
        <f t="shared" si="217"/>
        <v/>
      </c>
      <c r="H1949" s="134">
        <f t="shared" si="218"/>
        <v>1</v>
      </c>
      <c r="I1949" s="7" t="s">
        <v>155</v>
      </c>
      <c r="J1949" s="7" t="s">
        <v>23</v>
      </c>
      <c r="K1949" s="7"/>
      <c r="L1949" s="7" t="s">
        <v>168</v>
      </c>
      <c r="M1949" s="7" t="s">
        <v>5500</v>
      </c>
      <c r="N1949" s="7" t="s">
        <v>170</v>
      </c>
      <c r="O1949" s="7" t="s">
        <v>165</v>
      </c>
      <c r="P1949" s="7" t="s">
        <v>6972</v>
      </c>
      <c r="Q1949" s="129">
        <v>46199</v>
      </c>
      <c r="R1949" s="130">
        <f t="shared" si="216"/>
        <v>46219</v>
      </c>
      <c r="S1949" s="131">
        <f t="shared" si="215"/>
        <v>20</v>
      </c>
      <c r="T1949" s="7" t="s">
        <v>182</v>
      </c>
      <c r="U1949" s="7"/>
      <c r="V1949" s="7"/>
      <c r="W1949" s="7">
        <v>0</v>
      </c>
      <c r="X1949" s="132">
        <f t="shared" si="213"/>
        <v>15</v>
      </c>
      <c r="Y1949" s="133"/>
      <c r="Z1949" s="133"/>
      <c r="AA1949" s="133"/>
    </row>
    <row r="1950" spans="1:27" hidden="1" x14ac:dyDescent="0.25">
      <c r="A1950" s="127">
        <v>2131</v>
      </c>
      <c r="B1950" s="128" t="str">
        <f t="shared" si="214"/>
        <v>YGQT</v>
      </c>
      <c r="C1950" s="128" t="e">
        <f>+VLOOKUP(U1950,Ходим!A:B,2,0)</f>
        <v>#N/A</v>
      </c>
      <c r="D1950" s="128" t="str">
        <f>IFERROR(VLOOKUP($B:$B,[20]свод!$A:$AB,3,0)," ")</f>
        <v>Янгиқўрғон тумани</v>
      </c>
      <c r="E1950" s="7" t="s">
        <v>3086</v>
      </c>
      <c r="F1950" s="7" t="s">
        <v>9467</v>
      </c>
      <c r="G1950" s="134">
        <f t="shared" si="217"/>
        <v>1</v>
      </c>
      <c r="H1950" s="134" t="str">
        <f t="shared" si="218"/>
        <v/>
      </c>
      <c r="I1950" s="7" t="s">
        <v>156</v>
      </c>
      <c r="J1950" s="7" t="s">
        <v>21</v>
      </c>
      <c r="K1950" s="7"/>
      <c r="L1950" s="7"/>
      <c r="M1950" s="7"/>
      <c r="N1950" s="7" t="s">
        <v>170</v>
      </c>
      <c r="O1950" s="7" t="s">
        <v>162</v>
      </c>
      <c r="P1950" s="7" t="s">
        <v>6813</v>
      </c>
      <c r="Q1950" s="129">
        <v>46199</v>
      </c>
      <c r="R1950" s="130">
        <f t="shared" si="216"/>
        <v>46212</v>
      </c>
      <c r="S1950" s="131">
        <f t="shared" si="215"/>
        <v>13</v>
      </c>
      <c r="T1950" s="7" t="s">
        <v>182</v>
      </c>
      <c r="U1950" s="7"/>
      <c r="V1950" s="7"/>
      <c r="W1950" s="7"/>
      <c r="X1950" s="132">
        <f t="shared" si="213"/>
        <v>10</v>
      </c>
      <c r="Y1950" s="133"/>
      <c r="Z1950" s="133"/>
      <c r="AA1950" s="133"/>
    </row>
    <row r="1951" spans="1:27" hidden="1" x14ac:dyDescent="0.25">
      <c r="A1951" s="127">
        <v>2132</v>
      </c>
      <c r="B1951" s="128" t="str">
        <f t="shared" si="214"/>
        <v>NAMS</v>
      </c>
      <c r="C1951" s="128" t="str">
        <f>+VLOOKUP(U1951,Ходим!A:B,2,0)</f>
        <v>52503015960039</v>
      </c>
      <c r="D1951" s="128" t="str">
        <f>IFERROR(VLOOKUP($B:$B,[20]свод!$A:$AB,3,0)," ")</f>
        <v>Наманган шаҳар</v>
      </c>
      <c r="E1951" s="7" t="s">
        <v>3087</v>
      </c>
      <c r="F1951" s="7" t="s">
        <v>9468</v>
      </c>
      <c r="G1951" s="134">
        <f t="shared" si="217"/>
        <v>1</v>
      </c>
      <c r="H1951" s="134" t="str">
        <f t="shared" si="218"/>
        <v/>
      </c>
      <c r="I1951" s="7" t="s">
        <v>158</v>
      </c>
      <c r="J1951" s="7" t="s">
        <v>1</v>
      </c>
      <c r="K1951" s="7"/>
      <c r="L1951" s="7" t="s">
        <v>167</v>
      </c>
      <c r="M1951" s="7" t="s">
        <v>5501</v>
      </c>
      <c r="N1951" s="7" t="s">
        <v>170</v>
      </c>
      <c r="O1951" s="7" t="s">
        <v>162</v>
      </c>
      <c r="P1951" s="7" t="s">
        <v>6982</v>
      </c>
      <c r="Q1951" s="129">
        <v>46199</v>
      </c>
      <c r="R1951" s="130">
        <f t="shared" si="216"/>
        <v>46202</v>
      </c>
      <c r="S1951" s="131">
        <f t="shared" si="215"/>
        <v>3</v>
      </c>
      <c r="T1951" s="7" t="s">
        <v>185</v>
      </c>
      <c r="U1951" s="7" t="s">
        <v>246</v>
      </c>
      <c r="V1951" s="7"/>
      <c r="W1951" s="7">
        <v>216.63</v>
      </c>
      <c r="X1951" s="132">
        <f t="shared" si="213"/>
        <v>10</v>
      </c>
      <c r="Y1951" s="133"/>
      <c r="Z1951" s="133"/>
      <c r="AA1951" s="133"/>
    </row>
    <row r="1952" spans="1:27" hidden="1" x14ac:dyDescent="0.25">
      <c r="A1952" s="127">
        <v>2133</v>
      </c>
      <c r="B1952" s="128" t="str">
        <f t="shared" si="214"/>
        <v>NAMS</v>
      </c>
      <c r="C1952" s="128">
        <f>+VLOOKUP(U1952,Ходим!A:B,2,0)</f>
        <v>51006025960068</v>
      </c>
      <c r="D1952" s="128" t="str">
        <f>IFERROR(VLOOKUP($B:$B,[20]свод!$A:$AB,3,0)," ")</f>
        <v>Наманган шаҳар</v>
      </c>
      <c r="E1952" s="7" t="s">
        <v>3088</v>
      </c>
      <c r="F1952" s="7" t="s">
        <v>9469</v>
      </c>
      <c r="G1952" s="134" t="str">
        <f t="shared" si="217"/>
        <v/>
      </c>
      <c r="H1952" s="134">
        <f t="shared" si="218"/>
        <v>1</v>
      </c>
      <c r="I1952" s="7" t="s">
        <v>157</v>
      </c>
      <c r="J1952" s="7" t="s">
        <v>36</v>
      </c>
      <c r="K1952" s="7"/>
      <c r="L1952" s="7" t="s">
        <v>166</v>
      </c>
      <c r="M1952" s="7" t="s">
        <v>5502</v>
      </c>
      <c r="N1952" s="7" t="s">
        <v>170</v>
      </c>
      <c r="O1952" s="7" t="s">
        <v>161</v>
      </c>
      <c r="P1952" s="7" t="s">
        <v>7168</v>
      </c>
      <c r="Q1952" s="129">
        <v>46199</v>
      </c>
      <c r="R1952" s="130">
        <f t="shared" si="216"/>
        <v>46206</v>
      </c>
      <c r="S1952" s="131">
        <f t="shared" si="215"/>
        <v>7</v>
      </c>
      <c r="T1952" s="7" t="s">
        <v>173</v>
      </c>
      <c r="U1952" s="7" t="s">
        <v>944</v>
      </c>
      <c r="V1952" s="7"/>
      <c r="W1952" s="7">
        <v>0</v>
      </c>
      <c r="X1952" s="132">
        <f t="shared" si="213"/>
        <v>10</v>
      </c>
      <c r="Y1952" s="133"/>
      <c r="Z1952" s="133"/>
      <c r="AA1952" s="133"/>
    </row>
    <row r="1953" spans="1:27" hidden="1" x14ac:dyDescent="0.25">
      <c r="A1953" s="127">
        <v>2134</v>
      </c>
      <c r="B1953" s="128" t="str">
        <f t="shared" si="214"/>
        <v>CHUT</v>
      </c>
      <c r="C1953" s="128" t="str">
        <f>+VLOOKUP(U1953,Ходим!A:B,2,0)</f>
        <v>31509882180058</v>
      </c>
      <c r="D1953" s="128" t="str">
        <f>IFERROR(VLOOKUP($B:$B,[20]свод!$A:$AB,3,0)," ")</f>
        <v>Чуст тумани</v>
      </c>
      <c r="E1953" s="7" t="s">
        <v>3089</v>
      </c>
      <c r="F1953" s="7" t="s">
        <v>9470</v>
      </c>
      <c r="G1953" s="134" t="str">
        <f t="shared" si="217"/>
        <v/>
      </c>
      <c r="H1953" s="134">
        <f t="shared" si="218"/>
        <v>1</v>
      </c>
      <c r="I1953" s="7" t="s">
        <v>155</v>
      </c>
      <c r="J1953" s="7" t="s">
        <v>25</v>
      </c>
      <c r="K1953" s="7"/>
      <c r="L1953" s="7"/>
      <c r="M1953" s="7"/>
      <c r="N1953" s="7" t="s">
        <v>410</v>
      </c>
      <c r="O1953" s="7" t="s">
        <v>161</v>
      </c>
      <c r="P1953" s="7" t="s">
        <v>7169</v>
      </c>
      <c r="Q1953" s="129">
        <v>46199</v>
      </c>
      <c r="R1953" s="130">
        <f t="shared" si="216"/>
        <v>46203</v>
      </c>
      <c r="S1953" s="131">
        <f t="shared" si="215"/>
        <v>4</v>
      </c>
      <c r="T1953" s="7" t="s">
        <v>178</v>
      </c>
      <c r="U1953" s="7" t="s">
        <v>324</v>
      </c>
      <c r="V1953" s="7"/>
      <c r="W1953" s="7"/>
      <c r="X1953" s="132">
        <f t="shared" si="213"/>
        <v>10</v>
      </c>
      <c r="Y1953" s="133"/>
      <c r="Z1953" s="133"/>
      <c r="AA1953" s="133"/>
    </row>
    <row r="1954" spans="1:27" hidden="1" x14ac:dyDescent="0.25">
      <c r="A1954" s="127">
        <v>2135</v>
      </c>
      <c r="B1954" s="128" t="str">
        <f t="shared" si="214"/>
        <v>NAMS</v>
      </c>
      <c r="C1954" s="128" t="str">
        <f>+VLOOKUP(U1954,Ходим!A:B,2,0)</f>
        <v>31601642170089</v>
      </c>
      <c r="D1954" s="128" t="str">
        <f>IFERROR(VLOOKUP($B:$B,[20]свод!$A:$AB,3,0)," ")</f>
        <v>Наманган шаҳар</v>
      </c>
      <c r="E1954" s="7" t="s">
        <v>3090</v>
      </c>
      <c r="F1954" s="7" t="s">
        <v>9471</v>
      </c>
      <c r="G1954" s="134">
        <f t="shared" si="217"/>
        <v>1</v>
      </c>
      <c r="H1954" s="134" t="str">
        <f t="shared" si="218"/>
        <v/>
      </c>
      <c r="I1954" s="7" t="s">
        <v>154</v>
      </c>
      <c r="J1954" s="7" t="s">
        <v>1</v>
      </c>
      <c r="K1954" s="7"/>
      <c r="L1954" s="7" t="s">
        <v>167</v>
      </c>
      <c r="M1954" s="7" t="s">
        <v>5503</v>
      </c>
      <c r="N1954" s="7" t="s">
        <v>170</v>
      </c>
      <c r="O1954" s="7" t="s">
        <v>162</v>
      </c>
      <c r="P1954" s="7" t="s">
        <v>7169</v>
      </c>
      <c r="Q1954" s="129">
        <v>46199</v>
      </c>
      <c r="R1954" s="130">
        <f t="shared" si="216"/>
        <v>46203</v>
      </c>
      <c r="S1954" s="131">
        <f t="shared" si="215"/>
        <v>4</v>
      </c>
      <c r="T1954" s="7" t="s">
        <v>185</v>
      </c>
      <c r="U1954" s="7" t="s">
        <v>201</v>
      </c>
      <c r="V1954" s="7"/>
      <c r="W1954" s="7">
        <v>58.28</v>
      </c>
      <c r="X1954" s="132">
        <f t="shared" si="213"/>
        <v>10</v>
      </c>
      <c r="Y1954" s="133"/>
      <c r="Z1954" s="133"/>
      <c r="AA1954" s="133"/>
    </row>
    <row r="1955" spans="1:27" hidden="1" x14ac:dyDescent="0.25">
      <c r="A1955" s="127">
        <v>2136</v>
      </c>
      <c r="B1955" s="128" t="str">
        <f t="shared" si="214"/>
        <v>NAMS</v>
      </c>
      <c r="C1955" s="128" t="str">
        <f>+VLOOKUP(U1955,Ходим!A:B,2,0)</f>
        <v>53008015960094</v>
      </c>
      <c r="D1955" s="128" t="str">
        <f>IFERROR(VLOOKUP($B:$B,[20]свод!$A:$AB,3,0)," ")</f>
        <v>Наманган шаҳар</v>
      </c>
      <c r="E1955" s="7" t="s">
        <v>3091</v>
      </c>
      <c r="F1955" s="7" t="s">
        <v>9472</v>
      </c>
      <c r="G1955" s="134">
        <f t="shared" si="217"/>
        <v>1</v>
      </c>
      <c r="H1955" s="134" t="str">
        <f t="shared" si="218"/>
        <v/>
      </c>
      <c r="I1955" s="7" t="s">
        <v>158</v>
      </c>
      <c r="J1955" s="7" t="s">
        <v>2</v>
      </c>
      <c r="K1955" s="7"/>
      <c r="L1955" s="7" t="s">
        <v>167</v>
      </c>
      <c r="M1955" s="7" t="s">
        <v>1029</v>
      </c>
      <c r="N1955" s="7" t="s">
        <v>170</v>
      </c>
      <c r="O1955" s="7" t="s">
        <v>162</v>
      </c>
      <c r="P1955" s="7" t="s">
        <v>7169</v>
      </c>
      <c r="Q1955" s="129">
        <v>46199</v>
      </c>
      <c r="R1955" s="130">
        <f t="shared" si="216"/>
        <v>46203</v>
      </c>
      <c r="S1955" s="131">
        <f t="shared" si="215"/>
        <v>4</v>
      </c>
      <c r="T1955" s="7" t="s">
        <v>173</v>
      </c>
      <c r="U1955" s="7" t="s">
        <v>403</v>
      </c>
      <c r="V1955" s="7"/>
      <c r="W1955" s="7">
        <v>466.39</v>
      </c>
      <c r="X1955" s="132">
        <f t="shared" si="213"/>
        <v>10</v>
      </c>
      <c r="Y1955" s="133"/>
      <c r="Z1955" s="133"/>
      <c r="AA1955" s="133"/>
    </row>
    <row r="1956" spans="1:27" hidden="1" x14ac:dyDescent="0.25">
      <c r="A1956" s="127">
        <v>2137</v>
      </c>
      <c r="B1956" s="128" t="str">
        <f t="shared" si="214"/>
        <v>UYCT</v>
      </c>
      <c r="C1956" s="128" t="str">
        <f>+VLOOKUP(U1956,Ходим!A:B,2,0)</f>
        <v>31101985930022</v>
      </c>
      <c r="D1956" s="128" t="str">
        <f>IFERROR(VLOOKUP($B:$B,[20]свод!$A:$AB,3,0)," ")</f>
        <v>Уйчи тумани</v>
      </c>
      <c r="E1956" s="7" t="s">
        <v>3092</v>
      </c>
      <c r="F1956" s="7" t="s">
        <v>9473</v>
      </c>
      <c r="G1956" s="134">
        <f t="shared" si="217"/>
        <v>1</v>
      </c>
      <c r="H1956" s="134" t="str">
        <f t="shared" si="218"/>
        <v/>
      </c>
      <c r="I1956" s="7" t="s">
        <v>158</v>
      </c>
      <c r="J1956" s="7" t="s">
        <v>134</v>
      </c>
      <c r="K1956" s="7"/>
      <c r="L1956" s="7" t="s">
        <v>167</v>
      </c>
      <c r="M1956" s="7" t="s">
        <v>5504</v>
      </c>
      <c r="N1956" s="7" t="s">
        <v>170</v>
      </c>
      <c r="O1956" s="7" t="s">
        <v>162</v>
      </c>
      <c r="P1956" s="7" t="s">
        <v>7169</v>
      </c>
      <c r="Q1956" s="129">
        <v>46199</v>
      </c>
      <c r="R1956" s="130">
        <f t="shared" si="216"/>
        <v>46203</v>
      </c>
      <c r="S1956" s="131">
        <f t="shared" si="215"/>
        <v>4</v>
      </c>
      <c r="T1956" s="7" t="s">
        <v>947</v>
      </c>
      <c r="U1956" s="7" t="s">
        <v>299</v>
      </c>
      <c r="V1956" s="7"/>
      <c r="W1956" s="7">
        <v>312.89999999999998</v>
      </c>
      <c r="X1956" s="132">
        <f t="shared" si="213"/>
        <v>10</v>
      </c>
      <c r="Y1956" s="133"/>
      <c r="Z1956" s="133"/>
      <c r="AA1956" s="133"/>
    </row>
    <row r="1957" spans="1:27" x14ac:dyDescent="0.25">
      <c r="A1957" s="127">
        <v>2138</v>
      </c>
      <c r="B1957" s="128" t="str">
        <f t="shared" si="214"/>
        <v>NAMS</v>
      </c>
      <c r="C1957" s="128" t="str">
        <f>+VLOOKUP(U1957,Ходим!A:B,2,0)</f>
        <v>52710005960025</v>
      </c>
      <c r="D1957" s="128" t="str">
        <f>IFERROR(VLOOKUP($B:$B,[20]свод!$A:$AB,3,0)," ")</f>
        <v>Наманган шаҳар</v>
      </c>
      <c r="E1957" s="7" t="s">
        <v>3093</v>
      </c>
      <c r="F1957" s="7" t="s">
        <v>9474</v>
      </c>
      <c r="G1957" s="134">
        <f t="shared" si="217"/>
        <v>1</v>
      </c>
      <c r="H1957" s="134" t="str">
        <f t="shared" si="218"/>
        <v/>
      </c>
      <c r="I1957" s="7" t="s">
        <v>158</v>
      </c>
      <c r="J1957" s="7" t="s">
        <v>129</v>
      </c>
      <c r="K1957" s="7"/>
      <c r="L1957" s="7" t="s">
        <v>169</v>
      </c>
      <c r="M1957" s="7" t="s">
        <v>381</v>
      </c>
      <c r="N1957" s="7" t="s">
        <v>410</v>
      </c>
      <c r="O1957" s="7" t="s">
        <v>162</v>
      </c>
      <c r="P1957" s="7" t="s">
        <v>6635</v>
      </c>
      <c r="Q1957" s="129">
        <v>46199</v>
      </c>
      <c r="R1957" s="130">
        <f t="shared" si="216"/>
        <v>46198</v>
      </c>
      <c r="S1957" s="131">
        <f t="shared" si="215"/>
        <v>-1</v>
      </c>
      <c r="T1957" s="7" t="s">
        <v>173</v>
      </c>
      <c r="U1957" s="7" t="s">
        <v>274</v>
      </c>
      <c r="V1957" s="7"/>
      <c r="W1957" s="7">
        <v>0</v>
      </c>
      <c r="X1957" s="132">
        <f t="shared" si="213"/>
        <v>7</v>
      </c>
      <c r="Y1957" s="133"/>
      <c r="Z1957" s="133"/>
      <c r="AA1957" s="133"/>
    </row>
    <row r="1958" spans="1:27" hidden="1" x14ac:dyDescent="0.25">
      <c r="A1958" s="127">
        <v>2139</v>
      </c>
      <c r="B1958" s="128" t="str">
        <f t="shared" si="214"/>
        <v>NAMS</v>
      </c>
      <c r="C1958" s="128" t="str">
        <f>+VLOOKUP(U1958,Ходим!A:B,2,0)</f>
        <v>31007955980023</v>
      </c>
      <c r="D1958" s="128" t="str">
        <f>IFERROR(VLOOKUP($B:$B,[20]свод!$A:$AB,3,0)," ")</f>
        <v>Наманган шаҳар</v>
      </c>
      <c r="E1958" s="7" t="s">
        <v>3094</v>
      </c>
      <c r="F1958" s="7" t="s">
        <v>9475</v>
      </c>
      <c r="G1958" s="134">
        <f t="shared" si="217"/>
        <v>1</v>
      </c>
      <c r="H1958" s="134" t="str">
        <f t="shared" si="218"/>
        <v/>
      </c>
      <c r="I1958" s="7" t="s">
        <v>158</v>
      </c>
      <c r="J1958" s="7" t="s">
        <v>2</v>
      </c>
      <c r="K1958" s="7"/>
      <c r="L1958" s="7" t="s">
        <v>167</v>
      </c>
      <c r="M1958" s="7" t="s">
        <v>5505</v>
      </c>
      <c r="N1958" s="7" t="s">
        <v>170</v>
      </c>
      <c r="O1958" s="7" t="s">
        <v>162</v>
      </c>
      <c r="P1958" s="7" t="s">
        <v>6635</v>
      </c>
      <c r="Q1958" s="129">
        <v>46199</v>
      </c>
      <c r="R1958" s="130">
        <f t="shared" si="216"/>
        <v>46203</v>
      </c>
      <c r="S1958" s="131">
        <f t="shared" si="215"/>
        <v>4</v>
      </c>
      <c r="T1958" s="7" t="s">
        <v>173</v>
      </c>
      <c r="U1958" s="7" t="s">
        <v>207</v>
      </c>
      <c r="V1958" s="7"/>
      <c r="W1958" s="7">
        <v>0</v>
      </c>
      <c r="X1958" s="132">
        <f t="shared" si="213"/>
        <v>10</v>
      </c>
      <c r="Y1958" s="133"/>
      <c r="Z1958" s="133"/>
      <c r="AA1958" s="133"/>
    </row>
    <row r="1959" spans="1:27" hidden="1" x14ac:dyDescent="0.25">
      <c r="A1959" s="127">
        <v>2140</v>
      </c>
      <c r="B1959" s="128" t="str">
        <f t="shared" si="214"/>
        <v>KSST</v>
      </c>
      <c r="C1959" s="128" t="e">
        <f>+VLOOKUP(U1959,Ходим!A:B,2,0)</f>
        <v>#N/A</v>
      </c>
      <c r="D1959" s="128" t="str">
        <f>IFERROR(VLOOKUP($B:$B,[20]свод!$A:$AB,3,0)," ")</f>
        <v>Косонсой тумани</v>
      </c>
      <c r="E1959" s="7" t="s">
        <v>3095</v>
      </c>
      <c r="F1959" s="7" t="s">
        <v>9476</v>
      </c>
      <c r="G1959" s="134" t="str">
        <f t="shared" si="217"/>
        <v/>
      </c>
      <c r="H1959" s="134">
        <f t="shared" si="218"/>
        <v>1</v>
      </c>
      <c r="I1959" s="7" t="s">
        <v>155</v>
      </c>
      <c r="J1959" s="7" t="s">
        <v>25</v>
      </c>
      <c r="K1959" s="7"/>
      <c r="L1959" s="7" t="s">
        <v>166</v>
      </c>
      <c r="M1959" s="7" t="s">
        <v>5506</v>
      </c>
      <c r="N1959" s="7" t="s">
        <v>170</v>
      </c>
      <c r="O1959" s="7" t="s">
        <v>161</v>
      </c>
      <c r="P1959" s="7" t="s">
        <v>6968</v>
      </c>
      <c r="Q1959" s="129">
        <v>46199</v>
      </c>
      <c r="R1959" s="130">
        <f t="shared" si="216"/>
        <v>46212</v>
      </c>
      <c r="S1959" s="131">
        <f t="shared" si="215"/>
        <v>13</v>
      </c>
      <c r="T1959" s="7" t="s">
        <v>180</v>
      </c>
      <c r="U1959" s="7" t="s">
        <v>10634</v>
      </c>
      <c r="V1959" s="7"/>
      <c r="W1959" s="7">
        <v>356.72</v>
      </c>
      <c r="X1959" s="132">
        <f t="shared" si="213"/>
        <v>12</v>
      </c>
      <c r="Y1959" s="133"/>
      <c r="Z1959" s="133"/>
      <c r="AA1959" s="133"/>
    </row>
    <row r="1960" spans="1:27" hidden="1" x14ac:dyDescent="0.25">
      <c r="A1960" s="127">
        <v>2141</v>
      </c>
      <c r="B1960" s="128" t="str">
        <f t="shared" si="214"/>
        <v>TORT</v>
      </c>
      <c r="C1960" s="128" t="str">
        <f>+VLOOKUP(U1960,Ходим!A:B,2,0)</f>
        <v>32801762130050</v>
      </c>
      <c r="D1960" s="128" t="str">
        <f>IFERROR(VLOOKUP($B:$B,[20]свод!$A:$AB,3,0)," ")</f>
        <v>Тўрақўрғон тумани</v>
      </c>
      <c r="E1960" s="7" t="s">
        <v>3096</v>
      </c>
      <c r="F1960" s="7" t="s">
        <v>9477</v>
      </c>
      <c r="G1960" s="134" t="str">
        <f t="shared" si="217"/>
        <v/>
      </c>
      <c r="H1960" s="134">
        <f t="shared" si="218"/>
        <v>1</v>
      </c>
      <c r="I1960" s="7" t="s">
        <v>157</v>
      </c>
      <c r="J1960" s="7" t="s">
        <v>2</v>
      </c>
      <c r="K1960" s="7"/>
      <c r="L1960" s="7" t="s">
        <v>166</v>
      </c>
      <c r="M1960" s="7" t="s">
        <v>5507</v>
      </c>
      <c r="N1960" s="7" t="s">
        <v>410</v>
      </c>
      <c r="O1960" s="7" t="s">
        <v>163</v>
      </c>
      <c r="P1960" s="7" t="s">
        <v>6376</v>
      </c>
      <c r="Q1960" s="129">
        <v>46199</v>
      </c>
      <c r="R1960" s="130">
        <f t="shared" si="216"/>
        <v>46206</v>
      </c>
      <c r="S1960" s="131">
        <f t="shared" si="215"/>
        <v>7</v>
      </c>
      <c r="T1960" s="7" t="s">
        <v>203</v>
      </c>
      <c r="U1960" s="7" t="s">
        <v>206</v>
      </c>
      <c r="V1960" s="7"/>
      <c r="W1960" s="7">
        <v>643.64</v>
      </c>
      <c r="X1960" s="132">
        <f t="shared" si="213"/>
        <v>12</v>
      </c>
      <c r="Y1960" s="133"/>
      <c r="Z1960" s="133"/>
      <c r="AA1960" s="133"/>
    </row>
    <row r="1961" spans="1:27" x14ac:dyDescent="0.25">
      <c r="A1961" s="127">
        <v>2142</v>
      </c>
      <c r="B1961" s="128" t="str">
        <f t="shared" si="214"/>
        <v>TORT</v>
      </c>
      <c r="C1961" s="128" t="str">
        <f>+VLOOKUP(U1961,Ходим!A:B,2,0)</f>
        <v>30702995920011</v>
      </c>
      <c r="D1961" s="128" t="str">
        <f>IFERROR(VLOOKUP($B:$B,[20]свод!$A:$AB,3,0)," ")</f>
        <v>Тўрақўрғон тумани</v>
      </c>
      <c r="E1961" s="7" t="s">
        <v>3097</v>
      </c>
      <c r="F1961" s="7" t="s">
        <v>9478</v>
      </c>
      <c r="G1961" s="134">
        <f t="shared" si="217"/>
        <v>1</v>
      </c>
      <c r="H1961" s="134" t="str">
        <f t="shared" si="218"/>
        <v/>
      </c>
      <c r="I1961" s="7" t="s">
        <v>158</v>
      </c>
      <c r="J1961" s="7" t="s">
        <v>1</v>
      </c>
      <c r="K1961" s="7"/>
      <c r="L1961" s="7" t="s">
        <v>167</v>
      </c>
      <c r="M1961" s="7" t="s">
        <v>5508</v>
      </c>
      <c r="N1961" s="7" t="s">
        <v>170</v>
      </c>
      <c r="O1961" s="7" t="s">
        <v>162</v>
      </c>
      <c r="P1961" s="7" t="s">
        <v>6742</v>
      </c>
      <c r="Q1961" s="129">
        <v>46199</v>
      </c>
      <c r="R1961" s="130">
        <f t="shared" si="216"/>
        <v>46199</v>
      </c>
      <c r="S1961" s="131">
        <f t="shared" si="215"/>
        <v>0</v>
      </c>
      <c r="T1961" s="7" t="s">
        <v>203</v>
      </c>
      <c r="U1961" s="7" t="s">
        <v>341</v>
      </c>
      <c r="V1961" s="7"/>
      <c r="W1961" s="7">
        <v>324.29000000000002</v>
      </c>
      <c r="X1961" s="132">
        <f t="shared" si="213"/>
        <v>10</v>
      </c>
      <c r="Y1961" s="133"/>
      <c r="Z1961" s="133"/>
      <c r="AA1961" s="133"/>
    </row>
    <row r="1962" spans="1:27" hidden="1" x14ac:dyDescent="0.25">
      <c r="A1962" s="127">
        <v>2143</v>
      </c>
      <c r="B1962" s="128" t="str">
        <f t="shared" si="214"/>
        <v>MINT</v>
      </c>
      <c r="C1962" s="128" t="str">
        <f>+VLOOKUP(U1962,Ходим!A:B,2,0)</f>
        <v>31802912200033</v>
      </c>
      <c r="D1962" s="128" t="str">
        <f>IFERROR(VLOOKUP($B:$B,[20]свод!$A:$AB,3,0)," ")</f>
        <v>Мингбулоқ тумани</v>
      </c>
      <c r="E1962" s="7" t="s">
        <v>3098</v>
      </c>
      <c r="F1962" s="7" t="s">
        <v>9479</v>
      </c>
      <c r="G1962" s="134">
        <f t="shared" si="217"/>
        <v>1</v>
      </c>
      <c r="H1962" s="134" t="str">
        <f t="shared" si="218"/>
        <v/>
      </c>
      <c r="I1962" s="7" t="s">
        <v>158</v>
      </c>
      <c r="J1962" s="7" t="s">
        <v>13</v>
      </c>
      <c r="K1962" s="7"/>
      <c r="L1962" s="7" t="s">
        <v>167</v>
      </c>
      <c r="M1962" s="7" t="s">
        <v>5509</v>
      </c>
      <c r="N1962" s="7" t="s">
        <v>170</v>
      </c>
      <c r="O1962" s="7" t="s">
        <v>162</v>
      </c>
      <c r="P1962" s="7" t="s">
        <v>6576</v>
      </c>
      <c r="Q1962" s="129">
        <v>46199</v>
      </c>
      <c r="R1962" s="130">
        <f t="shared" si="216"/>
        <v>46203</v>
      </c>
      <c r="S1962" s="131">
        <f t="shared" si="215"/>
        <v>4</v>
      </c>
      <c r="T1962" s="7" t="s">
        <v>220</v>
      </c>
      <c r="U1962" s="7" t="s">
        <v>225</v>
      </c>
      <c r="V1962" s="7"/>
      <c r="W1962" s="7">
        <v>204.1</v>
      </c>
      <c r="X1962" s="132">
        <f t="shared" si="213"/>
        <v>10</v>
      </c>
      <c r="Y1962" s="133"/>
      <c r="Z1962" s="133"/>
      <c r="AA1962" s="133"/>
    </row>
    <row r="1963" spans="1:27" hidden="1" x14ac:dyDescent="0.25">
      <c r="A1963" s="127">
        <v>2144</v>
      </c>
      <c r="B1963" s="128" t="str">
        <f t="shared" si="214"/>
        <v>NAMS</v>
      </c>
      <c r="C1963" s="128" t="str">
        <f>+VLOOKUP(U1963,Ходим!A:B,2,0)</f>
        <v>31312985950011</v>
      </c>
      <c r="D1963" s="128" t="str">
        <f>IFERROR(VLOOKUP($B:$B,[20]свод!$A:$AB,3,0)," ")</f>
        <v>Наманган шаҳар</v>
      </c>
      <c r="E1963" s="7" t="s">
        <v>3099</v>
      </c>
      <c r="F1963" s="7" t="s">
        <v>9480</v>
      </c>
      <c r="G1963" s="134" t="str">
        <f t="shared" si="217"/>
        <v/>
      </c>
      <c r="H1963" s="134">
        <f t="shared" si="218"/>
        <v>1</v>
      </c>
      <c r="I1963" s="7" t="s">
        <v>157</v>
      </c>
      <c r="J1963" s="7" t="s">
        <v>172</v>
      </c>
      <c r="K1963" s="7"/>
      <c r="L1963" s="7" t="s">
        <v>166</v>
      </c>
      <c r="M1963" s="7" t="s">
        <v>5510</v>
      </c>
      <c r="N1963" s="7" t="s">
        <v>170</v>
      </c>
      <c r="O1963" s="7" t="s">
        <v>161</v>
      </c>
      <c r="P1963" s="7" t="s">
        <v>6941</v>
      </c>
      <c r="Q1963" s="129">
        <v>46199</v>
      </c>
      <c r="R1963" s="130">
        <f t="shared" si="216"/>
        <v>46210</v>
      </c>
      <c r="S1963" s="131">
        <f t="shared" si="215"/>
        <v>11</v>
      </c>
      <c r="T1963" s="7" t="s">
        <v>173</v>
      </c>
      <c r="U1963" s="7" t="s">
        <v>303</v>
      </c>
      <c r="V1963" s="7"/>
      <c r="W1963" s="7">
        <v>4493</v>
      </c>
      <c r="X1963" s="132">
        <f t="shared" si="213"/>
        <v>17</v>
      </c>
      <c r="Y1963" s="133"/>
      <c r="Z1963" s="133"/>
      <c r="AA1963" s="133"/>
    </row>
    <row r="1964" spans="1:27" x14ac:dyDescent="0.25">
      <c r="A1964" s="127">
        <v>2145</v>
      </c>
      <c r="B1964" s="128" t="str">
        <f t="shared" si="214"/>
        <v>NAMS</v>
      </c>
      <c r="C1964" s="128" t="str">
        <f>+VLOOKUP(U1964,Ходим!A:B,2,0)</f>
        <v>52710005960025</v>
      </c>
      <c r="D1964" s="128" t="str">
        <f>IFERROR(VLOOKUP($B:$B,[20]свод!$A:$AB,3,0)," ")</f>
        <v>Наманган шаҳар</v>
      </c>
      <c r="E1964" s="7" t="s">
        <v>3100</v>
      </c>
      <c r="F1964" s="7" t="s">
        <v>9481</v>
      </c>
      <c r="G1964" s="134">
        <f t="shared" si="217"/>
        <v>1</v>
      </c>
      <c r="H1964" s="134" t="str">
        <f t="shared" si="218"/>
        <v/>
      </c>
      <c r="I1964" s="7" t="s">
        <v>158</v>
      </c>
      <c r="J1964" s="7" t="s">
        <v>129</v>
      </c>
      <c r="K1964" s="7"/>
      <c r="L1964" s="7" t="s">
        <v>169</v>
      </c>
      <c r="M1964" s="7" t="s">
        <v>381</v>
      </c>
      <c r="N1964" s="7" t="s">
        <v>410</v>
      </c>
      <c r="O1964" s="7" t="s">
        <v>162</v>
      </c>
      <c r="P1964" s="7" t="s">
        <v>6576</v>
      </c>
      <c r="Q1964" s="129">
        <v>46199</v>
      </c>
      <c r="R1964" s="130">
        <f t="shared" si="216"/>
        <v>46198</v>
      </c>
      <c r="S1964" s="131">
        <f t="shared" si="215"/>
        <v>-1</v>
      </c>
      <c r="T1964" s="7" t="s">
        <v>173</v>
      </c>
      <c r="U1964" s="7" t="s">
        <v>274</v>
      </c>
      <c r="V1964" s="7"/>
      <c r="W1964" s="7">
        <v>0</v>
      </c>
      <c r="X1964" s="132">
        <f t="shared" si="213"/>
        <v>7</v>
      </c>
      <c r="Y1964" s="133"/>
      <c r="Z1964" s="133"/>
      <c r="AA1964" s="133"/>
    </row>
    <row r="1965" spans="1:27" hidden="1" x14ac:dyDescent="0.25">
      <c r="A1965" s="127">
        <v>2146</v>
      </c>
      <c r="B1965" s="128" t="str">
        <f t="shared" si="214"/>
        <v>CHOT</v>
      </c>
      <c r="C1965" s="128" t="str">
        <f>+VLOOKUP(U1965,Ходим!A:B,2,0)</f>
        <v>32906975890046</v>
      </c>
      <c r="D1965" s="128" t="str">
        <f>IFERROR(VLOOKUP($B:$B,[20]свод!$A:$AB,3,0)," ")</f>
        <v>Чортоқ тумани</v>
      </c>
      <c r="E1965" s="7" t="s">
        <v>3101</v>
      </c>
      <c r="F1965" s="7" t="s">
        <v>9482</v>
      </c>
      <c r="G1965" s="134" t="str">
        <f t="shared" si="217"/>
        <v/>
      </c>
      <c r="H1965" s="134">
        <f t="shared" si="218"/>
        <v>1</v>
      </c>
      <c r="I1965" s="7" t="s">
        <v>157</v>
      </c>
      <c r="J1965" s="7" t="s">
        <v>2</v>
      </c>
      <c r="K1965" s="7"/>
      <c r="L1965" s="7" t="s">
        <v>166</v>
      </c>
      <c r="M1965" s="7" t="s">
        <v>5511</v>
      </c>
      <c r="N1965" s="7" t="s">
        <v>410</v>
      </c>
      <c r="O1965" s="7" t="s">
        <v>161</v>
      </c>
      <c r="P1965" s="7" t="s">
        <v>6576</v>
      </c>
      <c r="Q1965" s="129">
        <v>46199</v>
      </c>
      <c r="R1965" s="130">
        <f t="shared" si="216"/>
        <v>46203</v>
      </c>
      <c r="S1965" s="131">
        <f t="shared" si="215"/>
        <v>4</v>
      </c>
      <c r="T1965" s="7" t="s">
        <v>10635</v>
      </c>
      <c r="U1965" s="7" t="s">
        <v>335</v>
      </c>
      <c r="V1965" s="7"/>
      <c r="W1965" s="7">
        <v>0</v>
      </c>
      <c r="X1965" s="132">
        <f t="shared" si="213"/>
        <v>10</v>
      </c>
      <c r="Y1965" s="133"/>
      <c r="Z1965" s="133"/>
      <c r="AA1965" s="133"/>
    </row>
    <row r="1966" spans="1:27" hidden="1" x14ac:dyDescent="0.25">
      <c r="A1966" s="127">
        <v>2147</v>
      </c>
      <c r="B1966" s="128" t="str">
        <f t="shared" si="214"/>
        <v>KSST</v>
      </c>
      <c r="C1966" s="128" t="str">
        <f>+VLOOKUP(U1966,Ходим!A:B,2,0)</f>
        <v>52812015980061</v>
      </c>
      <c r="D1966" s="128" t="str">
        <f>IFERROR(VLOOKUP($B:$B,[20]свод!$A:$AB,3,0)," ")</f>
        <v>Косонсой тумани</v>
      </c>
      <c r="E1966" s="7" t="s">
        <v>3102</v>
      </c>
      <c r="F1966" s="7" t="s">
        <v>9483</v>
      </c>
      <c r="G1966" s="134" t="str">
        <f t="shared" si="217"/>
        <v/>
      </c>
      <c r="H1966" s="134">
        <f t="shared" si="218"/>
        <v>1</v>
      </c>
      <c r="I1966" s="7" t="s">
        <v>157</v>
      </c>
      <c r="J1966" s="7" t="s">
        <v>2</v>
      </c>
      <c r="K1966" s="7"/>
      <c r="L1966" s="7" t="s">
        <v>166</v>
      </c>
      <c r="M1966" s="7" t="s">
        <v>5512</v>
      </c>
      <c r="N1966" s="7" t="s">
        <v>170</v>
      </c>
      <c r="O1966" s="7" t="s">
        <v>161</v>
      </c>
      <c r="P1966" s="7" t="s">
        <v>7153</v>
      </c>
      <c r="Q1966" s="129">
        <v>46199</v>
      </c>
      <c r="R1966" s="130">
        <f t="shared" si="216"/>
        <v>46203</v>
      </c>
      <c r="S1966" s="131">
        <f t="shared" si="215"/>
        <v>4</v>
      </c>
      <c r="T1966" s="7" t="s">
        <v>180</v>
      </c>
      <c r="U1966" s="7" t="s">
        <v>307</v>
      </c>
      <c r="V1966" s="7"/>
      <c r="W1966" s="7">
        <v>0</v>
      </c>
      <c r="X1966" s="132">
        <f t="shared" ref="X1966:X2019" si="219">IF(N1966="Kadastr muhandisi",3,
IF(N1966="UZKAD",5,
IF(V1966="FREE",5,
IF(I1966="Registratsiya (tashqi - UZKAD da bor)",1,
IF(I1966="Avtoyo'l va suv xo'jaligi obyektining kadastr pasportini shakllantirish va ro'yxatga olish",7,
IF(I1966="Notarius uchun ma'lumotnoma (uz)",1,
IF(I1966="Qurilishi tugallangan ko'chmas mulkni foydalanishga qabul qilish",10,
IF(OR(I1966="Turar joy obyektning kadastr pasportini shakllantirish va davlat ro'yxatidan o'tkazish",I1966="Turar kompozit"),
IF(L1966="Turar yer maydoni",7,10),
IF(OR(I1966="Noturar obyektning kadastr pasportini shakllantirish va davlat ro'yxatidan o'tkazish",I1966="Noturar kompozit"),
IF(O1966="Ko‘p yillik daraxtlar xizmati",15,
IF(OR(L1966="Noturar yer maydoni",L1966="Davlat tashkilotlaridan ijaraga olingan yer uchastkasi"),7,
IF(W1966&lt;100,10,IF(W1966&lt;=1000,12,IF(W1966&lt;=5000,17,IF(W1966&lt;=15000,22,IF(W1966&lt;=50000,28,37))))))),
IF(I1966="Umumiy foydalanishdagi ko'chmas mulk qismini yaratish",
IF(IF(TRIM(L1966)="",IF(OR(O1966="Turar joy xizmati",O1966="Yakka tartibdagi turar joy"),"Turar","Noturar"),IF(OR(L1966="Yakka tartibdagi turar joy",L1966="Turar joy xizmati"),"Turar","Noturar"))="Turar",
10,IF(W1966&lt;100,10,IF(W1966&lt;=1000,12,IF(W1966&lt;=5000,17,IF(W1966&lt;=15000,22,IF(W1966&lt;=50000,28,37)))))),
0))))))))))</f>
        <v>10</v>
      </c>
      <c r="Y1966" s="133"/>
      <c r="Z1966" s="133"/>
      <c r="AA1966" s="133"/>
    </row>
    <row r="1967" spans="1:27" hidden="1" x14ac:dyDescent="0.25">
      <c r="A1967" s="127">
        <v>2148</v>
      </c>
      <c r="B1967" s="128" t="str">
        <f t="shared" ref="B1967:B2020" si="220">LEFT(E1967,4)</f>
        <v>YGQT</v>
      </c>
      <c r="C1967" s="128" t="str">
        <f>+VLOOKUP(U1967,Ходим!A:B,2,0)</f>
        <v>52410005950025</v>
      </c>
      <c r="D1967" s="128" t="str">
        <f>IFERROR(VLOOKUP($B:$B,[20]свод!$A:$AB,3,0)," ")</f>
        <v>Янгиқўрғон тумани</v>
      </c>
      <c r="E1967" s="7" t="s">
        <v>3103</v>
      </c>
      <c r="F1967" s="7" t="s">
        <v>9484</v>
      </c>
      <c r="G1967" s="134">
        <f t="shared" si="217"/>
        <v>1</v>
      </c>
      <c r="H1967" s="134" t="str">
        <f t="shared" si="218"/>
        <v/>
      </c>
      <c r="I1967" s="7" t="s">
        <v>158</v>
      </c>
      <c r="J1967" s="7" t="s">
        <v>2</v>
      </c>
      <c r="K1967" s="7"/>
      <c r="L1967" s="7" t="s">
        <v>167</v>
      </c>
      <c r="M1967" s="7" t="s">
        <v>5513</v>
      </c>
      <c r="N1967" s="7" t="s">
        <v>170</v>
      </c>
      <c r="O1967" s="7" t="s">
        <v>162</v>
      </c>
      <c r="P1967" s="7" t="s">
        <v>6649</v>
      </c>
      <c r="Q1967" s="129">
        <v>46199</v>
      </c>
      <c r="R1967" s="130">
        <f t="shared" si="216"/>
        <v>46204</v>
      </c>
      <c r="S1967" s="131">
        <f t="shared" ref="S1967:S2020" si="221">R1967-Q1967</f>
        <v>5</v>
      </c>
      <c r="T1967" s="7" t="s">
        <v>255</v>
      </c>
      <c r="U1967" s="7" t="s">
        <v>256</v>
      </c>
      <c r="V1967" s="7"/>
      <c r="W1967" s="7">
        <v>323.755</v>
      </c>
      <c r="X1967" s="132">
        <f t="shared" si="219"/>
        <v>10</v>
      </c>
      <c r="Y1967" s="133"/>
      <c r="Z1967" s="133"/>
      <c r="AA1967" s="133"/>
    </row>
    <row r="1968" spans="1:27" hidden="1" x14ac:dyDescent="0.25">
      <c r="A1968" s="127">
        <v>2149</v>
      </c>
      <c r="B1968" s="128" t="str">
        <f t="shared" si="220"/>
        <v>NAMS</v>
      </c>
      <c r="C1968" s="128" t="str">
        <f>+VLOOKUP(U1968,Ходим!A:B,2,0)</f>
        <v>30302942170072</v>
      </c>
      <c r="D1968" s="128" t="str">
        <f>IFERROR(VLOOKUP($B:$B,[20]свод!$A:$AB,3,0)," ")</f>
        <v>Наманган шаҳар</v>
      </c>
      <c r="E1968" s="7" t="s">
        <v>3104</v>
      </c>
      <c r="F1968" s="7" t="s">
        <v>9485</v>
      </c>
      <c r="G1968" s="134">
        <f t="shared" si="217"/>
        <v>1</v>
      </c>
      <c r="H1968" s="134" t="str">
        <f t="shared" si="218"/>
        <v/>
      </c>
      <c r="I1968" s="7" t="s">
        <v>158</v>
      </c>
      <c r="J1968" s="7" t="s">
        <v>2</v>
      </c>
      <c r="K1968" s="7"/>
      <c r="L1968" s="7" t="s">
        <v>167</v>
      </c>
      <c r="M1968" s="7" t="s">
        <v>5514</v>
      </c>
      <c r="N1968" s="7" t="s">
        <v>410</v>
      </c>
      <c r="O1968" s="7" t="s">
        <v>162</v>
      </c>
      <c r="P1968" s="7" t="s">
        <v>7170</v>
      </c>
      <c r="Q1968" s="129">
        <v>46199</v>
      </c>
      <c r="R1968" s="130">
        <f t="shared" si="216"/>
        <v>46206</v>
      </c>
      <c r="S1968" s="131">
        <f t="shared" si="221"/>
        <v>7</v>
      </c>
      <c r="T1968" s="7" t="s">
        <v>173</v>
      </c>
      <c r="U1968" s="7" t="s">
        <v>325</v>
      </c>
      <c r="V1968" s="7"/>
      <c r="W1968" s="7">
        <v>29.8</v>
      </c>
      <c r="X1968" s="132">
        <f t="shared" si="219"/>
        <v>10</v>
      </c>
      <c r="Y1968" s="133"/>
      <c r="Z1968" s="133"/>
      <c r="AA1968" s="133"/>
    </row>
    <row r="1969" spans="1:27" hidden="1" x14ac:dyDescent="0.25">
      <c r="A1969" s="127">
        <v>2150</v>
      </c>
      <c r="B1969" s="128" t="str">
        <f t="shared" si="220"/>
        <v>KSST</v>
      </c>
      <c r="C1969" s="128" t="str">
        <f>+VLOOKUP(U1969,Ходим!A:B,2,0)</f>
        <v>52812015980061</v>
      </c>
      <c r="D1969" s="128" t="str">
        <f>IFERROR(VLOOKUP($B:$B,[20]свод!$A:$AB,3,0)," ")</f>
        <v>Косонсой тумани</v>
      </c>
      <c r="E1969" s="7" t="s">
        <v>3105</v>
      </c>
      <c r="F1969" s="7" t="s">
        <v>9486</v>
      </c>
      <c r="G1969" s="134">
        <f t="shared" si="217"/>
        <v>1</v>
      </c>
      <c r="H1969" s="134" t="str">
        <f t="shared" si="218"/>
        <v/>
      </c>
      <c r="I1969" s="7" t="s">
        <v>158</v>
      </c>
      <c r="J1969" s="7" t="s">
        <v>2</v>
      </c>
      <c r="K1969" s="7"/>
      <c r="L1969" s="7" t="s">
        <v>167</v>
      </c>
      <c r="M1969" s="7" t="s">
        <v>5515</v>
      </c>
      <c r="N1969" s="7" t="s">
        <v>410</v>
      </c>
      <c r="O1969" s="7" t="s">
        <v>163</v>
      </c>
      <c r="P1969" s="7" t="s">
        <v>7171</v>
      </c>
      <c r="Q1969" s="129">
        <v>46199</v>
      </c>
      <c r="R1969" s="130">
        <f t="shared" si="216"/>
        <v>46212</v>
      </c>
      <c r="S1969" s="131">
        <f t="shared" si="221"/>
        <v>13</v>
      </c>
      <c r="T1969" s="7" t="s">
        <v>180</v>
      </c>
      <c r="U1969" s="7" t="s">
        <v>307</v>
      </c>
      <c r="V1969" s="7"/>
      <c r="W1969" s="7">
        <v>139.31</v>
      </c>
      <c r="X1969" s="132">
        <f t="shared" si="219"/>
        <v>10</v>
      </c>
      <c r="Y1969" s="133"/>
      <c r="Z1969" s="133"/>
      <c r="AA1969" s="133"/>
    </row>
    <row r="1970" spans="1:27" hidden="1" x14ac:dyDescent="0.25">
      <c r="A1970" s="127">
        <v>2151</v>
      </c>
      <c r="B1970" s="128" t="str">
        <f t="shared" si="220"/>
        <v>POPT</v>
      </c>
      <c r="C1970" s="128" t="str">
        <f>+VLOOKUP(U1970,Ходим!A:B,2,0)</f>
        <v>30608945910016</v>
      </c>
      <c r="D1970" s="128" t="str">
        <f>IFERROR(VLOOKUP($B:$B,[20]свод!$A:$AB,3,0)," ")</f>
        <v>Поп тумани</v>
      </c>
      <c r="E1970" s="7" t="s">
        <v>3106</v>
      </c>
      <c r="F1970" s="7" t="s">
        <v>9487</v>
      </c>
      <c r="G1970" s="134">
        <f t="shared" si="217"/>
        <v>1</v>
      </c>
      <c r="H1970" s="134" t="str">
        <f t="shared" si="218"/>
        <v/>
      </c>
      <c r="I1970" s="7" t="s">
        <v>154</v>
      </c>
      <c r="J1970" s="7" t="s">
        <v>109</v>
      </c>
      <c r="K1970" s="7"/>
      <c r="L1970" s="7"/>
      <c r="M1970" s="7"/>
      <c r="N1970" s="7" t="s">
        <v>410</v>
      </c>
      <c r="O1970" s="7" t="s">
        <v>162</v>
      </c>
      <c r="P1970" s="7" t="s">
        <v>7172</v>
      </c>
      <c r="Q1970" s="129">
        <v>46199</v>
      </c>
      <c r="R1970" s="130">
        <f t="shared" si="216"/>
        <v>46203</v>
      </c>
      <c r="S1970" s="131">
        <f t="shared" si="221"/>
        <v>4</v>
      </c>
      <c r="T1970" s="7" t="s">
        <v>214</v>
      </c>
      <c r="U1970" s="7" t="s">
        <v>295</v>
      </c>
      <c r="V1970" s="7"/>
      <c r="W1970" s="7"/>
      <c r="X1970" s="132">
        <f t="shared" si="219"/>
        <v>10</v>
      </c>
      <c r="Y1970" s="133"/>
      <c r="Z1970" s="133"/>
      <c r="AA1970" s="133"/>
    </row>
    <row r="1971" spans="1:27" hidden="1" x14ac:dyDescent="0.25">
      <c r="A1971" s="127">
        <v>2153</v>
      </c>
      <c r="B1971" s="128" t="str">
        <f t="shared" si="220"/>
        <v>NAMS</v>
      </c>
      <c r="C1971" s="128" t="str">
        <f>+VLOOKUP(U1971,Ходим!A:B,2,0)</f>
        <v>51705025890024</v>
      </c>
      <c r="D1971" s="128" t="str">
        <f>IFERROR(VLOOKUP($B:$B,[20]свод!$A:$AB,3,0)," ")</f>
        <v>Наманган шаҳар</v>
      </c>
      <c r="E1971" s="7" t="s">
        <v>3107</v>
      </c>
      <c r="F1971" s="7" t="s">
        <v>9488</v>
      </c>
      <c r="G1971" s="134">
        <f t="shared" si="217"/>
        <v>1</v>
      </c>
      <c r="H1971" s="134" t="str">
        <f t="shared" si="218"/>
        <v/>
      </c>
      <c r="I1971" s="7" t="s">
        <v>158</v>
      </c>
      <c r="J1971" s="7" t="s">
        <v>13</v>
      </c>
      <c r="K1971" s="7"/>
      <c r="L1971" s="7" t="s">
        <v>167</v>
      </c>
      <c r="M1971" s="7" t="s">
        <v>5516</v>
      </c>
      <c r="N1971" s="7" t="s">
        <v>170</v>
      </c>
      <c r="O1971" s="7" t="s">
        <v>162</v>
      </c>
      <c r="P1971" s="7" t="s">
        <v>7172</v>
      </c>
      <c r="Q1971" s="129">
        <v>46199</v>
      </c>
      <c r="R1971" s="130">
        <f t="shared" si="216"/>
        <v>46203</v>
      </c>
      <c r="S1971" s="131">
        <f t="shared" si="221"/>
        <v>4</v>
      </c>
      <c r="T1971" s="7" t="s">
        <v>173</v>
      </c>
      <c r="U1971" s="7" t="s">
        <v>189</v>
      </c>
      <c r="V1971" s="7"/>
      <c r="W1971" s="7">
        <v>0</v>
      </c>
      <c r="X1971" s="132">
        <f t="shared" si="219"/>
        <v>10</v>
      </c>
      <c r="Y1971" s="133"/>
      <c r="Z1971" s="133"/>
      <c r="AA1971" s="133"/>
    </row>
    <row r="1972" spans="1:27" hidden="1" x14ac:dyDescent="0.25">
      <c r="A1972" s="127">
        <v>2154</v>
      </c>
      <c r="B1972" s="128" t="str">
        <f t="shared" si="220"/>
        <v>TORT</v>
      </c>
      <c r="C1972" s="128" t="str">
        <f>+VLOOKUP(U1972,Ходим!A:B,2,0)</f>
        <v>32211772130034</v>
      </c>
      <c r="D1972" s="128" t="str">
        <f>IFERROR(VLOOKUP($B:$B,[20]свод!$A:$AB,3,0)," ")</f>
        <v>Тўрақўрғон тумани</v>
      </c>
      <c r="E1972" s="7" t="s">
        <v>3108</v>
      </c>
      <c r="F1972" s="7" t="s">
        <v>9489</v>
      </c>
      <c r="G1972" s="134">
        <f t="shared" si="217"/>
        <v>1</v>
      </c>
      <c r="H1972" s="134" t="str">
        <f t="shared" si="218"/>
        <v/>
      </c>
      <c r="I1972" s="7" t="s">
        <v>158</v>
      </c>
      <c r="J1972" s="7" t="s">
        <v>13</v>
      </c>
      <c r="K1972" s="7"/>
      <c r="L1972" s="7" t="s">
        <v>167</v>
      </c>
      <c r="M1972" s="7" t="s">
        <v>5517</v>
      </c>
      <c r="N1972" s="7" t="s">
        <v>170</v>
      </c>
      <c r="O1972" s="7" t="s">
        <v>162</v>
      </c>
      <c r="P1972" s="7" t="s">
        <v>7173</v>
      </c>
      <c r="Q1972" s="129">
        <v>46199</v>
      </c>
      <c r="R1972" s="130">
        <f t="shared" si="216"/>
        <v>46203</v>
      </c>
      <c r="S1972" s="131">
        <f t="shared" si="221"/>
        <v>4</v>
      </c>
      <c r="T1972" s="7" t="s">
        <v>309</v>
      </c>
      <c r="U1972" s="7" t="s">
        <v>270</v>
      </c>
      <c r="V1972" s="7"/>
      <c r="W1972" s="7">
        <v>246.6</v>
      </c>
      <c r="X1972" s="132">
        <f t="shared" si="219"/>
        <v>10</v>
      </c>
      <c r="Y1972" s="133"/>
      <c r="Z1972" s="133"/>
      <c r="AA1972" s="133"/>
    </row>
    <row r="1973" spans="1:27" hidden="1" x14ac:dyDescent="0.25">
      <c r="A1973" s="127">
        <v>2155</v>
      </c>
      <c r="B1973" s="128" t="str">
        <f t="shared" si="220"/>
        <v>CHUT</v>
      </c>
      <c r="C1973" s="128" t="str">
        <f>+VLOOKUP(U1973,Ходим!A:B,2,0)</f>
        <v>31312912180061</v>
      </c>
      <c r="D1973" s="128" t="str">
        <f>IFERROR(VLOOKUP($B:$B,[20]свод!$A:$AB,3,0)," ")</f>
        <v>Чуст тумани</v>
      </c>
      <c r="E1973" s="7" t="s">
        <v>3109</v>
      </c>
      <c r="F1973" s="7" t="s">
        <v>9490</v>
      </c>
      <c r="G1973" s="134">
        <f t="shared" si="217"/>
        <v>1</v>
      </c>
      <c r="H1973" s="134" t="str">
        <f t="shared" si="218"/>
        <v/>
      </c>
      <c r="I1973" s="7" t="s">
        <v>158</v>
      </c>
      <c r="J1973" s="7" t="s">
        <v>172</v>
      </c>
      <c r="K1973" s="7"/>
      <c r="L1973" s="7" t="s">
        <v>167</v>
      </c>
      <c r="M1973" s="7" t="s">
        <v>5518</v>
      </c>
      <c r="N1973" s="7" t="s">
        <v>170</v>
      </c>
      <c r="O1973" s="7" t="s">
        <v>162</v>
      </c>
      <c r="P1973" s="7" t="s">
        <v>7173</v>
      </c>
      <c r="Q1973" s="129">
        <v>46199</v>
      </c>
      <c r="R1973" s="130">
        <f t="shared" si="216"/>
        <v>46203</v>
      </c>
      <c r="S1973" s="131">
        <f t="shared" si="221"/>
        <v>4</v>
      </c>
      <c r="T1973" s="7" t="s">
        <v>178</v>
      </c>
      <c r="U1973" s="7" t="s">
        <v>202</v>
      </c>
      <c r="V1973" s="7"/>
      <c r="W1973" s="7">
        <v>332.17</v>
      </c>
      <c r="X1973" s="132">
        <f t="shared" si="219"/>
        <v>10</v>
      </c>
      <c r="Y1973" s="133"/>
      <c r="Z1973" s="133"/>
      <c r="AA1973" s="133"/>
    </row>
    <row r="1974" spans="1:27" hidden="1" x14ac:dyDescent="0.25">
      <c r="A1974" s="127">
        <v>2156</v>
      </c>
      <c r="B1974" s="128" t="str">
        <f t="shared" si="220"/>
        <v>NORT</v>
      </c>
      <c r="C1974" s="128" t="str">
        <f>+VLOOKUP(U1974,Ходим!A:B,2,0)</f>
        <v>40601902150077</v>
      </c>
      <c r="D1974" s="128" t="str">
        <f>IFERROR(VLOOKUP($B:$B,[20]свод!$A:$AB,3,0)," ")</f>
        <v>Норин тумани</v>
      </c>
      <c r="E1974" s="7" t="s">
        <v>3110</v>
      </c>
      <c r="F1974" s="7" t="s">
        <v>9491</v>
      </c>
      <c r="G1974" s="134">
        <f t="shared" si="217"/>
        <v>1</v>
      </c>
      <c r="H1974" s="134" t="str">
        <f t="shared" si="218"/>
        <v/>
      </c>
      <c r="I1974" s="7" t="s">
        <v>158</v>
      </c>
      <c r="J1974" s="7" t="s">
        <v>1</v>
      </c>
      <c r="K1974" s="7"/>
      <c r="L1974" s="7" t="s">
        <v>167</v>
      </c>
      <c r="M1974" s="7" t="s">
        <v>5519</v>
      </c>
      <c r="N1974" s="7" t="s">
        <v>170</v>
      </c>
      <c r="O1974" s="7" t="s">
        <v>162</v>
      </c>
      <c r="P1974" s="7" t="s">
        <v>7173</v>
      </c>
      <c r="Q1974" s="129">
        <v>46199</v>
      </c>
      <c r="R1974" s="130">
        <f t="shared" si="216"/>
        <v>46203</v>
      </c>
      <c r="S1974" s="131">
        <f t="shared" si="221"/>
        <v>4</v>
      </c>
      <c r="T1974" s="7" t="s">
        <v>210</v>
      </c>
      <c r="U1974" s="7" t="s">
        <v>249</v>
      </c>
      <c r="V1974" s="7"/>
      <c r="W1974" s="7">
        <v>380.1</v>
      </c>
      <c r="X1974" s="132">
        <f t="shared" si="219"/>
        <v>10</v>
      </c>
      <c r="Y1974" s="133"/>
      <c r="Z1974" s="133"/>
      <c r="AA1974" s="133"/>
    </row>
    <row r="1975" spans="1:27" hidden="1" x14ac:dyDescent="0.25">
      <c r="A1975" s="127">
        <v>2157</v>
      </c>
      <c r="B1975" s="128" t="str">
        <f t="shared" si="220"/>
        <v>POPT</v>
      </c>
      <c r="C1975" s="128" t="str">
        <f>+VLOOKUP(U1975,Ходим!A:B,2,0)</f>
        <v>33107902120019</v>
      </c>
      <c r="D1975" s="128" t="str">
        <f>IFERROR(VLOOKUP($B:$B,[20]свод!$A:$AB,3,0)," ")</f>
        <v>Поп тумани</v>
      </c>
      <c r="E1975" s="7" t="s">
        <v>3111</v>
      </c>
      <c r="F1975" s="7" t="s">
        <v>9492</v>
      </c>
      <c r="G1975" s="134">
        <f t="shared" si="217"/>
        <v>1</v>
      </c>
      <c r="H1975" s="134" t="str">
        <f t="shared" si="218"/>
        <v/>
      </c>
      <c r="I1975" s="7" t="s">
        <v>158</v>
      </c>
      <c r="J1975" s="7" t="s">
        <v>12</v>
      </c>
      <c r="K1975" s="7"/>
      <c r="L1975" s="7" t="s">
        <v>167</v>
      </c>
      <c r="M1975" s="7" t="s">
        <v>5520</v>
      </c>
      <c r="N1975" s="7" t="s">
        <v>170</v>
      </c>
      <c r="O1975" s="7" t="s">
        <v>162</v>
      </c>
      <c r="P1975" s="7" t="s">
        <v>7088</v>
      </c>
      <c r="Q1975" s="129">
        <v>46199</v>
      </c>
      <c r="R1975" s="130">
        <f t="shared" si="216"/>
        <v>46202</v>
      </c>
      <c r="S1975" s="131">
        <f t="shared" si="221"/>
        <v>3</v>
      </c>
      <c r="T1975" s="7" t="s">
        <v>214</v>
      </c>
      <c r="U1975" s="7" t="s">
        <v>224</v>
      </c>
      <c r="V1975" s="7"/>
      <c r="W1975" s="7">
        <v>160.24</v>
      </c>
      <c r="X1975" s="132">
        <f t="shared" si="219"/>
        <v>10</v>
      </c>
      <c r="Y1975" s="133"/>
      <c r="Z1975" s="133"/>
      <c r="AA1975" s="133"/>
    </row>
    <row r="1976" spans="1:27" hidden="1" x14ac:dyDescent="0.25">
      <c r="A1976" s="127">
        <v>2158</v>
      </c>
      <c r="B1976" s="128" t="str">
        <f t="shared" si="220"/>
        <v>UYCT</v>
      </c>
      <c r="C1976" s="128" t="str">
        <f>+VLOOKUP(U1976,Ходим!A:B,2,0)</f>
        <v>30510922140032</v>
      </c>
      <c r="D1976" s="128" t="str">
        <f>IFERROR(VLOOKUP($B:$B,[20]свод!$A:$AB,3,0)," ")</f>
        <v>Уйчи тумани</v>
      </c>
      <c r="E1976" s="7" t="s">
        <v>3112</v>
      </c>
      <c r="F1976" s="7" t="s">
        <v>9493</v>
      </c>
      <c r="G1976" s="134">
        <f t="shared" si="217"/>
        <v>1</v>
      </c>
      <c r="H1976" s="134" t="str">
        <f t="shared" si="218"/>
        <v/>
      </c>
      <c r="I1976" s="7" t="s">
        <v>154</v>
      </c>
      <c r="J1976" s="7" t="s">
        <v>109</v>
      </c>
      <c r="K1976" s="7"/>
      <c r="L1976" s="7"/>
      <c r="M1976" s="7"/>
      <c r="N1976" s="7" t="s">
        <v>410</v>
      </c>
      <c r="O1976" s="7" t="s">
        <v>162</v>
      </c>
      <c r="P1976" s="7" t="s">
        <v>7174</v>
      </c>
      <c r="Q1976" s="129">
        <v>46199</v>
      </c>
      <c r="R1976" s="130">
        <f t="shared" si="216"/>
        <v>46206</v>
      </c>
      <c r="S1976" s="131">
        <f t="shared" si="221"/>
        <v>7</v>
      </c>
      <c r="T1976" s="7" t="s">
        <v>379</v>
      </c>
      <c r="U1976" s="7" t="s">
        <v>199</v>
      </c>
      <c r="V1976" s="7"/>
      <c r="W1976" s="7"/>
      <c r="X1976" s="132">
        <f t="shared" si="219"/>
        <v>10</v>
      </c>
      <c r="Y1976" s="133"/>
      <c r="Z1976" s="133"/>
      <c r="AA1976" s="133"/>
    </row>
    <row r="1977" spans="1:27" hidden="1" x14ac:dyDescent="0.25">
      <c r="A1977" s="127">
        <v>2159</v>
      </c>
      <c r="B1977" s="128" t="str">
        <f t="shared" si="220"/>
        <v>NAMS</v>
      </c>
      <c r="C1977" s="128" t="str">
        <f>+VLOOKUP(U1977,Ходим!A:B,2,0)</f>
        <v>51110025960044</v>
      </c>
      <c r="D1977" s="128" t="str">
        <f>IFERROR(VLOOKUP($B:$B,[20]свод!$A:$AB,3,0)," ")</f>
        <v>Наманган шаҳар</v>
      </c>
      <c r="E1977" s="7" t="s">
        <v>3113</v>
      </c>
      <c r="F1977" s="7" t="s">
        <v>9494</v>
      </c>
      <c r="G1977" s="134">
        <f t="shared" si="217"/>
        <v>1</v>
      </c>
      <c r="H1977" s="134" t="str">
        <f t="shared" si="218"/>
        <v/>
      </c>
      <c r="I1977" s="7" t="s">
        <v>158</v>
      </c>
      <c r="J1977" s="7" t="s">
        <v>36</v>
      </c>
      <c r="K1977" s="7"/>
      <c r="L1977" s="7" t="s">
        <v>167</v>
      </c>
      <c r="M1977" s="7" t="s">
        <v>5521</v>
      </c>
      <c r="N1977" s="7" t="s">
        <v>170</v>
      </c>
      <c r="O1977" s="7" t="s">
        <v>162</v>
      </c>
      <c r="P1977" s="7" t="s">
        <v>7175</v>
      </c>
      <c r="Q1977" s="129">
        <v>46199</v>
      </c>
      <c r="R1977" s="130">
        <f t="shared" si="216"/>
        <v>46203</v>
      </c>
      <c r="S1977" s="131">
        <f t="shared" si="221"/>
        <v>4</v>
      </c>
      <c r="T1977" s="7" t="s">
        <v>173</v>
      </c>
      <c r="U1977" s="7" t="s">
        <v>294</v>
      </c>
      <c r="V1977" s="7"/>
      <c r="W1977" s="7">
        <v>166.14</v>
      </c>
      <c r="X1977" s="132">
        <f t="shared" si="219"/>
        <v>10</v>
      </c>
      <c r="Y1977" s="133"/>
      <c r="Z1977" s="133"/>
      <c r="AA1977" s="133"/>
    </row>
    <row r="1978" spans="1:27" hidden="1" x14ac:dyDescent="0.25">
      <c r="A1978" s="127">
        <v>2160</v>
      </c>
      <c r="B1978" s="128" t="str">
        <f t="shared" si="220"/>
        <v>TORT</v>
      </c>
      <c r="C1978" s="128" t="str">
        <f>+VLOOKUP(U1978,Ходим!A:B,2,0)</f>
        <v>31609912130025</v>
      </c>
      <c r="D1978" s="128" t="str">
        <f>IFERROR(VLOOKUP($B:$B,[20]свод!$A:$AB,3,0)," ")</f>
        <v>Тўрақўрғон тумани</v>
      </c>
      <c r="E1978" s="7" t="s">
        <v>3114</v>
      </c>
      <c r="F1978" s="7" t="s">
        <v>9495</v>
      </c>
      <c r="G1978" s="134" t="str">
        <f t="shared" si="217"/>
        <v/>
      </c>
      <c r="H1978" s="134">
        <f t="shared" si="218"/>
        <v>1</v>
      </c>
      <c r="I1978" s="7" t="s">
        <v>157</v>
      </c>
      <c r="J1978" s="7" t="s">
        <v>52</v>
      </c>
      <c r="K1978" s="7"/>
      <c r="L1978" s="7" t="s">
        <v>166</v>
      </c>
      <c r="M1978" s="7" t="s">
        <v>5522</v>
      </c>
      <c r="N1978" s="7" t="s">
        <v>170</v>
      </c>
      <c r="O1978" s="7" t="s">
        <v>161</v>
      </c>
      <c r="P1978" s="7" t="s">
        <v>7176</v>
      </c>
      <c r="Q1978" s="129">
        <v>46199</v>
      </c>
      <c r="R1978" s="130">
        <f t="shared" si="216"/>
        <v>46202</v>
      </c>
      <c r="S1978" s="131">
        <f t="shared" si="221"/>
        <v>3</v>
      </c>
      <c r="T1978" s="7" t="s">
        <v>203</v>
      </c>
      <c r="U1978" s="7" t="s">
        <v>280</v>
      </c>
      <c r="V1978" s="7" t="s">
        <v>965</v>
      </c>
      <c r="W1978" s="7">
        <v>684.84</v>
      </c>
      <c r="X1978" s="132">
        <f t="shared" si="219"/>
        <v>5</v>
      </c>
      <c r="Y1978" s="133"/>
      <c r="Z1978" s="133"/>
      <c r="AA1978" s="133"/>
    </row>
    <row r="1979" spans="1:27" hidden="1" x14ac:dyDescent="0.25">
      <c r="A1979" s="127">
        <v>2161</v>
      </c>
      <c r="B1979" s="128" t="str">
        <f t="shared" si="220"/>
        <v>TORT</v>
      </c>
      <c r="C1979" s="128" t="str">
        <f>+VLOOKUP(U1979,Ходим!A:B,2,0)</f>
        <v>31609912130025</v>
      </c>
      <c r="D1979" s="128" t="str">
        <f>IFERROR(VLOOKUP($B:$B,[20]свод!$A:$AB,3,0)," ")</f>
        <v>Тўрақўрғон тумани</v>
      </c>
      <c r="E1979" s="7" t="s">
        <v>3115</v>
      </c>
      <c r="F1979" s="7" t="s">
        <v>9496</v>
      </c>
      <c r="G1979" s="134">
        <f t="shared" si="217"/>
        <v>1</v>
      </c>
      <c r="H1979" s="134" t="str">
        <f t="shared" si="218"/>
        <v/>
      </c>
      <c r="I1979" s="7" t="s">
        <v>156</v>
      </c>
      <c r="J1979" s="7" t="s">
        <v>25</v>
      </c>
      <c r="K1979" s="7"/>
      <c r="L1979" s="7"/>
      <c r="M1979" s="7"/>
      <c r="N1979" s="7" t="s">
        <v>170</v>
      </c>
      <c r="O1979" s="7" t="s">
        <v>162</v>
      </c>
      <c r="P1979" s="7" t="s">
        <v>7175</v>
      </c>
      <c r="Q1979" s="129">
        <v>46199</v>
      </c>
      <c r="R1979" s="130">
        <f t="shared" si="216"/>
        <v>46203</v>
      </c>
      <c r="S1979" s="131">
        <f t="shared" si="221"/>
        <v>4</v>
      </c>
      <c r="T1979" s="7" t="s">
        <v>203</v>
      </c>
      <c r="U1979" s="7" t="s">
        <v>280</v>
      </c>
      <c r="V1979" s="7"/>
      <c r="W1979" s="7"/>
      <c r="X1979" s="132">
        <f t="shared" si="219"/>
        <v>10</v>
      </c>
      <c r="Y1979" s="133"/>
      <c r="Z1979" s="133"/>
      <c r="AA1979" s="133"/>
    </row>
    <row r="1980" spans="1:27" hidden="1" x14ac:dyDescent="0.25">
      <c r="A1980" s="127">
        <v>2162</v>
      </c>
      <c r="B1980" s="128" t="str">
        <f t="shared" si="220"/>
        <v>CHUT</v>
      </c>
      <c r="C1980" s="128" t="str">
        <f>+VLOOKUP(U1980,Ходим!A:B,2,0)</f>
        <v>31312912180061</v>
      </c>
      <c r="D1980" s="128" t="str">
        <f>IFERROR(VLOOKUP($B:$B,[20]свод!$A:$AB,3,0)," ")</f>
        <v>Чуст тумани</v>
      </c>
      <c r="E1980" s="7" t="s">
        <v>3116</v>
      </c>
      <c r="F1980" s="7" t="s">
        <v>9497</v>
      </c>
      <c r="G1980" s="134">
        <f t="shared" si="217"/>
        <v>1</v>
      </c>
      <c r="H1980" s="134" t="str">
        <f t="shared" si="218"/>
        <v/>
      </c>
      <c r="I1980" s="7" t="s">
        <v>158</v>
      </c>
      <c r="J1980" s="7" t="s">
        <v>172</v>
      </c>
      <c r="K1980" s="7"/>
      <c r="L1980" s="7" t="s">
        <v>167</v>
      </c>
      <c r="M1980" s="7" t="s">
        <v>5523</v>
      </c>
      <c r="N1980" s="7" t="s">
        <v>170</v>
      </c>
      <c r="O1980" s="7" t="s">
        <v>162</v>
      </c>
      <c r="P1980" s="7" t="s">
        <v>7175</v>
      </c>
      <c r="Q1980" s="129">
        <v>46199</v>
      </c>
      <c r="R1980" s="130">
        <f t="shared" si="216"/>
        <v>46203</v>
      </c>
      <c r="S1980" s="131">
        <f t="shared" si="221"/>
        <v>4</v>
      </c>
      <c r="T1980" s="7" t="s">
        <v>178</v>
      </c>
      <c r="U1980" s="7" t="s">
        <v>202</v>
      </c>
      <c r="V1980" s="7"/>
      <c r="W1980" s="7">
        <v>278.60000000000002</v>
      </c>
      <c r="X1980" s="132">
        <f t="shared" si="219"/>
        <v>10</v>
      </c>
      <c r="Y1980" s="133"/>
      <c r="Z1980" s="133"/>
      <c r="AA1980" s="133"/>
    </row>
    <row r="1981" spans="1:27" hidden="1" x14ac:dyDescent="0.25">
      <c r="A1981" s="127">
        <v>2163</v>
      </c>
      <c r="B1981" s="128" t="str">
        <f t="shared" si="220"/>
        <v>YGQT</v>
      </c>
      <c r="C1981" s="128" t="str">
        <f>+VLOOKUP(U1981,Ходим!A:B,2,0)</f>
        <v>31501762160017</v>
      </c>
      <c r="D1981" s="128" t="str">
        <f>IFERROR(VLOOKUP($B:$B,[20]свод!$A:$AB,3,0)," ")</f>
        <v>Янгиқўрғон тумани</v>
      </c>
      <c r="E1981" s="7" t="s">
        <v>3117</v>
      </c>
      <c r="F1981" s="7" t="s">
        <v>9498</v>
      </c>
      <c r="G1981" s="134">
        <f t="shared" si="217"/>
        <v>1</v>
      </c>
      <c r="H1981" s="134" t="str">
        <f t="shared" si="218"/>
        <v/>
      </c>
      <c r="I1981" s="7" t="s">
        <v>158</v>
      </c>
      <c r="J1981" s="7" t="s">
        <v>13</v>
      </c>
      <c r="K1981" s="7"/>
      <c r="L1981" s="7" t="s">
        <v>169</v>
      </c>
      <c r="M1981" s="7" t="s">
        <v>382</v>
      </c>
      <c r="N1981" s="7" t="s">
        <v>410</v>
      </c>
      <c r="O1981" s="7" t="s">
        <v>162</v>
      </c>
      <c r="P1981" s="7" t="s">
        <v>7177</v>
      </c>
      <c r="Q1981" s="129">
        <v>46199</v>
      </c>
      <c r="R1981" s="130">
        <f t="shared" si="216"/>
        <v>46204</v>
      </c>
      <c r="S1981" s="131">
        <f t="shared" si="221"/>
        <v>5</v>
      </c>
      <c r="T1981" s="7" t="s">
        <v>255</v>
      </c>
      <c r="U1981" s="7" t="s">
        <v>275</v>
      </c>
      <c r="V1981" s="7"/>
      <c r="W1981" s="7">
        <v>0</v>
      </c>
      <c r="X1981" s="132">
        <f t="shared" si="219"/>
        <v>7</v>
      </c>
      <c r="Y1981" s="133"/>
      <c r="Z1981" s="133"/>
      <c r="AA1981" s="133"/>
    </row>
    <row r="1982" spans="1:27" hidden="1" x14ac:dyDescent="0.25">
      <c r="A1982" s="127">
        <v>2164</v>
      </c>
      <c r="B1982" s="128" t="str">
        <f t="shared" si="220"/>
        <v>TORT</v>
      </c>
      <c r="C1982" s="128">
        <f>+VLOOKUP(U1982,Ходим!A:B,2,0)</f>
        <v>30603862130011</v>
      </c>
      <c r="D1982" s="128" t="str">
        <f>IFERROR(VLOOKUP($B:$B,[20]свод!$A:$AB,3,0)," ")</f>
        <v>Тўрақўрғон тумани</v>
      </c>
      <c r="E1982" s="7" t="s">
        <v>3118</v>
      </c>
      <c r="F1982" s="7" t="s">
        <v>9499</v>
      </c>
      <c r="G1982" s="134">
        <f t="shared" si="217"/>
        <v>1</v>
      </c>
      <c r="H1982" s="134" t="str">
        <f t="shared" si="218"/>
        <v/>
      </c>
      <c r="I1982" s="7" t="s">
        <v>158</v>
      </c>
      <c r="J1982" s="7" t="s">
        <v>2</v>
      </c>
      <c r="K1982" s="7"/>
      <c r="L1982" s="7" t="s">
        <v>167</v>
      </c>
      <c r="M1982" s="7" t="s">
        <v>5524</v>
      </c>
      <c r="N1982" s="7" t="s">
        <v>170</v>
      </c>
      <c r="O1982" s="7" t="s">
        <v>162</v>
      </c>
      <c r="P1982" s="7" t="s">
        <v>7178</v>
      </c>
      <c r="Q1982" s="129">
        <v>46199</v>
      </c>
      <c r="R1982" s="130">
        <f t="shared" si="216"/>
        <v>46203</v>
      </c>
      <c r="S1982" s="131">
        <f t="shared" si="221"/>
        <v>4</v>
      </c>
      <c r="T1982" s="7" t="s">
        <v>203</v>
      </c>
      <c r="U1982" s="7" t="s">
        <v>950</v>
      </c>
      <c r="V1982" s="7"/>
      <c r="W1982" s="7">
        <v>0</v>
      </c>
      <c r="X1982" s="132">
        <f t="shared" si="219"/>
        <v>10</v>
      </c>
      <c r="Y1982" s="133"/>
      <c r="Z1982" s="133"/>
      <c r="AA1982" s="133"/>
    </row>
    <row r="1983" spans="1:27" hidden="1" x14ac:dyDescent="0.25">
      <c r="A1983" s="127">
        <v>2165</v>
      </c>
      <c r="B1983" s="128" t="str">
        <f t="shared" si="220"/>
        <v>YGQT</v>
      </c>
      <c r="C1983" s="128" t="str">
        <f>+VLOOKUP(U1983,Ходим!A:B,2,0)</f>
        <v>52410005950025</v>
      </c>
      <c r="D1983" s="128" t="str">
        <f>IFERROR(VLOOKUP($B:$B,[20]свод!$A:$AB,3,0)," ")</f>
        <v>Янгиқўрғон тумани</v>
      </c>
      <c r="E1983" s="7" t="s">
        <v>3119</v>
      </c>
      <c r="F1983" s="7" t="s">
        <v>9500</v>
      </c>
      <c r="G1983" s="134" t="str">
        <f t="shared" si="217"/>
        <v/>
      </c>
      <c r="H1983" s="134">
        <f t="shared" si="218"/>
        <v>1</v>
      </c>
      <c r="I1983" s="7" t="s">
        <v>157</v>
      </c>
      <c r="J1983" s="7" t="s">
        <v>2</v>
      </c>
      <c r="K1983" s="7"/>
      <c r="L1983" s="7" t="s">
        <v>166</v>
      </c>
      <c r="M1983" s="7" t="s">
        <v>5525</v>
      </c>
      <c r="N1983" s="7" t="s">
        <v>170</v>
      </c>
      <c r="O1983" s="7" t="s">
        <v>161</v>
      </c>
      <c r="P1983" s="7" t="s">
        <v>6410</v>
      </c>
      <c r="Q1983" s="129">
        <v>46199</v>
      </c>
      <c r="R1983" s="130">
        <f t="shared" si="216"/>
        <v>46206</v>
      </c>
      <c r="S1983" s="131">
        <f t="shared" si="221"/>
        <v>7</v>
      </c>
      <c r="T1983" s="7" t="s">
        <v>255</v>
      </c>
      <c r="U1983" s="7" t="s">
        <v>256</v>
      </c>
      <c r="V1983" s="7"/>
      <c r="W1983" s="7">
        <v>405.94</v>
      </c>
      <c r="X1983" s="132">
        <f t="shared" si="219"/>
        <v>12</v>
      </c>
      <c r="Y1983" s="133"/>
      <c r="Z1983" s="133"/>
      <c r="AA1983" s="133"/>
    </row>
    <row r="1984" spans="1:27" hidden="1" x14ac:dyDescent="0.25">
      <c r="A1984" s="127">
        <v>2166</v>
      </c>
      <c r="B1984" s="128" t="str">
        <f t="shared" si="220"/>
        <v>NAMS</v>
      </c>
      <c r="C1984" s="128" t="str">
        <f>+VLOOKUP(U1984,Ходим!A:B,2,0)</f>
        <v>41006772170195</v>
      </c>
      <c r="D1984" s="128" t="str">
        <f>IFERROR(VLOOKUP($B:$B,[20]свод!$A:$AB,3,0)," ")</f>
        <v>Наманган шаҳар</v>
      </c>
      <c r="E1984" s="7" t="s">
        <v>3120</v>
      </c>
      <c r="F1984" s="7" t="s">
        <v>9501</v>
      </c>
      <c r="G1984" s="134" t="str">
        <f t="shared" si="217"/>
        <v/>
      </c>
      <c r="H1984" s="134">
        <f t="shared" si="218"/>
        <v>1</v>
      </c>
      <c r="I1984" s="7" t="s">
        <v>155</v>
      </c>
      <c r="J1984" s="7" t="s">
        <v>22</v>
      </c>
      <c r="K1984" s="7"/>
      <c r="L1984" s="7" t="s">
        <v>166</v>
      </c>
      <c r="M1984" s="7" t="s">
        <v>5526</v>
      </c>
      <c r="N1984" s="7" t="s">
        <v>410</v>
      </c>
      <c r="O1984" s="7" t="s">
        <v>163</v>
      </c>
      <c r="P1984" s="7" t="s">
        <v>6561</v>
      </c>
      <c r="Q1984" s="129">
        <v>46199</v>
      </c>
      <c r="R1984" s="130">
        <f t="shared" si="216"/>
        <v>46220</v>
      </c>
      <c r="S1984" s="131">
        <f t="shared" si="221"/>
        <v>21</v>
      </c>
      <c r="T1984" s="7" t="s">
        <v>227</v>
      </c>
      <c r="U1984" s="7" t="s">
        <v>338</v>
      </c>
      <c r="V1984" s="7"/>
      <c r="W1984" s="7">
        <v>1841.27</v>
      </c>
      <c r="X1984" s="132">
        <f t="shared" si="219"/>
        <v>17</v>
      </c>
      <c r="Y1984" s="133"/>
      <c r="Z1984" s="133"/>
      <c r="AA1984" s="133"/>
    </row>
    <row r="1985" spans="1:27" hidden="1" x14ac:dyDescent="0.25">
      <c r="A1985" s="127">
        <v>2167</v>
      </c>
      <c r="B1985" s="128" t="str">
        <f t="shared" si="220"/>
        <v>KSST</v>
      </c>
      <c r="C1985" s="128" t="str">
        <f>+VLOOKUP(U1985,Ходим!A:B,2,0)</f>
        <v>30507932190090</v>
      </c>
      <c r="D1985" s="128" t="str">
        <f>IFERROR(VLOOKUP($B:$B,[20]свод!$A:$AB,3,0)," ")</f>
        <v>Косонсой тумани</v>
      </c>
      <c r="E1985" s="7" t="s">
        <v>3121</v>
      </c>
      <c r="F1985" s="7" t="s">
        <v>9502</v>
      </c>
      <c r="G1985" s="134">
        <f t="shared" si="217"/>
        <v>1</v>
      </c>
      <c r="H1985" s="134" t="str">
        <f t="shared" si="218"/>
        <v/>
      </c>
      <c r="I1985" s="7" t="s">
        <v>156</v>
      </c>
      <c r="J1985" s="7" t="s">
        <v>22</v>
      </c>
      <c r="K1985" s="7"/>
      <c r="L1985" s="7" t="s">
        <v>167</v>
      </c>
      <c r="M1985" s="7" t="s">
        <v>5527</v>
      </c>
      <c r="N1985" s="7" t="s">
        <v>170</v>
      </c>
      <c r="O1985" s="7" t="s">
        <v>163</v>
      </c>
      <c r="P1985" s="7" t="s">
        <v>7179</v>
      </c>
      <c r="Q1985" s="129">
        <v>46199</v>
      </c>
      <c r="R1985" s="130">
        <f t="shared" si="216"/>
        <v>46212</v>
      </c>
      <c r="S1985" s="131">
        <f t="shared" si="221"/>
        <v>13</v>
      </c>
      <c r="T1985" s="7" t="s">
        <v>180</v>
      </c>
      <c r="U1985" s="7" t="s">
        <v>232</v>
      </c>
      <c r="V1985" s="7"/>
      <c r="W1985" s="7">
        <v>578.09</v>
      </c>
      <c r="X1985" s="132">
        <f t="shared" si="219"/>
        <v>10</v>
      </c>
      <c r="Y1985" s="133"/>
      <c r="Z1985" s="133"/>
      <c r="AA1985" s="133"/>
    </row>
    <row r="1986" spans="1:27" hidden="1" x14ac:dyDescent="0.25">
      <c r="A1986" s="127">
        <v>2168</v>
      </c>
      <c r="B1986" s="128" t="str">
        <f t="shared" si="220"/>
        <v>NAMS</v>
      </c>
      <c r="C1986" s="128" t="str">
        <f>+VLOOKUP(U1986,Ходим!A:B,2,0)</f>
        <v>53008015960094</v>
      </c>
      <c r="D1986" s="128" t="str">
        <f>IFERROR(VLOOKUP($B:$B,[20]свод!$A:$AB,3,0)," ")</f>
        <v>Наманган шаҳар</v>
      </c>
      <c r="E1986" s="7" t="s">
        <v>3122</v>
      </c>
      <c r="F1986" s="7" t="s">
        <v>9503</v>
      </c>
      <c r="G1986" s="134">
        <f t="shared" si="217"/>
        <v>1</v>
      </c>
      <c r="H1986" s="134" t="str">
        <f t="shared" si="218"/>
        <v/>
      </c>
      <c r="I1986" s="7" t="s">
        <v>158</v>
      </c>
      <c r="J1986" s="7" t="s">
        <v>2</v>
      </c>
      <c r="K1986" s="7"/>
      <c r="L1986" s="7"/>
      <c r="M1986" s="7"/>
      <c r="N1986" s="7" t="s">
        <v>170</v>
      </c>
      <c r="O1986" s="7" t="s">
        <v>162</v>
      </c>
      <c r="P1986" s="7" t="s">
        <v>7180</v>
      </c>
      <c r="Q1986" s="129">
        <v>46199</v>
      </c>
      <c r="R1986" s="130">
        <f t="shared" si="216"/>
        <v>46203</v>
      </c>
      <c r="S1986" s="131">
        <f t="shared" si="221"/>
        <v>4</v>
      </c>
      <c r="T1986" s="7" t="s">
        <v>173</v>
      </c>
      <c r="U1986" s="7" t="s">
        <v>403</v>
      </c>
      <c r="V1986" s="7"/>
      <c r="W1986" s="7"/>
      <c r="X1986" s="132">
        <f t="shared" si="219"/>
        <v>10</v>
      </c>
      <c r="Y1986" s="133"/>
      <c r="Z1986" s="133"/>
      <c r="AA1986" s="133"/>
    </row>
    <row r="1987" spans="1:27" hidden="1" x14ac:dyDescent="0.25">
      <c r="A1987" s="127">
        <v>2170</v>
      </c>
      <c r="B1987" s="128" t="str">
        <f t="shared" si="220"/>
        <v>TORT</v>
      </c>
      <c r="C1987" s="128">
        <f>+VLOOKUP(U1987,Ходим!A:B,2,0)</f>
        <v>30603862130011</v>
      </c>
      <c r="D1987" s="128" t="str">
        <f>IFERROR(VLOOKUP($B:$B,[20]свод!$A:$AB,3,0)," ")</f>
        <v>Тўрақўрғон тумани</v>
      </c>
      <c r="E1987" s="7" t="s">
        <v>3123</v>
      </c>
      <c r="F1987" s="7" t="s">
        <v>9504</v>
      </c>
      <c r="G1987" s="134">
        <f t="shared" si="217"/>
        <v>1</v>
      </c>
      <c r="H1987" s="134" t="str">
        <f t="shared" si="218"/>
        <v/>
      </c>
      <c r="I1987" s="7" t="s">
        <v>158</v>
      </c>
      <c r="J1987" s="7" t="s">
        <v>1</v>
      </c>
      <c r="K1987" s="7"/>
      <c r="L1987" s="7" t="s">
        <v>167</v>
      </c>
      <c r="M1987" s="7" t="s">
        <v>5528</v>
      </c>
      <c r="N1987" s="7" t="s">
        <v>170</v>
      </c>
      <c r="O1987" s="7" t="s">
        <v>162</v>
      </c>
      <c r="P1987" s="7" t="s">
        <v>7181</v>
      </c>
      <c r="Q1987" s="129">
        <v>46199</v>
      </c>
      <c r="R1987" s="130">
        <f t="shared" si="216"/>
        <v>46202</v>
      </c>
      <c r="S1987" s="131">
        <f t="shared" si="221"/>
        <v>3</v>
      </c>
      <c r="T1987" s="7" t="s">
        <v>203</v>
      </c>
      <c r="U1987" s="7" t="s">
        <v>950</v>
      </c>
      <c r="V1987" s="7"/>
      <c r="W1987" s="7">
        <v>561.36</v>
      </c>
      <c r="X1987" s="132">
        <f t="shared" si="219"/>
        <v>10</v>
      </c>
      <c r="Y1987" s="133"/>
      <c r="Z1987" s="133"/>
      <c r="AA1987" s="133"/>
    </row>
    <row r="1988" spans="1:27" hidden="1" x14ac:dyDescent="0.25">
      <c r="A1988" s="127">
        <v>2171</v>
      </c>
      <c r="B1988" s="128" t="str">
        <f t="shared" si="220"/>
        <v>CHOT</v>
      </c>
      <c r="C1988" s="128" t="str">
        <f>+VLOOKUP(U1988,Ходим!A:B,2,0)</f>
        <v>32906975890046</v>
      </c>
      <c r="D1988" s="128" t="str">
        <f>IFERROR(VLOOKUP($B:$B,[20]свод!$A:$AB,3,0)," ")</f>
        <v>Чортоқ тумани</v>
      </c>
      <c r="E1988" s="7" t="s">
        <v>3124</v>
      </c>
      <c r="F1988" s="7" t="s">
        <v>9505</v>
      </c>
      <c r="G1988" s="134">
        <f t="shared" si="217"/>
        <v>1</v>
      </c>
      <c r="H1988" s="134" t="str">
        <f t="shared" si="218"/>
        <v/>
      </c>
      <c r="I1988" s="7" t="s">
        <v>158</v>
      </c>
      <c r="J1988" s="7" t="s">
        <v>2</v>
      </c>
      <c r="K1988" s="7"/>
      <c r="L1988" s="7" t="s">
        <v>167</v>
      </c>
      <c r="M1988" s="7" t="s">
        <v>5529</v>
      </c>
      <c r="N1988" s="7" t="s">
        <v>170</v>
      </c>
      <c r="O1988" s="7" t="s">
        <v>162</v>
      </c>
      <c r="P1988" s="7" t="s">
        <v>7182</v>
      </c>
      <c r="Q1988" s="129">
        <v>46199</v>
      </c>
      <c r="R1988" s="130">
        <f t="shared" si="216"/>
        <v>46203</v>
      </c>
      <c r="S1988" s="131">
        <f t="shared" si="221"/>
        <v>4</v>
      </c>
      <c r="T1988" s="7" t="s">
        <v>184</v>
      </c>
      <c r="U1988" s="7" t="s">
        <v>335</v>
      </c>
      <c r="V1988" s="7"/>
      <c r="W1988" s="7">
        <v>55.8</v>
      </c>
      <c r="X1988" s="132">
        <f t="shared" si="219"/>
        <v>10</v>
      </c>
      <c r="Y1988" s="133"/>
      <c r="Z1988" s="133"/>
      <c r="AA1988" s="133"/>
    </row>
    <row r="1989" spans="1:27" hidden="1" x14ac:dyDescent="0.25">
      <c r="A1989" s="127">
        <v>2172</v>
      </c>
      <c r="B1989" s="128" t="str">
        <f t="shared" si="220"/>
        <v>YGQT</v>
      </c>
      <c r="C1989" s="128" t="str">
        <f>+VLOOKUP(U1989,Ходим!A:B,2,0)</f>
        <v>52009035950022</v>
      </c>
      <c r="D1989" s="128" t="str">
        <f>IFERROR(VLOOKUP($B:$B,[20]свод!$A:$AB,3,0)," ")</f>
        <v>Янгиқўрғон тумани</v>
      </c>
      <c r="E1989" s="7" t="s">
        <v>3125</v>
      </c>
      <c r="F1989" s="7" t="s">
        <v>9506</v>
      </c>
      <c r="G1989" s="134">
        <f t="shared" si="217"/>
        <v>1</v>
      </c>
      <c r="H1989" s="134" t="str">
        <f t="shared" si="218"/>
        <v/>
      </c>
      <c r="I1989" s="7" t="s">
        <v>158</v>
      </c>
      <c r="J1989" s="7" t="s">
        <v>2</v>
      </c>
      <c r="K1989" s="7"/>
      <c r="L1989" s="7" t="s">
        <v>167</v>
      </c>
      <c r="M1989" s="7" t="s">
        <v>5530</v>
      </c>
      <c r="N1989" s="7" t="s">
        <v>170</v>
      </c>
      <c r="O1989" s="7" t="s">
        <v>162</v>
      </c>
      <c r="P1989" s="7" t="s">
        <v>7183</v>
      </c>
      <c r="Q1989" s="129">
        <v>46199</v>
      </c>
      <c r="R1989" s="130">
        <f t="shared" si="216"/>
        <v>46203</v>
      </c>
      <c r="S1989" s="131">
        <f t="shared" si="221"/>
        <v>4</v>
      </c>
      <c r="T1989" s="7" t="s">
        <v>255</v>
      </c>
      <c r="U1989" s="7" t="s">
        <v>272</v>
      </c>
      <c r="V1989" s="7"/>
      <c r="W1989" s="7">
        <v>333.64</v>
      </c>
      <c r="X1989" s="132">
        <f t="shared" si="219"/>
        <v>10</v>
      </c>
      <c r="Y1989" s="133"/>
      <c r="Z1989" s="133"/>
      <c r="AA1989" s="133"/>
    </row>
    <row r="1990" spans="1:27" hidden="1" x14ac:dyDescent="0.25">
      <c r="A1990" s="127">
        <v>2173</v>
      </c>
      <c r="B1990" s="128" t="str">
        <f t="shared" si="220"/>
        <v>UYCT</v>
      </c>
      <c r="C1990" s="128" t="str">
        <f>+VLOOKUP(U1990,Ходим!A:B,2,0)</f>
        <v>32002975930037</v>
      </c>
      <c r="D1990" s="128" t="str">
        <f>IFERROR(VLOOKUP($B:$B,[20]свод!$A:$AB,3,0)," ")</f>
        <v>Уйчи тумани</v>
      </c>
      <c r="E1990" s="7" t="s">
        <v>3126</v>
      </c>
      <c r="F1990" s="7" t="s">
        <v>9507</v>
      </c>
      <c r="G1990" s="134">
        <f t="shared" si="217"/>
        <v>1</v>
      </c>
      <c r="H1990" s="134" t="str">
        <f t="shared" si="218"/>
        <v/>
      </c>
      <c r="I1990" s="7" t="s">
        <v>158</v>
      </c>
      <c r="J1990" s="7" t="s">
        <v>2</v>
      </c>
      <c r="K1990" s="7"/>
      <c r="L1990" s="7"/>
      <c r="M1990" s="7"/>
      <c r="N1990" s="7" t="s">
        <v>170</v>
      </c>
      <c r="O1990" s="7" t="s">
        <v>162</v>
      </c>
      <c r="P1990" s="7" t="s">
        <v>7178</v>
      </c>
      <c r="Q1990" s="129">
        <v>46199</v>
      </c>
      <c r="R1990" s="130">
        <f t="shared" si="216"/>
        <v>46203</v>
      </c>
      <c r="S1990" s="131">
        <f t="shared" si="221"/>
        <v>4</v>
      </c>
      <c r="T1990" s="7" t="s">
        <v>947</v>
      </c>
      <c r="U1990" s="7" t="s">
        <v>260</v>
      </c>
      <c r="V1990" s="7"/>
      <c r="W1990" s="7"/>
      <c r="X1990" s="132">
        <f t="shared" si="219"/>
        <v>10</v>
      </c>
      <c r="Y1990" s="133"/>
      <c r="Z1990" s="133"/>
      <c r="AA1990" s="133"/>
    </row>
    <row r="1991" spans="1:27" hidden="1" x14ac:dyDescent="0.25">
      <c r="A1991" s="127">
        <v>2174</v>
      </c>
      <c r="B1991" s="128" t="str">
        <f t="shared" si="220"/>
        <v>MINT</v>
      </c>
      <c r="C1991" s="128" t="str">
        <f>+VLOOKUP(U1991,Ходим!A:B,2,0)</f>
        <v>31710662200035</v>
      </c>
      <c r="D1991" s="128" t="str">
        <f>IFERROR(VLOOKUP($B:$B,[20]свод!$A:$AB,3,0)," ")</f>
        <v>Мингбулоқ тумани</v>
      </c>
      <c r="E1991" s="7" t="s">
        <v>3127</v>
      </c>
      <c r="F1991" s="7" t="s">
        <v>9508</v>
      </c>
      <c r="G1991" s="134">
        <f t="shared" si="217"/>
        <v>1</v>
      </c>
      <c r="H1991" s="134" t="str">
        <f t="shared" si="218"/>
        <v/>
      </c>
      <c r="I1991" s="7" t="s">
        <v>158</v>
      </c>
      <c r="J1991" s="7" t="s">
        <v>2</v>
      </c>
      <c r="K1991" s="7"/>
      <c r="L1991" s="7" t="s">
        <v>167</v>
      </c>
      <c r="M1991" s="7" t="s">
        <v>5531</v>
      </c>
      <c r="N1991" s="7" t="s">
        <v>410</v>
      </c>
      <c r="O1991" s="7" t="s">
        <v>162</v>
      </c>
      <c r="P1991" s="7" t="s">
        <v>7178</v>
      </c>
      <c r="Q1991" s="129">
        <v>46199</v>
      </c>
      <c r="R1991" s="130">
        <f t="shared" si="216"/>
        <v>46203</v>
      </c>
      <c r="S1991" s="131">
        <f t="shared" si="221"/>
        <v>4</v>
      </c>
      <c r="T1991" s="7" t="s">
        <v>220</v>
      </c>
      <c r="U1991" s="7" t="s">
        <v>268</v>
      </c>
      <c r="V1991" s="7"/>
      <c r="W1991" s="7">
        <v>245.8</v>
      </c>
      <c r="X1991" s="132">
        <f t="shared" si="219"/>
        <v>10</v>
      </c>
      <c r="Y1991" s="133"/>
      <c r="Z1991" s="133"/>
      <c r="AA1991" s="133"/>
    </row>
    <row r="1992" spans="1:27" hidden="1" x14ac:dyDescent="0.25">
      <c r="A1992" s="127">
        <v>2175</v>
      </c>
      <c r="B1992" s="128" t="str">
        <f t="shared" si="220"/>
        <v>NAMS</v>
      </c>
      <c r="C1992" s="128">
        <f>+VLOOKUP(U1992,Ходим!A:B,2,0)</f>
        <v>52004005950071</v>
      </c>
      <c r="D1992" s="128" t="str">
        <f>IFERROR(VLOOKUP($B:$B,[20]свод!$A:$AB,3,0)," ")</f>
        <v>Наманган шаҳар</v>
      </c>
      <c r="E1992" s="7" t="s">
        <v>3128</v>
      </c>
      <c r="F1992" s="7" t="s">
        <v>9509</v>
      </c>
      <c r="G1992" s="134">
        <f t="shared" si="217"/>
        <v>1</v>
      </c>
      <c r="H1992" s="134" t="str">
        <f t="shared" si="218"/>
        <v/>
      </c>
      <c r="I1992" s="7" t="s">
        <v>158</v>
      </c>
      <c r="J1992" s="7" t="s">
        <v>2</v>
      </c>
      <c r="K1992" s="7"/>
      <c r="L1992" s="7" t="s">
        <v>167</v>
      </c>
      <c r="M1992" s="7" t="s">
        <v>5532</v>
      </c>
      <c r="N1992" s="7" t="s">
        <v>170</v>
      </c>
      <c r="O1992" s="7" t="s">
        <v>162</v>
      </c>
      <c r="P1992" s="7" t="s">
        <v>7178</v>
      </c>
      <c r="Q1992" s="129">
        <v>46199</v>
      </c>
      <c r="R1992" s="130">
        <f t="shared" si="216"/>
        <v>46203</v>
      </c>
      <c r="S1992" s="131">
        <f t="shared" si="221"/>
        <v>4</v>
      </c>
      <c r="T1992" s="7" t="s">
        <v>173</v>
      </c>
      <c r="U1992" s="7" t="s">
        <v>1015</v>
      </c>
      <c r="V1992" s="7"/>
      <c r="W1992" s="7">
        <v>253.4</v>
      </c>
      <c r="X1992" s="132">
        <f t="shared" si="219"/>
        <v>10</v>
      </c>
      <c r="Y1992" s="133"/>
      <c r="Z1992" s="133"/>
      <c r="AA1992" s="133"/>
    </row>
    <row r="1993" spans="1:27" hidden="1" x14ac:dyDescent="0.25">
      <c r="A1993" s="127">
        <v>2176</v>
      </c>
      <c r="B1993" s="128" t="str">
        <f t="shared" si="220"/>
        <v>YGQT</v>
      </c>
      <c r="C1993" s="128" t="str">
        <f>+VLOOKUP(U1993,Ходим!A:B,2,0)</f>
        <v>52410005950025</v>
      </c>
      <c r="D1993" s="128" t="str">
        <f>IFERROR(VLOOKUP($B:$B,[20]свод!$A:$AB,3,0)," ")</f>
        <v>Янгиқўрғон тумани</v>
      </c>
      <c r="E1993" s="7" t="s">
        <v>3129</v>
      </c>
      <c r="F1993" s="7" t="s">
        <v>9510</v>
      </c>
      <c r="G1993" s="134" t="str">
        <f t="shared" si="217"/>
        <v/>
      </c>
      <c r="H1993" s="134">
        <f t="shared" si="218"/>
        <v>1</v>
      </c>
      <c r="I1993" s="7" t="s">
        <v>157</v>
      </c>
      <c r="J1993" s="7" t="s">
        <v>134</v>
      </c>
      <c r="K1993" s="7"/>
      <c r="L1993" s="7" t="s">
        <v>166</v>
      </c>
      <c r="M1993" s="7" t="s">
        <v>382</v>
      </c>
      <c r="N1993" s="7" t="s">
        <v>410</v>
      </c>
      <c r="O1993" s="7" t="s">
        <v>161</v>
      </c>
      <c r="P1993" s="7" t="s">
        <v>6325</v>
      </c>
      <c r="Q1993" s="129">
        <v>46199</v>
      </c>
      <c r="R1993" s="130">
        <f t="shared" si="216"/>
        <v>46204</v>
      </c>
      <c r="S1993" s="131">
        <f t="shared" si="221"/>
        <v>5</v>
      </c>
      <c r="T1993" s="7" t="s">
        <v>255</v>
      </c>
      <c r="U1993" s="7" t="s">
        <v>256</v>
      </c>
      <c r="V1993" s="7"/>
      <c r="W1993" s="7">
        <v>0</v>
      </c>
      <c r="X1993" s="132">
        <f t="shared" si="219"/>
        <v>10</v>
      </c>
      <c r="Y1993" s="133"/>
      <c r="Z1993" s="133"/>
      <c r="AA1993" s="133"/>
    </row>
    <row r="1994" spans="1:27" hidden="1" x14ac:dyDescent="0.25">
      <c r="A1994" s="127">
        <v>2177</v>
      </c>
      <c r="B1994" s="128" t="str">
        <f t="shared" si="220"/>
        <v>TORT</v>
      </c>
      <c r="C1994" s="128">
        <f>+VLOOKUP(U1994,Ходим!A:B,2,0)</f>
        <v>30603862130011</v>
      </c>
      <c r="D1994" s="128" t="str">
        <f>IFERROR(VLOOKUP($B:$B,[20]свод!$A:$AB,3,0)," ")</f>
        <v>Тўрақўрғон тумани</v>
      </c>
      <c r="E1994" s="7" t="s">
        <v>3130</v>
      </c>
      <c r="F1994" s="7" t="s">
        <v>9511</v>
      </c>
      <c r="G1994" s="134">
        <f t="shared" si="217"/>
        <v>1</v>
      </c>
      <c r="H1994" s="134" t="str">
        <f t="shared" si="218"/>
        <v/>
      </c>
      <c r="I1994" s="7" t="s">
        <v>158</v>
      </c>
      <c r="J1994" s="7" t="s">
        <v>2</v>
      </c>
      <c r="K1994" s="7"/>
      <c r="L1994" s="7" t="s">
        <v>167</v>
      </c>
      <c r="M1994" s="7" t="s">
        <v>5533</v>
      </c>
      <c r="N1994" s="7" t="s">
        <v>170</v>
      </c>
      <c r="O1994" s="7" t="s">
        <v>162</v>
      </c>
      <c r="P1994" s="7" t="s">
        <v>6393</v>
      </c>
      <c r="Q1994" s="129">
        <v>46199</v>
      </c>
      <c r="R1994" s="130">
        <f t="shared" ref="R1994:R2055" si="222">WORKDAY(P1994,X1994,$Y$1:$AA$1)</f>
        <v>46204</v>
      </c>
      <c r="S1994" s="131">
        <f t="shared" si="221"/>
        <v>5</v>
      </c>
      <c r="T1994" s="7" t="s">
        <v>203</v>
      </c>
      <c r="U1994" s="7" t="s">
        <v>950</v>
      </c>
      <c r="V1994" s="7"/>
      <c r="W1994" s="7">
        <v>0</v>
      </c>
      <c r="X1994" s="132">
        <f t="shared" si="219"/>
        <v>10</v>
      </c>
      <c r="Y1994" s="133"/>
      <c r="Z1994" s="133"/>
      <c r="AA1994" s="133"/>
    </row>
    <row r="1995" spans="1:27" hidden="1" x14ac:dyDescent="0.25">
      <c r="A1995" s="127">
        <v>2178</v>
      </c>
      <c r="B1995" s="128" t="str">
        <f t="shared" si="220"/>
        <v>NORT</v>
      </c>
      <c r="C1995" s="128" t="str">
        <f>+VLOOKUP(U1995,Ходим!A:B,2,0)</f>
        <v>32609882110022</v>
      </c>
      <c r="D1995" s="128" t="str">
        <f>IFERROR(VLOOKUP($B:$B,[20]свод!$A:$AB,3,0)," ")</f>
        <v>Норин тумани</v>
      </c>
      <c r="E1995" s="7" t="s">
        <v>3131</v>
      </c>
      <c r="F1995" s="7" t="s">
        <v>9512</v>
      </c>
      <c r="G1995" s="134">
        <f t="shared" si="217"/>
        <v>1</v>
      </c>
      <c r="H1995" s="134" t="str">
        <f t="shared" si="218"/>
        <v/>
      </c>
      <c r="I1995" s="7" t="s">
        <v>158</v>
      </c>
      <c r="J1995" s="7" t="s">
        <v>1</v>
      </c>
      <c r="K1995" s="7"/>
      <c r="L1995" s="7" t="s">
        <v>167</v>
      </c>
      <c r="M1995" s="7" t="s">
        <v>5534</v>
      </c>
      <c r="N1995" s="7" t="s">
        <v>170</v>
      </c>
      <c r="O1995" s="7" t="s">
        <v>162</v>
      </c>
      <c r="P1995" s="7" t="s">
        <v>7183</v>
      </c>
      <c r="Q1995" s="129">
        <v>46199</v>
      </c>
      <c r="R1995" s="130">
        <f t="shared" si="222"/>
        <v>46203</v>
      </c>
      <c r="S1995" s="131">
        <f t="shared" si="221"/>
        <v>4</v>
      </c>
      <c r="T1995" s="7" t="s">
        <v>210</v>
      </c>
      <c r="U1995" s="7" t="s">
        <v>300</v>
      </c>
      <c r="V1995" s="7"/>
      <c r="W1995" s="7">
        <v>171.8</v>
      </c>
      <c r="X1995" s="132">
        <f t="shared" si="219"/>
        <v>10</v>
      </c>
      <c r="Y1995" s="133"/>
      <c r="Z1995" s="133"/>
      <c r="AA1995" s="133"/>
    </row>
    <row r="1996" spans="1:27" hidden="1" x14ac:dyDescent="0.25">
      <c r="A1996" s="127">
        <v>2179</v>
      </c>
      <c r="B1996" s="128" t="str">
        <f t="shared" si="220"/>
        <v>NAMS</v>
      </c>
      <c r="C1996" s="128">
        <f>+VLOOKUP(U1996,Ходим!A:B,2,0)</f>
        <v>50510025960139</v>
      </c>
      <c r="D1996" s="128" t="str">
        <f>IFERROR(VLOOKUP($B:$B,[20]свод!$A:$AB,3,0)," ")</f>
        <v>Наманган шаҳар</v>
      </c>
      <c r="E1996" s="7" t="s">
        <v>3132</v>
      </c>
      <c r="F1996" s="7" t="s">
        <v>9513</v>
      </c>
      <c r="G1996" s="134">
        <f t="shared" si="217"/>
        <v>1</v>
      </c>
      <c r="H1996" s="134" t="str">
        <f t="shared" si="218"/>
        <v/>
      </c>
      <c r="I1996" s="7" t="s">
        <v>158</v>
      </c>
      <c r="J1996" s="7" t="s">
        <v>2</v>
      </c>
      <c r="K1996" s="7"/>
      <c r="L1996" s="7"/>
      <c r="M1996" s="7"/>
      <c r="N1996" s="7" t="s">
        <v>170</v>
      </c>
      <c r="O1996" s="7" t="s">
        <v>162</v>
      </c>
      <c r="P1996" s="7" t="s">
        <v>7184</v>
      </c>
      <c r="Q1996" s="129">
        <v>46199</v>
      </c>
      <c r="R1996" s="130">
        <f t="shared" si="222"/>
        <v>46203</v>
      </c>
      <c r="S1996" s="131">
        <f t="shared" si="221"/>
        <v>4</v>
      </c>
      <c r="T1996" s="7" t="s">
        <v>173</v>
      </c>
      <c r="U1996" s="7" t="s">
        <v>955</v>
      </c>
      <c r="V1996" s="7"/>
      <c r="W1996" s="7"/>
      <c r="X1996" s="132">
        <f t="shared" si="219"/>
        <v>10</v>
      </c>
      <c r="Y1996" s="133"/>
      <c r="Z1996" s="133"/>
      <c r="AA1996" s="133"/>
    </row>
    <row r="1997" spans="1:27" hidden="1" x14ac:dyDescent="0.25">
      <c r="A1997" s="127">
        <v>2180</v>
      </c>
      <c r="B1997" s="128" t="str">
        <f t="shared" si="220"/>
        <v>TORT</v>
      </c>
      <c r="C1997" s="128" t="str">
        <f>+VLOOKUP(U1997,Ходим!A:B,2,0)</f>
        <v>30708792130017</v>
      </c>
      <c r="D1997" s="128" t="str">
        <f>IFERROR(VLOOKUP($B:$B,[20]свод!$A:$AB,3,0)," ")</f>
        <v>Тўрақўрғон тумани</v>
      </c>
      <c r="E1997" s="7" t="s">
        <v>3133</v>
      </c>
      <c r="F1997" s="7" t="s">
        <v>9514</v>
      </c>
      <c r="G1997" s="134">
        <f t="shared" si="217"/>
        <v>1</v>
      </c>
      <c r="H1997" s="134" t="str">
        <f t="shared" si="218"/>
        <v/>
      </c>
      <c r="I1997" s="7" t="s">
        <v>158</v>
      </c>
      <c r="J1997" s="7" t="s">
        <v>36</v>
      </c>
      <c r="K1997" s="7"/>
      <c r="L1997" s="7" t="s">
        <v>167</v>
      </c>
      <c r="M1997" s="7" t="s">
        <v>5535</v>
      </c>
      <c r="N1997" s="7" t="s">
        <v>170</v>
      </c>
      <c r="O1997" s="7" t="s">
        <v>163</v>
      </c>
      <c r="P1997" s="7" t="s">
        <v>6830</v>
      </c>
      <c r="Q1997" s="129">
        <v>46199</v>
      </c>
      <c r="R1997" s="130">
        <f t="shared" si="222"/>
        <v>46206</v>
      </c>
      <c r="S1997" s="131">
        <f t="shared" si="221"/>
        <v>7</v>
      </c>
      <c r="T1997" s="7" t="s">
        <v>203</v>
      </c>
      <c r="U1997" s="7" t="s">
        <v>204</v>
      </c>
      <c r="V1997" s="7"/>
      <c r="W1997" s="7">
        <v>478.35</v>
      </c>
      <c r="X1997" s="132">
        <f t="shared" si="219"/>
        <v>10</v>
      </c>
      <c r="Y1997" s="133"/>
      <c r="Z1997" s="133"/>
      <c r="AA1997" s="133"/>
    </row>
    <row r="1998" spans="1:27" hidden="1" x14ac:dyDescent="0.25">
      <c r="A1998" s="127">
        <v>2181</v>
      </c>
      <c r="B1998" s="128" t="str">
        <f t="shared" si="220"/>
        <v>NAMT</v>
      </c>
      <c r="C1998" s="128" t="str">
        <f>+VLOOKUP(U1998,Ходим!A:B,2,0)</f>
        <v>31303965880044</v>
      </c>
      <c r="D1998" s="128" t="str">
        <f>IFERROR(VLOOKUP($B:$B,[20]свод!$A:$AB,3,0)," ")</f>
        <v>Наманган тумани</v>
      </c>
      <c r="E1998" s="7" t="s">
        <v>3134</v>
      </c>
      <c r="F1998" s="7" t="s">
        <v>9515</v>
      </c>
      <c r="G1998" s="134">
        <f t="shared" ref="G1998:G2059" si="223">IF(OR(
I1998="Turar joy obyektning kadastr pasportini shakllantirish va davlat ro'yxatidan o'tkazish",
I1998="Turar kompozit"
),
1,
IF(OR(
I1998="Noturar kompozit",
I1998="Avtoyo'l va suv xo'jaligi obyektining kadastr pasportini shakllantirish va ro'yxatga olish",
I1998="Noturar obyektning kadastr pasportining kadastr pasportini shakllantirish va davlat ro'yxatidan o'tkazish"
),
"",
IF(OR(
I1998="Notarius uchun ma'lumotnoma (uz)",
I1998="Qurilishi tugallangan ko'chmas mulkni foydalanishga qabul qilish",
I1998="Umumiy foydalanishdagi ko'chmas mulk qismini yaratish",
I1998="Registratsiya (tashqi - UZKAD da bor)"
),
IF(OR(L1998="Turar yer maydoni",L1998="Yakka tartibdagi turar joy"),1,
IF(L1998="Noturar bino","",
IF(L1998="Noturar yer maydoni","",
IF(L1998="",IF(OR(O1998="Turar joy xizmati",O1998="Foydalanishga ruxsatnoma berish xizmati"),1,""),"")
))),
"")))</f>
        <v>1</v>
      </c>
      <c r="H1998" s="134" t="str">
        <f t="shared" ref="H1998:H2059" si="224">IF(OR(
I1998="Turar joy obyektning kadastr pasportini shakllantirish va davlat ro'yxatidan o'tkazish",
I1998="Turar kompozit"
),
"",
IF(OR(
I1998="Noturar kompozit",
I1998="Avtoyo'l va suv xo'jaligi obyektining kadastr pasportini shakllantirish va ro'yxatga olish",
I1998="Noturar obyektning kadastr pasportini shakllantirish va davlat ro'yxatidan o'tkazish"
),
1,
IF(OR(
I1998="Notarius uchun ma'lumotnoma (uz)",
I1998="Qurilishi tugallangan ko'chmas mulkni foydalanishga qabul qilish",
I1998="Umumiy foydalanishdagi ko'chmas mulk qismini yaratish",
I1998="Registratsiya (tashqi - UZKAD da bor)"
),
IF(OR(L1998="Turar yer maydoni",L1998="Yakka tartibdagi turar joy"),"",
IF(L1998="Noturar bino",1,
IF(L1998="Noturar yer maydoni",1,
IF(L1998="",IF(OR(O1998="Turar joy xizmati",O1998="Foydalanishga ruxsatnoma berish xizmati"),"",1),"")
))),
"")))</f>
        <v/>
      </c>
      <c r="I1998" s="7" t="s">
        <v>158</v>
      </c>
      <c r="J1998" s="7" t="s">
        <v>16</v>
      </c>
      <c r="K1998" s="7"/>
      <c r="L1998" s="7" t="s">
        <v>167</v>
      </c>
      <c r="M1998" s="7" t="s">
        <v>5536</v>
      </c>
      <c r="N1998" s="7" t="s">
        <v>170</v>
      </c>
      <c r="O1998" s="7" t="s">
        <v>162</v>
      </c>
      <c r="P1998" s="7" t="s">
        <v>7166</v>
      </c>
      <c r="Q1998" s="129">
        <v>46199</v>
      </c>
      <c r="R1998" s="130">
        <f t="shared" si="222"/>
        <v>46203</v>
      </c>
      <c r="S1998" s="131">
        <f t="shared" si="221"/>
        <v>4</v>
      </c>
      <c r="T1998" s="7" t="s">
        <v>193</v>
      </c>
      <c r="U1998" s="7" t="s">
        <v>217</v>
      </c>
      <c r="V1998" s="7"/>
      <c r="W1998" s="7">
        <v>269.42</v>
      </c>
      <c r="X1998" s="132">
        <f t="shared" si="219"/>
        <v>10</v>
      </c>
      <c r="Y1998" s="133"/>
      <c r="Z1998" s="133"/>
      <c r="AA1998" s="133"/>
    </row>
    <row r="1999" spans="1:27" x14ac:dyDescent="0.25">
      <c r="A1999" s="127">
        <v>2182</v>
      </c>
      <c r="B1999" s="128" t="str">
        <f t="shared" si="220"/>
        <v>YGQT</v>
      </c>
      <c r="C1999" s="128" t="str">
        <f>+VLOOKUP(U1999,Ходим!A:B,2,0)</f>
        <v>30809995950021</v>
      </c>
      <c r="D1999" s="128" t="str">
        <f>IFERROR(VLOOKUP($B:$B,[20]свод!$A:$AB,3,0)," ")</f>
        <v>Янгиқўрғон тумани</v>
      </c>
      <c r="E1999" s="7" t="s">
        <v>3135</v>
      </c>
      <c r="F1999" s="7"/>
      <c r="G1999" s="134">
        <f t="shared" si="223"/>
        <v>1</v>
      </c>
      <c r="H1999" s="134" t="str">
        <f t="shared" si="224"/>
        <v/>
      </c>
      <c r="I1999" s="7" t="s">
        <v>154</v>
      </c>
      <c r="J1999" s="7" t="s">
        <v>1</v>
      </c>
      <c r="K1999" s="7"/>
      <c r="L1999" s="7" t="s">
        <v>167</v>
      </c>
      <c r="M1999" s="7" t="s">
        <v>5537</v>
      </c>
      <c r="N1999" s="7" t="s">
        <v>368</v>
      </c>
      <c r="O1999" s="7"/>
      <c r="P1999" s="7" t="s">
        <v>7185</v>
      </c>
      <c r="Q1999" s="129">
        <v>46199</v>
      </c>
      <c r="R1999" s="130">
        <f t="shared" si="222"/>
        <v>46199</v>
      </c>
      <c r="S1999" s="131">
        <f t="shared" si="221"/>
        <v>0</v>
      </c>
      <c r="T1999" s="7" t="s">
        <v>255</v>
      </c>
      <c r="U1999" s="7" t="s">
        <v>223</v>
      </c>
      <c r="V1999" s="7"/>
      <c r="W1999" s="7">
        <v>298.26</v>
      </c>
      <c r="X1999" s="132">
        <f t="shared" si="219"/>
        <v>5</v>
      </c>
      <c r="Y1999" s="133"/>
      <c r="Z1999" s="133"/>
      <c r="AA1999" s="133"/>
    </row>
    <row r="2000" spans="1:27" hidden="1" x14ac:dyDescent="0.25">
      <c r="A2000" s="127">
        <v>2183</v>
      </c>
      <c r="B2000" s="128" t="str">
        <f t="shared" si="220"/>
        <v>NAMS</v>
      </c>
      <c r="C2000" s="128" t="str">
        <f>+VLOOKUP(U2000,Ходим!A:B,2,0)</f>
        <v>52601025870013</v>
      </c>
      <c r="D2000" s="128" t="str">
        <f>IFERROR(VLOOKUP($B:$B,[20]свод!$A:$AB,3,0)," ")</f>
        <v>Наманган шаҳар</v>
      </c>
      <c r="E2000" s="7" t="s">
        <v>3136</v>
      </c>
      <c r="F2000" s="7" t="s">
        <v>9516</v>
      </c>
      <c r="G2000" s="134">
        <f t="shared" si="223"/>
        <v>1</v>
      </c>
      <c r="H2000" s="134" t="str">
        <f t="shared" si="224"/>
        <v/>
      </c>
      <c r="I2000" s="7" t="s">
        <v>158</v>
      </c>
      <c r="J2000" s="7" t="s">
        <v>2</v>
      </c>
      <c r="K2000" s="7"/>
      <c r="L2000" s="7"/>
      <c r="M2000" s="7"/>
      <c r="N2000" s="7" t="s">
        <v>170</v>
      </c>
      <c r="O2000" s="7" t="s">
        <v>162</v>
      </c>
      <c r="P2000" s="7" t="s">
        <v>7186</v>
      </c>
      <c r="Q2000" s="129">
        <v>46199</v>
      </c>
      <c r="R2000" s="130">
        <f t="shared" si="222"/>
        <v>46203</v>
      </c>
      <c r="S2000" s="131">
        <f t="shared" si="221"/>
        <v>4</v>
      </c>
      <c r="T2000" s="7" t="s">
        <v>328</v>
      </c>
      <c r="U2000" s="7" t="s">
        <v>405</v>
      </c>
      <c r="V2000" s="7"/>
      <c r="W2000" s="7"/>
      <c r="X2000" s="132">
        <f t="shared" si="219"/>
        <v>10</v>
      </c>
      <c r="Y2000" s="133"/>
      <c r="Z2000" s="133"/>
      <c r="AA2000" s="133"/>
    </row>
    <row r="2001" spans="1:27" hidden="1" x14ac:dyDescent="0.25">
      <c r="A2001" s="127">
        <v>2184</v>
      </c>
      <c r="B2001" s="128" t="str">
        <f t="shared" si="220"/>
        <v>TORT</v>
      </c>
      <c r="C2001" s="128" t="str">
        <f>+VLOOKUP(U2001,Ходим!A:B,2,0)</f>
        <v>30702995920011</v>
      </c>
      <c r="D2001" s="128" t="str">
        <f>IFERROR(VLOOKUP($B:$B,[20]свод!$A:$AB,3,0)," ")</f>
        <v>Тўрақўрғон тумани</v>
      </c>
      <c r="E2001" s="7" t="s">
        <v>3137</v>
      </c>
      <c r="F2001" s="7" t="s">
        <v>9517</v>
      </c>
      <c r="G2001" s="134">
        <f t="shared" si="223"/>
        <v>1</v>
      </c>
      <c r="H2001" s="134" t="str">
        <f t="shared" si="224"/>
        <v/>
      </c>
      <c r="I2001" s="7" t="s">
        <v>156</v>
      </c>
      <c r="J2001" s="7" t="s">
        <v>25</v>
      </c>
      <c r="K2001" s="7"/>
      <c r="L2001" s="7"/>
      <c r="M2001" s="7"/>
      <c r="N2001" s="7" t="s">
        <v>170</v>
      </c>
      <c r="O2001" s="7" t="s">
        <v>162</v>
      </c>
      <c r="P2001" s="7" t="s">
        <v>6866</v>
      </c>
      <c r="Q2001" s="129">
        <v>46199</v>
      </c>
      <c r="R2001" s="130">
        <f t="shared" si="222"/>
        <v>46212</v>
      </c>
      <c r="S2001" s="131">
        <f t="shared" si="221"/>
        <v>13</v>
      </c>
      <c r="T2001" s="7" t="s">
        <v>203</v>
      </c>
      <c r="U2001" s="7" t="s">
        <v>341</v>
      </c>
      <c r="V2001" s="7"/>
      <c r="W2001" s="7"/>
      <c r="X2001" s="132">
        <f t="shared" si="219"/>
        <v>10</v>
      </c>
      <c r="Y2001" s="133"/>
      <c r="Z2001" s="133"/>
      <c r="AA2001" s="133"/>
    </row>
    <row r="2002" spans="1:27" hidden="1" x14ac:dyDescent="0.25">
      <c r="A2002" s="127">
        <v>2186</v>
      </c>
      <c r="B2002" s="128" t="str">
        <f t="shared" si="220"/>
        <v>YGQT</v>
      </c>
      <c r="C2002" s="128" t="str">
        <f>+VLOOKUP(U2002,Ходим!A:B,2,0)</f>
        <v>52410005950025</v>
      </c>
      <c r="D2002" s="128" t="str">
        <f>IFERROR(VLOOKUP($B:$B,[20]свод!$A:$AB,3,0)," ")</f>
        <v>Янгиқўрғон тумани</v>
      </c>
      <c r="E2002" s="7" t="s">
        <v>3138</v>
      </c>
      <c r="F2002" s="7" t="s">
        <v>9518</v>
      </c>
      <c r="G2002" s="134">
        <f t="shared" si="223"/>
        <v>1</v>
      </c>
      <c r="H2002" s="134" t="str">
        <f t="shared" si="224"/>
        <v/>
      </c>
      <c r="I2002" s="7" t="s">
        <v>158</v>
      </c>
      <c r="J2002" s="7" t="s">
        <v>134</v>
      </c>
      <c r="K2002" s="7"/>
      <c r="L2002" s="7" t="s">
        <v>167</v>
      </c>
      <c r="M2002" s="7" t="s">
        <v>5538</v>
      </c>
      <c r="N2002" s="7" t="s">
        <v>170</v>
      </c>
      <c r="O2002" s="7" t="s">
        <v>162</v>
      </c>
      <c r="P2002" s="7" t="s">
        <v>7187</v>
      </c>
      <c r="Q2002" s="129">
        <v>46199</v>
      </c>
      <c r="R2002" s="130">
        <f t="shared" si="222"/>
        <v>46203</v>
      </c>
      <c r="S2002" s="131">
        <f t="shared" si="221"/>
        <v>4</v>
      </c>
      <c r="T2002" s="7" t="s">
        <v>255</v>
      </c>
      <c r="U2002" s="7" t="s">
        <v>256</v>
      </c>
      <c r="V2002" s="7"/>
      <c r="W2002" s="7">
        <v>270.95999999999998</v>
      </c>
      <c r="X2002" s="132">
        <f t="shared" si="219"/>
        <v>10</v>
      </c>
      <c r="Y2002" s="133"/>
      <c r="Z2002" s="133"/>
      <c r="AA2002" s="133"/>
    </row>
    <row r="2003" spans="1:27" hidden="1" x14ac:dyDescent="0.25">
      <c r="A2003" s="127">
        <v>2187</v>
      </c>
      <c r="B2003" s="128" t="str">
        <f t="shared" si="220"/>
        <v>TORT</v>
      </c>
      <c r="C2003" s="128" t="str">
        <f>+VLOOKUP(U2003,Ходим!A:B,2,0)</f>
        <v>30612832130021</v>
      </c>
      <c r="D2003" s="128" t="str">
        <f>IFERROR(VLOOKUP($B:$B,[20]свод!$A:$AB,3,0)," ")</f>
        <v>Тўрақўрғон тумани</v>
      </c>
      <c r="E2003" s="7" t="s">
        <v>3139</v>
      </c>
      <c r="F2003" s="7" t="s">
        <v>9519</v>
      </c>
      <c r="G2003" s="134">
        <f t="shared" si="223"/>
        <v>1</v>
      </c>
      <c r="H2003" s="134" t="str">
        <f t="shared" si="224"/>
        <v/>
      </c>
      <c r="I2003" s="7" t="s">
        <v>158</v>
      </c>
      <c r="J2003" s="7" t="s">
        <v>1</v>
      </c>
      <c r="K2003" s="7"/>
      <c r="L2003" s="7" t="s">
        <v>167</v>
      </c>
      <c r="M2003" s="7" t="s">
        <v>5539</v>
      </c>
      <c r="N2003" s="7" t="s">
        <v>170</v>
      </c>
      <c r="O2003" s="7" t="s">
        <v>162</v>
      </c>
      <c r="P2003" s="7" t="s">
        <v>7187</v>
      </c>
      <c r="Q2003" s="129">
        <v>46199</v>
      </c>
      <c r="R2003" s="130">
        <f t="shared" si="222"/>
        <v>46203</v>
      </c>
      <c r="S2003" s="131">
        <f t="shared" si="221"/>
        <v>4</v>
      </c>
      <c r="T2003" s="7" t="s">
        <v>203</v>
      </c>
      <c r="U2003" s="7" t="s">
        <v>342</v>
      </c>
      <c r="V2003" s="7"/>
      <c r="W2003" s="7">
        <v>364.49</v>
      </c>
      <c r="X2003" s="132">
        <f t="shared" si="219"/>
        <v>10</v>
      </c>
      <c r="Y2003" s="133"/>
      <c r="Z2003" s="133"/>
      <c r="AA2003" s="133"/>
    </row>
    <row r="2004" spans="1:27" hidden="1" x14ac:dyDescent="0.25">
      <c r="A2004" s="127">
        <v>2188</v>
      </c>
      <c r="B2004" s="128" t="str">
        <f t="shared" si="220"/>
        <v>NORT</v>
      </c>
      <c r="C2004" s="128" t="str">
        <f>+VLOOKUP(U2004,Ходим!A:B,2,0)</f>
        <v>51810035900046</v>
      </c>
      <c r="D2004" s="128" t="str">
        <f>IFERROR(VLOOKUP($B:$B,[20]свод!$A:$AB,3,0)," ")</f>
        <v>Норин тумани</v>
      </c>
      <c r="E2004" s="7" t="s">
        <v>3140</v>
      </c>
      <c r="F2004" s="7" t="s">
        <v>9520</v>
      </c>
      <c r="G2004" s="134">
        <f t="shared" si="223"/>
        <v>1</v>
      </c>
      <c r="H2004" s="134" t="str">
        <f t="shared" si="224"/>
        <v/>
      </c>
      <c r="I2004" s="7" t="s">
        <v>158</v>
      </c>
      <c r="J2004" s="7" t="s">
        <v>1</v>
      </c>
      <c r="K2004" s="7"/>
      <c r="L2004" s="7" t="s">
        <v>167</v>
      </c>
      <c r="M2004" s="7" t="s">
        <v>5540</v>
      </c>
      <c r="N2004" s="7" t="s">
        <v>170</v>
      </c>
      <c r="O2004" s="7" t="s">
        <v>162</v>
      </c>
      <c r="P2004" s="7" t="s">
        <v>7188</v>
      </c>
      <c r="Q2004" s="129">
        <v>46199</v>
      </c>
      <c r="R2004" s="130">
        <f t="shared" si="222"/>
        <v>46203</v>
      </c>
      <c r="S2004" s="131">
        <f t="shared" si="221"/>
        <v>4</v>
      </c>
      <c r="T2004" s="7" t="s">
        <v>210</v>
      </c>
      <c r="U2004" s="7" t="s">
        <v>400</v>
      </c>
      <c r="V2004" s="7"/>
      <c r="W2004" s="7">
        <v>298.54000000000002</v>
      </c>
      <c r="X2004" s="132">
        <f t="shared" si="219"/>
        <v>10</v>
      </c>
      <c r="Y2004" s="133"/>
      <c r="Z2004" s="133"/>
      <c r="AA2004" s="133"/>
    </row>
    <row r="2005" spans="1:27" hidden="1" x14ac:dyDescent="0.25">
      <c r="A2005" s="127">
        <v>2189</v>
      </c>
      <c r="B2005" s="128" t="str">
        <f t="shared" si="220"/>
        <v>NAMS</v>
      </c>
      <c r="C2005" s="128">
        <f>+VLOOKUP(U2005,Ходим!A:B,2,0)</f>
        <v>50703045960050</v>
      </c>
      <c r="D2005" s="128" t="str">
        <f>IFERROR(VLOOKUP($B:$B,[20]свод!$A:$AB,3,0)," ")</f>
        <v>Наманган шаҳар</v>
      </c>
      <c r="E2005" s="7" t="s">
        <v>3141</v>
      </c>
      <c r="F2005" s="7" t="s">
        <v>9521</v>
      </c>
      <c r="G2005" s="134" t="str">
        <f t="shared" si="223"/>
        <v/>
      </c>
      <c r="H2005" s="134">
        <f t="shared" si="224"/>
        <v>1</v>
      </c>
      <c r="I2005" s="7" t="s">
        <v>154</v>
      </c>
      <c r="J2005" s="7" t="s">
        <v>1</v>
      </c>
      <c r="K2005" s="7"/>
      <c r="L2005" s="7" t="s">
        <v>166</v>
      </c>
      <c r="M2005" s="7" t="s">
        <v>1095</v>
      </c>
      <c r="N2005" s="7" t="s">
        <v>170</v>
      </c>
      <c r="O2005" s="7" t="s">
        <v>161</v>
      </c>
      <c r="P2005" s="7" t="s">
        <v>7189</v>
      </c>
      <c r="Q2005" s="129">
        <v>46199</v>
      </c>
      <c r="R2005" s="130">
        <f t="shared" si="222"/>
        <v>46202</v>
      </c>
      <c r="S2005" s="131">
        <f t="shared" si="221"/>
        <v>3</v>
      </c>
      <c r="T2005" s="7" t="s">
        <v>227</v>
      </c>
      <c r="U2005" s="7" t="s">
        <v>948</v>
      </c>
      <c r="V2005" s="7"/>
      <c r="W2005" s="7">
        <v>244</v>
      </c>
      <c r="X2005" s="132">
        <f t="shared" si="219"/>
        <v>12</v>
      </c>
      <c r="Y2005" s="133"/>
      <c r="Z2005" s="133"/>
      <c r="AA2005" s="133"/>
    </row>
    <row r="2006" spans="1:27" hidden="1" x14ac:dyDescent="0.25">
      <c r="A2006" s="127">
        <v>2190</v>
      </c>
      <c r="B2006" s="128" t="str">
        <f t="shared" si="220"/>
        <v>CHUT</v>
      </c>
      <c r="C2006" s="128" t="str">
        <f>+VLOOKUP(U2006,Ходим!A:B,2,0)</f>
        <v>31312912180061</v>
      </c>
      <c r="D2006" s="128" t="str">
        <f>IFERROR(VLOOKUP($B:$B,[20]свод!$A:$AB,3,0)," ")</f>
        <v>Чуст тумани</v>
      </c>
      <c r="E2006" s="7" t="s">
        <v>3142</v>
      </c>
      <c r="F2006" s="7" t="s">
        <v>9522</v>
      </c>
      <c r="G2006" s="134">
        <f t="shared" si="223"/>
        <v>1</v>
      </c>
      <c r="H2006" s="134" t="str">
        <f t="shared" si="224"/>
        <v/>
      </c>
      <c r="I2006" s="7" t="s">
        <v>156</v>
      </c>
      <c r="J2006" s="7" t="s">
        <v>25</v>
      </c>
      <c r="K2006" s="7"/>
      <c r="L2006" s="7"/>
      <c r="M2006" s="7"/>
      <c r="N2006" s="7" t="s">
        <v>170</v>
      </c>
      <c r="O2006" s="7" t="s">
        <v>162</v>
      </c>
      <c r="P2006" s="7" t="s">
        <v>7190</v>
      </c>
      <c r="Q2006" s="129">
        <v>46199</v>
      </c>
      <c r="R2006" s="130">
        <f t="shared" si="222"/>
        <v>46203</v>
      </c>
      <c r="S2006" s="131">
        <f t="shared" si="221"/>
        <v>4</v>
      </c>
      <c r="T2006" s="7" t="s">
        <v>178</v>
      </c>
      <c r="U2006" s="7" t="s">
        <v>202</v>
      </c>
      <c r="V2006" s="7"/>
      <c r="W2006" s="7"/>
      <c r="X2006" s="132">
        <f t="shared" si="219"/>
        <v>10</v>
      </c>
      <c r="Y2006" s="133"/>
      <c r="Z2006" s="133"/>
      <c r="AA2006" s="133"/>
    </row>
    <row r="2007" spans="1:27" hidden="1" x14ac:dyDescent="0.25">
      <c r="A2007" s="127">
        <v>2191</v>
      </c>
      <c r="B2007" s="128" t="str">
        <f t="shared" si="220"/>
        <v>NAMS</v>
      </c>
      <c r="C2007" s="128" t="str">
        <f>+VLOOKUP(U2007,Ходим!A:B,2,0)</f>
        <v>32407752170062</v>
      </c>
      <c r="D2007" s="128" t="str">
        <f>IFERROR(VLOOKUP($B:$B,[20]свод!$A:$AB,3,0)," ")</f>
        <v>Наманган шаҳар</v>
      </c>
      <c r="E2007" s="7" t="s">
        <v>3143</v>
      </c>
      <c r="F2007" s="7" t="s">
        <v>9523</v>
      </c>
      <c r="G2007" s="134">
        <f t="shared" si="223"/>
        <v>1</v>
      </c>
      <c r="H2007" s="134" t="str">
        <f t="shared" si="224"/>
        <v/>
      </c>
      <c r="I2007" s="7" t="s">
        <v>158</v>
      </c>
      <c r="J2007" s="7" t="s">
        <v>2</v>
      </c>
      <c r="K2007" s="7"/>
      <c r="L2007" s="7" t="s">
        <v>167</v>
      </c>
      <c r="M2007" s="7" t="s">
        <v>5541</v>
      </c>
      <c r="N2007" s="7" t="s">
        <v>170</v>
      </c>
      <c r="O2007" s="7" t="s">
        <v>162</v>
      </c>
      <c r="P2007" s="7" t="s">
        <v>7190</v>
      </c>
      <c r="Q2007" s="129">
        <v>46199</v>
      </c>
      <c r="R2007" s="130">
        <f t="shared" si="222"/>
        <v>46203</v>
      </c>
      <c r="S2007" s="131">
        <f t="shared" si="221"/>
        <v>4</v>
      </c>
      <c r="T2007" s="7" t="s">
        <v>173</v>
      </c>
      <c r="U2007" s="7" t="s">
        <v>264</v>
      </c>
      <c r="V2007" s="7"/>
      <c r="W2007" s="7">
        <v>410.35</v>
      </c>
      <c r="X2007" s="132">
        <f t="shared" si="219"/>
        <v>10</v>
      </c>
      <c r="Y2007" s="133"/>
      <c r="Z2007" s="133"/>
      <c r="AA2007" s="133"/>
    </row>
    <row r="2008" spans="1:27" hidden="1" x14ac:dyDescent="0.25">
      <c r="A2008" s="127">
        <v>2192</v>
      </c>
      <c r="B2008" s="128" t="str">
        <f t="shared" si="220"/>
        <v>CHOT</v>
      </c>
      <c r="C2008" s="128" t="str">
        <f>+VLOOKUP(U2008,Ходим!A:B,2,0)</f>
        <v>30308922100022</v>
      </c>
      <c r="D2008" s="128" t="str">
        <f>IFERROR(VLOOKUP($B:$B,[20]свод!$A:$AB,3,0)," ")</f>
        <v>Чортоқ тумани</v>
      </c>
      <c r="E2008" s="7" t="s">
        <v>3144</v>
      </c>
      <c r="F2008" s="7" t="s">
        <v>9524</v>
      </c>
      <c r="G2008" s="134">
        <f t="shared" si="223"/>
        <v>1</v>
      </c>
      <c r="H2008" s="134" t="str">
        <f t="shared" si="224"/>
        <v/>
      </c>
      <c r="I2008" s="7" t="s">
        <v>158</v>
      </c>
      <c r="J2008" s="7" t="s">
        <v>172</v>
      </c>
      <c r="K2008" s="7"/>
      <c r="L2008" s="7" t="s">
        <v>167</v>
      </c>
      <c r="M2008" s="7" t="s">
        <v>5542</v>
      </c>
      <c r="N2008" s="7" t="s">
        <v>170</v>
      </c>
      <c r="O2008" s="7" t="s">
        <v>162</v>
      </c>
      <c r="P2008" s="7" t="s">
        <v>7190</v>
      </c>
      <c r="Q2008" s="129">
        <v>46199</v>
      </c>
      <c r="R2008" s="130">
        <f t="shared" si="222"/>
        <v>46203</v>
      </c>
      <c r="S2008" s="131">
        <f t="shared" si="221"/>
        <v>4</v>
      </c>
      <c r="T2008" s="7" t="s">
        <v>184</v>
      </c>
      <c r="U2008" s="7" t="s">
        <v>190</v>
      </c>
      <c r="V2008" s="7"/>
      <c r="W2008" s="7">
        <v>239.39</v>
      </c>
      <c r="X2008" s="132">
        <f t="shared" si="219"/>
        <v>10</v>
      </c>
      <c r="Y2008" s="133"/>
      <c r="Z2008" s="133"/>
      <c r="AA2008" s="133"/>
    </row>
    <row r="2009" spans="1:27" hidden="1" x14ac:dyDescent="0.25">
      <c r="A2009" s="127">
        <v>2193</v>
      </c>
      <c r="B2009" s="128" t="str">
        <f t="shared" si="220"/>
        <v>CHUT</v>
      </c>
      <c r="C2009" s="128" t="str">
        <f>+VLOOKUP(U2009,Ходим!A:B,2,0)</f>
        <v>31312912180061</v>
      </c>
      <c r="D2009" s="128" t="str">
        <f>IFERROR(VLOOKUP($B:$B,[20]свод!$A:$AB,3,0)," ")</f>
        <v>Чуст тумани</v>
      </c>
      <c r="E2009" s="7" t="s">
        <v>3145</v>
      </c>
      <c r="F2009" s="7" t="s">
        <v>9525</v>
      </c>
      <c r="G2009" s="134">
        <f t="shared" si="223"/>
        <v>1</v>
      </c>
      <c r="H2009" s="134" t="str">
        <f t="shared" si="224"/>
        <v/>
      </c>
      <c r="I2009" s="7" t="s">
        <v>158</v>
      </c>
      <c r="J2009" s="7" t="s">
        <v>1</v>
      </c>
      <c r="K2009" s="7"/>
      <c r="L2009" s="7" t="s">
        <v>167</v>
      </c>
      <c r="M2009" s="7" t="s">
        <v>5543</v>
      </c>
      <c r="N2009" s="7" t="s">
        <v>170</v>
      </c>
      <c r="O2009" s="7" t="s">
        <v>162</v>
      </c>
      <c r="P2009" s="7" t="s">
        <v>7007</v>
      </c>
      <c r="Q2009" s="129">
        <v>46199</v>
      </c>
      <c r="R2009" s="130">
        <f t="shared" si="222"/>
        <v>46202</v>
      </c>
      <c r="S2009" s="131">
        <f t="shared" si="221"/>
        <v>3</v>
      </c>
      <c r="T2009" s="7" t="s">
        <v>178</v>
      </c>
      <c r="U2009" s="7" t="s">
        <v>202</v>
      </c>
      <c r="V2009" s="7"/>
      <c r="W2009" s="7">
        <v>282.17</v>
      </c>
      <c r="X2009" s="132">
        <f t="shared" si="219"/>
        <v>10</v>
      </c>
      <c r="Y2009" s="133"/>
      <c r="Z2009" s="133"/>
      <c r="AA2009" s="133"/>
    </row>
    <row r="2010" spans="1:27" hidden="1" x14ac:dyDescent="0.25">
      <c r="A2010" s="127">
        <v>2194</v>
      </c>
      <c r="B2010" s="128" t="str">
        <f t="shared" si="220"/>
        <v>NAMS</v>
      </c>
      <c r="C2010" s="128" t="str">
        <f>+VLOOKUP(U2010,Ходим!A:B,2,0)</f>
        <v>31312985950011</v>
      </c>
      <c r="D2010" s="128" t="str">
        <f>IFERROR(VLOOKUP($B:$B,[20]свод!$A:$AB,3,0)," ")</f>
        <v>Наманган шаҳар</v>
      </c>
      <c r="E2010" s="7" t="s">
        <v>3146</v>
      </c>
      <c r="F2010" s="7" t="s">
        <v>9526</v>
      </c>
      <c r="G2010" s="134" t="str">
        <f t="shared" si="223"/>
        <v/>
      </c>
      <c r="H2010" s="134">
        <f t="shared" si="224"/>
        <v>1</v>
      </c>
      <c r="I2010" s="7" t="s">
        <v>155</v>
      </c>
      <c r="J2010" s="7" t="s">
        <v>25</v>
      </c>
      <c r="K2010" s="7"/>
      <c r="L2010" s="7" t="s">
        <v>166</v>
      </c>
      <c r="M2010" s="7" t="s">
        <v>5544</v>
      </c>
      <c r="N2010" s="7" t="s">
        <v>170</v>
      </c>
      <c r="O2010" s="7" t="s">
        <v>161</v>
      </c>
      <c r="P2010" s="7" t="s">
        <v>6680</v>
      </c>
      <c r="Q2010" s="129">
        <v>46199</v>
      </c>
      <c r="R2010" s="130">
        <f t="shared" si="222"/>
        <v>46212</v>
      </c>
      <c r="S2010" s="131">
        <f t="shared" si="221"/>
        <v>13</v>
      </c>
      <c r="T2010" s="7" t="s">
        <v>227</v>
      </c>
      <c r="U2010" s="7" t="s">
        <v>303</v>
      </c>
      <c r="V2010" s="7"/>
      <c r="W2010" s="7">
        <v>0</v>
      </c>
      <c r="X2010" s="132">
        <f t="shared" si="219"/>
        <v>10</v>
      </c>
      <c r="Y2010" s="133"/>
      <c r="Z2010" s="133"/>
      <c r="AA2010" s="133"/>
    </row>
    <row r="2011" spans="1:27" hidden="1" x14ac:dyDescent="0.25">
      <c r="A2011" s="127">
        <v>2195</v>
      </c>
      <c r="B2011" s="128" t="str">
        <f t="shared" si="220"/>
        <v>TORT</v>
      </c>
      <c r="C2011" s="128" t="str">
        <f>+VLOOKUP(U2011,Ходим!A:B,2,0)</f>
        <v>40302922130046</v>
      </c>
      <c r="D2011" s="128" t="str">
        <f>IFERROR(VLOOKUP($B:$B,[20]свод!$A:$AB,3,0)," ")</f>
        <v>Тўрақўрғон тумани</v>
      </c>
      <c r="E2011" s="7" t="s">
        <v>3147</v>
      </c>
      <c r="F2011" s="7" t="s">
        <v>9527</v>
      </c>
      <c r="G2011" s="134">
        <f t="shared" si="223"/>
        <v>1</v>
      </c>
      <c r="H2011" s="134" t="str">
        <f t="shared" si="224"/>
        <v/>
      </c>
      <c r="I2011" s="7" t="s">
        <v>158</v>
      </c>
      <c r="J2011" s="7" t="s">
        <v>1</v>
      </c>
      <c r="K2011" s="7"/>
      <c r="L2011" s="7" t="s">
        <v>167</v>
      </c>
      <c r="M2011" s="7" t="s">
        <v>5545</v>
      </c>
      <c r="N2011" s="7" t="s">
        <v>170</v>
      </c>
      <c r="O2011" s="7" t="s">
        <v>162</v>
      </c>
      <c r="P2011" s="7" t="s">
        <v>7190</v>
      </c>
      <c r="Q2011" s="129">
        <v>46199</v>
      </c>
      <c r="R2011" s="130">
        <f t="shared" si="222"/>
        <v>46203</v>
      </c>
      <c r="S2011" s="131">
        <f t="shared" si="221"/>
        <v>4</v>
      </c>
      <c r="T2011" s="7" t="s">
        <v>203</v>
      </c>
      <c r="U2011" s="7" t="s">
        <v>258</v>
      </c>
      <c r="V2011" s="7"/>
      <c r="W2011" s="7">
        <v>350.27</v>
      </c>
      <c r="X2011" s="132">
        <f t="shared" si="219"/>
        <v>10</v>
      </c>
      <c r="Y2011" s="133"/>
      <c r="Z2011" s="133"/>
      <c r="AA2011" s="133"/>
    </row>
    <row r="2012" spans="1:27" hidden="1" x14ac:dyDescent="0.25">
      <c r="A2012" s="127">
        <v>2196</v>
      </c>
      <c r="B2012" s="128" t="str">
        <f t="shared" si="220"/>
        <v>POPT</v>
      </c>
      <c r="C2012" s="128" t="str">
        <f>+VLOOKUP(U2012,Ходим!A:B,2,0)</f>
        <v>30901742120047</v>
      </c>
      <c r="D2012" s="128" t="str">
        <f>IFERROR(VLOOKUP($B:$B,[20]свод!$A:$AB,3,0)," ")</f>
        <v>Поп тумани</v>
      </c>
      <c r="E2012" s="7" t="s">
        <v>3148</v>
      </c>
      <c r="F2012" s="7" t="s">
        <v>9528</v>
      </c>
      <c r="G2012" s="134">
        <f t="shared" si="223"/>
        <v>1</v>
      </c>
      <c r="H2012" s="134" t="str">
        <f t="shared" si="224"/>
        <v/>
      </c>
      <c r="I2012" s="7" t="s">
        <v>158</v>
      </c>
      <c r="J2012" s="7" t="s">
        <v>172</v>
      </c>
      <c r="K2012" s="7"/>
      <c r="L2012" s="7" t="s">
        <v>167</v>
      </c>
      <c r="M2012" s="7" t="s">
        <v>1112</v>
      </c>
      <c r="N2012" s="7" t="s">
        <v>170</v>
      </c>
      <c r="O2012" s="7" t="s">
        <v>162</v>
      </c>
      <c r="P2012" s="7" t="s">
        <v>6929</v>
      </c>
      <c r="Q2012" s="129">
        <v>46199</v>
      </c>
      <c r="R2012" s="130">
        <f t="shared" si="222"/>
        <v>46203</v>
      </c>
      <c r="S2012" s="131">
        <f t="shared" si="221"/>
        <v>4</v>
      </c>
      <c r="T2012" s="7" t="s">
        <v>240</v>
      </c>
      <c r="U2012" s="7" t="s">
        <v>323</v>
      </c>
      <c r="V2012" s="7"/>
      <c r="W2012" s="7">
        <v>0</v>
      </c>
      <c r="X2012" s="132">
        <f t="shared" si="219"/>
        <v>10</v>
      </c>
      <c r="Y2012" s="133"/>
      <c r="Z2012" s="133"/>
      <c r="AA2012" s="133"/>
    </row>
    <row r="2013" spans="1:27" hidden="1" x14ac:dyDescent="0.25">
      <c r="A2013" s="127">
        <v>2197</v>
      </c>
      <c r="B2013" s="128" t="str">
        <f t="shared" si="220"/>
        <v>YGQT</v>
      </c>
      <c r="C2013" s="128" t="str">
        <f>+VLOOKUP(U2013,Ходим!A:B,2,0)</f>
        <v>32806922160043</v>
      </c>
      <c r="D2013" s="128" t="str">
        <f>IFERROR(VLOOKUP($B:$B,[20]свод!$A:$AB,3,0)," ")</f>
        <v>Янгиқўрғон тумани</v>
      </c>
      <c r="E2013" s="7" t="s">
        <v>3149</v>
      </c>
      <c r="F2013" s="7" t="s">
        <v>9529</v>
      </c>
      <c r="G2013" s="134">
        <f t="shared" si="223"/>
        <v>1</v>
      </c>
      <c r="H2013" s="134" t="str">
        <f t="shared" si="224"/>
        <v/>
      </c>
      <c r="I2013" s="7" t="s">
        <v>158</v>
      </c>
      <c r="J2013" s="7" t="s">
        <v>2</v>
      </c>
      <c r="K2013" s="7"/>
      <c r="L2013" s="7" t="s">
        <v>167</v>
      </c>
      <c r="M2013" s="7" t="s">
        <v>5546</v>
      </c>
      <c r="N2013" s="7" t="s">
        <v>170</v>
      </c>
      <c r="O2013" s="7" t="s">
        <v>162</v>
      </c>
      <c r="P2013" s="7" t="s">
        <v>6929</v>
      </c>
      <c r="Q2013" s="129">
        <v>46199</v>
      </c>
      <c r="R2013" s="130">
        <f t="shared" si="222"/>
        <v>46203</v>
      </c>
      <c r="S2013" s="131">
        <f t="shared" si="221"/>
        <v>4</v>
      </c>
      <c r="T2013" s="7" t="s">
        <v>255</v>
      </c>
      <c r="U2013" s="7" t="s">
        <v>186</v>
      </c>
      <c r="V2013" s="7"/>
      <c r="W2013" s="7">
        <v>305.13</v>
      </c>
      <c r="X2013" s="132">
        <f t="shared" si="219"/>
        <v>10</v>
      </c>
      <c r="Y2013" s="133"/>
      <c r="Z2013" s="133"/>
      <c r="AA2013" s="133"/>
    </row>
    <row r="2014" spans="1:27" hidden="1" x14ac:dyDescent="0.25">
      <c r="A2014" s="127">
        <v>2198</v>
      </c>
      <c r="B2014" s="128" t="str">
        <f t="shared" si="220"/>
        <v>YGQT</v>
      </c>
      <c r="C2014" s="128" t="str">
        <f>+VLOOKUP(U2014,Ходим!A:B,2,0)</f>
        <v>30101922100050</v>
      </c>
      <c r="D2014" s="128" t="str">
        <f>IFERROR(VLOOKUP($B:$B,[20]свод!$A:$AB,3,0)," ")</f>
        <v>Янгиқўрғон тумани</v>
      </c>
      <c r="E2014" s="7" t="s">
        <v>3150</v>
      </c>
      <c r="F2014" s="7" t="s">
        <v>9530</v>
      </c>
      <c r="G2014" s="134">
        <f t="shared" si="223"/>
        <v>1</v>
      </c>
      <c r="H2014" s="134" t="str">
        <f t="shared" si="224"/>
        <v/>
      </c>
      <c r="I2014" s="7" t="s">
        <v>158</v>
      </c>
      <c r="J2014" s="7" t="s">
        <v>1</v>
      </c>
      <c r="K2014" s="7"/>
      <c r="L2014" s="7" t="s">
        <v>167</v>
      </c>
      <c r="M2014" s="7" t="s">
        <v>5547</v>
      </c>
      <c r="N2014" s="7" t="s">
        <v>170</v>
      </c>
      <c r="O2014" s="7" t="s">
        <v>162</v>
      </c>
      <c r="P2014" s="7" t="s">
        <v>6929</v>
      </c>
      <c r="Q2014" s="129">
        <v>46199</v>
      </c>
      <c r="R2014" s="130">
        <f t="shared" si="222"/>
        <v>46203</v>
      </c>
      <c r="S2014" s="131">
        <f t="shared" si="221"/>
        <v>4</v>
      </c>
      <c r="T2014" s="7" t="s">
        <v>182</v>
      </c>
      <c r="U2014" s="7" t="s">
        <v>265</v>
      </c>
      <c r="V2014" s="7"/>
      <c r="W2014" s="7">
        <v>468.78</v>
      </c>
      <c r="X2014" s="132">
        <f t="shared" si="219"/>
        <v>10</v>
      </c>
      <c r="Y2014" s="133"/>
      <c r="Z2014" s="133"/>
      <c r="AA2014" s="133"/>
    </row>
    <row r="2015" spans="1:27" hidden="1" x14ac:dyDescent="0.25">
      <c r="A2015" s="127">
        <v>2199</v>
      </c>
      <c r="B2015" s="128" t="str">
        <f t="shared" si="220"/>
        <v>NAMT</v>
      </c>
      <c r="C2015" s="128" t="str">
        <f>+VLOOKUP(U2015,Ходим!A:B,2,0)</f>
        <v>32204892090133</v>
      </c>
      <c r="D2015" s="128" t="str">
        <f>IFERROR(VLOOKUP($B:$B,[20]свод!$A:$AB,3,0)," ")</f>
        <v>Наманган тумани</v>
      </c>
      <c r="E2015" s="7" t="s">
        <v>3151</v>
      </c>
      <c r="F2015" s="7" t="s">
        <v>9531</v>
      </c>
      <c r="G2015" s="134">
        <f t="shared" si="223"/>
        <v>1</v>
      </c>
      <c r="H2015" s="134" t="str">
        <f t="shared" si="224"/>
        <v/>
      </c>
      <c r="I2015" s="7" t="s">
        <v>158</v>
      </c>
      <c r="J2015" s="7" t="s">
        <v>2</v>
      </c>
      <c r="K2015" s="7"/>
      <c r="L2015" s="7"/>
      <c r="M2015" s="7"/>
      <c r="N2015" s="7" t="s">
        <v>170</v>
      </c>
      <c r="O2015" s="7" t="s">
        <v>162</v>
      </c>
      <c r="P2015" s="7" t="s">
        <v>6929</v>
      </c>
      <c r="Q2015" s="129">
        <v>46199</v>
      </c>
      <c r="R2015" s="130">
        <f t="shared" si="222"/>
        <v>46203</v>
      </c>
      <c r="S2015" s="131">
        <f t="shared" si="221"/>
        <v>4</v>
      </c>
      <c r="T2015" s="7" t="s">
        <v>193</v>
      </c>
      <c r="U2015" s="7" t="s">
        <v>198</v>
      </c>
      <c r="V2015" s="7"/>
      <c r="W2015" s="7"/>
      <c r="X2015" s="132">
        <f t="shared" si="219"/>
        <v>10</v>
      </c>
      <c r="Y2015" s="133"/>
      <c r="Z2015" s="133"/>
      <c r="AA2015" s="133"/>
    </row>
    <row r="2016" spans="1:27" hidden="1" x14ac:dyDescent="0.25">
      <c r="A2016" s="127">
        <v>2200</v>
      </c>
      <c r="B2016" s="128" t="str">
        <f t="shared" si="220"/>
        <v>YGQT</v>
      </c>
      <c r="C2016" s="128" t="str">
        <f>+VLOOKUP(U2016,Ходим!A:B,2,0)</f>
        <v>32806922160043</v>
      </c>
      <c r="D2016" s="128" t="str">
        <f>IFERROR(VLOOKUP($B:$B,[20]свод!$A:$AB,3,0)," ")</f>
        <v>Янгиқўрғон тумани</v>
      </c>
      <c r="E2016" s="7" t="s">
        <v>3152</v>
      </c>
      <c r="F2016" s="7" t="s">
        <v>9532</v>
      </c>
      <c r="G2016" s="134" t="str">
        <f t="shared" si="223"/>
        <v/>
      </c>
      <c r="H2016" s="134">
        <f t="shared" si="224"/>
        <v>1</v>
      </c>
      <c r="I2016" s="7" t="s">
        <v>157</v>
      </c>
      <c r="J2016" s="7" t="s">
        <v>2</v>
      </c>
      <c r="K2016" s="7"/>
      <c r="L2016" s="7" t="s">
        <v>166</v>
      </c>
      <c r="M2016" s="7" t="s">
        <v>5548</v>
      </c>
      <c r="N2016" s="7" t="s">
        <v>170</v>
      </c>
      <c r="O2016" s="7" t="s">
        <v>161</v>
      </c>
      <c r="P2016" s="7" t="s">
        <v>6929</v>
      </c>
      <c r="Q2016" s="129">
        <v>46199</v>
      </c>
      <c r="R2016" s="130">
        <f t="shared" si="222"/>
        <v>46205</v>
      </c>
      <c r="S2016" s="131">
        <f t="shared" si="221"/>
        <v>6</v>
      </c>
      <c r="T2016" s="7" t="s">
        <v>255</v>
      </c>
      <c r="U2016" s="7" t="s">
        <v>186</v>
      </c>
      <c r="V2016" s="7"/>
      <c r="W2016" s="7">
        <v>231.18</v>
      </c>
      <c r="X2016" s="132">
        <f t="shared" si="219"/>
        <v>12</v>
      </c>
      <c r="Y2016" s="133"/>
      <c r="Z2016" s="133"/>
      <c r="AA2016" s="133"/>
    </row>
    <row r="2017" spans="1:27" hidden="1" x14ac:dyDescent="0.25">
      <c r="A2017" s="127">
        <v>2201</v>
      </c>
      <c r="B2017" s="128" t="str">
        <f t="shared" si="220"/>
        <v>YGQT</v>
      </c>
      <c r="C2017" s="128" t="str">
        <f>+VLOOKUP(U2017,Ходим!A:B,2,0)</f>
        <v>31005985950058</v>
      </c>
      <c r="D2017" s="128" t="str">
        <f>IFERROR(VLOOKUP($B:$B,[20]свод!$A:$AB,3,0)," ")</f>
        <v>Янгиқўрғон тумани</v>
      </c>
      <c r="E2017" s="7" t="s">
        <v>3153</v>
      </c>
      <c r="F2017" s="7" t="s">
        <v>9533</v>
      </c>
      <c r="G2017" s="134">
        <f t="shared" si="223"/>
        <v>1</v>
      </c>
      <c r="H2017" s="134" t="str">
        <f t="shared" si="224"/>
        <v/>
      </c>
      <c r="I2017" s="7" t="s">
        <v>158</v>
      </c>
      <c r="J2017" s="7" t="s">
        <v>10</v>
      </c>
      <c r="K2017" s="7"/>
      <c r="L2017" s="7" t="s">
        <v>167</v>
      </c>
      <c r="M2017" s="7" t="s">
        <v>5549</v>
      </c>
      <c r="N2017" s="7" t="s">
        <v>170</v>
      </c>
      <c r="O2017" s="7" t="s">
        <v>162</v>
      </c>
      <c r="P2017" s="7" t="s">
        <v>6929</v>
      </c>
      <c r="Q2017" s="129">
        <v>46199</v>
      </c>
      <c r="R2017" s="130">
        <f t="shared" si="222"/>
        <v>46203</v>
      </c>
      <c r="S2017" s="131">
        <f t="shared" si="221"/>
        <v>4</v>
      </c>
      <c r="T2017" s="7" t="s">
        <v>182</v>
      </c>
      <c r="U2017" s="7" t="s">
        <v>311</v>
      </c>
      <c r="V2017" s="7"/>
      <c r="W2017" s="7">
        <v>579.37</v>
      </c>
      <c r="X2017" s="132">
        <f t="shared" si="219"/>
        <v>10</v>
      </c>
      <c r="Y2017" s="133"/>
      <c r="Z2017" s="133"/>
      <c r="AA2017" s="133"/>
    </row>
    <row r="2018" spans="1:27" hidden="1" x14ac:dyDescent="0.25">
      <c r="A2018" s="127">
        <v>2202</v>
      </c>
      <c r="B2018" s="128" t="str">
        <f t="shared" si="220"/>
        <v>NAMS</v>
      </c>
      <c r="C2018" s="128" t="str">
        <f>+VLOOKUP(U2018,Ходим!A:B,2,0)</f>
        <v>50308015960081</v>
      </c>
      <c r="D2018" s="128" t="str">
        <f>IFERROR(VLOOKUP($B:$B,[20]свод!$A:$AB,3,0)," ")</f>
        <v>Наманган шаҳар</v>
      </c>
      <c r="E2018" s="7" t="s">
        <v>3154</v>
      </c>
      <c r="F2018" s="7" t="s">
        <v>9534</v>
      </c>
      <c r="G2018" s="134" t="str">
        <f t="shared" si="223"/>
        <v/>
      </c>
      <c r="H2018" s="134">
        <f t="shared" si="224"/>
        <v>1</v>
      </c>
      <c r="I2018" s="7" t="s">
        <v>157</v>
      </c>
      <c r="J2018" s="7" t="s">
        <v>36</v>
      </c>
      <c r="K2018" s="7"/>
      <c r="L2018" s="7" t="s">
        <v>166</v>
      </c>
      <c r="M2018" s="7" t="s">
        <v>5550</v>
      </c>
      <c r="N2018" s="7" t="s">
        <v>170</v>
      </c>
      <c r="O2018" s="7" t="s">
        <v>161</v>
      </c>
      <c r="P2018" s="7" t="s">
        <v>6929</v>
      </c>
      <c r="Q2018" s="129">
        <v>46199</v>
      </c>
      <c r="R2018" s="130">
        <f t="shared" si="222"/>
        <v>46203</v>
      </c>
      <c r="S2018" s="131">
        <f t="shared" si="221"/>
        <v>4</v>
      </c>
      <c r="T2018" s="7" t="s">
        <v>227</v>
      </c>
      <c r="U2018" s="7" t="s">
        <v>375</v>
      </c>
      <c r="V2018" s="7"/>
      <c r="W2018" s="7">
        <v>0</v>
      </c>
      <c r="X2018" s="132">
        <f t="shared" si="219"/>
        <v>10</v>
      </c>
      <c r="Y2018" s="133"/>
      <c r="Z2018" s="133"/>
      <c r="AA2018" s="133"/>
    </row>
    <row r="2019" spans="1:27" hidden="1" x14ac:dyDescent="0.25">
      <c r="A2019" s="127">
        <v>2203</v>
      </c>
      <c r="B2019" s="128" t="str">
        <f t="shared" si="220"/>
        <v>YGQT</v>
      </c>
      <c r="C2019" s="128" t="str">
        <f>+VLOOKUP(U2019,Ходим!A:B,2,0)</f>
        <v>30903902160122</v>
      </c>
      <c r="D2019" s="128" t="str">
        <f>IFERROR(VLOOKUP($B:$B,[20]свод!$A:$AB,3,0)," ")</f>
        <v>Янгиқўрғон тумани</v>
      </c>
      <c r="E2019" s="7" t="s">
        <v>3155</v>
      </c>
      <c r="F2019" s="7" t="s">
        <v>9535</v>
      </c>
      <c r="G2019" s="134">
        <f t="shared" si="223"/>
        <v>1</v>
      </c>
      <c r="H2019" s="134" t="str">
        <f t="shared" si="224"/>
        <v/>
      </c>
      <c r="I2019" s="7" t="s">
        <v>158</v>
      </c>
      <c r="J2019" s="7" t="s">
        <v>134</v>
      </c>
      <c r="K2019" s="7"/>
      <c r="L2019" s="7"/>
      <c r="M2019" s="7"/>
      <c r="N2019" s="7" t="s">
        <v>410</v>
      </c>
      <c r="O2019" s="7" t="s">
        <v>162</v>
      </c>
      <c r="P2019" s="7" t="s">
        <v>7191</v>
      </c>
      <c r="Q2019" s="129">
        <v>46199</v>
      </c>
      <c r="R2019" s="130">
        <f t="shared" si="222"/>
        <v>46205</v>
      </c>
      <c r="S2019" s="131">
        <f t="shared" si="221"/>
        <v>6</v>
      </c>
      <c r="T2019" s="7" t="s">
        <v>255</v>
      </c>
      <c r="U2019" s="7" t="s">
        <v>230</v>
      </c>
      <c r="V2019" s="7"/>
      <c r="W2019" s="7"/>
      <c r="X2019" s="132">
        <f t="shared" si="219"/>
        <v>10</v>
      </c>
      <c r="Y2019" s="133"/>
      <c r="Z2019" s="133"/>
      <c r="AA2019" s="133"/>
    </row>
    <row r="2020" spans="1:27" hidden="1" x14ac:dyDescent="0.25">
      <c r="A2020" s="127">
        <v>2204</v>
      </c>
      <c r="B2020" s="128" t="str">
        <f t="shared" si="220"/>
        <v>YGQT</v>
      </c>
      <c r="C2020" s="128" t="str">
        <f>+VLOOKUP(U2020,Ходим!A:B,2,0)</f>
        <v>31005985950058</v>
      </c>
      <c r="D2020" s="128" t="str">
        <f>IFERROR(VLOOKUP($B:$B,[20]свод!$A:$AB,3,0)," ")</f>
        <v>Янгиқўрғон тумани</v>
      </c>
      <c r="E2020" s="7" t="s">
        <v>3156</v>
      </c>
      <c r="F2020" s="7" t="s">
        <v>9536</v>
      </c>
      <c r="G2020" s="134">
        <f t="shared" si="223"/>
        <v>1</v>
      </c>
      <c r="H2020" s="134" t="str">
        <f t="shared" si="224"/>
        <v/>
      </c>
      <c r="I2020" s="7" t="s">
        <v>158</v>
      </c>
      <c r="J2020" s="7" t="s">
        <v>2</v>
      </c>
      <c r="K2020" s="7"/>
      <c r="L2020" s="7" t="s">
        <v>167</v>
      </c>
      <c r="M2020" s="7" t="s">
        <v>5551</v>
      </c>
      <c r="N2020" s="7" t="s">
        <v>170</v>
      </c>
      <c r="O2020" s="7" t="s">
        <v>162</v>
      </c>
      <c r="P2020" s="7" t="s">
        <v>7192</v>
      </c>
      <c r="Q2020" s="129">
        <v>46199</v>
      </c>
      <c r="R2020" s="130">
        <f t="shared" si="222"/>
        <v>46203</v>
      </c>
      <c r="S2020" s="131">
        <f t="shared" si="221"/>
        <v>4</v>
      </c>
      <c r="T2020" s="7" t="s">
        <v>255</v>
      </c>
      <c r="U2020" s="7" t="s">
        <v>311</v>
      </c>
      <c r="V2020" s="7"/>
      <c r="W2020" s="7">
        <v>162.78</v>
      </c>
      <c r="X2020" s="132">
        <f t="shared" ref="X2020:X2075" si="225">IF(N2020="Kadastr muhandisi",3,
IF(N2020="UZKAD",5,
IF(V2020="FREE",5,
IF(I2020="Registratsiya (tashqi - UZKAD da bor)",1,
IF(I2020="Avtoyo'l va suv xo'jaligi obyektining kadastr pasportini shakllantirish va ro'yxatga olish",7,
IF(I2020="Notarius uchun ma'lumotnoma (uz)",1,
IF(I2020="Qurilishi tugallangan ko'chmas mulkni foydalanishga qabul qilish",10,
IF(OR(I2020="Turar joy obyektning kadastr pasportini shakllantirish va davlat ro'yxatidan o'tkazish",I2020="Turar kompozit"),
IF(L2020="Turar yer maydoni",7,10),
IF(OR(I2020="Noturar obyektning kadastr pasportini shakllantirish va davlat ro'yxatidan o'tkazish",I2020="Noturar kompozit"),
IF(O2020="Ko‘p yillik daraxtlar xizmati",15,
IF(OR(L2020="Noturar yer maydoni",L2020="Davlat tashkilotlaridan ijaraga olingan yer uchastkasi"),7,
IF(W2020&lt;100,10,IF(W2020&lt;=1000,12,IF(W2020&lt;=5000,17,IF(W2020&lt;=15000,22,IF(W2020&lt;=50000,28,37))))))),
IF(I2020="Umumiy foydalanishdagi ko'chmas mulk qismini yaratish",
IF(IF(TRIM(L2020)="",IF(OR(O2020="Turar joy xizmati",O2020="Yakka tartibdagi turar joy"),"Turar","Noturar"),IF(OR(L2020="Yakka tartibdagi turar joy",L2020="Turar joy xizmati"),"Turar","Noturar"))="Turar",
10,IF(W2020&lt;100,10,IF(W2020&lt;=1000,12,IF(W2020&lt;=5000,17,IF(W2020&lt;=15000,22,IF(W2020&lt;=50000,28,37)))))),
0))))))))))</f>
        <v>10</v>
      </c>
      <c r="Y2020" s="133"/>
      <c r="Z2020" s="133"/>
      <c r="AA2020" s="133"/>
    </row>
    <row r="2021" spans="1:27" hidden="1" x14ac:dyDescent="0.25">
      <c r="A2021" s="127">
        <v>2205</v>
      </c>
      <c r="B2021" s="128" t="str">
        <f t="shared" ref="B2021:B2076" si="226">LEFT(E2021,4)</f>
        <v>YGQT</v>
      </c>
      <c r="C2021" s="128" t="str">
        <f>+VLOOKUP(U2021,Ходим!A:B,2,0)</f>
        <v>52802005950028</v>
      </c>
      <c r="D2021" s="128" t="str">
        <f>IFERROR(VLOOKUP($B:$B,[20]свод!$A:$AB,3,0)," ")</f>
        <v>Янгиқўрғон тумани</v>
      </c>
      <c r="E2021" s="7" t="s">
        <v>3157</v>
      </c>
      <c r="F2021" s="7" t="s">
        <v>9537</v>
      </c>
      <c r="G2021" s="134">
        <f t="shared" si="223"/>
        <v>1</v>
      </c>
      <c r="H2021" s="134" t="str">
        <f t="shared" si="224"/>
        <v/>
      </c>
      <c r="I2021" s="7" t="s">
        <v>158</v>
      </c>
      <c r="J2021" s="7" t="s">
        <v>134</v>
      </c>
      <c r="K2021" s="7"/>
      <c r="L2021" s="7"/>
      <c r="M2021" s="7"/>
      <c r="N2021" s="7" t="s">
        <v>170</v>
      </c>
      <c r="O2021" s="7" t="s">
        <v>162</v>
      </c>
      <c r="P2021" s="7" t="s">
        <v>7192</v>
      </c>
      <c r="Q2021" s="129">
        <v>46199</v>
      </c>
      <c r="R2021" s="130">
        <f t="shared" si="222"/>
        <v>46203</v>
      </c>
      <c r="S2021" s="131">
        <f t="shared" ref="S2021:S2076" si="227">R2021-Q2021</f>
        <v>4</v>
      </c>
      <c r="T2021" s="7" t="s">
        <v>182</v>
      </c>
      <c r="U2021" s="7" t="s">
        <v>281</v>
      </c>
      <c r="V2021" s="7"/>
      <c r="W2021" s="7"/>
      <c r="X2021" s="132">
        <f t="shared" si="225"/>
        <v>10</v>
      </c>
      <c r="Y2021" s="133"/>
      <c r="Z2021" s="133"/>
      <c r="AA2021" s="133"/>
    </row>
    <row r="2022" spans="1:27" hidden="1" x14ac:dyDescent="0.25">
      <c r="A2022" s="127">
        <v>2206</v>
      </c>
      <c r="B2022" s="128" t="str">
        <f t="shared" si="226"/>
        <v>CHOT</v>
      </c>
      <c r="C2022" s="128" t="str">
        <f>+VLOOKUP(U2022,Ходим!A:B,2,0)</f>
        <v>32906975890046</v>
      </c>
      <c r="D2022" s="128" t="str">
        <f>IFERROR(VLOOKUP($B:$B,[20]свод!$A:$AB,3,0)," ")</f>
        <v>Чортоқ тумани</v>
      </c>
      <c r="E2022" s="7" t="s">
        <v>3158</v>
      </c>
      <c r="F2022" s="7" t="s">
        <v>9538</v>
      </c>
      <c r="G2022" s="134" t="str">
        <f t="shared" si="223"/>
        <v/>
      </c>
      <c r="H2022" s="134">
        <f t="shared" si="224"/>
        <v>1</v>
      </c>
      <c r="I2022" s="7" t="s">
        <v>157</v>
      </c>
      <c r="J2022" s="7" t="s">
        <v>2</v>
      </c>
      <c r="K2022" s="7"/>
      <c r="L2022" s="7" t="s">
        <v>166</v>
      </c>
      <c r="M2022" s="7" t="s">
        <v>384</v>
      </c>
      <c r="N2022" s="7" t="s">
        <v>170</v>
      </c>
      <c r="O2022" s="7" t="s">
        <v>161</v>
      </c>
      <c r="P2022" s="7" t="s">
        <v>7193</v>
      </c>
      <c r="Q2022" s="129">
        <v>46199</v>
      </c>
      <c r="R2022" s="130">
        <f t="shared" si="222"/>
        <v>46203</v>
      </c>
      <c r="S2022" s="131">
        <f t="shared" si="227"/>
        <v>4</v>
      </c>
      <c r="T2022" s="7" t="s">
        <v>10635</v>
      </c>
      <c r="U2022" s="7" t="s">
        <v>335</v>
      </c>
      <c r="V2022" s="7"/>
      <c r="W2022" s="7">
        <v>0</v>
      </c>
      <c r="X2022" s="132">
        <f t="shared" si="225"/>
        <v>10</v>
      </c>
      <c r="Y2022" s="133"/>
      <c r="Z2022" s="133"/>
      <c r="AA2022" s="133"/>
    </row>
    <row r="2023" spans="1:27" hidden="1" x14ac:dyDescent="0.25">
      <c r="A2023" s="127">
        <v>2207</v>
      </c>
      <c r="B2023" s="128" t="str">
        <f t="shared" si="226"/>
        <v>UCQT</v>
      </c>
      <c r="C2023" s="128" t="str">
        <f>+VLOOKUP(U2023,Ходим!A:B,2,0)</f>
        <v>31206892150069</v>
      </c>
      <c r="D2023" s="128" t="str">
        <f>IFERROR(VLOOKUP($B:$B,[20]свод!$A:$AB,3,0)," ")</f>
        <v>Учқўрғон тумани</v>
      </c>
      <c r="E2023" s="7" t="s">
        <v>3159</v>
      </c>
      <c r="F2023" s="7" t="s">
        <v>9539</v>
      </c>
      <c r="G2023" s="134">
        <f t="shared" si="223"/>
        <v>1</v>
      </c>
      <c r="H2023" s="134" t="str">
        <f t="shared" si="224"/>
        <v/>
      </c>
      <c r="I2023" s="7" t="s">
        <v>158</v>
      </c>
      <c r="J2023" s="7" t="s">
        <v>2</v>
      </c>
      <c r="K2023" s="7"/>
      <c r="L2023" s="7" t="s">
        <v>167</v>
      </c>
      <c r="M2023" s="7" t="s">
        <v>5552</v>
      </c>
      <c r="N2023" s="7" t="s">
        <v>170</v>
      </c>
      <c r="O2023" s="7" t="s">
        <v>162</v>
      </c>
      <c r="P2023" s="7" t="s">
        <v>7193</v>
      </c>
      <c r="Q2023" s="129">
        <v>46199</v>
      </c>
      <c r="R2023" s="130">
        <f t="shared" si="222"/>
        <v>46203</v>
      </c>
      <c r="S2023" s="131">
        <f t="shared" si="227"/>
        <v>4</v>
      </c>
      <c r="T2023" s="7" t="s">
        <v>175</v>
      </c>
      <c r="U2023" s="7" t="s">
        <v>318</v>
      </c>
      <c r="V2023" s="7"/>
      <c r="W2023" s="7">
        <v>607.13</v>
      </c>
      <c r="X2023" s="132">
        <f t="shared" si="225"/>
        <v>10</v>
      </c>
      <c r="Y2023" s="133"/>
      <c r="Z2023" s="133"/>
      <c r="AA2023" s="133"/>
    </row>
    <row r="2024" spans="1:27" hidden="1" x14ac:dyDescent="0.25">
      <c r="A2024" s="127">
        <v>2208</v>
      </c>
      <c r="B2024" s="128" t="str">
        <f t="shared" si="226"/>
        <v>NAMS</v>
      </c>
      <c r="C2024" s="128" t="str">
        <f>+VLOOKUP(U2024,Ходим!A:B,2,0)</f>
        <v>52503015960039</v>
      </c>
      <c r="D2024" s="128" t="str">
        <f>IFERROR(VLOOKUP($B:$B,[20]свод!$A:$AB,3,0)," ")</f>
        <v>Наманган шаҳар</v>
      </c>
      <c r="E2024" s="7" t="s">
        <v>3160</v>
      </c>
      <c r="F2024" s="7" t="s">
        <v>9540</v>
      </c>
      <c r="G2024" s="134">
        <f t="shared" si="223"/>
        <v>1</v>
      </c>
      <c r="H2024" s="134" t="str">
        <f t="shared" si="224"/>
        <v/>
      </c>
      <c r="I2024" s="7" t="s">
        <v>158</v>
      </c>
      <c r="J2024" s="7" t="s">
        <v>2</v>
      </c>
      <c r="K2024" s="7"/>
      <c r="L2024" s="7" t="s">
        <v>167</v>
      </c>
      <c r="M2024" s="7" t="s">
        <v>5553</v>
      </c>
      <c r="N2024" s="7" t="s">
        <v>170</v>
      </c>
      <c r="O2024" s="7" t="s">
        <v>162</v>
      </c>
      <c r="P2024" s="7" t="s">
        <v>7194</v>
      </c>
      <c r="Q2024" s="129">
        <v>46199</v>
      </c>
      <c r="R2024" s="130">
        <f t="shared" si="222"/>
        <v>46203</v>
      </c>
      <c r="S2024" s="131">
        <f t="shared" si="227"/>
        <v>4</v>
      </c>
      <c r="T2024" s="7" t="s">
        <v>173</v>
      </c>
      <c r="U2024" s="7" t="s">
        <v>246</v>
      </c>
      <c r="V2024" s="7"/>
      <c r="W2024" s="7">
        <v>197.83</v>
      </c>
      <c r="X2024" s="132">
        <f t="shared" si="225"/>
        <v>10</v>
      </c>
      <c r="Y2024" s="133"/>
      <c r="Z2024" s="133"/>
      <c r="AA2024" s="133"/>
    </row>
    <row r="2025" spans="1:27" hidden="1" x14ac:dyDescent="0.25">
      <c r="A2025" s="127">
        <v>2209</v>
      </c>
      <c r="B2025" s="128" t="str">
        <f t="shared" si="226"/>
        <v>UCQT</v>
      </c>
      <c r="C2025" s="128" t="str">
        <f>+VLOOKUP(U2025,Ходим!A:B,2,0)</f>
        <v>32805962150027</v>
      </c>
      <c r="D2025" s="128" t="str">
        <f>IFERROR(VLOOKUP($B:$B,[20]свод!$A:$AB,3,0)," ")</f>
        <v>Учқўрғон тумани</v>
      </c>
      <c r="E2025" s="7" t="s">
        <v>3161</v>
      </c>
      <c r="F2025" s="7"/>
      <c r="G2025" s="134">
        <f t="shared" si="223"/>
        <v>1</v>
      </c>
      <c r="H2025" s="134" t="str">
        <f t="shared" si="224"/>
        <v/>
      </c>
      <c r="I2025" s="7" t="s">
        <v>154</v>
      </c>
      <c r="J2025" s="7" t="s">
        <v>13</v>
      </c>
      <c r="K2025" s="7"/>
      <c r="L2025" s="7" t="s">
        <v>167</v>
      </c>
      <c r="M2025" s="7" t="s">
        <v>5554</v>
      </c>
      <c r="N2025" s="7" t="s">
        <v>368</v>
      </c>
      <c r="O2025" s="7"/>
      <c r="P2025" s="7" t="s">
        <v>7195</v>
      </c>
      <c r="Q2025" s="129">
        <v>46199</v>
      </c>
      <c r="R2025" s="130">
        <f t="shared" si="222"/>
        <v>46205</v>
      </c>
      <c r="S2025" s="131">
        <f t="shared" si="227"/>
        <v>6</v>
      </c>
      <c r="T2025" s="7"/>
      <c r="U2025" s="7" t="s">
        <v>369</v>
      </c>
      <c r="V2025" s="7"/>
      <c r="W2025" s="7">
        <v>270.26</v>
      </c>
      <c r="X2025" s="132">
        <f t="shared" si="225"/>
        <v>5</v>
      </c>
      <c r="Y2025" s="133"/>
      <c r="Z2025" s="133"/>
      <c r="AA2025" s="133"/>
    </row>
    <row r="2026" spans="1:27" hidden="1" x14ac:dyDescent="0.25">
      <c r="A2026" s="127">
        <v>2210</v>
      </c>
      <c r="B2026" s="128" t="str">
        <f t="shared" si="226"/>
        <v>NAMS</v>
      </c>
      <c r="C2026" s="128" t="str">
        <f>+VLOOKUP(U2026,Ходим!A:B,2,0)</f>
        <v>52710005960025</v>
      </c>
      <c r="D2026" s="128" t="str">
        <f>IFERROR(VLOOKUP($B:$B,[20]свод!$A:$AB,3,0)," ")</f>
        <v>Наманган шаҳар</v>
      </c>
      <c r="E2026" s="7" t="s">
        <v>3162</v>
      </c>
      <c r="F2026" s="7" t="s">
        <v>9541</v>
      </c>
      <c r="G2026" s="134">
        <f t="shared" si="223"/>
        <v>1</v>
      </c>
      <c r="H2026" s="134" t="str">
        <f t="shared" si="224"/>
        <v/>
      </c>
      <c r="I2026" s="7" t="s">
        <v>158</v>
      </c>
      <c r="J2026" s="7" t="s">
        <v>2</v>
      </c>
      <c r="K2026" s="7"/>
      <c r="L2026" s="7" t="s">
        <v>167</v>
      </c>
      <c r="M2026" s="7" t="s">
        <v>381</v>
      </c>
      <c r="N2026" s="7" t="s">
        <v>170</v>
      </c>
      <c r="O2026" s="7" t="s">
        <v>162</v>
      </c>
      <c r="P2026" s="7" t="s">
        <v>7196</v>
      </c>
      <c r="Q2026" s="129">
        <v>46199</v>
      </c>
      <c r="R2026" s="130">
        <f t="shared" si="222"/>
        <v>46203</v>
      </c>
      <c r="S2026" s="131">
        <f t="shared" si="227"/>
        <v>4</v>
      </c>
      <c r="T2026" s="7" t="s">
        <v>173</v>
      </c>
      <c r="U2026" s="7" t="s">
        <v>274</v>
      </c>
      <c r="V2026" s="7"/>
      <c r="W2026" s="7">
        <v>0</v>
      </c>
      <c r="X2026" s="132">
        <f t="shared" si="225"/>
        <v>10</v>
      </c>
      <c r="Y2026" s="133"/>
      <c r="Z2026" s="133"/>
      <c r="AA2026" s="133"/>
    </row>
    <row r="2027" spans="1:27" hidden="1" x14ac:dyDescent="0.25">
      <c r="A2027" s="127">
        <v>2211</v>
      </c>
      <c r="B2027" s="128" t="str">
        <f t="shared" si="226"/>
        <v>NAMS</v>
      </c>
      <c r="C2027" s="128">
        <f>+VLOOKUP(U2027,Ходим!A:B,2,0)</f>
        <v>52004005950071</v>
      </c>
      <c r="D2027" s="128" t="str">
        <f>IFERROR(VLOOKUP($B:$B,[20]свод!$A:$AB,3,0)," ")</f>
        <v>Наманган шаҳар</v>
      </c>
      <c r="E2027" s="7" t="s">
        <v>3163</v>
      </c>
      <c r="F2027" s="7" t="s">
        <v>9542</v>
      </c>
      <c r="G2027" s="134">
        <f t="shared" si="223"/>
        <v>1</v>
      </c>
      <c r="H2027" s="134" t="str">
        <f t="shared" si="224"/>
        <v/>
      </c>
      <c r="I2027" s="7" t="s">
        <v>158</v>
      </c>
      <c r="J2027" s="7" t="s">
        <v>2</v>
      </c>
      <c r="K2027" s="7"/>
      <c r="L2027" s="7"/>
      <c r="M2027" s="7"/>
      <c r="N2027" s="7" t="s">
        <v>170</v>
      </c>
      <c r="O2027" s="7" t="s">
        <v>162</v>
      </c>
      <c r="P2027" s="7" t="s">
        <v>7197</v>
      </c>
      <c r="Q2027" s="129">
        <v>46199</v>
      </c>
      <c r="R2027" s="130">
        <f t="shared" si="222"/>
        <v>46203</v>
      </c>
      <c r="S2027" s="131">
        <f t="shared" si="227"/>
        <v>4</v>
      </c>
      <c r="T2027" s="7" t="s">
        <v>173</v>
      </c>
      <c r="U2027" s="7" t="s">
        <v>1015</v>
      </c>
      <c r="V2027" s="7"/>
      <c r="W2027" s="7"/>
      <c r="X2027" s="132">
        <f t="shared" si="225"/>
        <v>10</v>
      </c>
      <c r="Y2027" s="133"/>
      <c r="Z2027" s="133"/>
      <c r="AA2027" s="133"/>
    </row>
    <row r="2028" spans="1:27" hidden="1" x14ac:dyDescent="0.25">
      <c r="A2028" s="127">
        <v>2212</v>
      </c>
      <c r="B2028" s="128" t="str">
        <f t="shared" si="226"/>
        <v>POPT</v>
      </c>
      <c r="C2028" s="128" t="str">
        <f>+VLOOKUP(U2028,Ходим!A:B,2,0)</f>
        <v>33107902120019</v>
      </c>
      <c r="D2028" s="128" t="str">
        <f>IFERROR(VLOOKUP($B:$B,[20]свод!$A:$AB,3,0)," ")</f>
        <v>Поп тумани</v>
      </c>
      <c r="E2028" s="7" t="s">
        <v>3164</v>
      </c>
      <c r="F2028" s="7" t="s">
        <v>9543</v>
      </c>
      <c r="G2028" s="134">
        <f t="shared" si="223"/>
        <v>1</v>
      </c>
      <c r="H2028" s="134" t="str">
        <f t="shared" si="224"/>
        <v/>
      </c>
      <c r="I2028" s="7" t="s">
        <v>158</v>
      </c>
      <c r="J2028" s="7" t="s">
        <v>2</v>
      </c>
      <c r="K2028" s="7"/>
      <c r="L2028" s="7" t="s">
        <v>167</v>
      </c>
      <c r="M2028" s="7" t="s">
        <v>5555</v>
      </c>
      <c r="N2028" s="7" t="s">
        <v>170</v>
      </c>
      <c r="O2028" s="7" t="s">
        <v>162</v>
      </c>
      <c r="P2028" s="7" t="s">
        <v>7198</v>
      </c>
      <c r="Q2028" s="129">
        <v>46199</v>
      </c>
      <c r="R2028" s="130">
        <f t="shared" si="222"/>
        <v>46203</v>
      </c>
      <c r="S2028" s="131">
        <f t="shared" si="227"/>
        <v>4</v>
      </c>
      <c r="T2028" s="7" t="s">
        <v>214</v>
      </c>
      <c r="U2028" s="7" t="s">
        <v>224</v>
      </c>
      <c r="V2028" s="7"/>
      <c r="W2028" s="7">
        <v>16.559999999999999</v>
      </c>
      <c r="X2028" s="132">
        <f t="shared" si="225"/>
        <v>10</v>
      </c>
      <c r="Y2028" s="133"/>
      <c r="Z2028" s="133"/>
      <c r="AA2028" s="133"/>
    </row>
    <row r="2029" spans="1:27" hidden="1" x14ac:dyDescent="0.25">
      <c r="A2029" s="127">
        <v>2213</v>
      </c>
      <c r="B2029" s="128" t="str">
        <f t="shared" si="226"/>
        <v>CHUT</v>
      </c>
      <c r="C2029" s="128" t="str">
        <f>+VLOOKUP(U2029,Ходим!A:B,2,0)</f>
        <v>31910975970049</v>
      </c>
      <c r="D2029" s="128" t="str">
        <f>IFERROR(VLOOKUP($B:$B,[20]свод!$A:$AB,3,0)," ")</f>
        <v>Чуст тумани</v>
      </c>
      <c r="E2029" s="7" t="s">
        <v>3165</v>
      </c>
      <c r="F2029" s="7" t="s">
        <v>9544</v>
      </c>
      <c r="G2029" s="134">
        <f t="shared" si="223"/>
        <v>1</v>
      </c>
      <c r="H2029" s="134" t="str">
        <f t="shared" si="224"/>
        <v/>
      </c>
      <c r="I2029" s="7" t="s">
        <v>158</v>
      </c>
      <c r="J2029" s="7" t="s">
        <v>2</v>
      </c>
      <c r="K2029" s="7"/>
      <c r="L2029" s="7" t="s">
        <v>167</v>
      </c>
      <c r="M2029" s="7" t="s">
        <v>5556</v>
      </c>
      <c r="N2029" s="7" t="s">
        <v>170</v>
      </c>
      <c r="O2029" s="7" t="s">
        <v>162</v>
      </c>
      <c r="P2029" s="7" t="s">
        <v>7199</v>
      </c>
      <c r="Q2029" s="129">
        <v>46199</v>
      </c>
      <c r="R2029" s="130">
        <f t="shared" si="222"/>
        <v>46203</v>
      </c>
      <c r="S2029" s="131">
        <f t="shared" si="227"/>
        <v>4</v>
      </c>
      <c r="T2029" s="7" t="s">
        <v>178</v>
      </c>
      <c r="U2029" s="7" t="s">
        <v>352</v>
      </c>
      <c r="V2029" s="7"/>
      <c r="W2029" s="7">
        <v>257</v>
      </c>
      <c r="X2029" s="132">
        <f t="shared" si="225"/>
        <v>10</v>
      </c>
      <c r="Y2029" s="133"/>
      <c r="Z2029" s="133"/>
      <c r="AA2029" s="133"/>
    </row>
    <row r="2030" spans="1:27" hidden="1" x14ac:dyDescent="0.25">
      <c r="A2030" s="127">
        <v>2214</v>
      </c>
      <c r="B2030" s="128" t="str">
        <f t="shared" si="226"/>
        <v>NAMT</v>
      </c>
      <c r="C2030" s="128" t="str">
        <f>+VLOOKUP(U2030,Ходим!A:B,2,0)</f>
        <v>31702942090041</v>
      </c>
      <c r="D2030" s="128" t="str">
        <f>IFERROR(VLOOKUP($B:$B,[20]свод!$A:$AB,3,0)," ")</f>
        <v>Наманган тумани</v>
      </c>
      <c r="E2030" s="7" t="s">
        <v>3166</v>
      </c>
      <c r="F2030" s="7" t="s">
        <v>9545</v>
      </c>
      <c r="G2030" s="134">
        <f t="shared" si="223"/>
        <v>1</v>
      </c>
      <c r="H2030" s="134" t="str">
        <f t="shared" si="224"/>
        <v/>
      </c>
      <c r="I2030" s="7" t="s">
        <v>158</v>
      </c>
      <c r="J2030" s="7" t="s">
        <v>13</v>
      </c>
      <c r="K2030" s="7"/>
      <c r="L2030" s="7" t="s">
        <v>167</v>
      </c>
      <c r="M2030" s="7" t="s">
        <v>5557</v>
      </c>
      <c r="N2030" s="7" t="s">
        <v>170</v>
      </c>
      <c r="O2030" s="7" t="s">
        <v>162</v>
      </c>
      <c r="P2030" s="7" t="s">
        <v>7199</v>
      </c>
      <c r="Q2030" s="129">
        <v>46199</v>
      </c>
      <c r="R2030" s="130">
        <f t="shared" si="222"/>
        <v>46203</v>
      </c>
      <c r="S2030" s="131">
        <f t="shared" si="227"/>
        <v>4</v>
      </c>
      <c r="T2030" s="7" t="s">
        <v>197</v>
      </c>
      <c r="U2030" s="7" t="s">
        <v>194</v>
      </c>
      <c r="V2030" s="7"/>
      <c r="W2030" s="7">
        <v>261.10000000000002</v>
      </c>
      <c r="X2030" s="132">
        <f t="shared" si="225"/>
        <v>10</v>
      </c>
      <c r="Y2030" s="133"/>
      <c r="Z2030" s="133"/>
      <c r="AA2030" s="133"/>
    </row>
    <row r="2031" spans="1:27" hidden="1" x14ac:dyDescent="0.25">
      <c r="A2031" s="127">
        <v>2215</v>
      </c>
      <c r="B2031" s="128" t="str">
        <f t="shared" si="226"/>
        <v>NAMS</v>
      </c>
      <c r="C2031" s="128">
        <f>+VLOOKUP(U2031,Ходим!A:B,2,0)</f>
        <v>51003005980014</v>
      </c>
      <c r="D2031" s="128" t="str">
        <f>IFERROR(VLOOKUP($B:$B,[20]свод!$A:$AB,3,0)," ")</f>
        <v>Наманган шаҳар</v>
      </c>
      <c r="E2031" s="7" t="s">
        <v>3167</v>
      </c>
      <c r="F2031" s="7" t="s">
        <v>9546</v>
      </c>
      <c r="G2031" s="134">
        <f t="shared" si="223"/>
        <v>1</v>
      </c>
      <c r="H2031" s="134" t="str">
        <f t="shared" si="224"/>
        <v/>
      </c>
      <c r="I2031" s="7" t="s">
        <v>158</v>
      </c>
      <c r="J2031" s="7" t="s">
        <v>13</v>
      </c>
      <c r="K2031" s="7"/>
      <c r="L2031" s="7" t="s">
        <v>167</v>
      </c>
      <c r="M2031" s="7" t="s">
        <v>5558</v>
      </c>
      <c r="N2031" s="7" t="s">
        <v>170</v>
      </c>
      <c r="O2031" s="7" t="s">
        <v>162</v>
      </c>
      <c r="P2031" s="7" t="s">
        <v>7200</v>
      </c>
      <c r="Q2031" s="129">
        <v>46199</v>
      </c>
      <c r="R2031" s="130">
        <f t="shared" si="222"/>
        <v>46203</v>
      </c>
      <c r="S2031" s="131">
        <f t="shared" si="227"/>
        <v>4</v>
      </c>
      <c r="T2031" s="7" t="s">
        <v>185</v>
      </c>
      <c r="U2031" s="7" t="s">
        <v>949</v>
      </c>
      <c r="V2031" s="7"/>
      <c r="W2031" s="7">
        <v>81.66</v>
      </c>
      <c r="X2031" s="132">
        <f t="shared" si="225"/>
        <v>10</v>
      </c>
      <c r="Y2031" s="133"/>
      <c r="Z2031" s="133"/>
      <c r="AA2031" s="133"/>
    </row>
    <row r="2032" spans="1:27" hidden="1" x14ac:dyDescent="0.25">
      <c r="A2032" s="127">
        <v>2216</v>
      </c>
      <c r="B2032" s="128" t="str">
        <f t="shared" si="226"/>
        <v>KSST</v>
      </c>
      <c r="C2032" s="128" t="str">
        <f>+VLOOKUP(U2032,Ходим!A:B,2,0)</f>
        <v>31204985980041</v>
      </c>
      <c r="D2032" s="128" t="str">
        <f>IFERROR(VLOOKUP($B:$B,[20]свод!$A:$AB,3,0)," ")</f>
        <v>Косонсой тумани</v>
      </c>
      <c r="E2032" s="7" t="s">
        <v>3168</v>
      </c>
      <c r="F2032" s="7" t="s">
        <v>9547</v>
      </c>
      <c r="G2032" s="134">
        <f t="shared" si="223"/>
        <v>1</v>
      </c>
      <c r="H2032" s="134" t="str">
        <f t="shared" si="224"/>
        <v/>
      </c>
      <c r="I2032" s="7" t="s">
        <v>158</v>
      </c>
      <c r="J2032" s="7" t="s">
        <v>2</v>
      </c>
      <c r="K2032" s="7"/>
      <c r="L2032" s="7" t="s">
        <v>167</v>
      </c>
      <c r="M2032" s="7" t="s">
        <v>5559</v>
      </c>
      <c r="N2032" s="7" t="s">
        <v>170</v>
      </c>
      <c r="O2032" s="7" t="s">
        <v>162</v>
      </c>
      <c r="P2032" s="7" t="s">
        <v>7201</v>
      </c>
      <c r="Q2032" s="129">
        <v>46199</v>
      </c>
      <c r="R2032" s="130">
        <f t="shared" si="222"/>
        <v>46203</v>
      </c>
      <c r="S2032" s="131">
        <f t="shared" si="227"/>
        <v>4</v>
      </c>
      <c r="T2032" s="7" t="s">
        <v>180</v>
      </c>
      <c r="U2032" s="7" t="s">
        <v>236</v>
      </c>
      <c r="V2032" s="7"/>
      <c r="W2032" s="7">
        <v>519.54</v>
      </c>
      <c r="X2032" s="132">
        <f t="shared" si="225"/>
        <v>10</v>
      </c>
      <c r="Y2032" s="133"/>
      <c r="Z2032" s="133"/>
      <c r="AA2032" s="133"/>
    </row>
    <row r="2033" spans="1:27" hidden="1" x14ac:dyDescent="0.25">
      <c r="A2033" s="127">
        <v>2217</v>
      </c>
      <c r="B2033" s="128" t="str">
        <f t="shared" si="226"/>
        <v>MINT</v>
      </c>
      <c r="C2033" s="128" t="str">
        <f>+VLOOKUP(U2033,Ходим!A:B,2,0)</f>
        <v>31802912200033</v>
      </c>
      <c r="D2033" s="128" t="str">
        <f>IFERROR(VLOOKUP($B:$B,[20]свод!$A:$AB,3,0)," ")</f>
        <v>Мингбулоқ тумани</v>
      </c>
      <c r="E2033" s="7" t="s">
        <v>3169</v>
      </c>
      <c r="F2033" s="7" t="s">
        <v>9548</v>
      </c>
      <c r="G2033" s="134">
        <f t="shared" si="223"/>
        <v>1</v>
      </c>
      <c r="H2033" s="134" t="str">
        <f t="shared" si="224"/>
        <v/>
      </c>
      <c r="I2033" s="7" t="s">
        <v>158</v>
      </c>
      <c r="J2033" s="7" t="s">
        <v>2</v>
      </c>
      <c r="K2033" s="7"/>
      <c r="L2033" s="7" t="s">
        <v>167</v>
      </c>
      <c r="M2033" s="7" t="s">
        <v>5560</v>
      </c>
      <c r="N2033" s="7" t="s">
        <v>170</v>
      </c>
      <c r="O2033" s="7" t="s">
        <v>162</v>
      </c>
      <c r="P2033" s="7" t="s">
        <v>7201</v>
      </c>
      <c r="Q2033" s="129">
        <v>46199</v>
      </c>
      <c r="R2033" s="130">
        <f t="shared" si="222"/>
        <v>46203</v>
      </c>
      <c r="S2033" s="131">
        <f t="shared" si="227"/>
        <v>4</v>
      </c>
      <c r="T2033" s="7" t="s">
        <v>220</v>
      </c>
      <c r="U2033" s="7" t="s">
        <v>225</v>
      </c>
      <c r="V2033" s="7"/>
      <c r="W2033" s="7">
        <v>139.69999999999999</v>
      </c>
      <c r="X2033" s="132">
        <f t="shared" si="225"/>
        <v>10</v>
      </c>
      <c r="Y2033" s="133"/>
      <c r="Z2033" s="133"/>
      <c r="AA2033" s="133"/>
    </row>
    <row r="2034" spans="1:27" hidden="1" x14ac:dyDescent="0.25">
      <c r="A2034" s="127">
        <v>2218</v>
      </c>
      <c r="B2034" s="128" t="str">
        <f t="shared" si="226"/>
        <v>NAMT</v>
      </c>
      <c r="C2034" s="128" t="str">
        <f>+VLOOKUP(U2034,Ходим!A:B,2,0)</f>
        <v>32610955880027</v>
      </c>
      <c r="D2034" s="128" t="str">
        <f>IFERROR(VLOOKUP($B:$B,[20]свод!$A:$AB,3,0)," ")</f>
        <v>Наманган тумани</v>
      </c>
      <c r="E2034" s="7" t="s">
        <v>3170</v>
      </c>
      <c r="F2034" s="7" t="s">
        <v>9549</v>
      </c>
      <c r="G2034" s="134">
        <f t="shared" si="223"/>
        <v>1</v>
      </c>
      <c r="H2034" s="134" t="str">
        <f t="shared" si="224"/>
        <v/>
      </c>
      <c r="I2034" s="7" t="s">
        <v>158</v>
      </c>
      <c r="J2034" s="7" t="s">
        <v>2</v>
      </c>
      <c r="K2034" s="7"/>
      <c r="L2034" s="7" t="s">
        <v>167</v>
      </c>
      <c r="M2034" s="7" t="s">
        <v>5561</v>
      </c>
      <c r="N2034" s="7" t="s">
        <v>410</v>
      </c>
      <c r="O2034" s="7" t="s">
        <v>162</v>
      </c>
      <c r="P2034" s="7" t="s">
        <v>7202</v>
      </c>
      <c r="Q2034" s="129">
        <v>46199</v>
      </c>
      <c r="R2034" s="130">
        <f t="shared" si="222"/>
        <v>46203</v>
      </c>
      <c r="S2034" s="131">
        <f t="shared" si="227"/>
        <v>4</v>
      </c>
      <c r="T2034" s="7" t="s">
        <v>193</v>
      </c>
      <c r="U2034" s="7" t="s">
        <v>288</v>
      </c>
      <c r="V2034" s="7"/>
      <c r="W2034" s="7">
        <v>172.02</v>
      </c>
      <c r="X2034" s="132">
        <f t="shared" si="225"/>
        <v>10</v>
      </c>
      <c r="Y2034" s="133"/>
      <c r="Z2034" s="133"/>
      <c r="AA2034" s="133"/>
    </row>
    <row r="2035" spans="1:27" hidden="1" x14ac:dyDescent="0.25">
      <c r="A2035" s="127">
        <v>2219</v>
      </c>
      <c r="B2035" s="128" t="str">
        <f t="shared" si="226"/>
        <v>NAMT</v>
      </c>
      <c r="C2035" s="128">
        <f>+VLOOKUP(U2035,Ходим!A:B,2,0)</f>
        <v>32712932090068</v>
      </c>
      <c r="D2035" s="128" t="str">
        <f>IFERROR(VLOOKUP($B:$B,[20]свод!$A:$AB,3,0)," ")</f>
        <v>Наманган тумани</v>
      </c>
      <c r="E2035" s="7" t="s">
        <v>3171</v>
      </c>
      <c r="F2035" s="7" t="s">
        <v>9550</v>
      </c>
      <c r="G2035" s="134">
        <f t="shared" si="223"/>
        <v>1</v>
      </c>
      <c r="H2035" s="134" t="str">
        <f t="shared" si="224"/>
        <v/>
      </c>
      <c r="I2035" s="7" t="s">
        <v>158</v>
      </c>
      <c r="J2035" s="7" t="s">
        <v>13</v>
      </c>
      <c r="K2035" s="7"/>
      <c r="L2035" s="7" t="s">
        <v>167</v>
      </c>
      <c r="M2035" s="7" t="s">
        <v>5562</v>
      </c>
      <c r="N2035" s="7" t="s">
        <v>410</v>
      </c>
      <c r="O2035" s="7" t="s">
        <v>162</v>
      </c>
      <c r="P2035" s="7" t="s">
        <v>7202</v>
      </c>
      <c r="Q2035" s="129">
        <v>46199</v>
      </c>
      <c r="R2035" s="130">
        <f t="shared" si="222"/>
        <v>46203</v>
      </c>
      <c r="S2035" s="131">
        <f t="shared" si="227"/>
        <v>4</v>
      </c>
      <c r="T2035" s="7" t="s">
        <v>197</v>
      </c>
      <c r="U2035" s="7" t="s">
        <v>1016</v>
      </c>
      <c r="V2035" s="7"/>
      <c r="W2035" s="7">
        <v>303</v>
      </c>
      <c r="X2035" s="132">
        <f t="shared" si="225"/>
        <v>10</v>
      </c>
      <c r="Y2035" s="133"/>
      <c r="Z2035" s="133"/>
      <c r="AA2035" s="133"/>
    </row>
    <row r="2036" spans="1:27" hidden="1" x14ac:dyDescent="0.25">
      <c r="A2036" s="127">
        <v>2220</v>
      </c>
      <c r="B2036" s="128" t="str">
        <f t="shared" si="226"/>
        <v>NAMT</v>
      </c>
      <c r="C2036" s="128" t="str">
        <f>+VLOOKUP(U2036,Ходим!A:B,2,0)</f>
        <v>32204892090133</v>
      </c>
      <c r="D2036" s="128" t="str">
        <f>IFERROR(VLOOKUP($B:$B,[20]свод!$A:$AB,3,0)," ")</f>
        <v>Наманган тумани</v>
      </c>
      <c r="E2036" s="7" t="s">
        <v>3172</v>
      </c>
      <c r="F2036" s="7" t="s">
        <v>9551</v>
      </c>
      <c r="G2036" s="134">
        <f t="shared" si="223"/>
        <v>1</v>
      </c>
      <c r="H2036" s="134" t="str">
        <f t="shared" si="224"/>
        <v/>
      </c>
      <c r="I2036" s="7" t="s">
        <v>158</v>
      </c>
      <c r="J2036" s="7" t="s">
        <v>2</v>
      </c>
      <c r="K2036" s="7"/>
      <c r="L2036" s="7" t="s">
        <v>167</v>
      </c>
      <c r="M2036" s="7" t="s">
        <v>5563</v>
      </c>
      <c r="N2036" s="7" t="s">
        <v>170</v>
      </c>
      <c r="O2036" s="7" t="s">
        <v>162</v>
      </c>
      <c r="P2036" s="7" t="s">
        <v>7202</v>
      </c>
      <c r="Q2036" s="129">
        <v>46199</v>
      </c>
      <c r="R2036" s="130">
        <f t="shared" si="222"/>
        <v>46203</v>
      </c>
      <c r="S2036" s="131">
        <f t="shared" si="227"/>
        <v>4</v>
      </c>
      <c r="T2036" s="7" t="s">
        <v>197</v>
      </c>
      <c r="U2036" s="7" t="s">
        <v>198</v>
      </c>
      <c r="V2036" s="7"/>
      <c r="W2036" s="7">
        <v>319.39</v>
      </c>
      <c r="X2036" s="132">
        <f t="shared" si="225"/>
        <v>10</v>
      </c>
      <c r="Y2036" s="133"/>
      <c r="Z2036" s="133"/>
      <c r="AA2036" s="133"/>
    </row>
    <row r="2037" spans="1:27" hidden="1" x14ac:dyDescent="0.25">
      <c r="A2037" s="127">
        <v>2222</v>
      </c>
      <c r="B2037" s="128" t="str">
        <f t="shared" si="226"/>
        <v>KSST</v>
      </c>
      <c r="C2037" s="128" t="str">
        <f>+VLOOKUP(U2037,Ходим!A:B,2,0)</f>
        <v>31611995980026</v>
      </c>
      <c r="D2037" s="128" t="str">
        <f>IFERROR(VLOOKUP($B:$B,[20]свод!$A:$AB,3,0)," ")</f>
        <v>Косонсой тумани</v>
      </c>
      <c r="E2037" s="7" t="s">
        <v>3173</v>
      </c>
      <c r="F2037" s="7" t="s">
        <v>9552</v>
      </c>
      <c r="G2037" s="134">
        <f t="shared" si="223"/>
        <v>1</v>
      </c>
      <c r="H2037" s="134" t="str">
        <f t="shared" si="224"/>
        <v/>
      </c>
      <c r="I2037" s="7" t="s">
        <v>158</v>
      </c>
      <c r="J2037" s="7" t="s">
        <v>13</v>
      </c>
      <c r="K2037" s="7"/>
      <c r="L2037" s="7" t="s">
        <v>167</v>
      </c>
      <c r="M2037" s="7" t="s">
        <v>5564</v>
      </c>
      <c r="N2037" s="7" t="s">
        <v>170</v>
      </c>
      <c r="O2037" s="7" t="s">
        <v>162</v>
      </c>
      <c r="P2037" s="7" t="s">
        <v>7022</v>
      </c>
      <c r="Q2037" s="129">
        <v>46199</v>
      </c>
      <c r="R2037" s="130">
        <f t="shared" si="222"/>
        <v>46202</v>
      </c>
      <c r="S2037" s="131">
        <f t="shared" si="227"/>
        <v>3</v>
      </c>
      <c r="T2037" s="7" t="s">
        <v>180</v>
      </c>
      <c r="U2037" s="7" t="s">
        <v>181</v>
      </c>
      <c r="V2037" s="7"/>
      <c r="W2037" s="7">
        <v>190.5</v>
      </c>
      <c r="X2037" s="132">
        <f t="shared" si="225"/>
        <v>10</v>
      </c>
      <c r="Y2037" s="133"/>
      <c r="Z2037" s="133"/>
      <c r="AA2037" s="133"/>
    </row>
    <row r="2038" spans="1:27" hidden="1" x14ac:dyDescent="0.25">
      <c r="A2038" s="127">
        <v>2223</v>
      </c>
      <c r="B2038" s="128" t="str">
        <f t="shared" si="226"/>
        <v>UYCT</v>
      </c>
      <c r="C2038" s="128" t="str">
        <f>+VLOOKUP(U2038,Ходим!A:B,2,0)</f>
        <v>32906985930035</v>
      </c>
      <c r="D2038" s="128" t="str">
        <f>IFERROR(VLOOKUP($B:$B,[20]свод!$A:$AB,3,0)," ")</f>
        <v>Уйчи тумани</v>
      </c>
      <c r="E2038" s="7" t="s">
        <v>3174</v>
      </c>
      <c r="F2038" s="7" t="s">
        <v>9553</v>
      </c>
      <c r="G2038" s="134">
        <f t="shared" si="223"/>
        <v>1</v>
      </c>
      <c r="H2038" s="134" t="str">
        <f t="shared" si="224"/>
        <v/>
      </c>
      <c r="I2038" s="7" t="s">
        <v>158</v>
      </c>
      <c r="J2038" s="7" t="s">
        <v>2</v>
      </c>
      <c r="K2038" s="7"/>
      <c r="L2038" s="7" t="s">
        <v>167</v>
      </c>
      <c r="M2038" s="7" t="s">
        <v>5565</v>
      </c>
      <c r="N2038" s="7" t="s">
        <v>170</v>
      </c>
      <c r="O2038" s="7" t="s">
        <v>162</v>
      </c>
      <c r="P2038" s="7" t="s">
        <v>7203</v>
      </c>
      <c r="Q2038" s="129">
        <v>46199</v>
      </c>
      <c r="R2038" s="130">
        <f t="shared" si="222"/>
        <v>46203</v>
      </c>
      <c r="S2038" s="131">
        <f t="shared" si="227"/>
        <v>4</v>
      </c>
      <c r="T2038" s="7" t="s">
        <v>379</v>
      </c>
      <c r="U2038" s="7" t="s">
        <v>257</v>
      </c>
      <c r="V2038" s="7"/>
      <c r="W2038" s="7">
        <v>289.10000000000002</v>
      </c>
      <c r="X2038" s="132">
        <f t="shared" si="225"/>
        <v>10</v>
      </c>
      <c r="Y2038" s="133"/>
      <c r="Z2038" s="133"/>
      <c r="AA2038" s="133"/>
    </row>
    <row r="2039" spans="1:27" hidden="1" x14ac:dyDescent="0.25">
      <c r="A2039" s="127">
        <v>2224</v>
      </c>
      <c r="B2039" s="128" t="str">
        <f t="shared" si="226"/>
        <v>CHUT</v>
      </c>
      <c r="C2039" s="128" t="str">
        <f>+VLOOKUP(U2039,Ходим!A:B,2,0)</f>
        <v>30202885970013</v>
      </c>
      <c r="D2039" s="128" t="str">
        <f>IFERROR(VLOOKUP($B:$B,[20]свод!$A:$AB,3,0)," ")</f>
        <v>Чуст тумани</v>
      </c>
      <c r="E2039" s="7" t="s">
        <v>3175</v>
      </c>
      <c r="F2039" s="7" t="s">
        <v>9554</v>
      </c>
      <c r="G2039" s="134">
        <f t="shared" si="223"/>
        <v>1</v>
      </c>
      <c r="H2039" s="134" t="str">
        <f t="shared" si="224"/>
        <v/>
      </c>
      <c r="I2039" s="7" t="s">
        <v>158</v>
      </c>
      <c r="J2039" s="7" t="s">
        <v>172</v>
      </c>
      <c r="K2039" s="7"/>
      <c r="L2039" s="7" t="s">
        <v>167</v>
      </c>
      <c r="M2039" s="7" t="s">
        <v>5566</v>
      </c>
      <c r="N2039" s="7" t="s">
        <v>170</v>
      </c>
      <c r="O2039" s="7" t="s">
        <v>162</v>
      </c>
      <c r="P2039" s="7" t="s">
        <v>7203</v>
      </c>
      <c r="Q2039" s="129">
        <v>46199</v>
      </c>
      <c r="R2039" s="130">
        <f t="shared" si="222"/>
        <v>46203</v>
      </c>
      <c r="S2039" s="131">
        <f t="shared" si="227"/>
        <v>4</v>
      </c>
      <c r="T2039" s="7" t="s">
        <v>178</v>
      </c>
      <c r="U2039" s="7" t="s">
        <v>289</v>
      </c>
      <c r="V2039" s="7"/>
      <c r="W2039" s="7">
        <v>174.22</v>
      </c>
      <c r="X2039" s="132">
        <f t="shared" si="225"/>
        <v>10</v>
      </c>
      <c r="Y2039" s="133"/>
      <c r="Z2039" s="133"/>
      <c r="AA2039" s="133"/>
    </row>
    <row r="2040" spans="1:27" hidden="1" x14ac:dyDescent="0.25">
      <c r="A2040" s="127">
        <v>2225</v>
      </c>
      <c r="B2040" s="128" t="str">
        <f t="shared" si="226"/>
        <v>NAMS</v>
      </c>
      <c r="C2040" s="128" t="str">
        <f>+VLOOKUP(U2040,Ходим!A:B,2,0)</f>
        <v>30302965960014</v>
      </c>
      <c r="D2040" s="128" t="str">
        <f>IFERROR(VLOOKUP($B:$B,[20]свод!$A:$AB,3,0)," ")</f>
        <v>Наманган шаҳар</v>
      </c>
      <c r="E2040" s="7" t="s">
        <v>3176</v>
      </c>
      <c r="F2040" s="7" t="s">
        <v>9555</v>
      </c>
      <c r="G2040" s="134">
        <f t="shared" si="223"/>
        <v>1</v>
      </c>
      <c r="H2040" s="134" t="str">
        <f t="shared" si="224"/>
        <v/>
      </c>
      <c r="I2040" s="7" t="s">
        <v>158</v>
      </c>
      <c r="J2040" s="7" t="s">
        <v>134</v>
      </c>
      <c r="K2040" s="7"/>
      <c r="L2040" s="7"/>
      <c r="M2040" s="7"/>
      <c r="N2040" s="7" t="s">
        <v>170</v>
      </c>
      <c r="O2040" s="7" t="s">
        <v>162</v>
      </c>
      <c r="P2040" s="7" t="s">
        <v>6307</v>
      </c>
      <c r="Q2040" s="129">
        <v>46199</v>
      </c>
      <c r="R2040" s="130">
        <f t="shared" si="222"/>
        <v>46210</v>
      </c>
      <c r="S2040" s="131">
        <f t="shared" si="227"/>
        <v>11</v>
      </c>
      <c r="T2040" s="7" t="s">
        <v>173</v>
      </c>
      <c r="U2040" s="7" t="s">
        <v>304</v>
      </c>
      <c r="V2040" s="7"/>
      <c r="W2040" s="7"/>
      <c r="X2040" s="132">
        <f t="shared" si="225"/>
        <v>10</v>
      </c>
      <c r="Y2040" s="133"/>
      <c r="Z2040" s="133"/>
      <c r="AA2040" s="133"/>
    </row>
    <row r="2041" spans="1:27" x14ac:dyDescent="0.25">
      <c r="A2041" s="127">
        <v>2226</v>
      </c>
      <c r="B2041" s="128" t="str">
        <f t="shared" si="226"/>
        <v>UYCT</v>
      </c>
      <c r="C2041" s="128" t="str">
        <f>+VLOOKUP(U2041,Ходим!A:B,2,0)</f>
        <v>52009025890053</v>
      </c>
      <c r="D2041" s="128" t="str">
        <f>IFERROR(VLOOKUP($B:$B,[20]свод!$A:$AB,3,0)," ")</f>
        <v>Уйчи тумани</v>
      </c>
      <c r="E2041" s="7" t="s">
        <v>3177</v>
      </c>
      <c r="F2041" s="7" t="s">
        <v>9556</v>
      </c>
      <c r="G2041" s="134">
        <f t="shared" si="223"/>
        <v>1</v>
      </c>
      <c r="H2041" s="134" t="str">
        <f t="shared" si="224"/>
        <v/>
      </c>
      <c r="I2041" s="7" t="s">
        <v>158</v>
      </c>
      <c r="J2041" s="7" t="s">
        <v>35</v>
      </c>
      <c r="K2041" s="7"/>
      <c r="L2041" s="7" t="s">
        <v>167</v>
      </c>
      <c r="M2041" s="7" t="s">
        <v>5567</v>
      </c>
      <c r="N2041" s="7" t="s">
        <v>170</v>
      </c>
      <c r="O2041" s="7" t="s">
        <v>162</v>
      </c>
      <c r="P2041" s="7" t="s">
        <v>7204</v>
      </c>
      <c r="Q2041" s="129">
        <v>46199</v>
      </c>
      <c r="R2041" s="130">
        <f t="shared" si="222"/>
        <v>46199</v>
      </c>
      <c r="S2041" s="131">
        <f t="shared" si="227"/>
        <v>0</v>
      </c>
      <c r="T2041" s="7" t="s">
        <v>947</v>
      </c>
      <c r="U2041" s="7" t="s">
        <v>407</v>
      </c>
      <c r="V2041" s="7"/>
      <c r="W2041" s="7">
        <v>178</v>
      </c>
      <c r="X2041" s="132">
        <f t="shared" si="225"/>
        <v>10</v>
      </c>
      <c r="Y2041" s="133"/>
      <c r="Z2041" s="133"/>
      <c r="AA2041" s="133"/>
    </row>
    <row r="2042" spans="1:27" hidden="1" x14ac:dyDescent="0.25">
      <c r="A2042" s="127">
        <v>2227</v>
      </c>
      <c r="B2042" s="128" t="str">
        <f t="shared" si="226"/>
        <v>NAMS</v>
      </c>
      <c r="C2042" s="128">
        <f>+VLOOKUP(U2042,Ходим!A:B,2,0)</f>
        <v>51003005980014</v>
      </c>
      <c r="D2042" s="128" t="str">
        <f>IFERROR(VLOOKUP($B:$B,[20]свод!$A:$AB,3,0)," ")</f>
        <v>Наманган шаҳар</v>
      </c>
      <c r="E2042" s="7" t="s">
        <v>3178</v>
      </c>
      <c r="F2042" s="7" t="s">
        <v>9557</v>
      </c>
      <c r="G2042" s="134">
        <f t="shared" si="223"/>
        <v>1</v>
      </c>
      <c r="H2042" s="134" t="str">
        <f t="shared" si="224"/>
        <v/>
      </c>
      <c r="I2042" s="7" t="s">
        <v>158</v>
      </c>
      <c r="J2042" s="7" t="s">
        <v>13</v>
      </c>
      <c r="K2042" s="7"/>
      <c r="L2042" s="7" t="s">
        <v>167</v>
      </c>
      <c r="M2042" s="7" t="s">
        <v>5568</v>
      </c>
      <c r="N2042" s="7" t="s">
        <v>410</v>
      </c>
      <c r="O2042" s="7" t="s">
        <v>162</v>
      </c>
      <c r="P2042" s="7" t="s">
        <v>7205</v>
      </c>
      <c r="Q2042" s="129">
        <v>46199</v>
      </c>
      <c r="R2042" s="130">
        <f t="shared" si="222"/>
        <v>46203</v>
      </c>
      <c r="S2042" s="131">
        <f t="shared" si="227"/>
        <v>4</v>
      </c>
      <c r="T2042" s="7" t="s">
        <v>185</v>
      </c>
      <c r="U2042" s="7" t="s">
        <v>949</v>
      </c>
      <c r="V2042" s="7"/>
      <c r="W2042" s="7">
        <v>32.56</v>
      </c>
      <c r="X2042" s="132">
        <f t="shared" si="225"/>
        <v>10</v>
      </c>
      <c r="Y2042" s="133"/>
      <c r="Z2042" s="133"/>
      <c r="AA2042" s="133"/>
    </row>
    <row r="2043" spans="1:27" hidden="1" x14ac:dyDescent="0.25">
      <c r="A2043" s="127">
        <v>2228</v>
      </c>
      <c r="B2043" s="128" t="str">
        <f t="shared" si="226"/>
        <v>NAMS</v>
      </c>
      <c r="C2043" s="128">
        <f>+VLOOKUP(U2043,Ходим!A:B,2,0)</f>
        <v>51006025960068</v>
      </c>
      <c r="D2043" s="128" t="str">
        <f>IFERROR(VLOOKUP($B:$B,[20]свод!$A:$AB,3,0)," ")</f>
        <v>Наманган шаҳар</v>
      </c>
      <c r="E2043" s="7" t="s">
        <v>3179</v>
      </c>
      <c r="F2043" s="7" t="s">
        <v>9558</v>
      </c>
      <c r="G2043" s="134">
        <f t="shared" si="223"/>
        <v>1</v>
      </c>
      <c r="H2043" s="134" t="str">
        <f t="shared" si="224"/>
        <v/>
      </c>
      <c r="I2043" s="7" t="s">
        <v>158</v>
      </c>
      <c r="J2043" s="7" t="s">
        <v>2</v>
      </c>
      <c r="K2043" s="7"/>
      <c r="L2043" s="7" t="s">
        <v>167</v>
      </c>
      <c r="M2043" s="7" t="s">
        <v>5569</v>
      </c>
      <c r="N2043" s="7" t="s">
        <v>170</v>
      </c>
      <c r="O2043" s="7" t="s">
        <v>162</v>
      </c>
      <c r="P2043" s="7" t="s">
        <v>7205</v>
      </c>
      <c r="Q2043" s="129">
        <v>46199</v>
      </c>
      <c r="R2043" s="130">
        <f t="shared" si="222"/>
        <v>46203</v>
      </c>
      <c r="S2043" s="131">
        <f t="shared" si="227"/>
        <v>4</v>
      </c>
      <c r="T2043" s="7" t="s">
        <v>328</v>
      </c>
      <c r="U2043" s="7" t="s">
        <v>944</v>
      </c>
      <c r="V2043" s="7"/>
      <c r="W2043" s="7">
        <v>289.24</v>
      </c>
      <c r="X2043" s="132">
        <f t="shared" si="225"/>
        <v>10</v>
      </c>
      <c r="Y2043" s="133"/>
      <c r="Z2043" s="133"/>
      <c r="AA2043" s="133"/>
    </row>
    <row r="2044" spans="1:27" hidden="1" x14ac:dyDescent="0.25">
      <c r="A2044" s="127">
        <v>2229</v>
      </c>
      <c r="B2044" s="128" t="str">
        <f t="shared" si="226"/>
        <v>NAMS</v>
      </c>
      <c r="C2044" s="128" t="str">
        <f>+VLOOKUP(U2044,Ходим!A:B,2,0)</f>
        <v>51110025960044</v>
      </c>
      <c r="D2044" s="128" t="str">
        <f>IFERROR(VLOOKUP($B:$B,[20]свод!$A:$AB,3,0)," ")</f>
        <v>Наманган шаҳар</v>
      </c>
      <c r="E2044" s="7" t="s">
        <v>3180</v>
      </c>
      <c r="F2044" s="7" t="s">
        <v>9559</v>
      </c>
      <c r="G2044" s="134">
        <f t="shared" si="223"/>
        <v>1</v>
      </c>
      <c r="H2044" s="134" t="str">
        <f t="shared" si="224"/>
        <v/>
      </c>
      <c r="I2044" s="7" t="s">
        <v>158</v>
      </c>
      <c r="J2044" s="7" t="s">
        <v>2</v>
      </c>
      <c r="K2044" s="7"/>
      <c r="L2044" s="7" t="s">
        <v>167</v>
      </c>
      <c r="M2044" s="7" t="s">
        <v>5570</v>
      </c>
      <c r="N2044" s="7" t="s">
        <v>170</v>
      </c>
      <c r="O2044" s="7" t="s">
        <v>162</v>
      </c>
      <c r="P2044" s="7" t="s">
        <v>7205</v>
      </c>
      <c r="Q2044" s="129">
        <v>46199</v>
      </c>
      <c r="R2044" s="130">
        <f t="shared" si="222"/>
        <v>46203</v>
      </c>
      <c r="S2044" s="131">
        <f t="shared" si="227"/>
        <v>4</v>
      </c>
      <c r="T2044" s="7" t="s">
        <v>173</v>
      </c>
      <c r="U2044" s="7" t="s">
        <v>294</v>
      </c>
      <c r="V2044" s="7"/>
      <c r="W2044" s="7">
        <v>127.97</v>
      </c>
      <c r="X2044" s="132">
        <f t="shared" si="225"/>
        <v>10</v>
      </c>
      <c r="Y2044" s="133"/>
      <c r="Z2044" s="133"/>
      <c r="AA2044" s="133"/>
    </row>
    <row r="2045" spans="1:27" hidden="1" x14ac:dyDescent="0.25">
      <c r="A2045" s="127">
        <v>2230</v>
      </c>
      <c r="B2045" s="128" t="str">
        <f t="shared" si="226"/>
        <v>NAMS</v>
      </c>
      <c r="C2045" s="128" t="str">
        <f>+VLOOKUP(U2045,Ходим!A:B,2,0)</f>
        <v>32207925880019</v>
      </c>
      <c r="D2045" s="128" t="str">
        <f>IFERROR(VLOOKUP($B:$B,[20]свод!$A:$AB,3,0)," ")</f>
        <v>Наманган шаҳар</v>
      </c>
      <c r="E2045" s="7" t="s">
        <v>3181</v>
      </c>
      <c r="F2045" s="7" t="s">
        <v>9560</v>
      </c>
      <c r="G2045" s="134">
        <f t="shared" si="223"/>
        <v>1</v>
      </c>
      <c r="H2045" s="134" t="str">
        <f t="shared" si="224"/>
        <v/>
      </c>
      <c r="I2045" s="7" t="s">
        <v>158</v>
      </c>
      <c r="J2045" s="7" t="s">
        <v>12</v>
      </c>
      <c r="K2045" s="7"/>
      <c r="L2045" s="7" t="s">
        <v>167</v>
      </c>
      <c r="M2045" s="7" t="s">
        <v>5571</v>
      </c>
      <c r="N2045" s="7" t="s">
        <v>170</v>
      </c>
      <c r="O2045" s="7" t="s">
        <v>162</v>
      </c>
      <c r="P2045" s="7" t="s">
        <v>6310</v>
      </c>
      <c r="Q2045" s="129">
        <v>46199</v>
      </c>
      <c r="R2045" s="130">
        <f t="shared" si="222"/>
        <v>46204</v>
      </c>
      <c r="S2045" s="131">
        <f t="shared" si="227"/>
        <v>5</v>
      </c>
      <c r="T2045" s="7" t="s">
        <v>173</v>
      </c>
      <c r="U2045" s="7" t="s">
        <v>174</v>
      </c>
      <c r="V2045" s="7"/>
      <c r="W2045" s="7">
        <v>495.28</v>
      </c>
      <c r="X2045" s="132">
        <f t="shared" si="225"/>
        <v>10</v>
      </c>
      <c r="Y2045" s="133"/>
      <c r="Z2045" s="133"/>
      <c r="AA2045" s="133"/>
    </row>
    <row r="2046" spans="1:27" hidden="1" x14ac:dyDescent="0.25">
      <c r="A2046" s="127">
        <v>2231</v>
      </c>
      <c r="B2046" s="128" t="str">
        <f t="shared" si="226"/>
        <v>MINT</v>
      </c>
      <c r="C2046" s="128" t="str">
        <f>+VLOOKUP(U2046,Ходим!A:B,2,0)</f>
        <v>53110035990017</v>
      </c>
      <c r="D2046" s="128" t="str">
        <f>IFERROR(VLOOKUP($B:$B,[20]свод!$A:$AB,3,0)," ")</f>
        <v>Мингбулоқ тумани</v>
      </c>
      <c r="E2046" s="7" t="s">
        <v>3182</v>
      </c>
      <c r="F2046" s="7" t="s">
        <v>9561</v>
      </c>
      <c r="G2046" s="134">
        <f t="shared" si="223"/>
        <v>1</v>
      </c>
      <c r="H2046" s="134" t="str">
        <f t="shared" si="224"/>
        <v/>
      </c>
      <c r="I2046" s="7" t="s">
        <v>158</v>
      </c>
      <c r="J2046" s="7" t="s">
        <v>2</v>
      </c>
      <c r="K2046" s="7"/>
      <c r="L2046" s="7" t="s">
        <v>167</v>
      </c>
      <c r="M2046" s="7" t="s">
        <v>5572</v>
      </c>
      <c r="N2046" s="7" t="s">
        <v>170</v>
      </c>
      <c r="O2046" s="7" t="s">
        <v>162</v>
      </c>
      <c r="P2046" s="7" t="s">
        <v>7206</v>
      </c>
      <c r="Q2046" s="129">
        <v>46199</v>
      </c>
      <c r="R2046" s="130">
        <f t="shared" si="222"/>
        <v>46203</v>
      </c>
      <c r="S2046" s="131">
        <f t="shared" si="227"/>
        <v>4</v>
      </c>
      <c r="T2046" s="7" t="s">
        <v>220</v>
      </c>
      <c r="U2046" s="7" t="s">
        <v>372</v>
      </c>
      <c r="V2046" s="7"/>
      <c r="W2046" s="7">
        <v>366</v>
      </c>
      <c r="X2046" s="132">
        <f t="shared" si="225"/>
        <v>10</v>
      </c>
      <c r="Y2046" s="133"/>
      <c r="Z2046" s="133"/>
      <c r="AA2046" s="133"/>
    </row>
    <row r="2047" spans="1:27" hidden="1" x14ac:dyDescent="0.25">
      <c r="A2047" s="127">
        <v>2232</v>
      </c>
      <c r="B2047" s="128" t="str">
        <f t="shared" si="226"/>
        <v>TORT</v>
      </c>
      <c r="C2047" s="128" t="str">
        <f>+VLOOKUP(U2047,Ходим!A:B,2,0)</f>
        <v>31609912130025</v>
      </c>
      <c r="D2047" s="128" t="str">
        <f>IFERROR(VLOOKUP($B:$B,[20]свод!$A:$AB,3,0)," ")</f>
        <v>Тўрақўрғон тумани</v>
      </c>
      <c r="E2047" s="7" t="s">
        <v>3183</v>
      </c>
      <c r="F2047" s="7" t="s">
        <v>9562</v>
      </c>
      <c r="G2047" s="134">
        <f t="shared" si="223"/>
        <v>1</v>
      </c>
      <c r="H2047" s="134" t="str">
        <f t="shared" si="224"/>
        <v/>
      </c>
      <c r="I2047" s="7" t="s">
        <v>158</v>
      </c>
      <c r="J2047" s="7" t="s">
        <v>2</v>
      </c>
      <c r="K2047" s="7"/>
      <c r="L2047" s="7" t="s">
        <v>167</v>
      </c>
      <c r="M2047" s="7" t="s">
        <v>5573</v>
      </c>
      <c r="N2047" s="7" t="s">
        <v>410</v>
      </c>
      <c r="O2047" s="7" t="s">
        <v>162</v>
      </c>
      <c r="P2047" s="7" t="s">
        <v>7207</v>
      </c>
      <c r="Q2047" s="129">
        <v>46199</v>
      </c>
      <c r="R2047" s="130">
        <f t="shared" si="222"/>
        <v>46203</v>
      </c>
      <c r="S2047" s="131">
        <f t="shared" si="227"/>
        <v>4</v>
      </c>
      <c r="T2047" s="7" t="s">
        <v>203</v>
      </c>
      <c r="U2047" s="7" t="s">
        <v>280</v>
      </c>
      <c r="V2047" s="7"/>
      <c r="W2047" s="7">
        <v>58</v>
      </c>
      <c r="X2047" s="132">
        <f t="shared" si="225"/>
        <v>10</v>
      </c>
      <c r="Y2047" s="133"/>
      <c r="Z2047" s="133"/>
      <c r="AA2047" s="133"/>
    </row>
    <row r="2048" spans="1:27" hidden="1" x14ac:dyDescent="0.25">
      <c r="A2048" s="127">
        <v>2233</v>
      </c>
      <c r="B2048" s="128" t="str">
        <f t="shared" si="226"/>
        <v>UYCT</v>
      </c>
      <c r="C2048" s="128" t="str">
        <f>+VLOOKUP(U2048,Ходим!A:B,2,0)</f>
        <v>32002975930037</v>
      </c>
      <c r="D2048" s="128" t="str">
        <f>IFERROR(VLOOKUP($B:$B,[20]свод!$A:$AB,3,0)," ")</f>
        <v>Уйчи тумани</v>
      </c>
      <c r="E2048" s="7" t="s">
        <v>3184</v>
      </c>
      <c r="F2048" s="7" t="s">
        <v>9563</v>
      </c>
      <c r="G2048" s="134">
        <f t="shared" si="223"/>
        <v>1</v>
      </c>
      <c r="H2048" s="134" t="str">
        <f t="shared" si="224"/>
        <v/>
      </c>
      <c r="I2048" s="7" t="s">
        <v>158</v>
      </c>
      <c r="J2048" s="7" t="s">
        <v>2</v>
      </c>
      <c r="K2048" s="7"/>
      <c r="L2048" s="7" t="s">
        <v>167</v>
      </c>
      <c r="M2048" s="7" t="s">
        <v>5574</v>
      </c>
      <c r="N2048" s="7" t="s">
        <v>170</v>
      </c>
      <c r="O2048" s="7" t="s">
        <v>162</v>
      </c>
      <c r="P2048" s="7" t="s">
        <v>7207</v>
      </c>
      <c r="Q2048" s="129">
        <v>46199</v>
      </c>
      <c r="R2048" s="130">
        <f t="shared" si="222"/>
        <v>46203</v>
      </c>
      <c r="S2048" s="131">
        <f t="shared" si="227"/>
        <v>4</v>
      </c>
      <c r="T2048" s="7" t="s">
        <v>947</v>
      </c>
      <c r="U2048" s="7" t="s">
        <v>260</v>
      </c>
      <c r="V2048" s="7"/>
      <c r="W2048" s="7">
        <v>215</v>
      </c>
      <c r="X2048" s="132">
        <f t="shared" si="225"/>
        <v>10</v>
      </c>
      <c r="Y2048" s="133"/>
      <c r="Z2048" s="133"/>
      <c r="AA2048" s="133"/>
    </row>
    <row r="2049" spans="1:27" hidden="1" x14ac:dyDescent="0.25">
      <c r="A2049" s="127">
        <v>2234</v>
      </c>
      <c r="B2049" s="128" t="str">
        <f t="shared" si="226"/>
        <v>POPT</v>
      </c>
      <c r="C2049" s="128" t="str">
        <f>+VLOOKUP(U2049,Ходим!A:B,2,0)</f>
        <v>33107902120019</v>
      </c>
      <c r="D2049" s="128" t="str">
        <f>IFERROR(VLOOKUP($B:$B,[20]свод!$A:$AB,3,0)," ")</f>
        <v>Поп тумани</v>
      </c>
      <c r="E2049" s="7" t="s">
        <v>3185</v>
      </c>
      <c r="F2049" s="7" t="s">
        <v>9564</v>
      </c>
      <c r="G2049" s="134">
        <f t="shared" si="223"/>
        <v>1</v>
      </c>
      <c r="H2049" s="134" t="str">
        <f t="shared" si="224"/>
        <v/>
      </c>
      <c r="I2049" s="7" t="s">
        <v>158</v>
      </c>
      <c r="J2049" s="7" t="s">
        <v>2</v>
      </c>
      <c r="K2049" s="7"/>
      <c r="L2049" s="7" t="s">
        <v>167</v>
      </c>
      <c r="M2049" s="7" t="s">
        <v>5575</v>
      </c>
      <c r="N2049" s="7" t="s">
        <v>170</v>
      </c>
      <c r="O2049" s="7" t="s">
        <v>162</v>
      </c>
      <c r="P2049" s="7" t="s">
        <v>7208</v>
      </c>
      <c r="Q2049" s="129">
        <v>46199</v>
      </c>
      <c r="R2049" s="130">
        <f t="shared" si="222"/>
        <v>46203</v>
      </c>
      <c r="S2049" s="131">
        <f t="shared" si="227"/>
        <v>4</v>
      </c>
      <c r="T2049" s="7" t="s">
        <v>214</v>
      </c>
      <c r="U2049" s="7" t="s">
        <v>224</v>
      </c>
      <c r="V2049" s="7"/>
      <c r="W2049" s="7">
        <v>167</v>
      </c>
      <c r="X2049" s="132">
        <f t="shared" si="225"/>
        <v>10</v>
      </c>
      <c r="Y2049" s="133"/>
      <c r="Z2049" s="133"/>
      <c r="AA2049" s="133"/>
    </row>
    <row r="2050" spans="1:27" hidden="1" x14ac:dyDescent="0.25">
      <c r="A2050" s="127">
        <v>2235</v>
      </c>
      <c r="B2050" s="128" t="str">
        <f t="shared" si="226"/>
        <v>KSST</v>
      </c>
      <c r="C2050" s="128" t="str">
        <f>+VLOOKUP(U2050,Ходим!A:B,2,0)</f>
        <v>31204985980041</v>
      </c>
      <c r="D2050" s="128" t="str">
        <f>IFERROR(VLOOKUP($B:$B,[20]свод!$A:$AB,3,0)," ")</f>
        <v>Косонсой тумани</v>
      </c>
      <c r="E2050" s="7" t="s">
        <v>3186</v>
      </c>
      <c r="F2050" s="7" t="s">
        <v>9565</v>
      </c>
      <c r="G2050" s="134">
        <f t="shared" si="223"/>
        <v>1</v>
      </c>
      <c r="H2050" s="134" t="str">
        <f t="shared" si="224"/>
        <v/>
      </c>
      <c r="I2050" s="7" t="s">
        <v>158</v>
      </c>
      <c r="J2050" s="7" t="s">
        <v>2</v>
      </c>
      <c r="K2050" s="7"/>
      <c r="L2050" s="7" t="s">
        <v>167</v>
      </c>
      <c r="M2050" s="7" t="s">
        <v>5576</v>
      </c>
      <c r="N2050" s="7" t="s">
        <v>170</v>
      </c>
      <c r="O2050" s="7" t="s">
        <v>162</v>
      </c>
      <c r="P2050" s="7" t="s">
        <v>7208</v>
      </c>
      <c r="Q2050" s="129">
        <v>46199</v>
      </c>
      <c r="R2050" s="130">
        <f t="shared" si="222"/>
        <v>46203</v>
      </c>
      <c r="S2050" s="131">
        <f t="shared" si="227"/>
        <v>4</v>
      </c>
      <c r="T2050" s="7" t="s">
        <v>180</v>
      </c>
      <c r="U2050" s="7" t="s">
        <v>236</v>
      </c>
      <c r="V2050" s="7"/>
      <c r="W2050" s="7">
        <v>0</v>
      </c>
      <c r="X2050" s="132">
        <f t="shared" si="225"/>
        <v>10</v>
      </c>
      <c r="Y2050" s="133"/>
      <c r="Z2050" s="133"/>
      <c r="AA2050" s="133"/>
    </row>
    <row r="2051" spans="1:27" hidden="1" x14ac:dyDescent="0.25">
      <c r="A2051" s="127">
        <v>2236</v>
      </c>
      <c r="B2051" s="128" t="str">
        <f t="shared" si="226"/>
        <v>NAMS</v>
      </c>
      <c r="C2051" s="128" t="str">
        <f>+VLOOKUP(U2051,Ходим!A:B,2,0)</f>
        <v>32211885960016</v>
      </c>
      <c r="D2051" s="128" t="str">
        <f>IFERROR(VLOOKUP($B:$B,[20]свод!$A:$AB,3,0)," ")</f>
        <v>Наманган шаҳар</v>
      </c>
      <c r="E2051" s="7" t="s">
        <v>3187</v>
      </c>
      <c r="F2051" s="7"/>
      <c r="G2051" s="134" t="str">
        <f t="shared" si="223"/>
        <v/>
      </c>
      <c r="H2051" s="134">
        <f t="shared" si="224"/>
        <v>1</v>
      </c>
      <c r="I2051" s="7" t="s">
        <v>154</v>
      </c>
      <c r="J2051" s="7" t="s">
        <v>145</v>
      </c>
      <c r="K2051" s="7"/>
      <c r="L2051" s="7" t="s">
        <v>166</v>
      </c>
      <c r="M2051" s="7" t="s">
        <v>5577</v>
      </c>
      <c r="N2051" s="7" t="s">
        <v>368</v>
      </c>
      <c r="O2051" s="7"/>
      <c r="P2051" s="7" t="s">
        <v>6995</v>
      </c>
      <c r="Q2051" s="129">
        <v>46199</v>
      </c>
      <c r="R2051" s="130">
        <f t="shared" si="222"/>
        <v>46205</v>
      </c>
      <c r="S2051" s="131">
        <f t="shared" si="227"/>
        <v>6</v>
      </c>
      <c r="T2051" s="7" t="s">
        <v>227</v>
      </c>
      <c r="U2051" s="7" t="s">
        <v>279</v>
      </c>
      <c r="V2051" s="7" t="s">
        <v>965</v>
      </c>
      <c r="W2051" s="7">
        <v>2351.65</v>
      </c>
      <c r="X2051" s="132">
        <f t="shared" si="225"/>
        <v>5</v>
      </c>
      <c r="Y2051" s="133"/>
      <c r="Z2051" s="133"/>
      <c r="AA2051" s="133"/>
    </row>
    <row r="2052" spans="1:27" hidden="1" x14ac:dyDescent="0.25">
      <c r="A2052" s="127">
        <v>2237</v>
      </c>
      <c r="B2052" s="128" t="str">
        <f t="shared" si="226"/>
        <v>NAMS</v>
      </c>
      <c r="C2052" s="128" t="str">
        <f>+VLOOKUP(U2052,Ходим!A:B,2,0)</f>
        <v>52601025870013</v>
      </c>
      <c r="D2052" s="128" t="str">
        <f>IFERROR(VLOOKUP($B:$B,[20]свод!$A:$AB,3,0)," ")</f>
        <v>Наманган шаҳар</v>
      </c>
      <c r="E2052" s="7" t="s">
        <v>3188</v>
      </c>
      <c r="F2052" s="7" t="s">
        <v>9566</v>
      </c>
      <c r="G2052" s="134">
        <f t="shared" si="223"/>
        <v>1</v>
      </c>
      <c r="H2052" s="134" t="str">
        <f t="shared" si="224"/>
        <v/>
      </c>
      <c r="I2052" s="7" t="s">
        <v>158</v>
      </c>
      <c r="J2052" s="7" t="s">
        <v>2</v>
      </c>
      <c r="K2052" s="7"/>
      <c r="L2052" s="7" t="s">
        <v>167</v>
      </c>
      <c r="M2052" s="7" t="s">
        <v>5578</v>
      </c>
      <c r="N2052" s="7" t="s">
        <v>170</v>
      </c>
      <c r="O2052" s="7" t="s">
        <v>162</v>
      </c>
      <c r="P2052" s="7" t="s">
        <v>7209</v>
      </c>
      <c r="Q2052" s="129">
        <v>46199</v>
      </c>
      <c r="R2052" s="130">
        <f t="shared" si="222"/>
        <v>46206</v>
      </c>
      <c r="S2052" s="131">
        <f t="shared" si="227"/>
        <v>7</v>
      </c>
      <c r="T2052" s="7" t="s">
        <v>173</v>
      </c>
      <c r="U2052" s="7" t="s">
        <v>405</v>
      </c>
      <c r="V2052" s="7"/>
      <c r="W2052" s="7">
        <v>121.84</v>
      </c>
      <c r="X2052" s="132">
        <f t="shared" si="225"/>
        <v>10</v>
      </c>
      <c r="Y2052" s="133"/>
      <c r="Z2052" s="133"/>
      <c r="AA2052" s="133"/>
    </row>
    <row r="2053" spans="1:27" hidden="1" x14ac:dyDescent="0.25">
      <c r="A2053" s="127">
        <v>2238</v>
      </c>
      <c r="B2053" s="128" t="str">
        <f t="shared" si="226"/>
        <v>UYCT</v>
      </c>
      <c r="C2053" s="128" t="str">
        <f>+VLOOKUP(U2053,Ходим!A:B,2,0)</f>
        <v>52811025930077</v>
      </c>
      <c r="D2053" s="128" t="str">
        <f>IFERROR(VLOOKUP($B:$B,[20]свод!$A:$AB,3,0)," ")</f>
        <v>Уйчи тумани</v>
      </c>
      <c r="E2053" s="7" t="s">
        <v>3189</v>
      </c>
      <c r="F2053" s="7" t="s">
        <v>9567</v>
      </c>
      <c r="G2053" s="134">
        <f t="shared" si="223"/>
        <v>1</v>
      </c>
      <c r="H2053" s="134" t="str">
        <f t="shared" si="224"/>
        <v/>
      </c>
      <c r="I2053" s="7" t="s">
        <v>156</v>
      </c>
      <c r="J2053" s="7" t="s">
        <v>25</v>
      </c>
      <c r="K2053" s="7"/>
      <c r="L2053" s="7"/>
      <c r="M2053" s="7"/>
      <c r="N2053" s="7" t="s">
        <v>170</v>
      </c>
      <c r="O2053" s="7" t="s">
        <v>162</v>
      </c>
      <c r="P2053" s="7" t="s">
        <v>7210</v>
      </c>
      <c r="Q2053" s="129">
        <v>46199</v>
      </c>
      <c r="R2053" s="130">
        <f t="shared" si="222"/>
        <v>46203</v>
      </c>
      <c r="S2053" s="131">
        <f t="shared" si="227"/>
        <v>4</v>
      </c>
      <c r="T2053" s="7" t="s">
        <v>947</v>
      </c>
      <c r="U2053" s="7" t="s">
        <v>356</v>
      </c>
      <c r="V2053" s="7"/>
      <c r="W2053" s="7"/>
      <c r="X2053" s="132">
        <f t="shared" si="225"/>
        <v>10</v>
      </c>
      <c r="Y2053" s="133"/>
      <c r="Z2053" s="133"/>
      <c r="AA2053" s="133"/>
    </row>
    <row r="2054" spans="1:27" hidden="1" x14ac:dyDescent="0.25">
      <c r="A2054" s="127">
        <v>2239</v>
      </c>
      <c r="B2054" s="128" t="str">
        <f t="shared" si="226"/>
        <v>NAMS</v>
      </c>
      <c r="C2054" s="128" t="str">
        <f>+VLOOKUP(U2054,Ходим!A:B,2,0)</f>
        <v>31309942170160</v>
      </c>
      <c r="D2054" s="128" t="str">
        <f>IFERROR(VLOOKUP($B:$B,[20]свод!$A:$AB,3,0)," ")</f>
        <v>Наманган шаҳар</v>
      </c>
      <c r="E2054" s="7" t="s">
        <v>3190</v>
      </c>
      <c r="F2054" s="7" t="s">
        <v>9568</v>
      </c>
      <c r="G2054" s="134">
        <f t="shared" si="223"/>
        <v>1</v>
      </c>
      <c r="H2054" s="134" t="str">
        <f t="shared" si="224"/>
        <v/>
      </c>
      <c r="I2054" s="7" t="s">
        <v>154</v>
      </c>
      <c r="J2054" s="7" t="s">
        <v>2</v>
      </c>
      <c r="K2054" s="7"/>
      <c r="L2054" s="7"/>
      <c r="M2054" s="7"/>
      <c r="N2054" s="7" t="s">
        <v>170</v>
      </c>
      <c r="O2054" s="7" t="s">
        <v>162</v>
      </c>
      <c r="P2054" s="7" t="s">
        <v>7210</v>
      </c>
      <c r="Q2054" s="129">
        <v>46199</v>
      </c>
      <c r="R2054" s="130">
        <f t="shared" si="222"/>
        <v>46203</v>
      </c>
      <c r="S2054" s="131">
        <f t="shared" si="227"/>
        <v>4</v>
      </c>
      <c r="T2054" s="7" t="s">
        <v>173</v>
      </c>
      <c r="U2054" s="7" t="s">
        <v>333</v>
      </c>
      <c r="V2054" s="7"/>
      <c r="W2054" s="7"/>
      <c r="X2054" s="132">
        <f t="shared" si="225"/>
        <v>10</v>
      </c>
      <c r="Y2054" s="133"/>
      <c r="Z2054" s="133"/>
      <c r="AA2054" s="133"/>
    </row>
    <row r="2055" spans="1:27" hidden="1" x14ac:dyDescent="0.25">
      <c r="A2055" s="127">
        <v>2240</v>
      </c>
      <c r="B2055" s="128" t="str">
        <f t="shared" si="226"/>
        <v>UCQT</v>
      </c>
      <c r="C2055" s="128" t="str">
        <f>+VLOOKUP(U2055,Ходим!A:B,2,0)</f>
        <v>32911835940021</v>
      </c>
      <c r="D2055" s="128" t="str">
        <f>IFERROR(VLOOKUP($B:$B,[20]свод!$A:$AB,3,0)," ")</f>
        <v>Учқўрғон тумани</v>
      </c>
      <c r="E2055" s="7" t="s">
        <v>3191</v>
      </c>
      <c r="F2055" s="7" t="s">
        <v>9569</v>
      </c>
      <c r="G2055" s="134">
        <f t="shared" si="223"/>
        <v>1</v>
      </c>
      <c r="H2055" s="134" t="str">
        <f t="shared" si="224"/>
        <v/>
      </c>
      <c r="I2055" s="7" t="s">
        <v>158</v>
      </c>
      <c r="J2055" s="7" t="s">
        <v>2</v>
      </c>
      <c r="K2055" s="7"/>
      <c r="L2055" s="7" t="s">
        <v>167</v>
      </c>
      <c r="M2055" s="7" t="s">
        <v>5579</v>
      </c>
      <c r="N2055" s="7" t="s">
        <v>410</v>
      </c>
      <c r="O2055" s="7" t="s">
        <v>162</v>
      </c>
      <c r="P2055" s="7" t="s">
        <v>6825</v>
      </c>
      <c r="Q2055" s="129">
        <v>46199</v>
      </c>
      <c r="R2055" s="130">
        <f t="shared" si="222"/>
        <v>46206</v>
      </c>
      <c r="S2055" s="131">
        <f t="shared" si="227"/>
        <v>7</v>
      </c>
      <c r="T2055" s="7" t="s">
        <v>175</v>
      </c>
      <c r="U2055" s="7" t="s">
        <v>321</v>
      </c>
      <c r="V2055" s="7"/>
      <c r="W2055" s="7">
        <v>272.04000000000002</v>
      </c>
      <c r="X2055" s="132">
        <f t="shared" si="225"/>
        <v>10</v>
      </c>
      <c r="Y2055" s="133"/>
      <c r="Z2055" s="133"/>
      <c r="AA2055" s="133"/>
    </row>
    <row r="2056" spans="1:27" hidden="1" x14ac:dyDescent="0.25">
      <c r="A2056" s="127">
        <v>2241</v>
      </c>
      <c r="B2056" s="128" t="str">
        <f t="shared" si="226"/>
        <v>NAMS</v>
      </c>
      <c r="C2056" s="128" t="str">
        <f>+VLOOKUP(U2056,Ходим!A:B,2,0)</f>
        <v>51705025890024</v>
      </c>
      <c r="D2056" s="128" t="str">
        <f>IFERROR(VLOOKUP($B:$B,[20]свод!$A:$AB,3,0)," ")</f>
        <v>Наманган шаҳар</v>
      </c>
      <c r="E2056" s="7" t="s">
        <v>3192</v>
      </c>
      <c r="F2056" s="7" t="s">
        <v>9570</v>
      </c>
      <c r="G2056" s="134">
        <f t="shared" si="223"/>
        <v>1</v>
      </c>
      <c r="H2056" s="134" t="str">
        <f t="shared" si="224"/>
        <v/>
      </c>
      <c r="I2056" s="7" t="s">
        <v>158</v>
      </c>
      <c r="J2056" s="7" t="s">
        <v>2</v>
      </c>
      <c r="K2056" s="7"/>
      <c r="L2056" s="7"/>
      <c r="M2056" s="7"/>
      <c r="N2056" s="7" t="s">
        <v>170</v>
      </c>
      <c r="O2056" s="7" t="s">
        <v>162</v>
      </c>
      <c r="P2056" s="7" t="s">
        <v>7037</v>
      </c>
      <c r="Q2056" s="129">
        <v>46199</v>
      </c>
      <c r="R2056" s="130">
        <f t="shared" ref="R2056:R2117" si="228">WORKDAY(P2056,X2056,$Y$1:$AA$1)</f>
        <v>46203</v>
      </c>
      <c r="S2056" s="131">
        <f t="shared" si="227"/>
        <v>4</v>
      </c>
      <c r="T2056" s="7" t="s">
        <v>173</v>
      </c>
      <c r="U2056" s="7" t="s">
        <v>189</v>
      </c>
      <c r="V2056" s="7"/>
      <c r="W2056" s="7"/>
      <c r="X2056" s="132">
        <f t="shared" si="225"/>
        <v>10</v>
      </c>
      <c r="Y2056" s="133"/>
      <c r="Z2056" s="133"/>
      <c r="AA2056" s="133"/>
    </row>
    <row r="2057" spans="1:27" hidden="1" x14ac:dyDescent="0.25">
      <c r="A2057" s="127">
        <v>2242</v>
      </c>
      <c r="B2057" s="128" t="str">
        <f t="shared" si="226"/>
        <v>NAMS</v>
      </c>
      <c r="C2057" s="128" t="str">
        <f>+VLOOKUP(U2057,Ходим!A:B,2,0)</f>
        <v>33012942170121</v>
      </c>
      <c r="D2057" s="128" t="str">
        <f>IFERROR(VLOOKUP($B:$B,[20]свод!$A:$AB,3,0)," ")</f>
        <v>Наманган шаҳар</v>
      </c>
      <c r="E2057" s="7" t="s">
        <v>3193</v>
      </c>
      <c r="F2057" s="7" t="s">
        <v>9571</v>
      </c>
      <c r="G2057" s="134">
        <f t="shared" si="223"/>
        <v>1</v>
      </c>
      <c r="H2057" s="134" t="str">
        <f t="shared" si="224"/>
        <v/>
      </c>
      <c r="I2057" s="7" t="s">
        <v>158</v>
      </c>
      <c r="J2057" s="7" t="s">
        <v>2</v>
      </c>
      <c r="K2057" s="7"/>
      <c r="L2057" s="7"/>
      <c r="M2057" s="7"/>
      <c r="N2057" s="7" t="s">
        <v>170</v>
      </c>
      <c r="O2057" s="7" t="s">
        <v>162</v>
      </c>
      <c r="P2057" s="7" t="s">
        <v>7037</v>
      </c>
      <c r="Q2057" s="129">
        <v>46199</v>
      </c>
      <c r="R2057" s="130">
        <f t="shared" si="228"/>
        <v>46203</v>
      </c>
      <c r="S2057" s="131">
        <f t="shared" si="227"/>
        <v>4</v>
      </c>
      <c r="T2057" s="7" t="s">
        <v>173</v>
      </c>
      <c r="U2057" s="7" t="s">
        <v>259</v>
      </c>
      <c r="V2057" s="7"/>
      <c r="W2057" s="7"/>
      <c r="X2057" s="132">
        <f t="shared" si="225"/>
        <v>10</v>
      </c>
      <c r="Y2057" s="133"/>
      <c r="Z2057" s="133"/>
      <c r="AA2057" s="133"/>
    </row>
    <row r="2058" spans="1:27" x14ac:dyDescent="0.25">
      <c r="A2058" s="127">
        <v>2243</v>
      </c>
      <c r="B2058" s="128" t="str">
        <f t="shared" si="226"/>
        <v>MINT</v>
      </c>
      <c r="C2058" s="128" t="str">
        <f>+VLOOKUP(U2058,Ходим!A:B,2,0)</f>
        <v>30906922130016</v>
      </c>
      <c r="D2058" s="128" t="str">
        <f>IFERROR(VLOOKUP($B:$B,[20]свод!$A:$AB,3,0)," ")</f>
        <v>Мингбулоқ тумани</v>
      </c>
      <c r="E2058" s="7" t="s">
        <v>3194</v>
      </c>
      <c r="F2058" s="7" t="s">
        <v>9572</v>
      </c>
      <c r="G2058" s="134">
        <f t="shared" si="223"/>
        <v>1</v>
      </c>
      <c r="H2058" s="134" t="str">
        <f t="shared" si="224"/>
        <v/>
      </c>
      <c r="I2058" s="7" t="s">
        <v>158</v>
      </c>
      <c r="J2058" s="7" t="s">
        <v>10</v>
      </c>
      <c r="K2058" s="7"/>
      <c r="L2058" s="7" t="s">
        <v>167</v>
      </c>
      <c r="M2058" s="7" t="s">
        <v>5580</v>
      </c>
      <c r="N2058" s="7" t="s">
        <v>410</v>
      </c>
      <c r="O2058" s="7" t="s">
        <v>162</v>
      </c>
      <c r="P2058" s="7" t="s">
        <v>7211</v>
      </c>
      <c r="Q2058" s="129">
        <v>46199</v>
      </c>
      <c r="R2058" s="130">
        <f t="shared" si="228"/>
        <v>46199</v>
      </c>
      <c r="S2058" s="131">
        <f t="shared" si="227"/>
        <v>0</v>
      </c>
      <c r="T2058" s="7" t="s">
        <v>220</v>
      </c>
      <c r="U2058" s="7" t="s">
        <v>178</v>
      </c>
      <c r="V2058" s="7"/>
      <c r="W2058" s="7">
        <v>864.17</v>
      </c>
      <c r="X2058" s="132">
        <f t="shared" si="225"/>
        <v>10</v>
      </c>
      <c r="Y2058" s="133"/>
      <c r="Z2058" s="133"/>
      <c r="AA2058" s="133"/>
    </row>
    <row r="2059" spans="1:27" hidden="1" x14ac:dyDescent="0.25">
      <c r="A2059" s="127">
        <v>2244</v>
      </c>
      <c r="B2059" s="128" t="str">
        <f t="shared" si="226"/>
        <v>UCQT</v>
      </c>
      <c r="C2059" s="128" t="str">
        <f>+VLOOKUP(U2059,Ходим!A:B,2,0)</f>
        <v>31402915940019</v>
      </c>
      <c r="D2059" s="128" t="str">
        <f>IFERROR(VLOOKUP($B:$B,[20]свод!$A:$AB,3,0)," ")</f>
        <v>Учқўрғон тумани</v>
      </c>
      <c r="E2059" s="7" t="s">
        <v>3195</v>
      </c>
      <c r="F2059" s="7" t="s">
        <v>9573</v>
      </c>
      <c r="G2059" s="134">
        <f t="shared" si="223"/>
        <v>1</v>
      </c>
      <c r="H2059" s="134" t="str">
        <f t="shared" si="224"/>
        <v/>
      </c>
      <c r="I2059" s="7" t="s">
        <v>158</v>
      </c>
      <c r="J2059" s="7" t="s">
        <v>2</v>
      </c>
      <c r="K2059" s="7"/>
      <c r="L2059" s="7" t="s">
        <v>167</v>
      </c>
      <c r="M2059" s="7" t="s">
        <v>5581</v>
      </c>
      <c r="N2059" s="7" t="s">
        <v>410</v>
      </c>
      <c r="O2059" s="7" t="s">
        <v>163</v>
      </c>
      <c r="P2059" s="7" t="s">
        <v>6493</v>
      </c>
      <c r="Q2059" s="129">
        <v>46199</v>
      </c>
      <c r="R2059" s="130">
        <f t="shared" si="228"/>
        <v>46205</v>
      </c>
      <c r="S2059" s="131">
        <f t="shared" si="227"/>
        <v>6</v>
      </c>
      <c r="T2059" s="7" t="s">
        <v>175</v>
      </c>
      <c r="U2059" s="7" t="s">
        <v>292</v>
      </c>
      <c r="V2059" s="7"/>
      <c r="W2059" s="7">
        <v>229.24</v>
      </c>
      <c r="X2059" s="132">
        <f t="shared" si="225"/>
        <v>10</v>
      </c>
      <c r="Y2059" s="133"/>
      <c r="Z2059" s="133"/>
      <c r="AA2059" s="133"/>
    </row>
    <row r="2060" spans="1:27" hidden="1" x14ac:dyDescent="0.25">
      <c r="A2060" s="127">
        <v>2245</v>
      </c>
      <c r="B2060" s="128" t="str">
        <f t="shared" si="226"/>
        <v>TORT</v>
      </c>
      <c r="C2060" s="128" t="str">
        <f>+VLOOKUP(U2060,Ходим!A:B,2,0)</f>
        <v>31701915920077</v>
      </c>
      <c r="D2060" s="128" t="str">
        <f>IFERROR(VLOOKUP($B:$B,[20]свод!$A:$AB,3,0)," ")</f>
        <v>Тўрақўрғон тумани</v>
      </c>
      <c r="E2060" s="7" t="s">
        <v>3196</v>
      </c>
      <c r="F2060" s="7" t="s">
        <v>9574</v>
      </c>
      <c r="G2060" s="134">
        <f t="shared" ref="G2060:G2121" si="229">IF(OR(
I2060="Turar joy obyektning kadastr pasportini shakllantirish va davlat ro'yxatidan o'tkazish",
I2060="Turar kompozit"
),
1,
IF(OR(
I2060="Noturar kompozit",
I2060="Avtoyo'l va suv xo'jaligi obyektining kadastr pasportini shakllantirish va ro'yxatga olish",
I2060="Noturar obyektning kadastr pasportining kadastr pasportini shakllantirish va davlat ro'yxatidan o'tkazish"
),
"",
IF(OR(
I2060="Notarius uchun ma'lumotnoma (uz)",
I2060="Qurilishi tugallangan ko'chmas mulkni foydalanishga qabul qilish",
I2060="Umumiy foydalanishdagi ko'chmas mulk qismini yaratish",
I2060="Registratsiya (tashqi - UZKAD da bor)"
),
IF(OR(L2060="Turar yer maydoni",L2060="Yakka tartibdagi turar joy"),1,
IF(L2060="Noturar bino","",
IF(L2060="Noturar yer maydoni","",
IF(L2060="",IF(OR(O2060="Turar joy xizmati",O2060="Foydalanishga ruxsatnoma berish xizmati"),1,""),"")
))),
"")))</f>
        <v>1</v>
      </c>
      <c r="H2060" s="134" t="str">
        <f t="shared" ref="H2060:H2121" si="230">IF(OR(
I2060="Turar joy obyektning kadastr pasportini shakllantirish va davlat ro'yxatidan o'tkazish",
I2060="Turar kompozit"
),
"",
IF(OR(
I2060="Noturar kompozit",
I2060="Avtoyo'l va suv xo'jaligi obyektining kadastr pasportini shakllantirish va ro'yxatga olish",
I2060="Noturar obyektning kadastr pasportini shakllantirish va davlat ro'yxatidan o'tkazish"
),
1,
IF(OR(
I2060="Notarius uchun ma'lumotnoma (uz)",
I2060="Qurilishi tugallangan ko'chmas mulkni foydalanishga qabul qilish",
I2060="Umumiy foydalanishdagi ko'chmas mulk qismini yaratish",
I2060="Registratsiya (tashqi - UZKAD da bor)"
),
IF(OR(L2060="Turar yer maydoni",L2060="Yakka tartibdagi turar joy"),"",
IF(L2060="Noturar bino",1,
IF(L2060="Noturar yer maydoni",1,
IF(L2060="",IF(OR(O2060="Turar joy xizmati",O2060="Foydalanishga ruxsatnoma berish xizmati"),"",1),"")
))),
"")))</f>
        <v/>
      </c>
      <c r="I2060" s="7" t="s">
        <v>158</v>
      </c>
      <c r="J2060" s="7" t="s">
        <v>2</v>
      </c>
      <c r="K2060" s="7"/>
      <c r="L2060" s="7" t="s">
        <v>167</v>
      </c>
      <c r="M2060" s="7" t="s">
        <v>5582</v>
      </c>
      <c r="N2060" s="7" t="s">
        <v>170</v>
      </c>
      <c r="O2060" s="7" t="s">
        <v>162</v>
      </c>
      <c r="P2060" s="7" t="s">
        <v>7212</v>
      </c>
      <c r="Q2060" s="129">
        <v>46199</v>
      </c>
      <c r="R2060" s="130">
        <f t="shared" si="228"/>
        <v>46206</v>
      </c>
      <c r="S2060" s="131">
        <f t="shared" si="227"/>
        <v>7</v>
      </c>
      <c r="T2060" s="7" t="s">
        <v>203</v>
      </c>
      <c r="U2060" s="7" t="s">
        <v>332</v>
      </c>
      <c r="V2060" s="7"/>
      <c r="W2060" s="7">
        <v>252.43</v>
      </c>
      <c r="X2060" s="132">
        <f t="shared" si="225"/>
        <v>10</v>
      </c>
      <c r="Y2060" s="133"/>
      <c r="Z2060" s="133"/>
      <c r="AA2060" s="133"/>
    </row>
    <row r="2061" spans="1:27" hidden="1" x14ac:dyDescent="0.25">
      <c r="A2061" s="127">
        <v>2246</v>
      </c>
      <c r="B2061" s="128" t="str">
        <f t="shared" si="226"/>
        <v>KSST</v>
      </c>
      <c r="C2061" s="128" t="str">
        <f>+VLOOKUP(U2061,Ходим!A:B,2,0)</f>
        <v>50709025980034</v>
      </c>
      <c r="D2061" s="128" t="str">
        <f>IFERROR(VLOOKUP($B:$B,[20]свод!$A:$AB,3,0)," ")</f>
        <v>Косонсой тумани</v>
      </c>
      <c r="E2061" s="7" t="s">
        <v>3197</v>
      </c>
      <c r="F2061" s="7"/>
      <c r="G2061" s="134" t="str">
        <f t="shared" si="229"/>
        <v/>
      </c>
      <c r="H2061" s="134">
        <f t="shared" si="230"/>
        <v>1</v>
      </c>
      <c r="I2061" s="7" t="s">
        <v>154</v>
      </c>
      <c r="J2061" s="7" t="s">
        <v>35</v>
      </c>
      <c r="K2061" s="7"/>
      <c r="L2061" s="7" t="s">
        <v>166</v>
      </c>
      <c r="M2061" s="7" t="s">
        <v>5583</v>
      </c>
      <c r="N2061" s="7" t="s">
        <v>368</v>
      </c>
      <c r="O2061" s="7"/>
      <c r="P2061" s="7" t="s">
        <v>7213</v>
      </c>
      <c r="Q2061" s="129">
        <v>46199</v>
      </c>
      <c r="R2061" s="130">
        <f t="shared" si="228"/>
        <v>46205</v>
      </c>
      <c r="S2061" s="131">
        <f t="shared" si="227"/>
        <v>6</v>
      </c>
      <c r="T2061" s="7"/>
      <c r="U2061" s="7" t="s">
        <v>286</v>
      </c>
      <c r="V2061" s="7"/>
      <c r="W2061" s="7">
        <v>1590.98</v>
      </c>
      <c r="X2061" s="132">
        <f t="shared" si="225"/>
        <v>5</v>
      </c>
      <c r="Y2061" s="133"/>
      <c r="Z2061" s="133"/>
      <c r="AA2061" s="133"/>
    </row>
    <row r="2062" spans="1:27" hidden="1" x14ac:dyDescent="0.25">
      <c r="A2062" s="127">
        <v>2247</v>
      </c>
      <c r="B2062" s="128" t="str">
        <f t="shared" si="226"/>
        <v>NAMS</v>
      </c>
      <c r="C2062" s="128" t="str">
        <f>+VLOOKUP(U2062,Ходим!A:B,2,0)</f>
        <v>52407055960122</v>
      </c>
      <c r="D2062" s="128" t="str">
        <f>IFERROR(VLOOKUP($B:$B,[20]свод!$A:$AB,3,0)," ")</f>
        <v>Наманган шаҳар</v>
      </c>
      <c r="E2062" s="7" t="s">
        <v>3198</v>
      </c>
      <c r="F2062" s="7" t="s">
        <v>9575</v>
      </c>
      <c r="G2062" s="134">
        <f t="shared" si="229"/>
        <v>1</v>
      </c>
      <c r="H2062" s="134" t="str">
        <f t="shared" si="230"/>
        <v/>
      </c>
      <c r="I2062" s="7" t="s">
        <v>158</v>
      </c>
      <c r="J2062" s="7" t="s">
        <v>2</v>
      </c>
      <c r="K2062" s="7"/>
      <c r="L2062" s="7" t="s">
        <v>167</v>
      </c>
      <c r="M2062" s="7" t="s">
        <v>5584</v>
      </c>
      <c r="N2062" s="7" t="s">
        <v>170</v>
      </c>
      <c r="O2062" s="7" t="s">
        <v>162</v>
      </c>
      <c r="P2062" s="7" t="s">
        <v>7214</v>
      </c>
      <c r="Q2062" s="129">
        <v>46199</v>
      </c>
      <c r="R2062" s="130">
        <f t="shared" si="228"/>
        <v>46206</v>
      </c>
      <c r="S2062" s="131">
        <f t="shared" si="227"/>
        <v>7</v>
      </c>
      <c r="T2062" s="7" t="s">
        <v>173</v>
      </c>
      <c r="U2062" s="7" t="s">
        <v>345</v>
      </c>
      <c r="V2062" s="7"/>
      <c r="W2062" s="7">
        <v>84.1</v>
      </c>
      <c r="X2062" s="132">
        <f t="shared" si="225"/>
        <v>10</v>
      </c>
      <c r="Y2062" s="133"/>
      <c r="Z2062" s="133"/>
      <c r="AA2062" s="133"/>
    </row>
    <row r="2063" spans="1:27" hidden="1" x14ac:dyDescent="0.25">
      <c r="A2063" s="127">
        <v>2248</v>
      </c>
      <c r="B2063" s="128" t="str">
        <f t="shared" si="226"/>
        <v>NAMS</v>
      </c>
      <c r="C2063" s="128" t="str">
        <f>+VLOOKUP(U2063,Ходим!A:B,2,0)</f>
        <v>52407055960122</v>
      </c>
      <c r="D2063" s="128" t="str">
        <f>IFERROR(VLOOKUP($B:$B,[20]свод!$A:$AB,3,0)," ")</f>
        <v>Наманган шаҳар</v>
      </c>
      <c r="E2063" s="7" t="s">
        <v>3199</v>
      </c>
      <c r="F2063" s="7" t="s">
        <v>9576</v>
      </c>
      <c r="G2063" s="134">
        <f t="shared" si="229"/>
        <v>1</v>
      </c>
      <c r="H2063" s="134" t="str">
        <f t="shared" si="230"/>
        <v/>
      </c>
      <c r="I2063" s="7" t="s">
        <v>156</v>
      </c>
      <c r="J2063" s="7" t="s">
        <v>25</v>
      </c>
      <c r="K2063" s="7"/>
      <c r="L2063" s="7" t="s">
        <v>167</v>
      </c>
      <c r="M2063" s="7" t="s">
        <v>5585</v>
      </c>
      <c r="N2063" s="7" t="s">
        <v>170</v>
      </c>
      <c r="O2063" s="7" t="s">
        <v>162</v>
      </c>
      <c r="P2063" s="7" t="s">
        <v>7215</v>
      </c>
      <c r="Q2063" s="129">
        <v>46199</v>
      </c>
      <c r="R2063" s="130">
        <f t="shared" si="228"/>
        <v>46203</v>
      </c>
      <c r="S2063" s="131">
        <f t="shared" si="227"/>
        <v>4</v>
      </c>
      <c r="T2063" s="7" t="s">
        <v>173</v>
      </c>
      <c r="U2063" s="7" t="s">
        <v>345</v>
      </c>
      <c r="V2063" s="7"/>
      <c r="W2063" s="7">
        <v>527.48</v>
      </c>
      <c r="X2063" s="132">
        <f t="shared" si="225"/>
        <v>10</v>
      </c>
      <c r="Y2063" s="133"/>
      <c r="Z2063" s="133"/>
      <c r="AA2063" s="133"/>
    </row>
    <row r="2064" spans="1:27" hidden="1" x14ac:dyDescent="0.25">
      <c r="A2064" s="127">
        <v>2249</v>
      </c>
      <c r="B2064" s="128" t="str">
        <f t="shared" si="226"/>
        <v>NAMS</v>
      </c>
      <c r="C2064" s="128" t="str">
        <f>+VLOOKUP(U2064,Ходим!A:B,2,0)</f>
        <v>31007955980023</v>
      </c>
      <c r="D2064" s="128" t="str">
        <f>IFERROR(VLOOKUP($B:$B,[20]свод!$A:$AB,3,0)," ")</f>
        <v>Наманган шаҳар</v>
      </c>
      <c r="E2064" s="7" t="s">
        <v>3200</v>
      </c>
      <c r="F2064" s="7" t="s">
        <v>9577</v>
      </c>
      <c r="G2064" s="134">
        <f t="shared" si="229"/>
        <v>1</v>
      </c>
      <c r="H2064" s="134" t="str">
        <f t="shared" si="230"/>
        <v/>
      </c>
      <c r="I2064" s="7" t="s">
        <v>158</v>
      </c>
      <c r="J2064" s="7" t="s">
        <v>15</v>
      </c>
      <c r="K2064" s="7"/>
      <c r="L2064" s="7" t="s">
        <v>167</v>
      </c>
      <c r="M2064" s="7" t="s">
        <v>5586</v>
      </c>
      <c r="N2064" s="7" t="s">
        <v>170</v>
      </c>
      <c r="O2064" s="7" t="s">
        <v>162</v>
      </c>
      <c r="P2064" s="7" t="s">
        <v>7216</v>
      </c>
      <c r="Q2064" s="129">
        <v>46199</v>
      </c>
      <c r="R2064" s="130">
        <f t="shared" si="228"/>
        <v>46206</v>
      </c>
      <c r="S2064" s="131">
        <f t="shared" si="227"/>
        <v>7</v>
      </c>
      <c r="T2064" s="7" t="s">
        <v>173</v>
      </c>
      <c r="U2064" s="7" t="s">
        <v>207</v>
      </c>
      <c r="V2064" s="7"/>
      <c r="W2064" s="7">
        <v>768.8</v>
      </c>
      <c r="X2064" s="132">
        <f t="shared" si="225"/>
        <v>10</v>
      </c>
      <c r="Y2064" s="133"/>
      <c r="Z2064" s="133"/>
      <c r="AA2064" s="133"/>
    </row>
    <row r="2065" spans="1:27" hidden="1" x14ac:dyDescent="0.25">
      <c r="A2065" s="127">
        <v>2251</v>
      </c>
      <c r="B2065" s="128" t="str">
        <f t="shared" si="226"/>
        <v>KSST</v>
      </c>
      <c r="C2065" s="128" t="str">
        <f>+VLOOKUP(U2065,Ходим!A:B,2,0)</f>
        <v>31407932190092</v>
      </c>
      <c r="D2065" s="128" t="str">
        <f>IFERROR(VLOOKUP($B:$B,[20]свод!$A:$AB,3,0)," ")</f>
        <v>Косонсой тумани</v>
      </c>
      <c r="E2065" s="7" t="s">
        <v>3201</v>
      </c>
      <c r="F2065" s="7" t="s">
        <v>9578</v>
      </c>
      <c r="G2065" s="134">
        <f t="shared" si="229"/>
        <v>1</v>
      </c>
      <c r="H2065" s="134" t="str">
        <f t="shared" si="230"/>
        <v/>
      </c>
      <c r="I2065" s="7" t="s">
        <v>158</v>
      </c>
      <c r="J2065" s="7" t="s">
        <v>2</v>
      </c>
      <c r="K2065" s="7"/>
      <c r="L2065" s="7" t="s">
        <v>167</v>
      </c>
      <c r="M2065" s="7" t="s">
        <v>5587</v>
      </c>
      <c r="N2065" s="7" t="s">
        <v>170</v>
      </c>
      <c r="O2065" s="7" t="s">
        <v>162</v>
      </c>
      <c r="P2065" s="7" t="s">
        <v>7217</v>
      </c>
      <c r="Q2065" s="129">
        <v>46199</v>
      </c>
      <c r="R2065" s="130">
        <f t="shared" si="228"/>
        <v>46206</v>
      </c>
      <c r="S2065" s="131">
        <f t="shared" si="227"/>
        <v>7</v>
      </c>
      <c r="T2065" s="7" t="s">
        <v>180</v>
      </c>
      <c r="U2065" s="7" t="s">
        <v>188</v>
      </c>
      <c r="V2065" s="7"/>
      <c r="W2065" s="7">
        <v>56.8</v>
      </c>
      <c r="X2065" s="132">
        <f t="shared" si="225"/>
        <v>10</v>
      </c>
      <c r="Y2065" s="133"/>
      <c r="Z2065" s="133"/>
      <c r="AA2065" s="133"/>
    </row>
    <row r="2066" spans="1:27" hidden="1" x14ac:dyDescent="0.25">
      <c r="A2066" s="127">
        <v>2252</v>
      </c>
      <c r="B2066" s="128" t="str">
        <f t="shared" si="226"/>
        <v>NORT</v>
      </c>
      <c r="C2066" s="128" t="str">
        <f>+VLOOKUP(U2066,Ходим!A:B,2,0)</f>
        <v>31709822110011</v>
      </c>
      <c r="D2066" s="128" t="str">
        <f>IFERROR(VLOOKUP($B:$B,[20]свод!$A:$AB,3,0)," ")</f>
        <v>Норин тумани</v>
      </c>
      <c r="E2066" s="7" t="s">
        <v>3202</v>
      </c>
      <c r="F2066" s="7" t="s">
        <v>9579</v>
      </c>
      <c r="G2066" s="134" t="str">
        <f t="shared" si="229"/>
        <v/>
      </c>
      <c r="H2066" s="134">
        <f t="shared" si="230"/>
        <v>1</v>
      </c>
      <c r="I2066" s="7" t="s">
        <v>157</v>
      </c>
      <c r="J2066" s="7" t="s">
        <v>2</v>
      </c>
      <c r="K2066" s="7"/>
      <c r="L2066" s="7"/>
      <c r="M2066" s="7"/>
      <c r="N2066" s="7" t="s">
        <v>170</v>
      </c>
      <c r="O2066" s="7" t="s">
        <v>161</v>
      </c>
      <c r="P2066" s="7" t="s">
        <v>7218</v>
      </c>
      <c r="Q2066" s="129">
        <v>46199</v>
      </c>
      <c r="R2066" s="130">
        <f t="shared" si="228"/>
        <v>46206</v>
      </c>
      <c r="S2066" s="131">
        <f t="shared" si="227"/>
        <v>7</v>
      </c>
      <c r="T2066" s="7" t="s">
        <v>210</v>
      </c>
      <c r="U2066" s="7" t="s">
        <v>354</v>
      </c>
      <c r="V2066" s="7"/>
      <c r="W2066" s="7"/>
      <c r="X2066" s="132">
        <f t="shared" si="225"/>
        <v>10</v>
      </c>
      <c r="Y2066" s="133"/>
      <c r="Z2066" s="133"/>
      <c r="AA2066" s="133"/>
    </row>
    <row r="2067" spans="1:27" hidden="1" x14ac:dyDescent="0.25">
      <c r="A2067" s="127">
        <v>2253</v>
      </c>
      <c r="B2067" s="128" t="str">
        <f t="shared" si="226"/>
        <v>KSST</v>
      </c>
      <c r="C2067" s="128" t="str">
        <f>+VLOOKUP(U2067,Ходим!A:B,2,0)</f>
        <v>30205975980020</v>
      </c>
      <c r="D2067" s="128" t="str">
        <f>IFERROR(VLOOKUP($B:$B,[20]свод!$A:$AB,3,0)," ")</f>
        <v>Косонсой тумани</v>
      </c>
      <c r="E2067" s="7" t="s">
        <v>3203</v>
      </c>
      <c r="F2067" s="7" t="s">
        <v>9580</v>
      </c>
      <c r="G2067" s="134">
        <f t="shared" si="229"/>
        <v>1</v>
      </c>
      <c r="H2067" s="134" t="str">
        <f t="shared" si="230"/>
        <v/>
      </c>
      <c r="I2067" s="7" t="s">
        <v>158</v>
      </c>
      <c r="J2067" s="7" t="s">
        <v>2</v>
      </c>
      <c r="K2067" s="7"/>
      <c r="L2067" s="7" t="s">
        <v>167</v>
      </c>
      <c r="M2067" s="7" t="s">
        <v>5588</v>
      </c>
      <c r="N2067" s="7" t="s">
        <v>170</v>
      </c>
      <c r="O2067" s="7" t="s">
        <v>162</v>
      </c>
      <c r="P2067" s="7" t="s">
        <v>7219</v>
      </c>
      <c r="Q2067" s="129">
        <v>46199</v>
      </c>
      <c r="R2067" s="130">
        <f t="shared" si="228"/>
        <v>46203</v>
      </c>
      <c r="S2067" s="131">
        <f t="shared" si="227"/>
        <v>4</v>
      </c>
      <c r="T2067" s="7" t="s">
        <v>180</v>
      </c>
      <c r="U2067" s="7" t="s">
        <v>370</v>
      </c>
      <c r="V2067" s="7"/>
      <c r="W2067" s="7">
        <v>113.44</v>
      </c>
      <c r="X2067" s="132">
        <f t="shared" si="225"/>
        <v>10</v>
      </c>
      <c r="Y2067" s="133"/>
      <c r="Z2067" s="133"/>
      <c r="AA2067" s="133"/>
    </row>
    <row r="2068" spans="1:27" hidden="1" x14ac:dyDescent="0.25">
      <c r="A2068" s="127">
        <v>2254</v>
      </c>
      <c r="B2068" s="128" t="str">
        <f t="shared" si="226"/>
        <v>CHUT</v>
      </c>
      <c r="C2068" s="128" t="str">
        <f>+VLOOKUP(U2068,Ходим!A:B,2,0)</f>
        <v>30901882180031</v>
      </c>
      <c r="D2068" s="128" t="str">
        <f>IFERROR(VLOOKUP($B:$B,[20]свод!$A:$AB,3,0)," ")</f>
        <v>Чуст тумани</v>
      </c>
      <c r="E2068" s="7" t="s">
        <v>3204</v>
      </c>
      <c r="F2068" s="7" t="s">
        <v>9581</v>
      </c>
      <c r="G2068" s="134" t="str">
        <f t="shared" si="229"/>
        <v/>
      </c>
      <c r="H2068" s="134">
        <f t="shared" si="230"/>
        <v>1</v>
      </c>
      <c r="I2068" s="7" t="s">
        <v>154</v>
      </c>
      <c r="J2068" s="7" t="s">
        <v>172</v>
      </c>
      <c r="K2068" s="7"/>
      <c r="L2068" s="7" t="s">
        <v>166</v>
      </c>
      <c r="M2068" s="7" t="s">
        <v>5589</v>
      </c>
      <c r="N2068" s="7" t="s">
        <v>170</v>
      </c>
      <c r="O2068" s="7" t="s">
        <v>161</v>
      </c>
      <c r="P2068" s="7" t="s">
        <v>7219</v>
      </c>
      <c r="Q2068" s="129">
        <v>46199</v>
      </c>
      <c r="R2068" s="130">
        <f t="shared" si="228"/>
        <v>46212</v>
      </c>
      <c r="S2068" s="131">
        <f t="shared" si="227"/>
        <v>13</v>
      </c>
      <c r="T2068" s="7" t="s">
        <v>178</v>
      </c>
      <c r="U2068" s="7" t="s">
        <v>238</v>
      </c>
      <c r="V2068" s="7"/>
      <c r="W2068" s="7">
        <v>2450.56</v>
      </c>
      <c r="X2068" s="132">
        <f t="shared" si="225"/>
        <v>17</v>
      </c>
      <c r="Y2068" s="133"/>
      <c r="Z2068" s="133"/>
      <c r="AA2068" s="133"/>
    </row>
    <row r="2069" spans="1:27" hidden="1" x14ac:dyDescent="0.25">
      <c r="A2069" s="127">
        <v>2255</v>
      </c>
      <c r="B2069" s="128" t="str">
        <f t="shared" si="226"/>
        <v>UCQT</v>
      </c>
      <c r="C2069" s="128" t="str">
        <f>+VLOOKUP(U2069,Ходим!A:B,2,0)</f>
        <v>42005872150022</v>
      </c>
      <c r="D2069" s="128" t="str">
        <f>IFERROR(VLOOKUP($B:$B,[20]свод!$A:$AB,3,0)," ")</f>
        <v>Учқўрғон тумани</v>
      </c>
      <c r="E2069" s="7" t="s">
        <v>3205</v>
      </c>
      <c r="F2069" s="7" t="s">
        <v>9582</v>
      </c>
      <c r="G2069" s="134">
        <f t="shared" si="229"/>
        <v>1</v>
      </c>
      <c r="H2069" s="134" t="str">
        <f t="shared" si="230"/>
        <v/>
      </c>
      <c r="I2069" s="7" t="s">
        <v>156</v>
      </c>
      <c r="J2069" s="7" t="s">
        <v>22</v>
      </c>
      <c r="K2069" s="7"/>
      <c r="L2069" s="7"/>
      <c r="M2069" s="7"/>
      <c r="N2069" s="7" t="s">
        <v>170</v>
      </c>
      <c r="O2069" s="7" t="s">
        <v>162</v>
      </c>
      <c r="P2069" s="7" t="s">
        <v>7220</v>
      </c>
      <c r="Q2069" s="129">
        <v>46199</v>
      </c>
      <c r="R2069" s="130">
        <f t="shared" si="228"/>
        <v>46203</v>
      </c>
      <c r="S2069" s="131">
        <f t="shared" si="227"/>
        <v>4</v>
      </c>
      <c r="T2069" s="7" t="s">
        <v>175</v>
      </c>
      <c r="U2069" s="7" t="s">
        <v>176</v>
      </c>
      <c r="V2069" s="7"/>
      <c r="W2069" s="7"/>
      <c r="X2069" s="132">
        <f t="shared" si="225"/>
        <v>10</v>
      </c>
      <c r="Y2069" s="133"/>
      <c r="Z2069" s="133"/>
      <c r="AA2069" s="133"/>
    </row>
    <row r="2070" spans="1:27" hidden="1" x14ac:dyDescent="0.25">
      <c r="A2070" s="127">
        <v>2256</v>
      </c>
      <c r="B2070" s="128" t="str">
        <f t="shared" si="226"/>
        <v>TORT</v>
      </c>
      <c r="C2070" s="128" t="str">
        <f>+VLOOKUP(U2070,Ходим!A:B,2,0)</f>
        <v>31110892130070</v>
      </c>
      <c r="D2070" s="128" t="str">
        <f>IFERROR(VLOOKUP($B:$B,[20]свод!$A:$AB,3,0)," ")</f>
        <v>Тўрақўрғон тумани</v>
      </c>
      <c r="E2070" s="7" t="s">
        <v>3206</v>
      </c>
      <c r="F2070" s="7" t="s">
        <v>9583</v>
      </c>
      <c r="G2070" s="134" t="str">
        <f t="shared" si="229"/>
        <v/>
      </c>
      <c r="H2070" s="134">
        <f t="shared" si="230"/>
        <v>1</v>
      </c>
      <c r="I2070" s="7" t="s">
        <v>157</v>
      </c>
      <c r="J2070" s="7" t="s">
        <v>2</v>
      </c>
      <c r="K2070" s="7"/>
      <c r="L2070" s="7" t="s">
        <v>166</v>
      </c>
      <c r="M2070" s="7" t="s">
        <v>5590</v>
      </c>
      <c r="N2070" s="7" t="s">
        <v>170</v>
      </c>
      <c r="O2070" s="7" t="s">
        <v>161</v>
      </c>
      <c r="P2070" s="7" t="s">
        <v>7220</v>
      </c>
      <c r="Q2070" s="129">
        <v>46199</v>
      </c>
      <c r="R2070" s="130">
        <f t="shared" si="228"/>
        <v>46203</v>
      </c>
      <c r="S2070" s="131">
        <f t="shared" si="227"/>
        <v>4</v>
      </c>
      <c r="T2070" s="7" t="s">
        <v>203</v>
      </c>
      <c r="U2070" s="7" t="s">
        <v>297</v>
      </c>
      <c r="V2070" s="7"/>
      <c r="W2070" s="7">
        <v>0</v>
      </c>
      <c r="X2070" s="132">
        <f t="shared" si="225"/>
        <v>10</v>
      </c>
      <c r="Y2070" s="133"/>
      <c r="Z2070" s="133"/>
      <c r="AA2070" s="133"/>
    </row>
    <row r="2071" spans="1:27" hidden="1" x14ac:dyDescent="0.25">
      <c r="A2071" s="127">
        <v>2258</v>
      </c>
      <c r="B2071" s="128" t="str">
        <f t="shared" si="226"/>
        <v>CHOT</v>
      </c>
      <c r="C2071" s="128" t="str">
        <f>+VLOOKUP(U2071,Ходим!A:B,2,0)</f>
        <v>32906975890046</v>
      </c>
      <c r="D2071" s="128" t="str">
        <f>IFERROR(VLOOKUP($B:$B,[20]свод!$A:$AB,3,0)," ")</f>
        <v>Чортоқ тумани</v>
      </c>
      <c r="E2071" s="7" t="s">
        <v>3207</v>
      </c>
      <c r="F2071" s="7" t="s">
        <v>9584</v>
      </c>
      <c r="G2071" s="134">
        <f t="shared" si="229"/>
        <v>1</v>
      </c>
      <c r="H2071" s="134" t="str">
        <f t="shared" si="230"/>
        <v/>
      </c>
      <c r="I2071" s="7" t="s">
        <v>158</v>
      </c>
      <c r="J2071" s="7" t="s">
        <v>2</v>
      </c>
      <c r="K2071" s="7"/>
      <c r="L2071" s="7" t="s">
        <v>167</v>
      </c>
      <c r="M2071" s="7" t="s">
        <v>5591</v>
      </c>
      <c r="N2071" s="7" t="s">
        <v>170</v>
      </c>
      <c r="O2071" s="7" t="s">
        <v>162</v>
      </c>
      <c r="P2071" s="7" t="s">
        <v>7220</v>
      </c>
      <c r="Q2071" s="129">
        <v>46199</v>
      </c>
      <c r="R2071" s="130">
        <f t="shared" si="228"/>
        <v>46203</v>
      </c>
      <c r="S2071" s="131">
        <f t="shared" si="227"/>
        <v>4</v>
      </c>
      <c r="T2071" s="7" t="s">
        <v>184</v>
      </c>
      <c r="U2071" s="7" t="s">
        <v>335</v>
      </c>
      <c r="V2071" s="7"/>
      <c r="W2071" s="7">
        <v>101.42</v>
      </c>
      <c r="X2071" s="132">
        <f t="shared" si="225"/>
        <v>10</v>
      </c>
      <c r="Y2071" s="133"/>
      <c r="Z2071" s="133"/>
      <c r="AA2071" s="133"/>
    </row>
    <row r="2072" spans="1:27" hidden="1" x14ac:dyDescent="0.25">
      <c r="A2072" s="127">
        <v>2259</v>
      </c>
      <c r="B2072" s="128" t="str">
        <f t="shared" si="226"/>
        <v>TORT</v>
      </c>
      <c r="C2072" s="128" t="str">
        <f>+VLOOKUP(U2072,Ходим!A:B,2,0)</f>
        <v>31701915920077</v>
      </c>
      <c r="D2072" s="128" t="str">
        <f>IFERROR(VLOOKUP($B:$B,[20]свод!$A:$AB,3,0)," ")</f>
        <v>Тўрақўрғон тумани</v>
      </c>
      <c r="E2072" s="7" t="s">
        <v>3208</v>
      </c>
      <c r="F2072" s="7" t="s">
        <v>9585</v>
      </c>
      <c r="G2072" s="134">
        <f t="shared" si="229"/>
        <v>1</v>
      </c>
      <c r="H2072" s="134" t="str">
        <f t="shared" si="230"/>
        <v/>
      </c>
      <c r="I2072" s="7" t="s">
        <v>158</v>
      </c>
      <c r="J2072" s="7" t="s">
        <v>1</v>
      </c>
      <c r="K2072" s="7"/>
      <c r="L2072" s="7" t="s">
        <v>167</v>
      </c>
      <c r="M2072" s="7" t="s">
        <v>5592</v>
      </c>
      <c r="N2072" s="7" t="s">
        <v>170</v>
      </c>
      <c r="O2072" s="7" t="s">
        <v>163</v>
      </c>
      <c r="P2072" s="7" t="s">
        <v>7221</v>
      </c>
      <c r="Q2072" s="129">
        <v>46199</v>
      </c>
      <c r="R2072" s="130">
        <f t="shared" si="228"/>
        <v>46203</v>
      </c>
      <c r="S2072" s="131">
        <f t="shared" si="227"/>
        <v>4</v>
      </c>
      <c r="T2072" s="7" t="s">
        <v>203</v>
      </c>
      <c r="U2072" s="7" t="s">
        <v>332</v>
      </c>
      <c r="V2072" s="7"/>
      <c r="W2072" s="7">
        <v>371.23</v>
      </c>
      <c r="X2072" s="132">
        <f t="shared" si="225"/>
        <v>10</v>
      </c>
      <c r="Y2072" s="133"/>
      <c r="Z2072" s="133"/>
      <c r="AA2072" s="133"/>
    </row>
    <row r="2073" spans="1:27" hidden="1" x14ac:dyDescent="0.25">
      <c r="A2073" s="127">
        <v>2260</v>
      </c>
      <c r="B2073" s="128" t="str">
        <f t="shared" si="226"/>
        <v>CHOT</v>
      </c>
      <c r="C2073" s="128" t="str">
        <f>+VLOOKUP(U2073,Ходим!A:B,2,0)</f>
        <v>50310015890046</v>
      </c>
      <c r="D2073" s="128" t="str">
        <f>IFERROR(VLOOKUP($B:$B,[20]свод!$A:$AB,3,0)," ")</f>
        <v>Чортоқ тумани</v>
      </c>
      <c r="E2073" s="7" t="s">
        <v>3209</v>
      </c>
      <c r="F2073" s="7" t="s">
        <v>9586</v>
      </c>
      <c r="G2073" s="134" t="str">
        <f t="shared" si="229"/>
        <v/>
      </c>
      <c r="H2073" s="134">
        <f t="shared" si="230"/>
        <v>1</v>
      </c>
      <c r="I2073" s="7" t="s">
        <v>157</v>
      </c>
      <c r="J2073" s="7" t="s">
        <v>16</v>
      </c>
      <c r="K2073" s="7"/>
      <c r="L2073" s="7" t="s">
        <v>166</v>
      </c>
      <c r="M2073" s="7" t="s">
        <v>5593</v>
      </c>
      <c r="N2073" s="7" t="s">
        <v>170</v>
      </c>
      <c r="O2073" s="7" t="s">
        <v>161</v>
      </c>
      <c r="P2073" s="7" t="s">
        <v>7221</v>
      </c>
      <c r="Q2073" s="129">
        <v>46199</v>
      </c>
      <c r="R2073" s="130">
        <f t="shared" si="228"/>
        <v>46212</v>
      </c>
      <c r="S2073" s="131">
        <f t="shared" si="227"/>
        <v>13</v>
      </c>
      <c r="T2073" s="7" t="s">
        <v>184</v>
      </c>
      <c r="U2073" s="7" t="s">
        <v>404</v>
      </c>
      <c r="V2073" s="7"/>
      <c r="W2073" s="7">
        <v>1391.6</v>
      </c>
      <c r="X2073" s="132">
        <f t="shared" si="225"/>
        <v>17</v>
      </c>
      <c r="Y2073" s="133"/>
      <c r="Z2073" s="133"/>
      <c r="AA2073" s="133"/>
    </row>
    <row r="2074" spans="1:27" hidden="1" x14ac:dyDescent="0.25">
      <c r="A2074" s="127">
        <v>2261</v>
      </c>
      <c r="B2074" s="128" t="str">
        <f t="shared" si="226"/>
        <v>YGQT</v>
      </c>
      <c r="C2074" s="128" t="str">
        <f>+VLOOKUP(U2074,Ходим!A:B,2,0)</f>
        <v>32806922160043</v>
      </c>
      <c r="D2074" s="128" t="str">
        <f>IFERROR(VLOOKUP($B:$B,[20]свод!$A:$AB,3,0)," ")</f>
        <v>Янгиқўрғон тумани</v>
      </c>
      <c r="E2074" s="7" t="s">
        <v>3210</v>
      </c>
      <c r="F2074" s="7" t="s">
        <v>9587</v>
      </c>
      <c r="G2074" s="134">
        <f t="shared" si="229"/>
        <v>1</v>
      </c>
      <c r="H2074" s="134" t="str">
        <f t="shared" si="230"/>
        <v/>
      </c>
      <c r="I2074" s="7" t="s">
        <v>158</v>
      </c>
      <c r="J2074" s="7" t="s">
        <v>134</v>
      </c>
      <c r="K2074" s="7"/>
      <c r="L2074" s="7"/>
      <c r="M2074" s="7"/>
      <c r="N2074" s="7" t="s">
        <v>170</v>
      </c>
      <c r="O2074" s="7" t="s">
        <v>162</v>
      </c>
      <c r="P2074" s="7" t="s">
        <v>7221</v>
      </c>
      <c r="Q2074" s="129">
        <v>46199</v>
      </c>
      <c r="R2074" s="130">
        <f t="shared" si="228"/>
        <v>46203</v>
      </c>
      <c r="S2074" s="131">
        <f t="shared" si="227"/>
        <v>4</v>
      </c>
      <c r="T2074" s="7" t="s">
        <v>255</v>
      </c>
      <c r="U2074" s="7" t="s">
        <v>186</v>
      </c>
      <c r="V2074" s="7"/>
      <c r="W2074" s="7"/>
      <c r="X2074" s="132">
        <f t="shared" si="225"/>
        <v>10</v>
      </c>
      <c r="Y2074" s="133"/>
      <c r="Z2074" s="133"/>
      <c r="AA2074" s="133"/>
    </row>
    <row r="2075" spans="1:27" hidden="1" x14ac:dyDescent="0.25">
      <c r="A2075" s="127">
        <v>2262</v>
      </c>
      <c r="B2075" s="128" t="str">
        <f t="shared" si="226"/>
        <v>TORT</v>
      </c>
      <c r="C2075" s="128" t="str">
        <f>+VLOOKUP(U2075,Ходим!A:B,2,0)</f>
        <v>31609912130025</v>
      </c>
      <c r="D2075" s="128" t="str">
        <f>IFERROR(VLOOKUP($B:$B,[20]свод!$A:$AB,3,0)," ")</f>
        <v>Тўрақўрғон тумани</v>
      </c>
      <c r="E2075" s="7" t="s">
        <v>3211</v>
      </c>
      <c r="F2075" s="7" t="s">
        <v>9588</v>
      </c>
      <c r="G2075" s="134">
        <f t="shared" si="229"/>
        <v>1</v>
      </c>
      <c r="H2075" s="134" t="str">
        <f t="shared" si="230"/>
        <v/>
      </c>
      <c r="I2075" s="7" t="s">
        <v>158</v>
      </c>
      <c r="J2075" s="7" t="s">
        <v>2</v>
      </c>
      <c r="K2075" s="7"/>
      <c r="L2075" s="7" t="s">
        <v>167</v>
      </c>
      <c r="M2075" s="7" t="s">
        <v>5594</v>
      </c>
      <c r="N2075" s="7" t="s">
        <v>170</v>
      </c>
      <c r="O2075" s="7" t="s">
        <v>162</v>
      </c>
      <c r="P2075" s="7" t="s">
        <v>7221</v>
      </c>
      <c r="Q2075" s="129">
        <v>46199</v>
      </c>
      <c r="R2075" s="130">
        <f t="shared" si="228"/>
        <v>46203</v>
      </c>
      <c r="S2075" s="131">
        <f t="shared" si="227"/>
        <v>4</v>
      </c>
      <c r="T2075" s="7" t="s">
        <v>203</v>
      </c>
      <c r="U2075" s="7" t="s">
        <v>280</v>
      </c>
      <c r="V2075" s="7"/>
      <c r="W2075" s="7">
        <v>0</v>
      </c>
      <c r="X2075" s="132">
        <f t="shared" si="225"/>
        <v>10</v>
      </c>
      <c r="Y2075" s="133"/>
      <c r="Z2075" s="133"/>
      <c r="AA2075" s="133"/>
    </row>
    <row r="2076" spans="1:27" hidden="1" x14ac:dyDescent="0.25">
      <c r="A2076" s="127">
        <v>2263</v>
      </c>
      <c r="B2076" s="128" t="str">
        <f t="shared" si="226"/>
        <v>UYCT</v>
      </c>
      <c r="C2076" s="128" t="str">
        <f>+VLOOKUP(U2076,Ходим!A:B,2,0)</f>
        <v>32906985930035</v>
      </c>
      <c r="D2076" s="128" t="str">
        <f>IFERROR(VLOOKUP($B:$B,[20]свод!$A:$AB,3,0)," ")</f>
        <v>Уйчи тумани</v>
      </c>
      <c r="E2076" s="7" t="s">
        <v>3212</v>
      </c>
      <c r="F2076" s="7" t="s">
        <v>9589</v>
      </c>
      <c r="G2076" s="134">
        <f t="shared" si="229"/>
        <v>1</v>
      </c>
      <c r="H2076" s="134" t="str">
        <f t="shared" si="230"/>
        <v/>
      </c>
      <c r="I2076" s="7" t="s">
        <v>158</v>
      </c>
      <c r="J2076" s="7" t="s">
        <v>2</v>
      </c>
      <c r="K2076" s="7"/>
      <c r="L2076" s="7" t="s">
        <v>167</v>
      </c>
      <c r="M2076" s="7" t="s">
        <v>5595</v>
      </c>
      <c r="N2076" s="7" t="s">
        <v>410</v>
      </c>
      <c r="O2076" s="7" t="s">
        <v>162</v>
      </c>
      <c r="P2076" s="7" t="s">
        <v>7222</v>
      </c>
      <c r="Q2076" s="129">
        <v>46199</v>
      </c>
      <c r="R2076" s="130">
        <f t="shared" si="228"/>
        <v>46203</v>
      </c>
      <c r="S2076" s="131">
        <f t="shared" si="227"/>
        <v>4</v>
      </c>
      <c r="T2076" s="7" t="s">
        <v>379</v>
      </c>
      <c r="U2076" s="7" t="s">
        <v>257</v>
      </c>
      <c r="V2076" s="7"/>
      <c r="W2076" s="7">
        <v>85.5</v>
      </c>
      <c r="X2076" s="132">
        <f t="shared" ref="X2076:X2137" si="231">IF(N2076="Kadastr muhandisi",3,
IF(N2076="UZKAD",5,
IF(V2076="FREE",5,
IF(I2076="Registratsiya (tashqi - UZKAD da bor)",1,
IF(I2076="Avtoyo'l va suv xo'jaligi obyektining kadastr pasportini shakllantirish va ro'yxatga olish",7,
IF(I2076="Notarius uchun ma'lumotnoma (uz)",1,
IF(I2076="Qurilishi tugallangan ko'chmas mulkni foydalanishga qabul qilish",10,
IF(OR(I2076="Turar joy obyektning kadastr pasportini shakllantirish va davlat ro'yxatidan o'tkazish",I2076="Turar kompozit"),
IF(L2076="Turar yer maydoni",7,10),
IF(OR(I2076="Noturar obyektning kadastr pasportini shakllantirish va davlat ro'yxatidan o'tkazish",I2076="Noturar kompozit"),
IF(O2076="Ko‘p yillik daraxtlar xizmati",15,
IF(OR(L2076="Noturar yer maydoni",L2076="Davlat tashkilotlaridan ijaraga olingan yer uchastkasi"),7,
IF(W2076&lt;100,10,IF(W2076&lt;=1000,12,IF(W2076&lt;=5000,17,IF(W2076&lt;=15000,22,IF(W2076&lt;=50000,28,37))))))),
IF(I2076="Umumiy foydalanishdagi ko'chmas mulk qismini yaratish",
IF(IF(TRIM(L2076)="",IF(OR(O2076="Turar joy xizmati",O2076="Yakka tartibdagi turar joy"),"Turar","Noturar"),IF(OR(L2076="Yakka tartibdagi turar joy",L2076="Turar joy xizmati"),"Turar","Noturar"))="Turar",
10,IF(W2076&lt;100,10,IF(W2076&lt;=1000,12,IF(W2076&lt;=5000,17,IF(W2076&lt;=15000,22,IF(W2076&lt;=50000,28,37)))))),
0))))))))))</f>
        <v>10</v>
      </c>
      <c r="Y2076" s="133"/>
      <c r="Z2076" s="133"/>
      <c r="AA2076" s="133"/>
    </row>
    <row r="2077" spans="1:27" hidden="1" x14ac:dyDescent="0.25">
      <c r="A2077" s="127">
        <v>2264</v>
      </c>
      <c r="B2077" s="128" t="str">
        <f t="shared" ref="B2077:B2138" si="232">LEFT(E2077,4)</f>
        <v>NAMS</v>
      </c>
      <c r="C2077" s="128">
        <f>+VLOOKUP(U2077,Ходим!A:B,2,0)</f>
        <v>51006025960068</v>
      </c>
      <c r="D2077" s="128" t="str">
        <f>IFERROR(VLOOKUP($B:$B,[20]свод!$A:$AB,3,0)," ")</f>
        <v>Наманган шаҳар</v>
      </c>
      <c r="E2077" s="7" t="s">
        <v>3213</v>
      </c>
      <c r="F2077" s="7" t="s">
        <v>9590</v>
      </c>
      <c r="G2077" s="134" t="str">
        <f t="shared" si="229"/>
        <v/>
      </c>
      <c r="H2077" s="134">
        <f t="shared" si="230"/>
        <v>1</v>
      </c>
      <c r="I2077" s="7" t="s">
        <v>157</v>
      </c>
      <c r="J2077" s="7" t="s">
        <v>13</v>
      </c>
      <c r="K2077" s="7"/>
      <c r="L2077" s="7" t="s">
        <v>166</v>
      </c>
      <c r="M2077" s="7" t="s">
        <v>5596</v>
      </c>
      <c r="N2077" s="7" t="s">
        <v>410</v>
      </c>
      <c r="O2077" s="7" t="s">
        <v>161</v>
      </c>
      <c r="P2077" s="7" t="s">
        <v>6735</v>
      </c>
      <c r="Q2077" s="129">
        <v>46199</v>
      </c>
      <c r="R2077" s="130">
        <f t="shared" si="228"/>
        <v>46212</v>
      </c>
      <c r="S2077" s="131">
        <f t="shared" ref="S2077:S2138" si="233">R2077-Q2077</f>
        <v>13</v>
      </c>
      <c r="T2077" s="7" t="s">
        <v>227</v>
      </c>
      <c r="U2077" s="7" t="s">
        <v>944</v>
      </c>
      <c r="V2077" s="7"/>
      <c r="W2077" s="7">
        <v>0</v>
      </c>
      <c r="X2077" s="132">
        <f t="shared" si="231"/>
        <v>10</v>
      </c>
      <c r="Y2077" s="133"/>
      <c r="Z2077" s="133"/>
      <c r="AA2077" s="133"/>
    </row>
    <row r="2078" spans="1:27" hidden="1" x14ac:dyDescent="0.25">
      <c r="A2078" s="127">
        <v>2265</v>
      </c>
      <c r="B2078" s="128" t="str">
        <f t="shared" si="232"/>
        <v>YGQT</v>
      </c>
      <c r="C2078" s="128" t="str">
        <f>+VLOOKUP(U2078,Ходим!A:B,2,0)</f>
        <v>52802005950028</v>
      </c>
      <c r="D2078" s="128" t="str">
        <f>IFERROR(VLOOKUP($B:$B,[20]свод!$A:$AB,3,0)," ")</f>
        <v>Янгиқўрғон тумани</v>
      </c>
      <c r="E2078" s="7" t="s">
        <v>3214</v>
      </c>
      <c r="F2078" s="7" t="s">
        <v>9591</v>
      </c>
      <c r="G2078" s="134" t="str">
        <f t="shared" si="229"/>
        <v/>
      </c>
      <c r="H2078" s="134">
        <f t="shared" si="230"/>
        <v>1</v>
      </c>
      <c r="I2078" s="7" t="s">
        <v>157</v>
      </c>
      <c r="J2078" s="7" t="s">
        <v>134</v>
      </c>
      <c r="K2078" s="7"/>
      <c r="L2078" s="7"/>
      <c r="M2078" s="7"/>
      <c r="N2078" s="7" t="s">
        <v>170</v>
      </c>
      <c r="O2078" s="7" t="s">
        <v>161</v>
      </c>
      <c r="P2078" s="7" t="s">
        <v>7041</v>
      </c>
      <c r="Q2078" s="129">
        <v>46199</v>
      </c>
      <c r="R2078" s="130">
        <f t="shared" si="228"/>
        <v>46206</v>
      </c>
      <c r="S2078" s="131">
        <f t="shared" si="233"/>
        <v>7</v>
      </c>
      <c r="T2078" s="7" t="s">
        <v>255</v>
      </c>
      <c r="U2078" s="7" t="s">
        <v>281</v>
      </c>
      <c r="V2078" s="7"/>
      <c r="W2078" s="7"/>
      <c r="X2078" s="132">
        <f t="shared" si="231"/>
        <v>10</v>
      </c>
      <c r="Y2078" s="133"/>
      <c r="Z2078" s="133"/>
      <c r="AA2078" s="133"/>
    </row>
    <row r="2079" spans="1:27" hidden="1" x14ac:dyDescent="0.25">
      <c r="A2079" s="127">
        <v>2266</v>
      </c>
      <c r="B2079" s="128" t="str">
        <f t="shared" si="232"/>
        <v>NAMS</v>
      </c>
      <c r="C2079" s="128" t="str">
        <f>+VLOOKUP(U2079,Ходим!A:B,2,0)</f>
        <v>31608732170178</v>
      </c>
      <c r="D2079" s="128" t="str">
        <f>IFERROR(VLOOKUP($B:$B,[20]свод!$A:$AB,3,0)," ")</f>
        <v>Наманган шаҳар</v>
      </c>
      <c r="E2079" s="7" t="s">
        <v>3215</v>
      </c>
      <c r="F2079" s="7" t="s">
        <v>9592</v>
      </c>
      <c r="G2079" s="134">
        <f t="shared" si="229"/>
        <v>1</v>
      </c>
      <c r="H2079" s="134" t="str">
        <f t="shared" si="230"/>
        <v/>
      </c>
      <c r="I2079" s="7" t="s">
        <v>156</v>
      </c>
      <c r="J2079" s="7" t="s">
        <v>25</v>
      </c>
      <c r="K2079" s="7"/>
      <c r="L2079" s="7"/>
      <c r="M2079" s="7"/>
      <c r="N2079" s="7" t="s">
        <v>170</v>
      </c>
      <c r="O2079" s="7" t="s">
        <v>162</v>
      </c>
      <c r="P2079" s="7" t="s">
        <v>7223</v>
      </c>
      <c r="Q2079" s="129">
        <v>46199</v>
      </c>
      <c r="R2079" s="130">
        <f t="shared" si="228"/>
        <v>46206</v>
      </c>
      <c r="S2079" s="131">
        <f t="shared" si="233"/>
        <v>7</v>
      </c>
      <c r="T2079" s="7" t="s">
        <v>173</v>
      </c>
      <c r="U2079" s="7" t="s">
        <v>267</v>
      </c>
      <c r="V2079" s="7"/>
      <c r="W2079" s="7"/>
      <c r="X2079" s="132">
        <f t="shared" si="231"/>
        <v>10</v>
      </c>
      <c r="Y2079" s="133"/>
      <c r="Z2079" s="133"/>
      <c r="AA2079" s="133"/>
    </row>
    <row r="2080" spans="1:27" hidden="1" x14ac:dyDescent="0.25">
      <c r="A2080" s="127">
        <v>2267</v>
      </c>
      <c r="B2080" s="128" t="str">
        <f t="shared" si="232"/>
        <v>CHUT</v>
      </c>
      <c r="C2080" s="128" t="str">
        <f>+VLOOKUP(U2080,Ходим!A:B,2,0)</f>
        <v>50905015970078</v>
      </c>
      <c r="D2080" s="128" t="str">
        <f>IFERROR(VLOOKUP($B:$B,[20]свод!$A:$AB,3,0)," ")</f>
        <v>Чуст тумани</v>
      </c>
      <c r="E2080" s="7" t="s">
        <v>3216</v>
      </c>
      <c r="F2080" s="7" t="s">
        <v>9593</v>
      </c>
      <c r="G2080" s="134">
        <f t="shared" si="229"/>
        <v>1</v>
      </c>
      <c r="H2080" s="134" t="str">
        <f t="shared" si="230"/>
        <v/>
      </c>
      <c r="I2080" s="7" t="s">
        <v>158</v>
      </c>
      <c r="J2080" s="7" t="s">
        <v>172</v>
      </c>
      <c r="K2080" s="7"/>
      <c r="L2080" s="7" t="s">
        <v>167</v>
      </c>
      <c r="M2080" s="7" t="s">
        <v>5597</v>
      </c>
      <c r="N2080" s="7" t="s">
        <v>170</v>
      </c>
      <c r="O2080" s="7" t="s">
        <v>162</v>
      </c>
      <c r="P2080" s="7" t="s">
        <v>7223</v>
      </c>
      <c r="Q2080" s="129">
        <v>46199</v>
      </c>
      <c r="R2080" s="130">
        <f t="shared" si="228"/>
        <v>46206</v>
      </c>
      <c r="S2080" s="131">
        <f t="shared" si="233"/>
        <v>7</v>
      </c>
      <c r="T2080" s="7" t="s">
        <v>178</v>
      </c>
      <c r="U2080" s="7" t="s">
        <v>521</v>
      </c>
      <c r="V2080" s="7"/>
      <c r="W2080" s="7">
        <v>80.099999999999994</v>
      </c>
      <c r="X2080" s="132">
        <f t="shared" si="231"/>
        <v>10</v>
      </c>
      <c r="Y2080" s="133"/>
      <c r="Z2080" s="133"/>
      <c r="AA2080" s="133"/>
    </row>
    <row r="2081" spans="1:27" hidden="1" x14ac:dyDescent="0.25">
      <c r="A2081" s="127">
        <v>2268</v>
      </c>
      <c r="B2081" s="128" t="str">
        <f t="shared" si="232"/>
        <v>UCQT</v>
      </c>
      <c r="C2081" s="128" t="str">
        <f>+VLOOKUP(U2081,Ходим!A:B,2,0)</f>
        <v>42005872150022</v>
      </c>
      <c r="D2081" s="128" t="str">
        <f>IFERROR(VLOOKUP($B:$B,[20]свод!$A:$AB,3,0)," ")</f>
        <v>Учқўрғон тумани</v>
      </c>
      <c r="E2081" s="7" t="s">
        <v>3217</v>
      </c>
      <c r="F2081" s="7" t="s">
        <v>9594</v>
      </c>
      <c r="G2081" s="134" t="str">
        <f t="shared" si="229"/>
        <v/>
      </c>
      <c r="H2081" s="134">
        <f t="shared" si="230"/>
        <v>1</v>
      </c>
      <c r="I2081" s="7" t="s">
        <v>157</v>
      </c>
      <c r="J2081" s="7" t="s">
        <v>16</v>
      </c>
      <c r="K2081" s="7"/>
      <c r="L2081" s="7" t="s">
        <v>166</v>
      </c>
      <c r="M2081" s="7" t="s">
        <v>985</v>
      </c>
      <c r="N2081" s="7" t="s">
        <v>170</v>
      </c>
      <c r="O2081" s="7" t="s">
        <v>161</v>
      </c>
      <c r="P2081" s="7" t="s">
        <v>6358</v>
      </c>
      <c r="Q2081" s="129">
        <v>46199</v>
      </c>
      <c r="R2081" s="130">
        <f t="shared" si="228"/>
        <v>46213</v>
      </c>
      <c r="S2081" s="131">
        <f t="shared" si="233"/>
        <v>14</v>
      </c>
      <c r="T2081" s="7" t="s">
        <v>390</v>
      </c>
      <c r="U2081" s="7" t="s">
        <v>176</v>
      </c>
      <c r="V2081" s="7"/>
      <c r="W2081" s="7">
        <v>2201.81</v>
      </c>
      <c r="X2081" s="132">
        <f t="shared" si="231"/>
        <v>17</v>
      </c>
      <c r="Y2081" s="133"/>
      <c r="Z2081" s="133"/>
      <c r="AA2081" s="133"/>
    </row>
    <row r="2082" spans="1:27" hidden="1" x14ac:dyDescent="0.25">
      <c r="A2082" s="127">
        <v>2269</v>
      </c>
      <c r="B2082" s="128" t="str">
        <f t="shared" si="232"/>
        <v>NAMS</v>
      </c>
      <c r="C2082" s="128" t="str">
        <f>+VLOOKUP(U2082,Ходим!A:B,2,0)</f>
        <v>30108932170088</v>
      </c>
      <c r="D2082" s="128" t="str">
        <f>IFERROR(VLOOKUP($B:$B,[20]свод!$A:$AB,3,0)," ")</f>
        <v>Наманган шаҳар</v>
      </c>
      <c r="E2082" s="7" t="s">
        <v>3218</v>
      </c>
      <c r="F2082" s="7" t="s">
        <v>9595</v>
      </c>
      <c r="G2082" s="134">
        <f t="shared" si="229"/>
        <v>1</v>
      </c>
      <c r="H2082" s="134" t="str">
        <f t="shared" si="230"/>
        <v/>
      </c>
      <c r="I2082" s="7" t="s">
        <v>156</v>
      </c>
      <c r="J2082" s="7" t="s">
        <v>22</v>
      </c>
      <c r="K2082" s="7"/>
      <c r="L2082" s="7" t="s">
        <v>167</v>
      </c>
      <c r="M2082" s="7" t="s">
        <v>5598</v>
      </c>
      <c r="N2082" s="7" t="s">
        <v>170</v>
      </c>
      <c r="O2082" s="7" t="s">
        <v>162</v>
      </c>
      <c r="P2082" s="7" t="s">
        <v>7224</v>
      </c>
      <c r="Q2082" s="129">
        <v>46199</v>
      </c>
      <c r="R2082" s="130">
        <f t="shared" si="228"/>
        <v>46206</v>
      </c>
      <c r="S2082" s="131">
        <f t="shared" si="233"/>
        <v>7</v>
      </c>
      <c r="T2082" s="7" t="s">
        <v>173</v>
      </c>
      <c r="U2082" s="7" t="s">
        <v>329</v>
      </c>
      <c r="V2082" s="7"/>
      <c r="W2082" s="7">
        <v>124.05</v>
      </c>
      <c r="X2082" s="132">
        <f t="shared" si="231"/>
        <v>10</v>
      </c>
      <c r="Y2082" s="133"/>
      <c r="Z2082" s="133"/>
      <c r="AA2082" s="133"/>
    </row>
    <row r="2083" spans="1:27" hidden="1" x14ac:dyDescent="0.25">
      <c r="A2083" s="127">
        <v>2270</v>
      </c>
      <c r="B2083" s="128" t="str">
        <f t="shared" si="232"/>
        <v>YGQT</v>
      </c>
      <c r="C2083" s="128" t="str">
        <f>+VLOOKUP(U2083,Ходим!A:B,2,0)</f>
        <v>31005985950058</v>
      </c>
      <c r="D2083" s="128" t="str">
        <f>IFERROR(VLOOKUP($B:$B,[20]свод!$A:$AB,3,0)," ")</f>
        <v>Янгиқўрғон тумани</v>
      </c>
      <c r="E2083" s="7" t="s">
        <v>3219</v>
      </c>
      <c r="F2083" s="7" t="s">
        <v>9596</v>
      </c>
      <c r="G2083" s="134">
        <f t="shared" si="229"/>
        <v>1</v>
      </c>
      <c r="H2083" s="134" t="str">
        <f t="shared" si="230"/>
        <v/>
      </c>
      <c r="I2083" s="7" t="s">
        <v>158</v>
      </c>
      <c r="J2083" s="7" t="s">
        <v>1</v>
      </c>
      <c r="K2083" s="7"/>
      <c r="L2083" s="7" t="s">
        <v>167</v>
      </c>
      <c r="M2083" s="7" t="s">
        <v>5599</v>
      </c>
      <c r="N2083" s="7" t="s">
        <v>170</v>
      </c>
      <c r="O2083" s="7" t="s">
        <v>162</v>
      </c>
      <c r="P2083" s="7" t="s">
        <v>6739</v>
      </c>
      <c r="Q2083" s="129">
        <v>46199</v>
      </c>
      <c r="R2083" s="130">
        <f t="shared" si="228"/>
        <v>46203</v>
      </c>
      <c r="S2083" s="131">
        <f t="shared" si="233"/>
        <v>4</v>
      </c>
      <c r="T2083" s="7" t="s">
        <v>182</v>
      </c>
      <c r="U2083" s="7" t="s">
        <v>311</v>
      </c>
      <c r="V2083" s="7"/>
      <c r="W2083" s="7">
        <v>469.48</v>
      </c>
      <c r="X2083" s="132">
        <f t="shared" si="231"/>
        <v>10</v>
      </c>
      <c r="Y2083" s="133"/>
      <c r="Z2083" s="133"/>
      <c r="AA2083" s="133"/>
    </row>
    <row r="2084" spans="1:27" hidden="1" x14ac:dyDescent="0.25">
      <c r="A2084" s="127">
        <v>2271</v>
      </c>
      <c r="B2084" s="128" t="str">
        <f t="shared" si="232"/>
        <v>YGQT</v>
      </c>
      <c r="C2084" s="128" t="str">
        <f>+VLOOKUP(U2084,Ходим!A:B,2,0)</f>
        <v>52410005950025</v>
      </c>
      <c r="D2084" s="128" t="str">
        <f>IFERROR(VLOOKUP($B:$B,[20]свод!$A:$AB,3,0)," ")</f>
        <v>Янгиқўрғон тумани</v>
      </c>
      <c r="E2084" s="7" t="s">
        <v>3220</v>
      </c>
      <c r="F2084" s="7" t="s">
        <v>9597</v>
      </c>
      <c r="G2084" s="134">
        <f t="shared" si="229"/>
        <v>1</v>
      </c>
      <c r="H2084" s="134" t="str">
        <f t="shared" si="230"/>
        <v/>
      </c>
      <c r="I2084" s="7" t="s">
        <v>158</v>
      </c>
      <c r="J2084" s="7" t="s">
        <v>2</v>
      </c>
      <c r="K2084" s="7"/>
      <c r="L2084" s="7" t="s">
        <v>167</v>
      </c>
      <c r="M2084" s="7" t="s">
        <v>5600</v>
      </c>
      <c r="N2084" s="7" t="s">
        <v>170</v>
      </c>
      <c r="O2084" s="7" t="s">
        <v>162</v>
      </c>
      <c r="P2084" s="7" t="s">
        <v>7224</v>
      </c>
      <c r="Q2084" s="129">
        <v>46199</v>
      </c>
      <c r="R2084" s="130">
        <f t="shared" si="228"/>
        <v>46206</v>
      </c>
      <c r="S2084" s="131">
        <f t="shared" si="233"/>
        <v>7</v>
      </c>
      <c r="T2084" s="7" t="s">
        <v>255</v>
      </c>
      <c r="U2084" s="7" t="s">
        <v>256</v>
      </c>
      <c r="V2084" s="7"/>
      <c r="W2084" s="7">
        <v>389.37</v>
      </c>
      <c r="X2084" s="132">
        <f t="shared" si="231"/>
        <v>10</v>
      </c>
      <c r="Y2084" s="133"/>
      <c r="Z2084" s="133"/>
      <c r="AA2084" s="133"/>
    </row>
    <row r="2085" spans="1:27" hidden="1" x14ac:dyDescent="0.25">
      <c r="A2085" s="127">
        <v>2272</v>
      </c>
      <c r="B2085" s="128" t="str">
        <f t="shared" si="232"/>
        <v>YGQT</v>
      </c>
      <c r="C2085" s="128" t="str">
        <f>+VLOOKUP(U2085,Ходим!A:B,2,0)</f>
        <v>31108942160081</v>
      </c>
      <c r="D2085" s="128" t="str">
        <f>IFERROR(VLOOKUP($B:$B,[20]свод!$A:$AB,3,0)," ")</f>
        <v>Янгиқўрғон тумани</v>
      </c>
      <c r="E2085" s="7" t="s">
        <v>3221</v>
      </c>
      <c r="F2085" s="7" t="s">
        <v>9598</v>
      </c>
      <c r="G2085" s="134" t="str">
        <f t="shared" si="229"/>
        <v/>
      </c>
      <c r="H2085" s="134">
        <f t="shared" si="230"/>
        <v>1</v>
      </c>
      <c r="I2085" s="7" t="s">
        <v>157</v>
      </c>
      <c r="J2085" s="7" t="s">
        <v>172</v>
      </c>
      <c r="K2085" s="7"/>
      <c r="L2085" s="7"/>
      <c r="M2085" s="7"/>
      <c r="N2085" s="7" t="s">
        <v>170</v>
      </c>
      <c r="O2085" s="7" t="s">
        <v>161</v>
      </c>
      <c r="P2085" s="7" t="s">
        <v>6939</v>
      </c>
      <c r="Q2085" s="129">
        <v>46199</v>
      </c>
      <c r="R2085" s="130">
        <f t="shared" si="228"/>
        <v>46206</v>
      </c>
      <c r="S2085" s="131">
        <f t="shared" si="233"/>
        <v>7</v>
      </c>
      <c r="T2085" s="7" t="s">
        <v>255</v>
      </c>
      <c r="U2085" s="7" t="s">
        <v>228</v>
      </c>
      <c r="V2085" s="7"/>
      <c r="W2085" s="7"/>
      <c r="X2085" s="132">
        <f t="shared" si="231"/>
        <v>10</v>
      </c>
      <c r="Y2085" s="133"/>
      <c r="Z2085" s="133"/>
      <c r="AA2085" s="133"/>
    </row>
    <row r="2086" spans="1:27" hidden="1" x14ac:dyDescent="0.25">
      <c r="A2086" s="127">
        <v>2273</v>
      </c>
      <c r="B2086" s="128" t="str">
        <f t="shared" si="232"/>
        <v>UCQT</v>
      </c>
      <c r="C2086" s="128" t="str">
        <f>+VLOOKUP(U2086,Ходим!A:B,2,0)</f>
        <v>52405005940019</v>
      </c>
      <c r="D2086" s="128" t="str">
        <f>IFERROR(VLOOKUP($B:$B,[20]свод!$A:$AB,3,0)," ")</f>
        <v>Учқўрғон тумани</v>
      </c>
      <c r="E2086" s="7" t="s">
        <v>3222</v>
      </c>
      <c r="F2086" s="7" t="s">
        <v>9599</v>
      </c>
      <c r="G2086" s="134">
        <f t="shared" si="229"/>
        <v>1</v>
      </c>
      <c r="H2086" s="134" t="str">
        <f t="shared" si="230"/>
        <v/>
      </c>
      <c r="I2086" s="7" t="s">
        <v>158</v>
      </c>
      <c r="J2086" s="7" t="s">
        <v>134</v>
      </c>
      <c r="K2086" s="7"/>
      <c r="L2086" s="7" t="s">
        <v>167</v>
      </c>
      <c r="M2086" s="7" t="s">
        <v>5601</v>
      </c>
      <c r="N2086" s="7" t="s">
        <v>170</v>
      </c>
      <c r="O2086" s="7" t="s">
        <v>162</v>
      </c>
      <c r="P2086" s="7" t="s">
        <v>7225</v>
      </c>
      <c r="Q2086" s="129">
        <v>46199</v>
      </c>
      <c r="R2086" s="130">
        <f t="shared" si="228"/>
        <v>46203</v>
      </c>
      <c r="S2086" s="131">
        <f t="shared" si="233"/>
        <v>4</v>
      </c>
      <c r="T2086" s="7" t="s">
        <v>175</v>
      </c>
      <c r="U2086" s="7" t="s">
        <v>209</v>
      </c>
      <c r="V2086" s="7"/>
      <c r="W2086" s="7">
        <v>104.76</v>
      </c>
      <c r="X2086" s="132">
        <f t="shared" si="231"/>
        <v>10</v>
      </c>
      <c r="Y2086" s="133"/>
      <c r="Z2086" s="133"/>
      <c r="AA2086" s="133"/>
    </row>
    <row r="2087" spans="1:27" hidden="1" x14ac:dyDescent="0.25">
      <c r="A2087" s="127">
        <v>2274</v>
      </c>
      <c r="B2087" s="128" t="str">
        <f t="shared" si="232"/>
        <v>KSST</v>
      </c>
      <c r="C2087" s="128" t="str">
        <f>+VLOOKUP(U2087,Ходим!A:B,2,0)</f>
        <v>52812015980061</v>
      </c>
      <c r="D2087" s="128" t="str">
        <f>IFERROR(VLOOKUP($B:$B,[20]свод!$A:$AB,3,0)," ")</f>
        <v>Косонсой тумани</v>
      </c>
      <c r="E2087" s="7" t="s">
        <v>3223</v>
      </c>
      <c r="F2087" s="7" t="s">
        <v>9600</v>
      </c>
      <c r="G2087" s="134">
        <f t="shared" si="229"/>
        <v>1</v>
      </c>
      <c r="H2087" s="134" t="str">
        <f t="shared" si="230"/>
        <v/>
      </c>
      <c r="I2087" s="7" t="s">
        <v>158</v>
      </c>
      <c r="J2087" s="7" t="s">
        <v>2</v>
      </c>
      <c r="K2087" s="7"/>
      <c r="L2087" s="7" t="s">
        <v>167</v>
      </c>
      <c r="M2087" s="7" t="s">
        <v>5602</v>
      </c>
      <c r="N2087" s="7" t="s">
        <v>170</v>
      </c>
      <c r="O2087" s="7" t="s">
        <v>162</v>
      </c>
      <c r="P2087" s="7" t="s">
        <v>7225</v>
      </c>
      <c r="Q2087" s="129">
        <v>46199</v>
      </c>
      <c r="R2087" s="130">
        <f t="shared" si="228"/>
        <v>46203</v>
      </c>
      <c r="S2087" s="131">
        <f t="shared" si="233"/>
        <v>4</v>
      </c>
      <c r="T2087" s="7" t="s">
        <v>180</v>
      </c>
      <c r="U2087" s="7" t="s">
        <v>307</v>
      </c>
      <c r="V2087" s="7"/>
      <c r="W2087" s="7">
        <v>123.72</v>
      </c>
      <c r="X2087" s="132">
        <f t="shared" si="231"/>
        <v>10</v>
      </c>
      <c r="Y2087" s="133"/>
      <c r="Z2087" s="133"/>
      <c r="AA2087" s="133"/>
    </row>
    <row r="2088" spans="1:27" hidden="1" x14ac:dyDescent="0.25">
      <c r="A2088" s="127">
        <v>2275</v>
      </c>
      <c r="B2088" s="128" t="str">
        <f t="shared" si="232"/>
        <v>YGQT</v>
      </c>
      <c r="C2088" s="128" t="str">
        <f>+VLOOKUP(U2088,Ходим!A:B,2,0)</f>
        <v>30602822170087</v>
      </c>
      <c r="D2088" s="128" t="str">
        <f>IFERROR(VLOOKUP($B:$B,[20]свод!$A:$AB,3,0)," ")</f>
        <v>Янгиқўрғон тумани</v>
      </c>
      <c r="E2088" s="7" t="s">
        <v>3224</v>
      </c>
      <c r="F2088" s="7" t="s">
        <v>9601</v>
      </c>
      <c r="G2088" s="134" t="str">
        <f t="shared" si="229"/>
        <v/>
      </c>
      <c r="H2088" s="134">
        <f t="shared" si="230"/>
        <v>1</v>
      </c>
      <c r="I2088" s="7" t="s">
        <v>157</v>
      </c>
      <c r="J2088" s="7" t="s">
        <v>2</v>
      </c>
      <c r="K2088" s="7"/>
      <c r="L2088" s="7"/>
      <c r="M2088" s="7"/>
      <c r="N2088" s="7" t="s">
        <v>170</v>
      </c>
      <c r="O2088" s="7" t="s">
        <v>161</v>
      </c>
      <c r="P2088" s="7" t="s">
        <v>6939</v>
      </c>
      <c r="Q2088" s="129">
        <v>46199</v>
      </c>
      <c r="R2088" s="130">
        <f t="shared" si="228"/>
        <v>46206</v>
      </c>
      <c r="S2088" s="131">
        <f t="shared" si="233"/>
        <v>7</v>
      </c>
      <c r="T2088" s="7" t="s">
        <v>255</v>
      </c>
      <c r="U2088" s="7" t="s">
        <v>320</v>
      </c>
      <c r="V2088" s="7"/>
      <c r="W2088" s="7"/>
      <c r="X2088" s="132">
        <f t="shared" si="231"/>
        <v>10</v>
      </c>
      <c r="Y2088" s="133"/>
      <c r="Z2088" s="133"/>
      <c r="AA2088" s="133"/>
    </row>
    <row r="2089" spans="1:27" hidden="1" x14ac:dyDescent="0.25">
      <c r="A2089" s="127">
        <v>2276</v>
      </c>
      <c r="B2089" s="128" t="str">
        <f t="shared" si="232"/>
        <v>POPT</v>
      </c>
      <c r="C2089" s="128" t="str">
        <f>+VLOOKUP(U2089,Ходим!A:B,2,0)</f>
        <v>30608945910016</v>
      </c>
      <c r="D2089" s="128" t="str">
        <f>IFERROR(VLOOKUP($B:$B,[20]свод!$A:$AB,3,0)," ")</f>
        <v>Поп тумани</v>
      </c>
      <c r="E2089" s="7" t="s">
        <v>3225</v>
      </c>
      <c r="F2089" s="7" t="s">
        <v>9602</v>
      </c>
      <c r="G2089" s="134" t="str">
        <f t="shared" si="229"/>
        <v/>
      </c>
      <c r="H2089" s="134">
        <f t="shared" si="230"/>
        <v>1</v>
      </c>
      <c r="I2089" s="7" t="s">
        <v>157</v>
      </c>
      <c r="J2089" s="7" t="s">
        <v>2</v>
      </c>
      <c r="K2089" s="7"/>
      <c r="L2089" s="7" t="s">
        <v>166</v>
      </c>
      <c r="M2089" s="7" t="s">
        <v>5603</v>
      </c>
      <c r="N2089" s="7" t="s">
        <v>170</v>
      </c>
      <c r="O2089" s="7" t="s">
        <v>161</v>
      </c>
      <c r="P2089" s="7" t="s">
        <v>6353</v>
      </c>
      <c r="Q2089" s="129">
        <v>46199</v>
      </c>
      <c r="R2089" s="130">
        <f t="shared" si="228"/>
        <v>46204</v>
      </c>
      <c r="S2089" s="131">
        <f t="shared" si="233"/>
        <v>5</v>
      </c>
      <c r="T2089" s="7" t="s">
        <v>214</v>
      </c>
      <c r="U2089" s="7" t="s">
        <v>295</v>
      </c>
      <c r="V2089" s="7"/>
      <c r="W2089" s="7">
        <v>43.74</v>
      </c>
      <c r="X2089" s="132">
        <f t="shared" si="231"/>
        <v>10</v>
      </c>
      <c r="Y2089" s="133"/>
      <c r="Z2089" s="133"/>
      <c r="AA2089" s="133"/>
    </row>
    <row r="2090" spans="1:27" hidden="1" x14ac:dyDescent="0.25">
      <c r="A2090" s="127">
        <v>2277</v>
      </c>
      <c r="B2090" s="128" t="str">
        <f t="shared" si="232"/>
        <v>YGQT</v>
      </c>
      <c r="C2090" s="128" t="str">
        <f>+VLOOKUP(U2090,Ходим!A:B,2,0)</f>
        <v>30101922100050</v>
      </c>
      <c r="D2090" s="128" t="str">
        <f>IFERROR(VLOOKUP($B:$B,[20]свод!$A:$AB,3,0)," ")</f>
        <v>Янгиқўрғон тумани</v>
      </c>
      <c r="E2090" s="7" t="s">
        <v>3226</v>
      </c>
      <c r="F2090" s="7" t="s">
        <v>9603</v>
      </c>
      <c r="G2090" s="134" t="str">
        <f t="shared" si="229"/>
        <v/>
      </c>
      <c r="H2090" s="134">
        <f t="shared" si="230"/>
        <v>1</v>
      </c>
      <c r="I2090" s="7" t="s">
        <v>157</v>
      </c>
      <c r="J2090" s="7" t="s">
        <v>2</v>
      </c>
      <c r="K2090" s="7"/>
      <c r="L2090" s="7" t="s">
        <v>168</v>
      </c>
      <c r="M2090" s="7" t="s">
        <v>382</v>
      </c>
      <c r="N2090" s="7" t="s">
        <v>170</v>
      </c>
      <c r="O2090" s="7" t="s">
        <v>161</v>
      </c>
      <c r="P2090" s="7" t="s">
        <v>6906</v>
      </c>
      <c r="Q2090" s="129">
        <v>46199</v>
      </c>
      <c r="R2090" s="130">
        <f t="shared" si="228"/>
        <v>46203</v>
      </c>
      <c r="S2090" s="131">
        <f t="shared" si="233"/>
        <v>4</v>
      </c>
      <c r="T2090" s="7" t="s">
        <v>255</v>
      </c>
      <c r="U2090" s="7" t="s">
        <v>265</v>
      </c>
      <c r="V2090" s="7"/>
      <c r="W2090" s="7">
        <v>0</v>
      </c>
      <c r="X2090" s="132">
        <f t="shared" si="231"/>
        <v>7</v>
      </c>
      <c r="Y2090" s="133"/>
      <c r="Z2090" s="133"/>
      <c r="AA2090" s="133"/>
    </row>
    <row r="2091" spans="1:27" hidden="1" x14ac:dyDescent="0.25">
      <c r="A2091" s="127">
        <v>2278</v>
      </c>
      <c r="B2091" s="128" t="str">
        <f t="shared" si="232"/>
        <v>NAMS</v>
      </c>
      <c r="C2091" s="128" t="str">
        <f>+VLOOKUP(U2091,Ходим!A:B,2,0)</f>
        <v>30304915960053</v>
      </c>
      <c r="D2091" s="128" t="str">
        <f>IFERROR(VLOOKUP($B:$B,[20]свод!$A:$AB,3,0)," ")</f>
        <v>Наманган шаҳар</v>
      </c>
      <c r="E2091" s="7" t="s">
        <v>3227</v>
      </c>
      <c r="F2091" s="7" t="s">
        <v>9604</v>
      </c>
      <c r="G2091" s="134" t="str">
        <f t="shared" si="229"/>
        <v/>
      </c>
      <c r="H2091" s="134">
        <f t="shared" si="230"/>
        <v>1</v>
      </c>
      <c r="I2091" s="7" t="s">
        <v>157</v>
      </c>
      <c r="J2091" s="7" t="s">
        <v>13</v>
      </c>
      <c r="K2091" s="7"/>
      <c r="L2091" s="7" t="s">
        <v>166</v>
      </c>
      <c r="M2091" s="7" t="s">
        <v>5604</v>
      </c>
      <c r="N2091" s="7" t="s">
        <v>410</v>
      </c>
      <c r="O2091" s="7" t="s">
        <v>163</v>
      </c>
      <c r="P2091" s="7" t="s">
        <v>6590</v>
      </c>
      <c r="Q2091" s="129">
        <v>46199</v>
      </c>
      <c r="R2091" s="130">
        <f t="shared" si="228"/>
        <v>46217</v>
      </c>
      <c r="S2091" s="131">
        <f t="shared" si="233"/>
        <v>18</v>
      </c>
      <c r="T2091" s="7" t="s">
        <v>173</v>
      </c>
      <c r="U2091" s="7" t="s">
        <v>314</v>
      </c>
      <c r="V2091" s="7"/>
      <c r="W2091" s="7">
        <v>1748.84</v>
      </c>
      <c r="X2091" s="132">
        <f t="shared" si="231"/>
        <v>17</v>
      </c>
      <c r="Y2091" s="133"/>
      <c r="Z2091" s="133"/>
      <c r="AA2091" s="133"/>
    </row>
    <row r="2092" spans="1:27" hidden="1" x14ac:dyDescent="0.25">
      <c r="A2092" s="127">
        <v>2279</v>
      </c>
      <c r="B2092" s="128" t="str">
        <f t="shared" si="232"/>
        <v>NAMS</v>
      </c>
      <c r="C2092" s="128" t="str">
        <f>+VLOOKUP(U2092,Ходим!A:B,2,0)</f>
        <v>53008015960094</v>
      </c>
      <c r="D2092" s="128" t="str">
        <f>IFERROR(VLOOKUP($B:$B,[20]свод!$A:$AB,3,0)," ")</f>
        <v>Наманган шаҳар</v>
      </c>
      <c r="E2092" s="7" t="s">
        <v>3228</v>
      </c>
      <c r="F2092" s="7" t="s">
        <v>9605</v>
      </c>
      <c r="G2092" s="134">
        <f t="shared" si="229"/>
        <v>1</v>
      </c>
      <c r="H2092" s="134" t="str">
        <f t="shared" si="230"/>
        <v/>
      </c>
      <c r="I2092" s="7" t="s">
        <v>156</v>
      </c>
      <c r="J2092" s="7" t="s">
        <v>25</v>
      </c>
      <c r="K2092" s="7"/>
      <c r="L2092" s="7"/>
      <c r="M2092" s="7"/>
      <c r="N2092" s="7" t="s">
        <v>170</v>
      </c>
      <c r="O2092" s="7" t="s">
        <v>162</v>
      </c>
      <c r="P2092" s="7" t="s">
        <v>6590</v>
      </c>
      <c r="Q2092" s="129">
        <v>46199</v>
      </c>
      <c r="R2092" s="130">
        <f t="shared" si="228"/>
        <v>46206</v>
      </c>
      <c r="S2092" s="131">
        <f t="shared" si="233"/>
        <v>7</v>
      </c>
      <c r="T2092" s="7" t="s">
        <v>173</v>
      </c>
      <c r="U2092" s="7" t="s">
        <v>403</v>
      </c>
      <c r="V2092" s="7"/>
      <c r="W2092" s="7"/>
      <c r="X2092" s="132">
        <f t="shared" si="231"/>
        <v>10</v>
      </c>
      <c r="Y2092" s="133"/>
      <c r="Z2092" s="133"/>
      <c r="AA2092" s="133"/>
    </row>
    <row r="2093" spans="1:27" hidden="1" x14ac:dyDescent="0.25">
      <c r="A2093" s="127">
        <v>2280</v>
      </c>
      <c r="B2093" s="128" t="str">
        <f t="shared" si="232"/>
        <v>NAMS</v>
      </c>
      <c r="C2093" s="128" t="str">
        <f>+VLOOKUP(U2093,Ходим!A:B,2,0)</f>
        <v>32211885960016</v>
      </c>
      <c r="D2093" s="128" t="str">
        <f>IFERROR(VLOOKUP($B:$B,[20]свод!$A:$AB,3,0)," ")</f>
        <v>Наманган шаҳар</v>
      </c>
      <c r="E2093" s="7" t="s">
        <v>3229</v>
      </c>
      <c r="F2093" s="7" t="s">
        <v>9606</v>
      </c>
      <c r="G2093" s="134">
        <f t="shared" si="229"/>
        <v>1</v>
      </c>
      <c r="H2093" s="134" t="str">
        <f t="shared" si="230"/>
        <v/>
      </c>
      <c r="I2093" s="7" t="s">
        <v>158</v>
      </c>
      <c r="J2093" s="7" t="s">
        <v>2</v>
      </c>
      <c r="K2093" s="7"/>
      <c r="L2093" s="7" t="s">
        <v>167</v>
      </c>
      <c r="M2093" s="7" t="s">
        <v>5605</v>
      </c>
      <c r="N2093" s="7" t="s">
        <v>170</v>
      </c>
      <c r="O2093" s="7" t="s">
        <v>162</v>
      </c>
      <c r="P2093" s="7" t="s">
        <v>7226</v>
      </c>
      <c r="Q2093" s="129">
        <v>46199</v>
      </c>
      <c r="R2093" s="130">
        <f t="shared" si="228"/>
        <v>46203</v>
      </c>
      <c r="S2093" s="131">
        <f t="shared" si="233"/>
        <v>4</v>
      </c>
      <c r="T2093" s="7" t="s">
        <v>227</v>
      </c>
      <c r="U2093" s="7" t="s">
        <v>279</v>
      </c>
      <c r="V2093" s="7"/>
      <c r="W2093" s="7">
        <v>0</v>
      </c>
      <c r="X2093" s="132">
        <f t="shared" si="231"/>
        <v>10</v>
      </c>
      <c r="Y2093" s="133"/>
      <c r="Z2093" s="133"/>
      <c r="AA2093" s="133"/>
    </row>
    <row r="2094" spans="1:27" hidden="1" x14ac:dyDescent="0.25">
      <c r="A2094" s="127">
        <v>2281</v>
      </c>
      <c r="B2094" s="128" t="str">
        <f t="shared" si="232"/>
        <v>TORT</v>
      </c>
      <c r="C2094" s="128" t="str">
        <f>+VLOOKUP(U2094,Ходим!A:B,2,0)</f>
        <v>30708792130017</v>
      </c>
      <c r="D2094" s="128" t="str">
        <f>IFERROR(VLOOKUP($B:$B,[20]свод!$A:$AB,3,0)," ")</f>
        <v>Тўрақўрғон тумани</v>
      </c>
      <c r="E2094" s="7" t="s">
        <v>3230</v>
      </c>
      <c r="F2094" s="7" t="s">
        <v>9607</v>
      </c>
      <c r="G2094" s="134">
        <f t="shared" si="229"/>
        <v>1</v>
      </c>
      <c r="H2094" s="134" t="str">
        <f t="shared" si="230"/>
        <v/>
      </c>
      <c r="I2094" s="7" t="s">
        <v>158</v>
      </c>
      <c r="J2094" s="7" t="s">
        <v>16</v>
      </c>
      <c r="K2094" s="7"/>
      <c r="L2094" s="7" t="s">
        <v>167</v>
      </c>
      <c r="M2094" s="7" t="s">
        <v>5606</v>
      </c>
      <c r="N2094" s="7" t="s">
        <v>410</v>
      </c>
      <c r="O2094" s="7" t="s">
        <v>162</v>
      </c>
      <c r="P2094" s="7" t="s">
        <v>7227</v>
      </c>
      <c r="Q2094" s="129">
        <v>46199</v>
      </c>
      <c r="R2094" s="130">
        <f t="shared" si="228"/>
        <v>46203</v>
      </c>
      <c r="S2094" s="131">
        <f t="shared" si="233"/>
        <v>4</v>
      </c>
      <c r="T2094" s="7" t="s">
        <v>203</v>
      </c>
      <c r="U2094" s="7" t="s">
        <v>204</v>
      </c>
      <c r="V2094" s="7"/>
      <c r="W2094" s="7">
        <v>211.28</v>
      </c>
      <c r="X2094" s="132">
        <f t="shared" si="231"/>
        <v>10</v>
      </c>
      <c r="Y2094" s="133"/>
      <c r="Z2094" s="133"/>
      <c r="AA2094" s="133"/>
    </row>
    <row r="2095" spans="1:27" hidden="1" x14ac:dyDescent="0.25">
      <c r="A2095" s="127">
        <v>2282</v>
      </c>
      <c r="B2095" s="128" t="str">
        <f t="shared" si="232"/>
        <v>CHUT</v>
      </c>
      <c r="C2095" s="128" t="str">
        <f>+VLOOKUP(U2095,Ходим!A:B,2,0)</f>
        <v>32511965970037</v>
      </c>
      <c r="D2095" s="128" t="str">
        <f>IFERROR(VLOOKUP($B:$B,[20]свод!$A:$AB,3,0)," ")</f>
        <v>Чуст тумани</v>
      </c>
      <c r="E2095" s="7" t="s">
        <v>3231</v>
      </c>
      <c r="F2095" s="7" t="s">
        <v>9608</v>
      </c>
      <c r="G2095" s="134" t="str">
        <f t="shared" si="229"/>
        <v/>
      </c>
      <c r="H2095" s="134">
        <f t="shared" si="230"/>
        <v>1</v>
      </c>
      <c r="I2095" s="7" t="s">
        <v>157</v>
      </c>
      <c r="J2095" s="7" t="s">
        <v>172</v>
      </c>
      <c r="K2095" s="7"/>
      <c r="L2095" s="7" t="s">
        <v>168</v>
      </c>
      <c r="M2095" s="7" t="s">
        <v>5607</v>
      </c>
      <c r="N2095" s="7" t="s">
        <v>410</v>
      </c>
      <c r="O2095" s="7" t="s">
        <v>161</v>
      </c>
      <c r="P2095" s="7" t="s">
        <v>7228</v>
      </c>
      <c r="Q2095" s="129">
        <v>46199</v>
      </c>
      <c r="R2095" s="130">
        <f t="shared" si="228"/>
        <v>46203</v>
      </c>
      <c r="S2095" s="131">
        <f t="shared" si="233"/>
        <v>4</v>
      </c>
      <c r="T2095" s="7" t="s">
        <v>178</v>
      </c>
      <c r="U2095" s="7" t="s">
        <v>351</v>
      </c>
      <c r="V2095" s="7"/>
      <c r="W2095" s="7">
        <v>0</v>
      </c>
      <c r="X2095" s="132">
        <f t="shared" si="231"/>
        <v>7</v>
      </c>
      <c r="Y2095" s="133"/>
      <c r="Z2095" s="133"/>
      <c r="AA2095" s="133"/>
    </row>
    <row r="2096" spans="1:27" hidden="1" x14ac:dyDescent="0.25">
      <c r="A2096" s="127">
        <v>2283</v>
      </c>
      <c r="B2096" s="128" t="str">
        <f t="shared" si="232"/>
        <v>UCQT</v>
      </c>
      <c r="C2096" s="128" t="str">
        <f>+VLOOKUP(U2096,Ходим!A:B,2,0)</f>
        <v>42005872150022</v>
      </c>
      <c r="D2096" s="128" t="str">
        <f>IFERROR(VLOOKUP($B:$B,[20]свод!$A:$AB,3,0)," ")</f>
        <v>Учқўрғон тумани</v>
      </c>
      <c r="E2096" s="7" t="s">
        <v>3232</v>
      </c>
      <c r="F2096" s="7" t="s">
        <v>9609</v>
      </c>
      <c r="G2096" s="134">
        <f t="shared" si="229"/>
        <v>1</v>
      </c>
      <c r="H2096" s="134" t="str">
        <f t="shared" si="230"/>
        <v/>
      </c>
      <c r="I2096" s="7" t="s">
        <v>156</v>
      </c>
      <c r="J2096" s="7" t="s">
        <v>22</v>
      </c>
      <c r="K2096" s="7"/>
      <c r="L2096" s="7" t="s">
        <v>167</v>
      </c>
      <c r="M2096" s="7" t="s">
        <v>5608</v>
      </c>
      <c r="N2096" s="7" t="s">
        <v>170</v>
      </c>
      <c r="O2096" s="7" t="s">
        <v>162</v>
      </c>
      <c r="P2096" s="7" t="s">
        <v>6346</v>
      </c>
      <c r="Q2096" s="129">
        <v>46199</v>
      </c>
      <c r="R2096" s="130">
        <f t="shared" si="228"/>
        <v>46203</v>
      </c>
      <c r="S2096" s="131">
        <f t="shared" si="233"/>
        <v>4</v>
      </c>
      <c r="T2096" s="7" t="s">
        <v>175</v>
      </c>
      <c r="U2096" s="7" t="s">
        <v>176</v>
      </c>
      <c r="V2096" s="7"/>
      <c r="W2096" s="7">
        <v>192.42</v>
      </c>
      <c r="X2096" s="132">
        <f t="shared" si="231"/>
        <v>10</v>
      </c>
      <c r="Y2096" s="133"/>
      <c r="Z2096" s="133"/>
      <c r="AA2096" s="133"/>
    </row>
    <row r="2097" spans="1:27" hidden="1" x14ac:dyDescent="0.25">
      <c r="A2097" s="127">
        <v>2284</v>
      </c>
      <c r="B2097" s="128" t="str">
        <f t="shared" si="232"/>
        <v>NAMS</v>
      </c>
      <c r="C2097" s="128" t="str">
        <f>+VLOOKUP(U2097,Ходим!A:B,2,0)</f>
        <v>31312985950011</v>
      </c>
      <c r="D2097" s="128" t="str">
        <f>IFERROR(VLOOKUP($B:$B,[20]свод!$A:$AB,3,0)," ")</f>
        <v>Наманган шаҳар</v>
      </c>
      <c r="E2097" s="7" t="s">
        <v>3233</v>
      </c>
      <c r="F2097" s="7" t="s">
        <v>9610</v>
      </c>
      <c r="G2097" s="134">
        <f t="shared" si="229"/>
        <v>1</v>
      </c>
      <c r="H2097" s="134" t="str">
        <f t="shared" si="230"/>
        <v/>
      </c>
      <c r="I2097" s="7" t="s">
        <v>158</v>
      </c>
      <c r="J2097" s="7" t="s">
        <v>17</v>
      </c>
      <c r="K2097" s="7"/>
      <c r="L2097" s="7" t="s">
        <v>167</v>
      </c>
      <c r="M2097" s="7" t="s">
        <v>5609</v>
      </c>
      <c r="N2097" s="7" t="s">
        <v>170</v>
      </c>
      <c r="O2097" s="7" t="s">
        <v>162</v>
      </c>
      <c r="P2097" s="7" t="s">
        <v>7226</v>
      </c>
      <c r="Q2097" s="129">
        <v>46199</v>
      </c>
      <c r="R2097" s="130">
        <f t="shared" si="228"/>
        <v>46203</v>
      </c>
      <c r="S2097" s="131">
        <f t="shared" si="233"/>
        <v>4</v>
      </c>
      <c r="T2097" s="7" t="s">
        <v>227</v>
      </c>
      <c r="U2097" s="7" t="s">
        <v>303</v>
      </c>
      <c r="V2097" s="7"/>
      <c r="W2097" s="7">
        <v>361.32</v>
      </c>
      <c r="X2097" s="132">
        <f t="shared" si="231"/>
        <v>10</v>
      </c>
      <c r="Y2097" s="133"/>
      <c r="Z2097" s="133"/>
      <c r="AA2097" s="133"/>
    </row>
    <row r="2098" spans="1:27" hidden="1" x14ac:dyDescent="0.25">
      <c r="A2098" s="127">
        <v>2285</v>
      </c>
      <c r="B2098" s="128" t="str">
        <f t="shared" si="232"/>
        <v>UCQT</v>
      </c>
      <c r="C2098" s="128" t="str">
        <f>+VLOOKUP(U2098,Ходим!A:B,2,0)</f>
        <v>31402915940019</v>
      </c>
      <c r="D2098" s="128" t="str">
        <f>IFERROR(VLOOKUP($B:$B,[20]свод!$A:$AB,3,0)," ")</f>
        <v>Учқўрғон тумани</v>
      </c>
      <c r="E2098" s="7" t="s">
        <v>3234</v>
      </c>
      <c r="F2098" s="7" t="s">
        <v>9611</v>
      </c>
      <c r="G2098" s="134">
        <f t="shared" si="229"/>
        <v>1</v>
      </c>
      <c r="H2098" s="134" t="str">
        <f t="shared" si="230"/>
        <v/>
      </c>
      <c r="I2098" s="7" t="s">
        <v>158</v>
      </c>
      <c r="J2098" s="7" t="s">
        <v>2</v>
      </c>
      <c r="K2098" s="7"/>
      <c r="L2098" s="7"/>
      <c r="M2098" s="7"/>
      <c r="N2098" s="7" t="s">
        <v>170</v>
      </c>
      <c r="O2098" s="7" t="s">
        <v>162</v>
      </c>
      <c r="P2098" s="7" t="s">
        <v>7075</v>
      </c>
      <c r="Q2098" s="129">
        <v>46199</v>
      </c>
      <c r="R2098" s="130">
        <f t="shared" si="228"/>
        <v>46202</v>
      </c>
      <c r="S2098" s="131">
        <f t="shared" si="233"/>
        <v>3</v>
      </c>
      <c r="T2098" s="7" t="s">
        <v>175</v>
      </c>
      <c r="U2098" s="7" t="s">
        <v>292</v>
      </c>
      <c r="V2098" s="7"/>
      <c r="W2098" s="7"/>
      <c r="X2098" s="132">
        <f t="shared" si="231"/>
        <v>10</v>
      </c>
      <c r="Y2098" s="133"/>
      <c r="Z2098" s="133"/>
      <c r="AA2098" s="133"/>
    </row>
    <row r="2099" spans="1:27" hidden="1" x14ac:dyDescent="0.25">
      <c r="A2099" s="127">
        <v>2286</v>
      </c>
      <c r="B2099" s="128" t="str">
        <f t="shared" si="232"/>
        <v>CHUT</v>
      </c>
      <c r="C2099" s="128" t="str">
        <f>+VLOOKUP(U2099,Ходим!A:B,2,0)</f>
        <v>32511965970037</v>
      </c>
      <c r="D2099" s="128" t="str">
        <f>IFERROR(VLOOKUP($B:$B,[20]свод!$A:$AB,3,0)," ")</f>
        <v>Чуст тумани</v>
      </c>
      <c r="E2099" s="7" t="s">
        <v>3235</v>
      </c>
      <c r="F2099" s="7" t="s">
        <v>9612</v>
      </c>
      <c r="G2099" s="134" t="str">
        <f t="shared" si="229"/>
        <v/>
      </c>
      <c r="H2099" s="134">
        <f t="shared" si="230"/>
        <v>1</v>
      </c>
      <c r="I2099" s="7" t="s">
        <v>157</v>
      </c>
      <c r="J2099" s="7" t="s">
        <v>172</v>
      </c>
      <c r="K2099" s="7"/>
      <c r="L2099" s="7" t="s">
        <v>168</v>
      </c>
      <c r="M2099" s="7" t="s">
        <v>5610</v>
      </c>
      <c r="N2099" s="7" t="s">
        <v>410</v>
      </c>
      <c r="O2099" s="7" t="s">
        <v>161</v>
      </c>
      <c r="P2099" s="7" t="s">
        <v>7228</v>
      </c>
      <c r="Q2099" s="129">
        <v>46199</v>
      </c>
      <c r="R2099" s="130">
        <f t="shared" si="228"/>
        <v>46203</v>
      </c>
      <c r="S2099" s="131">
        <f t="shared" si="233"/>
        <v>4</v>
      </c>
      <c r="T2099" s="7" t="s">
        <v>178</v>
      </c>
      <c r="U2099" s="7" t="s">
        <v>351</v>
      </c>
      <c r="V2099" s="7"/>
      <c r="W2099" s="7">
        <v>0</v>
      </c>
      <c r="X2099" s="132">
        <f t="shared" si="231"/>
        <v>7</v>
      </c>
      <c r="Y2099" s="133"/>
      <c r="Z2099" s="133"/>
      <c r="AA2099" s="133"/>
    </row>
    <row r="2100" spans="1:27" hidden="1" x14ac:dyDescent="0.25">
      <c r="A2100" s="127">
        <v>2287</v>
      </c>
      <c r="B2100" s="128" t="str">
        <f t="shared" si="232"/>
        <v>NAMS</v>
      </c>
      <c r="C2100" s="128" t="str">
        <f>+VLOOKUP(U2100,Ходим!A:B,2,0)</f>
        <v>50511025950027</v>
      </c>
      <c r="D2100" s="128" t="str">
        <f>IFERROR(VLOOKUP($B:$B,[20]свод!$A:$AB,3,0)," ")</f>
        <v>Наманган шаҳар</v>
      </c>
      <c r="E2100" s="7" t="s">
        <v>3236</v>
      </c>
      <c r="F2100" s="7" t="s">
        <v>9613</v>
      </c>
      <c r="G2100" s="134">
        <f t="shared" si="229"/>
        <v>1</v>
      </c>
      <c r="H2100" s="134" t="str">
        <f t="shared" si="230"/>
        <v/>
      </c>
      <c r="I2100" s="7" t="s">
        <v>154</v>
      </c>
      <c r="J2100" s="7" t="s">
        <v>2</v>
      </c>
      <c r="K2100" s="7"/>
      <c r="L2100" s="7"/>
      <c r="M2100" s="7"/>
      <c r="N2100" s="7" t="s">
        <v>170</v>
      </c>
      <c r="O2100" s="7" t="s">
        <v>162</v>
      </c>
      <c r="P2100" s="7" t="s">
        <v>7228</v>
      </c>
      <c r="Q2100" s="129">
        <v>46199</v>
      </c>
      <c r="R2100" s="130">
        <f t="shared" si="228"/>
        <v>46206</v>
      </c>
      <c r="S2100" s="131">
        <f t="shared" si="233"/>
        <v>7</v>
      </c>
      <c r="T2100" s="7" t="s">
        <v>173</v>
      </c>
      <c r="U2100" s="7" t="s">
        <v>377</v>
      </c>
      <c r="V2100" s="7"/>
      <c r="W2100" s="7"/>
      <c r="X2100" s="132">
        <f t="shared" si="231"/>
        <v>10</v>
      </c>
      <c r="Y2100" s="133"/>
      <c r="Z2100" s="133"/>
      <c r="AA2100" s="133"/>
    </row>
    <row r="2101" spans="1:27" hidden="1" x14ac:dyDescent="0.25">
      <c r="A2101" s="127">
        <v>2288</v>
      </c>
      <c r="B2101" s="128" t="str">
        <f t="shared" si="232"/>
        <v>YGQT</v>
      </c>
      <c r="C2101" s="128" t="str">
        <f>+VLOOKUP(U2101,Ходим!A:B,2,0)</f>
        <v>30809995950021</v>
      </c>
      <c r="D2101" s="128" t="str">
        <f>IFERROR(VLOOKUP($B:$B,[20]свод!$A:$AB,3,0)," ")</f>
        <v>Янгиқўрғон тумани</v>
      </c>
      <c r="E2101" s="7" t="s">
        <v>3237</v>
      </c>
      <c r="F2101" s="7" t="s">
        <v>9614</v>
      </c>
      <c r="G2101" s="134">
        <f t="shared" si="229"/>
        <v>1</v>
      </c>
      <c r="H2101" s="134" t="str">
        <f t="shared" si="230"/>
        <v/>
      </c>
      <c r="I2101" s="7" t="s">
        <v>158</v>
      </c>
      <c r="J2101" s="7" t="s">
        <v>2</v>
      </c>
      <c r="K2101" s="7"/>
      <c r="L2101" s="7" t="s">
        <v>167</v>
      </c>
      <c r="M2101" s="7" t="s">
        <v>5611</v>
      </c>
      <c r="N2101" s="7" t="s">
        <v>170</v>
      </c>
      <c r="O2101" s="7" t="s">
        <v>162</v>
      </c>
      <c r="P2101" s="7" t="s">
        <v>7228</v>
      </c>
      <c r="Q2101" s="129">
        <v>46199</v>
      </c>
      <c r="R2101" s="130">
        <f t="shared" si="228"/>
        <v>46206</v>
      </c>
      <c r="S2101" s="131">
        <f t="shared" si="233"/>
        <v>7</v>
      </c>
      <c r="T2101" s="7" t="s">
        <v>255</v>
      </c>
      <c r="U2101" s="7" t="s">
        <v>223</v>
      </c>
      <c r="V2101" s="7"/>
      <c r="W2101" s="7">
        <v>337</v>
      </c>
      <c r="X2101" s="132">
        <f t="shared" si="231"/>
        <v>10</v>
      </c>
      <c r="Y2101" s="133"/>
      <c r="Z2101" s="133"/>
      <c r="AA2101" s="133"/>
    </row>
    <row r="2102" spans="1:27" hidden="1" x14ac:dyDescent="0.25">
      <c r="A2102" s="127">
        <v>2289</v>
      </c>
      <c r="B2102" s="128" t="str">
        <f t="shared" si="232"/>
        <v>TORT</v>
      </c>
      <c r="C2102" s="128" t="str">
        <f>+VLOOKUP(U2102,Ходим!A:B,2,0)</f>
        <v>40302922130046</v>
      </c>
      <c r="D2102" s="128" t="str">
        <f>IFERROR(VLOOKUP($B:$B,[20]свод!$A:$AB,3,0)," ")</f>
        <v>Тўрақўрғон тумани</v>
      </c>
      <c r="E2102" s="7" t="s">
        <v>3238</v>
      </c>
      <c r="F2102" s="7" t="s">
        <v>9615</v>
      </c>
      <c r="G2102" s="134">
        <f t="shared" si="229"/>
        <v>1</v>
      </c>
      <c r="H2102" s="134" t="str">
        <f t="shared" si="230"/>
        <v/>
      </c>
      <c r="I2102" s="7" t="s">
        <v>156</v>
      </c>
      <c r="J2102" s="7" t="s">
        <v>25</v>
      </c>
      <c r="K2102" s="7"/>
      <c r="L2102" s="7"/>
      <c r="M2102" s="7"/>
      <c r="N2102" s="7" t="s">
        <v>170</v>
      </c>
      <c r="O2102" s="7" t="s">
        <v>162</v>
      </c>
      <c r="P2102" s="7" t="s">
        <v>6715</v>
      </c>
      <c r="Q2102" s="129">
        <v>46199</v>
      </c>
      <c r="R2102" s="130">
        <f t="shared" si="228"/>
        <v>46212</v>
      </c>
      <c r="S2102" s="131">
        <f t="shared" si="233"/>
        <v>13</v>
      </c>
      <c r="T2102" s="7" t="s">
        <v>203</v>
      </c>
      <c r="U2102" s="7" t="s">
        <v>258</v>
      </c>
      <c r="V2102" s="7"/>
      <c r="W2102" s="7"/>
      <c r="X2102" s="132">
        <f t="shared" si="231"/>
        <v>10</v>
      </c>
      <c r="Y2102" s="133"/>
      <c r="Z2102" s="133"/>
      <c r="AA2102" s="133"/>
    </row>
    <row r="2103" spans="1:27" hidden="1" x14ac:dyDescent="0.25">
      <c r="A2103" s="127">
        <v>2290</v>
      </c>
      <c r="B2103" s="128" t="str">
        <f t="shared" si="232"/>
        <v>CHUT</v>
      </c>
      <c r="C2103" s="128" t="str">
        <f>+VLOOKUP(U2103,Ходим!A:B,2,0)</f>
        <v>31608922180118</v>
      </c>
      <c r="D2103" s="128" t="str">
        <f>IFERROR(VLOOKUP($B:$B,[20]свод!$A:$AB,3,0)," ")</f>
        <v>Чуст тумани</v>
      </c>
      <c r="E2103" s="7" t="s">
        <v>3239</v>
      </c>
      <c r="F2103" s="7" t="s">
        <v>9616</v>
      </c>
      <c r="G2103" s="134" t="str">
        <f t="shared" si="229"/>
        <v/>
      </c>
      <c r="H2103" s="134">
        <f t="shared" si="230"/>
        <v>1</v>
      </c>
      <c r="I2103" s="7" t="s">
        <v>157</v>
      </c>
      <c r="J2103" s="7" t="s">
        <v>172</v>
      </c>
      <c r="K2103" s="7"/>
      <c r="L2103" s="7" t="s">
        <v>168</v>
      </c>
      <c r="M2103" s="7" t="s">
        <v>5612</v>
      </c>
      <c r="N2103" s="7" t="s">
        <v>410</v>
      </c>
      <c r="O2103" s="7" t="s">
        <v>161</v>
      </c>
      <c r="P2103" s="7" t="s">
        <v>7229</v>
      </c>
      <c r="Q2103" s="129">
        <v>46199</v>
      </c>
      <c r="R2103" s="130">
        <f t="shared" si="228"/>
        <v>46203</v>
      </c>
      <c r="S2103" s="131">
        <f t="shared" si="233"/>
        <v>4</v>
      </c>
      <c r="T2103" s="7" t="s">
        <v>178</v>
      </c>
      <c r="U2103" s="7" t="s">
        <v>284</v>
      </c>
      <c r="V2103" s="7"/>
      <c r="W2103" s="7">
        <v>0</v>
      </c>
      <c r="X2103" s="132">
        <f t="shared" si="231"/>
        <v>7</v>
      </c>
      <c r="Y2103" s="133"/>
      <c r="Z2103" s="133"/>
      <c r="AA2103" s="133"/>
    </row>
    <row r="2104" spans="1:27" hidden="1" x14ac:dyDescent="0.25">
      <c r="A2104" s="127">
        <v>2291</v>
      </c>
      <c r="B2104" s="128" t="str">
        <f t="shared" si="232"/>
        <v>YGQT</v>
      </c>
      <c r="C2104" s="128" t="str">
        <f>+VLOOKUP(U2104,Ходим!A:B,2,0)</f>
        <v>30903902160122</v>
      </c>
      <c r="D2104" s="128" t="str">
        <f>IFERROR(VLOOKUP($B:$B,[20]свод!$A:$AB,3,0)," ")</f>
        <v>Янгиқўрғон тумани</v>
      </c>
      <c r="E2104" s="7" t="s">
        <v>3240</v>
      </c>
      <c r="F2104" s="7" t="s">
        <v>9617</v>
      </c>
      <c r="G2104" s="134">
        <f t="shared" si="229"/>
        <v>1</v>
      </c>
      <c r="H2104" s="134" t="str">
        <f t="shared" si="230"/>
        <v/>
      </c>
      <c r="I2104" s="7" t="s">
        <v>158</v>
      </c>
      <c r="J2104" s="7" t="s">
        <v>2</v>
      </c>
      <c r="K2104" s="7"/>
      <c r="L2104" s="7" t="s">
        <v>167</v>
      </c>
      <c r="M2104" s="7" t="s">
        <v>5613</v>
      </c>
      <c r="N2104" s="7" t="s">
        <v>170</v>
      </c>
      <c r="O2104" s="7" t="s">
        <v>162</v>
      </c>
      <c r="P2104" s="7" t="s">
        <v>7230</v>
      </c>
      <c r="Q2104" s="129">
        <v>46199</v>
      </c>
      <c r="R2104" s="130">
        <f t="shared" si="228"/>
        <v>46204</v>
      </c>
      <c r="S2104" s="131">
        <f t="shared" si="233"/>
        <v>5</v>
      </c>
      <c r="T2104" s="7" t="s">
        <v>255</v>
      </c>
      <c r="U2104" s="7" t="s">
        <v>230</v>
      </c>
      <c r="V2104" s="7"/>
      <c r="W2104" s="7">
        <v>86.36</v>
      </c>
      <c r="X2104" s="132">
        <f t="shared" si="231"/>
        <v>10</v>
      </c>
      <c r="Y2104" s="133"/>
      <c r="Z2104" s="133"/>
      <c r="AA2104" s="133"/>
    </row>
    <row r="2105" spans="1:27" hidden="1" x14ac:dyDescent="0.25">
      <c r="A2105" s="127">
        <v>2292</v>
      </c>
      <c r="B2105" s="128" t="str">
        <f t="shared" si="232"/>
        <v>POPT</v>
      </c>
      <c r="C2105" s="128" t="str">
        <f>+VLOOKUP(U2105,Ходим!A:B,2,0)</f>
        <v>30609882120085</v>
      </c>
      <c r="D2105" s="128" t="str">
        <f>IFERROR(VLOOKUP($B:$B,[20]свод!$A:$AB,3,0)," ")</f>
        <v>Поп тумани</v>
      </c>
      <c r="E2105" s="7" t="s">
        <v>3241</v>
      </c>
      <c r="F2105" s="7" t="s">
        <v>9618</v>
      </c>
      <c r="G2105" s="134" t="str">
        <f t="shared" si="229"/>
        <v/>
      </c>
      <c r="H2105" s="134">
        <f t="shared" si="230"/>
        <v>1</v>
      </c>
      <c r="I2105" s="7" t="s">
        <v>157</v>
      </c>
      <c r="J2105" s="7" t="s">
        <v>2</v>
      </c>
      <c r="K2105" s="7"/>
      <c r="L2105" s="7"/>
      <c r="M2105" s="7"/>
      <c r="N2105" s="7" t="s">
        <v>410</v>
      </c>
      <c r="O2105" s="7" t="s">
        <v>161</v>
      </c>
      <c r="P2105" s="7" t="s">
        <v>7231</v>
      </c>
      <c r="Q2105" s="129">
        <v>46199</v>
      </c>
      <c r="R2105" s="130">
        <f t="shared" si="228"/>
        <v>46206</v>
      </c>
      <c r="S2105" s="131">
        <f t="shared" si="233"/>
        <v>7</v>
      </c>
      <c r="T2105" s="7" t="s">
        <v>240</v>
      </c>
      <c r="U2105" s="7" t="s">
        <v>248</v>
      </c>
      <c r="V2105" s="7"/>
      <c r="W2105" s="7"/>
      <c r="X2105" s="132">
        <f t="shared" si="231"/>
        <v>10</v>
      </c>
      <c r="Y2105" s="133"/>
      <c r="Z2105" s="133"/>
      <c r="AA2105" s="133"/>
    </row>
    <row r="2106" spans="1:27" hidden="1" x14ac:dyDescent="0.25">
      <c r="A2106" s="127">
        <v>2293</v>
      </c>
      <c r="B2106" s="128" t="str">
        <f t="shared" si="232"/>
        <v>NORT</v>
      </c>
      <c r="C2106" s="128" t="str">
        <f>+VLOOKUP(U2106,Ходим!A:B,2,0)</f>
        <v>31609962110019</v>
      </c>
      <c r="D2106" s="128" t="str">
        <f>IFERROR(VLOOKUP($B:$B,[20]свод!$A:$AB,3,0)," ")</f>
        <v>Норин тумани</v>
      </c>
      <c r="E2106" s="7" t="s">
        <v>3242</v>
      </c>
      <c r="F2106" s="7" t="s">
        <v>9619</v>
      </c>
      <c r="G2106" s="134">
        <f t="shared" si="229"/>
        <v>1</v>
      </c>
      <c r="H2106" s="134" t="str">
        <f t="shared" si="230"/>
        <v/>
      </c>
      <c r="I2106" s="7" t="s">
        <v>158</v>
      </c>
      <c r="J2106" s="7" t="s">
        <v>36</v>
      </c>
      <c r="K2106" s="7"/>
      <c r="L2106" s="7" t="s">
        <v>167</v>
      </c>
      <c r="M2106" s="7" t="s">
        <v>5614</v>
      </c>
      <c r="N2106" s="7" t="s">
        <v>410</v>
      </c>
      <c r="O2106" s="7" t="s">
        <v>162</v>
      </c>
      <c r="P2106" s="7" t="s">
        <v>7232</v>
      </c>
      <c r="Q2106" s="129">
        <v>46199</v>
      </c>
      <c r="R2106" s="130">
        <f t="shared" si="228"/>
        <v>46211</v>
      </c>
      <c r="S2106" s="131">
        <f t="shared" si="233"/>
        <v>12</v>
      </c>
      <c r="T2106" s="7" t="s">
        <v>210</v>
      </c>
      <c r="U2106" s="7" t="s">
        <v>355</v>
      </c>
      <c r="V2106" s="7"/>
      <c r="W2106" s="7">
        <v>0</v>
      </c>
      <c r="X2106" s="132">
        <f t="shared" si="231"/>
        <v>10</v>
      </c>
      <c r="Y2106" s="133"/>
      <c r="Z2106" s="133"/>
      <c r="AA2106" s="133"/>
    </row>
    <row r="2107" spans="1:27" hidden="1" x14ac:dyDescent="0.25">
      <c r="A2107" s="127">
        <v>2294</v>
      </c>
      <c r="B2107" s="128" t="str">
        <f t="shared" si="232"/>
        <v>NORT</v>
      </c>
      <c r="C2107" s="128" t="str">
        <f>+VLOOKUP(U2107,Ходим!A:B,2,0)</f>
        <v>30902932150046</v>
      </c>
      <c r="D2107" s="128" t="str">
        <f>IFERROR(VLOOKUP($B:$B,[20]свод!$A:$AB,3,0)," ")</f>
        <v>Норин тумани</v>
      </c>
      <c r="E2107" s="7" t="s">
        <v>3243</v>
      </c>
      <c r="F2107" s="7" t="s">
        <v>9620</v>
      </c>
      <c r="G2107" s="134">
        <f t="shared" si="229"/>
        <v>1</v>
      </c>
      <c r="H2107" s="134" t="str">
        <f t="shared" si="230"/>
        <v/>
      </c>
      <c r="I2107" s="7" t="s">
        <v>158</v>
      </c>
      <c r="J2107" s="7" t="s">
        <v>36</v>
      </c>
      <c r="K2107" s="7"/>
      <c r="L2107" s="7" t="s">
        <v>167</v>
      </c>
      <c r="M2107" s="7" t="s">
        <v>5615</v>
      </c>
      <c r="N2107" s="7" t="s">
        <v>170</v>
      </c>
      <c r="O2107" s="7" t="s">
        <v>162</v>
      </c>
      <c r="P2107" s="7" t="s">
        <v>6721</v>
      </c>
      <c r="Q2107" s="129">
        <v>46199</v>
      </c>
      <c r="R2107" s="130">
        <f t="shared" si="228"/>
        <v>46203</v>
      </c>
      <c r="S2107" s="131">
        <f t="shared" si="233"/>
        <v>4</v>
      </c>
      <c r="T2107" s="7" t="s">
        <v>210</v>
      </c>
      <c r="U2107" s="7" t="s">
        <v>245</v>
      </c>
      <c r="V2107" s="7"/>
      <c r="W2107" s="7">
        <v>298.60000000000002</v>
      </c>
      <c r="X2107" s="132">
        <f t="shared" si="231"/>
        <v>10</v>
      </c>
      <c r="Y2107" s="133"/>
      <c r="Z2107" s="133"/>
      <c r="AA2107" s="133"/>
    </row>
    <row r="2108" spans="1:27" x14ac:dyDescent="0.25">
      <c r="A2108" s="127">
        <v>2295</v>
      </c>
      <c r="B2108" s="128" t="str">
        <f t="shared" si="232"/>
        <v>NAMS</v>
      </c>
      <c r="C2108" s="128">
        <f>+VLOOKUP(U2108,Ходим!A:B,2,0)</f>
        <v>50510025960139</v>
      </c>
      <c r="D2108" s="128" t="str">
        <f>IFERROR(VLOOKUP($B:$B,[20]свод!$A:$AB,3,0)," ")</f>
        <v>Наманган шаҳар</v>
      </c>
      <c r="E2108" s="7" t="s">
        <v>3244</v>
      </c>
      <c r="F2108" s="7" t="s">
        <v>9621</v>
      </c>
      <c r="G2108" s="134">
        <f t="shared" si="229"/>
        <v>1</v>
      </c>
      <c r="H2108" s="134" t="str">
        <f t="shared" si="230"/>
        <v/>
      </c>
      <c r="I2108" s="7" t="s">
        <v>154</v>
      </c>
      <c r="J2108" s="7" t="s">
        <v>100</v>
      </c>
      <c r="K2108" s="7"/>
      <c r="L2108" s="7" t="s">
        <v>167</v>
      </c>
      <c r="M2108" s="7" t="s">
        <v>5616</v>
      </c>
      <c r="N2108" s="7" t="s">
        <v>170</v>
      </c>
      <c r="O2108" s="7" t="s">
        <v>162</v>
      </c>
      <c r="P2108" s="7" t="s">
        <v>7233</v>
      </c>
      <c r="Q2108" s="129">
        <v>46199</v>
      </c>
      <c r="R2108" s="130">
        <f t="shared" si="228"/>
        <v>46196</v>
      </c>
      <c r="S2108" s="131">
        <f t="shared" si="233"/>
        <v>-3</v>
      </c>
      <c r="T2108" s="7" t="s">
        <v>185</v>
      </c>
      <c r="U2108" s="7" t="s">
        <v>955</v>
      </c>
      <c r="V2108" s="7"/>
      <c r="W2108" s="7">
        <v>112.44</v>
      </c>
      <c r="X2108" s="132">
        <f t="shared" si="231"/>
        <v>10</v>
      </c>
      <c r="Y2108" s="133"/>
      <c r="Z2108" s="133"/>
      <c r="AA2108" s="133"/>
    </row>
    <row r="2109" spans="1:27" hidden="1" x14ac:dyDescent="0.25">
      <c r="A2109" s="127">
        <v>2296</v>
      </c>
      <c r="B2109" s="128" t="str">
        <f t="shared" si="232"/>
        <v>CHUT</v>
      </c>
      <c r="C2109" s="128" t="str">
        <f>+VLOOKUP(U2109,Ходим!A:B,2,0)</f>
        <v>32006862180015</v>
      </c>
      <c r="D2109" s="128" t="str">
        <f>IFERROR(VLOOKUP($B:$B,[20]свод!$A:$AB,3,0)," ")</f>
        <v>Чуст тумани</v>
      </c>
      <c r="E2109" s="7" t="s">
        <v>3245</v>
      </c>
      <c r="F2109" s="7" t="s">
        <v>9622</v>
      </c>
      <c r="G2109" s="134">
        <f t="shared" si="229"/>
        <v>1</v>
      </c>
      <c r="H2109" s="134" t="str">
        <f t="shared" si="230"/>
        <v/>
      </c>
      <c r="I2109" s="7" t="s">
        <v>156</v>
      </c>
      <c r="J2109" s="7" t="s">
        <v>25</v>
      </c>
      <c r="K2109" s="7"/>
      <c r="L2109" s="7"/>
      <c r="M2109" s="7"/>
      <c r="N2109" s="7" t="s">
        <v>170</v>
      </c>
      <c r="O2109" s="7" t="s">
        <v>162</v>
      </c>
      <c r="P2109" s="7" t="s">
        <v>7222</v>
      </c>
      <c r="Q2109" s="129">
        <v>46199</v>
      </c>
      <c r="R2109" s="130">
        <f t="shared" si="228"/>
        <v>46203</v>
      </c>
      <c r="S2109" s="131">
        <f t="shared" si="233"/>
        <v>4</v>
      </c>
      <c r="T2109" s="7" t="s">
        <v>178</v>
      </c>
      <c r="U2109" s="7" t="s">
        <v>347</v>
      </c>
      <c r="V2109" s="7"/>
      <c r="W2109" s="7"/>
      <c r="X2109" s="132">
        <f t="shared" si="231"/>
        <v>10</v>
      </c>
      <c r="Y2109" s="133"/>
      <c r="Z2109" s="133"/>
      <c r="AA2109" s="133"/>
    </row>
    <row r="2110" spans="1:27" hidden="1" x14ac:dyDescent="0.25">
      <c r="A2110" s="127">
        <v>2297</v>
      </c>
      <c r="B2110" s="128" t="str">
        <f t="shared" si="232"/>
        <v>UYCT</v>
      </c>
      <c r="C2110" s="128" t="str">
        <f>+VLOOKUP(U2110,Ходим!A:B,2,0)</f>
        <v>31310995930032</v>
      </c>
      <c r="D2110" s="128" t="str">
        <f>IFERROR(VLOOKUP($B:$B,[20]свод!$A:$AB,3,0)," ")</f>
        <v>Уйчи тумани</v>
      </c>
      <c r="E2110" s="7" t="s">
        <v>3246</v>
      </c>
      <c r="F2110" s="7" t="s">
        <v>9623</v>
      </c>
      <c r="G2110" s="134">
        <f t="shared" si="229"/>
        <v>1</v>
      </c>
      <c r="H2110" s="134" t="str">
        <f t="shared" si="230"/>
        <v/>
      </c>
      <c r="I2110" s="7" t="s">
        <v>158</v>
      </c>
      <c r="J2110" s="7" t="s">
        <v>2</v>
      </c>
      <c r="K2110" s="7"/>
      <c r="L2110" s="7" t="s">
        <v>167</v>
      </c>
      <c r="M2110" s="7" t="s">
        <v>5617</v>
      </c>
      <c r="N2110" s="7" t="s">
        <v>170</v>
      </c>
      <c r="O2110" s="7" t="s">
        <v>162</v>
      </c>
      <c r="P2110" s="7" t="s">
        <v>7234</v>
      </c>
      <c r="Q2110" s="129">
        <v>46199</v>
      </c>
      <c r="R2110" s="130">
        <f t="shared" si="228"/>
        <v>46206</v>
      </c>
      <c r="S2110" s="131">
        <f t="shared" si="233"/>
        <v>7</v>
      </c>
      <c r="T2110" s="7" t="s">
        <v>947</v>
      </c>
      <c r="U2110" s="7" t="s">
        <v>399</v>
      </c>
      <c r="V2110" s="7"/>
      <c r="W2110" s="7">
        <v>0</v>
      </c>
      <c r="X2110" s="132">
        <f t="shared" si="231"/>
        <v>10</v>
      </c>
      <c r="Y2110" s="133"/>
      <c r="Z2110" s="133"/>
      <c r="AA2110" s="133"/>
    </row>
    <row r="2111" spans="1:27" hidden="1" x14ac:dyDescent="0.25">
      <c r="A2111" s="127">
        <v>2298</v>
      </c>
      <c r="B2111" s="128" t="str">
        <f t="shared" si="232"/>
        <v>KSST</v>
      </c>
      <c r="C2111" s="128" t="str">
        <f>+VLOOKUP(U2111,Ходим!A:B,2,0)</f>
        <v>32503912190045</v>
      </c>
      <c r="D2111" s="128" t="str">
        <f>IFERROR(VLOOKUP($B:$B,[20]свод!$A:$AB,3,0)," ")</f>
        <v>Косонсой тумани</v>
      </c>
      <c r="E2111" s="7" t="s">
        <v>3247</v>
      </c>
      <c r="F2111" s="7" t="s">
        <v>9624</v>
      </c>
      <c r="G2111" s="134">
        <f t="shared" si="229"/>
        <v>1</v>
      </c>
      <c r="H2111" s="134" t="str">
        <f t="shared" si="230"/>
        <v/>
      </c>
      <c r="I2111" s="7" t="s">
        <v>158</v>
      </c>
      <c r="J2111" s="7" t="s">
        <v>1</v>
      </c>
      <c r="K2111" s="7"/>
      <c r="L2111" s="7" t="s">
        <v>167</v>
      </c>
      <c r="M2111" s="7" t="s">
        <v>1144</v>
      </c>
      <c r="N2111" s="7" t="s">
        <v>170</v>
      </c>
      <c r="O2111" s="7" t="s">
        <v>162</v>
      </c>
      <c r="P2111" s="7" t="s">
        <v>6747</v>
      </c>
      <c r="Q2111" s="129">
        <v>46199</v>
      </c>
      <c r="R2111" s="130">
        <f t="shared" si="228"/>
        <v>46202</v>
      </c>
      <c r="S2111" s="131">
        <f t="shared" si="233"/>
        <v>3</v>
      </c>
      <c r="T2111" s="7" t="s">
        <v>180</v>
      </c>
      <c r="U2111" s="7" t="s">
        <v>254</v>
      </c>
      <c r="V2111" s="7"/>
      <c r="W2111" s="7">
        <v>138.07</v>
      </c>
      <c r="X2111" s="132">
        <f t="shared" si="231"/>
        <v>10</v>
      </c>
      <c r="Y2111" s="133"/>
      <c r="Z2111" s="133"/>
      <c r="AA2111" s="133"/>
    </row>
    <row r="2112" spans="1:27" hidden="1" x14ac:dyDescent="0.25">
      <c r="A2112" s="127">
        <v>2299</v>
      </c>
      <c r="B2112" s="128" t="str">
        <f t="shared" si="232"/>
        <v>NORT</v>
      </c>
      <c r="C2112" s="128" t="str">
        <f>+VLOOKUP(U2112,Ходим!A:B,2,0)</f>
        <v>30902932150046</v>
      </c>
      <c r="D2112" s="128" t="str">
        <f>IFERROR(VLOOKUP($B:$B,[20]свод!$A:$AB,3,0)," ")</f>
        <v>Норин тумани</v>
      </c>
      <c r="E2112" s="7" t="s">
        <v>3248</v>
      </c>
      <c r="F2112" s="7" t="s">
        <v>9625</v>
      </c>
      <c r="G2112" s="134">
        <f t="shared" si="229"/>
        <v>1</v>
      </c>
      <c r="H2112" s="134" t="str">
        <f t="shared" si="230"/>
        <v/>
      </c>
      <c r="I2112" s="7" t="s">
        <v>158</v>
      </c>
      <c r="J2112" s="7" t="s">
        <v>1</v>
      </c>
      <c r="K2112" s="7"/>
      <c r="L2112" s="7" t="s">
        <v>167</v>
      </c>
      <c r="M2112" s="7" t="s">
        <v>5618</v>
      </c>
      <c r="N2112" s="7" t="s">
        <v>170</v>
      </c>
      <c r="O2112" s="7" t="s">
        <v>162</v>
      </c>
      <c r="P2112" s="7" t="s">
        <v>7235</v>
      </c>
      <c r="Q2112" s="129">
        <v>46199</v>
      </c>
      <c r="R2112" s="130">
        <f t="shared" si="228"/>
        <v>46203</v>
      </c>
      <c r="S2112" s="131">
        <f t="shared" si="233"/>
        <v>4</v>
      </c>
      <c r="T2112" s="7" t="s">
        <v>210</v>
      </c>
      <c r="U2112" s="7" t="s">
        <v>245</v>
      </c>
      <c r="V2112" s="7"/>
      <c r="W2112" s="7">
        <v>450.24</v>
      </c>
      <c r="X2112" s="132">
        <f t="shared" si="231"/>
        <v>10</v>
      </c>
      <c r="Y2112" s="133"/>
      <c r="Z2112" s="133"/>
      <c r="AA2112" s="133"/>
    </row>
    <row r="2113" spans="1:27" hidden="1" x14ac:dyDescent="0.25">
      <c r="A2113" s="127">
        <v>2300</v>
      </c>
      <c r="B2113" s="128" t="str">
        <f t="shared" si="232"/>
        <v>NAMS</v>
      </c>
      <c r="C2113" s="128" t="str">
        <f>+VLOOKUP(U2113,Ходим!A:B,2,0)</f>
        <v>52407055960122</v>
      </c>
      <c r="D2113" s="128" t="str">
        <f>IFERROR(VLOOKUP($B:$B,[20]свод!$A:$AB,3,0)," ")</f>
        <v>Наманган шаҳар</v>
      </c>
      <c r="E2113" s="7" t="s">
        <v>3249</v>
      </c>
      <c r="F2113" s="7" t="s">
        <v>9626</v>
      </c>
      <c r="G2113" s="134">
        <f t="shared" si="229"/>
        <v>1</v>
      </c>
      <c r="H2113" s="134" t="str">
        <f t="shared" si="230"/>
        <v/>
      </c>
      <c r="I2113" s="7" t="s">
        <v>158</v>
      </c>
      <c r="J2113" s="7" t="s">
        <v>1</v>
      </c>
      <c r="K2113" s="7"/>
      <c r="L2113" s="7" t="s">
        <v>167</v>
      </c>
      <c r="M2113" s="7" t="s">
        <v>1077</v>
      </c>
      <c r="N2113" s="7" t="s">
        <v>170</v>
      </c>
      <c r="O2113" s="7" t="s">
        <v>162</v>
      </c>
      <c r="P2113" s="7" t="s">
        <v>7236</v>
      </c>
      <c r="Q2113" s="129">
        <v>46199</v>
      </c>
      <c r="R2113" s="130">
        <f t="shared" si="228"/>
        <v>46206</v>
      </c>
      <c r="S2113" s="131">
        <f t="shared" si="233"/>
        <v>7</v>
      </c>
      <c r="T2113" s="7" t="s">
        <v>185</v>
      </c>
      <c r="U2113" s="7" t="s">
        <v>345</v>
      </c>
      <c r="V2113" s="7"/>
      <c r="W2113" s="7">
        <v>128.44</v>
      </c>
      <c r="X2113" s="132">
        <f t="shared" si="231"/>
        <v>10</v>
      </c>
      <c r="Y2113" s="133"/>
      <c r="Z2113" s="133"/>
      <c r="AA2113" s="133"/>
    </row>
    <row r="2114" spans="1:27" x14ac:dyDescent="0.25">
      <c r="A2114" s="127">
        <v>2301</v>
      </c>
      <c r="B2114" s="128" t="str">
        <f t="shared" si="232"/>
        <v>NAMS</v>
      </c>
      <c r="C2114" s="128">
        <f>+VLOOKUP(U2114,Ходим!A:B,2,0)</f>
        <v>50510025960139</v>
      </c>
      <c r="D2114" s="128" t="str">
        <f>IFERROR(VLOOKUP($B:$B,[20]свод!$A:$AB,3,0)," ")</f>
        <v>Наманган шаҳар</v>
      </c>
      <c r="E2114" s="7" t="s">
        <v>3250</v>
      </c>
      <c r="F2114" s="7"/>
      <c r="G2114" s="134">
        <f t="shared" si="229"/>
        <v>1</v>
      </c>
      <c r="H2114" s="134" t="str">
        <f t="shared" si="230"/>
        <v/>
      </c>
      <c r="I2114" s="7" t="s">
        <v>154</v>
      </c>
      <c r="J2114" s="7" t="s">
        <v>1</v>
      </c>
      <c r="K2114" s="7"/>
      <c r="L2114" s="7" t="s">
        <v>167</v>
      </c>
      <c r="M2114" s="7" t="s">
        <v>5619</v>
      </c>
      <c r="N2114" s="7" t="s">
        <v>368</v>
      </c>
      <c r="O2114" s="7"/>
      <c r="P2114" s="7" t="s">
        <v>7237</v>
      </c>
      <c r="Q2114" s="129">
        <v>46199</v>
      </c>
      <c r="R2114" s="130">
        <f t="shared" si="228"/>
        <v>46199</v>
      </c>
      <c r="S2114" s="131">
        <f t="shared" si="233"/>
        <v>0</v>
      </c>
      <c r="T2114" s="7" t="s">
        <v>185</v>
      </c>
      <c r="U2114" s="7" t="s">
        <v>955</v>
      </c>
      <c r="V2114" s="7"/>
      <c r="W2114" s="7">
        <v>320.22000000000003</v>
      </c>
      <c r="X2114" s="132">
        <f t="shared" si="231"/>
        <v>5</v>
      </c>
      <c r="Y2114" s="133"/>
      <c r="Z2114" s="133"/>
      <c r="AA2114" s="133"/>
    </row>
    <row r="2115" spans="1:27" hidden="1" x14ac:dyDescent="0.25">
      <c r="A2115" s="127">
        <v>2302</v>
      </c>
      <c r="B2115" s="128" t="str">
        <f t="shared" si="232"/>
        <v>YGQT</v>
      </c>
      <c r="C2115" s="128" t="str">
        <f>+VLOOKUP(U2115,Ходим!A:B,2,0)</f>
        <v>52010015950028</v>
      </c>
      <c r="D2115" s="128" t="str">
        <f>IFERROR(VLOOKUP($B:$B,[20]свод!$A:$AB,3,0)," ")</f>
        <v>Янгиқўрғон тумани</v>
      </c>
      <c r="E2115" s="7" t="s">
        <v>3251</v>
      </c>
      <c r="F2115" s="7" t="s">
        <v>9627</v>
      </c>
      <c r="G2115" s="134">
        <f t="shared" si="229"/>
        <v>1</v>
      </c>
      <c r="H2115" s="134" t="str">
        <f t="shared" si="230"/>
        <v/>
      </c>
      <c r="I2115" s="7" t="s">
        <v>158</v>
      </c>
      <c r="J2115" s="7" t="s">
        <v>2</v>
      </c>
      <c r="K2115" s="7"/>
      <c r="L2115" s="7" t="s">
        <v>167</v>
      </c>
      <c r="M2115" s="7" t="s">
        <v>5620</v>
      </c>
      <c r="N2115" s="7" t="s">
        <v>170</v>
      </c>
      <c r="O2115" s="7" t="s">
        <v>162</v>
      </c>
      <c r="P2115" s="7" t="s">
        <v>7238</v>
      </c>
      <c r="Q2115" s="129">
        <v>46199</v>
      </c>
      <c r="R2115" s="130">
        <f t="shared" si="228"/>
        <v>46203</v>
      </c>
      <c r="S2115" s="131">
        <f t="shared" si="233"/>
        <v>4</v>
      </c>
      <c r="T2115" s="7" t="s">
        <v>255</v>
      </c>
      <c r="U2115" s="7" t="s">
        <v>391</v>
      </c>
      <c r="V2115" s="7"/>
      <c r="W2115" s="7">
        <v>133.56</v>
      </c>
      <c r="X2115" s="132">
        <f t="shared" si="231"/>
        <v>10</v>
      </c>
      <c r="Y2115" s="133"/>
      <c r="Z2115" s="133"/>
      <c r="AA2115" s="133"/>
    </row>
    <row r="2116" spans="1:27" hidden="1" x14ac:dyDescent="0.25">
      <c r="A2116" s="127">
        <v>2303</v>
      </c>
      <c r="B2116" s="128" t="str">
        <f t="shared" si="232"/>
        <v>NAMS</v>
      </c>
      <c r="C2116" s="128">
        <f>+VLOOKUP(U2116,Ходим!A:B,2,0)</f>
        <v>52004005950071</v>
      </c>
      <c r="D2116" s="128" t="str">
        <f>IFERROR(VLOOKUP($B:$B,[20]свод!$A:$AB,3,0)," ")</f>
        <v>Наманган шаҳар</v>
      </c>
      <c r="E2116" s="7" t="s">
        <v>3252</v>
      </c>
      <c r="F2116" s="7" t="s">
        <v>9628</v>
      </c>
      <c r="G2116" s="134">
        <f t="shared" si="229"/>
        <v>1</v>
      </c>
      <c r="H2116" s="134" t="str">
        <f t="shared" si="230"/>
        <v/>
      </c>
      <c r="I2116" s="7" t="s">
        <v>158</v>
      </c>
      <c r="J2116" s="7" t="s">
        <v>2</v>
      </c>
      <c r="K2116" s="7"/>
      <c r="L2116" s="7"/>
      <c r="M2116" s="7"/>
      <c r="N2116" s="7" t="s">
        <v>170</v>
      </c>
      <c r="O2116" s="7" t="s">
        <v>162</v>
      </c>
      <c r="P2116" s="7" t="s">
        <v>7238</v>
      </c>
      <c r="Q2116" s="129">
        <v>46199</v>
      </c>
      <c r="R2116" s="130">
        <f t="shared" si="228"/>
        <v>46203</v>
      </c>
      <c r="S2116" s="131">
        <f t="shared" si="233"/>
        <v>4</v>
      </c>
      <c r="T2116" s="7" t="s">
        <v>173</v>
      </c>
      <c r="U2116" s="7" t="s">
        <v>1015</v>
      </c>
      <c r="V2116" s="7"/>
      <c r="W2116" s="7"/>
      <c r="X2116" s="132">
        <f t="shared" si="231"/>
        <v>10</v>
      </c>
      <c r="Y2116" s="133"/>
      <c r="Z2116" s="133"/>
      <c r="AA2116" s="133"/>
    </row>
    <row r="2117" spans="1:27" hidden="1" x14ac:dyDescent="0.25">
      <c r="A2117" s="127">
        <v>2304</v>
      </c>
      <c r="B2117" s="128" t="str">
        <f t="shared" si="232"/>
        <v>UYCT</v>
      </c>
      <c r="C2117" s="128" t="str">
        <f>+VLOOKUP(U2117,Ходим!A:B,2,0)</f>
        <v>30309975930028</v>
      </c>
      <c r="D2117" s="128" t="str">
        <f>IFERROR(VLOOKUP($B:$B,[20]свод!$A:$AB,3,0)," ")</f>
        <v>Уйчи тумани</v>
      </c>
      <c r="E2117" s="7" t="s">
        <v>3253</v>
      </c>
      <c r="F2117" s="7" t="s">
        <v>9629</v>
      </c>
      <c r="G2117" s="134">
        <f t="shared" si="229"/>
        <v>1</v>
      </c>
      <c r="H2117" s="134" t="str">
        <f t="shared" si="230"/>
        <v/>
      </c>
      <c r="I2117" s="7" t="s">
        <v>158</v>
      </c>
      <c r="J2117" s="7" t="s">
        <v>2</v>
      </c>
      <c r="K2117" s="7"/>
      <c r="L2117" s="7" t="s">
        <v>167</v>
      </c>
      <c r="M2117" s="7" t="s">
        <v>5621</v>
      </c>
      <c r="N2117" s="7" t="s">
        <v>410</v>
      </c>
      <c r="O2117" s="7" t="s">
        <v>162</v>
      </c>
      <c r="P2117" s="7" t="s">
        <v>7239</v>
      </c>
      <c r="Q2117" s="129">
        <v>46199</v>
      </c>
      <c r="R2117" s="130">
        <f t="shared" si="228"/>
        <v>46206</v>
      </c>
      <c r="S2117" s="131">
        <f t="shared" si="233"/>
        <v>7</v>
      </c>
      <c r="T2117" s="7" t="s">
        <v>379</v>
      </c>
      <c r="U2117" s="7" t="s">
        <v>261</v>
      </c>
      <c r="V2117" s="7"/>
      <c r="W2117" s="7">
        <v>164.83</v>
      </c>
      <c r="X2117" s="132">
        <f t="shared" si="231"/>
        <v>10</v>
      </c>
      <c r="Y2117" s="133"/>
      <c r="Z2117" s="133"/>
      <c r="AA2117" s="133"/>
    </row>
    <row r="2118" spans="1:27" hidden="1" x14ac:dyDescent="0.25">
      <c r="A2118" s="127">
        <v>2305</v>
      </c>
      <c r="B2118" s="128" t="str">
        <f t="shared" si="232"/>
        <v>KSST</v>
      </c>
      <c r="C2118" s="128" t="str">
        <f>+VLOOKUP(U2118,Ходим!A:B,2,0)</f>
        <v>32910975980025</v>
      </c>
      <c r="D2118" s="128" t="str">
        <f>IFERROR(VLOOKUP($B:$B,[20]свод!$A:$AB,3,0)," ")</f>
        <v>Косонсой тумани</v>
      </c>
      <c r="E2118" s="7" t="s">
        <v>3254</v>
      </c>
      <c r="F2118" s="7" t="s">
        <v>9630</v>
      </c>
      <c r="G2118" s="134">
        <f t="shared" si="229"/>
        <v>1</v>
      </c>
      <c r="H2118" s="134" t="str">
        <f t="shared" si="230"/>
        <v/>
      </c>
      <c r="I2118" s="7" t="s">
        <v>158</v>
      </c>
      <c r="J2118" s="7" t="s">
        <v>2</v>
      </c>
      <c r="K2118" s="7"/>
      <c r="L2118" s="7"/>
      <c r="M2118" s="7"/>
      <c r="N2118" s="7" t="s">
        <v>170</v>
      </c>
      <c r="O2118" s="7" t="s">
        <v>162</v>
      </c>
      <c r="P2118" s="7" t="s">
        <v>7240</v>
      </c>
      <c r="Q2118" s="129">
        <v>46199</v>
      </c>
      <c r="R2118" s="130">
        <f t="shared" ref="R2118:R2177" si="234">WORKDAY(P2118,X2118,$Y$1:$AA$1)</f>
        <v>46203</v>
      </c>
      <c r="S2118" s="131">
        <f t="shared" si="233"/>
        <v>4</v>
      </c>
      <c r="T2118" s="7" t="s">
        <v>180</v>
      </c>
      <c r="U2118" s="7" t="s">
        <v>187</v>
      </c>
      <c r="V2118" s="7"/>
      <c r="W2118" s="7"/>
      <c r="X2118" s="132">
        <f t="shared" si="231"/>
        <v>10</v>
      </c>
      <c r="Y2118" s="133"/>
      <c r="Z2118" s="133"/>
      <c r="AA2118" s="133"/>
    </row>
    <row r="2119" spans="1:27" hidden="1" x14ac:dyDescent="0.25">
      <c r="A2119" s="127">
        <v>2306</v>
      </c>
      <c r="B2119" s="128" t="str">
        <f t="shared" si="232"/>
        <v>NORT</v>
      </c>
      <c r="C2119" s="128" t="str">
        <f>+VLOOKUP(U2119,Ходим!A:B,2,0)</f>
        <v>40601902150077</v>
      </c>
      <c r="D2119" s="128" t="str">
        <f>IFERROR(VLOOKUP($B:$B,[20]свод!$A:$AB,3,0)," ")</f>
        <v>Норин тумани</v>
      </c>
      <c r="E2119" s="7" t="s">
        <v>3255</v>
      </c>
      <c r="F2119" s="7" t="s">
        <v>9631</v>
      </c>
      <c r="G2119" s="134">
        <f t="shared" si="229"/>
        <v>1</v>
      </c>
      <c r="H2119" s="134" t="str">
        <f t="shared" si="230"/>
        <v/>
      </c>
      <c r="I2119" s="7" t="s">
        <v>158</v>
      </c>
      <c r="J2119" s="7" t="s">
        <v>84</v>
      </c>
      <c r="K2119" s="7"/>
      <c r="L2119" s="7" t="s">
        <v>167</v>
      </c>
      <c r="M2119" s="7" t="s">
        <v>5622</v>
      </c>
      <c r="N2119" s="7" t="s">
        <v>170</v>
      </c>
      <c r="O2119" s="7" t="s">
        <v>162</v>
      </c>
      <c r="P2119" s="7" t="s">
        <v>6771</v>
      </c>
      <c r="Q2119" s="129">
        <v>46199</v>
      </c>
      <c r="R2119" s="130">
        <f t="shared" si="234"/>
        <v>46206</v>
      </c>
      <c r="S2119" s="131">
        <f t="shared" si="233"/>
        <v>7</v>
      </c>
      <c r="T2119" s="7" t="s">
        <v>210</v>
      </c>
      <c r="U2119" s="7" t="s">
        <v>249</v>
      </c>
      <c r="V2119" s="7"/>
      <c r="W2119" s="7">
        <v>168.44</v>
      </c>
      <c r="X2119" s="132">
        <f t="shared" si="231"/>
        <v>10</v>
      </c>
      <c r="Y2119" s="133"/>
      <c r="Z2119" s="133"/>
      <c r="AA2119" s="133"/>
    </row>
    <row r="2120" spans="1:27" x14ac:dyDescent="0.25">
      <c r="A2120" s="127">
        <v>2307</v>
      </c>
      <c r="B2120" s="128" t="str">
        <f t="shared" si="232"/>
        <v>KSST</v>
      </c>
      <c r="C2120" s="128" t="str">
        <f>+VLOOKUP(U2120,Ходим!A:B,2,0)</f>
        <v>32503912190045</v>
      </c>
      <c r="D2120" s="128" t="str">
        <f>IFERROR(VLOOKUP($B:$B,[20]свод!$A:$AB,3,0)," ")</f>
        <v>Косонсой тумани</v>
      </c>
      <c r="E2120" s="7" t="s">
        <v>3256</v>
      </c>
      <c r="F2120" s="7" t="s">
        <v>9632</v>
      </c>
      <c r="G2120" s="134">
        <f t="shared" si="229"/>
        <v>1</v>
      </c>
      <c r="H2120" s="134" t="str">
        <f t="shared" si="230"/>
        <v/>
      </c>
      <c r="I2120" s="7" t="s">
        <v>154</v>
      </c>
      <c r="J2120" s="7" t="s">
        <v>1137</v>
      </c>
      <c r="K2120" s="7"/>
      <c r="L2120" s="7" t="s">
        <v>167</v>
      </c>
      <c r="M2120" s="7" t="s">
        <v>5623</v>
      </c>
      <c r="N2120" s="7" t="s">
        <v>170</v>
      </c>
      <c r="O2120" s="7" t="s">
        <v>162</v>
      </c>
      <c r="P2120" s="7" t="s">
        <v>7241</v>
      </c>
      <c r="Q2120" s="129">
        <v>46199</v>
      </c>
      <c r="R2120" s="130">
        <f t="shared" si="234"/>
        <v>46142</v>
      </c>
      <c r="S2120" s="131">
        <f t="shared" si="233"/>
        <v>-57</v>
      </c>
      <c r="T2120" s="7" t="s">
        <v>180</v>
      </c>
      <c r="U2120" s="7" t="s">
        <v>254</v>
      </c>
      <c r="V2120" s="7" t="s">
        <v>359</v>
      </c>
      <c r="W2120" s="7">
        <v>73</v>
      </c>
      <c r="X2120" s="132">
        <f t="shared" si="231"/>
        <v>10</v>
      </c>
      <c r="Y2120" s="133"/>
      <c r="Z2120" s="133"/>
      <c r="AA2120" s="133"/>
    </row>
    <row r="2121" spans="1:27" hidden="1" x14ac:dyDescent="0.25">
      <c r="A2121" s="127">
        <v>2308</v>
      </c>
      <c r="B2121" s="128" t="str">
        <f t="shared" si="232"/>
        <v>TORT</v>
      </c>
      <c r="C2121" s="128" t="str">
        <f>+VLOOKUP(U2121,Ходим!A:B,2,0)</f>
        <v>31704782130035</v>
      </c>
      <c r="D2121" s="128" t="str">
        <f>IFERROR(VLOOKUP($B:$B,[20]свод!$A:$AB,3,0)," ")</f>
        <v>Тўрақўрғон тумани</v>
      </c>
      <c r="E2121" s="7" t="s">
        <v>3257</v>
      </c>
      <c r="F2121" s="7" t="s">
        <v>9633</v>
      </c>
      <c r="G2121" s="134">
        <f t="shared" si="229"/>
        <v>1</v>
      </c>
      <c r="H2121" s="134" t="str">
        <f t="shared" si="230"/>
        <v/>
      </c>
      <c r="I2121" s="7" t="s">
        <v>158</v>
      </c>
      <c r="J2121" s="7" t="s">
        <v>2</v>
      </c>
      <c r="K2121" s="7"/>
      <c r="L2121" s="7"/>
      <c r="M2121" s="7"/>
      <c r="N2121" s="7" t="s">
        <v>410</v>
      </c>
      <c r="O2121" s="7" t="s">
        <v>162</v>
      </c>
      <c r="P2121" s="7" t="s">
        <v>7242</v>
      </c>
      <c r="Q2121" s="129">
        <v>46199</v>
      </c>
      <c r="R2121" s="130">
        <f t="shared" si="234"/>
        <v>46203</v>
      </c>
      <c r="S2121" s="131">
        <f t="shared" si="233"/>
        <v>4</v>
      </c>
      <c r="T2121" s="7" t="s">
        <v>203</v>
      </c>
      <c r="U2121" s="7" t="s">
        <v>344</v>
      </c>
      <c r="V2121" s="7"/>
      <c r="W2121" s="7"/>
      <c r="X2121" s="132">
        <f t="shared" si="231"/>
        <v>10</v>
      </c>
      <c r="Y2121" s="133"/>
      <c r="Z2121" s="133"/>
      <c r="AA2121" s="133"/>
    </row>
    <row r="2122" spans="1:27" hidden="1" x14ac:dyDescent="0.25">
      <c r="A2122" s="127">
        <v>2309</v>
      </c>
      <c r="B2122" s="128" t="str">
        <f t="shared" si="232"/>
        <v>TORT</v>
      </c>
      <c r="C2122" s="128" t="str">
        <f>+VLOOKUP(U2122,Ходим!A:B,2,0)</f>
        <v>30702995920011</v>
      </c>
      <c r="D2122" s="128" t="str">
        <f>IFERROR(VLOOKUP($B:$B,[20]свод!$A:$AB,3,0)," ")</f>
        <v>Тўрақўрғон тумани</v>
      </c>
      <c r="E2122" s="7" t="s">
        <v>3258</v>
      </c>
      <c r="F2122" s="7" t="s">
        <v>9634</v>
      </c>
      <c r="G2122" s="134">
        <f t="shared" ref="G2122:G2181" si="235">IF(OR(
I2122="Turar joy obyektning kadastr pasportini shakllantirish va davlat ro'yxatidan o'tkazish",
I2122="Turar kompozit"
),
1,
IF(OR(
I2122="Noturar kompozit",
I2122="Avtoyo'l va suv xo'jaligi obyektining kadastr pasportini shakllantirish va ro'yxatga olish",
I2122="Noturar obyektning kadastr pasportining kadastr pasportini shakllantirish va davlat ro'yxatidan o'tkazish"
),
"",
IF(OR(
I2122="Notarius uchun ma'lumotnoma (uz)",
I2122="Qurilishi tugallangan ko'chmas mulkni foydalanishga qabul qilish",
I2122="Umumiy foydalanishdagi ko'chmas mulk qismini yaratish",
I2122="Registratsiya (tashqi - UZKAD da bor)"
),
IF(OR(L2122="Turar yer maydoni",L2122="Yakka tartibdagi turar joy"),1,
IF(L2122="Noturar bino","",
IF(L2122="Noturar yer maydoni","",
IF(L2122="",IF(OR(O2122="Turar joy xizmati",O2122="Foydalanishga ruxsatnoma berish xizmati"),1,""),"")
))),
"")))</f>
        <v>1</v>
      </c>
      <c r="H2122" s="134" t="str">
        <f t="shared" ref="H2122:H2181" si="236">IF(OR(
I2122="Turar joy obyektning kadastr pasportini shakllantirish va davlat ro'yxatidan o'tkazish",
I2122="Turar kompozit"
),
"",
IF(OR(
I2122="Noturar kompozit",
I2122="Avtoyo'l va suv xo'jaligi obyektining kadastr pasportini shakllantirish va ro'yxatga olish",
I2122="Noturar obyektning kadastr pasportini shakllantirish va davlat ro'yxatidan o'tkazish"
),
1,
IF(OR(
I2122="Notarius uchun ma'lumotnoma (uz)",
I2122="Qurilishi tugallangan ko'chmas mulkni foydalanishga qabul qilish",
I2122="Umumiy foydalanishdagi ko'chmas mulk qismini yaratish",
I2122="Registratsiya (tashqi - UZKAD da bor)"
),
IF(OR(L2122="Turar yer maydoni",L2122="Yakka tartibdagi turar joy"),"",
IF(L2122="Noturar bino",1,
IF(L2122="Noturar yer maydoni",1,
IF(L2122="",IF(OR(O2122="Turar joy xizmati",O2122="Foydalanishga ruxsatnoma berish xizmati"),"",1),"")
))),
"")))</f>
        <v/>
      </c>
      <c r="I2122" s="7" t="s">
        <v>156</v>
      </c>
      <c r="J2122" s="7" t="s">
        <v>25</v>
      </c>
      <c r="K2122" s="7"/>
      <c r="L2122" s="7" t="s">
        <v>167</v>
      </c>
      <c r="M2122" s="7" t="s">
        <v>5624</v>
      </c>
      <c r="N2122" s="7" t="s">
        <v>410</v>
      </c>
      <c r="O2122" s="7" t="s">
        <v>162</v>
      </c>
      <c r="P2122" s="7" t="s">
        <v>7242</v>
      </c>
      <c r="Q2122" s="129">
        <v>46199</v>
      </c>
      <c r="R2122" s="130">
        <f t="shared" si="234"/>
        <v>46203</v>
      </c>
      <c r="S2122" s="131">
        <f t="shared" si="233"/>
        <v>4</v>
      </c>
      <c r="T2122" s="7" t="s">
        <v>203</v>
      </c>
      <c r="U2122" s="7" t="s">
        <v>341</v>
      </c>
      <c r="V2122" s="7"/>
      <c r="W2122" s="7">
        <v>367.39</v>
      </c>
      <c r="X2122" s="132">
        <f t="shared" si="231"/>
        <v>10</v>
      </c>
      <c r="Y2122" s="133"/>
      <c r="Z2122" s="133"/>
      <c r="AA2122" s="133"/>
    </row>
    <row r="2123" spans="1:27" hidden="1" x14ac:dyDescent="0.25">
      <c r="A2123" s="127">
        <v>2310</v>
      </c>
      <c r="B2123" s="128" t="str">
        <f t="shared" si="232"/>
        <v>NAMT</v>
      </c>
      <c r="C2123" s="128" t="e">
        <f>+VLOOKUP(U2123,Ходим!A:B,2,0)</f>
        <v>#N/A</v>
      </c>
      <c r="D2123" s="128" t="str">
        <f>IFERROR(VLOOKUP($B:$B,[20]свод!$A:$AB,3,0)," ")</f>
        <v>Наманган тумани</v>
      </c>
      <c r="E2123" s="7" t="s">
        <v>3259</v>
      </c>
      <c r="F2123" s="7" t="s">
        <v>9635</v>
      </c>
      <c r="G2123" s="134">
        <f t="shared" si="235"/>
        <v>1</v>
      </c>
      <c r="H2123" s="134" t="str">
        <f t="shared" si="236"/>
        <v/>
      </c>
      <c r="I2123" s="7" t="s">
        <v>159</v>
      </c>
      <c r="J2123" s="7" t="s">
        <v>137</v>
      </c>
      <c r="K2123" s="7"/>
      <c r="L2123" s="7" t="s">
        <v>167</v>
      </c>
      <c r="M2123" s="7" t="s">
        <v>5625</v>
      </c>
      <c r="N2123" s="7" t="s">
        <v>410</v>
      </c>
      <c r="O2123" s="7" t="s">
        <v>163</v>
      </c>
      <c r="P2123" s="7" t="s">
        <v>6801</v>
      </c>
      <c r="Q2123" s="129">
        <v>46199</v>
      </c>
      <c r="R2123" s="130">
        <f t="shared" si="234"/>
        <v>46212</v>
      </c>
      <c r="S2123" s="131">
        <f t="shared" si="233"/>
        <v>13</v>
      </c>
      <c r="T2123" s="7" t="s">
        <v>193</v>
      </c>
      <c r="U2123" s="7"/>
      <c r="V2123" s="7"/>
      <c r="W2123" s="7">
        <v>212.92</v>
      </c>
      <c r="X2123" s="132">
        <f t="shared" si="231"/>
        <v>10</v>
      </c>
      <c r="Y2123" s="133"/>
      <c r="Z2123" s="133"/>
      <c r="AA2123" s="133"/>
    </row>
    <row r="2124" spans="1:27" x14ac:dyDescent="0.25">
      <c r="A2124" s="127">
        <v>2311</v>
      </c>
      <c r="B2124" s="128" t="str">
        <f t="shared" si="232"/>
        <v>CHUT</v>
      </c>
      <c r="C2124" s="128" t="str">
        <f>+VLOOKUP(U2124,Ходим!A:B,2,0)</f>
        <v>31509882180058</v>
      </c>
      <c r="D2124" s="128" t="str">
        <f>IFERROR(VLOOKUP($B:$B,[20]свод!$A:$AB,3,0)," ")</f>
        <v>Чуст тумани</v>
      </c>
      <c r="E2124" s="7" t="s">
        <v>3260</v>
      </c>
      <c r="F2124" s="7"/>
      <c r="G2124" s="134" t="str">
        <f t="shared" si="235"/>
        <v/>
      </c>
      <c r="H2124" s="134">
        <f t="shared" si="236"/>
        <v>1</v>
      </c>
      <c r="I2124" s="7" t="s">
        <v>154</v>
      </c>
      <c r="J2124" s="7" t="s">
        <v>56</v>
      </c>
      <c r="K2124" s="7"/>
      <c r="L2124" s="7" t="s">
        <v>166</v>
      </c>
      <c r="M2124" s="7" t="s">
        <v>5626</v>
      </c>
      <c r="N2124" s="7" t="s">
        <v>368</v>
      </c>
      <c r="O2124" s="7"/>
      <c r="P2124" s="7" t="s">
        <v>7243</v>
      </c>
      <c r="Q2124" s="129">
        <v>46199</v>
      </c>
      <c r="R2124" s="130">
        <f t="shared" si="234"/>
        <v>46197</v>
      </c>
      <c r="S2124" s="131">
        <f t="shared" si="233"/>
        <v>-2</v>
      </c>
      <c r="T2124" s="7" t="s">
        <v>178</v>
      </c>
      <c r="U2124" s="7" t="s">
        <v>324</v>
      </c>
      <c r="V2124" s="7" t="s">
        <v>965</v>
      </c>
      <c r="W2124" s="7">
        <v>81.84</v>
      </c>
      <c r="X2124" s="132">
        <f t="shared" si="231"/>
        <v>5</v>
      </c>
      <c r="Y2124" s="133"/>
      <c r="Z2124" s="133"/>
      <c r="AA2124" s="133"/>
    </row>
    <row r="2125" spans="1:27" hidden="1" x14ac:dyDescent="0.25">
      <c r="A2125" s="127">
        <v>2312</v>
      </c>
      <c r="B2125" s="128" t="str">
        <f t="shared" si="232"/>
        <v>NAMT</v>
      </c>
      <c r="C2125" s="128">
        <f>+VLOOKUP(U2125,Ходим!A:B,2,0)</f>
        <v>32712932090068</v>
      </c>
      <c r="D2125" s="128" t="str">
        <f>IFERROR(VLOOKUP($B:$B,[20]свод!$A:$AB,3,0)," ")</f>
        <v>Наманган тумани</v>
      </c>
      <c r="E2125" s="7" t="s">
        <v>3261</v>
      </c>
      <c r="F2125" s="7" t="s">
        <v>9636</v>
      </c>
      <c r="G2125" s="134" t="str">
        <f t="shared" si="235"/>
        <v/>
      </c>
      <c r="H2125" s="134">
        <f t="shared" si="236"/>
        <v>1</v>
      </c>
      <c r="I2125" s="7" t="s">
        <v>157</v>
      </c>
      <c r="J2125" s="7" t="s">
        <v>2</v>
      </c>
      <c r="K2125" s="7"/>
      <c r="L2125" s="7"/>
      <c r="M2125" s="7"/>
      <c r="N2125" s="7" t="s">
        <v>170</v>
      </c>
      <c r="O2125" s="7" t="s">
        <v>161</v>
      </c>
      <c r="P2125" s="7" t="s">
        <v>7037</v>
      </c>
      <c r="Q2125" s="129">
        <v>46199</v>
      </c>
      <c r="R2125" s="130">
        <f t="shared" si="234"/>
        <v>46203</v>
      </c>
      <c r="S2125" s="131">
        <f t="shared" si="233"/>
        <v>4</v>
      </c>
      <c r="T2125" s="7" t="s">
        <v>197</v>
      </c>
      <c r="U2125" s="7" t="s">
        <v>1016</v>
      </c>
      <c r="V2125" s="7"/>
      <c r="W2125" s="7"/>
      <c r="X2125" s="132">
        <f t="shared" si="231"/>
        <v>10</v>
      </c>
      <c r="Y2125" s="133"/>
      <c r="Z2125" s="133"/>
      <c r="AA2125" s="133"/>
    </row>
    <row r="2126" spans="1:27" x14ac:dyDescent="0.25">
      <c r="A2126" s="127">
        <v>2313</v>
      </c>
      <c r="B2126" s="128" t="str">
        <f t="shared" si="232"/>
        <v>CHUT</v>
      </c>
      <c r="C2126" s="128" t="str">
        <f>+VLOOKUP(U2126,Ходим!A:B,2,0)</f>
        <v>52508015970048</v>
      </c>
      <c r="D2126" s="128" t="str">
        <f>IFERROR(VLOOKUP($B:$B,[20]свод!$A:$AB,3,0)," ")</f>
        <v>Чуст тумани</v>
      </c>
      <c r="E2126" s="7" t="s">
        <v>3262</v>
      </c>
      <c r="F2126" s="7" t="s">
        <v>9637</v>
      </c>
      <c r="G2126" s="134">
        <f t="shared" si="235"/>
        <v>1</v>
      </c>
      <c r="H2126" s="134" t="str">
        <f t="shared" si="236"/>
        <v/>
      </c>
      <c r="I2126" s="7" t="s">
        <v>158</v>
      </c>
      <c r="J2126" s="7" t="s">
        <v>12</v>
      </c>
      <c r="K2126" s="7"/>
      <c r="L2126" s="7" t="s">
        <v>167</v>
      </c>
      <c r="M2126" s="7" t="s">
        <v>5627</v>
      </c>
      <c r="N2126" s="7" t="s">
        <v>170</v>
      </c>
      <c r="O2126" s="7" t="s">
        <v>162</v>
      </c>
      <c r="P2126" s="7" t="s">
        <v>7244</v>
      </c>
      <c r="Q2126" s="129">
        <v>46199</v>
      </c>
      <c r="R2126" s="130">
        <f t="shared" si="234"/>
        <v>46196</v>
      </c>
      <c r="S2126" s="131">
        <f t="shared" si="233"/>
        <v>-3</v>
      </c>
      <c r="T2126" s="7" t="s">
        <v>178</v>
      </c>
      <c r="U2126" s="7" t="s">
        <v>350</v>
      </c>
      <c r="V2126" s="7"/>
      <c r="W2126" s="7">
        <v>249.7</v>
      </c>
      <c r="X2126" s="132">
        <f t="shared" si="231"/>
        <v>10</v>
      </c>
      <c r="Y2126" s="133"/>
      <c r="Z2126" s="133"/>
      <c r="AA2126" s="133"/>
    </row>
    <row r="2127" spans="1:27" hidden="1" x14ac:dyDescent="0.25">
      <c r="A2127" s="127">
        <v>2314</v>
      </c>
      <c r="B2127" s="128" t="str">
        <f t="shared" si="232"/>
        <v>KSST</v>
      </c>
      <c r="C2127" s="128" t="str">
        <f>+VLOOKUP(U2127,Ходим!A:B,2,0)</f>
        <v>30411985980017</v>
      </c>
      <c r="D2127" s="128" t="str">
        <f>IFERROR(VLOOKUP($B:$B,[20]свод!$A:$AB,3,0)," ")</f>
        <v>Косонсой тумани</v>
      </c>
      <c r="E2127" s="7" t="s">
        <v>3263</v>
      </c>
      <c r="F2127" s="7" t="s">
        <v>9638</v>
      </c>
      <c r="G2127" s="134">
        <f t="shared" si="235"/>
        <v>1</v>
      </c>
      <c r="H2127" s="134" t="str">
        <f t="shared" si="236"/>
        <v/>
      </c>
      <c r="I2127" s="7" t="s">
        <v>158</v>
      </c>
      <c r="J2127" s="7" t="s">
        <v>2</v>
      </c>
      <c r="K2127" s="7"/>
      <c r="L2127" s="7" t="s">
        <v>167</v>
      </c>
      <c r="M2127" s="7" t="s">
        <v>5628</v>
      </c>
      <c r="N2127" s="7" t="s">
        <v>170</v>
      </c>
      <c r="O2127" s="7" t="s">
        <v>162</v>
      </c>
      <c r="P2127" s="7" t="s">
        <v>7245</v>
      </c>
      <c r="Q2127" s="129">
        <v>46199</v>
      </c>
      <c r="R2127" s="130">
        <f t="shared" si="234"/>
        <v>46203</v>
      </c>
      <c r="S2127" s="131">
        <f t="shared" si="233"/>
        <v>4</v>
      </c>
      <c r="T2127" s="7" t="s">
        <v>180</v>
      </c>
      <c r="U2127" s="7" t="s">
        <v>360</v>
      </c>
      <c r="V2127" s="7"/>
      <c r="W2127" s="7">
        <v>112.4</v>
      </c>
      <c r="X2127" s="132">
        <f t="shared" si="231"/>
        <v>10</v>
      </c>
      <c r="Y2127" s="133"/>
      <c r="Z2127" s="133"/>
      <c r="AA2127" s="133"/>
    </row>
    <row r="2128" spans="1:27" hidden="1" x14ac:dyDescent="0.25">
      <c r="A2128" s="127">
        <v>2315</v>
      </c>
      <c r="B2128" s="128" t="str">
        <f t="shared" si="232"/>
        <v>TORT</v>
      </c>
      <c r="C2128" s="128" t="str">
        <f>+VLOOKUP(U2128,Ходим!A:B,2,0)</f>
        <v>40302922130046</v>
      </c>
      <c r="D2128" s="128" t="str">
        <f>IFERROR(VLOOKUP($B:$B,[20]свод!$A:$AB,3,0)," ")</f>
        <v>Тўрақўрғон тумани</v>
      </c>
      <c r="E2128" s="7" t="s">
        <v>3264</v>
      </c>
      <c r="F2128" s="7" t="s">
        <v>9639</v>
      </c>
      <c r="G2128" s="134">
        <f t="shared" si="235"/>
        <v>1</v>
      </c>
      <c r="H2128" s="134" t="str">
        <f t="shared" si="236"/>
        <v/>
      </c>
      <c r="I2128" s="7" t="s">
        <v>156</v>
      </c>
      <c r="J2128" s="7" t="s">
        <v>25</v>
      </c>
      <c r="K2128" s="7"/>
      <c r="L2128" s="7"/>
      <c r="M2128" s="7"/>
      <c r="N2128" s="7" t="s">
        <v>170</v>
      </c>
      <c r="O2128" s="7" t="s">
        <v>162</v>
      </c>
      <c r="P2128" s="7" t="s">
        <v>7053</v>
      </c>
      <c r="Q2128" s="129">
        <v>46199</v>
      </c>
      <c r="R2128" s="130">
        <f t="shared" si="234"/>
        <v>46212</v>
      </c>
      <c r="S2128" s="131">
        <f t="shared" si="233"/>
        <v>13</v>
      </c>
      <c r="T2128" s="7" t="s">
        <v>203</v>
      </c>
      <c r="U2128" s="7" t="s">
        <v>258</v>
      </c>
      <c r="V2128" s="7"/>
      <c r="W2128" s="7"/>
      <c r="X2128" s="132">
        <f t="shared" si="231"/>
        <v>10</v>
      </c>
      <c r="Y2128" s="133"/>
      <c r="Z2128" s="133"/>
      <c r="AA2128" s="133"/>
    </row>
    <row r="2129" spans="1:27" hidden="1" x14ac:dyDescent="0.25">
      <c r="A2129" s="127">
        <v>2316</v>
      </c>
      <c r="B2129" s="128" t="str">
        <f t="shared" si="232"/>
        <v>NORT</v>
      </c>
      <c r="C2129" s="128" t="str">
        <f>+VLOOKUP(U2129,Ходим!A:B,2,0)</f>
        <v>31709822110011</v>
      </c>
      <c r="D2129" s="128" t="str">
        <f>IFERROR(VLOOKUP($B:$B,[20]свод!$A:$AB,3,0)," ")</f>
        <v>Норин тумани</v>
      </c>
      <c r="E2129" s="7" t="s">
        <v>1108</v>
      </c>
      <c r="F2129" s="7" t="s">
        <v>1133</v>
      </c>
      <c r="G2129" s="134" t="str">
        <f t="shared" si="235"/>
        <v/>
      </c>
      <c r="H2129" s="134">
        <f t="shared" si="236"/>
        <v>1</v>
      </c>
      <c r="I2129" s="7" t="s">
        <v>157</v>
      </c>
      <c r="J2129" s="7" t="s">
        <v>12</v>
      </c>
      <c r="K2129" s="7"/>
      <c r="L2129" s="7" t="s">
        <v>166</v>
      </c>
      <c r="M2129" s="7" t="s">
        <v>1124</v>
      </c>
      <c r="N2129" s="7" t="s">
        <v>410</v>
      </c>
      <c r="O2129" s="7" t="s">
        <v>163</v>
      </c>
      <c r="P2129" s="7" t="s">
        <v>1136</v>
      </c>
      <c r="Q2129" s="129">
        <v>46199</v>
      </c>
      <c r="R2129" s="130">
        <f t="shared" si="234"/>
        <v>46203</v>
      </c>
      <c r="S2129" s="131">
        <f t="shared" si="233"/>
        <v>4</v>
      </c>
      <c r="T2129" s="7" t="s">
        <v>210</v>
      </c>
      <c r="U2129" s="7" t="s">
        <v>354</v>
      </c>
      <c r="V2129" s="7"/>
      <c r="W2129" s="7">
        <v>1200</v>
      </c>
      <c r="X2129" s="132">
        <f t="shared" si="231"/>
        <v>17</v>
      </c>
      <c r="Y2129" s="133"/>
      <c r="Z2129" s="133"/>
      <c r="AA2129" s="133"/>
    </row>
    <row r="2130" spans="1:27" hidden="1" x14ac:dyDescent="0.25">
      <c r="A2130" s="127">
        <v>2317</v>
      </c>
      <c r="B2130" s="128" t="str">
        <f t="shared" si="232"/>
        <v>UYCT</v>
      </c>
      <c r="C2130" s="128" t="str">
        <f>+VLOOKUP(U2130,Ходим!A:B,2,0)</f>
        <v>31007942140083</v>
      </c>
      <c r="D2130" s="128" t="str">
        <f>IFERROR(VLOOKUP($B:$B,[20]свод!$A:$AB,3,0)," ")</f>
        <v>Уйчи тумани</v>
      </c>
      <c r="E2130" s="7" t="s">
        <v>3265</v>
      </c>
      <c r="F2130" s="7" t="s">
        <v>9640</v>
      </c>
      <c r="G2130" s="134">
        <f t="shared" si="235"/>
        <v>1</v>
      </c>
      <c r="H2130" s="134" t="str">
        <f t="shared" si="236"/>
        <v/>
      </c>
      <c r="I2130" s="7" t="s">
        <v>158</v>
      </c>
      <c r="J2130" s="7" t="s">
        <v>2</v>
      </c>
      <c r="K2130" s="7"/>
      <c r="L2130" s="7"/>
      <c r="M2130" s="7"/>
      <c r="N2130" s="7" t="s">
        <v>410</v>
      </c>
      <c r="O2130" s="7" t="s">
        <v>162</v>
      </c>
      <c r="P2130" s="7" t="s">
        <v>7246</v>
      </c>
      <c r="Q2130" s="129">
        <v>46199</v>
      </c>
      <c r="R2130" s="130">
        <f t="shared" si="234"/>
        <v>46206</v>
      </c>
      <c r="S2130" s="131">
        <f t="shared" si="233"/>
        <v>7</v>
      </c>
      <c r="T2130" s="7" t="s">
        <v>379</v>
      </c>
      <c r="U2130" s="7" t="s">
        <v>263</v>
      </c>
      <c r="V2130" s="7"/>
      <c r="W2130" s="7"/>
      <c r="X2130" s="132">
        <f t="shared" si="231"/>
        <v>10</v>
      </c>
      <c r="Y2130" s="133"/>
      <c r="Z2130" s="133"/>
      <c r="AA2130" s="133"/>
    </row>
    <row r="2131" spans="1:27" hidden="1" x14ac:dyDescent="0.25">
      <c r="A2131" s="127">
        <v>2318</v>
      </c>
      <c r="B2131" s="128" t="str">
        <f t="shared" si="232"/>
        <v>NAMT</v>
      </c>
      <c r="C2131" s="128" t="str">
        <f>+VLOOKUP(U2131,Ходим!A:B,2,0)</f>
        <v>40306812090034</v>
      </c>
      <c r="D2131" s="128" t="str">
        <f>IFERROR(VLOOKUP($B:$B,[20]свод!$A:$AB,3,0)," ")</f>
        <v>Наманган тумани</v>
      </c>
      <c r="E2131" s="7" t="s">
        <v>3266</v>
      </c>
      <c r="F2131" s="7" t="s">
        <v>9641</v>
      </c>
      <c r="G2131" s="134">
        <f t="shared" si="235"/>
        <v>1</v>
      </c>
      <c r="H2131" s="134" t="str">
        <f t="shared" si="236"/>
        <v/>
      </c>
      <c r="I2131" s="7" t="s">
        <v>158</v>
      </c>
      <c r="J2131" s="7" t="s">
        <v>2</v>
      </c>
      <c r="K2131" s="7"/>
      <c r="L2131" s="7" t="s">
        <v>167</v>
      </c>
      <c r="M2131" s="7" t="s">
        <v>5629</v>
      </c>
      <c r="N2131" s="7" t="s">
        <v>170</v>
      </c>
      <c r="O2131" s="7" t="s">
        <v>162</v>
      </c>
      <c r="P2131" s="7" t="s">
        <v>7246</v>
      </c>
      <c r="Q2131" s="129">
        <v>46199</v>
      </c>
      <c r="R2131" s="130">
        <f t="shared" si="234"/>
        <v>46206</v>
      </c>
      <c r="S2131" s="131">
        <f t="shared" si="233"/>
        <v>7</v>
      </c>
      <c r="T2131" s="7" t="s">
        <v>193</v>
      </c>
      <c r="U2131" s="7" t="s">
        <v>273</v>
      </c>
      <c r="V2131" s="7"/>
      <c r="W2131" s="7">
        <v>228.72</v>
      </c>
      <c r="X2131" s="132">
        <f t="shared" si="231"/>
        <v>10</v>
      </c>
      <c r="Y2131" s="133"/>
      <c r="Z2131" s="133"/>
      <c r="AA2131" s="133"/>
    </row>
    <row r="2132" spans="1:27" hidden="1" x14ac:dyDescent="0.25">
      <c r="A2132" s="127">
        <v>2319</v>
      </c>
      <c r="B2132" s="128" t="str">
        <f t="shared" si="232"/>
        <v>KSST</v>
      </c>
      <c r="C2132" s="128" t="str">
        <f>+VLOOKUP(U2132,Ходим!A:B,2,0)</f>
        <v>52812015980061</v>
      </c>
      <c r="D2132" s="128" t="str">
        <f>IFERROR(VLOOKUP($B:$B,[20]свод!$A:$AB,3,0)," ")</f>
        <v>Косонсой тумани</v>
      </c>
      <c r="E2132" s="7" t="s">
        <v>3267</v>
      </c>
      <c r="F2132" s="7" t="s">
        <v>9642</v>
      </c>
      <c r="G2132" s="134" t="str">
        <f t="shared" si="235"/>
        <v/>
      </c>
      <c r="H2132" s="134">
        <f t="shared" si="236"/>
        <v>1</v>
      </c>
      <c r="I2132" s="7" t="s">
        <v>157</v>
      </c>
      <c r="J2132" s="7" t="s">
        <v>2</v>
      </c>
      <c r="K2132" s="7"/>
      <c r="L2132" s="7"/>
      <c r="M2132" s="7"/>
      <c r="N2132" s="7" t="s">
        <v>170</v>
      </c>
      <c r="O2132" s="7" t="s">
        <v>161</v>
      </c>
      <c r="P2132" s="7" t="s">
        <v>7246</v>
      </c>
      <c r="Q2132" s="129">
        <v>46199</v>
      </c>
      <c r="R2132" s="130">
        <f t="shared" si="234"/>
        <v>46206</v>
      </c>
      <c r="S2132" s="131">
        <f t="shared" si="233"/>
        <v>7</v>
      </c>
      <c r="T2132" s="7" t="s">
        <v>180</v>
      </c>
      <c r="U2132" s="7" t="s">
        <v>307</v>
      </c>
      <c r="V2132" s="7"/>
      <c r="W2132" s="7"/>
      <c r="X2132" s="132">
        <f t="shared" si="231"/>
        <v>10</v>
      </c>
      <c r="Y2132" s="133"/>
      <c r="Z2132" s="133"/>
      <c r="AA2132" s="133"/>
    </row>
    <row r="2133" spans="1:27" hidden="1" x14ac:dyDescent="0.25">
      <c r="A2133" s="127">
        <v>2320</v>
      </c>
      <c r="B2133" s="128" t="str">
        <f t="shared" si="232"/>
        <v>CHUT</v>
      </c>
      <c r="C2133" s="128" t="str">
        <f>+VLOOKUP(U2133,Ходим!A:B,2,0)</f>
        <v>30409785970022</v>
      </c>
      <c r="D2133" s="128" t="str">
        <f>IFERROR(VLOOKUP($B:$B,[20]свод!$A:$AB,3,0)," ")</f>
        <v>Чуст тумани</v>
      </c>
      <c r="E2133" s="7" t="s">
        <v>3268</v>
      </c>
      <c r="F2133" s="7" t="s">
        <v>9643</v>
      </c>
      <c r="G2133" s="134" t="str">
        <f t="shared" si="235"/>
        <v/>
      </c>
      <c r="H2133" s="134">
        <f t="shared" si="236"/>
        <v>1</v>
      </c>
      <c r="I2133" s="7" t="s">
        <v>157</v>
      </c>
      <c r="J2133" s="7" t="s">
        <v>172</v>
      </c>
      <c r="K2133" s="7"/>
      <c r="L2133" s="7" t="s">
        <v>166</v>
      </c>
      <c r="M2133" s="7" t="s">
        <v>5630</v>
      </c>
      <c r="N2133" s="7" t="s">
        <v>170</v>
      </c>
      <c r="O2133" s="7" t="s">
        <v>161</v>
      </c>
      <c r="P2133" s="7" t="s">
        <v>7010</v>
      </c>
      <c r="Q2133" s="129">
        <v>46199</v>
      </c>
      <c r="R2133" s="130">
        <f t="shared" si="234"/>
        <v>46203</v>
      </c>
      <c r="S2133" s="131">
        <f t="shared" si="233"/>
        <v>4</v>
      </c>
      <c r="T2133" s="7" t="s">
        <v>178</v>
      </c>
      <c r="U2133" s="7" t="s">
        <v>191</v>
      </c>
      <c r="V2133" s="7"/>
      <c r="W2133" s="7">
        <v>0</v>
      </c>
      <c r="X2133" s="132">
        <f t="shared" si="231"/>
        <v>10</v>
      </c>
      <c r="Y2133" s="133"/>
      <c r="Z2133" s="133"/>
      <c r="AA2133" s="133"/>
    </row>
    <row r="2134" spans="1:27" hidden="1" x14ac:dyDescent="0.25">
      <c r="A2134" s="127">
        <v>2321</v>
      </c>
      <c r="B2134" s="128" t="str">
        <f t="shared" si="232"/>
        <v>UYCT</v>
      </c>
      <c r="C2134" s="128" t="str">
        <f>+VLOOKUP(U2134,Ходим!A:B,2,0)</f>
        <v>31007942140083</v>
      </c>
      <c r="D2134" s="128" t="str">
        <f>IFERROR(VLOOKUP($B:$B,[20]свод!$A:$AB,3,0)," ")</f>
        <v>Уйчи тумани</v>
      </c>
      <c r="E2134" s="7" t="s">
        <v>3269</v>
      </c>
      <c r="F2134" s="7" t="s">
        <v>9644</v>
      </c>
      <c r="G2134" s="134">
        <f t="shared" si="235"/>
        <v>1</v>
      </c>
      <c r="H2134" s="134" t="str">
        <f t="shared" si="236"/>
        <v/>
      </c>
      <c r="I2134" s="7" t="s">
        <v>158</v>
      </c>
      <c r="J2134" s="7" t="s">
        <v>2</v>
      </c>
      <c r="K2134" s="7"/>
      <c r="L2134" s="7"/>
      <c r="M2134" s="7"/>
      <c r="N2134" s="7" t="s">
        <v>410</v>
      </c>
      <c r="O2134" s="7" t="s">
        <v>162</v>
      </c>
      <c r="P2134" s="7" t="s">
        <v>7247</v>
      </c>
      <c r="Q2134" s="129">
        <v>46199</v>
      </c>
      <c r="R2134" s="130">
        <f t="shared" si="234"/>
        <v>46206</v>
      </c>
      <c r="S2134" s="131">
        <f t="shared" si="233"/>
        <v>7</v>
      </c>
      <c r="T2134" s="7" t="s">
        <v>379</v>
      </c>
      <c r="U2134" s="7" t="s">
        <v>263</v>
      </c>
      <c r="V2134" s="7"/>
      <c r="W2134" s="7"/>
      <c r="X2134" s="132">
        <f t="shared" si="231"/>
        <v>10</v>
      </c>
      <c r="Y2134" s="133"/>
      <c r="Z2134" s="133"/>
      <c r="AA2134" s="133"/>
    </row>
    <row r="2135" spans="1:27" hidden="1" x14ac:dyDescent="0.25">
      <c r="A2135" s="127">
        <v>2323</v>
      </c>
      <c r="B2135" s="128" t="str">
        <f t="shared" si="232"/>
        <v>YGQT</v>
      </c>
      <c r="C2135" s="128" t="str">
        <f>+VLOOKUP(U2135,Ходим!A:B,2,0)</f>
        <v>50710015950029</v>
      </c>
      <c r="D2135" s="128" t="str">
        <f>IFERROR(VLOOKUP($B:$B,[20]свод!$A:$AB,3,0)," ")</f>
        <v>Янгиқўрғон тумани</v>
      </c>
      <c r="E2135" s="7" t="s">
        <v>3270</v>
      </c>
      <c r="F2135" s="7" t="s">
        <v>9645</v>
      </c>
      <c r="G2135" s="134">
        <f t="shared" si="235"/>
        <v>1</v>
      </c>
      <c r="H2135" s="134" t="str">
        <f t="shared" si="236"/>
        <v/>
      </c>
      <c r="I2135" s="7" t="s">
        <v>158</v>
      </c>
      <c r="J2135" s="7" t="s">
        <v>36</v>
      </c>
      <c r="K2135" s="7"/>
      <c r="L2135" s="7" t="s">
        <v>167</v>
      </c>
      <c r="M2135" s="7" t="s">
        <v>5631</v>
      </c>
      <c r="N2135" s="7" t="s">
        <v>170</v>
      </c>
      <c r="O2135" s="7" t="s">
        <v>162</v>
      </c>
      <c r="P2135" s="7" t="s">
        <v>7248</v>
      </c>
      <c r="Q2135" s="129">
        <v>46199</v>
      </c>
      <c r="R2135" s="130">
        <f t="shared" si="234"/>
        <v>46203</v>
      </c>
      <c r="S2135" s="131">
        <f t="shared" si="233"/>
        <v>4</v>
      </c>
      <c r="T2135" s="7" t="s">
        <v>182</v>
      </c>
      <c r="U2135" s="7" t="s">
        <v>312</v>
      </c>
      <c r="V2135" s="7"/>
      <c r="W2135" s="7">
        <v>427.57499999999999</v>
      </c>
      <c r="X2135" s="132">
        <f t="shared" si="231"/>
        <v>10</v>
      </c>
      <c r="Y2135" s="133"/>
      <c r="Z2135" s="133"/>
      <c r="AA2135" s="133"/>
    </row>
    <row r="2136" spans="1:27" hidden="1" x14ac:dyDescent="0.25">
      <c r="A2136" s="127">
        <v>2324</v>
      </c>
      <c r="B2136" s="128" t="str">
        <f t="shared" si="232"/>
        <v>NAMT</v>
      </c>
      <c r="C2136" s="128" t="str">
        <f>+VLOOKUP(U2136,Ходим!A:B,2,0)</f>
        <v>32607902090019</v>
      </c>
      <c r="D2136" s="128" t="str">
        <f>IFERROR(VLOOKUP($B:$B,[20]свод!$A:$AB,3,0)," ")</f>
        <v>Наманган тумани</v>
      </c>
      <c r="E2136" s="7" t="s">
        <v>3271</v>
      </c>
      <c r="F2136" s="7" t="s">
        <v>9646</v>
      </c>
      <c r="G2136" s="134">
        <f t="shared" si="235"/>
        <v>1</v>
      </c>
      <c r="H2136" s="134" t="str">
        <f t="shared" si="236"/>
        <v/>
      </c>
      <c r="I2136" s="7" t="s">
        <v>158</v>
      </c>
      <c r="J2136" s="7" t="s">
        <v>2</v>
      </c>
      <c r="K2136" s="7"/>
      <c r="L2136" s="7" t="s">
        <v>167</v>
      </c>
      <c r="M2136" s="7" t="s">
        <v>1139</v>
      </c>
      <c r="N2136" s="7" t="s">
        <v>410</v>
      </c>
      <c r="O2136" s="7" t="s">
        <v>162</v>
      </c>
      <c r="P2136" s="7" t="s">
        <v>6868</v>
      </c>
      <c r="Q2136" s="129">
        <v>46199</v>
      </c>
      <c r="R2136" s="130">
        <f t="shared" si="234"/>
        <v>46206</v>
      </c>
      <c r="S2136" s="131">
        <f t="shared" si="233"/>
        <v>7</v>
      </c>
      <c r="T2136" s="7" t="s">
        <v>193</v>
      </c>
      <c r="U2136" s="7" t="s">
        <v>243</v>
      </c>
      <c r="V2136" s="7"/>
      <c r="W2136" s="7">
        <v>0</v>
      </c>
      <c r="X2136" s="132">
        <f t="shared" si="231"/>
        <v>10</v>
      </c>
      <c r="Y2136" s="133"/>
      <c r="Z2136" s="133"/>
      <c r="AA2136" s="133"/>
    </row>
    <row r="2137" spans="1:27" hidden="1" x14ac:dyDescent="0.25">
      <c r="A2137" s="127">
        <v>2325</v>
      </c>
      <c r="B2137" s="128" t="str">
        <f t="shared" si="232"/>
        <v>NAMS</v>
      </c>
      <c r="C2137" s="128" t="str">
        <f>+VLOOKUP(U2137,Ходим!A:B,2,0)</f>
        <v>50308015960081</v>
      </c>
      <c r="D2137" s="128" t="str">
        <f>IFERROR(VLOOKUP($B:$B,[20]свод!$A:$AB,3,0)," ")</f>
        <v>Наманган шаҳар</v>
      </c>
      <c r="E2137" s="7" t="s">
        <v>3272</v>
      </c>
      <c r="F2137" s="7" t="s">
        <v>9647</v>
      </c>
      <c r="G2137" s="134">
        <f t="shared" si="235"/>
        <v>1</v>
      </c>
      <c r="H2137" s="134" t="str">
        <f t="shared" si="236"/>
        <v/>
      </c>
      <c r="I2137" s="7" t="s">
        <v>158</v>
      </c>
      <c r="J2137" s="7" t="s">
        <v>2</v>
      </c>
      <c r="K2137" s="7"/>
      <c r="L2137" s="7" t="s">
        <v>167</v>
      </c>
      <c r="M2137" s="7" t="s">
        <v>5632</v>
      </c>
      <c r="N2137" s="7" t="s">
        <v>170</v>
      </c>
      <c r="O2137" s="7" t="s">
        <v>162</v>
      </c>
      <c r="P2137" s="7" t="s">
        <v>7248</v>
      </c>
      <c r="Q2137" s="129">
        <v>46199</v>
      </c>
      <c r="R2137" s="130">
        <f t="shared" si="234"/>
        <v>46203</v>
      </c>
      <c r="S2137" s="131">
        <f t="shared" si="233"/>
        <v>4</v>
      </c>
      <c r="T2137" s="7" t="s">
        <v>173</v>
      </c>
      <c r="U2137" s="7" t="s">
        <v>375</v>
      </c>
      <c r="V2137" s="7"/>
      <c r="W2137" s="7">
        <v>40.04</v>
      </c>
      <c r="X2137" s="132">
        <f t="shared" si="231"/>
        <v>10</v>
      </c>
      <c r="Y2137" s="133"/>
      <c r="Z2137" s="133"/>
      <c r="AA2137" s="133"/>
    </row>
    <row r="2138" spans="1:27" hidden="1" x14ac:dyDescent="0.25">
      <c r="A2138" s="127">
        <v>2326</v>
      </c>
      <c r="B2138" s="128" t="str">
        <f t="shared" si="232"/>
        <v>POPT</v>
      </c>
      <c r="C2138" s="128" t="str">
        <f>+VLOOKUP(U2138,Ходим!A:B,2,0)</f>
        <v>33107902120019</v>
      </c>
      <c r="D2138" s="128" t="str">
        <f>IFERROR(VLOOKUP($B:$B,[20]свод!$A:$AB,3,0)," ")</f>
        <v>Поп тумани</v>
      </c>
      <c r="E2138" s="7" t="s">
        <v>3273</v>
      </c>
      <c r="F2138" s="7" t="s">
        <v>9648</v>
      </c>
      <c r="G2138" s="134">
        <f t="shared" si="235"/>
        <v>1</v>
      </c>
      <c r="H2138" s="134" t="str">
        <f t="shared" si="236"/>
        <v/>
      </c>
      <c r="I2138" s="7" t="s">
        <v>154</v>
      </c>
      <c r="J2138" s="7" t="s">
        <v>2</v>
      </c>
      <c r="K2138" s="7"/>
      <c r="L2138" s="7"/>
      <c r="M2138" s="7"/>
      <c r="N2138" s="7" t="s">
        <v>170</v>
      </c>
      <c r="O2138" s="7" t="s">
        <v>162</v>
      </c>
      <c r="P2138" s="7" t="s">
        <v>7127</v>
      </c>
      <c r="Q2138" s="129">
        <v>46199</v>
      </c>
      <c r="R2138" s="130">
        <f t="shared" si="234"/>
        <v>46206</v>
      </c>
      <c r="S2138" s="131">
        <f t="shared" si="233"/>
        <v>7</v>
      </c>
      <c r="T2138" s="7" t="s">
        <v>214</v>
      </c>
      <c r="U2138" s="7" t="s">
        <v>224</v>
      </c>
      <c r="V2138" s="7"/>
      <c r="W2138" s="7"/>
      <c r="X2138" s="132">
        <f t="shared" ref="X2138:X2196" si="237">IF(N2138="Kadastr muhandisi",3,
IF(N2138="UZKAD",5,
IF(V2138="FREE",5,
IF(I2138="Registratsiya (tashqi - UZKAD da bor)",1,
IF(I2138="Avtoyo'l va suv xo'jaligi obyektining kadastr pasportini shakllantirish va ro'yxatga olish",7,
IF(I2138="Notarius uchun ma'lumotnoma (uz)",1,
IF(I2138="Qurilishi tugallangan ko'chmas mulkni foydalanishga qabul qilish",10,
IF(OR(I2138="Turar joy obyektning kadastr pasportini shakllantirish va davlat ro'yxatidan o'tkazish",I2138="Turar kompozit"),
IF(L2138="Turar yer maydoni",7,10),
IF(OR(I2138="Noturar obyektning kadastr pasportini shakllantirish va davlat ro'yxatidan o'tkazish",I2138="Noturar kompozit"),
IF(O2138="Ko‘p yillik daraxtlar xizmati",15,
IF(OR(L2138="Noturar yer maydoni",L2138="Davlat tashkilotlaridan ijaraga olingan yer uchastkasi"),7,
IF(W2138&lt;100,10,IF(W2138&lt;=1000,12,IF(W2138&lt;=5000,17,IF(W2138&lt;=15000,22,IF(W2138&lt;=50000,28,37))))))),
IF(I2138="Umumiy foydalanishdagi ko'chmas mulk qismini yaratish",
IF(IF(TRIM(L2138)="",IF(OR(O2138="Turar joy xizmati",O2138="Yakka tartibdagi turar joy"),"Turar","Noturar"),IF(OR(L2138="Yakka tartibdagi turar joy",L2138="Turar joy xizmati"),"Turar","Noturar"))="Turar",
10,IF(W2138&lt;100,10,IF(W2138&lt;=1000,12,IF(W2138&lt;=5000,17,IF(W2138&lt;=15000,22,IF(W2138&lt;=50000,28,37)))))),
0))))))))))</f>
        <v>10</v>
      </c>
      <c r="Y2138" s="133"/>
      <c r="Z2138" s="133"/>
      <c r="AA2138" s="133"/>
    </row>
    <row r="2139" spans="1:27" hidden="1" x14ac:dyDescent="0.25">
      <c r="A2139" s="127">
        <v>2327</v>
      </c>
      <c r="B2139" s="128" t="str">
        <f t="shared" ref="B2139:B2197" si="238">LEFT(E2139,4)</f>
        <v>MINT</v>
      </c>
      <c r="C2139" s="128" t="str">
        <f>+VLOOKUP(U2139,Ходим!A:B,2,0)</f>
        <v>30703975990033</v>
      </c>
      <c r="D2139" s="128" t="str">
        <f>IFERROR(VLOOKUP($B:$B,[20]свод!$A:$AB,3,0)," ")</f>
        <v>Мингбулоқ тумани</v>
      </c>
      <c r="E2139" s="7" t="s">
        <v>3274</v>
      </c>
      <c r="F2139" s="7" t="s">
        <v>9649</v>
      </c>
      <c r="G2139" s="134">
        <f t="shared" si="235"/>
        <v>1</v>
      </c>
      <c r="H2139" s="134" t="str">
        <f t="shared" si="236"/>
        <v/>
      </c>
      <c r="I2139" s="7" t="s">
        <v>158</v>
      </c>
      <c r="J2139" s="7" t="s">
        <v>2</v>
      </c>
      <c r="K2139" s="7"/>
      <c r="L2139" s="7" t="s">
        <v>167</v>
      </c>
      <c r="M2139" s="7" t="s">
        <v>5633</v>
      </c>
      <c r="N2139" s="7" t="s">
        <v>170</v>
      </c>
      <c r="O2139" s="7" t="s">
        <v>162</v>
      </c>
      <c r="P2139" s="7" t="s">
        <v>7127</v>
      </c>
      <c r="Q2139" s="129">
        <v>46199</v>
      </c>
      <c r="R2139" s="130">
        <f t="shared" si="234"/>
        <v>46206</v>
      </c>
      <c r="S2139" s="131">
        <f t="shared" ref="S2139:S2197" si="239">R2139-Q2139</f>
        <v>7</v>
      </c>
      <c r="T2139" s="7" t="s">
        <v>220</v>
      </c>
      <c r="U2139" s="7" t="s">
        <v>291</v>
      </c>
      <c r="V2139" s="7"/>
      <c r="W2139" s="7">
        <v>0</v>
      </c>
      <c r="X2139" s="132">
        <f t="shared" si="237"/>
        <v>10</v>
      </c>
      <c r="Y2139" s="133"/>
      <c r="Z2139" s="133"/>
      <c r="AA2139" s="133"/>
    </row>
    <row r="2140" spans="1:27" x14ac:dyDescent="0.25">
      <c r="A2140" s="127">
        <v>2328</v>
      </c>
      <c r="B2140" s="128" t="str">
        <f t="shared" si="238"/>
        <v>POPT</v>
      </c>
      <c r="C2140" s="128" t="str">
        <f>+VLOOKUP(U2140,Ходим!A:B,2,0)</f>
        <v>31103842180041</v>
      </c>
      <c r="D2140" s="128" t="str">
        <f>IFERROR(VLOOKUP($B:$B,[20]свод!$A:$AB,3,0)," ")</f>
        <v>Поп тумани</v>
      </c>
      <c r="E2140" s="7" t="s">
        <v>3275</v>
      </c>
      <c r="F2140" s="7" t="s">
        <v>9650</v>
      </c>
      <c r="G2140" s="134">
        <f t="shared" si="235"/>
        <v>1</v>
      </c>
      <c r="H2140" s="134" t="str">
        <f t="shared" si="236"/>
        <v/>
      </c>
      <c r="I2140" s="7" t="s">
        <v>158</v>
      </c>
      <c r="J2140" s="7" t="s">
        <v>1</v>
      </c>
      <c r="K2140" s="7"/>
      <c r="L2140" s="7" t="s">
        <v>167</v>
      </c>
      <c r="M2140" s="7" t="s">
        <v>5634</v>
      </c>
      <c r="N2140" s="7" t="s">
        <v>170</v>
      </c>
      <c r="O2140" s="7" t="s">
        <v>162</v>
      </c>
      <c r="P2140" s="7" t="s">
        <v>6676</v>
      </c>
      <c r="Q2140" s="129">
        <v>46199</v>
      </c>
      <c r="R2140" s="130">
        <f t="shared" si="234"/>
        <v>46199</v>
      </c>
      <c r="S2140" s="131">
        <f t="shared" si="239"/>
        <v>0</v>
      </c>
      <c r="T2140" s="7" t="s">
        <v>240</v>
      </c>
      <c r="U2140" s="7" t="s">
        <v>337</v>
      </c>
      <c r="V2140" s="7"/>
      <c r="W2140" s="7">
        <v>260.60000000000002</v>
      </c>
      <c r="X2140" s="132">
        <f t="shared" si="237"/>
        <v>10</v>
      </c>
      <c r="Y2140" s="133"/>
      <c r="Z2140" s="133"/>
      <c r="AA2140" s="133"/>
    </row>
    <row r="2141" spans="1:27" hidden="1" x14ac:dyDescent="0.25">
      <c r="A2141" s="127">
        <v>2329</v>
      </c>
      <c r="B2141" s="128" t="str">
        <f t="shared" si="238"/>
        <v>NORT</v>
      </c>
      <c r="C2141" s="128" t="str">
        <f>+VLOOKUP(U2141,Ходим!A:B,2,0)</f>
        <v>31609962110019</v>
      </c>
      <c r="D2141" s="128" t="str">
        <f>IFERROR(VLOOKUP($B:$B,[20]свод!$A:$AB,3,0)," ")</f>
        <v>Норин тумани</v>
      </c>
      <c r="E2141" s="7" t="s">
        <v>3276</v>
      </c>
      <c r="F2141" s="7" t="s">
        <v>9651</v>
      </c>
      <c r="G2141" s="134" t="str">
        <f t="shared" si="235"/>
        <v/>
      </c>
      <c r="H2141" s="134">
        <f t="shared" si="236"/>
        <v>1</v>
      </c>
      <c r="I2141" s="7" t="s">
        <v>157</v>
      </c>
      <c r="J2141" s="7" t="s">
        <v>2</v>
      </c>
      <c r="K2141" s="7"/>
      <c r="L2141" s="7" t="s">
        <v>166</v>
      </c>
      <c r="M2141" s="7" t="s">
        <v>5635</v>
      </c>
      <c r="N2141" s="7" t="s">
        <v>170</v>
      </c>
      <c r="O2141" s="7" t="s">
        <v>163</v>
      </c>
      <c r="P2141" s="7" t="s">
        <v>6489</v>
      </c>
      <c r="Q2141" s="129">
        <v>46199</v>
      </c>
      <c r="R2141" s="130">
        <f t="shared" si="234"/>
        <v>46213</v>
      </c>
      <c r="S2141" s="131">
        <f t="shared" si="239"/>
        <v>14</v>
      </c>
      <c r="T2141" s="7" t="s">
        <v>210</v>
      </c>
      <c r="U2141" s="7" t="s">
        <v>355</v>
      </c>
      <c r="V2141" s="7"/>
      <c r="W2141" s="7">
        <v>141.96</v>
      </c>
      <c r="X2141" s="132">
        <f t="shared" si="237"/>
        <v>12</v>
      </c>
      <c r="Y2141" s="133"/>
      <c r="Z2141" s="133"/>
      <c r="AA2141" s="133"/>
    </row>
    <row r="2142" spans="1:27" hidden="1" x14ac:dyDescent="0.25">
      <c r="A2142" s="127">
        <v>2330</v>
      </c>
      <c r="B2142" s="128" t="str">
        <f t="shared" si="238"/>
        <v>NAMS</v>
      </c>
      <c r="C2142" s="128" t="str">
        <f>+VLOOKUP(U2142,Ходим!A:B,2,0)</f>
        <v>33012942170121</v>
      </c>
      <c r="D2142" s="128" t="str">
        <f>IFERROR(VLOOKUP($B:$B,[20]свод!$A:$AB,3,0)," ")</f>
        <v>Наманган шаҳар</v>
      </c>
      <c r="E2142" s="7" t="s">
        <v>3277</v>
      </c>
      <c r="F2142" s="7" t="s">
        <v>9652</v>
      </c>
      <c r="G2142" s="134">
        <f t="shared" si="235"/>
        <v>1</v>
      </c>
      <c r="H2142" s="134" t="str">
        <f t="shared" si="236"/>
        <v/>
      </c>
      <c r="I2142" s="7" t="s">
        <v>156</v>
      </c>
      <c r="J2142" s="7" t="s">
        <v>25</v>
      </c>
      <c r="K2142" s="7"/>
      <c r="L2142" s="7"/>
      <c r="M2142" s="7"/>
      <c r="N2142" s="7" t="s">
        <v>170</v>
      </c>
      <c r="O2142" s="7" t="s">
        <v>162</v>
      </c>
      <c r="P2142" s="7" t="s">
        <v>7249</v>
      </c>
      <c r="Q2142" s="129">
        <v>46199</v>
      </c>
      <c r="R2142" s="130">
        <f t="shared" si="234"/>
        <v>46212</v>
      </c>
      <c r="S2142" s="131">
        <f t="shared" si="239"/>
        <v>13</v>
      </c>
      <c r="T2142" s="7" t="s">
        <v>173</v>
      </c>
      <c r="U2142" s="7" t="s">
        <v>259</v>
      </c>
      <c r="V2142" s="7"/>
      <c r="W2142" s="7"/>
      <c r="X2142" s="132">
        <f t="shared" si="237"/>
        <v>10</v>
      </c>
      <c r="Y2142" s="133"/>
      <c r="Z2142" s="133"/>
      <c r="AA2142" s="133"/>
    </row>
    <row r="2143" spans="1:27" hidden="1" x14ac:dyDescent="0.25">
      <c r="A2143" s="127">
        <v>2331</v>
      </c>
      <c r="B2143" s="128" t="str">
        <f t="shared" si="238"/>
        <v>YGQT</v>
      </c>
      <c r="C2143" s="128" t="str">
        <f>+VLOOKUP(U2143,Ходим!A:B,2,0)</f>
        <v>52009035950022</v>
      </c>
      <c r="D2143" s="128" t="str">
        <f>IFERROR(VLOOKUP($B:$B,[20]свод!$A:$AB,3,0)," ")</f>
        <v>Янгиқўрғон тумани</v>
      </c>
      <c r="E2143" s="7" t="s">
        <v>3278</v>
      </c>
      <c r="F2143" s="7" t="s">
        <v>9653</v>
      </c>
      <c r="G2143" s="134" t="str">
        <f t="shared" si="235"/>
        <v/>
      </c>
      <c r="H2143" s="134">
        <f t="shared" si="236"/>
        <v>1</v>
      </c>
      <c r="I2143" s="7" t="s">
        <v>157</v>
      </c>
      <c r="J2143" s="7" t="s">
        <v>2</v>
      </c>
      <c r="K2143" s="7"/>
      <c r="L2143" s="7"/>
      <c r="M2143" s="7"/>
      <c r="N2143" s="7" t="s">
        <v>170</v>
      </c>
      <c r="O2143" s="7" t="s">
        <v>161</v>
      </c>
      <c r="P2143" s="7" t="s">
        <v>7250</v>
      </c>
      <c r="Q2143" s="129">
        <v>46199</v>
      </c>
      <c r="R2143" s="130">
        <f t="shared" si="234"/>
        <v>46203</v>
      </c>
      <c r="S2143" s="131">
        <f t="shared" si="239"/>
        <v>4</v>
      </c>
      <c r="T2143" s="7" t="s">
        <v>255</v>
      </c>
      <c r="U2143" s="7" t="s">
        <v>272</v>
      </c>
      <c r="V2143" s="7"/>
      <c r="W2143" s="7"/>
      <c r="X2143" s="132">
        <f t="shared" si="237"/>
        <v>10</v>
      </c>
      <c r="Y2143" s="133"/>
      <c r="Z2143" s="133"/>
      <c r="AA2143" s="133"/>
    </row>
    <row r="2144" spans="1:27" hidden="1" x14ac:dyDescent="0.25">
      <c r="A2144" s="127">
        <v>2332</v>
      </c>
      <c r="B2144" s="128" t="str">
        <f t="shared" si="238"/>
        <v>YGQT</v>
      </c>
      <c r="C2144" s="128" t="e">
        <f>+VLOOKUP(U2144,Ходим!A:B,2,0)</f>
        <v>#N/A</v>
      </c>
      <c r="D2144" s="128" t="str">
        <f>IFERROR(VLOOKUP($B:$B,[20]свод!$A:$AB,3,0)," ")</f>
        <v>Янгиқўрғон тумани</v>
      </c>
      <c r="E2144" s="7" t="s">
        <v>3279</v>
      </c>
      <c r="F2144" s="7" t="s">
        <v>9654</v>
      </c>
      <c r="G2144" s="134">
        <f t="shared" si="235"/>
        <v>1</v>
      </c>
      <c r="H2144" s="134" t="str">
        <f t="shared" si="236"/>
        <v/>
      </c>
      <c r="I2144" s="7" t="s">
        <v>158</v>
      </c>
      <c r="J2144" s="7" t="s">
        <v>2</v>
      </c>
      <c r="K2144" s="7"/>
      <c r="L2144" s="7"/>
      <c r="M2144" s="7"/>
      <c r="N2144" s="7" t="s">
        <v>170</v>
      </c>
      <c r="O2144" s="7" t="s">
        <v>162</v>
      </c>
      <c r="P2144" s="7" t="s">
        <v>7250</v>
      </c>
      <c r="Q2144" s="129">
        <v>46199</v>
      </c>
      <c r="R2144" s="130">
        <f t="shared" si="234"/>
        <v>46203</v>
      </c>
      <c r="S2144" s="131">
        <f t="shared" si="239"/>
        <v>4</v>
      </c>
      <c r="T2144" s="7" t="s">
        <v>255</v>
      </c>
      <c r="U2144" s="7" t="s">
        <v>1105</v>
      </c>
      <c r="V2144" s="7"/>
      <c r="W2144" s="7"/>
      <c r="X2144" s="132">
        <f t="shared" si="237"/>
        <v>10</v>
      </c>
      <c r="Y2144" s="133"/>
      <c r="Z2144" s="133"/>
      <c r="AA2144" s="133"/>
    </row>
    <row r="2145" spans="1:27" hidden="1" x14ac:dyDescent="0.25">
      <c r="A2145" s="127">
        <v>2334</v>
      </c>
      <c r="B2145" s="128" t="str">
        <f t="shared" si="238"/>
        <v>YGQT</v>
      </c>
      <c r="C2145" s="128" t="str">
        <f>+VLOOKUP(U2145,Ходим!A:B,2,0)</f>
        <v>31108942160081</v>
      </c>
      <c r="D2145" s="128" t="str">
        <f>IFERROR(VLOOKUP($B:$B,[20]свод!$A:$AB,3,0)," ")</f>
        <v>Янгиқўрғон тумани</v>
      </c>
      <c r="E2145" s="7" t="s">
        <v>3280</v>
      </c>
      <c r="F2145" s="7" t="s">
        <v>9655</v>
      </c>
      <c r="G2145" s="134">
        <f t="shared" si="235"/>
        <v>1</v>
      </c>
      <c r="H2145" s="134" t="str">
        <f t="shared" si="236"/>
        <v/>
      </c>
      <c r="I2145" s="7" t="s">
        <v>154</v>
      </c>
      <c r="J2145" s="7" t="s">
        <v>134</v>
      </c>
      <c r="K2145" s="7"/>
      <c r="L2145" s="7"/>
      <c r="M2145" s="7"/>
      <c r="N2145" s="7" t="s">
        <v>170</v>
      </c>
      <c r="O2145" s="7" t="s">
        <v>162</v>
      </c>
      <c r="P2145" s="7" t="s">
        <v>7250</v>
      </c>
      <c r="Q2145" s="129">
        <v>46199</v>
      </c>
      <c r="R2145" s="130">
        <f t="shared" si="234"/>
        <v>46203</v>
      </c>
      <c r="S2145" s="131">
        <f t="shared" si="239"/>
        <v>4</v>
      </c>
      <c r="T2145" s="7" t="s">
        <v>255</v>
      </c>
      <c r="U2145" s="7" t="s">
        <v>228</v>
      </c>
      <c r="V2145" s="7"/>
      <c r="W2145" s="7"/>
      <c r="X2145" s="132">
        <f t="shared" si="237"/>
        <v>10</v>
      </c>
      <c r="Y2145" s="133"/>
      <c r="Z2145" s="133"/>
      <c r="AA2145" s="133"/>
    </row>
    <row r="2146" spans="1:27" hidden="1" x14ac:dyDescent="0.25">
      <c r="A2146" s="127">
        <v>2335</v>
      </c>
      <c r="B2146" s="128" t="str">
        <f t="shared" si="238"/>
        <v>YGQT</v>
      </c>
      <c r="C2146" s="128" t="str">
        <f>+VLOOKUP(U2146,Ходим!A:B,2,0)</f>
        <v>52009035950022</v>
      </c>
      <c r="D2146" s="128" t="str">
        <f>IFERROR(VLOOKUP($B:$B,[20]свод!$A:$AB,3,0)," ")</f>
        <v>Янгиқўрғон тумани</v>
      </c>
      <c r="E2146" s="7" t="s">
        <v>3281</v>
      </c>
      <c r="F2146" s="7" t="s">
        <v>9656</v>
      </c>
      <c r="G2146" s="134" t="str">
        <f t="shared" si="235"/>
        <v/>
      </c>
      <c r="H2146" s="134">
        <f t="shared" si="236"/>
        <v>1</v>
      </c>
      <c r="I2146" s="7" t="s">
        <v>157</v>
      </c>
      <c r="J2146" s="7" t="s">
        <v>2</v>
      </c>
      <c r="K2146" s="7"/>
      <c r="L2146" s="7"/>
      <c r="M2146" s="7"/>
      <c r="N2146" s="7" t="s">
        <v>170</v>
      </c>
      <c r="O2146" s="7" t="s">
        <v>161</v>
      </c>
      <c r="P2146" s="7" t="s">
        <v>7250</v>
      </c>
      <c r="Q2146" s="129">
        <v>46199</v>
      </c>
      <c r="R2146" s="130">
        <f t="shared" si="234"/>
        <v>46203</v>
      </c>
      <c r="S2146" s="131">
        <f t="shared" si="239"/>
        <v>4</v>
      </c>
      <c r="T2146" s="7" t="s">
        <v>255</v>
      </c>
      <c r="U2146" s="7" t="s">
        <v>272</v>
      </c>
      <c r="V2146" s="7"/>
      <c r="W2146" s="7"/>
      <c r="X2146" s="132">
        <f t="shared" si="237"/>
        <v>10</v>
      </c>
      <c r="Y2146" s="133"/>
      <c r="Z2146" s="133"/>
      <c r="AA2146" s="133"/>
    </row>
    <row r="2147" spans="1:27" hidden="1" x14ac:dyDescent="0.25">
      <c r="A2147" s="127">
        <v>2336</v>
      </c>
      <c r="B2147" s="128" t="str">
        <f t="shared" si="238"/>
        <v>YGQT</v>
      </c>
      <c r="C2147" s="128" t="str">
        <f>+VLOOKUP(U2147,Ходим!A:B,2,0)</f>
        <v>30903902160122</v>
      </c>
      <c r="D2147" s="128" t="str">
        <f>IFERROR(VLOOKUP($B:$B,[20]свод!$A:$AB,3,0)," ")</f>
        <v>Янгиқўрғон тумани</v>
      </c>
      <c r="E2147" s="7" t="s">
        <v>3282</v>
      </c>
      <c r="F2147" s="7" t="s">
        <v>9657</v>
      </c>
      <c r="G2147" s="134">
        <f t="shared" si="235"/>
        <v>1</v>
      </c>
      <c r="H2147" s="134" t="str">
        <f t="shared" si="236"/>
        <v/>
      </c>
      <c r="I2147" s="7" t="s">
        <v>158</v>
      </c>
      <c r="J2147" s="7" t="s">
        <v>2</v>
      </c>
      <c r="K2147" s="7"/>
      <c r="L2147" s="7" t="s">
        <v>167</v>
      </c>
      <c r="M2147" s="7" t="s">
        <v>5636</v>
      </c>
      <c r="N2147" s="7" t="s">
        <v>170</v>
      </c>
      <c r="O2147" s="7" t="s">
        <v>162</v>
      </c>
      <c r="P2147" s="7" t="s">
        <v>7250</v>
      </c>
      <c r="Q2147" s="129">
        <v>46199</v>
      </c>
      <c r="R2147" s="130">
        <f t="shared" si="234"/>
        <v>46203</v>
      </c>
      <c r="S2147" s="131">
        <f t="shared" si="239"/>
        <v>4</v>
      </c>
      <c r="T2147" s="7" t="s">
        <v>182</v>
      </c>
      <c r="U2147" s="7" t="s">
        <v>230</v>
      </c>
      <c r="V2147" s="7"/>
      <c r="W2147" s="7">
        <v>143.495</v>
      </c>
      <c r="X2147" s="132">
        <f t="shared" si="237"/>
        <v>10</v>
      </c>
      <c r="Y2147" s="133"/>
      <c r="Z2147" s="133"/>
      <c r="AA2147" s="133"/>
    </row>
    <row r="2148" spans="1:27" hidden="1" x14ac:dyDescent="0.25">
      <c r="A2148" s="127">
        <v>2337</v>
      </c>
      <c r="B2148" s="128" t="str">
        <f t="shared" si="238"/>
        <v>YGQT</v>
      </c>
      <c r="C2148" s="128" t="str">
        <f>+VLOOKUP(U2148,Ходим!A:B,2,0)</f>
        <v>52009035950022</v>
      </c>
      <c r="D2148" s="128" t="str">
        <f>IFERROR(VLOOKUP($B:$B,[20]свод!$A:$AB,3,0)," ")</f>
        <v>Янгиқўрғон тумани</v>
      </c>
      <c r="E2148" s="7" t="s">
        <v>3283</v>
      </c>
      <c r="F2148" s="7" t="s">
        <v>9658</v>
      </c>
      <c r="G2148" s="134" t="str">
        <f t="shared" si="235"/>
        <v/>
      </c>
      <c r="H2148" s="134">
        <f t="shared" si="236"/>
        <v>1</v>
      </c>
      <c r="I2148" s="7" t="s">
        <v>157</v>
      </c>
      <c r="J2148" s="7" t="s">
        <v>2</v>
      </c>
      <c r="K2148" s="7"/>
      <c r="L2148" s="7"/>
      <c r="M2148" s="7"/>
      <c r="N2148" s="7" t="s">
        <v>170</v>
      </c>
      <c r="O2148" s="7" t="s">
        <v>161</v>
      </c>
      <c r="P2148" s="7" t="s">
        <v>7250</v>
      </c>
      <c r="Q2148" s="129">
        <v>46199</v>
      </c>
      <c r="R2148" s="130">
        <f t="shared" si="234"/>
        <v>46203</v>
      </c>
      <c r="S2148" s="131">
        <f t="shared" si="239"/>
        <v>4</v>
      </c>
      <c r="T2148" s="7" t="s">
        <v>255</v>
      </c>
      <c r="U2148" s="7" t="s">
        <v>272</v>
      </c>
      <c r="V2148" s="7"/>
      <c r="W2148" s="7"/>
      <c r="X2148" s="132">
        <f t="shared" si="237"/>
        <v>10</v>
      </c>
      <c r="Y2148" s="133"/>
      <c r="Z2148" s="133"/>
      <c r="AA2148" s="133"/>
    </row>
    <row r="2149" spans="1:27" hidden="1" x14ac:dyDescent="0.25">
      <c r="A2149" s="127">
        <v>2338</v>
      </c>
      <c r="B2149" s="128" t="str">
        <f t="shared" si="238"/>
        <v>NAMS</v>
      </c>
      <c r="C2149" s="128" t="str">
        <f>+VLOOKUP(U2149,Ходим!A:B,2,0)</f>
        <v>52107015960107</v>
      </c>
      <c r="D2149" s="128" t="str">
        <f>IFERROR(VLOOKUP($B:$B,[20]свод!$A:$AB,3,0)," ")</f>
        <v>Наманган шаҳар</v>
      </c>
      <c r="E2149" s="7" t="s">
        <v>3284</v>
      </c>
      <c r="F2149" s="7" t="s">
        <v>9659</v>
      </c>
      <c r="G2149" s="134">
        <f t="shared" si="235"/>
        <v>1</v>
      </c>
      <c r="H2149" s="134" t="str">
        <f t="shared" si="236"/>
        <v/>
      </c>
      <c r="I2149" s="7" t="s">
        <v>158</v>
      </c>
      <c r="J2149" s="7" t="s">
        <v>2</v>
      </c>
      <c r="K2149" s="7"/>
      <c r="L2149" s="7" t="s">
        <v>167</v>
      </c>
      <c r="M2149" s="7" t="s">
        <v>5637</v>
      </c>
      <c r="N2149" s="7" t="s">
        <v>170</v>
      </c>
      <c r="O2149" s="7" t="s">
        <v>162</v>
      </c>
      <c r="P2149" s="7" t="s">
        <v>7250</v>
      </c>
      <c r="Q2149" s="129">
        <v>46199</v>
      </c>
      <c r="R2149" s="130">
        <f t="shared" si="234"/>
        <v>46203</v>
      </c>
      <c r="S2149" s="131">
        <f t="shared" si="239"/>
        <v>4</v>
      </c>
      <c r="T2149" s="7" t="s">
        <v>173</v>
      </c>
      <c r="U2149" s="7" t="s">
        <v>348</v>
      </c>
      <c r="V2149" s="7"/>
      <c r="W2149" s="7">
        <v>177</v>
      </c>
      <c r="X2149" s="132">
        <f t="shared" si="237"/>
        <v>10</v>
      </c>
      <c r="Y2149" s="133"/>
      <c r="Z2149" s="133"/>
      <c r="AA2149" s="133"/>
    </row>
    <row r="2150" spans="1:27" hidden="1" x14ac:dyDescent="0.25">
      <c r="A2150" s="127">
        <v>2339</v>
      </c>
      <c r="B2150" s="128" t="str">
        <f t="shared" si="238"/>
        <v>TORT</v>
      </c>
      <c r="C2150" s="128" t="str">
        <f>+VLOOKUP(U2150,Ходим!A:B,2,0)</f>
        <v>31701915920077</v>
      </c>
      <c r="D2150" s="128" t="str">
        <f>IFERROR(VLOOKUP($B:$B,[20]свод!$A:$AB,3,0)," ")</f>
        <v>Тўрақўрғон тумани</v>
      </c>
      <c r="E2150" s="7" t="s">
        <v>3285</v>
      </c>
      <c r="F2150" s="7" t="s">
        <v>9660</v>
      </c>
      <c r="G2150" s="134">
        <f t="shared" si="235"/>
        <v>1</v>
      </c>
      <c r="H2150" s="134" t="str">
        <f t="shared" si="236"/>
        <v/>
      </c>
      <c r="I2150" s="7" t="s">
        <v>158</v>
      </c>
      <c r="J2150" s="7" t="s">
        <v>2</v>
      </c>
      <c r="K2150" s="7"/>
      <c r="L2150" s="7" t="s">
        <v>167</v>
      </c>
      <c r="M2150" s="7" t="s">
        <v>5638</v>
      </c>
      <c r="N2150" s="7" t="s">
        <v>170</v>
      </c>
      <c r="O2150" s="7" t="s">
        <v>162</v>
      </c>
      <c r="P2150" s="7" t="s">
        <v>6763</v>
      </c>
      <c r="Q2150" s="129">
        <v>46199</v>
      </c>
      <c r="R2150" s="130">
        <f t="shared" si="234"/>
        <v>46212</v>
      </c>
      <c r="S2150" s="131">
        <f t="shared" si="239"/>
        <v>13</v>
      </c>
      <c r="T2150" s="7" t="s">
        <v>203</v>
      </c>
      <c r="U2150" s="7" t="s">
        <v>332</v>
      </c>
      <c r="V2150" s="7"/>
      <c r="W2150" s="7">
        <v>325.56</v>
      </c>
      <c r="X2150" s="132">
        <f t="shared" si="237"/>
        <v>10</v>
      </c>
      <c r="Y2150" s="133"/>
      <c r="Z2150" s="133"/>
      <c r="AA2150" s="133"/>
    </row>
    <row r="2151" spans="1:27" hidden="1" x14ac:dyDescent="0.25">
      <c r="A2151" s="127">
        <v>2340</v>
      </c>
      <c r="B2151" s="128" t="str">
        <f t="shared" si="238"/>
        <v>KSST</v>
      </c>
      <c r="C2151" s="128" t="str">
        <f>+VLOOKUP(U2151,Ходим!A:B,2,0)</f>
        <v>52812015980061</v>
      </c>
      <c r="D2151" s="128" t="str">
        <f>IFERROR(VLOOKUP($B:$B,[20]свод!$A:$AB,3,0)," ")</f>
        <v>Косонсой тумани</v>
      </c>
      <c r="E2151" s="7" t="s">
        <v>3286</v>
      </c>
      <c r="F2151" s="7" t="s">
        <v>9661</v>
      </c>
      <c r="G2151" s="134">
        <f t="shared" si="235"/>
        <v>1</v>
      </c>
      <c r="H2151" s="134" t="str">
        <f t="shared" si="236"/>
        <v/>
      </c>
      <c r="I2151" s="7" t="s">
        <v>158</v>
      </c>
      <c r="J2151" s="7" t="s">
        <v>2</v>
      </c>
      <c r="K2151" s="7"/>
      <c r="L2151" s="7"/>
      <c r="M2151" s="7"/>
      <c r="N2151" s="7" t="s">
        <v>170</v>
      </c>
      <c r="O2151" s="7" t="s">
        <v>162</v>
      </c>
      <c r="P2151" s="7" t="s">
        <v>7251</v>
      </c>
      <c r="Q2151" s="129">
        <v>46199</v>
      </c>
      <c r="R2151" s="130">
        <f t="shared" si="234"/>
        <v>46206</v>
      </c>
      <c r="S2151" s="131">
        <f t="shared" si="239"/>
        <v>7</v>
      </c>
      <c r="T2151" s="7" t="s">
        <v>180</v>
      </c>
      <c r="U2151" s="7" t="s">
        <v>307</v>
      </c>
      <c r="V2151" s="7"/>
      <c r="W2151" s="7"/>
      <c r="X2151" s="132">
        <f t="shared" si="237"/>
        <v>10</v>
      </c>
      <c r="Y2151" s="133"/>
      <c r="Z2151" s="133"/>
      <c r="AA2151" s="133"/>
    </row>
    <row r="2152" spans="1:27" hidden="1" x14ac:dyDescent="0.25">
      <c r="A2152" s="127">
        <v>2341</v>
      </c>
      <c r="B2152" s="128" t="str">
        <f t="shared" si="238"/>
        <v>YGQT</v>
      </c>
      <c r="C2152" s="128" t="str">
        <f>+VLOOKUP(U2152,Ходим!A:B,2,0)</f>
        <v>52009035950022</v>
      </c>
      <c r="D2152" s="128" t="str">
        <f>IFERROR(VLOOKUP($B:$B,[20]свод!$A:$AB,3,0)," ")</f>
        <v>Янгиқўрғон тумани</v>
      </c>
      <c r="E2152" s="7" t="s">
        <v>3287</v>
      </c>
      <c r="F2152" s="7" t="s">
        <v>9662</v>
      </c>
      <c r="G2152" s="134">
        <f t="shared" si="235"/>
        <v>1</v>
      </c>
      <c r="H2152" s="134" t="str">
        <f t="shared" si="236"/>
        <v/>
      </c>
      <c r="I2152" s="7" t="s">
        <v>158</v>
      </c>
      <c r="J2152" s="7" t="s">
        <v>2</v>
      </c>
      <c r="K2152" s="7"/>
      <c r="L2152" s="7" t="s">
        <v>167</v>
      </c>
      <c r="M2152" s="7" t="s">
        <v>5639</v>
      </c>
      <c r="N2152" s="7" t="s">
        <v>170</v>
      </c>
      <c r="O2152" s="7" t="s">
        <v>162</v>
      </c>
      <c r="P2152" s="7" t="s">
        <v>6662</v>
      </c>
      <c r="Q2152" s="129">
        <v>46199</v>
      </c>
      <c r="R2152" s="130">
        <f t="shared" si="234"/>
        <v>46203</v>
      </c>
      <c r="S2152" s="131">
        <f t="shared" si="239"/>
        <v>4</v>
      </c>
      <c r="T2152" s="7" t="s">
        <v>255</v>
      </c>
      <c r="U2152" s="7" t="s">
        <v>272</v>
      </c>
      <c r="V2152" s="7"/>
      <c r="W2152" s="7">
        <v>33.840000000000003</v>
      </c>
      <c r="X2152" s="132">
        <f t="shared" si="237"/>
        <v>10</v>
      </c>
      <c r="Y2152" s="133"/>
      <c r="Z2152" s="133"/>
      <c r="AA2152" s="133"/>
    </row>
    <row r="2153" spans="1:27" hidden="1" x14ac:dyDescent="0.25">
      <c r="A2153" s="127">
        <v>2342</v>
      </c>
      <c r="B2153" s="128" t="str">
        <f t="shared" si="238"/>
        <v>YGQT</v>
      </c>
      <c r="C2153" s="128" t="str">
        <f>+VLOOKUP(U2153,Ходим!A:B,2,0)</f>
        <v>30903902160122</v>
      </c>
      <c r="D2153" s="128" t="str">
        <f>IFERROR(VLOOKUP($B:$B,[20]свод!$A:$AB,3,0)," ")</f>
        <v>Янгиқўрғон тумани</v>
      </c>
      <c r="E2153" s="7" t="s">
        <v>3288</v>
      </c>
      <c r="F2153" s="7" t="s">
        <v>9663</v>
      </c>
      <c r="G2153" s="134">
        <f t="shared" si="235"/>
        <v>1</v>
      </c>
      <c r="H2153" s="134" t="str">
        <f t="shared" si="236"/>
        <v/>
      </c>
      <c r="I2153" s="7" t="s">
        <v>154</v>
      </c>
      <c r="J2153" s="7" t="s">
        <v>2</v>
      </c>
      <c r="K2153" s="7"/>
      <c r="L2153" s="7"/>
      <c r="M2153" s="7"/>
      <c r="N2153" s="7" t="s">
        <v>170</v>
      </c>
      <c r="O2153" s="7" t="s">
        <v>162</v>
      </c>
      <c r="P2153" s="7" t="s">
        <v>6662</v>
      </c>
      <c r="Q2153" s="129">
        <v>46199</v>
      </c>
      <c r="R2153" s="130">
        <f t="shared" si="234"/>
        <v>46203</v>
      </c>
      <c r="S2153" s="131">
        <f t="shared" si="239"/>
        <v>4</v>
      </c>
      <c r="T2153" s="7" t="s">
        <v>182</v>
      </c>
      <c r="U2153" s="7" t="s">
        <v>230</v>
      </c>
      <c r="V2153" s="7"/>
      <c r="W2153" s="7"/>
      <c r="X2153" s="132">
        <f t="shared" si="237"/>
        <v>10</v>
      </c>
      <c r="Y2153" s="133"/>
      <c r="Z2153" s="133"/>
      <c r="AA2153" s="133"/>
    </row>
    <row r="2154" spans="1:27" hidden="1" x14ac:dyDescent="0.25">
      <c r="A2154" s="127">
        <v>2343</v>
      </c>
      <c r="B2154" s="128" t="str">
        <f t="shared" si="238"/>
        <v>POPT</v>
      </c>
      <c r="C2154" s="128" t="str">
        <f>+VLOOKUP(U2154,Ходим!A:B,2,0)</f>
        <v>32901912210017</v>
      </c>
      <c r="D2154" s="128" t="str">
        <f>IFERROR(VLOOKUP($B:$B,[20]свод!$A:$AB,3,0)," ")</f>
        <v>Поп тумани</v>
      </c>
      <c r="E2154" s="7" t="s">
        <v>3289</v>
      </c>
      <c r="F2154" s="7" t="s">
        <v>9664</v>
      </c>
      <c r="G2154" s="134">
        <f t="shared" si="235"/>
        <v>1</v>
      </c>
      <c r="H2154" s="134" t="str">
        <f t="shared" si="236"/>
        <v/>
      </c>
      <c r="I2154" s="7" t="s">
        <v>158</v>
      </c>
      <c r="J2154" s="7" t="s">
        <v>10</v>
      </c>
      <c r="K2154" s="7"/>
      <c r="L2154" s="7" t="s">
        <v>167</v>
      </c>
      <c r="M2154" s="7" t="s">
        <v>5640</v>
      </c>
      <c r="N2154" s="7" t="s">
        <v>170</v>
      </c>
      <c r="O2154" s="7" t="s">
        <v>162</v>
      </c>
      <c r="P2154" s="7" t="s">
        <v>7252</v>
      </c>
      <c r="Q2154" s="129">
        <v>46199</v>
      </c>
      <c r="R2154" s="130">
        <f t="shared" si="234"/>
        <v>46209</v>
      </c>
      <c r="S2154" s="131">
        <f t="shared" si="239"/>
        <v>10</v>
      </c>
      <c r="T2154" s="7" t="s">
        <v>214</v>
      </c>
      <c r="U2154" s="7" t="s">
        <v>215</v>
      </c>
      <c r="V2154" s="7"/>
      <c r="W2154" s="7">
        <v>132.1</v>
      </c>
      <c r="X2154" s="132">
        <f t="shared" si="237"/>
        <v>10</v>
      </c>
      <c r="Y2154" s="133"/>
      <c r="Z2154" s="133"/>
      <c r="AA2154" s="133"/>
    </row>
    <row r="2155" spans="1:27" hidden="1" x14ac:dyDescent="0.25">
      <c r="A2155" s="127">
        <v>2344</v>
      </c>
      <c r="B2155" s="128" t="str">
        <f t="shared" si="238"/>
        <v>NAMS</v>
      </c>
      <c r="C2155" s="128" t="str">
        <f>+VLOOKUP(U2155,Ходим!A:B,2,0)</f>
        <v>33012942170121</v>
      </c>
      <c r="D2155" s="128" t="str">
        <f>IFERROR(VLOOKUP($B:$B,[20]свод!$A:$AB,3,0)," ")</f>
        <v>Наманган шаҳар</v>
      </c>
      <c r="E2155" s="7" t="s">
        <v>3290</v>
      </c>
      <c r="F2155" s="7" t="s">
        <v>9665</v>
      </c>
      <c r="G2155" s="134">
        <f t="shared" si="235"/>
        <v>1</v>
      </c>
      <c r="H2155" s="134" t="str">
        <f t="shared" si="236"/>
        <v/>
      </c>
      <c r="I2155" s="7" t="s">
        <v>156</v>
      </c>
      <c r="J2155" s="7" t="s">
        <v>25</v>
      </c>
      <c r="K2155" s="7"/>
      <c r="L2155" s="7"/>
      <c r="M2155" s="7"/>
      <c r="N2155" s="7" t="s">
        <v>170</v>
      </c>
      <c r="O2155" s="7" t="s">
        <v>162</v>
      </c>
      <c r="P2155" s="7" t="s">
        <v>7253</v>
      </c>
      <c r="Q2155" s="129">
        <v>46199</v>
      </c>
      <c r="R2155" s="130">
        <f t="shared" si="234"/>
        <v>46212</v>
      </c>
      <c r="S2155" s="131">
        <f t="shared" si="239"/>
        <v>13</v>
      </c>
      <c r="T2155" s="7" t="s">
        <v>173</v>
      </c>
      <c r="U2155" s="7" t="s">
        <v>259</v>
      </c>
      <c r="V2155" s="7"/>
      <c r="W2155" s="7"/>
      <c r="X2155" s="132">
        <f t="shared" si="237"/>
        <v>10</v>
      </c>
      <c r="Y2155" s="133"/>
      <c r="Z2155" s="133"/>
      <c r="AA2155" s="133"/>
    </row>
    <row r="2156" spans="1:27" hidden="1" x14ac:dyDescent="0.25">
      <c r="A2156" s="127">
        <v>2345</v>
      </c>
      <c r="B2156" s="128" t="str">
        <f t="shared" si="238"/>
        <v>KSST</v>
      </c>
      <c r="C2156" s="128" t="str">
        <f>+VLOOKUP(U2156,Ходим!A:B,2,0)</f>
        <v>30411985980017</v>
      </c>
      <c r="D2156" s="128" t="str">
        <f>IFERROR(VLOOKUP($B:$B,[20]свод!$A:$AB,3,0)," ")</f>
        <v>Косонсой тумани</v>
      </c>
      <c r="E2156" s="7" t="s">
        <v>3291</v>
      </c>
      <c r="F2156" s="7" t="s">
        <v>9666</v>
      </c>
      <c r="G2156" s="134">
        <f t="shared" si="235"/>
        <v>1</v>
      </c>
      <c r="H2156" s="134" t="str">
        <f t="shared" si="236"/>
        <v/>
      </c>
      <c r="I2156" s="7" t="s">
        <v>156</v>
      </c>
      <c r="J2156" s="7" t="s">
        <v>25</v>
      </c>
      <c r="K2156" s="7"/>
      <c r="L2156" s="7" t="s">
        <v>167</v>
      </c>
      <c r="M2156" s="7" t="s">
        <v>5641</v>
      </c>
      <c r="N2156" s="7" t="s">
        <v>170</v>
      </c>
      <c r="O2156" s="7" t="s">
        <v>162</v>
      </c>
      <c r="P2156" s="7" t="s">
        <v>7254</v>
      </c>
      <c r="Q2156" s="129">
        <v>46199</v>
      </c>
      <c r="R2156" s="130">
        <f t="shared" si="234"/>
        <v>46203</v>
      </c>
      <c r="S2156" s="131">
        <f t="shared" si="239"/>
        <v>4</v>
      </c>
      <c r="T2156" s="7" t="s">
        <v>180</v>
      </c>
      <c r="U2156" s="7" t="s">
        <v>360</v>
      </c>
      <c r="V2156" s="7"/>
      <c r="W2156" s="7">
        <v>0</v>
      </c>
      <c r="X2156" s="132">
        <f t="shared" si="237"/>
        <v>10</v>
      </c>
      <c r="Y2156" s="133"/>
      <c r="Z2156" s="133"/>
      <c r="AA2156" s="133"/>
    </row>
    <row r="2157" spans="1:27" hidden="1" x14ac:dyDescent="0.25">
      <c r="A2157" s="127">
        <v>2346</v>
      </c>
      <c r="B2157" s="128" t="str">
        <f t="shared" si="238"/>
        <v>NAMS</v>
      </c>
      <c r="C2157" s="128" t="str">
        <f>+VLOOKUP(U2157,Ходим!A:B,2,0)</f>
        <v>51911035960011</v>
      </c>
      <c r="D2157" s="128" t="str">
        <f>IFERROR(VLOOKUP($B:$B,[20]свод!$A:$AB,3,0)," ")</f>
        <v>Наманган шаҳар</v>
      </c>
      <c r="E2157" s="7" t="s">
        <v>3292</v>
      </c>
      <c r="F2157" s="7" t="s">
        <v>9667</v>
      </c>
      <c r="G2157" s="134">
        <f t="shared" si="235"/>
        <v>1</v>
      </c>
      <c r="H2157" s="134" t="str">
        <f t="shared" si="236"/>
        <v/>
      </c>
      <c r="I2157" s="7" t="s">
        <v>158</v>
      </c>
      <c r="J2157" s="7" t="s">
        <v>2</v>
      </c>
      <c r="K2157" s="7"/>
      <c r="L2157" s="7" t="s">
        <v>167</v>
      </c>
      <c r="M2157" s="7" t="s">
        <v>5642</v>
      </c>
      <c r="N2157" s="7" t="s">
        <v>170</v>
      </c>
      <c r="O2157" s="7" t="s">
        <v>162</v>
      </c>
      <c r="P2157" s="7" t="s">
        <v>7255</v>
      </c>
      <c r="Q2157" s="129">
        <v>46199</v>
      </c>
      <c r="R2157" s="130">
        <f t="shared" si="234"/>
        <v>46206</v>
      </c>
      <c r="S2157" s="131">
        <f t="shared" si="239"/>
        <v>7</v>
      </c>
      <c r="T2157" s="7" t="s">
        <v>173</v>
      </c>
      <c r="U2157" s="7" t="s">
        <v>371</v>
      </c>
      <c r="V2157" s="7"/>
      <c r="W2157" s="7">
        <v>50.62</v>
      </c>
      <c r="X2157" s="132">
        <f t="shared" si="237"/>
        <v>10</v>
      </c>
      <c r="Y2157" s="133"/>
      <c r="Z2157" s="133"/>
      <c r="AA2157" s="133"/>
    </row>
    <row r="2158" spans="1:27" hidden="1" x14ac:dyDescent="0.25">
      <c r="A2158" s="127">
        <v>2348</v>
      </c>
      <c r="B2158" s="128" t="str">
        <f t="shared" si="238"/>
        <v>TORT</v>
      </c>
      <c r="C2158" s="128" t="str">
        <f>+VLOOKUP(U2158,Ходим!A:B,2,0)</f>
        <v>31609912130025</v>
      </c>
      <c r="D2158" s="128" t="str">
        <f>IFERROR(VLOOKUP($B:$B,[20]свод!$A:$AB,3,0)," ")</f>
        <v>Тўрақўрғон тумани</v>
      </c>
      <c r="E2158" s="7" t="s">
        <v>3293</v>
      </c>
      <c r="F2158" s="7" t="s">
        <v>9668</v>
      </c>
      <c r="G2158" s="134">
        <f t="shared" si="235"/>
        <v>1</v>
      </c>
      <c r="H2158" s="134" t="str">
        <f t="shared" si="236"/>
        <v/>
      </c>
      <c r="I2158" s="7" t="s">
        <v>156</v>
      </c>
      <c r="J2158" s="7" t="s">
        <v>25</v>
      </c>
      <c r="K2158" s="7"/>
      <c r="L2158" s="7"/>
      <c r="M2158" s="7"/>
      <c r="N2158" s="7" t="s">
        <v>170</v>
      </c>
      <c r="O2158" s="7" t="s">
        <v>162</v>
      </c>
      <c r="P2158" s="7" t="s">
        <v>7256</v>
      </c>
      <c r="Q2158" s="129">
        <v>46199</v>
      </c>
      <c r="R2158" s="130">
        <f t="shared" si="234"/>
        <v>46203</v>
      </c>
      <c r="S2158" s="131">
        <f t="shared" si="239"/>
        <v>4</v>
      </c>
      <c r="T2158" s="7" t="s">
        <v>203</v>
      </c>
      <c r="U2158" s="7" t="s">
        <v>280</v>
      </c>
      <c r="V2158" s="7"/>
      <c r="W2158" s="7"/>
      <c r="X2158" s="132">
        <f t="shared" si="237"/>
        <v>10</v>
      </c>
      <c r="Y2158" s="133"/>
      <c r="Z2158" s="133"/>
      <c r="AA2158" s="133"/>
    </row>
    <row r="2159" spans="1:27" hidden="1" x14ac:dyDescent="0.25">
      <c r="A2159" s="127">
        <v>2349</v>
      </c>
      <c r="B2159" s="128" t="str">
        <f t="shared" si="238"/>
        <v>NAMT</v>
      </c>
      <c r="C2159" s="128" t="str">
        <f>+VLOOKUP(U2159,Ходим!A:B,2,0)</f>
        <v>31702942090041</v>
      </c>
      <c r="D2159" s="128" t="str">
        <f>IFERROR(VLOOKUP($B:$B,[20]свод!$A:$AB,3,0)," ")</f>
        <v>Наманган тумани</v>
      </c>
      <c r="E2159" s="7" t="s">
        <v>3294</v>
      </c>
      <c r="F2159" s="7" t="s">
        <v>9669</v>
      </c>
      <c r="G2159" s="134">
        <f t="shared" si="235"/>
        <v>1</v>
      </c>
      <c r="H2159" s="134" t="str">
        <f t="shared" si="236"/>
        <v/>
      </c>
      <c r="I2159" s="7" t="s">
        <v>158</v>
      </c>
      <c r="J2159" s="7" t="s">
        <v>2</v>
      </c>
      <c r="K2159" s="7"/>
      <c r="L2159" s="7"/>
      <c r="M2159" s="7"/>
      <c r="N2159" s="7" t="s">
        <v>170</v>
      </c>
      <c r="O2159" s="7" t="s">
        <v>162</v>
      </c>
      <c r="P2159" s="7" t="s">
        <v>7226</v>
      </c>
      <c r="Q2159" s="129">
        <v>46199</v>
      </c>
      <c r="R2159" s="130">
        <f t="shared" si="234"/>
        <v>46203</v>
      </c>
      <c r="S2159" s="131">
        <f t="shared" si="239"/>
        <v>4</v>
      </c>
      <c r="T2159" s="7" t="s">
        <v>197</v>
      </c>
      <c r="U2159" s="7" t="s">
        <v>194</v>
      </c>
      <c r="V2159" s="7"/>
      <c r="W2159" s="7"/>
      <c r="X2159" s="132">
        <f t="shared" si="237"/>
        <v>10</v>
      </c>
      <c r="Y2159" s="133"/>
      <c r="Z2159" s="133"/>
      <c r="AA2159" s="133"/>
    </row>
    <row r="2160" spans="1:27" hidden="1" x14ac:dyDescent="0.25">
      <c r="A2160" s="127">
        <v>2350</v>
      </c>
      <c r="B2160" s="128" t="str">
        <f t="shared" si="238"/>
        <v>NAMS</v>
      </c>
      <c r="C2160" s="128" t="str">
        <f>+VLOOKUP(U2160,Ходим!A:B,2,0)</f>
        <v>51705025890024</v>
      </c>
      <c r="D2160" s="128" t="str">
        <f>IFERROR(VLOOKUP($B:$B,[20]свод!$A:$AB,3,0)," ")</f>
        <v>Наманган шаҳар</v>
      </c>
      <c r="E2160" s="7" t="s">
        <v>3295</v>
      </c>
      <c r="F2160" s="7" t="s">
        <v>9670</v>
      </c>
      <c r="G2160" s="134">
        <f t="shared" si="235"/>
        <v>1</v>
      </c>
      <c r="H2160" s="134" t="str">
        <f t="shared" si="236"/>
        <v/>
      </c>
      <c r="I2160" s="7" t="s">
        <v>158</v>
      </c>
      <c r="J2160" s="7" t="s">
        <v>2</v>
      </c>
      <c r="K2160" s="7"/>
      <c r="L2160" s="7" t="s">
        <v>167</v>
      </c>
      <c r="M2160" s="7" t="s">
        <v>5643</v>
      </c>
      <c r="N2160" s="7" t="s">
        <v>170</v>
      </c>
      <c r="O2160" s="7" t="s">
        <v>162</v>
      </c>
      <c r="P2160" s="7" t="s">
        <v>7257</v>
      </c>
      <c r="Q2160" s="129">
        <v>46199</v>
      </c>
      <c r="R2160" s="130">
        <f t="shared" si="234"/>
        <v>46206</v>
      </c>
      <c r="S2160" s="131">
        <f t="shared" si="239"/>
        <v>7</v>
      </c>
      <c r="T2160" s="7" t="s">
        <v>173</v>
      </c>
      <c r="U2160" s="7" t="s">
        <v>189</v>
      </c>
      <c r="V2160" s="7"/>
      <c r="W2160" s="7">
        <v>90.49</v>
      </c>
      <c r="X2160" s="132">
        <f t="shared" si="237"/>
        <v>10</v>
      </c>
      <c r="Y2160" s="133"/>
      <c r="Z2160" s="133"/>
      <c r="AA2160" s="133"/>
    </row>
    <row r="2161" spans="1:27" hidden="1" x14ac:dyDescent="0.25">
      <c r="A2161" s="127">
        <v>2351</v>
      </c>
      <c r="B2161" s="128" t="str">
        <f t="shared" si="238"/>
        <v>TORT</v>
      </c>
      <c r="C2161" s="128" t="str">
        <f>+VLOOKUP(U2161,Ходим!A:B,2,0)</f>
        <v>30708792130017</v>
      </c>
      <c r="D2161" s="128" t="str">
        <f>IFERROR(VLOOKUP($B:$B,[20]свод!$A:$AB,3,0)," ")</f>
        <v>Тўрақўрғон тумани</v>
      </c>
      <c r="E2161" s="7" t="s">
        <v>3296</v>
      </c>
      <c r="F2161" s="7"/>
      <c r="G2161" s="134">
        <f t="shared" si="235"/>
        <v>1</v>
      </c>
      <c r="H2161" s="134" t="str">
        <f t="shared" si="236"/>
        <v/>
      </c>
      <c r="I2161" s="7" t="s">
        <v>154</v>
      </c>
      <c r="J2161" s="7" t="s">
        <v>35</v>
      </c>
      <c r="K2161" s="7"/>
      <c r="L2161" s="7" t="s">
        <v>167</v>
      </c>
      <c r="M2161" s="7" t="s">
        <v>5644</v>
      </c>
      <c r="N2161" s="7" t="s">
        <v>368</v>
      </c>
      <c r="O2161" s="7"/>
      <c r="P2161" s="7" t="s">
        <v>7258</v>
      </c>
      <c r="Q2161" s="129">
        <v>46199</v>
      </c>
      <c r="R2161" s="130">
        <f t="shared" si="234"/>
        <v>46205</v>
      </c>
      <c r="S2161" s="131">
        <f t="shared" si="239"/>
        <v>6</v>
      </c>
      <c r="T2161" s="7"/>
      <c r="U2161" s="7" t="s">
        <v>204</v>
      </c>
      <c r="V2161" s="7"/>
      <c r="W2161" s="7">
        <v>527.83000000000004</v>
      </c>
      <c r="X2161" s="132">
        <f t="shared" si="237"/>
        <v>5</v>
      </c>
      <c r="Y2161" s="133"/>
      <c r="Z2161" s="133"/>
      <c r="AA2161" s="133"/>
    </row>
    <row r="2162" spans="1:27" hidden="1" x14ac:dyDescent="0.25">
      <c r="A2162" s="127">
        <v>2352</v>
      </c>
      <c r="B2162" s="128" t="str">
        <f t="shared" si="238"/>
        <v>YGQT</v>
      </c>
      <c r="C2162" s="128" t="str">
        <f>+VLOOKUP(U2162,Ходим!A:B,2,0)</f>
        <v>52010015950028</v>
      </c>
      <c r="D2162" s="128" t="str">
        <f>IFERROR(VLOOKUP($B:$B,[20]свод!$A:$AB,3,0)," ")</f>
        <v>Янгиқўрғон тумани</v>
      </c>
      <c r="E2162" s="7" t="s">
        <v>3297</v>
      </c>
      <c r="F2162" s="7" t="s">
        <v>9671</v>
      </c>
      <c r="G2162" s="134">
        <f t="shared" si="235"/>
        <v>1</v>
      </c>
      <c r="H2162" s="134" t="str">
        <f t="shared" si="236"/>
        <v/>
      </c>
      <c r="I2162" s="7" t="s">
        <v>158</v>
      </c>
      <c r="J2162" s="7" t="s">
        <v>84</v>
      </c>
      <c r="K2162" s="7"/>
      <c r="L2162" s="7" t="s">
        <v>167</v>
      </c>
      <c r="M2162" s="7" t="s">
        <v>5645</v>
      </c>
      <c r="N2162" s="7" t="s">
        <v>170</v>
      </c>
      <c r="O2162" s="7" t="s">
        <v>162</v>
      </c>
      <c r="P2162" s="7" t="s">
        <v>7259</v>
      </c>
      <c r="Q2162" s="129">
        <v>46199</v>
      </c>
      <c r="R2162" s="130">
        <f t="shared" si="234"/>
        <v>46203</v>
      </c>
      <c r="S2162" s="131">
        <f t="shared" si="239"/>
        <v>4</v>
      </c>
      <c r="T2162" s="7" t="s">
        <v>255</v>
      </c>
      <c r="U2162" s="7" t="s">
        <v>391</v>
      </c>
      <c r="V2162" s="7"/>
      <c r="W2162" s="7">
        <v>240.85</v>
      </c>
      <c r="X2162" s="132">
        <f t="shared" si="237"/>
        <v>10</v>
      </c>
      <c r="Y2162" s="133"/>
      <c r="Z2162" s="133"/>
      <c r="AA2162" s="133"/>
    </row>
    <row r="2163" spans="1:27" hidden="1" x14ac:dyDescent="0.25">
      <c r="A2163" s="127">
        <v>2353</v>
      </c>
      <c r="B2163" s="128" t="str">
        <f t="shared" si="238"/>
        <v>KSST</v>
      </c>
      <c r="C2163" s="128" t="str">
        <f>+VLOOKUP(U2163,Ходим!A:B,2,0)</f>
        <v>30411985980017</v>
      </c>
      <c r="D2163" s="128" t="str">
        <f>IFERROR(VLOOKUP($B:$B,[20]свод!$A:$AB,3,0)," ")</f>
        <v>Косонсой тумани</v>
      </c>
      <c r="E2163" s="7" t="s">
        <v>3298</v>
      </c>
      <c r="F2163" s="7" t="s">
        <v>9672</v>
      </c>
      <c r="G2163" s="134">
        <f t="shared" si="235"/>
        <v>1</v>
      </c>
      <c r="H2163" s="134" t="str">
        <f t="shared" si="236"/>
        <v/>
      </c>
      <c r="I2163" s="7" t="s">
        <v>158</v>
      </c>
      <c r="J2163" s="7" t="s">
        <v>1</v>
      </c>
      <c r="K2163" s="7"/>
      <c r="L2163" s="7" t="s">
        <v>167</v>
      </c>
      <c r="M2163" s="7" t="s">
        <v>5646</v>
      </c>
      <c r="N2163" s="7" t="s">
        <v>170</v>
      </c>
      <c r="O2163" s="7" t="s">
        <v>162</v>
      </c>
      <c r="P2163" s="7" t="s">
        <v>6725</v>
      </c>
      <c r="Q2163" s="129">
        <v>46199</v>
      </c>
      <c r="R2163" s="130">
        <f t="shared" si="234"/>
        <v>46206</v>
      </c>
      <c r="S2163" s="131">
        <f t="shared" si="239"/>
        <v>7</v>
      </c>
      <c r="T2163" s="7" t="s">
        <v>180</v>
      </c>
      <c r="U2163" s="7" t="s">
        <v>360</v>
      </c>
      <c r="V2163" s="7"/>
      <c r="W2163" s="7">
        <v>341.18</v>
      </c>
      <c r="X2163" s="132">
        <f t="shared" si="237"/>
        <v>10</v>
      </c>
      <c r="Y2163" s="133"/>
      <c r="Z2163" s="133"/>
      <c r="AA2163" s="133"/>
    </row>
    <row r="2164" spans="1:27" hidden="1" x14ac:dyDescent="0.25">
      <c r="A2164" s="127">
        <v>2354</v>
      </c>
      <c r="B2164" s="128" t="str">
        <f t="shared" si="238"/>
        <v>NAMS</v>
      </c>
      <c r="C2164" s="128" t="str">
        <f>+VLOOKUP(U2164,Ходим!A:B,2,0)</f>
        <v>53008015960094</v>
      </c>
      <c r="D2164" s="128" t="str">
        <f>IFERROR(VLOOKUP($B:$B,[20]свод!$A:$AB,3,0)," ")</f>
        <v>Наманган шаҳар</v>
      </c>
      <c r="E2164" s="7" t="s">
        <v>3299</v>
      </c>
      <c r="F2164" s="7" t="s">
        <v>9673</v>
      </c>
      <c r="G2164" s="134">
        <f t="shared" si="235"/>
        <v>1</v>
      </c>
      <c r="H2164" s="134" t="str">
        <f t="shared" si="236"/>
        <v/>
      </c>
      <c r="I2164" s="7" t="s">
        <v>158</v>
      </c>
      <c r="J2164" s="7" t="s">
        <v>13</v>
      </c>
      <c r="K2164" s="7"/>
      <c r="L2164" s="7" t="s">
        <v>167</v>
      </c>
      <c r="M2164" s="7" t="s">
        <v>5647</v>
      </c>
      <c r="N2164" s="7" t="s">
        <v>170</v>
      </c>
      <c r="O2164" s="7" t="s">
        <v>162</v>
      </c>
      <c r="P2164" s="7" t="s">
        <v>7260</v>
      </c>
      <c r="Q2164" s="129">
        <v>46199</v>
      </c>
      <c r="R2164" s="130">
        <f t="shared" si="234"/>
        <v>46203</v>
      </c>
      <c r="S2164" s="131">
        <f t="shared" si="239"/>
        <v>4</v>
      </c>
      <c r="T2164" s="7" t="s">
        <v>173</v>
      </c>
      <c r="U2164" s="7" t="s">
        <v>403</v>
      </c>
      <c r="V2164" s="7"/>
      <c r="W2164" s="7">
        <v>0</v>
      </c>
      <c r="X2164" s="132">
        <f t="shared" si="237"/>
        <v>10</v>
      </c>
      <c r="Y2164" s="133"/>
      <c r="Z2164" s="133"/>
      <c r="AA2164" s="133"/>
    </row>
    <row r="2165" spans="1:27" hidden="1" x14ac:dyDescent="0.25">
      <c r="A2165" s="127">
        <v>2355</v>
      </c>
      <c r="B2165" s="128" t="str">
        <f t="shared" si="238"/>
        <v>TORT</v>
      </c>
      <c r="C2165" s="128">
        <f>+VLOOKUP(U2165,Ходим!A:B,2,0)</f>
        <v>30603862130011</v>
      </c>
      <c r="D2165" s="128" t="str">
        <f>IFERROR(VLOOKUP($B:$B,[20]свод!$A:$AB,3,0)," ")</f>
        <v>Тўрақўрғон тумани</v>
      </c>
      <c r="E2165" s="7" t="s">
        <v>3300</v>
      </c>
      <c r="F2165" s="7" t="s">
        <v>9674</v>
      </c>
      <c r="G2165" s="134">
        <f t="shared" si="235"/>
        <v>1</v>
      </c>
      <c r="H2165" s="134" t="str">
        <f t="shared" si="236"/>
        <v/>
      </c>
      <c r="I2165" s="7" t="s">
        <v>158</v>
      </c>
      <c r="J2165" s="7" t="s">
        <v>2</v>
      </c>
      <c r="K2165" s="7"/>
      <c r="L2165" s="7"/>
      <c r="M2165" s="7"/>
      <c r="N2165" s="7" t="s">
        <v>170</v>
      </c>
      <c r="O2165" s="7" t="s">
        <v>162</v>
      </c>
      <c r="P2165" s="7" t="s">
        <v>6554</v>
      </c>
      <c r="Q2165" s="129">
        <v>46199</v>
      </c>
      <c r="R2165" s="130">
        <f t="shared" si="234"/>
        <v>46205</v>
      </c>
      <c r="S2165" s="131">
        <f t="shared" si="239"/>
        <v>6</v>
      </c>
      <c r="T2165" s="7" t="s">
        <v>203</v>
      </c>
      <c r="U2165" s="7" t="s">
        <v>950</v>
      </c>
      <c r="V2165" s="7"/>
      <c r="W2165" s="7"/>
      <c r="X2165" s="132">
        <f t="shared" si="237"/>
        <v>10</v>
      </c>
      <c r="Y2165" s="133"/>
      <c r="Z2165" s="133"/>
      <c r="AA2165" s="133"/>
    </row>
    <row r="2166" spans="1:27" hidden="1" x14ac:dyDescent="0.25">
      <c r="A2166" s="127">
        <v>2356</v>
      </c>
      <c r="B2166" s="128" t="str">
        <f t="shared" si="238"/>
        <v>YGQT</v>
      </c>
      <c r="C2166" s="128" t="str">
        <f>+VLOOKUP(U2166,Ходим!A:B,2,0)</f>
        <v>33103892160125</v>
      </c>
      <c r="D2166" s="128" t="str">
        <f>IFERROR(VLOOKUP($B:$B,[20]свод!$A:$AB,3,0)," ")</f>
        <v>Янгиқўрғон тумани</v>
      </c>
      <c r="E2166" s="7" t="s">
        <v>3301</v>
      </c>
      <c r="F2166" s="7" t="s">
        <v>9675</v>
      </c>
      <c r="G2166" s="134">
        <f t="shared" si="235"/>
        <v>1</v>
      </c>
      <c r="H2166" s="134" t="str">
        <f t="shared" si="236"/>
        <v/>
      </c>
      <c r="I2166" s="7" t="s">
        <v>154</v>
      </c>
      <c r="J2166" s="7" t="s">
        <v>2</v>
      </c>
      <c r="K2166" s="7"/>
      <c r="L2166" s="7"/>
      <c r="M2166" s="7"/>
      <c r="N2166" s="7" t="s">
        <v>170</v>
      </c>
      <c r="O2166" s="7" t="s">
        <v>162</v>
      </c>
      <c r="P2166" s="7" t="s">
        <v>7261</v>
      </c>
      <c r="Q2166" s="129">
        <v>46199</v>
      </c>
      <c r="R2166" s="130">
        <f t="shared" si="234"/>
        <v>46206</v>
      </c>
      <c r="S2166" s="131">
        <f t="shared" si="239"/>
        <v>7</v>
      </c>
      <c r="T2166" s="7" t="s">
        <v>255</v>
      </c>
      <c r="U2166" s="7" t="s">
        <v>183</v>
      </c>
      <c r="V2166" s="7"/>
      <c r="W2166" s="7"/>
      <c r="X2166" s="132">
        <f t="shared" si="237"/>
        <v>10</v>
      </c>
      <c r="Y2166" s="133"/>
      <c r="Z2166" s="133"/>
      <c r="AA2166" s="133"/>
    </row>
    <row r="2167" spans="1:27" hidden="1" x14ac:dyDescent="0.25">
      <c r="A2167" s="127">
        <v>2357</v>
      </c>
      <c r="B2167" s="128" t="str">
        <f t="shared" si="238"/>
        <v>TORT</v>
      </c>
      <c r="C2167" s="128">
        <f>+VLOOKUP(U2167,Ходим!A:B,2,0)</f>
        <v>30603862130011</v>
      </c>
      <c r="D2167" s="128" t="str">
        <f>IFERROR(VLOOKUP($B:$B,[20]свод!$A:$AB,3,0)," ")</f>
        <v>Тўрақўрғон тумани</v>
      </c>
      <c r="E2167" s="7" t="s">
        <v>3302</v>
      </c>
      <c r="F2167" s="7" t="s">
        <v>9676</v>
      </c>
      <c r="G2167" s="134">
        <f t="shared" si="235"/>
        <v>1</v>
      </c>
      <c r="H2167" s="134" t="str">
        <f t="shared" si="236"/>
        <v/>
      </c>
      <c r="I2167" s="7" t="s">
        <v>158</v>
      </c>
      <c r="J2167" s="7" t="s">
        <v>2</v>
      </c>
      <c r="K2167" s="7"/>
      <c r="L2167" s="7" t="s">
        <v>167</v>
      </c>
      <c r="M2167" s="7" t="s">
        <v>5648</v>
      </c>
      <c r="N2167" s="7" t="s">
        <v>170</v>
      </c>
      <c r="O2167" s="7" t="s">
        <v>162</v>
      </c>
      <c r="P2167" s="7" t="s">
        <v>7262</v>
      </c>
      <c r="Q2167" s="129">
        <v>46199</v>
      </c>
      <c r="R2167" s="130">
        <f t="shared" si="234"/>
        <v>46204</v>
      </c>
      <c r="S2167" s="131">
        <f t="shared" si="239"/>
        <v>5</v>
      </c>
      <c r="T2167" s="7" t="s">
        <v>203</v>
      </c>
      <c r="U2167" s="7" t="s">
        <v>950</v>
      </c>
      <c r="V2167" s="7"/>
      <c r="W2167" s="7">
        <v>167.71</v>
      </c>
      <c r="X2167" s="132">
        <f t="shared" si="237"/>
        <v>10</v>
      </c>
      <c r="Y2167" s="133"/>
      <c r="Z2167" s="133"/>
      <c r="AA2167" s="133"/>
    </row>
    <row r="2168" spans="1:27" hidden="1" x14ac:dyDescent="0.25">
      <c r="A2168" s="127">
        <v>2359</v>
      </c>
      <c r="B2168" s="128" t="str">
        <f t="shared" si="238"/>
        <v>POPT</v>
      </c>
      <c r="C2168" s="128" t="str">
        <f>+VLOOKUP(U2168,Ходим!A:B,2,0)</f>
        <v>30809922120031</v>
      </c>
      <c r="D2168" s="128" t="str">
        <f>IFERROR(VLOOKUP($B:$B,[20]свод!$A:$AB,3,0)," ")</f>
        <v>Поп тумани</v>
      </c>
      <c r="E2168" s="7" t="s">
        <v>3303</v>
      </c>
      <c r="F2168" s="7" t="s">
        <v>9677</v>
      </c>
      <c r="G2168" s="134">
        <f t="shared" si="235"/>
        <v>1</v>
      </c>
      <c r="H2168" s="134" t="str">
        <f t="shared" si="236"/>
        <v/>
      </c>
      <c r="I2168" s="7" t="s">
        <v>158</v>
      </c>
      <c r="J2168" s="7" t="s">
        <v>2</v>
      </c>
      <c r="K2168" s="7"/>
      <c r="L2168" s="7" t="s">
        <v>167</v>
      </c>
      <c r="M2168" s="7" t="s">
        <v>5649</v>
      </c>
      <c r="N2168" s="7" t="s">
        <v>170</v>
      </c>
      <c r="O2168" s="7" t="s">
        <v>162</v>
      </c>
      <c r="P2168" s="7" t="s">
        <v>7263</v>
      </c>
      <c r="Q2168" s="129">
        <v>46199</v>
      </c>
      <c r="R2168" s="130">
        <f t="shared" si="234"/>
        <v>46206</v>
      </c>
      <c r="S2168" s="131">
        <f t="shared" si="239"/>
        <v>7</v>
      </c>
      <c r="T2168" s="7" t="s">
        <v>240</v>
      </c>
      <c r="U2168" s="7" t="s">
        <v>339</v>
      </c>
      <c r="V2168" s="7"/>
      <c r="W2168" s="7">
        <v>341.6</v>
      </c>
      <c r="X2168" s="132">
        <f t="shared" si="237"/>
        <v>10</v>
      </c>
      <c r="Y2168" s="133"/>
      <c r="Z2168" s="133"/>
      <c r="AA2168" s="133"/>
    </row>
    <row r="2169" spans="1:27" hidden="1" x14ac:dyDescent="0.25">
      <c r="A2169" s="127">
        <v>2360</v>
      </c>
      <c r="B2169" s="128" t="str">
        <f t="shared" si="238"/>
        <v>UCQT</v>
      </c>
      <c r="C2169" s="128" t="str">
        <f>+VLOOKUP(U2169,Ходим!A:B,2,0)</f>
        <v>52405005940019</v>
      </c>
      <c r="D2169" s="128" t="str">
        <f>IFERROR(VLOOKUP($B:$B,[20]свод!$A:$AB,3,0)," ")</f>
        <v>Учқўрғон тумани</v>
      </c>
      <c r="E2169" s="7" t="s">
        <v>3304</v>
      </c>
      <c r="F2169" s="7" t="s">
        <v>9678</v>
      </c>
      <c r="G2169" s="134">
        <f t="shared" si="235"/>
        <v>1</v>
      </c>
      <c r="H2169" s="134" t="str">
        <f t="shared" si="236"/>
        <v/>
      </c>
      <c r="I2169" s="7" t="s">
        <v>158</v>
      </c>
      <c r="J2169" s="7" t="s">
        <v>12</v>
      </c>
      <c r="K2169" s="7"/>
      <c r="L2169" s="7" t="s">
        <v>167</v>
      </c>
      <c r="M2169" s="7" t="s">
        <v>5650</v>
      </c>
      <c r="N2169" s="7" t="s">
        <v>170</v>
      </c>
      <c r="O2169" s="7" t="s">
        <v>162</v>
      </c>
      <c r="P2169" s="7" t="s">
        <v>7264</v>
      </c>
      <c r="Q2169" s="129">
        <v>46199</v>
      </c>
      <c r="R2169" s="130">
        <f t="shared" si="234"/>
        <v>46209</v>
      </c>
      <c r="S2169" s="131">
        <f t="shared" si="239"/>
        <v>10</v>
      </c>
      <c r="T2169" s="7" t="s">
        <v>175</v>
      </c>
      <c r="U2169" s="7" t="s">
        <v>209</v>
      </c>
      <c r="V2169" s="7"/>
      <c r="W2169" s="7">
        <v>52.18</v>
      </c>
      <c r="X2169" s="132">
        <f t="shared" si="237"/>
        <v>10</v>
      </c>
      <c r="Y2169" s="133"/>
      <c r="Z2169" s="133"/>
      <c r="AA2169" s="133"/>
    </row>
    <row r="2170" spans="1:27" hidden="1" x14ac:dyDescent="0.25">
      <c r="A2170" s="127">
        <v>2361</v>
      </c>
      <c r="B2170" s="128" t="str">
        <f t="shared" si="238"/>
        <v>TORT</v>
      </c>
      <c r="C2170" s="128" t="str">
        <f>+VLOOKUP(U2170,Ходим!A:B,2,0)</f>
        <v>31704782130035</v>
      </c>
      <c r="D2170" s="128" t="str">
        <f>IFERROR(VLOOKUP($B:$B,[20]свод!$A:$AB,3,0)," ")</f>
        <v>Тўрақўрғон тумани</v>
      </c>
      <c r="E2170" s="7" t="s">
        <v>3305</v>
      </c>
      <c r="F2170" s="7" t="s">
        <v>9679</v>
      </c>
      <c r="G2170" s="134">
        <f t="shared" si="235"/>
        <v>1</v>
      </c>
      <c r="H2170" s="134" t="str">
        <f t="shared" si="236"/>
        <v/>
      </c>
      <c r="I2170" s="7" t="s">
        <v>158</v>
      </c>
      <c r="J2170" s="7" t="s">
        <v>2</v>
      </c>
      <c r="K2170" s="7"/>
      <c r="L2170" s="7" t="s">
        <v>167</v>
      </c>
      <c r="M2170" s="7" t="s">
        <v>5651</v>
      </c>
      <c r="N2170" s="7" t="s">
        <v>170</v>
      </c>
      <c r="O2170" s="7" t="s">
        <v>162</v>
      </c>
      <c r="P2170" s="7" t="s">
        <v>7265</v>
      </c>
      <c r="Q2170" s="129">
        <v>46199</v>
      </c>
      <c r="R2170" s="130">
        <f t="shared" si="234"/>
        <v>46206</v>
      </c>
      <c r="S2170" s="131">
        <f t="shared" si="239"/>
        <v>7</v>
      </c>
      <c r="T2170" s="7" t="s">
        <v>203</v>
      </c>
      <c r="U2170" s="7" t="s">
        <v>344</v>
      </c>
      <c r="V2170" s="7"/>
      <c r="W2170" s="7">
        <v>32.53</v>
      </c>
      <c r="X2170" s="132">
        <f t="shared" si="237"/>
        <v>10</v>
      </c>
      <c r="Y2170" s="133"/>
      <c r="Z2170" s="133"/>
      <c r="AA2170" s="133"/>
    </row>
    <row r="2171" spans="1:27" hidden="1" x14ac:dyDescent="0.25">
      <c r="A2171" s="127">
        <v>2362</v>
      </c>
      <c r="B2171" s="128" t="str">
        <f t="shared" si="238"/>
        <v>CHUT</v>
      </c>
      <c r="C2171" s="128" t="str">
        <f>+VLOOKUP(U2171,Ходим!A:B,2,0)</f>
        <v>32006862180015</v>
      </c>
      <c r="D2171" s="128" t="str">
        <f>IFERROR(VLOOKUP($B:$B,[20]свод!$A:$AB,3,0)," ")</f>
        <v>Чуст тумани</v>
      </c>
      <c r="E2171" s="7" t="s">
        <v>3306</v>
      </c>
      <c r="F2171" s="7" t="s">
        <v>9680</v>
      </c>
      <c r="G2171" s="134">
        <f t="shared" si="235"/>
        <v>1</v>
      </c>
      <c r="H2171" s="134" t="str">
        <f t="shared" si="236"/>
        <v/>
      </c>
      <c r="I2171" s="7" t="s">
        <v>158</v>
      </c>
      <c r="J2171" s="7" t="s">
        <v>172</v>
      </c>
      <c r="K2171" s="7"/>
      <c r="L2171" s="7" t="s">
        <v>167</v>
      </c>
      <c r="M2171" s="7" t="s">
        <v>5652</v>
      </c>
      <c r="N2171" s="7" t="s">
        <v>170</v>
      </c>
      <c r="O2171" s="7" t="s">
        <v>163</v>
      </c>
      <c r="P2171" s="7" t="s">
        <v>7266</v>
      </c>
      <c r="Q2171" s="129">
        <v>46199</v>
      </c>
      <c r="R2171" s="130">
        <f t="shared" si="234"/>
        <v>46204</v>
      </c>
      <c r="S2171" s="131">
        <f t="shared" si="239"/>
        <v>5</v>
      </c>
      <c r="T2171" s="7" t="s">
        <v>178</v>
      </c>
      <c r="U2171" s="7" t="s">
        <v>347</v>
      </c>
      <c r="V2171" s="7"/>
      <c r="W2171" s="7">
        <v>0</v>
      </c>
      <c r="X2171" s="132">
        <f t="shared" si="237"/>
        <v>10</v>
      </c>
      <c r="Y2171" s="133"/>
      <c r="Z2171" s="133"/>
      <c r="AA2171" s="133"/>
    </row>
    <row r="2172" spans="1:27" x14ac:dyDescent="0.25">
      <c r="A2172" s="127">
        <v>2363</v>
      </c>
      <c r="B2172" s="128" t="str">
        <f t="shared" si="238"/>
        <v>NAMS</v>
      </c>
      <c r="C2172" s="128" t="str">
        <f>+VLOOKUP(U2172,Ходим!A:B,2,0)</f>
        <v>51911035960011</v>
      </c>
      <c r="D2172" s="128" t="str">
        <f>IFERROR(VLOOKUP($B:$B,[20]свод!$A:$AB,3,0)," ")</f>
        <v>Наманган шаҳар</v>
      </c>
      <c r="E2172" s="7" t="s">
        <v>3307</v>
      </c>
      <c r="F2172" s="7" t="s">
        <v>9681</v>
      </c>
      <c r="G2172" s="134">
        <f t="shared" si="235"/>
        <v>1</v>
      </c>
      <c r="H2172" s="134" t="str">
        <f t="shared" si="236"/>
        <v/>
      </c>
      <c r="I2172" s="7" t="s">
        <v>158</v>
      </c>
      <c r="J2172" s="7" t="s">
        <v>55</v>
      </c>
      <c r="K2172" s="7" t="s">
        <v>10629</v>
      </c>
      <c r="L2172" s="7" t="s">
        <v>167</v>
      </c>
      <c r="M2172" s="7" t="s">
        <v>5653</v>
      </c>
      <c r="N2172" s="7" t="s">
        <v>170</v>
      </c>
      <c r="O2172" s="7" t="s">
        <v>162</v>
      </c>
      <c r="P2172" s="7" t="s">
        <v>7267</v>
      </c>
      <c r="Q2172" s="129">
        <v>46199</v>
      </c>
      <c r="R2172" s="130">
        <f t="shared" si="234"/>
        <v>46115</v>
      </c>
      <c r="S2172" s="131">
        <f t="shared" si="239"/>
        <v>-84</v>
      </c>
      <c r="T2172" s="7" t="s">
        <v>185</v>
      </c>
      <c r="U2172" s="7" t="s">
        <v>371</v>
      </c>
      <c r="V2172" s="7" t="s">
        <v>965</v>
      </c>
      <c r="W2172" s="7">
        <v>420.37</v>
      </c>
      <c r="X2172" s="132">
        <f t="shared" si="237"/>
        <v>5</v>
      </c>
      <c r="Y2172" s="133"/>
      <c r="Z2172" s="133"/>
      <c r="AA2172" s="133"/>
    </row>
    <row r="2173" spans="1:27" x14ac:dyDescent="0.25">
      <c r="A2173" s="127">
        <v>2364</v>
      </c>
      <c r="B2173" s="128" t="str">
        <f t="shared" si="238"/>
        <v>NAMS</v>
      </c>
      <c r="C2173" s="128" t="str">
        <f>+VLOOKUP(U2173,Ходим!A:B,2,0)</f>
        <v>33012942170121</v>
      </c>
      <c r="D2173" s="128" t="str">
        <f>IFERROR(VLOOKUP($B:$B,[20]свод!$A:$AB,3,0)," ")</f>
        <v>Наманган шаҳар</v>
      </c>
      <c r="E2173" s="7" t="s">
        <v>989</v>
      </c>
      <c r="F2173" s="7" t="s">
        <v>1010</v>
      </c>
      <c r="G2173" s="134">
        <f t="shared" si="235"/>
        <v>1</v>
      </c>
      <c r="H2173" s="134" t="str">
        <f t="shared" si="236"/>
        <v/>
      </c>
      <c r="I2173" s="7" t="s">
        <v>158</v>
      </c>
      <c r="J2173" s="7" t="s">
        <v>1137</v>
      </c>
      <c r="K2173" s="7"/>
      <c r="L2173" s="7" t="s">
        <v>167</v>
      </c>
      <c r="M2173" s="7" t="s">
        <v>5654</v>
      </c>
      <c r="N2173" s="7" t="s">
        <v>170</v>
      </c>
      <c r="O2173" s="7" t="s">
        <v>162</v>
      </c>
      <c r="P2173" s="7" t="s">
        <v>1013</v>
      </c>
      <c r="Q2173" s="129">
        <v>46199</v>
      </c>
      <c r="R2173" s="130">
        <f t="shared" si="234"/>
        <v>46181</v>
      </c>
      <c r="S2173" s="131">
        <f t="shared" si="239"/>
        <v>-18</v>
      </c>
      <c r="T2173" s="7" t="s">
        <v>185</v>
      </c>
      <c r="U2173" s="7" t="s">
        <v>259</v>
      </c>
      <c r="V2173" s="7" t="s">
        <v>359</v>
      </c>
      <c r="W2173" s="7">
        <v>471.56</v>
      </c>
      <c r="X2173" s="132">
        <f t="shared" si="237"/>
        <v>10</v>
      </c>
      <c r="Y2173" s="133"/>
      <c r="Z2173" s="133"/>
      <c r="AA2173" s="133"/>
    </row>
    <row r="2174" spans="1:27" hidden="1" x14ac:dyDescent="0.25">
      <c r="A2174" s="127">
        <v>2365</v>
      </c>
      <c r="B2174" s="128" t="str">
        <f t="shared" si="238"/>
        <v>NAMT</v>
      </c>
      <c r="C2174" s="128">
        <f>+VLOOKUP(U2174,Ходим!A:B,2,0)</f>
        <v>52908045880018</v>
      </c>
      <c r="D2174" s="128" t="str">
        <f>IFERROR(VLOOKUP($B:$B,[20]свод!$A:$AB,3,0)," ")</f>
        <v>Наманган тумани</v>
      </c>
      <c r="E2174" s="7" t="s">
        <v>3308</v>
      </c>
      <c r="F2174" s="7" t="s">
        <v>9682</v>
      </c>
      <c r="G2174" s="134">
        <f t="shared" si="235"/>
        <v>1</v>
      </c>
      <c r="H2174" s="134" t="str">
        <f t="shared" si="236"/>
        <v/>
      </c>
      <c r="I2174" s="7" t="s">
        <v>158</v>
      </c>
      <c r="J2174" s="7" t="s">
        <v>2</v>
      </c>
      <c r="K2174" s="7"/>
      <c r="L2174" s="7"/>
      <c r="M2174" s="7"/>
      <c r="N2174" s="7" t="s">
        <v>170</v>
      </c>
      <c r="O2174" s="7" t="s">
        <v>162</v>
      </c>
      <c r="P2174" s="7" t="s">
        <v>7268</v>
      </c>
      <c r="Q2174" s="129">
        <v>46199</v>
      </c>
      <c r="R2174" s="130">
        <f t="shared" si="234"/>
        <v>46206</v>
      </c>
      <c r="S2174" s="131">
        <f t="shared" si="239"/>
        <v>7</v>
      </c>
      <c r="T2174" s="7" t="s">
        <v>193</v>
      </c>
      <c r="U2174" s="7" t="s">
        <v>982</v>
      </c>
      <c r="V2174" s="7"/>
      <c r="W2174" s="7"/>
      <c r="X2174" s="132">
        <f t="shared" si="237"/>
        <v>10</v>
      </c>
      <c r="Y2174" s="133"/>
      <c r="Z2174" s="133"/>
      <c r="AA2174" s="133"/>
    </row>
    <row r="2175" spans="1:27" hidden="1" x14ac:dyDescent="0.25">
      <c r="A2175" s="127">
        <v>2366</v>
      </c>
      <c r="B2175" s="128" t="str">
        <f t="shared" si="238"/>
        <v>NAMS</v>
      </c>
      <c r="C2175" s="128" t="str">
        <f>+VLOOKUP(U2175,Ходим!A:B,2,0)</f>
        <v>30910985930021</v>
      </c>
      <c r="D2175" s="128" t="str">
        <f>IFERROR(VLOOKUP($B:$B,[20]свод!$A:$AB,3,0)," ")</f>
        <v>Наманган шаҳар</v>
      </c>
      <c r="E2175" s="7" t="s">
        <v>3309</v>
      </c>
      <c r="F2175" s="7" t="s">
        <v>9683</v>
      </c>
      <c r="G2175" s="134" t="str">
        <f t="shared" si="235"/>
        <v/>
      </c>
      <c r="H2175" s="134">
        <f t="shared" si="236"/>
        <v>1</v>
      </c>
      <c r="I2175" s="7" t="s">
        <v>157</v>
      </c>
      <c r="J2175" s="7" t="s">
        <v>12</v>
      </c>
      <c r="K2175" s="7"/>
      <c r="L2175" s="7" t="s">
        <v>166</v>
      </c>
      <c r="M2175" s="7" t="s">
        <v>5655</v>
      </c>
      <c r="N2175" s="7" t="s">
        <v>170</v>
      </c>
      <c r="O2175" s="7" t="s">
        <v>161</v>
      </c>
      <c r="P2175" s="7" t="s">
        <v>7269</v>
      </c>
      <c r="Q2175" s="129">
        <v>46199</v>
      </c>
      <c r="R2175" s="130">
        <f t="shared" si="234"/>
        <v>46202</v>
      </c>
      <c r="S2175" s="131">
        <f t="shared" si="239"/>
        <v>3</v>
      </c>
      <c r="T2175" s="7" t="s">
        <v>227</v>
      </c>
      <c r="U2175" s="7" t="s">
        <v>963</v>
      </c>
      <c r="V2175" s="7"/>
      <c r="W2175" s="7">
        <v>507.98</v>
      </c>
      <c r="X2175" s="132">
        <f t="shared" si="237"/>
        <v>12</v>
      </c>
      <c r="Y2175" s="133"/>
      <c r="Z2175" s="133"/>
      <c r="AA2175" s="133"/>
    </row>
    <row r="2176" spans="1:27" hidden="1" x14ac:dyDescent="0.25">
      <c r="A2176" s="127">
        <v>2367</v>
      </c>
      <c r="B2176" s="128" t="str">
        <f t="shared" si="238"/>
        <v>POPT</v>
      </c>
      <c r="C2176" s="128" t="str">
        <f>+VLOOKUP(U2176,Ходим!A:B,2,0)</f>
        <v>31710772120029</v>
      </c>
      <c r="D2176" s="128" t="str">
        <f>IFERROR(VLOOKUP($B:$B,[20]свод!$A:$AB,3,0)," ")</f>
        <v>Поп тумани</v>
      </c>
      <c r="E2176" s="7" t="s">
        <v>3310</v>
      </c>
      <c r="F2176" s="7" t="s">
        <v>9684</v>
      </c>
      <c r="G2176" s="134">
        <f t="shared" si="235"/>
        <v>1</v>
      </c>
      <c r="H2176" s="134" t="str">
        <f t="shared" si="236"/>
        <v/>
      </c>
      <c r="I2176" s="7" t="s">
        <v>154</v>
      </c>
      <c r="J2176" s="7" t="s">
        <v>36</v>
      </c>
      <c r="K2176" s="7"/>
      <c r="L2176" s="7" t="s">
        <v>167</v>
      </c>
      <c r="M2176" s="7" t="s">
        <v>5656</v>
      </c>
      <c r="N2176" s="7" t="s">
        <v>410</v>
      </c>
      <c r="O2176" s="7" t="s">
        <v>162</v>
      </c>
      <c r="P2176" s="7" t="s">
        <v>6330</v>
      </c>
      <c r="Q2176" s="129">
        <v>46199</v>
      </c>
      <c r="R2176" s="130">
        <f t="shared" si="234"/>
        <v>46204</v>
      </c>
      <c r="S2176" s="131">
        <f t="shared" si="239"/>
        <v>5</v>
      </c>
      <c r="T2176" s="7" t="s">
        <v>214</v>
      </c>
      <c r="U2176" s="7" t="s">
        <v>357</v>
      </c>
      <c r="V2176" s="7"/>
      <c r="W2176" s="7">
        <v>329.7</v>
      </c>
      <c r="X2176" s="132">
        <f t="shared" si="237"/>
        <v>10</v>
      </c>
      <c r="Y2176" s="133"/>
      <c r="Z2176" s="133"/>
      <c r="AA2176" s="133"/>
    </row>
    <row r="2177" spans="1:27" hidden="1" x14ac:dyDescent="0.25">
      <c r="A2177" s="127">
        <v>2368</v>
      </c>
      <c r="B2177" s="128" t="str">
        <f t="shared" si="238"/>
        <v>TORT</v>
      </c>
      <c r="C2177" s="128">
        <f>+VLOOKUP(U2177,Ходим!A:B,2,0)</f>
        <v>30603862130011</v>
      </c>
      <c r="D2177" s="128" t="str">
        <f>IFERROR(VLOOKUP($B:$B,[20]свод!$A:$AB,3,0)," ")</f>
        <v>Тўрақўрғон тумани</v>
      </c>
      <c r="E2177" s="7" t="s">
        <v>3311</v>
      </c>
      <c r="F2177" s="7" t="s">
        <v>9685</v>
      </c>
      <c r="G2177" s="134">
        <f t="shared" si="235"/>
        <v>1</v>
      </c>
      <c r="H2177" s="134" t="str">
        <f t="shared" si="236"/>
        <v/>
      </c>
      <c r="I2177" s="7" t="s">
        <v>158</v>
      </c>
      <c r="J2177" s="7" t="s">
        <v>12</v>
      </c>
      <c r="K2177" s="7"/>
      <c r="L2177" s="7" t="s">
        <v>167</v>
      </c>
      <c r="M2177" s="7" t="s">
        <v>993</v>
      </c>
      <c r="N2177" s="7" t="s">
        <v>170</v>
      </c>
      <c r="O2177" s="7" t="s">
        <v>163</v>
      </c>
      <c r="P2177" s="7" t="s">
        <v>6378</v>
      </c>
      <c r="Q2177" s="129">
        <v>46199</v>
      </c>
      <c r="R2177" s="130">
        <f t="shared" si="234"/>
        <v>46211</v>
      </c>
      <c r="S2177" s="131">
        <f t="shared" si="239"/>
        <v>12</v>
      </c>
      <c r="T2177" s="7" t="s">
        <v>203</v>
      </c>
      <c r="U2177" s="7" t="s">
        <v>950</v>
      </c>
      <c r="V2177" s="7"/>
      <c r="W2177" s="7">
        <v>186.75</v>
      </c>
      <c r="X2177" s="132">
        <f t="shared" si="237"/>
        <v>10</v>
      </c>
      <c r="Y2177" s="133"/>
      <c r="Z2177" s="133"/>
      <c r="AA2177" s="133"/>
    </row>
    <row r="2178" spans="1:27" hidden="1" x14ac:dyDescent="0.25">
      <c r="A2178" s="127">
        <v>2369</v>
      </c>
      <c r="B2178" s="128" t="str">
        <f t="shared" si="238"/>
        <v>TORT</v>
      </c>
      <c r="C2178" s="128" t="str">
        <f>+VLOOKUP(U2178,Ходим!A:B,2,0)</f>
        <v>31701915920077</v>
      </c>
      <c r="D2178" s="128" t="str">
        <f>IFERROR(VLOOKUP($B:$B,[20]свод!$A:$AB,3,0)," ")</f>
        <v>Тўрақўрғон тумани</v>
      </c>
      <c r="E2178" s="7" t="s">
        <v>3312</v>
      </c>
      <c r="F2178" s="7" t="s">
        <v>9686</v>
      </c>
      <c r="G2178" s="134">
        <f t="shared" si="235"/>
        <v>1</v>
      </c>
      <c r="H2178" s="134" t="str">
        <f t="shared" si="236"/>
        <v/>
      </c>
      <c r="I2178" s="7" t="s">
        <v>158</v>
      </c>
      <c r="J2178" s="7" t="s">
        <v>2</v>
      </c>
      <c r="K2178" s="7"/>
      <c r="L2178" s="7" t="s">
        <v>167</v>
      </c>
      <c r="M2178" s="7" t="s">
        <v>5657</v>
      </c>
      <c r="N2178" s="7" t="s">
        <v>170</v>
      </c>
      <c r="O2178" s="7" t="s">
        <v>162</v>
      </c>
      <c r="P2178" s="7" t="s">
        <v>7270</v>
      </c>
      <c r="Q2178" s="129">
        <v>46199</v>
      </c>
      <c r="R2178" s="130">
        <f t="shared" ref="R2178:R2238" si="240">WORKDAY(P2178,X2178,$Y$1:$AA$1)</f>
        <v>46203</v>
      </c>
      <c r="S2178" s="131">
        <f t="shared" si="239"/>
        <v>4</v>
      </c>
      <c r="T2178" s="7" t="s">
        <v>203</v>
      </c>
      <c r="U2178" s="7" t="s">
        <v>332</v>
      </c>
      <c r="V2178" s="7"/>
      <c r="W2178" s="7">
        <v>68</v>
      </c>
      <c r="X2178" s="132">
        <f t="shared" si="237"/>
        <v>10</v>
      </c>
      <c r="Y2178" s="133"/>
      <c r="Z2178" s="133"/>
      <c r="AA2178" s="133"/>
    </row>
    <row r="2179" spans="1:27" x14ac:dyDescent="0.25">
      <c r="A2179" s="127">
        <v>2370</v>
      </c>
      <c r="B2179" s="128" t="str">
        <f t="shared" si="238"/>
        <v>NAMS</v>
      </c>
      <c r="C2179" s="128" t="str">
        <f>+VLOOKUP(U2179,Ходим!A:B,2,0)</f>
        <v>31007955980023</v>
      </c>
      <c r="D2179" s="128" t="str">
        <f>IFERROR(VLOOKUP($B:$B,[20]свод!$A:$AB,3,0)," ")</f>
        <v>Наманган шаҳар</v>
      </c>
      <c r="E2179" s="7" t="s">
        <v>3313</v>
      </c>
      <c r="F2179" s="7" t="s">
        <v>9687</v>
      </c>
      <c r="G2179" s="134">
        <f t="shared" si="235"/>
        <v>1</v>
      </c>
      <c r="H2179" s="134" t="str">
        <f t="shared" si="236"/>
        <v/>
      </c>
      <c r="I2179" s="7" t="s">
        <v>158</v>
      </c>
      <c r="J2179" s="7" t="s">
        <v>55</v>
      </c>
      <c r="K2179" s="7"/>
      <c r="L2179" s="7" t="s">
        <v>167</v>
      </c>
      <c r="M2179" s="7" t="s">
        <v>5658</v>
      </c>
      <c r="N2179" s="7" t="s">
        <v>170</v>
      </c>
      <c r="O2179" s="7" t="s">
        <v>162</v>
      </c>
      <c r="P2179" s="7" t="s">
        <v>7271</v>
      </c>
      <c r="Q2179" s="129">
        <v>46199</v>
      </c>
      <c r="R2179" s="130">
        <f t="shared" si="240"/>
        <v>46197</v>
      </c>
      <c r="S2179" s="131">
        <f t="shared" si="239"/>
        <v>-2</v>
      </c>
      <c r="T2179" s="7" t="s">
        <v>185</v>
      </c>
      <c r="U2179" s="7" t="s">
        <v>207</v>
      </c>
      <c r="V2179" s="7" t="s">
        <v>359</v>
      </c>
      <c r="W2179" s="7">
        <v>333.17</v>
      </c>
      <c r="X2179" s="132">
        <f t="shared" si="237"/>
        <v>10</v>
      </c>
      <c r="Y2179" s="133"/>
      <c r="Z2179" s="133"/>
      <c r="AA2179" s="133"/>
    </row>
    <row r="2180" spans="1:27" x14ac:dyDescent="0.25">
      <c r="A2180" s="127">
        <v>2371</v>
      </c>
      <c r="B2180" s="128" t="str">
        <f t="shared" si="238"/>
        <v>NAMS</v>
      </c>
      <c r="C2180" s="128" t="str">
        <f>+VLOOKUP(U2180,Ходим!A:B,2,0)</f>
        <v>31007955980023</v>
      </c>
      <c r="D2180" s="128" t="str">
        <f>IFERROR(VLOOKUP($B:$B,[20]свод!$A:$AB,3,0)," ")</f>
        <v>Наманган шаҳар</v>
      </c>
      <c r="E2180" s="7" t="s">
        <v>3314</v>
      </c>
      <c r="F2180" s="7" t="s">
        <v>9688</v>
      </c>
      <c r="G2180" s="134">
        <f t="shared" si="235"/>
        <v>1</v>
      </c>
      <c r="H2180" s="134" t="str">
        <f t="shared" si="236"/>
        <v/>
      </c>
      <c r="I2180" s="7" t="s">
        <v>158</v>
      </c>
      <c r="J2180" s="7" t="s">
        <v>55</v>
      </c>
      <c r="K2180" s="7"/>
      <c r="L2180" s="7" t="s">
        <v>167</v>
      </c>
      <c r="M2180" s="7" t="s">
        <v>5659</v>
      </c>
      <c r="N2180" s="7" t="s">
        <v>170</v>
      </c>
      <c r="O2180" s="7" t="s">
        <v>162</v>
      </c>
      <c r="P2180" s="7" t="s">
        <v>7272</v>
      </c>
      <c r="Q2180" s="129">
        <v>46199</v>
      </c>
      <c r="R2180" s="130">
        <f t="shared" si="240"/>
        <v>46197</v>
      </c>
      <c r="S2180" s="131">
        <f t="shared" si="239"/>
        <v>-2</v>
      </c>
      <c r="T2180" s="7" t="s">
        <v>185</v>
      </c>
      <c r="U2180" s="7" t="s">
        <v>207</v>
      </c>
      <c r="V2180" s="7" t="s">
        <v>359</v>
      </c>
      <c r="W2180" s="7">
        <v>450.29</v>
      </c>
      <c r="X2180" s="132">
        <f t="shared" si="237"/>
        <v>10</v>
      </c>
      <c r="Y2180" s="133"/>
      <c r="Z2180" s="133"/>
      <c r="AA2180" s="133"/>
    </row>
    <row r="2181" spans="1:27" x14ac:dyDescent="0.25">
      <c r="A2181" s="127">
        <v>2372</v>
      </c>
      <c r="B2181" s="128" t="str">
        <f t="shared" si="238"/>
        <v>MINT</v>
      </c>
      <c r="C2181" s="128" t="str">
        <f>+VLOOKUP(U2181,Ходим!A:B,2,0)</f>
        <v>51604025990014</v>
      </c>
      <c r="D2181" s="128" t="str">
        <f>IFERROR(VLOOKUP($B:$B,[20]свод!$A:$AB,3,0)," ")</f>
        <v>Мингбулоқ тумани</v>
      </c>
      <c r="E2181" s="7" t="s">
        <v>3315</v>
      </c>
      <c r="F2181" s="7" t="s">
        <v>9689</v>
      </c>
      <c r="G2181" s="134">
        <f t="shared" si="235"/>
        <v>1</v>
      </c>
      <c r="H2181" s="134" t="str">
        <f t="shared" si="236"/>
        <v/>
      </c>
      <c r="I2181" s="7" t="s">
        <v>158</v>
      </c>
      <c r="J2181" s="7" t="s">
        <v>1</v>
      </c>
      <c r="K2181" s="7"/>
      <c r="L2181" s="7" t="s">
        <v>167</v>
      </c>
      <c r="M2181" s="7" t="s">
        <v>5660</v>
      </c>
      <c r="N2181" s="7" t="s">
        <v>170</v>
      </c>
      <c r="O2181" s="7" t="s">
        <v>162</v>
      </c>
      <c r="P2181" s="7" t="s">
        <v>7273</v>
      </c>
      <c r="Q2181" s="129">
        <v>46199</v>
      </c>
      <c r="R2181" s="130">
        <f t="shared" si="240"/>
        <v>46199</v>
      </c>
      <c r="S2181" s="131">
        <f t="shared" si="239"/>
        <v>0</v>
      </c>
      <c r="T2181" s="7" t="s">
        <v>220</v>
      </c>
      <c r="U2181" s="7" t="s">
        <v>252</v>
      </c>
      <c r="V2181" s="7"/>
      <c r="W2181" s="7">
        <v>144.22</v>
      </c>
      <c r="X2181" s="132">
        <f t="shared" si="237"/>
        <v>10</v>
      </c>
      <c r="Y2181" s="133"/>
      <c r="Z2181" s="133"/>
      <c r="AA2181" s="133"/>
    </row>
    <row r="2182" spans="1:27" hidden="1" x14ac:dyDescent="0.25">
      <c r="A2182" s="127">
        <v>2373</v>
      </c>
      <c r="B2182" s="128" t="str">
        <f t="shared" si="238"/>
        <v>TORT</v>
      </c>
      <c r="C2182" s="128" t="str">
        <f>+VLOOKUP(U2182,Ходим!A:B,2,0)</f>
        <v>30708792130017</v>
      </c>
      <c r="D2182" s="128" t="str">
        <f>IFERROR(VLOOKUP($B:$B,[20]свод!$A:$AB,3,0)," ")</f>
        <v>Тўрақўрғон тумани</v>
      </c>
      <c r="E2182" s="7" t="s">
        <v>3316</v>
      </c>
      <c r="F2182" s="7" t="s">
        <v>9690</v>
      </c>
      <c r="G2182" s="134">
        <f t="shared" ref="G2182:G2241" si="241">IF(OR(
I2182="Turar joy obyektning kadastr pasportini shakllantirish va davlat ro'yxatidan o'tkazish",
I2182="Turar kompozit"
),
1,
IF(OR(
I2182="Noturar kompozit",
I2182="Avtoyo'l va suv xo'jaligi obyektining kadastr pasportini shakllantirish va ro'yxatga olish",
I2182="Noturar obyektning kadastr pasportining kadastr pasportini shakllantirish va davlat ro'yxatidan o'tkazish"
),
"",
IF(OR(
I2182="Notarius uchun ma'lumotnoma (uz)",
I2182="Qurilishi tugallangan ko'chmas mulkni foydalanishga qabul qilish",
I2182="Umumiy foydalanishdagi ko'chmas mulk qismini yaratish",
I2182="Registratsiya (tashqi - UZKAD da bor)"
),
IF(OR(L2182="Turar yer maydoni",L2182="Yakka tartibdagi turar joy"),1,
IF(L2182="Noturar bino","",
IF(L2182="Noturar yer maydoni","",
IF(L2182="",IF(OR(O2182="Turar joy xizmati",O2182="Foydalanishga ruxsatnoma berish xizmati"),1,""),"")
))),
"")))</f>
        <v>1</v>
      </c>
      <c r="H2182" s="134" t="str">
        <f t="shared" ref="H2182:H2241" si="242">IF(OR(
I2182="Turar joy obyektning kadastr pasportini shakllantirish va davlat ro'yxatidan o'tkazish",
I2182="Turar kompozit"
),
"",
IF(OR(
I2182="Noturar kompozit",
I2182="Avtoyo'l va suv xo'jaligi obyektining kadastr pasportini shakllantirish va ro'yxatga olish",
I2182="Noturar obyektning kadastr pasportini shakllantirish va davlat ro'yxatidan o'tkazish"
),
1,
IF(OR(
I2182="Notarius uchun ma'lumotnoma (uz)",
I2182="Qurilishi tugallangan ko'chmas mulkni foydalanishga qabul qilish",
I2182="Umumiy foydalanishdagi ko'chmas mulk qismini yaratish",
I2182="Registratsiya (tashqi - UZKAD da bor)"
),
IF(OR(L2182="Turar yer maydoni",L2182="Yakka tartibdagi turar joy"),"",
IF(L2182="Noturar bino",1,
IF(L2182="Noturar yer maydoni",1,
IF(L2182="",IF(OR(O2182="Turar joy xizmati",O2182="Foydalanishga ruxsatnoma berish xizmati"),"",1),"")
))),
"")))</f>
        <v/>
      </c>
      <c r="I2182" s="7" t="s">
        <v>154</v>
      </c>
      <c r="J2182" s="7" t="s">
        <v>2</v>
      </c>
      <c r="K2182" s="7"/>
      <c r="L2182" s="7"/>
      <c r="M2182" s="7"/>
      <c r="N2182" s="7" t="s">
        <v>170</v>
      </c>
      <c r="O2182" s="7" t="s">
        <v>162</v>
      </c>
      <c r="P2182" s="7" t="s">
        <v>6719</v>
      </c>
      <c r="Q2182" s="129">
        <v>46199</v>
      </c>
      <c r="R2182" s="130">
        <f t="shared" si="240"/>
        <v>46212</v>
      </c>
      <c r="S2182" s="131">
        <f t="shared" si="239"/>
        <v>13</v>
      </c>
      <c r="T2182" s="7" t="s">
        <v>203</v>
      </c>
      <c r="U2182" s="7" t="s">
        <v>204</v>
      </c>
      <c r="V2182" s="7"/>
      <c r="W2182" s="7"/>
      <c r="X2182" s="132">
        <f t="shared" si="237"/>
        <v>10</v>
      </c>
      <c r="Y2182" s="133"/>
      <c r="Z2182" s="133"/>
      <c r="AA2182" s="133"/>
    </row>
    <row r="2183" spans="1:27" hidden="1" x14ac:dyDescent="0.25">
      <c r="A2183" s="127">
        <v>2374</v>
      </c>
      <c r="B2183" s="128" t="str">
        <f t="shared" si="238"/>
        <v>POPT</v>
      </c>
      <c r="C2183" s="128" t="str">
        <f>+VLOOKUP(U2183,Ходим!A:B,2,0)</f>
        <v>31503892210028</v>
      </c>
      <c r="D2183" s="128" t="str">
        <f>IFERROR(VLOOKUP($B:$B,[20]свод!$A:$AB,3,0)," ")</f>
        <v>Поп тумани</v>
      </c>
      <c r="E2183" s="7" t="s">
        <v>3317</v>
      </c>
      <c r="F2183" s="7" t="s">
        <v>9691</v>
      </c>
      <c r="G2183" s="134">
        <f t="shared" si="241"/>
        <v>1</v>
      </c>
      <c r="H2183" s="134" t="str">
        <f t="shared" si="242"/>
        <v/>
      </c>
      <c r="I2183" s="7" t="s">
        <v>158</v>
      </c>
      <c r="J2183" s="7" t="s">
        <v>36</v>
      </c>
      <c r="K2183" s="7"/>
      <c r="L2183" s="7" t="s">
        <v>167</v>
      </c>
      <c r="M2183" s="7" t="s">
        <v>5661</v>
      </c>
      <c r="N2183" s="7" t="s">
        <v>170</v>
      </c>
      <c r="O2183" s="7" t="s">
        <v>163</v>
      </c>
      <c r="P2183" s="7" t="s">
        <v>7274</v>
      </c>
      <c r="Q2183" s="129">
        <v>46199</v>
      </c>
      <c r="R2183" s="130">
        <f t="shared" si="240"/>
        <v>46209</v>
      </c>
      <c r="S2183" s="131">
        <f t="shared" si="239"/>
        <v>10</v>
      </c>
      <c r="T2183" s="7" t="s">
        <v>240</v>
      </c>
      <c r="U2183" s="7" t="s">
        <v>285</v>
      </c>
      <c r="V2183" s="7"/>
      <c r="W2183" s="7">
        <v>0</v>
      </c>
      <c r="X2183" s="132">
        <f t="shared" si="237"/>
        <v>10</v>
      </c>
      <c r="Y2183" s="133"/>
      <c r="Z2183" s="133"/>
      <c r="AA2183" s="133"/>
    </row>
    <row r="2184" spans="1:27" hidden="1" x14ac:dyDescent="0.25">
      <c r="A2184" s="127">
        <v>2376</v>
      </c>
      <c r="B2184" s="128" t="str">
        <f t="shared" si="238"/>
        <v>CHUT</v>
      </c>
      <c r="C2184" s="128" t="str">
        <f>+VLOOKUP(U2184,Ходим!A:B,2,0)</f>
        <v>30409785970022</v>
      </c>
      <c r="D2184" s="128" t="str">
        <f>IFERROR(VLOOKUP($B:$B,[20]свод!$A:$AB,3,0)," ")</f>
        <v>Чуст тумани</v>
      </c>
      <c r="E2184" s="7" t="s">
        <v>3318</v>
      </c>
      <c r="F2184" s="7" t="s">
        <v>9692</v>
      </c>
      <c r="G2184" s="134">
        <f t="shared" si="241"/>
        <v>1</v>
      </c>
      <c r="H2184" s="134" t="str">
        <f t="shared" si="242"/>
        <v/>
      </c>
      <c r="I2184" s="7" t="s">
        <v>158</v>
      </c>
      <c r="J2184" s="7" t="s">
        <v>172</v>
      </c>
      <c r="K2184" s="7"/>
      <c r="L2184" s="7" t="s">
        <v>167</v>
      </c>
      <c r="M2184" s="7" t="s">
        <v>5662</v>
      </c>
      <c r="N2184" s="7" t="s">
        <v>170</v>
      </c>
      <c r="O2184" s="7" t="s">
        <v>162</v>
      </c>
      <c r="P2184" s="7" t="s">
        <v>6887</v>
      </c>
      <c r="Q2184" s="129">
        <v>46199</v>
      </c>
      <c r="R2184" s="130">
        <f t="shared" si="240"/>
        <v>46205</v>
      </c>
      <c r="S2184" s="131">
        <f t="shared" si="239"/>
        <v>6</v>
      </c>
      <c r="T2184" s="7" t="s">
        <v>178</v>
      </c>
      <c r="U2184" s="7" t="s">
        <v>191</v>
      </c>
      <c r="V2184" s="7"/>
      <c r="W2184" s="7">
        <v>314.48</v>
      </c>
      <c r="X2184" s="132">
        <f t="shared" si="237"/>
        <v>10</v>
      </c>
      <c r="Y2184" s="133"/>
      <c r="Z2184" s="133"/>
      <c r="AA2184" s="133"/>
    </row>
    <row r="2185" spans="1:27" hidden="1" x14ac:dyDescent="0.25">
      <c r="A2185" s="127">
        <v>2377</v>
      </c>
      <c r="B2185" s="128" t="str">
        <f t="shared" si="238"/>
        <v>UYCT</v>
      </c>
      <c r="C2185" s="128" t="str">
        <f>+VLOOKUP(U2185,Ходим!A:B,2,0)</f>
        <v>31007942140083</v>
      </c>
      <c r="D2185" s="128" t="str">
        <f>IFERROR(VLOOKUP($B:$B,[20]свод!$A:$AB,3,0)," ")</f>
        <v>Уйчи тумани</v>
      </c>
      <c r="E2185" s="7" t="s">
        <v>3319</v>
      </c>
      <c r="F2185" s="7" t="s">
        <v>9693</v>
      </c>
      <c r="G2185" s="134">
        <f t="shared" si="241"/>
        <v>1</v>
      </c>
      <c r="H2185" s="134" t="str">
        <f t="shared" si="242"/>
        <v/>
      </c>
      <c r="I2185" s="7" t="s">
        <v>156</v>
      </c>
      <c r="J2185" s="7" t="s">
        <v>25</v>
      </c>
      <c r="K2185" s="7"/>
      <c r="L2185" s="7"/>
      <c r="M2185" s="7"/>
      <c r="N2185" s="7" t="s">
        <v>410</v>
      </c>
      <c r="O2185" s="7" t="s">
        <v>162</v>
      </c>
      <c r="P2185" s="7" t="s">
        <v>7275</v>
      </c>
      <c r="Q2185" s="129">
        <v>46199</v>
      </c>
      <c r="R2185" s="130">
        <f t="shared" si="240"/>
        <v>46212</v>
      </c>
      <c r="S2185" s="131">
        <f t="shared" si="239"/>
        <v>13</v>
      </c>
      <c r="T2185" s="7" t="s">
        <v>947</v>
      </c>
      <c r="U2185" s="7" t="s">
        <v>263</v>
      </c>
      <c r="V2185" s="7"/>
      <c r="W2185" s="7"/>
      <c r="X2185" s="132">
        <f t="shared" si="237"/>
        <v>10</v>
      </c>
      <c r="Y2185" s="133"/>
      <c r="Z2185" s="133"/>
      <c r="AA2185" s="133"/>
    </row>
    <row r="2186" spans="1:27" hidden="1" x14ac:dyDescent="0.25">
      <c r="A2186" s="127">
        <v>2378</v>
      </c>
      <c r="B2186" s="128" t="str">
        <f t="shared" si="238"/>
        <v>NAMS</v>
      </c>
      <c r="C2186" s="128" t="str">
        <f>+VLOOKUP(U2186,Ходим!A:B,2,0)</f>
        <v>30108932170088</v>
      </c>
      <c r="D2186" s="128" t="str">
        <f>IFERROR(VLOOKUP($B:$B,[20]свод!$A:$AB,3,0)," ")</f>
        <v>Наманган шаҳар</v>
      </c>
      <c r="E2186" s="7" t="s">
        <v>3320</v>
      </c>
      <c r="F2186" s="7" t="s">
        <v>9694</v>
      </c>
      <c r="G2186" s="134">
        <f t="shared" si="241"/>
        <v>1</v>
      </c>
      <c r="H2186" s="134" t="str">
        <f t="shared" si="242"/>
        <v/>
      </c>
      <c r="I2186" s="7" t="s">
        <v>156</v>
      </c>
      <c r="J2186" s="7" t="s">
        <v>25</v>
      </c>
      <c r="K2186" s="7"/>
      <c r="L2186" s="7" t="s">
        <v>167</v>
      </c>
      <c r="M2186" s="7" t="s">
        <v>5663</v>
      </c>
      <c r="N2186" s="7" t="s">
        <v>170</v>
      </c>
      <c r="O2186" s="7" t="s">
        <v>162</v>
      </c>
      <c r="P2186" s="7" t="s">
        <v>7275</v>
      </c>
      <c r="Q2186" s="129">
        <v>46199</v>
      </c>
      <c r="R2186" s="130">
        <f t="shared" si="240"/>
        <v>46212</v>
      </c>
      <c r="S2186" s="131">
        <f t="shared" si="239"/>
        <v>13</v>
      </c>
      <c r="T2186" s="7" t="s">
        <v>173</v>
      </c>
      <c r="U2186" s="7" t="s">
        <v>329</v>
      </c>
      <c r="V2186" s="7"/>
      <c r="W2186" s="7">
        <v>539.16</v>
      </c>
      <c r="X2186" s="132">
        <f t="shared" si="237"/>
        <v>10</v>
      </c>
      <c r="Y2186" s="133"/>
      <c r="Z2186" s="133"/>
      <c r="AA2186" s="133"/>
    </row>
    <row r="2187" spans="1:27" hidden="1" x14ac:dyDescent="0.25">
      <c r="A2187" s="127">
        <v>2379</v>
      </c>
      <c r="B2187" s="128" t="str">
        <f t="shared" si="238"/>
        <v>CHUT</v>
      </c>
      <c r="C2187" s="128" t="str">
        <f>+VLOOKUP(U2187,Ходим!A:B,2,0)</f>
        <v>31509882180058</v>
      </c>
      <c r="D2187" s="128" t="str">
        <f>IFERROR(VLOOKUP($B:$B,[20]свод!$A:$AB,3,0)," ")</f>
        <v>Чуст тумани</v>
      </c>
      <c r="E2187" s="7" t="s">
        <v>3321</v>
      </c>
      <c r="F2187" s="7" t="s">
        <v>9695</v>
      </c>
      <c r="G2187" s="134" t="str">
        <f t="shared" si="241"/>
        <v/>
      </c>
      <c r="H2187" s="134">
        <f t="shared" si="242"/>
        <v>1</v>
      </c>
      <c r="I2187" s="7" t="s">
        <v>154</v>
      </c>
      <c r="J2187" s="7" t="s">
        <v>35</v>
      </c>
      <c r="K2187" s="7"/>
      <c r="L2187" s="7" t="s">
        <v>166</v>
      </c>
      <c r="M2187" s="7" t="s">
        <v>5664</v>
      </c>
      <c r="N2187" s="7" t="s">
        <v>170</v>
      </c>
      <c r="O2187" s="7" t="s">
        <v>161</v>
      </c>
      <c r="P2187" s="7" t="s">
        <v>6526</v>
      </c>
      <c r="Q2187" s="129">
        <v>46199</v>
      </c>
      <c r="R2187" s="130">
        <f t="shared" si="240"/>
        <v>46209</v>
      </c>
      <c r="S2187" s="131">
        <f t="shared" si="239"/>
        <v>10</v>
      </c>
      <c r="T2187" s="7" t="s">
        <v>178</v>
      </c>
      <c r="U2187" s="7" t="s">
        <v>324</v>
      </c>
      <c r="V2187" s="7"/>
      <c r="W2187" s="7">
        <v>201.88</v>
      </c>
      <c r="X2187" s="132">
        <f t="shared" si="237"/>
        <v>12</v>
      </c>
      <c r="Y2187" s="133"/>
      <c r="Z2187" s="133"/>
      <c r="AA2187" s="133"/>
    </row>
    <row r="2188" spans="1:27" hidden="1" x14ac:dyDescent="0.25">
      <c r="A2188" s="127">
        <v>2380</v>
      </c>
      <c r="B2188" s="128" t="str">
        <f t="shared" si="238"/>
        <v>NAMS</v>
      </c>
      <c r="C2188" s="128" t="str">
        <f>+VLOOKUP(U2188,Ходим!A:B,2,0)</f>
        <v>31309942170160</v>
      </c>
      <c r="D2188" s="128" t="str">
        <f>IFERROR(VLOOKUP($B:$B,[20]свод!$A:$AB,3,0)," ")</f>
        <v>Наманган шаҳар</v>
      </c>
      <c r="E2188" s="7" t="s">
        <v>3322</v>
      </c>
      <c r="F2188" s="7" t="s">
        <v>9696</v>
      </c>
      <c r="G2188" s="134" t="str">
        <f t="shared" si="241"/>
        <v/>
      </c>
      <c r="H2188" s="134">
        <f t="shared" si="242"/>
        <v>1</v>
      </c>
      <c r="I2188" s="7" t="s">
        <v>157</v>
      </c>
      <c r="J2188" s="7" t="s">
        <v>1</v>
      </c>
      <c r="K2188" s="7"/>
      <c r="L2188" s="7" t="s">
        <v>166</v>
      </c>
      <c r="M2188" s="7" t="s">
        <v>5665</v>
      </c>
      <c r="N2188" s="7" t="s">
        <v>170</v>
      </c>
      <c r="O2188" s="7" t="s">
        <v>161</v>
      </c>
      <c r="P2188" s="7" t="s">
        <v>7276</v>
      </c>
      <c r="Q2188" s="129">
        <v>46199</v>
      </c>
      <c r="R2188" s="130">
        <f t="shared" si="240"/>
        <v>46205</v>
      </c>
      <c r="S2188" s="131">
        <f t="shared" si="239"/>
        <v>6</v>
      </c>
      <c r="T2188" s="7" t="s">
        <v>227</v>
      </c>
      <c r="U2188" s="7" t="s">
        <v>333</v>
      </c>
      <c r="V2188" s="7"/>
      <c r="W2188" s="7">
        <v>3138</v>
      </c>
      <c r="X2188" s="132">
        <f t="shared" si="237"/>
        <v>17</v>
      </c>
      <c r="Y2188" s="133"/>
      <c r="Z2188" s="133"/>
      <c r="AA2188" s="133"/>
    </row>
    <row r="2189" spans="1:27" hidden="1" x14ac:dyDescent="0.25">
      <c r="A2189" s="127">
        <v>2381</v>
      </c>
      <c r="B2189" s="128" t="str">
        <f t="shared" si="238"/>
        <v>CHUT</v>
      </c>
      <c r="C2189" s="128" t="str">
        <f>+VLOOKUP(U2189,Ходим!A:B,2,0)</f>
        <v>32304995970021</v>
      </c>
      <c r="D2189" s="128" t="str">
        <f>IFERROR(VLOOKUP($B:$B,[20]свод!$A:$AB,3,0)," ")</f>
        <v>Чуст тумани</v>
      </c>
      <c r="E2189" s="7" t="s">
        <v>3323</v>
      </c>
      <c r="F2189" s="7" t="s">
        <v>9697</v>
      </c>
      <c r="G2189" s="134">
        <f t="shared" si="241"/>
        <v>1</v>
      </c>
      <c r="H2189" s="134" t="str">
        <f t="shared" si="242"/>
        <v/>
      </c>
      <c r="I2189" s="7" t="s">
        <v>158</v>
      </c>
      <c r="J2189" s="7" t="s">
        <v>1</v>
      </c>
      <c r="K2189" s="7"/>
      <c r="L2189" s="7" t="s">
        <v>167</v>
      </c>
      <c r="M2189" s="7" t="s">
        <v>5666</v>
      </c>
      <c r="N2189" s="7" t="s">
        <v>170</v>
      </c>
      <c r="O2189" s="7" t="s">
        <v>162</v>
      </c>
      <c r="P2189" s="7" t="s">
        <v>6608</v>
      </c>
      <c r="Q2189" s="129">
        <v>46199</v>
      </c>
      <c r="R2189" s="130">
        <f t="shared" si="240"/>
        <v>46205</v>
      </c>
      <c r="S2189" s="131">
        <f t="shared" si="239"/>
        <v>6</v>
      </c>
      <c r="T2189" s="7" t="s">
        <v>178</v>
      </c>
      <c r="U2189" s="7" t="s">
        <v>938</v>
      </c>
      <c r="V2189" s="7"/>
      <c r="W2189" s="7">
        <v>440.75</v>
      </c>
      <c r="X2189" s="132">
        <f t="shared" si="237"/>
        <v>10</v>
      </c>
      <c r="Y2189" s="133"/>
      <c r="Z2189" s="133"/>
      <c r="AA2189" s="133"/>
    </row>
    <row r="2190" spans="1:27" hidden="1" x14ac:dyDescent="0.25">
      <c r="A2190" s="127">
        <v>2382</v>
      </c>
      <c r="B2190" s="128" t="str">
        <f t="shared" si="238"/>
        <v>UCQT</v>
      </c>
      <c r="C2190" s="128" t="str">
        <f>+VLOOKUP(U2190,Ходим!A:B,2,0)</f>
        <v>32805962150027</v>
      </c>
      <c r="D2190" s="128" t="str">
        <f>IFERROR(VLOOKUP($B:$B,[20]свод!$A:$AB,3,0)," ")</f>
        <v>Учқўрғон тумани</v>
      </c>
      <c r="E2190" s="7" t="s">
        <v>3324</v>
      </c>
      <c r="F2190" s="7" t="s">
        <v>9698</v>
      </c>
      <c r="G2190" s="134">
        <f t="shared" si="241"/>
        <v>1</v>
      </c>
      <c r="H2190" s="134" t="str">
        <f t="shared" si="242"/>
        <v/>
      </c>
      <c r="I2190" s="7" t="s">
        <v>158</v>
      </c>
      <c r="J2190" s="7" t="s">
        <v>2</v>
      </c>
      <c r="K2190" s="7"/>
      <c r="L2190" s="7" t="s">
        <v>167</v>
      </c>
      <c r="M2190" s="7" t="s">
        <v>5667</v>
      </c>
      <c r="N2190" s="7" t="s">
        <v>170</v>
      </c>
      <c r="O2190" s="7" t="s">
        <v>162</v>
      </c>
      <c r="P2190" s="7" t="s">
        <v>6309</v>
      </c>
      <c r="Q2190" s="129">
        <v>46199</v>
      </c>
      <c r="R2190" s="130">
        <f t="shared" si="240"/>
        <v>46204</v>
      </c>
      <c r="S2190" s="131">
        <f t="shared" si="239"/>
        <v>5</v>
      </c>
      <c r="T2190" s="7" t="s">
        <v>175</v>
      </c>
      <c r="U2190" s="7" t="s">
        <v>369</v>
      </c>
      <c r="V2190" s="7"/>
      <c r="W2190" s="7">
        <v>414.5</v>
      </c>
      <c r="X2190" s="132">
        <f t="shared" si="237"/>
        <v>10</v>
      </c>
      <c r="Y2190" s="133"/>
      <c r="Z2190" s="133"/>
      <c r="AA2190" s="133"/>
    </row>
    <row r="2191" spans="1:27" hidden="1" x14ac:dyDescent="0.25">
      <c r="A2191" s="127">
        <v>2383</v>
      </c>
      <c r="B2191" s="128" t="str">
        <f t="shared" si="238"/>
        <v>TORT</v>
      </c>
      <c r="C2191" s="128" t="str">
        <f>+VLOOKUP(U2191,Ходим!A:B,2,0)</f>
        <v>32211772130034</v>
      </c>
      <c r="D2191" s="128" t="str">
        <f>IFERROR(VLOOKUP($B:$B,[20]свод!$A:$AB,3,0)," ")</f>
        <v>Тўрақўрғон тумани</v>
      </c>
      <c r="E2191" s="7" t="s">
        <v>3325</v>
      </c>
      <c r="F2191" s="7" t="s">
        <v>9699</v>
      </c>
      <c r="G2191" s="134">
        <f t="shared" si="241"/>
        <v>1</v>
      </c>
      <c r="H2191" s="134" t="str">
        <f t="shared" si="242"/>
        <v/>
      </c>
      <c r="I2191" s="7" t="s">
        <v>158</v>
      </c>
      <c r="J2191" s="7" t="s">
        <v>2</v>
      </c>
      <c r="K2191" s="7"/>
      <c r="L2191" s="7" t="s">
        <v>167</v>
      </c>
      <c r="M2191" s="7" t="s">
        <v>5668</v>
      </c>
      <c r="N2191" s="7" t="s">
        <v>170</v>
      </c>
      <c r="O2191" s="7" t="s">
        <v>162</v>
      </c>
      <c r="P2191" s="7" t="s">
        <v>6781</v>
      </c>
      <c r="Q2191" s="129">
        <v>46199</v>
      </c>
      <c r="R2191" s="130">
        <f t="shared" si="240"/>
        <v>46206</v>
      </c>
      <c r="S2191" s="131">
        <f t="shared" si="239"/>
        <v>7</v>
      </c>
      <c r="T2191" s="7" t="s">
        <v>203</v>
      </c>
      <c r="U2191" s="7" t="s">
        <v>270</v>
      </c>
      <c r="V2191" s="7"/>
      <c r="W2191" s="7">
        <v>219.14</v>
      </c>
      <c r="X2191" s="132">
        <f t="shared" si="237"/>
        <v>10</v>
      </c>
      <c r="Y2191" s="133"/>
      <c r="Z2191" s="133"/>
      <c r="AA2191" s="133"/>
    </row>
    <row r="2192" spans="1:27" hidden="1" x14ac:dyDescent="0.25">
      <c r="A2192" s="127">
        <v>2384</v>
      </c>
      <c r="B2192" s="128" t="str">
        <f t="shared" si="238"/>
        <v>NAMS</v>
      </c>
      <c r="C2192" s="128" t="str">
        <f>+VLOOKUP(U2192,Ходим!A:B,2,0)</f>
        <v>30302942170072</v>
      </c>
      <c r="D2192" s="128" t="str">
        <f>IFERROR(VLOOKUP($B:$B,[20]свод!$A:$AB,3,0)," ")</f>
        <v>Наманган шаҳар</v>
      </c>
      <c r="E2192" s="7" t="s">
        <v>3326</v>
      </c>
      <c r="F2192" s="7" t="s">
        <v>9700</v>
      </c>
      <c r="G2192" s="134" t="str">
        <f t="shared" si="241"/>
        <v/>
      </c>
      <c r="H2192" s="134">
        <f t="shared" si="242"/>
        <v>1</v>
      </c>
      <c r="I2192" s="7" t="s">
        <v>157</v>
      </c>
      <c r="J2192" s="7" t="s">
        <v>2</v>
      </c>
      <c r="K2192" s="7"/>
      <c r="L2192" s="7"/>
      <c r="M2192" s="7"/>
      <c r="N2192" s="7" t="s">
        <v>410</v>
      </c>
      <c r="O2192" s="7" t="s">
        <v>161</v>
      </c>
      <c r="P2192" s="7" t="s">
        <v>7277</v>
      </c>
      <c r="Q2192" s="129">
        <v>46199</v>
      </c>
      <c r="R2192" s="130">
        <f t="shared" si="240"/>
        <v>46209</v>
      </c>
      <c r="S2192" s="131">
        <f t="shared" si="239"/>
        <v>10</v>
      </c>
      <c r="T2192" s="7" t="s">
        <v>173</v>
      </c>
      <c r="U2192" s="7" t="s">
        <v>325</v>
      </c>
      <c r="V2192" s="7"/>
      <c r="W2192" s="7"/>
      <c r="X2192" s="132">
        <f t="shared" si="237"/>
        <v>10</v>
      </c>
      <c r="Y2192" s="133"/>
      <c r="Z2192" s="133"/>
      <c r="AA2192" s="133"/>
    </row>
    <row r="2193" spans="1:27" hidden="1" x14ac:dyDescent="0.25">
      <c r="A2193" s="127">
        <v>2386</v>
      </c>
      <c r="B2193" s="128" t="str">
        <f t="shared" si="238"/>
        <v>UCQT</v>
      </c>
      <c r="C2193" s="128" t="str">
        <f>+VLOOKUP(U2193,Ходим!A:B,2,0)</f>
        <v>32805962150027</v>
      </c>
      <c r="D2193" s="128" t="str">
        <f>IFERROR(VLOOKUP($B:$B,[20]свод!$A:$AB,3,0)," ")</f>
        <v>Учқўрғон тумани</v>
      </c>
      <c r="E2193" s="7" t="s">
        <v>3327</v>
      </c>
      <c r="F2193" s="7" t="s">
        <v>9701</v>
      </c>
      <c r="G2193" s="134">
        <f t="shared" si="241"/>
        <v>1</v>
      </c>
      <c r="H2193" s="134" t="str">
        <f t="shared" si="242"/>
        <v/>
      </c>
      <c r="I2193" s="7" t="s">
        <v>158</v>
      </c>
      <c r="J2193" s="7" t="s">
        <v>2</v>
      </c>
      <c r="K2193" s="7"/>
      <c r="L2193" s="7" t="s">
        <v>167</v>
      </c>
      <c r="M2193" s="7" t="s">
        <v>5669</v>
      </c>
      <c r="N2193" s="7" t="s">
        <v>170</v>
      </c>
      <c r="O2193" s="7" t="s">
        <v>162</v>
      </c>
      <c r="P2193" s="7" t="s">
        <v>6320</v>
      </c>
      <c r="Q2193" s="129">
        <v>46199</v>
      </c>
      <c r="R2193" s="130">
        <f t="shared" si="240"/>
        <v>46204</v>
      </c>
      <c r="S2193" s="131">
        <f t="shared" si="239"/>
        <v>5</v>
      </c>
      <c r="T2193" s="7" t="s">
        <v>175</v>
      </c>
      <c r="U2193" s="7" t="s">
        <v>369</v>
      </c>
      <c r="V2193" s="7"/>
      <c r="W2193" s="7">
        <v>215.47</v>
      </c>
      <c r="X2193" s="132">
        <f t="shared" si="237"/>
        <v>10</v>
      </c>
      <c r="Y2193" s="133"/>
      <c r="Z2193" s="133"/>
      <c r="AA2193" s="133"/>
    </row>
    <row r="2194" spans="1:27" hidden="1" x14ac:dyDescent="0.25">
      <c r="A2194" s="127">
        <v>2387</v>
      </c>
      <c r="B2194" s="128" t="str">
        <f t="shared" si="238"/>
        <v>UCQT</v>
      </c>
      <c r="C2194" s="128" t="str">
        <f>+VLOOKUP(U2194,Ходим!A:B,2,0)</f>
        <v>32805962150027</v>
      </c>
      <c r="D2194" s="128" t="str">
        <f>IFERROR(VLOOKUP($B:$B,[20]свод!$A:$AB,3,0)," ")</f>
        <v>Учқўрғон тумани</v>
      </c>
      <c r="E2194" s="7" t="s">
        <v>3328</v>
      </c>
      <c r="F2194" s="7" t="s">
        <v>9702</v>
      </c>
      <c r="G2194" s="134">
        <f t="shared" si="241"/>
        <v>1</v>
      </c>
      <c r="H2194" s="134" t="str">
        <f t="shared" si="242"/>
        <v/>
      </c>
      <c r="I2194" s="7" t="s">
        <v>158</v>
      </c>
      <c r="J2194" s="7" t="s">
        <v>2</v>
      </c>
      <c r="K2194" s="7"/>
      <c r="L2194" s="7" t="s">
        <v>167</v>
      </c>
      <c r="M2194" s="7" t="s">
        <v>5670</v>
      </c>
      <c r="N2194" s="7" t="s">
        <v>170</v>
      </c>
      <c r="O2194" s="7" t="s">
        <v>162</v>
      </c>
      <c r="P2194" s="7" t="s">
        <v>6290</v>
      </c>
      <c r="Q2194" s="129">
        <v>46199</v>
      </c>
      <c r="R2194" s="130">
        <f t="shared" si="240"/>
        <v>46204</v>
      </c>
      <c r="S2194" s="131">
        <f t="shared" si="239"/>
        <v>5</v>
      </c>
      <c r="T2194" s="7" t="s">
        <v>175</v>
      </c>
      <c r="U2194" s="7" t="s">
        <v>369</v>
      </c>
      <c r="V2194" s="7"/>
      <c r="W2194" s="7">
        <v>222.21</v>
      </c>
      <c r="X2194" s="132">
        <f t="shared" si="237"/>
        <v>10</v>
      </c>
      <c r="Y2194" s="133"/>
      <c r="Z2194" s="133"/>
      <c r="AA2194" s="133"/>
    </row>
    <row r="2195" spans="1:27" hidden="1" x14ac:dyDescent="0.25">
      <c r="A2195" s="127">
        <v>2388</v>
      </c>
      <c r="B2195" s="128" t="str">
        <f t="shared" si="238"/>
        <v>CHUT</v>
      </c>
      <c r="C2195" s="128" t="str">
        <f>+VLOOKUP(U2195,Ходим!A:B,2,0)</f>
        <v>50309005970046</v>
      </c>
      <c r="D2195" s="128" t="str">
        <f>IFERROR(VLOOKUP($B:$B,[20]свод!$A:$AB,3,0)," ")</f>
        <v>Чуст тумани</v>
      </c>
      <c r="E2195" s="7" t="s">
        <v>3329</v>
      </c>
      <c r="F2195" s="7" t="s">
        <v>9703</v>
      </c>
      <c r="G2195" s="134">
        <f t="shared" si="241"/>
        <v>1</v>
      </c>
      <c r="H2195" s="134" t="str">
        <f t="shared" si="242"/>
        <v/>
      </c>
      <c r="I2195" s="7" t="s">
        <v>158</v>
      </c>
      <c r="J2195" s="7" t="s">
        <v>172</v>
      </c>
      <c r="K2195" s="7"/>
      <c r="L2195" s="7" t="s">
        <v>167</v>
      </c>
      <c r="M2195" s="7" t="s">
        <v>5671</v>
      </c>
      <c r="N2195" s="7" t="s">
        <v>170</v>
      </c>
      <c r="O2195" s="7" t="s">
        <v>162</v>
      </c>
      <c r="P2195" s="7" t="s">
        <v>6526</v>
      </c>
      <c r="Q2195" s="129">
        <v>46199</v>
      </c>
      <c r="R2195" s="130">
        <f t="shared" si="240"/>
        <v>46205</v>
      </c>
      <c r="S2195" s="131">
        <f t="shared" si="239"/>
        <v>6</v>
      </c>
      <c r="T2195" s="7" t="s">
        <v>178</v>
      </c>
      <c r="U2195" s="7" t="s">
        <v>290</v>
      </c>
      <c r="V2195" s="7"/>
      <c r="W2195" s="7">
        <v>269.49</v>
      </c>
      <c r="X2195" s="132">
        <f t="shared" si="237"/>
        <v>10</v>
      </c>
      <c r="Y2195" s="133"/>
      <c r="Z2195" s="133"/>
      <c r="AA2195" s="133"/>
    </row>
    <row r="2196" spans="1:27" hidden="1" x14ac:dyDescent="0.25">
      <c r="A2196" s="127">
        <v>2389</v>
      </c>
      <c r="B2196" s="128" t="str">
        <f t="shared" si="238"/>
        <v>UCQT</v>
      </c>
      <c r="C2196" s="128" t="str">
        <f>+VLOOKUP(U2196,Ходим!A:B,2,0)</f>
        <v>30307955940049</v>
      </c>
      <c r="D2196" s="128" t="str">
        <f>IFERROR(VLOOKUP($B:$B,[20]свод!$A:$AB,3,0)," ")</f>
        <v>Учқўрғон тумани</v>
      </c>
      <c r="E2196" s="7" t="s">
        <v>3330</v>
      </c>
      <c r="F2196" s="7" t="s">
        <v>9704</v>
      </c>
      <c r="G2196" s="134">
        <f t="shared" si="241"/>
        <v>1</v>
      </c>
      <c r="H2196" s="134" t="str">
        <f t="shared" si="242"/>
        <v/>
      </c>
      <c r="I2196" s="7" t="s">
        <v>158</v>
      </c>
      <c r="J2196" s="7" t="s">
        <v>2</v>
      </c>
      <c r="K2196" s="7"/>
      <c r="L2196" s="7" t="s">
        <v>167</v>
      </c>
      <c r="M2196" s="7" t="s">
        <v>5672</v>
      </c>
      <c r="N2196" s="7" t="s">
        <v>170</v>
      </c>
      <c r="O2196" s="7" t="s">
        <v>162</v>
      </c>
      <c r="P2196" s="7" t="s">
        <v>6419</v>
      </c>
      <c r="Q2196" s="129">
        <v>46199</v>
      </c>
      <c r="R2196" s="130">
        <f t="shared" si="240"/>
        <v>46204</v>
      </c>
      <c r="S2196" s="131">
        <f t="shared" si="239"/>
        <v>5</v>
      </c>
      <c r="T2196" s="7" t="s">
        <v>175</v>
      </c>
      <c r="U2196" s="7" t="s">
        <v>306</v>
      </c>
      <c r="V2196" s="7"/>
      <c r="W2196" s="7">
        <v>207.96</v>
      </c>
      <c r="X2196" s="132">
        <f t="shared" si="237"/>
        <v>10</v>
      </c>
      <c r="Y2196" s="133"/>
      <c r="Z2196" s="133"/>
      <c r="AA2196" s="133"/>
    </row>
    <row r="2197" spans="1:27" hidden="1" x14ac:dyDescent="0.25">
      <c r="A2197" s="127">
        <v>2390</v>
      </c>
      <c r="B2197" s="128" t="str">
        <f t="shared" si="238"/>
        <v>UCQT</v>
      </c>
      <c r="C2197" s="128">
        <f>+VLOOKUP(U2197,Ходим!A:B,2,0)</f>
        <v>52107015940019</v>
      </c>
      <c r="D2197" s="128" t="str">
        <f>IFERROR(VLOOKUP($B:$B,[20]свод!$A:$AB,3,0)," ")</f>
        <v>Учқўрғон тумани</v>
      </c>
      <c r="E2197" s="7" t="s">
        <v>3331</v>
      </c>
      <c r="F2197" s="7" t="s">
        <v>9705</v>
      </c>
      <c r="G2197" s="134">
        <f t="shared" si="241"/>
        <v>1</v>
      </c>
      <c r="H2197" s="134" t="str">
        <f t="shared" si="242"/>
        <v/>
      </c>
      <c r="I2197" s="7" t="s">
        <v>158</v>
      </c>
      <c r="J2197" s="7" t="s">
        <v>2</v>
      </c>
      <c r="K2197" s="7"/>
      <c r="L2197" s="7" t="s">
        <v>167</v>
      </c>
      <c r="M2197" s="7" t="s">
        <v>5673</v>
      </c>
      <c r="N2197" s="7" t="s">
        <v>170</v>
      </c>
      <c r="O2197" s="7" t="s">
        <v>162</v>
      </c>
      <c r="P2197" s="7" t="s">
        <v>6458</v>
      </c>
      <c r="Q2197" s="129">
        <v>46199</v>
      </c>
      <c r="R2197" s="130">
        <f t="shared" si="240"/>
        <v>46204</v>
      </c>
      <c r="S2197" s="131">
        <f t="shared" si="239"/>
        <v>5</v>
      </c>
      <c r="T2197" s="7" t="s">
        <v>175</v>
      </c>
      <c r="U2197" s="7" t="s">
        <v>361</v>
      </c>
      <c r="V2197" s="7"/>
      <c r="W2197" s="7">
        <v>252.53</v>
      </c>
      <c r="X2197" s="132">
        <f t="shared" ref="X2197:X2257" si="243">IF(N2197="Kadastr muhandisi",3,
IF(N2197="UZKAD",5,
IF(V2197="FREE",5,
IF(I2197="Registratsiya (tashqi - UZKAD da bor)",1,
IF(I2197="Avtoyo'l va suv xo'jaligi obyektining kadastr pasportini shakllantirish va ro'yxatga olish",7,
IF(I2197="Notarius uchun ma'lumotnoma (uz)",1,
IF(I2197="Qurilishi tugallangan ko'chmas mulkni foydalanishga qabul qilish",10,
IF(OR(I2197="Turar joy obyektning kadastr pasportini shakllantirish va davlat ro'yxatidan o'tkazish",I2197="Turar kompozit"),
IF(L2197="Turar yer maydoni",7,10),
IF(OR(I2197="Noturar obyektning kadastr pasportini shakllantirish va davlat ro'yxatidan o'tkazish",I2197="Noturar kompozit"),
IF(O2197="Ko‘p yillik daraxtlar xizmati",15,
IF(OR(L2197="Noturar yer maydoni",L2197="Davlat tashkilotlaridan ijaraga olingan yer uchastkasi"),7,
IF(W2197&lt;100,10,IF(W2197&lt;=1000,12,IF(W2197&lt;=5000,17,IF(W2197&lt;=15000,22,IF(W2197&lt;=50000,28,37))))))),
IF(I2197="Umumiy foydalanishdagi ko'chmas mulk qismini yaratish",
IF(IF(TRIM(L2197)="",IF(OR(O2197="Turar joy xizmati",O2197="Yakka tartibdagi turar joy"),"Turar","Noturar"),IF(OR(L2197="Yakka tartibdagi turar joy",L2197="Turar joy xizmati"),"Turar","Noturar"))="Turar",
10,IF(W2197&lt;100,10,IF(W2197&lt;=1000,12,IF(W2197&lt;=5000,17,IF(W2197&lt;=15000,22,IF(W2197&lt;=50000,28,37)))))),
0))))))))))</f>
        <v>10</v>
      </c>
      <c r="Y2197" s="133"/>
      <c r="Z2197" s="133"/>
      <c r="AA2197" s="133"/>
    </row>
    <row r="2198" spans="1:27" hidden="1" x14ac:dyDescent="0.25">
      <c r="A2198" s="127">
        <v>2391</v>
      </c>
      <c r="B2198" s="128" t="str">
        <f t="shared" ref="B2198:B2257" si="244">LEFT(E2198,4)</f>
        <v>UCQT</v>
      </c>
      <c r="C2198" s="128" t="str">
        <f>+VLOOKUP(U2198,Ходим!A:B,2,0)</f>
        <v>31402915940019</v>
      </c>
      <c r="D2198" s="128" t="str">
        <f>IFERROR(VLOOKUP($B:$B,[20]свод!$A:$AB,3,0)," ")</f>
        <v>Учқўрғон тумани</v>
      </c>
      <c r="E2198" s="7" t="s">
        <v>3332</v>
      </c>
      <c r="F2198" s="7" t="s">
        <v>9706</v>
      </c>
      <c r="G2198" s="134">
        <f t="shared" si="241"/>
        <v>1</v>
      </c>
      <c r="H2198" s="134" t="str">
        <f t="shared" si="242"/>
        <v/>
      </c>
      <c r="I2198" s="7" t="s">
        <v>158</v>
      </c>
      <c r="J2198" s="7" t="s">
        <v>172</v>
      </c>
      <c r="K2198" s="7"/>
      <c r="L2198" s="7" t="s">
        <v>167</v>
      </c>
      <c r="M2198" s="7" t="s">
        <v>5674</v>
      </c>
      <c r="N2198" s="7" t="s">
        <v>170</v>
      </c>
      <c r="O2198" s="7" t="s">
        <v>162</v>
      </c>
      <c r="P2198" s="7" t="s">
        <v>6644</v>
      </c>
      <c r="Q2198" s="129">
        <v>46199</v>
      </c>
      <c r="R2198" s="130">
        <f t="shared" si="240"/>
        <v>46204</v>
      </c>
      <c r="S2198" s="131">
        <f t="shared" ref="S2198:S2257" si="245">R2198-Q2198</f>
        <v>5</v>
      </c>
      <c r="T2198" s="7" t="s">
        <v>175</v>
      </c>
      <c r="U2198" s="7" t="s">
        <v>292</v>
      </c>
      <c r="V2198" s="7"/>
      <c r="W2198" s="7">
        <v>441.43</v>
      </c>
      <c r="X2198" s="132">
        <f t="shared" si="243"/>
        <v>10</v>
      </c>
      <c r="Y2198" s="133"/>
      <c r="Z2198" s="133"/>
      <c r="AA2198" s="133"/>
    </row>
    <row r="2199" spans="1:27" hidden="1" x14ac:dyDescent="0.25">
      <c r="A2199" s="127">
        <v>2392</v>
      </c>
      <c r="B2199" s="128" t="str">
        <f t="shared" si="244"/>
        <v>UCQT</v>
      </c>
      <c r="C2199" s="128" t="str">
        <f>+VLOOKUP(U2199,Ходим!A:B,2,0)</f>
        <v>52405005940019</v>
      </c>
      <c r="D2199" s="128" t="str">
        <f>IFERROR(VLOOKUP($B:$B,[20]свод!$A:$AB,3,0)," ")</f>
        <v>Учқўрғон тумани</v>
      </c>
      <c r="E2199" s="7" t="s">
        <v>3333</v>
      </c>
      <c r="F2199" s="7" t="s">
        <v>9707</v>
      </c>
      <c r="G2199" s="134">
        <f t="shared" si="241"/>
        <v>1</v>
      </c>
      <c r="H2199" s="134" t="str">
        <f t="shared" si="242"/>
        <v/>
      </c>
      <c r="I2199" s="7" t="s">
        <v>158</v>
      </c>
      <c r="J2199" s="7" t="s">
        <v>2</v>
      </c>
      <c r="K2199" s="7"/>
      <c r="L2199" s="7" t="s">
        <v>167</v>
      </c>
      <c r="M2199" s="7" t="s">
        <v>5675</v>
      </c>
      <c r="N2199" s="7" t="s">
        <v>170</v>
      </c>
      <c r="O2199" s="7" t="s">
        <v>162</v>
      </c>
      <c r="P2199" s="7" t="s">
        <v>6334</v>
      </c>
      <c r="Q2199" s="129">
        <v>46199</v>
      </c>
      <c r="R2199" s="130">
        <f t="shared" si="240"/>
        <v>46204</v>
      </c>
      <c r="S2199" s="131">
        <f t="shared" si="245"/>
        <v>5</v>
      </c>
      <c r="T2199" s="7" t="s">
        <v>175</v>
      </c>
      <c r="U2199" s="7" t="s">
        <v>209</v>
      </c>
      <c r="V2199" s="7"/>
      <c r="W2199" s="7">
        <v>198</v>
      </c>
      <c r="X2199" s="132">
        <f t="shared" si="243"/>
        <v>10</v>
      </c>
      <c r="Y2199" s="133"/>
      <c r="Z2199" s="133"/>
      <c r="AA2199" s="133"/>
    </row>
    <row r="2200" spans="1:27" hidden="1" x14ac:dyDescent="0.25">
      <c r="A2200" s="127">
        <v>2393</v>
      </c>
      <c r="B2200" s="128" t="str">
        <f t="shared" si="244"/>
        <v>UCQT</v>
      </c>
      <c r="C2200" s="128" t="str">
        <f>+VLOOKUP(U2200,Ходим!A:B,2,0)</f>
        <v>51107025940051</v>
      </c>
      <c r="D2200" s="128" t="str">
        <f>IFERROR(VLOOKUP($B:$B,[20]свод!$A:$AB,3,0)," ")</f>
        <v>Учқўрғон тумани</v>
      </c>
      <c r="E2200" s="7" t="s">
        <v>3334</v>
      </c>
      <c r="F2200" s="7" t="s">
        <v>9708</v>
      </c>
      <c r="G2200" s="134">
        <f t="shared" si="241"/>
        <v>1</v>
      </c>
      <c r="H2200" s="134" t="str">
        <f t="shared" si="242"/>
        <v/>
      </c>
      <c r="I2200" s="7" t="s">
        <v>158</v>
      </c>
      <c r="J2200" s="7" t="s">
        <v>36</v>
      </c>
      <c r="K2200" s="7"/>
      <c r="L2200" s="7" t="s">
        <v>167</v>
      </c>
      <c r="M2200" s="7" t="s">
        <v>5676</v>
      </c>
      <c r="N2200" s="7" t="s">
        <v>170</v>
      </c>
      <c r="O2200" s="7" t="s">
        <v>162</v>
      </c>
      <c r="P2200" s="7" t="s">
        <v>7278</v>
      </c>
      <c r="Q2200" s="129">
        <v>46199</v>
      </c>
      <c r="R2200" s="130">
        <f t="shared" si="240"/>
        <v>46204</v>
      </c>
      <c r="S2200" s="131">
        <f t="shared" si="245"/>
        <v>5</v>
      </c>
      <c r="T2200" s="7" t="s">
        <v>175</v>
      </c>
      <c r="U2200" s="7" t="s">
        <v>296</v>
      </c>
      <c r="V2200" s="7"/>
      <c r="W2200" s="7">
        <v>280</v>
      </c>
      <c r="X2200" s="132">
        <f t="shared" si="243"/>
        <v>10</v>
      </c>
      <c r="Y2200" s="133"/>
      <c r="Z2200" s="133"/>
      <c r="AA2200" s="133"/>
    </row>
    <row r="2201" spans="1:27" hidden="1" x14ac:dyDescent="0.25">
      <c r="A2201" s="127">
        <v>2394</v>
      </c>
      <c r="B2201" s="128" t="str">
        <f t="shared" si="244"/>
        <v>YGQT</v>
      </c>
      <c r="C2201" s="128" t="e">
        <f>+VLOOKUP(U2201,Ходим!A:B,2,0)</f>
        <v>#N/A</v>
      </c>
      <c r="D2201" s="128" t="str">
        <f>IFERROR(VLOOKUP($B:$B,[20]свод!$A:$AB,3,0)," ")</f>
        <v>Янгиқўрғон тумани</v>
      </c>
      <c r="E2201" s="7" t="s">
        <v>3335</v>
      </c>
      <c r="F2201" s="7" t="s">
        <v>9709</v>
      </c>
      <c r="G2201" s="134">
        <f t="shared" si="241"/>
        <v>1</v>
      </c>
      <c r="H2201" s="134" t="str">
        <f t="shared" si="242"/>
        <v/>
      </c>
      <c r="I2201" s="7" t="s">
        <v>156</v>
      </c>
      <c r="J2201" s="7" t="s">
        <v>11</v>
      </c>
      <c r="K2201" s="7"/>
      <c r="L2201" s="7"/>
      <c r="M2201" s="7"/>
      <c r="N2201" s="7" t="s">
        <v>170</v>
      </c>
      <c r="O2201" s="7" t="s">
        <v>162</v>
      </c>
      <c r="P2201" s="7" t="s">
        <v>7279</v>
      </c>
      <c r="Q2201" s="129">
        <v>46199</v>
      </c>
      <c r="R2201" s="130">
        <f t="shared" si="240"/>
        <v>46212</v>
      </c>
      <c r="S2201" s="131">
        <f t="shared" si="245"/>
        <v>13</v>
      </c>
      <c r="T2201" s="7"/>
      <c r="U2201" s="7"/>
      <c r="V2201" s="7"/>
      <c r="W2201" s="7"/>
      <c r="X2201" s="132">
        <f t="shared" si="243"/>
        <v>10</v>
      </c>
      <c r="Y2201" s="133"/>
      <c r="Z2201" s="133"/>
      <c r="AA2201" s="133"/>
    </row>
    <row r="2202" spans="1:27" hidden="1" x14ac:dyDescent="0.25">
      <c r="A2202" s="127">
        <v>2395</v>
      </c>
      <c r="B2202" s="128" t="str">
        <f t="shared" si="244"/>
        <v>UCQT</v>
      </c>
      <c r="C2202" s="128" t="str">
        <f>+VLOOKUP(U2202,Ходим!A:B,2,0)</f>
        <v>42005872150022</v>
      </c>
      <c r="D2202" s="128" t="str">
        <f>IFERROR(VLOOKUP($B:$B,[20]свод!$A:$AB,3,0)," ")</f>
        <v>Учқўрғон тумани</v>
      </c>
      <c r="E2202" s="7" t="s">
        <v>3336</v>
      </c>
      <c r="F2202" s="7" t="s">
        <v>9710</v>
      </c>
      <c r="G2202" s="134">
        <f t="shared" si="241"/>
        <v>1</v>
      </c>
      <c r="H2202" s="134" t="str">
        <f t="shared" si="242"/>
        <v/>
      </c>
      <c r="I2202" s="7" t="s">
        <v>158</v>
      </c>
      <c r="J2202" s="7" t="s">
        <v>172</v>
      </c>
      <c r="K2202" s="7"/>
      <c r="L2202" s="7" t="s">
        <v>167</v>
      </c>
      <c r="M2202" s="7" t="s">
        <v>5677</v>
      </c>
      <c r="N2202" s="7" t="s">
        <v>170</v>
      </c>
      <c r="O2202" s="7" t="s">
        <v>163</v>
      </c>
      <c r="P2202" s="7" t="s">
        <v>6668</v>
      </c>
      <c r="Q2202" s="129">
        <v>46199</v>
      </c>
      <c r="R2202" s="130">
        <f t="shared" si="240"/>
        <v>46204</v>
      </c>
      <c r="S2202" s="131">
        <f t="shared" si="245"/>
        <v>5</v>
      </c>
      <c r="T2202" s="7" t="s">
        <v>175</v>
      </c>
      <c r="U2202" s="7" t="s">
        <v>176</v>
      </c>
      <c r="V2202" s="7"/>
      <c r="W2202" s="7">
        <v>228.2</v>
      </c>
      <c r="X2202" s="132">
        <f t="shared" si="243"/>
        <v>10</v>
      </c>
      <c r="Y2202" s="133"/>
      <c r="Z2202" s="133"/>
      <c r="AA2202" s="133"/>
    </row>
    <row r="2203" spans="1:27" hidden="1" x14ac:dyDescent="0.25">
      <c r="A2203" s="127">
        <v>2396</v>
      </c>
      <c r="B2203" s="128" t="str">
        <f t="shared" si="244"/>
        <v>YGQT</v>
      </c>
      <c r="C2203" s="128" t="str">
        <f>+VLOOKUP(U2203,Ходим!A:B,2,0)</f>
        <v>30101922100050</v>
      </c>
      <c r="D2203" s="128" t="str">
        <f>IFERROR(VLOOKUP($B:$B,[20]свод!$A:$AB,3,0)," ")</f>
        <v>Янгиқўрғон тумани</v>
      </c>
      <c r="E2203" s="7" t="s">
        <v>3337</v>
      </c>
      <c r="F2203" s="7" t="s">
        <v>9711</v>
      </c>
      <c r="G2203" s="134">
        <f t="shared" si="241"/>
        <v>1</v>
      </c>
      <c r="H2203" s="134" t="str">
        <f t="shared" si="242"/>
        <v/>
      </c>
      <c r="I2203" s="7" t="s">
        <v>158</v>
      </c>
      <c r="J2203" s="7" t="s">
        <v>134</v>
      </c>
      <c r="K2203" s="7"/>
      <c r="L2203" s="7" t="s">
        <v>167</v>
      </c>
      <c r="M2203" s="7" t="s">
        <v>382</v>
      </c>
      <c r="N2203" s="7" t="s">
        <v>170</v>
      </c>
      <c r="O2203" s="7" t="s">
        <v>162</v>
      </c>
      <c r="P2203" s="7" t="s">
        <v>7182</v>
      </c>
      <c r="Q2203" s="129">
        <v>46199</v>
      </c>
      <c r="R2203" s="130">
        <f t="shared" si="240"/>
        <v>46203</v>
      </c>
      <c r="S2203" s="131">
        <f t="shared" si="245"/>
        <v>4</v>
      </c>
      <c r="T2203" s="7" t="s">
        <v>255</v>
      </c>
      <c r="U2203" s="7" t="s">
        <v>265</v>
      </c>
      <c r="V2203" s="7"/>
      <c r="W2203" s="7">
        <v>0</v>
      </c>
      <c r="X2203" s="132">
        <f t="shared" si="243"/>
        <v>10</v>
      </c>
      <c r="Y2203" s="133"/>
      <c r="Z2203" s="133"/>
      <c r="AA2203" s="133"/>
    </row>
    <row r="2204" spans="1:27" x14ac:dyDescent="0.25">
      <c r="A2204" s="127">
        <v>2397</v>
      </c>
      <c r="B2204" s="128" t="str">
        <f t="shared" si="244"/>
        <v>CHUT</v>
      </c>
      <c r="C2204" s="128" t="str">
        <f>+VLOOKUP(U2204,Ходим!A:B,2,0)</f>
        <v>31312912180061</v>
      </c>
      <c r="D2204" s="128" t="str">
        <f>IFERROR(VLOOKUP($B:$B,[20]свод!$A:$AB,3,0)," ")</f>
        <v>Чуст тумани</v>
      </c>
      <c r="E2204" s="7" t="s">
        <v>3338</v>
      </c>
      <c r="F2204" s="7" t="s">
        <v>9712</v>
      </c>
      <c r="G2204" s="134" t="str">
        <f t="shared" si="241"/>
        <v/>
      </c>
      <c r="H2204" s="134">
        <f t="shared" si="242"/>
        <v>1</v>
      </c>
      <c r="I2204" s="7" t="s">
        <v>157</v>
      </c>
      <c r="J2204" s="7" t="s">
        <v>17</v>
      </c>
      <c r="K2204" s="7"/>
      <c r="L2204" s="7" t="s">
        <v>168</v>
      </c>
      <c r="M2204" s="7" t="s">
        <v>5678</v>
      </c>
      <c r="N2204" s="7" t="s">
        <v>170</v>
      </c>
      <c r="O2204" s="7" t="s">
        <v>161</v>
      </c>
      <c r="P2204" s="7" t="s">
        <v>7205</v>
      </c>
      <c r="Q2204" s="129">
        <v>46199</v>
      </c>
      <c r="R2204" s="130">
        <f t="shared" si="240"/>
        <v>46198</v>
      </c>
      <c r="S2204" s="131">
        <f t="shared" si="245"/>
        <v>-1</v>
      </c>
      <c r="T2204" s="7" t="s">
        <v>178</v>
      </c>
      <c r="U2204" s="7" t="s">
        <v>202</v>
      </c>
      <c r="V2204" s="7"/>
      <c r="W2204" s="7">
        <v>0</v>
      </c>
      <c r="X2204" s="132">
        <f t="shared" si="243"/>
        <v>7</v>
      </c>
      <c r="Y2204" s="133"/>
      <c r="Z2204" s="133"/>
      <c r="AA2204" s="133"/>
    </row>
    <row r="2205" spans="1:27" hidden="1" x14ac:dyDescent="0.25">
      <c r="A2205" s="127">
        <v>2398</v>
      </c>
      <c r="B2205" s="128" t="str">
        <f t="shared" si="244"/>
        <v>MINT</v>
      </c>
      <c r="C2205" s="128" t="e">
        <f>+VLOOKUP(U2205,Ходим!A:B,2,0)</f>
        <v>#N/A</v>
      </c>
      <c r="D2205" s="128" t="str">
        <f>IFERROR(VLOOKUP($B:$B,[20]свод!$A:$AB,3,0)," ")</f>
        <v>Мингбулоқ тумани</v>
      </c>
      <c r="E2205" s="7" t="s">
        <v>3339</v>
      </c>
      <c r="F2205" s="7" t="s">
        <v>9713</v>
      </c>
      <c r="G2205" s="134">
        <f t="shared" si="241"/>
        <v>1</v>
      </c>
      <c r="H2205" s="134" t="str">
        <f t="shared" si="242"/>
        <v/>
      </c>
      <c r="I2205" s="7" t="s">
        <v>159</v>
      </c>
      <c r="J2205" s="7" t="s">
        <v>137</v>
      </c>
      <c r="K2205" s="7"/>
      <c r="L2205" s="7"/>
      <c r="M2205" s="7"/>
      <c r="N2205" s="7" t="s">
        <v>410</v>
      </c>
      <c r="O2205" s="7" t="s">
        <v>163</v>
      </c>
      <c r="P2205" s="7" t="s">
        <v>7280</v>
      </c>
      <c r="Q2205" s="129">
        <v>46199</v>
      </c>
      <c r="R2205" s="130">
        <f t="shared" si="240"/>
        <v>46212</v>
      </c>
      <c r="S2205" s="131">
        <f t="shared" si="245"/>
        <v>13</v>
      </c>
      <c r="T2205" s="7"/>
      <c r="U2205" s="7"/>
      <c r="V2205" s="7"/>
      <c r="W2205" s="7"/>
      <c r="X2205" s="132">
        <f t="shared" si="243"/>
        <v>10</v>
      </c>
      <c r="Y2205" s="133"/>
      <c r="Z2205" s="133"/>
      <c r="AA2205" s="133"/>
    </row>
    <row r="2206" spans="1:27" hidden="1" x14ac:dyDescent="0.25">
      <c r="A2206" s="127">
        <v>2399</v>
      </c>
      <c r="B2206" s="128" t="str">
        <f t="shared" si="244"/>
        <v>YGQT</v>
      </c>
      <c r="C2206" s="128" t="str">
        <f>+VLOOKUP(U2206,Ходим!A:B,2,0)</f>
        <v>32806922160043</v>
      </c>
      <c r="D2206" s="128" t="str">
        <f>IFERROR(VLOOKUP($B:$B,[20]свод!$A:$AB,3,0)," ")</f>
        <v>Янгиқўрғон тумани</v>
      </c>
      <c r="E2206" s="7" t="s">
        <v>3340</v>
      </c>
      <c r="F2206" s="7" t="s">
        <v>9714</v>
      </c>
      <c r="G2206" s="134">
        <f t="shared" si="241"/>
        <v>1</v>
      </c>
      <c r="H2206" s="134" t="str">
        <f t="shared" si="242"/>
        <v/>
      </c>
      <c r="I2206" s="7" t="s">
        <v>158</v>
      </c>
      <c r="J2206" s="7" t="s">
        <v>2</v>
      </c>
      <c r="K2206" s="7"/>
      <c r="L2206" s="7" t="s">
        <v>167</v>
      </c>
      <c r="M2206" s="7" t="s">
        <v>5679</v>
      </c>
      <c r="N2206" s="7" t="s">
        <v>170</v>
      </c>
      <c r="O2206" s="7" t="s">
        <v>162</v>
      </c>
      <c r="P2206" s="7" t="s">
        <v>6818</v>
      </c>
      <c r="Q2206" s="129">
        <v>46199</v>
      </c>
      <c r="R2206" s="130">
        <f t="shared" si="240"/>
        <v>46206</v>
      </c>
      <c r="S2206" s="131">
        <f t="shared" si="245"/>
        <v>7</v>
      </c>
      <c r="T2206" s="7" t="s">
        <v>255</v>
      </c>
      <c r="U2206" s="7" t="s">
        <v>186</v>
      </c>
      <c r="V2206" s="7"/>
      <c r="W2206" s="7">
        <v>197.67</v>
      </c>
      <c r="X2206" s="132">
        <f t="shared" si="243"/>
        <v>10</v>
      </c>
      <c r="Y2206" s="133"/>
      <c r="Z2206" s="133"/>
      <c r="AA2206" s="133"/>
    </row>
    <row r="2207" spans="1:27" hidden="1" x14ac:dyDescent="0.25">
      <c r="A2207" s="127">
        <v>2400</v>
      </c>
      <c r="B2207" s="128" t="str">
        <f t="shared" si="244"/>
        <v>POPT</v>
      </c>
      <c r="C2207" s="128" t="str">
        <f>+VLOOKUP(U2207,Ходим!A:B,2,0)</f>
        <v>31503892210028</v>
      </c>
      <c r="D2207" s="128" t="str">
        <f>IFERROR(VLOOKUP($B:$B,[20]свод!$A:$AB,3,0)," ")</f>
        <v>Поп тумани</v>
      </c>
      <c r="E2207" s="7" t="s">
        <v>3341</v>
      </c>
      <c r="F2207" s="7" t="s">
        <v>9715</v>
      </c>
      <c r="G2207" s="134" t="str">
        <f t="shared" si="241"/>
        <v/>
      </c>
      <c r="H2207" s="134">
        <f t="shared" si="242"/>
        <v>1</v>
      </c>
      <c r="I2207" s="7" t="s">
        <v>157</v>
      </c>
      <c r="J2207" s="7" t="s">
        <v>36</v>
      </c>
      <c r="K2207" s="7"/>
      <c r="L2207" s="7" t="s">
        <v>166</v>
      </c>
      <c r="M2207" s="7" t="s">
        <v>5680</v>
      </c>
      <c r="N2207" s="7" t="s">
        <v>410</v>
      </c>
      <c r="O2207" s="7" t="s">
        <v>161</v>
      </c>
      <c r="P2207" s="7" t="s">
        <v>6794</v>
      </c>
      <c r="Q2207" s="129">
        <v>46199</v>
      </c>
      <c r="R2207" s="130">
        <f t="shared" si="240"/>
        <v>46212</v>
      </c>
      <c r="S2207" s="131">
        <f t="shared" si="245"/>
        <v>13</v>
      </c>
      <c r="T2207" s="7" t="s">
        <v>214</v>
      </c>
      <c r="U2207" s="7" t="s">
        <v>285</v>
      </c>
      <c r="V2207" s="7"/>
      <c r="W2207" s="7">
        <v>0</v>
      </c>
      <c r="X2207" s="132">
        <f t="shared" si="243"/>
        <v>10</v>
      </c>
      <c r="Y2207" s="133"/>
      <c r="Z2207" s="133"/>
      <c r="AA2207" s="133"/>
    </row>
    <row r="2208" spans="1:27" hidden="1" x14ac:dyDescent="0.25">
      <c r="A2208" s="127">
        <v>2401</v>
      </c>
      <c r="B2208" s="128" t="str">
        <f t="shared" si="244"/>
        <v>MINT</v>
      </c>
      <c r="C2208" s="128" t="str">
        <f>+VLOOKUP(U2208,Ходим!A:B,2,0)</f>
        <v>30906922130016</v>
      </c>
      <c r="D2208" s="128" t="str">
        <f>IFERROR(VLOOKUP($B:$B,[20]свод!$A:$AB,3,0)," ")</f>
        <v>Мингбулоқ тумани</v>
      </c>
      <c r="E2208" s="7" t="s">
        <v>3342</v>
      </c>
      <c r="F2208" s="7" t="s">
        <v>9716</v>
      </c>
      <c r="G2208" s="134">
        <f t="shared" si="241"/>
        <v>1</v>
      </c>
      <c r="H2208" s="134" t="str">
        <f t="shared" si="242"/>
        <v/>
      </c>
      <c r="I2208" s="7" t="s">
        <v>158</v>
      </c>
      <c r="J2208" s="7" t="s">
        <v>2</v>
      </c>
      <c r="K2208" s="7"/>
      <c r="L2208" s="7" t="s">
        <v>167</v>
      </c>
      <c r="M2208" s="7" t="s">
        <v>5681</v>
      </c>
      <c r="N2208" s="7" t="s">
        <v>410</v>
      </c>
      <c r="O2208" s="7" t="s">
        <v>162</v>
      </c>
      <c r="P2208" s="7" t="s">
        <v>7281</v>
      </c>
      <c r="Q2208" s="129">
        <v>46199</v>
      </c>
      <c r="R2208" s="130">
        <f t="shared" si="240"/>
        <v>46206</v>
      </c>
      <c r="S2208" s="131">
        <f t="shared" si="245"/>
        <v>7</v>
      </c>
      <c r="T2208" s="7" t="s">
        <v>220</v>
      </c>
      <c r="U2208" s="7" t="s">
        <v>178</v>
      </c>
      <c r="V2208" s="7"/>
      <c r="W2208" s="7">
        <v>220.4</v>
      </c>
      <c r="X2208" s="132">
        <f t="shared" si="243"/>
        <v>10</v>
      </c>
      <c r="Y2208" s="133"/>
      <c r="Z2208" s="133"/>
      <c r="AA2208" s="133"/>
    </row>
    <row r="2209" spans="1:27" hidden="1" x14ac:dyDescent="0.25">
      <c r="A2209" s="127">
        <v>2402</v>
      </c>
      <c r="B2209" s="128" t="str">
        <f t="shared" si="244"/>
        <v>TORT</v>
      </c>
      <c r="C2209" s="128" t="str">
        <f>+VLOOKUP(U2209,Ходим!A:B,2,0)</f>
        <v>40302922130046</v>
      </c>
      <c r="D2209" s="128" t="str">
        <f>IFERROR(VLOOKUP($B:$B,[20]свод!$A:$AB,3,0)," ")</f>
        <v>Тўрақўрғон тумани</v>
      </c>
      <c r="E2209" s="7" t="s">
        <v>3343</v>
      </c>
      <c r="F2209" s="7" t="s">
        <v>9717</v>
      </c>
      <c r="G2209" s="134">
        <f t="shared" si="241"/>
        <v>1</v>
      </c>
      <c r="H2209" s="134" t="str">
        <f t="shared" si="242"/>
        <v/>
      </c>
      <c r="I2209" s="7" t="s">
        <v>158</v>
      </c>
      <c r="J2209" s="7" t="s">
        <v>1</v>
      </c>
      <c r="K2209" s="7"/>
      <c r="L2209" s="7" t="s">
        <v>167</v>
      </c>
      <c r="M2209" s="7" t="s">
        <v>5682</v>
      </c>
      <c r="N2209" s="7" t="s">
        <v>170</v>
      </c>
      <c r="O2209" s="7" t="s">
        <v>163</v>
      </c>
      <c r="P2209" s="7" t="s">
        <v>7282</v>
      </c>
      <c r="Q2209" s="129">
        <v>46199</v>
      </c>
      <c r="R2209" s="130">
        <f t="shared" si="240"/>
        <v>46203</v>
      </c>
      <c r="S2209" s="131">
        <f t="shared" si="245"/>
        <v>4</v>
      </c>
      <c r="T2209" s="7" t="s">
        <v>203</v>
      </c>
      <c r="U2209" s="7" t="s">
        <v>258</v>
      </c>
      <c r="V2209" s="7"/>
      <c r="W2209" s="7">
        <v>400.27</v>
      </c>
      <c r="X2209" s="132">
        <f t="shared" si="243"/>
        <v>10</v>
      </c>
      <c r="Y2209" s="133"/>
      <c r="Z2209" s="133"/>
      <c r="AA2209" s="133"/>
    </row>
    <row r="2210" spans="1:27" hidden="1" x14ac:dyDescent="0.25">
      <c r="A2210" s="127">
        <v>2403</v>
      </c>
      <c r="B2210" s="128" t="str">
        <f t="shared" si="244"/>
        <v>UCQT</v>
      </c>
      <c r="C2210" s="128">
        <f>+VLOOKUP(U2210,Ходим!A:B,2,0)</f>
        <v>52107015940019</v>
      </c>
      <c r="D2210" s="128" t="str">
        <f>IFERROR(VLOOKUP($B:$B,[20]свод!$A:$AB,3,0)," ")</f>
        <v>Учқўрғон тумани</v>
      </c>
      <c r="E2210" s="7" t="s">
        <v>3344</v>
      </c>
      <c r="F2210" s="7" t="s">
        <v>9718</v>
      </c>
      <c r="G2210" s="134">
        <f t="shared" si="241"/>
        <v>1</v>
      </c>
      <c r="H2210" s="134" t="str">
        <f t="shared" si="242"/>
        <v/>
      </c>
      <c r="I2210" s="7" t="s">
        <v>158</v>
      </c>
      <c r="J2210" s="7" t="s">
        <v>2</v>
      </c>
      <c r="K2210" s="7"/>
      <c r="L2210" s="7" t="s">
        <v>167</v>
      </c>
      <c r="M2210" s="7" t="s">
        <v>5683</v>
      </c>
      <c r="N2210" s="7" t="s">
        <v>170</v>
      </c>
      <c r="O2210" s="7" t="s">
        <v>162</v>
      </c>
      <c r="P2210" s="7" t="s">
        <v>6361</v>
      </c>
      <c r="Q2210" s="129">
        <v>46199</v>
      </c>
      <c r="R2210" s="130">
        <f t="shared" si="240"/>
        <v>46204</v>
      </c>
      <c r="S2210" s="131">
        <f t="shared" si="245"/>
        <v>5</v>
      </c>
      <c r="T2210" s="7" t="s">
        <v>175</v>
      </c>
      <c r="U2210" s="7" t="s">
        <v>361</v>
      </c>
      <c r="V2210" s="7"/>
      <c r="W2210" s="7">
        <v>222.4</v>
      </c>
      <c r="X2210" s="132">
        <f t="shared" si="243"/>
        <v>10</v>
      </c>
      <c r="Y2210" s="133"/>
      <c r="Z2210" s="133"/>
      <c r="AA2210" s="133"/>
    </row>
    <row r="2211" spans="1:27" x14ac:dyDescent="0.25">
      <c r="A2211" s="127">
        <v>2404</v>
      </c>
      <c r="B2211" s="128" t="str">
        <f t="shared" si="244"/>
        <v>NAMS</v>
      </c>
      <c r="C2211" s="128" t="str">
        <f>+VLOOKUP(U2211,Ходим!A:B,2,0)</f>
        <v>32211885960016</v>
      </c>
      <c r="D2211" s="128" t="str">
        <f>IFERROR(VLOOKUP($B:$B,[20]свод!$A:$AB,3,0)," ")</f>
        <v>Наманган шаҳар</v>
      </c>
      <c r="E2211" s="7" t="s">
        <v>3345</v>
      </c>
      <c r="F2211" s="7"/>
      <c r="G2211" s="134" t="str">
        <f t="shared" si="241"/>
        <v/>
      </c>
      <c r="H2211" s="134">
        <f t="shared" si="242"/>
        <v>1</v>
      </c>
      <c r="I2211" s="7" t="s">
        <v>154</v>
      </c>
      <c r="J2211" s="7" t="s">
        <v>145</v>
      </c>
      <c r="K2211" s="7"/>
      <c r="L2211" s="7" t="s">
        <v>166</v>
      </c>
      <c r="M2211" s="7" t="s">
        <v>5684</v>
      </c>
      <c r="N2211" s="7" t="s">
        <v>368</v>
      </c>
      <c r="O2211" s="7"/>
      <c r="P2211" s="7" t="s">
        <v>7283</v>
      </c>
      <c r="Q2211" s="129">
        <v>46199</v>
      </c>
      <c r="R2211" s="130">
        <f t="shared" si="240"/>
        <v>46196</v>
      </c>
      <c r="S2211" s="131">
        <f t="shared" si="245"/>
        <v>-3</v>
      </c>
      <c r="T2211" s="7" t="s">
        <v>227</v>
      </c>
      <c r="U2211" s="7" t="s">
        <v>279</v>
      </c>
      <c r="V2211" s="7" t="s">
        <v>965</v>
      </c>
      <c r="W2211" s="7">
        <v>68.58</v>
      </c>
      <c r="X2211" s="132">
        <f t="shared" si="243"/>
        <v>5</v>
      </c>
      <c r="Y2211" s="133"/>
      <c r="Z2211" s="133"/>
      <c r="AA2211" s="133"/>
    </row>
    <row r="2212" spans="1:27" hidden="1" x14ac:dyDescent="0.25">
      <c r="A2212" s="127">
        <v>2405</v>
      </c>
      <c r="B2212" s="128" t="str">
        <f t="shared" si="244"/>
        <v>NAMS</v>
      </c>
      <c r="C2212" s="128" t="str">
        <f>+VLOOKUP(U2212,Ходим!A:B,2,0)</f>
        <v>31601642170089</v>
      </c>
      <c r="D2212" s="128" t="str">
        <f>IFERROR(VLOOKUP($B:$B,[20]свод!$A:$AB,3,0)," ")</f>
        <v>Наманган шаҳар</v>
      </c>
      <c r="E2212" s="7" t="s">
        <v>3346</v>
      </c>
      <c r="F2212" s="7" t="s">
        <v>9719</v>
      </c>
      <c r="G2212" s="134">
        <f t="shared" si="241"/>
        <v>1</v>
      </c>
      <c r="H2212" s="134" t="str">
        <f t="shared" si="242"/>
        <v/>
      </c>
      <c r="I2212" s="7" t="s">
        <v>158</v>
      </c>
      <c r="J2212" s="7" t="s">
        <v>2</v>
      </c>
      <c r="K2212" s="7"/>
      <c r="L2212" s="7" t="s">
        <v>167</v>
      </c>
      <c r="M2212" s="7" t="s">
        <v>5685</v>
      </c>
      <c r="N2212" s="7" t="s">
        <v>170</v>
      </c>
      <c r="O2212" s="7" t="s">
        <v>163</v>
      </c>
      <c r="P2212" s="7" t="s">
        <v>7284</v>
      </c>
      <c r="Q2212" s="129">
        <v>46199</v>
      </c>
      <c r="R2212" s="130">
        <f t="shared" si="240"/>
        <v>46206</v>
      </c>
      <c r="S2212" s="131">
        <f t="shared" si="245"/>
        <v>7</v>
      </c>
      <c r="T2212" s="7" t="s">
        <v>185</v>
      </c>
      <c r="U2212" s="7" t="s">
        <v>201</v>
      </c>
      <c r="V2212" s="7"/>
      <c r="W2212" s="7">
        <v>247.33</v>
      </c>
      <c r="X2212" s="132">
        <f t="shared" si="243"/>
        <v>10</v>
      </c>
      <c r="Y2212" s="133"/>
      <c r="Z2212" s="133"/>
      <c r="AA2212" s="133"/>
    </row>
    <row r="2213" spans="1:27" hidden="1" x14ac:dyDescent="0.25">
      <c r="A2213" s="127">
        <v>2406</v>
      </c>
      <c r="B2213" s="128" t="str">
        <f t="shared" si="244"/>
        <v>TORT</v>
      </c>
      <c r="C2213" s="128" t="str">
        <f>+VLOOKUP(U2213,Ходим!A:B,2,0)</f>
        <v>31704782130035</v>
      </c>
      <c r="D2213" s="128" t="str">
        <f>IFERROR(VLOOKUP($B:$B,[20]свод!$A:$AB,3,0)," ")</f>
        <v>Тўрақўрғон тумани</v>
      </c>
      <c r="E2213" s="7" t="s">
        <v>3347</v>
      </c>
      <c r="F2213" s="7" t="s">
        <v>9720</v>
      </c>
      <c r="G2213" s="134">
        <f t="shared" si="241"/>
        <v>1</v>
      </c>
      <c r="H2213" s="134" t="str">
        <f t="shared" si="242"/>
        <v/>
      </c>
      <c r="I2213" s="7" t="s">
        <v>158</v>
      </c>
      <c r="J2213" s="7" t="s">
        <v>36</v>
      </c>
      <c r="K2213" s="7"/>
      <c r="L2213" s="7" t="s">
        <v>167</v>
      </c>
      <c r="M2213" s="7" t="s">
        <v>5686</v>
      </c>
      <c r="N2213" s="7" t="s">
        <v>170</v>
      </c>
      <c r="O2213" s="7" t="s">
        <v>162</v>
      </c>
      <c r="P2213" s="7" t="s">
        <v>7007</v>
      </c>
      <c r="Q2213" s="129">
        <v>46199</v>
      </c>
      <c r="R2213" s="130">
        <f t="shared" si="240"/>
        <v>46202</v>
      </c>
      <c r="S2213" s="131">
        <f t="shared" si="245"/>
        <v>3</v>
      </c>
      <c r="T2213" s="7" t="s">
        <v>203</v>
      </c>
      <c r="U2213" s="7" t="s">
        <v>344</v>
      </c>
      <c r="V2213" s="7"/>
      <c r="W2213" s="7">
        <v>276.39</v>
      </c>
      <c r="X2213" s="132">
        <f t="shared" si="243"/>
        <v>10</v>
      </c>
      <c r="Y2213" s="133"/>
      <c r="Z2213" s="133"/>
      <c r="AA2213" s="133"/>
    </row>
    <row r="2214" spans="1:27" hidden="1" x14ac:dyDescent="0.25">
      <c r="A2214" s="127">
        <v>2407</v>
      </c>
      <c r="B2214" s="128" t="str">
        <f t="shared" si="244"/>
        <v>CHUT</v>
      </c>
      <c r="C2214" s="128" t="str">
        <f>+VLOOKUP(U2214,Ходим!A:B,2,0)</f>
        <v>32006862180015</v>
      </c>
      <c r="D2214" s="128" t="str">
        <f>IFERROR(VLOOKUP($B:$B,[20]свод!$A:$AB,3,0)," ")</f>
        <v>Чуст тумани</v>
      </c>
      <c r="E2214" s="7" t="s">
        <v>3348</v>
      </c>
      <c r="F2214" s="7" t="s">
        <v>9721</v>
      </c>
      <c r="G2214" s="134">
        <f t="shared" si="241"/>
        <v>1</v>
      </c>
      <c r="H2214" s="134" t="str">
        <f t="shared" si="242"/>
        <v/>
      </c>
      <c r="I2214" s="7" t="s">
        <v>158</v>
      </c>
      <c r="J2214" s="7" t="s">
        <v>13</v>
      </c>
      <c r="K2214" s="7"/>
      <c r="L2214" s="7" t="s">
        <v>167</v>
      </c>
      <c r="M2214" s="7" t="s">
        <v>5687</v>
      </c>
      <c r="N2214" s="7" t="s">
        <v>170</v>
      </c>
      <c r="O2214" s="7" t="s">
        <v>162</v>
      </c>
      <c r="P2214" s="7" t="s">
        <v>6997</v>
      </c>
      <c r="Q2214" s="129">
        <v>46199</v>
      </c>
      <c r="R2214" s="130">
        <f t="shared" si="240"/>
        <v>46202</v>
      </c>
      <c r="S2214" s="131">
        <f t="shared" si="245"/>
        <v>3</v>
      </c>
      <c r="T2214" s="7" t="s">
        <v>178</v>
      </c>
      <c r="U2214" s="7" t="s">
        <v>347</v>
      </c>
      <c r="V2214" s="7"/>
      <c r="W2214" s="7">
        <v>323.44</v>
      </c>
      <c r="X2214" s="132">
        <f t="shared" si="243"/>
        <v>10</v>
      </c>
      <c r="Y2214" s="133"/>
      <c r="Z2214" s="133"/>
      <c r="AA2214" s="133"/>
    </row>
    <row r="2215" spans="1:27" hidden="1" x14ac:dyDescent="0.25">
      <c r="A2215" s="127">
        <v>2408</v>
      </c>
      <c r="B2215" s="128" t="str">
        <f t="shared" si="244"/>
        <v>TORT</v>
      </c>
      <c r="C2215" s="128" t="str">
        <f>+VLOOKUP(U2215,Ходим!A:B,2,0)</f>
        <v>31704782130035</v>
      </c>
      <c r="D2215" s="128" t="str">
        <f>IFERROR(VLOOKUP($B:$B,[20]свод!$A:$AB,3,0)," ")</f>
        <v>Тўрақўрғон тумани</v>
      </c>
      <c r="E2215" s="7" t="s">
        <v>3349</v>
      </c>
      <c r="F2215" s="7" t="s">
        <v>9722</v>
      </c>
      <c r="G2215" s="134">
        <f t="shared" si="241"/>
        <v>1</v>
      </c>
      <c r="H2215" s="134" t="str">
        <f t="shared" si="242"/>
        <v/>
      </c>
      <c r="I2215" s="7" t="s">
        <v>158</v>
      </c>
      <c r="J2215" s="7" t="s">
        <v>2</v>
      </c>
      <c r="K2215" s="7"/>
      <c r="L2215" s="7" t="s">
        <v>167</v>
      </c>
      <c r="M2215" s="7" t="s">
        <v>5688</v>
      </c>
      <c r="N2215" s="7" t="s">
        <v>170</v>
      </c>
      <c r="O2215" s="7" t="s">
        <v>162</v>
      </c>
      <c r="P2215" s="7" t="s">
        <v>6487</v>
      </c>
      <c r="Q2215" s="129">
        <v>46199</v>
      </c>
      <c r="R2215" s="130">
        <f t="shared" si="240"/>
        <v>46205</v>
      </c>
      <c r="S2215" s="131">
        <f t="shared" si="245"/>
        <v>6</v>
      </c>
      <c r="T2215" s="7" t="s">
        <v>203</v>
      </c>
      <c r="U2215" s="7" t="s">
        <v>344</v>
      </c>
      <c r="V2215" s="7"/>
      <c r="W2215" s="7">
        <v>212.01</v>
      </c>
      <c r="X2215" s="132">
        <f t="shared" si="243"/>
        <v>10</v>
      </c>
      <c r="Y2215" s="133"/>
      <c r="Z2215" s="133"/>
      <c r="AA2215" s="133"/>
    </row>
    <row r="2216" spans="1:27" hidden="1" x14ac:dyDescent="0.25">
      <c r="A2216" s="127">
        <v>2409</v>
      </c>
      <c r="B2216" s="128" t="str">
        <f t="shared" si="244"/>
        <v>TORT</v>
      </c>
      <c r="C2216" s="128" t="str">
        <f>+VLOOKUP(U2216,Ходим!A:B,2,0)</f>
        <v>51305035920029</v>
      </c>
      <c r="D2216" s="128" t="str">
        <f>IFERROR(VLOOKUP($B:$B,[20]свод!$A:$AB,3,0)," ")</f>
        <v>Тўрақўрғон тумани</v>
      </c>
      <c r="E2216" s="7" t="s">
        <v>3350</v>
      </c>
      <c r="F2216" s="7" t="s">
        <v>9723</v>
      </c>
      <c r="G2216" s="134" t="str">
        <f t="shared" si="241"/>
        <v/>
      </c>
      <c r="H2216" s="134">
        <f t="shared" si="242"/>
        <v>1</v>
      </c>
      <c r="I2216" s="7" t="s">
        <v>157</v>
      </c>
      <c r="J2216" s="7" t="s">
        <v>35</v>
      </c>
      <c r="K2216" s="7"/>
      <c r="L2216" s="7" t="s">
        <v>166</v>
      </c>
      <c r="M2216" s="7" t="s">
        <v>5689</v>
      </c>
      <c r="N2216" s="7" t="s">
        <v>170</v>
      </c>
      <c r="O2216" s="7" t="s">
        <v>161</v>
      </c>
      <c r="P2216" s="7" t="s">
        <v>7285</v>
      </c>
      <c r="Q2216" s="129">
        <v>46199</v>
      </c>
      <c r="R2216" s="130">
        <f t="shared" si="240"/>
        <v>46209</v>
      </c>
      <c r="S2216" s="131">
        <f t="shared" si="245"/>
        <v>10</v>
      </c>
      <c r="T2216" s="7" t="s">
        <v>203</v>
      </c>
      <c r="U2216" s="7" t="s">
        <v>316</v>
      </c>
      <c r="V2216" s="7"/>
      <c r="W2216" s="7">
        <v>0</v>
      </c>
      <c r="X2216" s="132">
        <f t="shared" si="243"/>
        <v>10</v>
      </c>
      <c r="Y2216" s="133"/>
      <c r="Z2216" s="133"/>
      <c r="AA2216" s="133"/>
    </row>
    <row r="2217" spans="1:27" hidden="1" x14ac:dyDescent="0.25">
      <c r="A2217" s="127">
        <v>2410</v>
      </c>
      <c r="B2217" s="128" t="str">
        <f t="shared" si="244"/>
        <v>POPT</v>
      </c>
      <c r="C2217" s="128" t="str">
        <f>+VLOOKUP(U2217,Ходим!A:B,2,0)</f>
        <v>31103842180041</v>
      </c>
      <c r="D2217" s="128" t="str">
        <f>IFERROR(VLOOKUP($B:$B,[20]свод!$A:$AB,3,0)," ")</f>
        <v>Поп тумани</v>
      </c>
      <c r="E2217" s="7" t="s">
        <v>3351</v>
      </c>
      <c r="F2217" s="7" t="s">
        <v>9724</v>
      </c>
      <c r="G2217" s="134">
        <f t="shared" si="241"/>
        <v>1</v>
      </c>
      <c r="H2217" s="134" t="str">
        <f t="shared" si="242"/>
        <v/>
      </c>
      <c r="I2217" s="7" t="s">
        <v>158</v>
      </c>
      <c r="J2217" s="7" t="s">
        <v>2</v>
      </c>
      <c r="K2217" s="7"/>
      <c r="L2217" s="7" t="s">
        <v>167</v>
      </c>
      <c r="M2217" s="7" t="s">
        <v>5690</v>
      </c>
      <c r="N2217" s="7" t="s">
        <v>170</v>
      </c>
      <c r="O2217" s="7" t="s">
        <v>162</v>
      </c>
      <c r="P2217" s="7" t="s">
        <v>6827</v>
      </c>
      <c r="Q2217" s="129">
        <v>46199</v>
      </c>
      <c r="R2217" s="130">
        <f t="shared" si="240"/>
        <v>46206</v>
      </c>
      <c r="S2217" s="131">
        <f t="shared" si="245"/>
        <v>7</v>
      </c>
      <c r="T2217" s="7" t="s">
        <v>240</v>
      </c>
      <c r="U2217" s="7" t="s">
        <v>337</v>
      </c>
      <c r="V2217" s="7"/>
      <c r="W2217" s="7">
        <v>237.14</v>
      </c>
      <c r="X2217" s="132">
        <f t="shared" si="243"/>
        <v>10</v>
      </c>
      <c r="Y2217" s="133"/>
      <c r="Z2217" s="133"/>
      <c r="AA2217" s="133"/>
    </row>
    <row r="2218" spans="1:27" x14ac:dyDescent="0.25">
      <c r="A2218" s="127">
        <v>2411</v>
      </c>
      <c r="B2218" s="128" t="str">
        <f t="shared" si="244"/>
        <v>NAMS</v>
      </c>
      <c r="C2218" s="128" t="str">
        <f>+VLOOKUP(U2218,Ходим!A:B,2,0)</f>
        <v>30202915960070</v>
      </c>
      <c r="D2218" s="128" t="str">
        <f>IFERROR(VLOOKUP($B:$B,[20]свод!$A:$AB,3,0)," ")</f>
        <v>Наманган шаҳар</v>
      </c>
      <c r="E2218" s="7" t="s">
        <v>3352</v>
      </c>
      <c r="F2218" s="7" t="s">
        <v>9725</v>
      </c>
      <c r="G2218" s="134">
        <f t="shared" si="241"/>
        <v>1</v>
      </c>
      <c r="H2218" s="134" t="str">
        <f t="shared" si="242"/>
        <v/>
      </c>
      <c r="I2218" s="7" t="s">
        <v>158</v>
      </c>
      <c r="J2218" s="7" t="s">
        <v>1</v>
      </c>
      <c r="K2218" s="7"/>
      <c r="L2218" s="7" t="s">
        <v>167</v>
      </c>
      <c r="M2218" s="7" t="s">
        <v>5691</v>
      </c>
      <c r="N2218" s="7" t="s">
        <v>170</v>
      </c>
      <c r="O2218" s="7" t="s">
        <v>162</v>
      </c>
      <c r="P2218" s="7" t="s">
        <v>6784</v>
      </c>
      <c r="Q2218" s="129">
        <v>46199</v>
      </c>
      <c r="R2218" s="130">
        <f t="shared" si="240"/>
        <v>46199</v>
      </c>
      <c r="S2218" s="131">
        <f t="shared" si="245"/>
        <v>0</v>
      </c>
      <c r="T2218" s="7" t="s">
        <v>185</v>
      </c>
      <c r="U2218" s="7" t="s">
        <v>177</v>
      </c>
      <c r="V2218" s="7"/>
      <c r="W2218" s="7">
        <v>601.55999999999995</v>
      </c>
      <c r="X2218" s="132">
        <f t="shared" si="243"/>
        <v>10</v>
      </c>
      <c r="Y2218" s="133"/>
      <c r="Z2218" s="133"/>
      <c r="AA2218" s="133"/>
    </row>
    <row r="2219" spans="1:27" hidden="1" x14ac:dyDescent="0.25">
      <c r="A2219" s="127">
        <v>2412</v>
      </c>
      <c r="B2219" s="128" t="str">
        <f t="shared" si="244"/>
        <v>NAMS</v>
      </c>
      <c r="C2219" s="128" t="str">
        <f>+VLOOKUP(U2219,Ходим!A:B,2,0)</f>
        <v>30910985930021</v>
      </c>
      <c r="D2219" s="128" t="str">
        <f>IFERROR(VLOOKUP($B:$B,[20]свод!$A:$AB,3,0)," ")</f>
        <v>Наманган шаҳар</v>
      </c>
      <c r="E2219" s="7" t="s">
        <v>3353</v>
      </c>
      <c r="F2219" s="7" t="s">
        <v>9726</v>
      </c>
      <c r="G2219" s="134">
        <f t="shared" si="241"/>
        <v>1</v>
      </c>
      <c r="H2219" s="134" t="str">
        <f t="shared" si="242"/>
        <v/>
      </c>
      <c r="I2219" s="7" t="s">
        <v>156</v>
      </c>
      <c r="J2219" s="7" t="s">
        <v>22</v>
      </c>
      <c r="K2219" s="7"/>
      <c r="L2219" s="7"/>
      <c r="M2219" s="7"/>
      <c r="N2219" s="7" t="s">
        <v>170</v>
      </c>
      <c r="O2219" s="7" t="s">
        <v>162</v>
      </c>
      <c r="P2219" s="7" t="s">
        <v>7286</v>
      </c>
      <c r="Q2219" s="129">
        <v>46199</v>
      </c>
      <c r="R2219" s="130">
        <f t="shared" si="240"/>
        <v>46210</v>
      </c>
      <c r="S2219" s="131">
        <f t="shared" si="245"/>
        <v>11</v>
      </c>
      <c r="T2219" s="7" t="s">
        <v>173</v>
      </c>
      <c r="U2219" s="7" t="s">
        <v>963</v>
      </c>
      <c r="V2219" s="7"/>
      <c r="W2219" s="7"/>
      <c r="X2219" s="132">
        <f t="shared" si="243"/>
        <v>10</v>
      </c>
      <c r="Y2219" s="133"/>
      <c r="Z2219" s="133"/>
      <c r="AA2219" s="133"/>
    </row>
    <row r="2220" spans="1:27" x14ac:dyDescent="0.25">
      <c r="A2220" s="127">
        <v>2413</v>
      </c>
      <c r="B2220" s="128" t="str">
        <f t="shared" si="244"/>
        <v>UYCT</v>
      </c>
      <c r="C2220" s="128" t="str">
        <f>+VLOOKUP(U2220,Ходим!A:B,2,0)</f>
        <v>31703985930055</v>
      </c>
      <c r="D2220" s="128" t="str">
        <f>IFERROR(VLOOKUP($B:$B,[20]свод!$A:$AB,3,0)," ")</f>
        <v>Уйчи тумани</v>
      </c>
      <c r="E2220" s="7" t="s">
        <v>3354</v>
      </c>
      <c r="F2220" s="7" t="s">
        <v>9727</v>
      </c>
      <c r="G2220" s="134">
        <f t="shared" si="241"/>
        <v>1</v>
      </c>
      <c r="H2220" s="134" t="str">
        <f t="shared" si="242"/>
        <v/>
      </c>
      <c r="I2220" s="7" t="s">
        <v>158</v>
      </c>
      <c r="J2220" s="7" t="s">
        <v>1</v>
      </c>
      <c r="K2220" s="7"/>
      <c r="L2220" s="7" t="s">
        <v>167</v>
      </c>
      <c r="M2220" s="7" t="s">
        <v>5692</v>
      </c>
      <c r="N2220" s="7" t="s">
        <v>410</v>
      </c>
      <c r="O2220" s="7" t="s">
        <v>162</v>
      </c>
      <c r="P2220" s="7" t="s">
        <v>7287</v>
      </c>
      <c r="Q2220" s="129">
        <v>46199</v>
      </c>
      <c r="R2220" s="130">
        <f t="shared" si="240"/>
        <v>46198</v>
      </c>
      <c r="S2220" s="131">
        <f t="shared" si="245"/>
        <v>-1</v>
      </c>
      <c r="T2220" s="7" t="s">
        <v>947</v>
      </c>
      <c r="U2220" s="7" t="s">
        <v>276</v>
      </c>
      <c r="V2220" s="7"/>
      <c r="W2220" s="7">
        <v>248.25</v>
      </c>
      <c r="X2220" s="132">
        <f t="shared" si="243"/>
        <v>10</v>
      </c>
      <c r="Y2220" s="133"/>
      <c r="Z2220" s="133"/>
      <c r="AA2220" s="133"/>
    </row>
    <row r="2221" spans="1:27" hidden="1" x14ac:dyDescent="0.25">
      <c r="A2221" s="127">
        <v>2414</v>
      </c>
      <c r="B2221" s="128" t="str">
        <f t="shared" si="244"/>
        <v>CHOT</v>
      </c>
      <c r="C2221" s="128" t="str">
        <f>+VLOOKUP(U2221,Ходим!A:B,2,0)</f>
        <v>30608892100030</v>
      </c>
      <c r="D2221" s="128" t="str">
        <f>IFERROR(VLOOKUP($B:$B,[20]свод!$A:$AB,3,0)," ")</f>
        <v>Чортоқ тумани</v>
      </c>
      <c r="E2221" s="7" t="s">
        <v>3355</v>
      </c>
      <c r="F2221" s="7" t="s">
        <v>9728</v>
      </c>
      <c r="G2221" s="134">
        <f t="shared" si="241"/>
        <v>1</v>
      </c>
      <c r="H2221" s="134" t="str">
        <f t="shared" si="242"/>
        <v/>
      </c>
      <c r="I2221" s="7" t="s">
        <v>158</v>
      </c>
      <c r="J2221" s="7" t="s">
        <v>2</v>
      </c>
      <c r="K2221" s="7"/>
      <c r="L2221" s="7" t="s">
        <v>167</v>
      </c>
      <c r="M2221" s="7" t="s">
        <v>5693</v>
      </c>
      <c r="N2221" s="7" t="s">
        <v>170</v>
      </c>
      <c r="O2221" s="7" t="s">
        <v>162</v>
      </c>
      <c r="P2221" s="7" t="s">
        <v>6492</v>
      </c>
      <c r="Q2221" s="129">
        <v>46199</v>
      </c>
      <c r="R2221" s="130">
        <f t="shared" si="240"/>
        <v>46205</v>
      </c>
      <c r="S2221" s="131">
        <f t="shared" si="245"/>
        <v>6</v>
      </c>
      <c r="T2221" s="7" t="s">
        <v>184</v>
      </c>
      <c r="U2221" s="7" t="s">
        <v>266</v>
      </c>
      <c r="V2221" s="7"/>
      <c r="W2221" s="7">
        <v>18.059999999999999</v>
      </c>
      <c r="X2221" s="132">
        <f t="shared" si="243"/>
        <v>10</v>
      </c>
      <c r="Y2221" s="133"/>
      <c r="Z2221" s="133"/>
      <c r="AA2221" s="133"/>
    </row>
    <row r="2222" spans="1:27" hidden="1" x14ac:dyDescent="0.25">
      <c r="A2222" s="127">
        <v>2415</v>
      </c>
      <c r="B2222" s="128" t="str">
        <f t="shared" si="244"/>
        <v>UCQT</v>
      </c>
      <c r="C2222" s="128" t="str">
        <f>+VLOOKUP(U2222,Ходим!A:B,2,0)</f>
        <v>52405005940019</v>
      </c>
      <c r="D2222" s="128" t="str">
        <f>IFERROR(VLOOKUP($B:$B,[20]свод!$A:$AB,3,0)," ")</f>
        <v>Учқўрғон тумани</v>
      </c>
      <c r="E2222" s="7" t="s">
        <v>3356</v>
      </c>
      <c r="F2222" s="7" t="s">
        <v>9729</v>
      </c>
      <c r="G2222" s="134">
        <f t="shared" si="241"/>
        <v>1</v>
      </c>
      <c r="H2222" s="134" t="str">
        <f t="shared" si="242"/>
        <v/>
      </c>
      <c r="I2222" s="7" t="s">
        <v>158</v>
      </c>
      <c r="J2222" s="7" t="s">
        <v>36</v>
      </c>
      <c r="K2222" s="7"/>
      <c r="L2222" s="7" t="s">
        <v>167</v>
      </c>
      <c r="M2222" s="7" t="s">
        <v>5694</v>
      </c>
      <c r="N2222" s="7" t="s">
        <v>170</v>
      </c>
      <c r="O2222" s="7" t="s">
        <v>162</v>
      </c>
      <c r="P2222" s="7" t="s">
        <v>6410</v>
      </c>
      <c r="Q2222" s="129">
        <v>46199</v>
      </c>
      <c r="R2222" s="130">
        <f t="shared" si="240"/>
        <v>46204</v>
      </c>
      <c r="S2222" s="131">
        <f t="shared" si="245"/>
        <v>5</v>
      </c>
      <c r="T2222" s="7" t="s">
        <v>175</v>
      </c>
      <c r="U2222" s="7" t="s">
        <v>209</v>
      </c>
      <c r="V2222" s="7"/>
      <c r="W2222" s="7">
        <v>0</v>
      </c>
      <c r="X2222" s="132">
        <f t="shared" si="243"/>
        <v>10</v>
      </c>
      <c r="Y2222" s="133"/>
      <c r="Z2222" s="133"/>
      <c r="AA2222" s="133"/>
    </row>
    <row r="2223" spans="1:27" hidden="1" x14ac:dyDescent="0.25">
      <c r="A2223" s="127">
        <v>2416</v>
      </c>
      <c r="B2223" s="128" t="str">
        <f t="shared" si="244"/>
        <v>UYCT</v>
      </c>
      <c r="C2223" s="128" t="str">
        <f>+VLOOKUP(U2223,Ходим!A:B,2,0)</f>
        <v>31004952140036</v>
      </c>
      <c r="D2223" s="128" t="str">
        <f>IFERROR(VLOOKUP($B:$B,[20]свод!$A:$AB,3,0)," ")</f>
        <v>Уйчи тумани</v>
      </c>
      <c r="E2223" s="7" t="s">
        <v>3357</v>
      </c>
      <c r="F2223" s="7" t="s">
        <v>9730</v>
      </c>
      <c r="G2223" s="134">
        <f t="shared" si="241"/>
        <v>1</v>
      </c>
      <c r="H2223" s="134" t="str">
        <f t="shared" si="242"/>
        <v/>
      </c>
      <c r="I2223" s="7" t="s">
        <v>156</v>
      </c>
      <c r="J2223" s="7" t="s">
        <v>25</v>
      </c>
      <c r="K2223" s="7"/>
      <c r="L2223" s="7" t="s">
        <v>167</v>
      </c>
      <c r="M2223" s="7" t="s">
        <v>1114</v>
      </c>
      <c r="N2223" s="7" t="s">
        <v>170</v>
      </c>
      <c r="O2223" s="7" t="s">
        <v>162</v>
      </c>
      <c r="P2223" s="7" t="s">
        <v>6292</v>
      </c>
      <c r="Q2223" s="129">
        <v>46199</v>
      </c>
      <c r="R2223" s="130">
        <f t="shared" si="240"/>
        <v>46210</v>
      </c>
      <c r="S2223" s="131">
        <f t="shared" si="245"/>
        <v>11</v>
      </c>
      <c r="T2223" s="7" t="s">
        <v>947</v>
      </c>
      <c r="U2223" s="7" t="s">
        <v>331</v>
      </c>
      <c r="V2223" s="7"/>
      <c r="W2223" s="7">
        <v>0</v>
      </c>
      <c r="X2223" s="132">
        <f t="shared" si="243"/>
        <v>10</v>
      </c>
      <c r="Y2223" s="133"/>
      <c r="Z2223" s="133"/>
      <c r="AA2223" s="133"/>
    </row>
    <row r="2224" spans="1:27" hidden="1" x14ac:dyDescent="0.25">
      <c r="A2224" s="127">
        <v>2417</v>
      </c>
      <c r="B2224" s="128" t="str">
        <f t="shared" si="244"/>
        <v>YGQT</v>
      </c>
      <c r="C2224" s="128" t="str">
        <f>+VLOOKUP(U2224,Ходим!A:B,2,0)</f>
        <v>30502995950058</v>
      </c>
      <c r="D2224" s="128" t="str">
        <f>IFERROR(VLOOKUP($B:$B,[20]свод!$A:$AB,3,0)," ")</f>
        <v>Янгиқўрғон тумани</v>
      </c>
      <c r="E2224" s="7" t="s">
        <v>3358</v>
      </c>
      <c r="F2224" s="7" t="s">
        <v>9731</v>
      </c>
      <c r="G2224" s="134">
        <f t="shared" si="241"/>
        <v>1</v>
      </c>
      <c r="H2224" s="134" t="str">
        <f t="shared" si="242"/>
        <v/>
      </c>
      <c r="I2224" s="7" t="s">
        <v>158</v>
      </c>
      <c r="J2224" s="7" t="s">
        <v>2</v>
      </c>
      <c r="K2224" s="7"/>
      <c r="L2224" s="7" t="s">
        <v>167</v>
      </c>
      <c r="M2224" s="7" t="s">
        <v>5695</v>
      </c>
      <c r="N2224" s="7" t="s">
        <v>170</v>
      </c>
      <c r="O2224" s="7" t="s">
        <v>162</v>
      </c>
      <c r="P2224" s="7" t="s">
        <v>6464</v>
      </c>
      <c r="Q2224" s="129">
        <v>46199</v>
      </c>
      <c r="R2224" s="130">
        <f t="shared" si="240"/>
        <v>46205</v>
      </c>
      <c r="S2224" s="131">
        <f t="shared" si="245"/>
        <v>6</v>
      </c>
      <c r="T2224" s="7" t="s">
        <v>255</v>
      </c>
      <c r="U2224" s="7" t="s">
        <v>340</v>
      </c>
      <c r="V2224" s="7"/>
      <c r="W2224" s="7">
        <v>315.67</v>
      </c>
      <c r="X2224" s="132">
        <f t="shared" si="243"/>
        <v>10</v>
      </c>
      <c r="Y2224" s="133"/>
      <c r="Z2224" s="133"/>
      <c r="AA2224" s="133"/>
    </row>
    <row r="2225" spans="1:27" hidden="1" x14ac:dyDescent="0.25">
      <c r="A2225" s="127">
        <v>2418</v>
      </c>
      <c r="B2225" s="128" t="str">
        <f t="shared" si="244"/>
        <v>NAMS</v>
      </c>
      <c r="C2225" s="128" t="str">
        <f>+VLOOKUP(U2225,Ходим!A:B,2,0)</f>
        <v>52601025870013</v>
      </c>
      <c r="D2225" s="128" t="str">
        <f>IFERROR(VLOOKUP($B:$B,[20]свод!$A:$AB,3,0)," ")</f>
        <v>Наманган шаҳар</v>
      </c>
      <c r="E2225" s="7" t="s">
        <v>3359</v>
      </c>
      <c r="F2225" s="7" t="s">
        <v>9732</v>
      </c>
      <c r="G2225" s="134">
        <f t="shared" si="241"/>
        <v>1</v>
      </c>
      <c r="H2225" s="134" t="str">
        <f t="shared" si="242"/>
        <v/>
      </c>
      <c r="I2225" s="7" t="s">
        <v>158</v>
      </c>
      <c r="J2225" s="7" t="s">
        <v>134</v>
      </c>
      <c r="K2225" s="7"/>
      <c r="L2225" s="7"/>
      <c r="M2225" s="7"/>
      <c r="N2225" s="7" t="s">
        <v>170</v>
      </c>
      <c r="O2225" s="7" t="s">
        <v>162</v>
      </c>
      <c r="P2225" s="7" t="s">
        <v>6939</v>
      </c>
      <c r="Q2225" s="129">
        <v>46199</v>
      </c>
      <c r="R2225" s="130">
        <f t="shared" si="240"/>
        <v>46206</v>
      </c>
      <c r="S2225" s="131">
        <f t="shared" si="245"/>
        <v>7</v>
      </c>
      <c r="T2225" s="7" t="s">
        <v>173</v>
      </c>
      <c r="U2225" s="7" t="s">
        <v>405</v>
      </c>
      <c r="V2225" s="7"/>
      <c r="W2225" s="7"/>
      <c r="X2225" s="132">
        <f t="shared" si="243"/>
        <v>10</v>
      </c>
      <c r="Y2225" s="133"/>
      <c r="Z2225" s="133"/>
      <c r="AA2225" s="133"/>
    </row>
    <row r="2226" spans="1:27" hidden="1" x14ac:dyDescent="0.25">
      <c r="A2226" s="127">
        <v>2419</v>
      </c>
      <c r="B2226" s="128" t="str">
        <f t="shared" si="244"/>
        <v>NAMS</v>
      </c>
      <c r="C2226" s="128" t="e">
        <f>+VLOOKUP(U2226,Ходим!A:B,2,0)</f>
        <v>#N/A</v>
      </c>
      <c r="D2226" s="128" t="str">
        <f>IFERROR(VLOOKUP($B:$B,[20]свод!$A:$AB,3,0)," ")</f>
        <v>Наманган шаҳар</v>
      </c>
      <c r="E2226" s="7" t="s">
        <v>3360</v>
      </c>
      <c r="F2226" s="7" t="s">
        <v>9733</v>
      </c>
      <c r="G2226" s="134">
        <f t="shared" si="241"/>
        <v>1</v>
      </c>
      <c r="H2226" s="134" t="str">
        <f t="shared" si="242"/>
        <v/>
      </c>
      <c r="I2226" s="7" t="s">
        <v>159</v>
      </c>
      <c r="J2226" s="7" t="s">
        <v>137</v>
      </c>
      <c r="K2226" s="7"/>
      <c r="L2226" s="7" t="s">
        <v>167</v>
      </c>
      <c r="M2226" s="7" t="s">
        <v>5696</v>
      </c>
      <c r="N2226" s="7" t="s">
        <v>170</v>
      </c>
      <c r="O2226" s="7" t="s">
        <v>163</v>
      </c>
      <c r="P2226" s="7" t="s">
        <v>7288</v>
      </c>
      <c r="Q2226" s="129">
        <v>46199</v>
      </c>
      <c r="R2226" s="130">
        <f t="shared" si="240"/>
        <v>46212</v>
      </c>
      <c r="S2226" s="131">
        <f t="shared" si="245"/>
        <v>13</v>
      </c>
      <c r="T2226" s="7"/>
      <c r="U2226" s="7"/>
      <c r="V2226" s="7"/>
      <c r="W2226" s="7">
        <v>339.72</v>
      </c>
      <c r="X2226" s="132">
        <f t="shared" si="243"/>
        <v>10</v>
      </c>
      <c r="Y2226" s="133"/>
      <c r="Z2226" s="133"/>
      <c r="AA2226" s="133"/>
    </row>
    <row r="2227" spans="1:27" x14ac:dyDescent="0.25">
      <c r="A2227" s="127">
        <v>2420</v>
      </c>
      <c r="B2227" s="128" t="str">
        <f t="shared" si="244"/>
        <v>CHUT</v>
      </c>
      <c r="C2227" s="128" t="str">
        <f>+VLOOKUP(U2227,Ходим!A:B,2,0)</f>
        <v>30202885970013</v>
      </c>
      <c r="D2227" s="128" t="str">
        <f>IFERROR(VLOOKUP($B:$B,[20]свод!$A:$AB,3,0)," ")</f>
        <v>Чуст тумани</v>
      </c>
      <c r="E2227" s="7" t="s">
        <v>3361</v>
      </c>
      <c r="F2227" s="7" t="s">
        <v>9734</v>
      </c>
      <c r="G2227" s="134">
        <f t="shared" si="241"/>
        <v>1</v>
      </c>
      <c r="H2227" s="134" t="str">
        <f t="shared" si="242"/>
        <v/>
      </c>
      <c r="I2227" s="7" t="s">
        <v>158</v>
      </c>
      <c r="J2227" s="7" t="s">
        <v>17</v>
      </c>
      <c r="K2227" s="7"/>
      <c r="L2227" s="7" t="s">
        <v>169</v>
      </c>
      <c r="M2227" s="7" t="s">
        <v>5697</v>
      </c>
      <c r="N2227" s="7" t="s">
        <v>170</v>
      </c>
      <c r="O2227" s="7" t="s">
        <v>162</v>
      </c>
      <c r="P2227" s="7" t="s">
        <v>7083</v>
      </c>
      <c r="Q2227" s="129">
        <v>46199</v>
      </c>
      <c r="R2227" s="130">
        <f t="shared" si="240"/>
        <v>46197</v>
      </c>
      <c r="S2227" s="131">
        <f t="shared" si="245"/>
        <v>-2</v>
      </c>
      <c r="T2227" s="7" t="s">
        <v>178</v>
      </c>
      <c r="U2227" s="7" t="s">
        <v>289</v>
      </c>
      <c r="V2227" s="7"/>
      <c r="W2227" s="7">
        <v>0</v>
      </c>
      <c r="X2227" s="132">
        <f t="shared" si="243"/>
        <v>7</v>
      </c>
      <c r="Y2227" s="133"/>
      <c r="Z2227" s="133"/>
      <c r="AA2227" s="133"/>
    </row>
    <row r="2228" spans="1:27" hidden="1" x14ac:dyDescent="0.25">
      <c r="A2228" s="127">
        <v>2421</v>
      </c>
      <c r="B2228" s="128" t="str">
        <f t="shared" si="244"/>
        <v>UCQT</v>
      </c>
      <c r="C2228" s="128" t="str">
        <f>+VLOOKUP(U2228,Ходим!A:B,2,0)</f>
        <v>32911835940021</v>
      </c>
      <c r="D2228" s="128" t="str">
        <f>IFERROR(VLOOKUP($B:$B,[20]свод!$A:$AB,3,0)," ")</f>
        <v>Учқўрғон тумани</v>
      </c>
      <c r="E2228" s="7" t="s">
        <v>3362</v>
      </c>
      <c r="F2228" s="7" t="s">
        <v>9735</v>
      </c>
      <c r="G2228" s="134">
        <f t="shared" si="241"/>
        <v>1</v>
      </c>
      <c r="H2228" s="134" t="str">
        <f t="shared" si="242"/>
        <v/>
      </c>
      <c r="I2228" s="7" t="s">
        <v>154</v>
      </c>
      <c r="J2228" s="7" t="s">
        <v>2</v>
      </c>
      <c r="K2228" s="7"/>
      <c r="L2228" s="7"/>
      <c r="M2228" s="7"/>
      <c r="N2228" s="7" t="s">
        <v>170</v>
      </c>
      <c r="O2228" s="7" t="s">
        <v>162</v>
      </c>
      <c r="P2228" s="7" t="s">
        <v>6973</v>
      </c>
      <c r="Q2228" s="129">
        <v>46199</v>
      </c>
      <c r="R2228" s="130">
        <f t="shared" si="240"/>
        <v>46205</v>
      </c>
      <c r="S2228" s="131">
        <f t="shared" si="245"/>
        <v>6</v>
      </c>
      <c r="T2228" s="7" t="s">
        <v>175</v>
      </c>
      <c r="U2228" s="7" t="s">
        <v>321</v>
      </c>
      <c r="V2228" s="7"/>
      <c r="W2228" s="7"/>
      <c r="X2228" s="132">
        <f t="shared" si="243"/>
        <v>10</v>
      </c>
      <c r="Y2228" s="133"/>
      <c r="Z2228" s="133"/>
      <c r="AA2228" s="133"/>
    </row>
    <row r="2229" spans="1:27" x14ac:dyDescent="0.25">
      <c r="A2229" s="127">
        <v>2423</v>
      </c>
      <c r="B2229" s="128" t="str">
        <f t="shared" si="244"/>
        <v>YGQT</v>
      </c>
      <c r="C2229" s="128" t="str">
        <f>+VLOOKUP(U2229,Ходим!A:B,2,0)</f>
        <v>52410005950025</v>
      </c>
      <c r="D2229" s="128" t="str">
        <f>IFERROR(VLOOKUP($B:$B,[20]свод!$A:$AB,3,0)," ")</f>
        <v>Янгиқўрғон тумани</v>
      </c>
      <c r="E2229" s="7" t="s">
        <v>3363</v>
      </c>
      <c r="F2229" s="7"/>
      <c r="G2229" s="134" t="str">
        <f t="shared" si="241"/>
        <v/>
      </c>
      <c r="H2229" s="134">
        <f t="shared" si="242"/>
        <v>1</v>
      </c>
      <c r="I2229" s="7" t="s">
        <v>154</v>
      </c>
      <c r="J2229" s="7" t="s">
        <v>1</v>
      </c>
      <c r="K2229" s="7"/>
      <c r="L2229" s="7" t="s">
        <v>166</v>
      </c>
      <c r="M2229" s="7" t="s">
        <v>5698</v>
      </c>
      <c r="N2229" s="7" t="s">
        <v>368</v>
      </c>
      <c r="O2229" s="7"/>
      <c r="P2229" s="7" t="s">
        <v>7289</v>
      </c>
      <c r="Q2229" s="129">
        <v>46199</v>
      </c>
      <c r="R2229" s="130">
        <f t="shared" si="240"/>
        <v>46199</v>
      </c>
      <c r="S2229" s="131">
        <f t="shared" si="245"/>
        <v>0</v>
      </c>
      <c r="T2229" s="7" t="s">
        <v>182</v>
      </c>
      <c r="U2229" s="7" t="s">
        <v>256</v>
      </c>
      <c r="V2229" s="7"/>
      <c r="W2229" s="7">
        <v>477.2</v>
      </c>
      <c r="X2229" s="132">
        <f t="shared" si="243"/>
        <v>5</v>
      </c>
      <c r="Y2229" s="133"/>
      <c r="Z2229" s="133"/>
      <c r="AA2229" s="133"/>
    </row>
    <row r="2230" spans="1:27" x14ac:dyDescent="0.25">
      <c r="A2230" s="127">
        <v>2424</v>
      </c>
      <c r="B2230" s="128" t="str">
        <f t="shared" si="244"/>
        <v>NAMT</v>
      </c>
      <c r="C2230" s="128">
        <f>+VLOOKUP(U2230,Ходим!A:B,2,0)</f>
        <v>32712932090068</v>
      </c>
      <c r="D2230" s="128" t="str">
        <f>IFERROR(VLOOKUP($B:$B,[20]свод!$A:$AB,3,0)," ")</f>
        <v>Наманган тумани</v>
      </c>
      <c r="E2230" s="7" t="s">
        <v>3364</v>
      </c>
      <c r="F2230" s="7" t="s">
        <v>9736</v>
      </c>
      <c r="G2230" s="134">
        <f t="shared" si="241"/>
        <v>1</v>
      </c>
      <c r="H2230" s="134" t="str">
        <f t="shared" si="242"/>
        <v/>
      </c>
      <c r="I2230" s="7" t="s">
        <v>158</v>
      </c>
      <c r="J2230" s="7" t="s">
        <v>1</v>
      </c>
      <c r="K2230" s="7"/>
      <c r="L2230" s="7" t="s">
        <v>167</v>
      </c>
      <c r="M2230" s="7" t="s">
        <v>5699</v>
      </c>
      <c r="N2230" s="7" t="s">
        <v>170</v>
      </c>
      <c r="O2230" s="7" t="s">
        <v>162</v>
      </c>
      <c r="P2230" s="7" t="s">
        <v>6683</v>
      </c>
      <c r="Q2230" s="129">
        <v>46199</v>
      </c>
      <c r="R2230" s="130">
        <f t="shared" si="240"/>
        <v>46199</v>
      </c>
      <c r="S2230" s="131">
        <f t="shared" si="245"/>
        <v>0</v>
      </c>
      <c r="T2230" s="7" t="s">
        <v>193</v>
      </c>
      <c r="U2230" s="7" t="s">
        <v>1016</v>
      </c>
      <c r="V2230" s="7"/>
      <c r="W2230" s="7">
        <v>259.89999999999998</v>
      </c>
      <c r="X2230" s="132">
        <f t="shared" si="243"/>
        <v>10</v>
      </c>
      <c r="Y2230" s="133"/>
      <c r="Z2230" s="133"/>
      <c r="AA2230" s="133"/>
    </row>
    <row r="2231" spans="1:27" hidden="1" x14ac:dyDescent="0.25">
      <c r="A2231" s="127">
        <v>2425</v>
      </c>
      <c r="B2231" s="128" t="str">
        <f t="shared" si="244"/>
        <v>TORT</v>
      </c>
      <c r="C2231" s="128" t="str">
        <f>+VLOOKUP(U2231,Ходим!A:B,2,0)</f>
        <v>32801762130050</v>
      </c>
      <c r="D2231" s="128" t="str">
        <f>IFERROR(VLOOKUP($B:$B,[20]свод!$A:$AB,3,0)," ")</f>
        <v>Тўрақўрғон тумани</v>
      </c>
      <c r="E2231" s="7" t="s">
        <v>3365</v>
      </c>
      <c r="F2231" s="7" t="s">
        <v>9737</v>
      </c>
      <c r="G2231" s="134" t="str">
        <f t="shared" si="241"/>
        <v/>
      </c>
      <c r="H2231" s="134">
        <f t="shared" si="242"/>
        <v>1</v>
      </c>
      <c r="I2231" s="7" t="s">
        <v>157</v>
      </c>
      <c r="J2231" s="7" t="s">
        <v>29</v>
      </c>
      <c r="K2231" s="7"/>
      <c r="L2231" s="7" t="s">
        <v>166</v>
      </c>
      <c r="M2231" s="7" t="s">
        <v>1125</v>
      </c>
      <c r="N2231" s="7" t="s">
        <v>410</v>
      </c>
      <c r="O2231" s="7" t="s">
        <v>161</v>
      </c>
      <c r="P2231" s="7" t="s">
        <v>6811</v>
      </c>
      <c r="Q2231" s="129">
        <v>46199</v>
      </c>
      <c r="R2231" s="130">
        <f t="shared" si="240"/>
        <v>46212</v>
      </c>
      <c r="S2231" s="131">
        <f t="shared" si="245"/>
        <v>13</v>
      </c>
      <c r="T2231" s="7" t="s">
        <v>203</v>
      </c>
      <c r="U2231" s="7" t="s">
        <v>206</v>
      </c>
      <c r="V2231" s="7"/>
      <c r="W2231" s="7">
        <v>0</v>
      </c>
      <c r="X2231" s="132">
        <f t="shared" si="243"/>
        <v>10</v>
      </c>
      <c r="Y2231" s="133"/>
      <c r="Z2231" s="133"/>
      <c r="AA2231" s="133"/>
    </row>
    <row r="2232" spans="1:27" hidden="1" x14ac:dyDescent="0.25">
      <c r="A2232" s="127">
        <v>2426</v>
      </c>
      <c r="B2232" s="128" t="str">
        <f t="shared" si="244"/>
        <v>YGQT</v>
      </c>
      <c r="C2232" s="128" t="str">
        <f>+VLOOKUP(U2232,Ходим!A:B,2,0)</f>
        <v>30809995950021</v>
      </c>
      <c r="D2232" s="128" t="str">
        <f>IFERROR(VLOOKUP($B:$B,[20]свод!$A:$AB,3,0)," ")</f>
        <v>Янгиқўрғон тумани</v>
      </c>
      <c r="E2232" s="7" t="s">
        <v>3366</v>
      </c>
      <c r="F2232" s="7" t="s">
        <v>9738</v>
      </c>
      <c r="G2232" s="134" t="str">
        <f t="shared" si="241"/>
        <v/>
      </c>
      <c r="H2232" s="134">
        <f t="shared" si="242"/>
        <v>1</v>
      </c>
      <c r="I2232" s="7" t="s">
        <v>154</v>
      </c>
      <c r="J2232" s="7" t="s">
        <v>16</v>
      </c>
      <c r="K2232" s="7"/>
      <c r="L2232" s="7" t="s">
        <v>166</v>
      </c>
      <c r="M2232" s="7" t="s">
        <v>5700</v>
      </c>
      <c r="N2232" s="7" t="s">
        <v>170</v>
      </c>
      <c r="O2232" s="7" t="s">
        <v>161</v>
      </c>
      <c r="P2232" s="7" t="s">
        <v>6504</v>
      </c>
      <c r="Q2232" s="129">
        <v>46199</v>
      </c>
      <c r="R2232" s="130">
        <f t="shared" si="240"/>
        <v>46205</v>
      </c>
      <c r="S2232" s="131">
        <f t="shared" si="245"/>
        <v>6</v>
      </c>
      <c r="T2232" s="7" t="s">
        <v>255</v>
      </c>
      <c r="U2232" s="7" t="s">
        <v>223</v>
      </c>
      <c r="V2232" s="7"/>
      <c r="W2232" s="7">
        <v>81.97</v>
      </c>
      <c r="X2232" s="132">
        <f t="shared" si="243"/>
        <v>10</v>
      </c>
      <c r="Y2232" s="133"/>
      <c r="Z2232" s="133"/>
      <c r="AA2232" s="133"/>
    </row>
    <row r="2233" spans="1:27" hidden="1" x14ac:dyDescent="0.25">
      <c r="A2233" s="127">
        <v>2427</v>
      </c>
      <c r="B2233" s="128" t="str">
        <f t="shared" si="244"/>
        <v>YGQT</v>
      </c>
      <c r="C2233" s="128" t="str">
        <f>+VLOOKUP(U2233,Ходим!A:B,2,0)</f>
        <v>30809995950021</v>
      </c>
      <c r="D2233" s="128" t="str">
        <f>IFERROR(VLOOKUP($B:$B,[20]свод!$A:$AB,3,0)," ")</f>
        <v>Янгиқўрғон тумани</v>
      </c>
      <c r="E2233" s="7" t="s">
        <v>3367</v>
      </c>
      <c r="F2233" s="7" t="s">
        <v>9739</v>
      </c>
      <c r="G2233" s="134">
        <f t="shared" si="241"/>
        <v>1</v>
      </c>
      <c r="H2233" s="134" t="str">
        <f t="shared" si="242"/>
        <v/>
      </c>
      <c r="I2233" s="7" t="s">
        <v>158</v>
      </c>
      <c r="J2233" s="7" t="s">
        <v>2</v>
      </c>
      <c r="K2233" s="7"/>
      <c r="L2233" s="7" t="s">
        <v>169</v>
      </c>
      <c r="M2233" s="7" t="s">
        <v>382</v>
      </c>
      <c r="N2233" s="7" t="s">
        <v>170</v>
      </c>
      <c r="O2233" s="7" t="s">
        <v>162</v>
      </c>
      <c r="P2233" s="7" t="s">
        <v>6608</v>
      </c>
      <c r="Q2233" s="129">
        <v>46199</v>
      </c>
      <c r="R2233" s="130">
        <f t="shared" si="240"/>
        <v>46202</v>
      </c>
      <c r="S2233" s="131">
        <f t="shared" si="245"/>
        <v>3</v>
      </c>
      <c r="T2233" s="7" t="s">
        <v>255</v>
      </c>
      <c r="U2233" s="7" t="s">
        <v>223</v>
      </c>
      <c r="V2233" s="7"/>
      <c r="W2233" s="7">
        <v>0</v>
      </c>
      <c r="X2233" s="132">
        <f t="shared" si="243"/>
        <v>7</v>
      </c>
      <c r="Y2233" s="133"/>
      <c r="Z2233" s="133"/>
      <c r="AA2233" s="133"/>
    </row>
    <row r="2234" spans="1:27" hidden="1" x14ac:dyDescent="0.25">
      <c r="A2234" s="127">
        <v>2428</v>
      </c>
      <c r="B2234" s="128" t="str">
        <f t="shared" si="244"/>
        <v>UYCT</v>
      </c>
      <c r="C2234" s="128" t="str">
        <f>+VLOOKUP(U2234,Ходим!A:B,2,0)</f>
        <v>31703985930055</v>
      </c>
      <c r="D2234" s="128" t="str">
        <f>IFERROR(VLOOKUP($B:$B,[20]свод!$A:$AB,3,0)," ")</f>
        <v>Уйчи тумани</v>
      </c>
      <c r="E2234" s="7" t="s">
        <v>3368</v>
      </c>
      <c r="F2234" s="7" t="s">
        <v>9740</v>
      </c>
      <c r="G2234" s="134" t="str">
        <f t="shared" si="241"/>
        <v/>
      </c>
      <c r="H2234" s="134">
        <f t="shared" si="242"/>
        <v>1</v>
      </c>
      <c r="I2234" s="7" t="s">
        <v>157</v>
      </c>
      <c r="J2234" s="7" t="s">
        <v>85</v>
      </c>
      <c r="K2234" s="7"/>
      <c r="L2234" s="7" t="s">
        <v>166</v>
      </c>
      <c r="M2234" s="7" t="s">
        <v>5701</v>
      </c>
      <c r="N2234" s="7" t="s">
        <v>170</v>
      </c>
      <c r="O2234" s="7" t="s">
        <v>161</v>
      </c>
      <c r="P2234" s="7" t="s">
        <v>6732</v>
      </c>
      <c r="Q2234" s="129">
        <v>46199</v>
      </c>
      <c r="R2234" s="130">
        <f t="shared" si="240"/>
        <v>46203</v>
      </c>
      <c r="S2234" s="131">
        <f t="shared" si="245"/>
        <v>4</v>
      </c>
      <c r="T2234" s="7" t="s">
        <v>947</v>
      </c>
      <c r="U2234" s="7" t="s">
        <v>276</v>
      </c>
      <c r="V2234" s="7"/>
      <c r="W2234" s="7">
        <v>111.7</v>
      </c>
      <c r="X2234" s="132">
        <f t="shared" si="243"/>
        <v>12</v>
      </c>
      <c r="Y2234" s="133"/>
      <c r="Z2234" s="133"/>
      <c r="AA2234" s="133"/>
    </row>
    <row r="2235" spans="1:27" hidden="1" x14ac:dyDescent="0.25">
      <c r="A2235" s="127">
        <v>2429</v>
      </c>
      <c r="B2235" s="128" t="str">
        <f t="shared" si="244"/>
        <v>TORT</v>
      </c>
      <c r="C2235" s="128" t="str">
        <f>+VLOOKUP(U2235,Ходим!A:B,2,0)</f>
        <v>30708792130017</v>
      </c>
      <c r="D2235" s="128" t="str">
        <f>IFERROR(VLOOKUP($B:$B,[20]свод!$A:$AB,3,0)," ")</f>
        <v>Тўрақўрғон тумани</v>
      </c>
      <c r="E2235" s="7" t="s">
        <v>3369</v>
      </c>
      <c r="F2235" s="7" t="s">
        <v>9741</v>
      </c>
      <c r="G2235" s="134">
        <f t="shared" si="241"/>
        <v>1</v>
      </c>
      <c r="H2235" s="134" t="str">
        <f t="shared" si="242"/>
        <v/>
      </c>
      <c r="I2235" s="7" t="s">
        <v>158</v>
      </c>
      <c r="J2235" s="7" t="s">
        <v>13</v>
      </c>
      <c r="K2235" s="7"/>
      <c r="L2235" s="7" t="s">
        <v>167</v>
      </c>
      <c r="M2235" s="7" t="s">
        <v>1055</v>
      </c>
      <c r="N2235" s="7" t="s">
        <v>170</v>
      </c>
      <c r="O2235" s="7" t="s">
        <v>162</v>
      </c>
      <c r="P2235" s="7" t="s">
        <v>6305</v>
      </c>
      <c r="Q2235" s="129">
        <v>46199</v>
      </c>
      <c r="R2235" s="130">
        <f t="shared" si="240"/>
        <v>46204</v>
      </c>
      <c r="S2235" s="131">
        <f t="shared" si="245"/>
        <v>5</v>
      </c>
      <c r="T2235" s="7" t="s">
        <v>203</v>
      </c>
      <c r="U2235" s="7" t="s">
        <v>204</v>
      </c>
      <c r="V2235" s="7"/>
      <c r="W2235" s="7">
        <v>165.04</v>
      </c>
      <c r="X2235" s="132">
        <f t="shared" si="243"/>
        <v>10</v>
      </c>
      <c r="Y2235" s="133"/>
      <c r="Z2235" s="133"/>
      <c r="AA2235" s="133"/>
    </row>
    <row r="2236" spans="1:27" hidden="1" x14ac:dyDescent="0.25">
      <c r="A2236" s="127">
        <v>2430</v>
      </c>
      <c r="B2236" s="128" t="str">
        <f t="shared" si="244"/>
        <v>NAMT</v>
      </c>
      <c r="C2236" s="128" t="str">
        <f>+VLOOKUP(U2236,Ходим!A:B,2,0)</f>
        <v>32607902090019</v>
      </c>
      <c r="D2236" s="128" t="str">
        <f>IFERROR(VLOOKUP($B:$B,[20]свод!$A:$AB,3,0)," ")</f>
        <v>Наманган тумани</v>
      </c>
      <c r="E2236" s="7" t="s">
        <v>3370</v>
      </c>
      <c r="F2236" s="7" t="s">
        <v>9742</v>
      </c>
      <c r="G2236" s="134">
        <f t="shared" si="241"/>
        <v>1</v>
      </c>
      <c r="H2236" s="134" t="str">
        <f t="shared" si="242"/>
        <v/>
      </c>
      <c r="I2236" s="7" t="s">
        <v>158</v>
      </c>
      <c r="J2236" s="7" t="s">
        <v>2</v>
      </c>
      <c r="K2236" s="7"/>
      <c r="L2236" s="7" t="s">
        <v>167</v>
      </c>
      <c r="M2236" s="7" t="s">
        <v>5702</v>
      </c>
      <c r="N2236" s="7" t="s">
        <v>170</v>
      </c>
      <c r="O2236" s="7" t="s">
        <v>162</v>
      </c>
      <c r="P2236" s="7" t="s">
        <v>7290</v>
      </c>
      <c r="Q2236" s="129">
        <v>46199</v>
      </c>
      <c r="R2236" s="130">
        <f t="shared" si="240"/>
        <v>46209</v>
      </c>
      <c r="S2236" s="131">
        <f t="shared" si="245"/>
        <v>10</v>
      </c>
      <c r="T2236" s="7" t="s">
        <v>193</v>
      </c>
      <c r="U2236" s="7" t="s">
        <v>243</v>
      </c>
      <c r="V2236" s="7"/>
      <c r="W2236" s="7">
        <v>217.6</v>
      </c>
      <c r="X2236" s="132">
        <f t="shared" si="243"/>
        <v>10</v>
      </c>
      <c r="Y2236" s="133"/>
      <c r="Z2236" s="133"/>
      <c r="AA2236" s="133"/>
    </row>
    <row r="2237" spans="1:27" x14ac:dyDescent="0.25">
      <c r="A2237" s="127">
        <v>2431</v>
      </c>
      <c r="B2237" s="128" t="str">
        <f t="shared" si="244"/>
        <v>TORT</v>
      </c>
      <c r="C2237" s="128" t="str">
        <f>+VLOOKUP(U2237,Ходим!A:B,2,0)</f>
        <v>31704782130035</v>
      </c>
      <c r="D2237" s="128" t="str">
        <f>IFERROR(VLOOKUP($B:$B,[20]свод!$A:$AB,3,0)," ")</f>
        <v>Тўрақўрғон тумани</v>
      </c>
      <c r="E2237" s="7" t="s">
        <v>3371</v>
      </c>
      <c r="F2237" s="7" t="s">
        <v>9743</v>
      </c>
      <c r="G2237" s="134">
        <f t="shared" si="241"/>
        <v>1</v>
      </c>
      <c r="H2237" s="134" t="str">
        <f t="shared" si="242"/>
        <v/>
      </c>
      <c r="I2237" s="7" t="s">
        <v>158</v>
      </c>
      <c r="J2237" s="7" t="s">
        <v>1</v>
      </c>
      <c r="K2237" s="7"/>
      <c r="L2237" s="7" t="s">
        <v>167</v>
      </c>
      <c r="M2237" s="7" t="s">
        <v>5703</v>
      </c>
      <c r="N2237" s="7" t="s">
        <v>170</v>
      </c>
      <c r="O2237" s="7" t="s">
        <v>162</v>
      </c>
      <c r="P2237" s="7" t="s">
        <v>7291</v>
      </c>
      <c r="Q2237" s="129">
        <v>46199</v>
      </c>
      <c r="R2237" s="130">
        <f t="shared" si="240"/>
        <v>46199</v>
      </c>
      <c r="S2237" s="131">
        <f t="shared" si="245"/>
        <v>0</v>
      </c>
      <c r="T2237" s="7" t="s">
        <v>203</v>
      </c>
      <c r="U2237" s="7" t="s">
        <v>344</v>
      </c>
      <c r="V2237" s="7"/>
      <c r="W2237" s="7">
        <v>167.19</v>
      </c>
      <c r="X2237" s="132">
        <f t="shared" si="243"/>
        <v>10</v>
      </c>
      <c r="Y2237" s="133"/>
      <c r="Z2237" s="133"/>
      <c r="AA2237" s="133"/>
    </row>
    <row r="2238" spans="1:27" hidden="1" x14ac:dyDescent="0.25">
      <c r="A2238" s="127">
        <v>2432</v>
      </c>
      <c r="B2238" s="128" t="str">
        <f t="shared" si="244"/>
        <v>NAMS</v>
      </c>
      <c r="C2238" s="128" t="str">
        <f>+VLOOKUP(U2238,Ходим!A:B,2,0)</f>
        <v>30302965960014</v>
      </c>
      <c r="D2238" s="128" t="str">
        <f>IFERROR(VLOOKUP($B:$B,[20]свод!$A:$AB,3,0)," ")</f>
        <v>Наманган шаҳар</v>
      </c>
      <c r="E2238" s="7" t="s">
        <v>3372</v>
      </c>
      <c r="F2238" s="7" t="s">
        <v>9744</v>
      </c>
      <c r="G2238" s="134">
        <f t="shared" si="241"/>
        <v>1</v>
      </c>
      <c r="H2238" s="134" t="str">
        <f t="shared" si="242"/>
        <v/>
      </c>
      <c r="I2238" s="7" t="s">
        <v>158</v>
      </c>
      <c r="J2238" s="7" t="s">
        <v>9</v>
      </c>
      <c r="K2238" s="7"/>
      <c r="L2238" s="7" t="s">
        <v>167</v>
      </c>
      <c r="M2238" s="7" t="s">
        <v>5704</v>
      </c>
      <c r="N2238" s="7" t="s">
        <v>170</v>
      </c>
      <c r="O2238" s="7" t="s">
        <v>162</v>
      </c>
      <c r="P2238" s="7" t="s">
        <v>7292</v>
      </c>
      <c r="Q2238" s="129">
        <v>46199</v>
      </c>
      <c r="R2238" s="130">
        <f t="shared" si="240"/>
        <v>46206</v>
      </c>
      <c r="S2238" s="131">
        <f t="shared" si="245"/>
        <v>7</v>
      </c>
      <c r="T2238" s="7" t="s">
        <v>983</v>
      </c>
      <c r="U2238" s="7" t="s">
        <v>304</v>
      </c>
      <c r="V2238" s="7" t="s">
        <v>359</v>
      </c>
      <c r="W2238" s="7">
        <v>19.149999999999999</v>
      </c>
      <c r="X2238" s="132">
        <f t="shared" si="243"/>
        <v>10</v>
      </c>
      <c r="Y2238" s="133"/>
      <c r="Z2238" s="133"/>
      <c r="AA2238" s="133"/>
    </row>
    <row r="2239" spans="1:27" hidden="1" x14ac:dyDescent="0.25">
      <c r="A2239" s="127">
        <v>2434</v>
      </c>
      <c r="B2239" s="128" t="str">
        <f t="shared" si="244"/>
        <v>YGQT</v>
      </c>
      <c r="C2239" s="128" t="str">
        <f>+VLOOKUP(U2239,Ходим!A:B,2,0)</f>
        <v>52009035950022</v>
      </c>
      <c r="D2239" s="128" t="str">
        <f>IFERROR(VLOOKUP($B:$B,[20]свод!$A:$AB,3,0)," ")</f>
        <v>Янгиқўрғон тумани</v>
      </c>
      <c r="E2239" s="7" t="s">
        <v>3373</v>
      </c>
      <c r="F2239" s="7" t="s">
        <v>9745</v>
      </c>
      <c r="G2239" s="134" t="str">
        <f t="shared" si="241"/>
        <v/>
      </c>
      <c r="H2239" s="134">
        <f t="shared" si="242"/>
        <v>1</v>
      </c>
      <c r="I2239" s="7" t="s">
        <v>155</v>
      </c>
      <c r="J2239" s="7" t="s">
        <v>22</v>
      </c>
      <c r="K2239" s="7"/>
      <c r="L2239" s="7" t="s">
        <v>166</v>
      </c>
      <c r="M2239" s="7" t="s">
        <v>5705</v>
      </c>
      <c r="N2239" s="7" t="s">
        <v>410</v>
      </c>
      <c r="O2239" s="7" t="s">
        <v>161</v>
      </c>
      <c r="P2239" s="7" t="s">
        <v>7293</v>
      </c>
      <c r="Q2239" s="129">
        <v>46199</v>
      </c>
      <c r="R2239" s="130">
        <f t="shared" ref="R2239:R2296" si="246">WORKDAY(P2239,X2239,$Y$1:$AA$1)</f>
        <v>46210</v>
      </c>
      <c r="S2239" s="131">
        <f t="shared" si="245"/>
        <v>11</v>
      </c>
      <c r="T2239" s="7" t="s">
        <v>182</v>
      </c>
      <c r="U2239" s="7" t="s">
        <v>272</v>
      </c>
      <c r="V2239" s="7"/>
      <c r="W2239" s="7">
        <v>409.91</v>
      </c>
      <c r="X2239" s="132">
        <f t="shared" si="243"/>
        <v>12</v>
      </c>
      <c r="Y2239" s="133"/>
      <c r="Z2239" s="133"/>
      <c r="AA2239" s="133"/>
    </row>
    <row r="2240" spans="1:27" hidden="1" x14ac:dyDescent="0.25">
      <c r="A2240" s="127">
        <v>2435</v>
      </c>
      <c r="B2240" s="128" t="str">
        <f t="shared" si="244"/>
        <v>CHUT</v>
      </c>
      <c r="C2240" s="128" t="str">
        <f>+VLOOKUP(U2240,Ходим!A:B,2,0)</f>
        <v>50309005970046</v>
      </c>
      <c r="D2240" s="128" t="str">
        <f>IFERROR(VLOOKUP($B:$B,[20]свод!$A:$AB,3,0)," ")</f>
        <v>Чуст тумани</v>
      </c>
      <c r="E2240" s="7" t="s">
        <v>3374</v>
      </c>
      <c r="F2240" s="7" t="s">
        <v>9746</v>
      </c>
      <c r="G2240" s="134" t="str">
        <f t="shared" si="241"/>
        <v/>
      </c>
      <c r="H2240" s="134">
        <f t="shared" si="242"/>
        <v>1</v>
      </c>
      <c r="I2240" s="7" t="s">
        <v>157</v>
      </c>
      <c r="J2240" s="7" t="s">
        <v>172</v>
      </c>
      <c r="K2240" s="7"/>
      <c r="L2240" s="7" t="s">
        <v>168</v>
      </c>
      <c r="M2240" s="7" t="s">
        <v>5706</v>
      </c>
      <c r="N2240" s="7" t="s">
        <v>170</v>
      </c>
      <c r="O2240" s="7" t="s">
        <v>161</v>
      </c>
      <c r="P2240" s="7" t="s">
        <v>6819</v>
      </c>
      <c r="Q2240" s="129">
        <v>46199</v>
      </c>
      <c r="R2240" s="130">
        <f t="shared" si="246"/>
        <v>46203</v>
      </c>
      <c r="S2240" s="131">
        <f t="shared" si="245"/>
        <v>4</v>
      </c>
      <c r="T2240" s="7" t="s">
        <v>178</v>
      </c>
      <c r="U2240" s="7" t="s">
        <v>290</v>
      </c>
      <c r="V2240" s="7"/>
      <c r="W2240" s="7">
        <v>0</v>
      </c>
      <c r="X2240" s="132">
        <f t="shared" si="243"/>
        <v>7</v>
      </c>
      <c r="Y2240" s="133"/>
      <c r="Z2240" s="133"/>
      <c r="AA2240" s="133"/>
    </row>
    <row r="2241" spans="1:27" x14ac:dyDescent="0.25">
      <c r="A2241" s="127">
        <v>2436</v>
      </c>
      <c r="B2241" s="128" t="str">
        <f t="shared" si="244"/>
        <v>NAMT</v>
      </c>
      <c r="C2241" s="128" t="str">
        <f>+VLOOKUP(U2241,Ходим!A:B,2,0)</f>
        <v>32607902090019</v>
      </c>
      <c r="D2241" s="128" t="str">
        <f>IFERROR(VLOOKUP($B:$B,[20]свод!$A:$AB,3,0)," ")</f>
        <v>Наманган тумани</v>
      </c>
      <c r="E2241" s="7" t="s">
        <v>3375</v>
      </c>
      <c r="F2241" s="7" t="s">
        <v>9747</v>
      </c>
      <c r="G2241" s="134">
        <f t="shared" si="241"/>
        <v>1</v>
      </c>
      <c r="H2241" s="134" t="str">
        <f t="shared" si="242"/>
        <v/>
      </c>
      <c r="I2241" s="7" t="s">
        <v>158</v>
      </c>
      <c r="J2241" s="7" t="s">
        <v>1</v>
      </c>
      <c r="K2241" s="7"/>
      <c r="L2241" s="7" t="s">
        <v>167</v>
      </c>
      <c r="M2241" s="7" t="s">
        <v>5707</v>
      </c>
      <c r="N2241" s="7" t="s">
        <v>170</v>
      </c>
      <c r="O2241" s="7" t="s">
        <v>162</v>
      </c>
      <c r="P2241" s="7" t="s">
        <v>7294</v>
      </c>
      <c r="Q2241" s="129">
        <v>46199</v>
      </c>
      <c r="R2241" s="130">
        <f t="shared" si="246"/>
        <v>46199</v>
      </c>
      <c r="S2241" s="131">
        <f t="shared" si="245"/>
        <v>0</v>
      </c>
      <c r="T2241" s="7" t="s">
        <v>193</v>
      </c>
      <c r="U2241" s="7" t="s">
        <v>243</v>
      </c>
      <c r="V2241" s="7"/>
      <c r="W2241" s="7">
        <v>164.24</v>
      </c>
      <c r="X2241" s="132">
        <f t="shared" si="243"/>
        <v>10</v>
      </c>
      <c r="Y2241" s="133"/>
      <c r="Z2241" s="133"/>
      <c r="AA2241" s="133"/>
    </row>
    <row r="2242" spans="1:27" x14ac:dyDescent="0.25">
      <c r="A2242" s="127">
        <v>2437</v>
      </c>
      <c r="B2242" s="128" t="str">
        <f t="shared" si="244"/>
        <v>CHUT</v>
      </c>
      <c r="C2242" s="128" t="str">
        <f>+VLOOKUP(U2242,Ходим!A:B,2,0)</f>
        <v>31608922180118</v>
      </c>
      <c r="D2242" s="128" t="str">
        <f>IFERROR(VLOOKUP($B:$B,[20]свод!$A:$AB,3,0)," ")</f>
        <v>Чуст тумани</v>
      </c>
      <c r="E2242" s="7" t="s">
        <v>3376</v>
      </c>
      <c r="F2242" s="7" t="s">
        <v>9748</v>
      </c>
      <c r="G2242" s="134">
        <f t="shared" ref="G2242:G2300" si="247">IF(OR(
I2242="Turar joy obyektning kadastr pasportini shakllantirish va davlat ro'yxatidan o'tkazish",
I2242="Turar kompozit"
),
1,
IF(OR(
I2242="Noturar kompozit",
I2242="Avtoyo'l va suv xo'jaligi obyektining kadastr pasportini shakllantirish va ro'yxatga olish",
I2242="Noturar obyektning kadastr pasportining kadastr pasportini shakllantirish va davlat ro'yxatidan o'tkazish"
),
"",
IF(OR(
I2242="Notarius uchun ma'lumotnoma (uz)",
I2242="Qurilishi tugallangan ko'chmas mulkni foydalanishga qabul qilish",
I2242="Umumiy foydalanishdagi ko'chmas mulk qismini yaratish",
I2242="Registratsiya (tashqi - UZKAD da bor)"
),
IF(OR(L2242="Turar yer maydoni",L2242="Yakka tartibdagi turar joy"),1,
IF(L2242="Noturar bino","",
IF(L2242="Noturar yer maydoni","",
IF(L2242="",IF(OR(O2242="Turar joy xizmati",O2242="Foydalanishga ruxsatnoma berish xizmati"),1,""),"")
))),
"")))</f>
        <v>1</v>
      </c>
      <c r="H2242" s="134" t="str">
        <f t="shared" ref="H2242:H2300" si="248">IF(OR(
I2242="Turar joy obyektning kadastr pasportini shakllantirish va davlat ro'yxatidan o'tkazish",
I2242="Turar kompozit"
),
"",
IF(OR(
I2242="Noturar kompozit",
I2242="Avtoyo'l va suv xo'jaligi obyektining kadastr pasportini shakllantirish va ro'yxatga olish",
I2242="Noturar obyektning kadastr pasportini shakllantirish va davlat ro'yxatidan o'tkazish"
),
1,
IF(OR(
I2242="Notarius uchun ma'lumotnoma (uz)",
I2242="Qurilishi tugallangan ko'chmas mulkni foydalanishga qabul qilish",
I2242="Umumiy foydalanishdagi ko'chmas mulk qismini yaratish",
I2242="Registratsiya (tashqi - UZKAD da bor)"
),
IF(OR(L2242="Turar yer maydoni",L2242="Yakka tartibdagi turar joy"),"",
IF(L2242="Noturar bino",1,
IF(L2242="Noturar yer maydoni",1,
IF(L2242="",IF(OR(O2242="Turar joy xizmati",O2242="Foydalanishga ruxsatnoma berish xizmati"),"",1),"")
))),
"")))</f>
        <v/>
      </c>
      <c r="I2242" s="7" t="s">
        <v>158</v>
      </c>
      <c r="J2242" s="7" t="s">
        <v>35</v>
      </c>
      <c r="K2242" s="7"/>
      <c r="L2242" s="7" t="s">
        <v>167</v>
      </c>
      <c r="M2242" s="7" t="s">
        <v>5708</v>
      </c>
      <c r="N2242" s="7" t="s">
        <v>170</v>
      </c>
      <c r="O2242" s="7" t="s">
        <v>162</v>
      </c>
      <c r="P2242" s="7" t="s">
        <v>7295</v>
      </c>
      <c r="Q2242" s="129">
        <v>46199</v>
      </c>
      <c r="R2242" s="130">
        <f t="shared" si="246"/>
        <v>46198</v>
      </c>
      <c r="S2242" s="131">
        <f t="shared" si="245"/>
        <v>-1</v>
      </c>
      <c r="T2242" s="7" t="s">
        <v>178</v>
      </c>
      <c r="U2242" s="7" t="s">
        <v>284</v>
      </c>
      <c r="V2242" s="7"/>
      <c r="W2242" s="7">
        <v>313.60000000000002</v>
      </c>
      <c r="X2242" s="132">
        <f t="shared" si="243"/>
        <v>10</v>
      </c>
      <c r="Y2242" s="133"/>
      <c r="Z2242" s="133"/>
      <c r="AA2242" s="133"/>
    </row>
    <row r="2243" spans="1:27" hidden="1" x14ac:dyDescent="0.25">
      <c r="A2243" s="127">
        <v>2438</v>
      </c>
      <c r="B2243" s="128" t="str">
        <f t="shared" si="244"/>
        <v>CHUT</v>
      </c>
      <c r="C2243" s="128" t="str">
        <f>+VLOOKUP(U2243,Ходим!A:B,2,0)</f>
        <v>32003822180063</v>
      </c>
      <c r="D2243" s="128" t="str">
        <f>IFERROR(VLOOKUP($B:$B,[20]свод!$A:$AB,3,0)," ")</f>
        <v>Чуст тумани</v>
      </c>
      <c r="E2243" s="7" t="s">
        <v>3377</v>
      </c>
      <c r="F2243" s="7" t="s">
        <v>9749</v>
      </c>
      <c r="G2243" s="134">
        <f t="shared" si="247"/>
        <v>1</v>
      </c>
      <c r="H2243" s="134" t="str">
        <f t="shared" si="248"/>
        <v/>
      </c>
      <c r="I2243" s="7" t="s">
        <v>158</v>
      </c>
      <c r="J2243" s="7" t="s">
        <v>2</v>
      </c>
      <c r="K2243" s="7"/>
      <c r="L2243" s="7" t="s">
        <v>167</v>
      </c>
      <c r="M2243" s="7" t="s">
        <v>5709</v>
      </c>
      <c r="N2243" s="7" t="s">
        <v>170</v>
      </c>
      <c r="O2243" s="7" t="s">
        <v>162</v>
      </c>
      <c r="P2243" s="7" t="s">
        <v>6804</v>
      </c>
      <c r="Q2243" s="129">
        <v>46199</v>
      </c>
      <c r="R2243" s="130">
        <f t="shared" si="246"/>
        <v>46206</v>
      </c>
      <c r="S2243" s="131">
        <f t="shared" si="245"/>
        <v>7</v>
      </c>
      <c r="T2243" s="7" t="s">
        <v>178</v>
      </c>
      <c r="U2243" s="7" t="s">
        <v>200</v>
      </c>
      <c r="V2243" s="7"/>
      <c r="W2243" s="7">
        <v>340.5</v>
      </c>
      <c r="X2243" s="132">
        <f t="shared" si="243"/>
        <v>10</v>
      </c>
      <c r="Y2243" s="133"/>
      <c r="Z2243" s="133"/>
      <c r="AA2243" s="133"/>
    </row>
    <row r="2244" spans="1:27" hidden="1" x14ac:dyDescent="0.25">
      <c r="A2244" s="127">
        <v>2439</v>
      </c>
      <c r="B2244" s="128" t="str">
        <f t="shared" si="244"/>
        <v>UYCT</v>
      </c>
      <c r="C2244" s="128" t="str">
        <f>+VLOOKUP(U2244,Ходим!A:B,2,0)</f>
        <v>31703985930055</v>
      </c>
      <c r="D2244" s="128" t="str">
        <f>IFERROR(VLOOKUP($B:$B,[20]свод!$A:$AB,3,0)," ")</f>
        <v>Уйчи тумани</v>
      </c>
      <c r="E2244" s="7" t="s">
        <v>3378</v>
      </c>
      <c r="F2244" s="7" t="s">
        <v>9750</v>
      </c>
      <c r="G2244" s="134">
        <f t="shared" si="247"/>
        <v>1</v>
      </c>
      <c r="H2244" s="134" t="str">
        <f t="shared" si="248"/>
        <v/>
      </c>
      <c r="I2244" s="7" t="s">
        <v>154</v>
      </c>
      <c r="J2244" s="7" t="s">
        <v>1</v>
      </c>
      <c r="K2244" s="7"/>
      <c r="L2244" s="7" t="s">
        <v>167</v>
      </c>
      <c r="M2244" s="7" t="s">
        <v>5710</v>
      </c>
      <c r="N2244" s="7" t="s">
        <v>170</v>
      </c>
      <c r="O2244" s="7" t="s">
        <v>162</v>
      </c>
      <c r="P2244" s="7" t="s">
        <v>6977</v>
      </c>
      <c r="Q2244" s="129">
        <v>46199</v>
      </c>
      <c r="R2244" s="130">
        <f t="shared" si="246"/>
        <v>46204</v>
      </c>
      <c r="S2244" s="131">
        <f t="shared" si="245"/>
        <v>5</v>
      </c>
      <c r="T2244" s="7" t="s">
        <v>947</v>
      </c>
      <c r="U2244" s="7" t="s">
        <v>276</v>
      </c>
      <c r="V2244" s="7"/>
      <c r="W2244" s="7">
        <v>402.17</v>
      </c>
      <c r="X2244" s="132">
        <f t="shared" si="243"/>
        <v>10</v>
      </c>
      <c r="Y2244" s="133"/>
      <c r="Z2244" s="133"/>
      <c r="AA2244" s="133"/>
    </row>
    <row r="2245" spans="1:27" hidden="1" x14ac:dyDescent="0.25">
      <c r="A2245" s="127">
        <v>2440</v>
      </c>
      <c r="B2245" s="128" t="str">
        <f t="shared" si="244"/>
        <v>NAMS</v>
      </c>
      <c r="C2245" s="128" t="str">
        <f>+VLOOKUP(U2245,Ходим!A:B,2,0)</f>
        <v>33012942170121</v>
      </c>
      <c r="D2245" s="128" t="str">
        <f>IFERROR(VLOOKUP($B:$B,[20]свод!$A:$AB,3,0)," ")</f>
        <v>Наманган шаҳар</v>
      </c>
      <c r="E2245" s="7" t="s">
        <v>3379</v>
      </c>
      <c r="F2245" s="7"/>
      <c r="G2245" s="134">
        <f t="shared" si="247"/>
        <v>1</v>
      </c>
      <c r="H2245" s="134" t="str">
        <f t="shared" si="248"/>
        <v/>
      </c>
      <c r="I2245" s="7" t="s">
        <v>154</v>
      </c>
      <c r="J2245" s="7" t="s">
        <v>2</v>
      </c>
      <c r="K2245" s="7"/>
      <c r="L2245" s="7" t="s">
        <v>167</v>
      </c>
      <c r="M2245" s="7" t="s">
        <v>5711</v>
      </c>
      <c r="N2245" s="7" t="s">
        <v>368</v>
      </c>
      <c r="O2245" s="7"/>
      <c r="P2245" s="7" t="s">
        <v>7296</v>
      </c>
      <c r="Q2245" s="129">
        <v>46199</v>
      </c>
      <c r="R2245" s="130">
        <f t="shared" si="246"/>
        <v>46205</v>
      </c>
      <c r="S2245" s="131">
        <f t="shared" si="245"/>
        <v>6</v>
      </c>
      <c r="T2245" s="7"/>
      <c r="U2245" s="7" t="s">
        <v>259</v>
      </c>
      <c r="V2245" s="7"/>
      <c r="W2245" s="7">
        <v>274.39</v>
      </c>
      <c r="X2245" s="132">
        <f t="shared" si="243"/>
        <v>5</v>
      </c>
      <c r="Y2245" s="133"/>
      <c r="Z2245" s="133"/>
      <c r="AA2245" s="133"/>
    </row>
    <row r="2246" spans="1:27" hidden="1" x14ac:dyDescent="0.25">
      <c r="A2246" s="127">
        <v>2441</v>
      </c>
      <c r="B2246" s="128" t="str">
        <f t="shared" si="244"/>
        <v>POPT</v>
      </c>
      <c r="C2246" s="128" t="str">
        <f>+VLOOKUP(U2246,Ходим!A:B,2,0)</f>
        <v>51605005910024</v>
      </c>
      <c r="D2246" s="128" t="str">
        <f>IFERROR(VLOOKUP($B:$B,[20]свод!$A:$AB,3,0)," ")</f>
        <v>Поп тумани</v>
      </c>
      <c r="E2246" s="7" t="s">
        <v>3380</v>
      </c>
      <c r="F2246" s="7" t="s">
        <v>9751</v>
      </c>
      <c r="G2246" s="134">
        <f t="shared" si="247"/>
        <v>1</v>
      </c>
      <c r="H2246" s="134" t="str">
        <f t="shared" si="248"/>
        <v/>
      </c>
      <c r="I2246" s="7" t="s">
        <v>158</v>
      </c>
      <c r="J2246" s="7" t="s">
        <v>2</v>
      </c>
      <c r="K2246" s="7"/>
      <c r="L2246" s="7" t="s">
        <v>167</v>
      </c>
      <c r="M2246" s="7" t="s">
        <v>5712</v>
      </c>
      <c r="N2246" s="7" t="s">
        <v>170</v>
      </c>
      <c r="O2246" s="7" t="s">
        <v>162</v>
      </c>
      <c r="P2246" s="7" t="s">
        <v>6876</v>
      </c>
      <c r="Q2246" s="129">
        <v>46199</v>
      </c>
      <c r="R2246" s="130">
        <f t="shared" si="246"/>
        <v>46204</v>
      </c>
      <c r="S2246" s="131">
        <f t="shared" si="245"/>
        <v>5</v>
      </c>
      <c r="T2246" s="7" t="s">
        <v>240</v>
      </c>
      <c r="U2246" s="7" t="s">
        <v>241</v>
      </c>
      <c r="V2246" s="7"/>
      <c r="W2246" s="7">
        <v>420.76</v>
      </c>
      <c r="X2246" s="132">
        <f t="shared" si="243"/>
        <v>10</v>
      </c>
      <c r="Y2246" s="133"/>
      <c r="Z2246" s="133"/>
      <c r="AA2246" s="133"/>
    </row>
    <row r="2247" spans="1:27" hidden="1" x14ac:dyDescent="0.25">
      <c r="A2247" s="127">
        <v>2442</v>
      </c>
      <c r="B2247" s="128" t="str">
        <f t="shared" si="244"/>
        <v>NAMS</v>
      </c>
      <c r="C2247" s="128" t="str">
        <f>+VLOOKUP(U2247,Ходим!A:B,2,0)</f>
        <v>30809892160183</v>
      </c>
      <c r="D2247" s="128" t="str">
        <f>IFERROR(VLOOKUP($B:$B,[20]свод!$A:$AB,3,0)," ")</f>
        <v>Наманган шаҳар</v>
      </c>
      <c r="E2247" s="7" t="s">
        <v>3381</v>
      </c>
      <c r="F2247" s="7" t="s">
        <v>9752</v>
      </c>
      <c r="G2247" s="134" t="str">
        <f t="shared" si="247"/>
        <v/>
      </c>
      <c r="H2247" s="134">
        <f t="shared" si="248"/>
        <v>1</v>
      </c>
      <c r="I2247" s="7" t="s">
        <v>157</v>
      </c>
      <c r="J2247" s="7" t="s">
        <v>1</v>
      </c>
      <c r="K2247" s="7"/>
      <c r="L2247" s="7" t="s">
        <v>166</v>
      </c>
      <c r="M2247" s="7" t="s">
        <v>5713</v>
      </c>
      <c r="N2247" s="7" t="s">
        <v>170</v>
      </c>
      <c r="O2247" s="7" t="s">
        <v>161</v>
      </c>
      <c r="P2247" s="7" t="s">
        <v>7297</v>
      </c>
      <c r="Q2247" s="129">
        <v>46199</v>
      </c>
      <c r="R2247" s="130">
        <f t="shared" si="246"/>
        <v>46211</v>
      </c>
      <c r="S2247" s="131">
        <f t="shared" si="245"/>
        <v>12</v>
      </c>
      <c r="T2247" s="7" t="s">
        <v>227</v>
      </c>
      <c r="U2247" s="7" t="s">
        <v>192</v>
      </c>
      <c r="V2247" s="7"/>
      <c r="W2247" s="7">
        <v>9860.32</v>
      </c>
      <c r="X2247" s="132">
        <f t="shared" si="243"/>
        <v>22</v>
      </c>
      <c r="Y2247" s="133"/>
      <c r="Z2247" s="133"/>
      <c r="AA2247" s="133"/>
    </row>
    <row r="2248" spans="1:27" x14ac:dyDescent="0.25">
      <c r="A2248" s="127">
        <v>2443</v>
      </c>
      <c r="B2248" s="128" t="str">
        <f t="shared" si="244"/>
        <v>NAMS</v>
      </c>
      <c r="C2248" s="128">
        <f>+VLOOKUP(U2248,Ходим!A:B,2,0)</f>
        <v>50510025960139</v>
      </c>
      <c r="D2248" s="128" t="str">
        <f>IFERROR(VLOOKUP($B:$B,[20]свод!$A:$AB,3,0)," ")</f>
        <v>Наманган шаҳар</v>
      </c>
      <c r="E2248" s="7" t="s">
        <v>3382</v>
      </c>
      <c r="F2248" s="7" t="s">
        <v>9753</v>
      </c>
      <c r="G2248" s="134">
        <f t="shared" si="247"/>
        <v>1</v>
      </c>
      <c r="H2248" s="134" t="str">
        <f t="shared" si="248"/>
        <v/>
      </c>
      <c r="I2248" s="7" t="s">
        <v>158</v>
      </c>
      <c r="J2248" s="7" t="s">
        <v>1</v>
      </c>
      <c r="K2248" s="7"/>
      <c r="L2248" s="7" t="s">
        <v>167</v>
      </c>
      <c r="M2248" s="7" t="s">
        <v>1006</v>
      </c>
      <c r="N2248" s="7" t="s">
        <v>170</v>
      </c>
      <c r="O2248" s="7" t="s">
        <v>162</v>
      </c>
      <c r="P2248" s="7" t="s">
        <v>6673</v>
      </c>
      <c r="Q2248" s="129">
        <v>46199</v>
      </c>
      <c r="R2248" s="130">
        <f t="shared" si="246"/>
        <v>46199</v>
      </c>
      <c r="S2248" s="131">
        <f t="shared" si="245"/>
        <v>0</v>
      </c>
      <c r="T2248" s="7" t="s">
        <v>185</v>
      </c>
      <c r="U2248" s="7" t="s">
        <v>955</v>
      </c>
      <c r="V2248" s="7"/>
      <c r="W2248" s="7">
        <v>86.23</v>
      </c>
      <c r="X2248" s="132">
        <f t="shared" si="243"/>
        <v>10</v>
      </c>
      <c r="Y2248" s="133"/>
      <c r="Z2248" s="133"/>
      <c r="AA2248" s="133"/>
    </row>
    <row r="2249" spans="1:27" hidden="1" x14ac:dyDescent="0.25">
      <c r="A2249" s="127">
        <v>2444</v>
      </c>
      <c r="B2249" s="128" t="str">
        <f t="shared" si="244"/>
        <v>NAMS</v>
      </c>
      <c r="C2249" s="128" t="str">
        <f>+VLOOKUP(U2249,Ходим!A:B,2,0)</f>
        <v>51705025890024</v>
      </c>
      <c r="D2249" s="128" t="str">
        <f>IFERROR(VLOOKUP($B:$B,[20]свод!$A:$AB,3,0)," ")</f>
        <v>Наманган шаҳар</v>
      </c>
      <c r="E2249" s="7" t="s">
        <v>3383</v>
      </c>
      <c r="F2249" s="7" t="s">
        <v>9754</v>
      </c>
      <c r="G2249" s="134">
        <f t="shared" si="247"/>
        <v>1</v>
      </c>
      <c r="H2249" s="134" t="str">
        <f t="shared" si="248"/>
        <v/>
      </c>
      <c r="I2249" s="7" t="s">
        <v>158</v>
      </c>
      <c r="J2249" s="7" t="s">
        <v>1</v>
      </c>
      <c r="K2249" s="7"/>
      <c r="L2249" s="7" t="s">
        <v>167</v>
      </c>
      <c r="M2249" s="7" t="s">
        <v>5714</v>
      </c>
      <c r="N2249" s="7" t="s">
        <v>170</v>
      </c>
      <c r="O2249" s="7" t="s">
        <v>162</v>
      </c>
      <c r="P2249" s="7" t="s">
        <v>7298</v>
      </c>
      <c r="Q2249" s="129">
        <v>46199</v>
      </c>
      <c r="R2249" s="130">
        <f t="shared" si="246"/>
        <v>46206</v>
      </c>
      <c r="S2249" s="131">
        <f t="shared" si="245"/>
        <v>7</v>
      </c>
      <c r="T2249" s="7" t="s">
        <v>185</v>
      </c>
      <c r="U2249" s="7" t="s">
        <v>189</v>
      </c>
      <c r="V2249" s="7"/>
      <c r="W2249" s="7">
        <v>1054.6400000000001</v>
      </c>
      <c r="X2249" s="132">
        <f t="shared" si="243"/>
        <v>10</v>
      </c>
      <c r="Y2249" s="133"/>
      <c r="Z2249" s="133"/>
      <c r="AA2249" s="133"/>
    </row>
    <row r="2250" spans="1:27" x14ac:dyDescent="0.25">
      <c r="A2250" s="127">
        <v>2445</v>
      </c>
      <c r="B2250" s="128" t="str">
        <f t="shared" si="244"/>
        <v>NAMS</v>
      </c>
      <c r="C2250" s="128">
        <f>+VLOOKUP(U2250,Ходим!A:B,2,0)</f>
        <v>52004005950071</v>
      </c>
      <c r="D2250" s="128" t="str">
        <f>IFERROR(VLOOKUP($B:$B,[20]свод!$A:$AB,3,0)," ")</f>
        <v>Наманган шаҳар</v>
      </c>
      <c r="E2250" s="7" t="s">
        <v>3384</v>
      </c>
      <c r="F2250" s="7" t="s">
        <v>9755</v>
      </c>
      <c r="G2250" s="134">
        <f t="shared" si="247"/>
        <v>1</v>
      </c>
      <c r="H2250" s="134" t="str">
        <f t="shared" si="248"/>
        <v/>
      </c>
      <c r="I2250" s="7" t="s">
        <v>158</v>
      </c>
      <c r="J2250" s="7" t="s">
        <v>1137</v>
      </c>
      <c r="K2250" s="7"/>
      <c r="L2250" s="7" t="s">
        <v>167</v>
      </c>
      <c r="M2250" s="7" t="s">
        <v>5715</v>
      </c>
      <c r="N2250" s="7" t="s">
        <v>170</v>
      </c>
      <c r="O2250" s="7" t="s">
        <v>4261</v>
      </c>
      <c r="P2250" s="7" t="s">
        <v>7299</v>
      </c>
      <c r="Q2250" s="129">
        <v>46199</v>
      </c>
      <c r="R2250" s="130">
        <f t="shared" si="246"/>
        <v>46191</v>
      </c>
      <c r="S2250" s="131">
        <f t="shared" si="245"/>
        <v>-8</v>
      </c>
      <c r="T2250" s="7" t="s">
        <v>234</v>
      </c>
      <c r="U2250" s="7" t="s">
        <v>1015</v>
      </c>
      <c r="V2250" s="7" t="s">
        <v>965</v>
      </c>
      <c r="W2250" s="7">
        <v>422.65</v>
      </c>
      <c r="X2250" s="132">
        <f t="shared" si="243"/>
        <v>5</v>
      </c>
      <c r="Y2250" s="133"/>
      <c r="Z2250" s="133"/>
      <c r="AA2250" s="133"/>
    </row>
    <row r="2251" spans="1:27" x14ac:dyDescent="0.25">
      <c r="A2251" s="127">
        <v>2446</v>
      </c>
      <c r="B2251" s="128" t="str">
        <f t="shared" si="244"/>
        <v>NAMS</v>
      </c>
      <c r="C2251" s="128" t="str">
        <f>+VLOOKUP(U2251,Ходим!A:B,2,0)</f>
        <v>31608732170178</v>
      </c>
      <c r="D2251" s="128" t="str">
        <f>IFERROR(VLOOKUP($B:$B,[20]свод!$A:$AB,3,0)," ")</f>
        <v>Наманган шаҳар</v>
      </c>
      <c r="E2251" s="7" t="s">
        <v>3385</v>
      </c>
      <c r="F2251" s="7" t="s">
        <v>9756</v>
      </c>
      <c r="G2251" s="134">
        <f t="shared" si="247"/>
        <v>1</v>
      </c>
      <c r="H2251" s="134" t="str">
        <f t="shared" si="248"/>
        <v/>
      </c>
      <c r="I2251" s="7" t="s">
        <v>158</v>
      </c>
      <c r="J2251" s="7" t="s">
        <v>1137</v>
      </c>
      <c r="K2251" s="7"/>
      <c r="L2251" s="7" t="s">
        <v>167</v>
      </c>
      <c r="M2251" s="7" t="s">
        <v>5716</v>
      </c>
      <c r="N2251" s="7" t="s">
        <v>170</v>
      </c>
      <c r="O2251" s="7" t="s">
        <v>162</v>
      </c>
      <c r="P2251" s="7" t="s">
        <v>7300</v>
      </c>
      <c r="Q2251" s="129">
        <v>46199</v>
      </c>
      <c r="R2251" s="130">
        <f t="shared" si="246"/>
        <v>46191</v>
      </c>
      <c r="S2251" s="131">
        <f t="shared" si="245"/>
        <v>-8</v>
      </c>
      <c r="T2251" s="7" t="s">
        <v>234</v>
      </c>
      <c r="U2251" s="7" t="s">
        <v>267</v>
      </c>
      <c r="V2251" s="7" t="s">
        <v>965</v>
      </c>
      <c r="W2251" s="7">
        <v>314.88</v>
      </c>
      <c r="X2251" s="132">
        <f t="shared" si="243"/>
        <v>5</v>
      </c>
      <c r="Y2251" s="133"/>
      <c r="Z2251" s="133"/>
      <c r="AA2251" s="133"/>
    </row>
    <row r="2252" spans="1:27" hidden="1" x14ac:dyDescent="0.25">
      <c r="A2252" s="127">
        <v>2447</v>
      </c>
      <c r="B2252" s="128" t="str">
        <f t="shared" si="244"/>
        <v>POPT</v>
      </c>
      <c r="C2252" s="128" t="str">
        <f>+VLOOKUP(U2252,Ходим!A:B,2,0)</f>
        <v>30609882120085</v>
      </c>
      <c r="D2252" s="128" t="str">
        <f>IFERROR(VLOOKUP($B:$B,[20]свод!$A:$AB,3,0)," ")</f>
        <v>Поп тумани</v>
      </c>
      <c r="E2252" s="7" t="s">
        <v>3386</v>
      </c>
      <c r="F2252" s="7" t="s">
        <v>9757</v>
      </c>
      <c r="G2252" s="134" t="str">
        <f t="shared" si="247"/>
        <v/>
      </c>
      <c r="H2252" s="134">
        <f t="shared" si="248"/>
        <v>1</v>
      </c>
      <c r="I2252" s="7" t="s">
        <v>155</v>
      </c>
      <c r="J2252" s="7" t="s">
        <v>25</v>
      </c>
      <c r="K2252" s="7"/>
      <c r="L2252" s="7" t="s">
        <v>166</v>
      </c>
      <c r="M2252" s="7" t="s">
        <v>5717</v>
      </c>
      <c r="N2252" s="7" t="s">
        <v>170</v>
      </c>
      <c r="O2252" s="7" t="s">
        <v>161</v>
      </c>
      <c r="P2252" s="7" t="s">
        <v>7226</v>
      </c>
      <c r="Q2252" s="129">
        <v>46199</v>
      </c>
      <c r="R2252" s="130">
        <f t="shared" si="246"/>
        <v>46203</v>
      </c>
      <c r="S2252" s="131">
        <f t="shared" si="245"/>
        <v>4</v>
      </c>
      <c r="T2252" s="7" t="s">
        <v>240</v>
      </c>
      <c r="U2252" s="7" t="s">
        <v>248</v>
      </c>
      <c r="V2252" s="7"/>
      <c r="W2252" s="7">
        <v>0</v>
      </c>
      <c r="X2252" s="132">
        <f t="shared" si="243"/>
        <v>10</v>
      </c>
      <c r="Y2252" s="133"/>
      <c r="Z2252" s="133"/>
      <c r="AA2252" s="133"/>
    </row>
    <row r="2253" spans="1:27" hidden="1" x14ac:dyDescent="0.25">
      <c r="A2253" s="127">
        <v>2448</v>
      </c>
      <c r="B2253" s="128" t="str">
        <f t="shared" si="244"/>
        <v>YGQT</v>
      </c>
      <c r="C2253" s="128" t="str">
        <f>+VLOOKUP(U2253,Ходим!A:B,2,0)</f>
        <v>30809995950021</v>
      </c>
      <c r="D2253" s="128" t="str">
        <f>IFERROR(VLOOKUP($B:$B,[20]свод!$A:$AB,3,0)," ")</f>
        <v>Янгиқўрғон тумани</v>
      </c>
      <c r="E2253" s="7" t="s">
        <v>3387</v>
      </c>
      <c r="F2253" s="7" t="s">
        <v>9758</v>
      </c>
      <c r="G2253" s="134" t="str">
        <f t="shared" si="247"/>
        <v/>
      </c>
      <c r="H2253" s="134">
        <f t="shared" si="248"/>
        <v>1</v>
      </c>
      <c r="I2253" s="7" t="s">
        <v>157</v>
      </c>
      <c r="J2253" s="7" t="s">
        <v>12</v>
      </c>
      <c r="K2253" s="7"/>
      <c r="L2253" s="7" t="s">
        <v>168</v>
      </c>
      <c r="M2253" s="7" t="s">
        <v>5718</v>
      </c>
      <c r="N2253" s="7" t="s">
        <v>170</v>
      </c>
      <c r="O2253" s="7" t="s">
        <v>161</v>
      </c>
      <c r="P2253" s="7" t="s">
        <v>6939</v>
      </c>
      <c r="Q2253" s="129">
        <v>46199</v>
      </c>
      <c r="R2253" s="130">
        <f t="shared" si="246"/>
        <v>46203</v>
      </c>
      <c r="S2253" s="131">
        <f t="shared" si="245"/>
        <v>4</v>
      </c>
      <c r="T2253" s="7" t="s">
        <v>255</v>
      </c>
      <c r="U2253" s="7" t="s">
        <v>223</v>
      </c>
      <c r="V2253" s="7"/>
      <c r="W2253" s="7">
        <v>0</v>
      </c>
      <c r="X2253" s="132">
        <f t="shared" si="243"/>
        <v>7</v>
      </c>
      <c r="Y2253" s="133"/>
      <c r="Z2253" s="133"/>
      <c r="AA2253" s="133"/>
    </row>
    <row r="2254" spans="1:27" x14ac:dyDescent="0.25">
      <c r="A2254" s="127">
        <v>2449</v>
      </c>
      <c r="B2254" s="128" t="str">
        <f t="shared" si="244"/>
        <v>NAMT</v>
      </c>
      <c r="C2254" s="128" t="str">
        <f>+VLOOKUP(U2254,Ходим!A:B,2,0)</f>
        <v>40306812090034</v>
      </c>
      <c r="D2254" s="128" t="str">
        <f>IFERROR(VLOOKUP($B:$B,[20]свод!$A:$AB,3,0)," ")</f>
        <v>Наманган тумани</v>
      </c>
      <c r="E2254" s="7" t="s">
        <v>3388</v>
      </c>
      <c r="F2254" s="7" t="s">
        <v>9759</v>
      </c>
      <c r="G2254" s="134">
        <f t="shared" si="247"/>
        <v>1</v>
      </c>
      <c r="H2254" s="134" t="str">
        <f t="shared" si="248"/>
        <v/>
      </c>
      <c r="I2254" s="7" t="s">
        <v>158</v>
      </c>
      <c r="J2254" s="7" t="s">
        <v>1</v>
      </c>
      <c r="K2254" s="7"/>
      <c r="L2254" s="7" t="s">
        <v>167</v>
      </c>
      <c r="M2254" s="7" t="s">
        <v>5719</v>
      </c>
      <c r="N2254" s="7" t="s">
        <v>170</v>
      </c>
      <c r="O2254" s="7" t="s">
        <v>162</v>
      </c>
      <c r="P2254" s="7" t="s">
        <v>6693</v>
      </c>
      <c r="Q2254" s="129">
        <v>46199</v>
      </c>
      <c r="R2254" s="130">
        <f t="shared" si="246"/>
        <v>46199</v>
      </c>
      <c r="S2254" s="131">
        <f t="shared" si="245"/>
        <v>0</v>
      </c>
      <c r="T2254" s="7" t="s">
        <v>193</v>
      </c>
      <c r="U2254" s="7" t="s">
        <v>273</v>
      </c>
      <c r="V2254" s="7"/>
      <c r="W2254" s="7">
        <v>230</v>
      </c>
      <c r="X2254" s="132">
        <f t="shared" si="243"/>
        <v>10</v>
      </c>
      <c r="Y2254" s="133"/>
      <c r="Z2254" s="133"/>
      <c r="AA2254" s="133"/>
    </row>
    <row r="2255" spans="1:27" x14ac:dyDescent="0.25">
      <c r="A2255" s="127">
        <v>2450</v>
      </c>
      <c r="B2255" s="128" t="str">
        <f t="shared" si="244"/>
        <v>CHUT</v>
      </c>
      <c r="C2255" s="128" t="str">
        <f>+VLOOKUP(U2255,Ходим!A:B,2,0)</f>
        <v>32511965970037</v>
      </c>
      <c r="D2255" s="128" t="str">
        <f>IFERROR(VLOOKUP($B:$B,[20]свод!$A:$AB,3,0)," ")</f>
        <v>Чуст тумани</v>
      </c>
      <c r="E2255" s="7" t="s">
        <v>3389</v>
      </c>
      <c r="F2255" s="7" t="s">
        <v>9760</v>
      </c>
      <c r="G2255" s="134">
        <f t="shared" si="247"/>
        <v>1</v>
      </c>
      <c r="H2255" s="134" t="str">
        <f t="shared" si="248"/>
        <v/>
      </c>
      <c r="I2255" s="7" t="s">
        <v>158</v>
      </c>
      <c r="J2255" s="7" t="s">
        <v>10</v>
      </c>
      <c r="K2255" s="7"/>
      <c r="L2255" s="7" t="s">
        <v>167</v>
      </c>
      <c r="M2255" s="7" t="s">
        <v>5720</v>
      </c>
      <c r="N2255" s="7" t="s">
        <v>170</v>
      </c>
      <c r="O2255" s="7" t="s">
        <v>162</v>
      </c>
      <c r="P2255" s="7" t="s">
        <v>6666</v>
      </c>
      <c r="Q2255" s="129">
        <v>46199</v>
      </c>
      <c r="R2255" s="130">
        <f t="shared" si="246"/>
        <v>46199</v>
      </c>
      <c r="S2255" s="131">
        <f t="shared" si="245"/>
        <v>0</v>
      </c>
      <c r="T2255" s="7" t="s">
        <v>178</v>
      </c>
      <c r="U2255" s="7" t="s">
        <v>351</v>
      </c>
      <c r="V2255" s="7"/>
      <c r="W2255" s="7">
        <v>307.2</v>
      </c>
      <c r="X2255" s="132">
        <f t="shared" si="243"/>
        <v>10</v>
      </c>
      <c r="Y2255" s="133"/>
      <c r="Z2255" s="133"/>
      <c r="AA2255" s="133"/>
    </row>
    <row r="2256" spans="1:27" hidden="1" x14ac:dyDescent="0.25">
      <c r="A2256" s="127">
        <v>2451</v>
      </c>
      <c r="B2256" s="128" t="str">
        <f t="shared" si="244"/>
        <v>CHUT</v>
      </c>
      <c r="C2256" s="128" t="str">
        <f>+VLOOKUP(U2256,Ходим!A:B,2,0)</f>
        <v>32304995970021</v>
      </c>
      <c r="D2256" s="128" t="str">
        <f>IFERROR(VLOOKUP($B:$B,[20]свод!$A:$AB,3,0)," ")</f>
        <v>Чуст тумани</v>
      </c>
      <c r="E2256" s="7" t="s">
        <v>3390</v>
      </c>
      <c r="F2256" s="7" t="s">
        <v>9761</v>
      </c>
      <c r="G2256" s="134">
        <f t="shared" si="247"/>
        <v>1</v>
      </c>
      <c r="H2256" s="134" t="str">
        <f t="shared" si="248"/>
        <v/>
      </c>
      <c r="I2256" s="7" t="s">
        <v>158</v>
      </c>
      <c r="J2256" s="7" t="s">
        <v>172</v>
      </c>
      <c r="K2256" s="7"/>
      <c r="L2256" s="7" t="s">
        <v>167</v>
      </c>
      <c r="M2256" s="7" t="s">
        <v>5721</v>
      </c>
      <c r="N2256" s="7" t="s">
        <v>170</v>
      </c>
      <c r="O2256" s="7" t="s">
        <v>162</v>
      </c>
      <c r="P2256" s="7" t="s">
        <v>7301</v>
      </c>
      <c r="Q2256" s="129">
        <v>46199</v>
      </c>
      <c r="R2256" s="130">
        <f t="shared" si="246"/>
        <v>46205</v>
      </c>
      <c r="S2256" s="131">
        <f t="shared" si="245"/>
        <v>6</v>
      </c>
      <c r="T2256" s="7" t="s">
        <v>178</v>
      </c>
      <c r="U2256" s="7" t="s">
        <v>938</v>
      </c>
      <c r="V2256" s="7"/>
      <c r="W2256" s="7">
        <v>442.51</v>
      </c>
      <c r="X2256" s="132">
        <f t="shared" si="243"/>
        <v>10</v>
      </c>
      <c r="Y2256" s="133"/>
      <c r="Z2256" s="133"/>
      <c r="AA2256" s="133"/>
    </row>
    <row r="2257" spans="1:27" hidden="1" x14ac:dyDescent="0.25">
      <c r="A2257" s="127">
        <v>2453</v>
      </c>
      <c r="B2257" s="128" t="str">
        <f t="shared" si="244"/>
        <v>CHUT</v>
      </c>
      <c r="C2257" s="128" t="str">
        <f>+VLOOKUP(U2257,Ходим!A:B,2,0)</f>
        <v>31509882180058</v>
      </c>
      <c r="D2257" s="128" t="str">
        <f>IFERROR(VLOOKUP($B:$B,[20]свод!$A:$AB,3,0)," ")</f>
        <v>Чуст тумани</v>
      </c>
      <c r="E2257" s="7" t="s">
        <v>3391</v>
      </c>
      <c r="F2257" s="7" t="s">
        <v>9762</v>
      </c>
      <c r="G2257" s="134">
        <f t="shared" si="247"/>
        <v>1</v>
      </c>
      <c r="H2257" s="134" t="str">
        <f t="shared" si="248"/>
        <v/>
      </c>
      <c r="I2257" s="7" t="s">
        <v>158</v>
      </c>
      <c r="J2257" s="7" t="s">
        <v>17</v>
      </c>
      <c r="K2257" s="7"/>
      <c r="L2257" s="7" t="s">
        <v>167</v>
      </c>
      <c r="M2257" s="7" t="s">
        <v>5722</v>
      </c>
      <c r="N2257" s="7" t="s">
        <v>410</v>
      </c>
      <c r="O2257" s="7" t="s">
        <v>163</v>
      </c>
      <c r="P2257" s="7" t="s">
        <v>7302</v>
      </c>
      <c r="Q2257" s="129">
        <v>46199</v>
      </c>
      <c r="R2257" s="130">
        <f t="shared" si="246"/>
        <v>46206</v>
      </c>
      <c r="S2257" s="131">
        <f t="shared" si="245"/>
        <v>7</v>
      </c>
      <c r="T2257" s="7" t="s">
        <v>178</v>
      </c>
      <c r="U2257" s="7" t="s">
        <v>324</v>
      </c>
      <c r="V2257" s="7"/>
      <c r="W2257" s="7">
        <v>565.14</v>
      </c>
      <c r="X2257" s="132">
        <f t="shared" si="243"/>
        <v>10</v>
      </c>
      <c r="Y2257" s="133"/>
      <c r="Z2257" s="133"/>
      <c r="AA2257" s="133"/>
    </row>
    <row r="2258" spans="1:27" hidden="1" x14ac:dyDescent="0.25">
      <c r="A2258" s="127">
        <v>2455</v>
      </c>
      <c r="B2258" s="128" t="str">
        <f t="shared" ref="B2258:B2317" si="249">LEFT(E2258,4)</f>
        <v>POPT</v>
      </c>
      <c r="C2258" s="128" t="str">
        <f>+VLOOKUP(U2258,Ходим!A:B,2,0)</f>
        <v>30808922120014</v>
      </c>
      <c r="D2258" s="128" t="str">
        <f>IFERROR(VLOOKUP($B:$B,[20]свод!$A:$AB,3,0)," ")</f>
        <v>Поп тумани</v>
      </c>
      <c r="E2258" s="7" t="s">
        <v>3392</v>
      </c>
      <c r="F2258" s="7" t="s">
        <v>9763</v>
      </c>
      <c r="G2258" s="134" t="str">
        <f t="shared" si="247"/>
        <v/>
      </c>
      <c r="H2258" s="134">
        <f t="shared" si="248"/>
        <v>1</v>
      </c>
      <c r="I2258" s="7" t="s">
        <v>157</v>
      </c>
      <c r="J2258" s="7" t="s">
        <v>1</v>
      </c>
      <c r="K2258" s="7"/>
      <c r="L2258" s="7" t="s">
        <v>166</v>
      </c>
      <c r="M2258" s="7" t="s">
        <v>5723</v>
      </c>
      <c r="N2258" s="7" t="s">
        <v>410</v>
      </c>
      <c r="O2258" s="7" t="s">
        <v>161</v>
      </c>
      <c r="P2258" s="7" t="s">
        <v>6463</v>
      </c>
      <c r="Q2258" s="129">
        <v>46199</v>
      </c>
      <c r="R2258" s="130">
        <f t="shared" si="246"/>
        <v>46211</v>
      </c>
      <c r="S2258" s="131">
        <f t="shared" ref="S2258:S2317" si="250">R2258-Q2258</f>
        <v>12</v>
      </c>
      <c r="T2258" s="7" t="s">
        <v>240</v>
      </c>
      <c r="U2258" s="7" t="s">
        <v>242</v>
      </c>
      <c r="V2258" s="7"/>
      <c r="W2258" s="7">
        <v>80</v>
      </c>
      <c r="X2258" s="132">
        <f t="shared" ref="X2258:X2316" si="251">IF(N2258="Kadastr muhandisi",3,
IF(N2258="UZKAD",5,
IF(V2258="FREE",5,
IF(I2258="Registratsiya (tashqi - UZKAD da bor)",1,
IF(I2258="Avtoyo'l va suv xo'jaligi obyektining kadastr pasportini shakllantirish va ro'yxatga olish",7,
IF(I2258="Notarius uchun ma'lumotnoma (uz)",1,
IF(I2258="Qurilishi tugallangan ko'chmas mulkni foydalanishga qabul qilish",10,
IF(OR(I2258="Turar joy obyektning kadastr pasportini shakllantirish va davlat ro'yxatidan o'tkazish",I2258="Turar kompozit"),
IF(L2258="Turar yer maydoni",7,10),
IF(OR(I2258="Noturar obyektning kadastr pasportini shakllantirish va davlat ro'yxatidan o'tkazish",I2258="Noturar kompozit"),
IF(O2258="Ko‘p yillik daraxtlar xizmati",15,
IF(OR(L2258="Noturar yer maydoni",L2258="Davlat tashkilotlaridan ijaraga olingan yer uchastkasi"),7,
IF(W2258&lt;100,10,IF(W2258&lt;=1000,12,IF(W2258&lt;=5000,17,IF(W2258&lt;=15000,22,IF(W2258&lt;=50000,28,37))))))),
IF(I2258="Umumiy foydalanishdagi ko'chmas mulk qismini yaratish",
IF(IF(TRIM(L2258)="",IF(OR(O2258="Turar joy xizmati",O2258="Yakka tartibdagi turar joy"),"Turar","Noturar"),IF(OR(L2258="Yakka tartibdagi turar joy",L2258="Turar joy xizmati"),"Turar","Noturar"))="Turar",
10,IF(W2258&lt;100,10,IF(W2258&lt;=1000,12,IF(W2258&lt;=5000,17,IF(W2258&lt;=15000,22,IF(W2258&lt;=50000,28,37)))))),
0))))))))))</f>
        <v>10</v>
      </c>
      <c r="Y2258" s="133"/>
      <c r="Z2258" s="133"/>
      <c r="AA2258" s="133"/>
    </row>
    <row r="2259" spans="1:27" hidden="1" x14ac:dyDescent="0.25">
      <c r="A2259" s="127">
        <v>2456</v>
      </c>
      <c r="B2259" s="128" t="str">
        <f t="shared" si="249"/>
        <v>NAMS</v>
      </c>
      <c r="C2259" s="128" t="str">
        <f>+VLOOKUP(U2259,Ходим!A:B,2,0)</f>
        <v>51705025890024</v>
      </c>
      <c r="D2259" s="128" t="str">
        <f>IFERROR(VLOOKUP($B:$B,[20]свод!$A:$AB,3,0)," ")</f>
        <v>Наманган шаҳар</v>
      </c>
      <c r="E2259" s="7" t="s">
        <v>3393</v>
      </c>
      <c r="F2259" s="7" t="s">
        <v>9764</v>
      </c>
      <c r="G2259" s="134">
        <f t="shared" si="247"/>
        <v>1</v>
      </c>
      <c r="H2259" s="134" t="str">
        <f t="shared" si="248"/>
        <v/>
      </c>
      <c r="I2259" s="7" t="s">
        <v>158</v>
      </c>
      <c r="J2259" s="7" t="s">
        <v>2</v>
      </c>
      <c r="K2259" s="7"/>
      <c r="L2259" s="7"/>
      <c r="M2259" s="7"/>
      <c r="N2259" s="7" t="s">
        <v>170</v>
      </c>
      <c r="O2259" s="7" t="s">
        <v>162</v>
      </c>
      <c r="P2259" s="7" t="s">
        <v>7303</v>
      </c>
      <c r="Q2259" s="129">
        <v>46199</v>
      </c>
      <c r="R2259" s="130">
        <f t="shared" si="246"/>
        <v>46209</v>
      </c>
      <c r="S2259" s="131">
        <f t="shared" si="250"/>
        <v>10</v>
      </c>
      <c r="T2259" s="7" t="s">
        <v>173</v>
      </c>
      <c r="U2259" s="7" t="s">
        <v>189</v>
      </c>
      <c r="V2259" s="7"/>
      <c r="W2259" s="7"/>
      <c r="X2259" s="132">
        <f t="shared" si="251"/>
        <v>10</v>
      </c>
      <c r="Y2259" s="133"/>
      <c r="Z2259" s="133"/>
      <c r="AA2259" s="133"/>
    </row>
    <row r="2260" spans="1:27" hidden="1" x14ac:dyDescent="0.25">
      <c r="A2260" s="127">
        <v>2457</v>
      </c>
      <c r="B2260" s="128" t="str">
        <f t="shared" si="249"/>
        <v>NAMS</v>
      </c>
      <c r="C2260" s="128" t="str">
        <f>+VLOOKUP(U2260,Ходим!A:B,2,0)</f>
        <v>51705025890024</v>
      </c>
      <c r="D2260" s="128" t="str">
        <f>IFERROR(VLOOKUP($B:$B,[20]свод!$A:$AB,3,0)," ")</f>
        <v>Наманган шаҳар</v>
      </c>
      <c r="E2260" s="7" t="s">
        <v>3394</v>
      </c>
      <c r="F2260" s="7" t="s">
        <v>9765</v>
      </c>
      <c r="G2260" s="134">
        <f t="shared" si="247"/>
        <v>1</v>
      </c>
      <c r="H2260" s="134" t="str">
        <f t="shared" si="248"/>
        <v/>
      </c>
      <c r="I2260" s="7" t="s">
        <v>158</v>
      </c>
      <c r="J2260" s="7" t="s">
        <v>2</v>
      </c>
      <c r="K2260" s="7"/>
      <c r="L2260" s="7"/>
      <c r="M2260" s="7"/>
      <c r="N2260" s="7" t="s">
        <v>170</v>
      </c>
      <c r="O2260" s="7" t="s">
        <v>162</v>
      </c>
      <c r="P2260" s="7" t="s">
        <v>7303</v>
      </c>
      <c r="Q2260" s="129">
        <v>46199</v>
      </c>
      <c r="R2260" s="130">
        <f t="shared" si="246"/>
        <v>46209</v>
      </c>
      <c r="S2260" s="131">
        <f t="shared" si="250"/>
        <v>10</v>
      </c>
      <c r="T2260" s="7" t="s">
        <v>173</v>
      </c>
      <c r="U2260" s="7" t="s">
        <v>189</v>
      </c>
      <c r="V2260" s="7"/>
      <c r="W2260" s="7"/>
      <c r="X2260" s="132">
        <f t="shared" si="251"/>
        <v>10</v>
      </c>
      <c r="Y2260" s="133"/>
      <c r="Z2260" s="133"/>
      <c r="AA2260" s="133"/>
    </row>
    <row r="2261" spans="1:27" hidden="1" x14ac:dyDescent="0.25">
      <c r="A2261" s="127">
        <v>2458</v>
      </c>
      <c r="B2261" s="128" t="str">
        <f t="shared" si="249"/>
        <v>TORT</v>
      </c>
      <c r="C2261" s="128" t="str">
        <f>+VLOOKUP(U2261,Ходим!A:B,2,0)</f>
        <v>50908015920034</v>
      </c>
      <c r="D2261" s="128" t="str">
        <f>IFERROR(VLOOKUP($B:$B,[20]свод!$A:$AB,3,0)," ")</f>
        <v>Тўрақўрғон тумани</v>
      </c>
      <c r="E2261" s="7" t="s">
        <v>3395</v>
      </c>
      <c r="F2261" s="7" t="s">
        <v>9766</v>
      </c>
      <c r="G2261" s="134">
        <f t="shared" si="247"/>
        <v>1</v>
      </c>
      <c r="H2261" s="134" t="str">
        <f t="shared" si="248"/>
        <v/>
      </c>
      <c r="I2261" s="7" t="s">
        <v>158</v>
      </c>
      <c r="J2261" s="7" t="s">
        <v>13</v>
      </c>
      <c r="K2261" s="7"/>
      <c r="L2261" s="7" t="s">
        <v>167</v>
      </c>
      <c r="M2261" s="7" t="s">
        <v>5724</v>
      </c>
      <c r="N2261" s="7" t="s">
        <v>170</v>
      </c>
      <c r="O2261" s="7" t="s">
        <v>162</v>
      </c>
      <c r="P2261" s="7" t="s">
        <v>7303</v>
      </c>
      <c r="Q2261" s="129">
        <v>46199</v>
      </c>
      <c r="R2261" s="130">
        <f t="shared" si="246"/>
        <v>46209</v>
      </c>
      <c r="S2261" s="131">
        <f t="shared" si="250"/>
        <v>10</v>
      </c>
      <c r="T2261" s="7" t="s">
        <v>203</v>
      </c>
      <c r="U2261" s="7" t="s">
        <v>205</v>
      </c>
      <c r="V2261" s="7"/>
      <c r="W2261" s="7">
        <v>0</v>
      </c>
      <c r="X2261" s="132">
        <f t="shared" si="251"/>
        <v>10</v>
      </c>
      <c r="Y2261" s="133"/>
      <c r="Z2261" s="133"/>
      <c r="AA2261" s="133"/>
    </row>
    <row r="2262" spans="1:27" hidden="1" x14ac:dyDescent="0.25">
      <c r="A2262" s="127">
        <v>2459</v>
      </c>
      <c r="B2262" s="128" t="str">
        <f t="shared" si="249"/>
        <v>NAMS</v>
      </c>
      <c r="C2262" s="128" t="str">
        <f>+VLOOKUP(U2262,Ходим!A:B,2,0)</f>
        <v>31608732170178</v>
      </c>
      <c r="D2262" s="128" t="str">
        <f>IFERROR(VLOOKUP($B:$B,[20]свод!$A:$AB,3,0)," ")</f>
        <v>Наманган шаҳар</v>
      </c>
      <c r="E2262" s="7" t="s">
        <v>3396</v>
      </c>
      <c r="F2262" s="7" t="s">
        <v>9767</v>
      </c>
      <c r="G2262" s="134">
        <f t="shared" si="247"/>
        <v>1</v>
      </c>
      <c r="H2262" s="134" t="str">
        <f t="shared" si="248"/>
        <v/>
      </c>
      <c r="I2262" s="7" t="s">
        <v>156</v>
      </c>
      <c r="J2262" s="7" t="s">
        <v>25</v>
      </c>
      <c r="K2262" s="7"/>
      <c r="L2262" s="7" t="s">
        <v>167</v>
      </c>
      <c r="M2262" s="7" t="s">
        <v>5725</v>
      </c>
      <c r="N2262" s="7" t="s">
        <v>170</v>
      </c>
      <c r="O2262" s="7" t="s">
        <v>162</v>
      </c>
      <c r="P2262" s="7" t="s">
        <v>7304</v>
      </c>
      <c r="Q2262" s="129">
        <v>46199</v>
      </c>
      <c r="R2262" s="130">
        <f t="shared" si="246"/>
        <v>46206</v>
      </c>
      <c r="S2262" s="131">
        <f t="shared" si="250"/>
        <v>7</v>
      </c>
      <c r="T2262" s="7" t="s">
        <v>173</v>
      </c>
      <c r="U2262" s="7" t="s">
        <v>267</v>
      </c>
      <c r="V2262" s="7"/>
      <c r="W2262" s="7">
        <v>89.37</v>
      </c>
      <c r="X2262" s="132">
        <f t="shared" si="251"/>
        <v>10</v>
      </c>
      <c r="Y2262" s="133"/>
      <c r="Z2262" s="133"/>
      <c r="AA2262" s="133"/>
    </row>
    <row r="2263" spans="1:27" hidden="1" x14ac:dyDescent="0.25">
      <c r="A2263" s="127">
        <v>2460</v>
      </c>
      <c r="B2263" s="128" t="str">
        <f t="shared" si="249"/>
        <v>CHUT</v>
      </c>
      <c r="C2263" s="128" t="str">
        <f>+VLOOKUP(U2263,Ходим!A:B,2,0)</f>
        <v>50905015970078</v>
      </c>
      <c r="D2263" s="128" t="str">
        <f>IFERROR(VLOOKUP($B:$B,[20]свод!$A:$AB,3,0)," ")</f>
        <v>Чуст тумани</v>
      </c>
      <c r="E2263" s="7" t="s">
        <v>3397</v>
      </c>
      <c r="F2263" s="7" t="s">
        <v>9768</v>
      </c>
      <c r="G2263" s="134" t="str">
        <f t="shared" si="247"/>
        <v/>
      </c>
      <c r="H2263" s="134">
        <f t="shared" si="248"/>
        <v>1</v>
      </c>
      <c r="I2263" s="7" t="s">
        <v>157</v>
      </c>
      <c r="J2263" s="7" t="s">
        <v>172</v>
      </c>
      <c r="K2263" s="7"/>
      <c r="L2263" s="7" t="s">
        <v>168</v>
      </c>
      <c r="M2263" s="7" t="s">
        <v>5726</v>
      </c>
      <c r="N2263" s="7" t="s">
        <v>410</v>
      </c>
      <c r="O2263" s="7" t="s">
        <v>161</v>
      </c>
      <c r="P2263" s="7" t="s">
        <v>6908</v>
      </c>
      <c r="Q2263" s="129">
        <v>46199</v>
      </c>
      <c r="R2263" s="130">
        <f t="shared" si="246"/>
        <v>46203</v>
      </c>
      <c r="S2263" s="131">
        <f t="shared" si="250"/>
        <v>4</v>
      </c>
      <c r="T2263" s="7" t="s">
        <v>178</v>
      </c>
      <c r="U2263" s="7" t="s">
        <v>521</v>
      </c>
      <c r="V2263" s="7"/>
      <c r="W2263" s="7">
        <v>0</v>
      </c>
      <c r="X2263" s="132">
        <f t="shared" si="251"/>
        <v>7</v>
      </c>
      <c r="Y2263" s="133"/>
      <c r="Z2263" s="133"/>
      <c r="AA2263" s="133"/>
    </row>
    <row r="2264" spans="1:27" hidden="1" x14ac:dyDescent="0.25">
      <c r="A2264" s="127">
        <v>2461</v>
      </c>
      <c r="B2264" s="128" t="str">
        <f t="shared" si="249"/>
        <v>CHUT</v>
      </c>
      <c r="C2264" s="128" t="str">
        <f>+VLOOKUP(U2264,Ходим!A:B,2,0)</f>
        <v>31608922180118</v>
      </c>
      <c r="D2264" s="128" t="str">
        <f>IFERROR(VLOOKUP($B:$B,[20]свод!$A:$AB,3,0)," ")</f>
        <v>Чуст тумани</v>
      </c>
      <c r="E2264" s="7" t="s">
        <v>3398</v>
      </c>
      <c r="F2264" s="7" t="s">
        <v>9769</v>
      </c>
      <c r="G2264" s="134" t="str">
        <f t="shared" si="247"/>
        <v/>
      </c>
      <c r="H2264" s="134">
        <f t="shared" si="248"/>
        <v>1</v>
      </c>
      <c r="I2264" s="7" t="s">
        <v>157</v>
      </c>
      <c r="J2264" s="7" t="s">
        <v>172</v>
      </c>
      <c r="K2264" s="7"/>
      <c r="L2264" s="7" t="s">
        <v>168</v>
      </c>
      <c r="M2264" s="7" t="s">
        <v>5727</v>
      </c>
      <c r="N2264" s="7" t="s">
        <v>410</v>
      </c>
      <c r="O2264" s="7" t="s">
        <v>161</v>
      </c>
      <c r="P2264" s="7" t="s">
        <v>7231</v>
      </c>
      <c r="Q2264" s="129">
        <v>46199</v>
      </c>
      <c r="R2264" s="130">
        <f t="shared" si="246"/>
        <v>46203</v>
      </c>
      <c r="S2264" s="131">
        <f t="shared" si="250"/>
        <v>4</v>
      </c>
      <c r="T2264" s="7" t="s">
        <v>178</v>
      </c>
      <c r="U2264" s="7" t="s">
        <v>284</v>
      </c>
      <c r="V2264" s="7"/>
      <c r="W2264" s="7">
        <v>0</v>
      </c>
      <c r="X2264" s="132">
        <f t="shared" si="251"/>
        <v>7</v>
      </c>
      <c r="Y2264" s="133"/>
      <c r="Z2264" s="133"/>
      <c r="AA2264" s="133"/>
    </row>
    <row r="2265" spans="1:27" x14ac:dyDescent="0.25">
      <c r="A2265" s="127">
        <v>2462</v>
      </c>
      <c r="B2265" s="128" t="str">
        <f t="shared" si="249"/>
        <v>CHUT</v>
      </c>
      <c r="C2265" s="128" t="str">
        <f>+VLOOKUP(U2265,Ходим!A:B,2,0)</f>
        <v>32006862180015</v>
      </c>
      <c r="D2265" s="128" t="str">
        <f>IFERROR(VLOOKUP($B:$B,[20]свод!$A:$AB,3,0)," ")</f>
        <v>Чуст тумани</v>
      </c>
      <c r="E2265" s="7" t="s">
        <v>3399</v>
      </c>
      <c r="F2265" s="7" t="s">
        <v>9770</v>
      </c>
      <c r="G2265" s="134">
        <f t="shared" si="247"/>
        <v>1</v>
      </c>
      <c r="H2265" s="134" t="str">
        <f t="shared" si="248"/>
        <v/>
      </c>
      <c r="I2265" s="7" t="s">
        <v>158</v>
      </c>
      <c r="J2265" s="7" t="s">
        <v>10</v>
      </c>
      <c r="K2265" s="7"/>
      <c r="L2265" s="7" t="s">
        <v>167</v>
      </c>
      <c r="M2265" s="7" t="s">
        <v>5728</v>
      </c>
      <c r="N2265" s="7" t="s">
        <v>170</v>
      </c>
      <c r="O2265" s="7" t="s">
        <v>162</v>
      </c>
      <c r="P2265" s="7" t="s">
        <v>7305</v>
      </c>
      <c r="Q2265" s="129">
        <v>46199</v>
      </c>
      <c r="R2265" s="130">
        <f t="shared" si="246"/>
        <v>46199</v>
      </c>
      <c r="S2265" s="131">
        <f t="shared" si="250"/>
        <v>0</v>
      </c>
      <c r="T2265" s="7" t="s">
        <v>178</v>
      </c>
      <c r="U2265" s="7" t="s">
        <v>347</v>
      </c>
      <c r="V2265" s="7"/>
      <c r="W2265" s="7">
        <v>401.6</v>
      </c>
      <c r="X2265" s="132">
        <f t="shared" si="251"/>
        <v>10</v>
      </c>
      <c r="Y2265" s="133"/>
      <c r="Z2265" s="133"/>
      <c r="AA2265" s="133"/>
    </row>
    <row r="2266" spans="1:27" hidden="1" x14ac:dyDescent="0.25">
      <c r="A2266" s="127">
        <v>2463</v>
      </c>
      <c r="B2266" s="128" t="str">
        <f t="shared" si="249"/>
        <v>YGQT</v>
      </c>
      <c r="C2266" s="128" t="str">
        <f>+VLOOKUP(U2266,Ходим!A:B,2,0)</f>
        <v>30809995950021</v>
      </c>
      <c r="D2266" s="128" t="str">
        <f>IFERROR(VLOOKUP($B:$B,[20]свод!$A:$AB,3,0)," ")</f>
        <v>Янгиқўрғон тумани</v>
      </c>
      <c r="E2266" s="7" t="s">
        <v>3400</v>
      </c>
      <c r="F2266" s="7" t="s">
        <v>9771</v>
      </c>
      <c r="G2266" s="134">
        <f t="shared" si="247"/>
        <v>1</v>
      </c>
      <c r="H2266" s="134" t="str">
        <f t="shared" si="248"/>
        <v/>
      </c>
      <c r="I2266" s="7" t="s">
        <v>158</v>
      </c>
      <c r="J2266" s="7" t="s">
        <v>2</v>
      </c>
      <c r="K2266" s="7"/>
      <c r="L2266" s="7"/>
      <c r="M2266" s="7"/>
      <c r="N2266" s="7" t="s">
        <v>410</v>
      </c>
      <c r="O2266" s="7" t="s">
        <v>162</v>
      </c>
      <c r="P2266" s="7" t="s">
        <v>7306</v>
      </c>
      <c r="Q2266" s="129">
        <v>46199</v>
      </c>
      <c r="R2266" s="130">
        <f t="shared" si="246"/>
        <v>46206</v>
      </c>
      <c r="S2266" s="131">
        <f t="shared" si="250"/>
        <v>7</v>
      </c>
      <c r="T2266" s="7" t="s">
        <v>182</v>
      </c>
      <c r="U2266" s="7" t="s">
        <v>223</v>
      </c>
      <c r="V2266" s="7"/>
      <c r="W2266" s="7"/>
      <c r="X2266" s="132">
        <f t="shared" si="251"/>
        <v>10</v>
      </c>
      <c r="Y2266" s="133"/>
      <c r="Z2266" s="133"/>
      <c r="AA2266" s="133"/>
    </row>
    <row r="2267" spans="1:27" hidden="1" x14ac:dyDescent="0.25">
      <c r="A2267" s="127">
        <v>2464</v>
      </c>
      <c r="B2267" s="128" t="str">
        <f t="shared" si="249"/>
        <v>YGQT</v>
      </c>
      <c r="C2267" s="128" t="str">
        <f>+VLOOKUP(U2267,Ходим!A:B,2,0)</f>
        <v>30809995950021</v>
      </c>
      <c r="D2267" s="128" t="str">
        <f>IFERROR(VLOOKUP($B:$B,[20]свод!$A:$AB,3,0)," ")</f>
        <v>Янгиқўрғон тумани</v>
      </c>
      <c r="E2267" s="7" t="s">
        <v>3401</v>
      </c>
      <c r="F2267" s="7" t="s">
        <v>9772</v>
      </c>
      <c r="G2267" s="134">
        <f t="shared" si="247"/>
        <v>1</v>
      </c>
      <c r="H2267" s="134" t="str">
        <f t="shared" si="248"/>
        <v/>
      </c>
      <c r="I2267" s="7" t="s">
        <v>158</v>
      </c>
      <c r="J2267" s="7" t="s">
        <v>2</v>
      </c>
      <c r="K2267" s="7"/>
      <c r="L2267" s="7"/>
      <c r="M2267" s="7"/>
      <c r="N2267" s="7" t="s">
        <v>410</v>
      </c>
      <c r="O2267" s="7" t="s">
        <v>162</v>
      </c>
      <c r="P2267" s="7" t="s">
        <v>7307</v>
      </c>
      <c r="Q2267" s="129">
        <v>46199</v>
      </c>
      <c r="R2267" s="130">
        <f t="shared" si="246"/>
        <v>46206</v>
      </c>
      <c r="S2267" s="131">
        <f t="shared" si="250"/>
        <v>7</v>
      </c>
      <c r="T2267" s="7" t="s">
        <v>255</v>
      </c>
      <c r="U2267" s="7" t="s">
        <v>223</v>
      </c>
      <c r="V2267" s="7"/>
      <c r="W2267" s="7"/>
      <c r="X2267" s="132">
        <f t="shared" si="251"/>
        <v>10</v>
      </c>
      <c r="Y2267" s="133"/>
      <c r="Z2267" s="133"/>
      <c r="AA2267" s="133"/>
    </row>
    <row r="2268" spans="1:27" hidden="1" x14ac:dyDescent="0.25">
      <c r="A2268" s="127">
        <v>2465</v>
      </c>
      <c r="B2268" s="128" t="str">
        <f t="shared" si="249"/>
        <v>YGQT</v>
      </c>
      <c r="C2268" s="128" t="str">
        <f>+VLOOKUP(U2268,Ходим!A:B,2,0)</f>
        <v>30809995950021</v>
      </c>
      <c r="D2268" s="128" t="str">
        <f>IFERROR(VLOOKUP($B:$B,[20]свод!$A:$AB,3,0)," ")</f>
        <v>Янгиқўрғон тумани</v>
      </c>
      <c r="E2268" s="7" t="s">
        <v>3402</v>
      </c>
      <c r="F2268" s="7" t="s">
        <v>9773</v>
      </c>
      <c r="G2268" s="134">
        <f t="shared" si="247"/>
        <v>1</v>
      </c>
      <c r="H2268" s="134" t="str">
        <f t="shared" si="248"/>
        <v/>
      </c>
      <c r="I2268" s="7" t="s">
        <v>158</v>
      </c>
      <c r="J2268" s="7" t="s">
        <v>2</v>
      </c>
      <c r="K2268" s="7"/>
      <c r="L2268" s="7"/>
      <c r="M2268" s="7"/>
      <c r="N2268" s="7" t="s">
        <v>410</v>
      </c>
      <c r="O2268" s="7" t="s">
        <v>162</v>
      </c>
      <c r="P2268" s="7" t="s">
        <v>7308</v>
      </c>
      <c r="Q2268" s="129">
        <v>46199</v>
      </c>
      <c r="R2268" s="130">
        <f t="shared" si="246"/>
        <v>46206</v>
      </c>
      <c r="S2268" s="131">
        <f t="shared" si="250"/>
        <v>7</v>
      </c>
      <c r="T2268" s="7" t="s">
        <v>255</v>
      </c>
      <c r="U2268" s="7" t="s">
        <v>223</v>
      </c>
      <c r="V2268" s="7"/>
      <c r="W2268" s="7"/>
      <c r="X2268" s="132">
        <f t="shared" si="251"/>
        <v>10</v>
      </c>
      <c r="Y2268" s="133"/>
      <c r="Z2268" s="133"/>
      <c r="AA2268" s="133"/>
    </row>
    <row r="2269" spans="1:27" hidden="1" x14ac:dyDescent="0.25">
      <c r="A2269" s="127">
        <v>2467</v>
      </c>
      <c r="B2269" s="128" t="str">
        <f t="shared" si="249"/>
        <v>YGQT</v>
      </c>
      <c r="C2269" s="128" t="str">
        <f>+VLOOKUP(U2269,Ходим!A:B,2,0)</f>
        <v>31501762160017</v>
      </c>
      <c r="D2269" s="128" t="str">
        <f>IFERROR(VLOOKUP($B:$B,[20]свод!$A:$AB,3,0)," ")</f>
        <v>Янгиқўрғон тумани</v>
      </c>
      <c r="E2269" s="7" t="s">
        <v>3403</v>
      </c>
      <c r="F2269" s="7" t="s">
        <v>9774</v>
      </c>
      <c r="G2269" s="134" t="str">
        <f t="shared" si="247"/>
        <v/>
      </c>
      <c r="H2269" s="134">
        <f t="shared" si="248"/>
        <v>1</v>
      </c>
      <c r="I2269" s="7" t="s">
        <v>157</v>
      </c>
      <c r="J2269" s="7" t="s">
        <v>2</v>
      </c>
      <c r="K2269" s="7"/>
      <c r="L2269" s="7" t="s">
        <v>168</v>
      </c>
      <c r="M2269" s="7" t="s">
        <v>5729</v>
      </c>
      <c r="N2269" s="7" t="s">
        <v>410</v>
      </c>
      <c r="O2269" s="7" t="s">
        <v>161</v>
      </c>
      <c r="P2269" s="7" t="s">
        <v>7309</v>
      </c>
      <c r="Q2269" s="129">
        <v>46199</v>
      </c>
      <c r="R2269" s="130">
        <f t="shared" si="246"/>
        <v>46204</v>
      </c>
      <c r="S2269" s="131">
        <f t="shared" si="250"/>
        <v>5</v>
      </c>
      <c r="T2269" s="7" t="s">
        <v>182</v>
      </c>
      <c r="U2269" s="7" t="s">
        <v>275</v>
      </c>
      <c r="V2269" s="7"/>
      <c r="W2269" s="7">
        <v>0</v>
      </c>
      <c r="X2269" s="132">
        <f t="shared" si="251"/>
        <v>7</v>
      </c>
      <c r="Y2269" s="133"/>
      <c r="Z2269" s="133"/>
      <c r="AA2269" s="133"/>
    </row>
    <row r="2270" spans="1:27" hidden="1" x14ac:dyDescent="0.25">
      <c r="A2270" s="127">
        <v>2468</v>
      </c>
      <c r="B2270" s="128" t="str">
        <f t="shared" si="249"/>
        <v>NAMS</v>
      </c>
      <c r="C2270" s="128">
        <f>+VLOOKUP(U2270,Ходим!A:B,2,0)</f>
        <v>50510025960139</v>
      </c>
      <c r="D2270" s="128" t="str">
        <f>IFERROR(VLOOKUP($B:$B,[20]свод!$A:$AB,3,0)," ")</f>
        <v>Наманган шаҳар</v>
      </c>
      <c r="E2270" s="7" t="s">
        <v>3404</v>
      </c>
      <c r="F2270" s="7" t="s">
        <v>9775</v>
      </c>
      <c r="G2270" s="134">
        <f t="shared" si="247"/>
        <v>1</v>
      </c>
      <c r="H2270" s="134" t="str">
        <f t="shared" si="248"/>
        <v/>
      </c>
      <c r="I2270" s="7" t="s">
        <v>158</v>
      </c>
      <c r="J2270" s="7" t="s">
        <v>13</v>
      </c>
      <c r="K2270" s="7"/>
      <c r="L2270" s="7" t="s">
        <v>167</v>
      </c>
      <c r="M2270" s="7" t="s">
        <v>5730</v>
      </c>
      <c r="N2270" s="7" t="s">
        <v>170</v>
      </c>
      <c r="O2270" s="7" t="s">
        <v>162</v>
      </c>
      <c r="P2270" s="7" t="s">
        <v>6493</v>
      </c>
      <c r="Q2270" s="129">
        <v>46199</v>
      </c>
      <c r="R2270" s="130">
        <f t="shared" si="246"/>
        <v>46205</v>
      </c>
      <c r="S2270" s="131">
        <f t="shared" si="250"/>
        <v>6</v>
      </c>
      <c r="T2270" s="7" t="s">
        <v>173</v>
      </c>
      <c r="U2270" s="7" t="s">
        <v>955</v>
      </c>
      <c r="V2270" s="7"/>
      <c r="W2270" s="7">
        <v>234.71</v>
      </c>
      <c r="X2270" s="132">
        <f t="shared" si="251"/>
        <v>10</v>
      </c>
      <c r="Y2270" s="133"/>
      <c r="Z2270" s="133"/>
      <c r="AA2270" s="133"/>
    </row>
    <row r="2271" spans="1:27" x14ac:dyDescent="0.25">
      <c r="A2271" s="127">
        <v>2469</v>
      </c>
      <c r="B2271" s="128" t="str">
        <f t="shared" si="249"/>
        <v>CHUT</v>
      </c>
      <c r="C2271" s="128" t="str">
        <f>+VLOOKUP(U2271,Ходим!A:B,2,0)</f>
        <v>30901882180031</v>
      </c>
      <c r="D2271" s="128" t="str">
        <f>IFERROR(VLOOKUP($B:$B,[20]свод!$A:$AB,3,0)," ")</f>
        <v>Чуст тумани</v>
      </c>
      <c r="E2271" s="7" t="s">
        <v>3405</v>
      </c>
      <c r="F2271" s="7" t="s">
        <v>9776</v>
      </c>
      <c r="G2271" s="134">
        <f t="shared" si="247"/>
        <v>1</v>
      </c>
      <c r="H2271" s="134" t="str">
        <f t="shared" si="248"/>
        <v/>
      </c>
      <c r="I2271" s="7" t="s">
        <v>158</v>
      </c>
      <c r="J2271" s="7" t="s">
        <v>17</v>
      </c>
      <c r="K2271" s="7"/>
      <c r="L2271" s="7" t="s">
        <v>167</v>
      </c>
      <c r="M2271" s="7" t="s">
        <v>5731</v>
      </c>
      <c r="N2271" s="7" t="s">
        <v>410</v>
      </c>
      <c r="O2271" s="7" t="s">
        <v>162</v>
      </c>
      <c r="P2271" s="7" t="s">
        <v>6474</v>
      </c>
      <c r="Q2271" s="129">
        <v>46199</v>
      </c>
      <c r="R2271" s="130">
        <f t="shared" si="246"/>
        <v>46199</v>
      </c>
      <c r="S2271" s="131">
        <f t="shared" si="250"/>
        <v>0</v>
      </c>
      <c r="T2271" s="7" t="s">
        <v>178</v>
      </c>
      <c r="U2271" s="7" t="s">
        <v>238</v>
      </c>
      <c r="V2271" s="7"/>
      <c r="W2271" s="7">
        <v>248.5</v>
      </c>
      <c r="X2271" s="132">
        <f t="shared" si="251"/>
        <v>10</v>
      </c>
      <c r="Y2271" s="133"/>
      <c r="Z2271" s="133"/>
      <c r="AA2271" s="133"/>
    </row>
    <row r="2272" spans="1:27" hidden="1" x14ac:dyDescent="0.25">
      <c r="A2272" s="127">
        <v>2470</v>
      </c>
      <c r="B2272" s="128" t="str">
        <f t="shared" si="249"/>
        <v>TORT</v>
      </c>
      <c r="C2272" s="128" t="str">
        <f>+VLOOKUP(U2272,Ходим!A:B,2,0)</f>
        <v>31704782130035</v>
      </c>
      <c r="D2272" s="128" t="str">
        <f>IFERROR(VLOOKUP($B:$B,[20]свод!$A:$AB,3,0)," ")</f>
        <v>Тўрақўрғон тумани</v>
      </c>
      <c r="E2272" s="7" t="s">
        <v>3406</v>
      </c>
      <c r="F2272" s="7" t="s">
        <v>9777</v>
      </c>
      <c r="G2272" s="134">
        <f t="shared" si="247"/>
        <v>1</v>
      </c>
      <c r="H2272" s="134" t="str">
        <f t="shared" si="248"/>
        <v/>
      </c>
      <c r="I2272" s="7" t="s">
        <v>158</v>
      </c>
      <c r="J2272" s="7" t="s">
        <v>2</v>
      </c>
      <c r="K2272" s="7"/>
      <c r="L2272" s="7" t="s">
        <v>167</v>
      </c>
      <c r="M2272" s="7" t="s">
        <v>5732</v>
      </c>
      <c r="N2272" s="7" t="s">
        <v>170</v>
      </c>
      <c r="O2272" s="7" t="s">
        <v>162</v>
      </c>
      <c r="P2272" s="7" t="s">
        <v>6376</v>
      </c>
      <c r="Q2272" s="129">
        <v>46199</v>
      </c>
      <c r="R2272" s="130">
        <f t="shared" si="246"/>
        <v>46204</v>
      </c>
      <c r="S2272" s="131">
        <f t="shared" si="250"/>
        <v>5</v>
      </c>
      <c r="T2272" s="7" t="s">
        <v>203</v>
      </c>
      <c r="U2272" s="7" t="s">
        <v>344</v>
      </c>
      <c r="V2272" s="7"/>
      <c r="W2272" s="7">
        <v>107.42</v>
      </c>
      <c r="X2272" s="132">
        <f t="shared" si="251"/>
        <v>10</v>
      </c>
      <c r="Y2272" s="133"/>
      <c r="Z2272" s="133"/>
      <c r="AA2272" s="133"/>
    </row>
    <row r="2273" spans="1:27" hidden="1" x14ac:dyDescent="0.25">
      <c r="A2273" s="127">
        <v>2471</v>
      </c>
      <c r="B2273" s="128" t="str">
        <f t="shared" si="249"/>
        <v>YGQT</v>
      </c>
      <c r="C2273" s="128" t="str">
        <f>+VLOOKUP(U2273,Ходим!A:B,2,0)</f>
        <v>30903902160122</v>
      </c>
      <c r="D2273" s="128" t="str">
        <f>IFERROR(VLOOKUP($B:$B,[20]свод!$A:$AB,3,0)," ")</f>
        <v>Янгиқўрғон тумани</v>
      </c>
      <c r="E2273" s="7" t="s">
        <v>3407</v>
      </c>
      <c r="F2273" s="7" t="s">
        <v>9778</v>
      </c>
      <c r="G2273" s="134" t="str">
        <f t="shared" si="247"/>
        <v/>
      </c>
      <c r="H2273" s="134">
        <f t="shared" si="248"/>
        <v>1</v>
      </c>
      <c r="I2273" s="7" t="s">
        <v>157</v>
      </c>
      <c r="J2273" s="7" t="s">
        <v>172</v>
      </c>
      <c r="K2273" s="7"/>
      <c r="L2273" s="7"/>
      <c r="M2273" s="7"/>
      <c r="N2273" s="7" t="s">
        <v>170</v>
      </c>
      <c r="O2273" s="7" t="s">
        <v>161</v>
      </c>
      <c r="P2273" s="7" t="s">
        <v>6397</v>
      </c>
      <c r="Q2273" s="129">
        <v>46199</v>
      </c>
      <c r="R2273" s="130">
        <f t="shared" si="246"/>
        <v>46211</v>
      </c>
      <c r="S2273" s="131">
        <f t="shared" si="250"/>
        <v>12</v>
      </c>
      <c r="T2273" s="7" t="s">
        <v>255</v>
      </c>
      <c r="U2273" s="7" t="s">
        <v>230</v>
      </c>
      <c r="V2273" s="7"/>
      <c r="W2273" s="7"/>
      <c r="X2273" s="132">
        <f t="shared" si="251"/>
        <v>10</v>
      </c>
      <c r="Y2273" s="133"/>
      <c r="Z2273" s="133"/>
      <c r="AA2273" s="133"/>
    </row>
    <row r="2274" spans="1:27" hidden="1" x14ac:dyDescent="0.25">
      <c r="A2274" s="127">
        <v>2472</v>
      </c>
      <c r="B2274" s="128" t="str">
        <f t="shared" si="249"/>
        <v>CHOT</v>
      </c>
      <c r="C2274" s="128" t="str">
        <f>+VLOOKUP(U2274,Ходим!A:B,2,0)</f>
        <v>32904975890057</v>
      </c>
      <c r="D2274" s="128" t="str">
        <f>IFERROR(VLOOKUP($B:$B,[20]свод!$A:$AB,3,0)," ")</f>
        <v>Чортоқ тумани</v>
      </c>
      <c r="E2274" s="7" t="s">
        <v>3408</v>
      </c>
      <c r="F2274" s="7" t="s">
        <v>9779</v>
      </c>
      <c r="G2274" s="134">
        <f t="shared" si="247"/>
        <v>1</v>
      </c>
      <c r="H2274" s="134" t="str">
        <f t="shared" si="248"/>
        <v/>
      </c>
      <c r="I2274" s="7" t="s">
        <v>156</v>
      </c>
      <c r="J2274" s="7" t="s">
        <v>25</v>
      </c>
      <c r="K2274" s="7"/>
      <c r="L2274" s="7" t="s">
        <v>167</v>
      </c>
      <c r="M2274" s="7" t="s">
        <v>1025</v>
      </c>
      <c r="N2274" s="7" t="s">
        <v>410</v>
      </c>
      <c r="O2274" s="7" t="s">
        <v>162</v>
      </c>
      <c r="P2274" s="7" t="s">
        <v>7310</v>
      </c>
      <c r="Q2274" s="129">
        <v>46199</v>
      </c>
      <c r="R2274" s="130">
        <f t="shared" si="246"/>
        <v>46212</v>
      </c>
      <c r="S2274" s="131">
        <f t="shared" si="250"/>
        <v>13</v>
      </c>
      <c r="T2274" s="7" t="s">
        <v>184</v>
      </c>
      <c r="U2274" s="7" t="s">
        <v>226</v>
      </c>
      <c r="V2274" s="7"/>
      <c r="W2274" s="7">
        <v>179.9</v>
      </c>
      <c r="X2274" s="132">
        <f t="shared" si="251"/>
        <v>10</v>
      </c>
      <c r="Y2274" s="133"/>
      <c r="Z2274" s="133"/>
      <c r="AA2274" s="133"/>
    </row>
    <row r="2275" spans="1:27" hidden="1" x14ac:dyDescent="0.25">
      <c r="A2275" s="127">
        <v>2473</v>
      </c>
      <c r="B2275" s="128" t="str">
        <f t="shared" si="249"/>
        <v>NAMS</v>
      </c>
      <c r="C2275" s="128" t="str">
        <f>+VLOOKUP(U2275,Ходим!A:B,2,0)</f>
        <v>51406015960142</v>
      </c>
      <c r="D2275" s="128" t="str">
        <f>IFERROR(VLOOKUP($B:$B,[20]свод!$A:$AB,3,0)," ")</f>
        <v>Наманган шаҳар</v>
      </c>
      <c r="E2275" s="7" t="s">
        <v>3409</v>
      </c>
      <c r="F2275" s="7" t="s">
        <v>9780</v>
      </c>
      <c r="G2275" s="134">
        <f t="shared" si="247"/>
        <v>1</v>
      </c>
      <c r="H2275" s="134" t="str">
        <f t="shared" si="248"/>
        <v/>
      </c>
      <c r="I2275" s="7" t="s">
        <v>158</v>
      </c>
      <c r="J2275" s="7" t="s">
        <v>9</v>
      </c>
      <c r="K2275" s="7"/>
      <c r="L2275" s="7" t="s">
        <v>167</v>
      </c>
      <c r="M2275" s="7" t="s">
        <v>5733</v>
      </c>
      <c r="N2275" s="7" t="s">
        <v>170</v>
      </c>
      <c r="O2275" s="7" t="s">
        <v>163</v>
      </c>
      <c r="P2275" s="7" t="s">
        <v>6609</v>
      </c>
      <c r="Q2275" s="129">
        <v>46199</v>
      </c>
      <c r="R2275" s="130">
        <f t="shared" si="246"/>
        <v>46203</v>
      </c>
      <c r="S2275" s="131">
        <f t="shared" si="250"/>
        <v>4</v>
      </c>
      <c r="T2275" s="7" t="s">
        <v>328</v>
      </c>
      <c r="U2275" s="7" t="s">
        <v>349</v>
      </c>
      <c r="V2275" s="7" t="s">
        <v>965</v>
      </c>
      <c r="W2275" s="7">
        <v>294.45999999999998</v>
      </c>
      <c r="X2275" s="132">
        <f t="shared" si="251"/>
        <v>5</v>
      </c>
      <c r="Y2275" s="133"/>
      <c r="Z2275" s="133"/>
      <c r="AA2275" s="133"/>
    </row>
    <row r="2276" spans="1:27" hidden="1" x14ac:dyDescent="0.25">
      <c r="A2276" s="127">
        <v>2474</v>
      </c>
      <c r="B2276" s="128" t="str">
        <f t="shared" si="249"/>
        <v>CHUT</v>
      </c>
      <c r="C2276" s="128" t="e">
        <f>+VLOOKUP(U2276,Ходим!A:B,2,0)</f>
        <v>#N/A</v>
      </c>
      <c r="D2276" s="128" t="str">
        <f>IFERROR(VLOOKUP($B:$B,[20]свод!$A:$AB,3,0)," ")</f>
        <v>Чуст тумани</v>
      </c>
      <c r="E2276" s="7" t="s">
        <v>3410</v>
      </c>
      <c r="F2276" s="7" t="s">
        <v>9781</v>
      </c>
      <c r="G2276" s="134" t="str">
        <f t="shared" si="247"/>
        <v/>
      </c>
      <c r="H2276" s="134">
        <f t="shared" si="248"/>
        <v>1</v>
      </c>
      <c r="I2276" s="7" t="s">
        <v>159</v>
      </c>
      <c r="J2276" s="7" t="s">
        <v>136</v>
      </c>
      <c r="K2276" s="7"/>
      <c r="L2276" s="7" t="s">
        <v>166</v>
      </c>
      <c r="M2276" s="7" t="s">
        <v>1097</v>
      </c>
      <c r="N2276" s="7" t="s">
        <v>410</v>
      </c>
      <c r="O2276" s="7" t="s">
        <v>163</v>
      </c>
      <c r="P2276" s="7" t="s">
        <v>7311</v>
      </c>
      <c r="Q2276" s="129">
        <v>46199</v>
      </c>
      <c r="R2276" s="130">
        <f t="shared" si="246"/>
        <v>46206</v>
      </c>
      <c r="S2276" s="131">
        <f t="shared" si="250"/>
        <v>7</v>
      </c>
      <c r="T2276" s="7" t="s">
        <v>178</v>
      </c>
      <c r="U2276" s="7"/>
      <c r="V2276" s="7"/>
      <c r="W2276" s="7">
        <v>66388.149999999994</v>
      </c>
      <c r="X2276" s="132">
        <f t="shared" si="251"/>
        <v>10</v>
      </c>
      <c r="Y2276" s="133"/>
      <c r="Z2276" s="133"/>
      <c r="AA2276" s="133"/>
    </row>
    <row r="2277" spans="1:27" hidden="1" x14ac:dyDescent="0.25">
      <c r="A2277" s="127">
        <v>2475</v>
      </c>
      <c r="B2277" s="128" t="str">
        <f t="shared" si="249"/>
        <v>CHOT</v>
      </c>
      <c r="C2277" s="128" t="str">
        <f>+VLOOKUP(U2277,Ходим!A:B,2,0)</f>
        <v>50205015890036</v>
      </c>
      <c r="D2277" s="128" t="str">
        <f>IFERROR(VLOOKUP($B:$B,[20]свод!$A:$AB,3,0)," ")</f>
        <v>Чортоқ тумани</v>
      </c>
      <c r="E2277" s="7" t="s">
        <v>3411</v>
      </c>
      <c r="F2277" s="7" t="s">
        <v>9782</v>
      </c>
      <c r="G2277" s="134">
        <f t="shared" si="247"/>
        <v>1</v>
      </c>
      <c r="H2277" s="134" t="str">
        <f t="shared" si="248"/>
        <v/>
      </c>
      <c r="I2277" s="7" t="s">
        <v>158</v>
      </c>
      <c r="J2277" s="7" t="s">
        <v>2</v>
      </c>
      <c r="K2277" s="7"/>
      <c r="L2277" s="7" t="s">
        <v>167</v>
      </c>
      <c r="M2277" s="7" t="s">
        <v>5734</v>
      </c>
      <c r="N2277" s="7" t="s">
        <v>170</v>
      </c>
      <c r="O2277" s="7" t="s">
        <v>162</v>
      </c>
      <c r="P2277" s="7" t="s">
        <v>7004</v>
      </c>
      <c r="Q2277" s="129">
        <v>46199</v>
      </c>
      <c r="R2277" s="130">
        <f t="shared" si="246"/>
        <v>46212</v>
      </c>
      <c r="S2277" s="131">
        <f t="shared" si="250"/>
        <v>13</v>
      </c>
      <c r="T2277" s="7" t="s">
        <v>184</v>
      </c>
      <c r="U2277" s="7" t="s">
        <v>251</v>
      </c>
      <c r="V2277" s="7"/>
      <c r="W2277" s="7">
        <v>0</v>
      </c>
      <c r="X2277" s="132">
        <f t="shared" si="251"/>
        <v>10</v>
      </c>
      <c r="Y2277" s="133"/>
      <c r="Z2277" s="133"/>
      <c r="AA2277" s="133"/>
    </row>
    <row r="2278" spans="1:27" x14ac:dyDescent="0.25">
      <c r="A2278" s="127">
        <v>2476</v>
      </c>
      <c r="B2278" s="128" t="str">
        <f t="shared" si="249"/>
        <v>CHUT</v>
      </c>
      <c r="C2278" s="128" t="str">
        <f>+VLOOKUP(U2278,Ходим!A:B,2,0)</f>
        <v>31312912180061</v>
      </c>
      <c r="D2278" s="128" t="str">
        <f>IFERROR(VLOOKUP($B:$B,[20]свод!$A:$AB,3,0)," ")</f>
        <v>Чуст тумани</v>
      </c>
      <c r="E2278" s="7" t="s">
        <v>3412</v>
      </c>
      <c r="F2278" s="7" t="s">
        <v>9783</v>
      </c>
      <c r="G2278" s="134">
        <f t="shared" si="247"/>
        <v>1</v>
      </c>
      <c r="H2278" s="134" t="str">
        <f t="shared" si="248"/>
        <v/>
      </c>
      <c r="I2278" s="7" t="s">
        <v>158</v>
      </c>
      <c r="J2278" s="7" t="s">
        <v>17</v>
      </c>
      <c r="K2278" s="7"/>
      <c r="L2278" s="7" t="s">
        <v>167</v>
      </c>
      <c r="M2278" s="7" t="s">
        <v>5735</v>
      </c>
      <c r="N2278" s="7" t="s">
        <v>410</v>
      </c>
      <c r="O2278" s="7" t="s">
        <v>162</v>
      </c>
      <c r="P2278" s="7" t="s">
        <v>6657</v>
      </c>
      <c r="Q2278" s="129">
        <v>46199</v>
      </c>
      <c r="R2278" s="130">
        <f t="shared" si="246"/>
        <v>46199</v>
      </c>
      <c r="S2278" s="131">
        <f t="shared" si="250"/>
        <v>0</v>
      </c>
      <c r="T2278" s="7" t="s">
        <v>178</v>
      </c>
      <c r="U2278" s="7" t="s">
        <v>202</v>
      </c>
      <c r="V2278" s="7"/>
      <c r="W2278" s="7">
        <v>153.32</v>
      </c>
      <c r="X2278" s="132">
        <f t="shared" si="251"/>
        <v>10</v>
      </c>
      <c r="Y2278" s="133"/>
      <c r="Z2278" s="133"/>
      <c r="AA2278" s="133"/>
    </row>
    <row r="2279" spans="1:27" hidden="1" x14ac:dyDescent="0.25">
      <c r="A2279" s="127">
        <v>2477</v>
      </c>
      <c r="B2279" s="128" t="str">
        <f t="shared" si="249"/>
        <v>NAMS</v>
      </c>
      <c r="C2279" s="128" t="str">
        <f>+VLOOKUP(U2279,Ходим!A:B,2,0)</f>
        <v>51705025890024</v>
      </c>
      <c r="D2279" s="128" t="str">
        <f>IFERROR(VLOOKUP($B:$B,[20]свод!$A:$AB,3,0)," ")</f>
        <v>Наманган шаҳар</v>
      </c>
      <c r="E2279" s="7" t="s">
        <v>3413</v>
      </c>
      <c r="F2279" s="7" t="s">
        <v>9784</v>
      </c>
      <c r="G2279" s="134">
        <f t="shared" si="247"/>
        <v>1</v>
      </c>
      <c r="H2279" s="134" t="str">
        <f t="shared" si="248"/>
        <v/>
      </c>
      <c r="I2279" s="7" t="s">
        <v>156</v>
      </c>
      <c r="J2279" s="7" t="s">
        <v>25</v>
      </c>
      <c r="K2279" s="7"/>
      <c r="L2279" s="7" t="s">
        <v>167</v>
      </c>
      <c r="M2279" s="7" t="s">
        <v>5736</v>
      </c>
      <c r="N2279" s="7" t="s">
        <v>410</v>
      </c>
      <c r="O2279" s="7" t="s">
        <v>162</v>
      </c>
      <c r="P2279" s="7" t="s">
        <v>7312</v>
      </c>
      <c r="Q2279" s="129">
        <v>46199</v>
      </c>
      <c r="R2279" s="130">
        <f t="shared" si="246"/>
        <v>46206</v>
      </c>
      <c r="S2279" s="131">
        <f t="shared" si="250"/>
        <v>7</v>
      </c>
      <c r="T2279" s="7" t="s">
        <v>173</v>
      </c>
      <c r="U2279" s="7" t="s">
        <v>189</v>
      </c>
      <c r="V2279" s="7"/>
      <c r="W2279" s="7">
        <v>0</v>
      </c>
      <c r="X2279" s="132">
        <f t="shared" si="251"/>
        <v>10</v>
      </c>
      <c r="Y2279" s="133"/>
      <c r="Z2279" s="133"/>
      <c r="AA2279" s="133"/>
    </row>
    <row r="2280" spans="1:27" hidden="1" x14ac:dyDescent="0.25">
      <c r="A2280" s="127">
        <v>2478</v>
      </c>
      <c r="B2280" s="128" t="str">
        <f t="shared" si="249"/>
        <v>NAMS</v>
      </c>
      <c r="C2280" s="128" t="str">
        <f>+VLOOKUP(U2280,Ходим!A:B,2,0)</f>
        <v>32207925880019</v>
      </c>
      <c r="D2280" s="128" t="str">
        <f>IFERROR(VLOOKUP($B:$B,[20]свод!$A:$AB,3,0)," ")</f>
        <v>Наманган шаҳар</v>
      </c>
      <c r="E2280" s="7" t="s">
        <v>3414</v>
      </c>
      <c r="F2280" s="7" t="s">
        <v>9785</v>
      </c>
      <c r="G2280" s="134" t="str">
        <f t="shared" si="247"/>
        <v/>
      </c>
      <c r="H2280" s="134">
        <f t="shared" si="248"/>
        <v>1</v>
      </c>
      <c r="I2280" s="7" t="s">
        <v>157</v>
      </c>
      <c r="J2280" s="7" t="s">
        <v>2</v>
      </c>
      <c r="K2280" s="7"/>
      <c r="L2280" s="7" t="s">
        <v>168</v>
      </c>
      <c r="M2280" s="7" t="s">
        <v>5737</v>
      </c>
      <c r="N2280" s="7" t="s">
        <v>410</v>
      </c>
      <c r="O2280" s="7" t="s">
        <v>161</v>
      </c>
      <c r="P2280" s="7" t="s">
        <v>7313</v>
      </c>
      <c r="Q2280" s="129">
        <v>46199</v>
      </c>
      <c r="R2280" s="130">
        <f t="shared" si="246"/>
        <v>46203</v>
      </c>
      <c r="S2280" s="131">
        <f t="shared" si="250"/>
        <v>4</v>
      </c>
      <c r="T2280" s="7" t="s">
        <v>173</v>
      </c>
      <c r="U2280" s="7" t="s">
        <v>174</v>
      </c>
      <c r="V2280" s="7"/>
      <c r="W2280" s="7">
        <v>0</v>
      </c>
      <c r="X2280" s="132">
        <f t="shared" si="251"/>
        <v>7</v>
      </c>
      <c r="Y2280" s="133"/>
      <c r="Z2280" s="133"/>
      <c r="AA2280" s="133"/>
    </row>
    <row r="2281" spans="1:27" hidden="1" x14ac:dyDescent="0.25">
      <c r="A2281" s="127">
        <v>2479</v>
      </c>
      <c r="B2281" s="128" t="str">
        <f t="shared" si="249"/>
        <v>MINT</v>
      </c>
      <c r="C2281" s="128" t="str">
        <f>+VLOOKUP(U2281,Ходим!A:B,2,0)</f>
        <v>30703975990033</v>
      </c>
      <c r="D2281" s="128" t="str">
        <f>IFERROR(VLOOKUP($B:$B,[20]свод!$A:$AB,3,0)," ")</f>
        <v>Мингбулоқ тумани</v>
      </c>
      <c r="E2281" s="7" t="s">
        <v>3415</v>
      </c>
      <c r="F2281" s="7" t="s">
        <v>9786</v>
      </c>
      <c r="G2281" s="134" t="str">
        <f t="shared" si="247"/>
        <v/>
      </c>
      <c r="H2281" s="134">
        <f t="shared" si="248"/>
        <v>1</v>
      </c>
      <c r="I2281" s="7" t="s">
        <v>157</v>
      </c>
      <c r="J2281" s="7" t="s">
        <v>36</v>
      </c>
      <c r="K2281" s="7"/>
      <c r="L2281" s="7" t="s">
        <v>166</v>
      </c>
      <c r="M2281" s="7" t="s">
        <v>5738</v>
      </c>
      <c r="N2281" s="7" t="s">
        <v>170</v>
      </c>
      <c r="O2281" s="7" t="s">
        <v>161</v>
      </c>
      <c r="P2281" s="7" t="s">
        <v>6990</v>
      </c>
      <c r="Q2281" s="129">
        <v>46199</v>
      </c>
      <c r="R2281" s="130">
        <f t="shared" si="246"/>
        <v>46202</v>
      </c>
      <c r="S2281" s="131">
        <f t="shared" si="250"/>
        <v>3</v>
      </c>
      <c r="T2281" s="7" t="s">
        <v>220</v>
      </c>
      <c r="U2281" s="7" t="s">
        <v>291</v>
      </c>
      <c r="V2281" s="7"/>
      <c r="W2281" s="7">
        <v>0</v>
      </c>
      <c r="X2281" s="132">
        <f t="shared" si="251"/>
        <v>10</v>
      </c>
      <c r="Y2281" s="133"/>
      <c r="Z2281" s="133"/>
      <c r="AA2281" s="133"/>
    </row>
    <row r="2282" spans="1:27" hidden="1" x14ac:dyDescent="0.25">
      <c r="A2282" s="127">
        <v>2480</v>
      </c>
      <c r="B2282" s="128" t="str">
        <f t="shared" si="249"/>
        <v>NAMS</v>
      </c>
      <c r="C2282" s="128" t="str">
        <f>+VLOOKUP(U2282,Ходим!A:B,2,0)</f>
        <v>32207925880019</v>
      </c>
      <c r="D2282" s="128" t="str">
        <f>IFERROR(VLOOKUP($B:$B,[20]свод!$A:$AB,3,0)," ")</f>
        <v>Наманган шаҳар</v>
      </c>
      <c r="E2282" s="7" t="s">
        <v>3416</v>
      </c>
      <c r="F2282" s="7" t="s">
        <v>9787</v>
      </c>
      <c r="G2282" s="134" t="str">
        <f t="shared" si="247"/>
        <v/>
      </c>
      <c r="H2282" s="134">
        <f t="shared" si="248"/>
        <v>1</v>
      </c>
      <c r="I2282" s="7" t="s">
        <v>157</v>
      </c>
      <c r="J2282" s="7" t="s">
        <v>2</v>
      </c>
      <c r="K2282" s="7"/>
      <c r="L2282" s="7" t="s">
        <v>168</v>
      </c>
      <c r="M2282" s="7" t="s">
        <v>5739</v>
      </c>
      <c r="N2282" s="7" t="s">
        <v>410</v>
      </c>
      <c r="O2282" s="7" t="s">
        <v>161</v>
      </c>
      <c r="P2282" s="7" t="s">
        <v>7314</v>
      </c>
      <c r="Q2282" s="129">
        <v>46199</v>
      </c>
      <c r="R2282" s="130">
        <f t="shared" si="246"/>
        <v>46203</v>
      </c>
      <c r="S2282" s="131">
        <f t="shared" si="250"/>
        <v>4</v>
      </c>
      <c r="T2282" s="7" t="s">
        <v>185</v>
      </c>
      <c r="U2282" s="7" t="s">
        <v>174</v>
      </c>
      <c r="V2282" s="7"/>
      <c r="W2282" s="7">
        <v>0</v>
      </c>
      <c r="X2282" s="132">
        <f t="shared" si="251"/>
        <v>7</v>
      </c>
      <c r="Y2282" s="133"/>
      <c r="Z2282" s="133"/>
      <c r="AA2282" s="133"/>
    </row>
    <row r="2283" spans="1:27" hidden="1" x14ac:dyDescent="0.25">
      <c r="A2283" s="127">
        <v>2482</v>
      </c>
      <c r="B2283" s="128" t="str">
        <f t="shared" si="249"/>
        <v>NAMS</v>
      </c>
      <c r="C2283" s="128" t="str">
        <f>+VLOOKUP(U2283,Ходим!A:B,2,0)</f>
        <v>32207925880019</v>
      </c>
      <c r="D2283" s="128" t="str">
        <f>IFERROR(VLOOKUP($B:$B,[20]свод!$A:$AB,3,0)," ")</f>
        <v>Наманган шаҳар</v>
      </c>
      <c r="E2283" s="7" t="s">
        <v>3417</v>
      </c>
      <c r="F2283" s="7" t="s">
        <v>9788</v>
      </c>
      <c r="G2283" s="134" t="str">
        <f t="shared" si="247"/>
        <v/>
      </c>
      <c r="H2283" s="134">
        <f t="shared" si="248"/>
        <v>1</v>
      </c>
      <c r="I2283" s="7" t="s">
        <v>157</v>
      </c>
      <c r="J2283" s="7" t="s">
        <v>2</v>
      </c>
      <c r="K2283" s="7"/>
      <c r="L2283" s="7" t="s">
        <v>168</v>
      </c>
      <c r="M2283" s="7" t="s">
        <v>5740</v>
      </c>
      <c r="N2283" s="7" t="s">
        <v>410</v>
      </c>
      <c r="O2283" s="7" t="s">
        <v>161</v>
      </c>
      <c r="P2283" s="7" t="s">
        <v>7315</v>
      </c>
      <c r="Q2283" s="129">
        <v>46199</v>
      </c>
      <c r="R2283" s="130">
        <f t="shared" si="246"/>
        <v>46203</v>
      </c>
      <c r="S2283" s="131">
        <f t="shared" si="250"/>
        <v>4</v>
      </c>
      <c r="T2283" s="7" t="s">
        <v>173</v>
      </c>
      <c r="U2283" s="7" t="s">
        <v>174</v>
      </c>
      <c r="V2283" s="7"/>
      <c r="W2283" s="7">
        <v>0</v>
      </c>
      <c r="X2283" s="132">
        <f t="shared" si="251"/>
        <v>7</v>
      </c>
      <c r="Y2283" s="133"/>
      <c r="Z2283" s="133"/>
      <c r="AA2283" s="133"/>
    </row>
    <row r="2284" spans="1:27" hidden="1" x14ac:dyDescent="0.25">
      <c r="A2284" s="127">
        <v>2483</v>
      </c>
      <c r="B2284" s="128" t="str">
        <f t="shared" si="249"/>
        <v>NAMS</v>
      </c>
      <c r="C2284" s="128" t="str">
        <f>+VLOOKUP(U2284,Ходим!A:B,2,0)</f>
        <v>32207925880019</v>
      </c>
      <c r="D2284" s="128" t="str">
        <f>IFERROR(VLOOKUP($B:$B,[20]свод!$A:$AB,3,0)," ")</f>
        <v>Наманган шаҳар</v>
      </c>
      <c r="E2284" s="7" t="s">
        <v>3418</v>
      </c>
      <c r="F2284" s="7" t="s">
        <v>9789</v>
      </c>
      <c r="G2284" s="134" t="str">
        <f t="shared" si="247"/>
        <v/>
      </c>
      <c r="H2284" s="134">
        <f t="shared" si="248"/>
        <v>1</v>
      </c>
      <c r="I2284" s="7" t="s">
        <v>157</v>
      </c>
      <c r="J2284" s="7" t="s">
        <v>2</v>
      </c>
      <c r="K2284" s="7"/>
      <c r="L2284" s="7" t="s">
        <v>168</v>
      </c>
      <c r="M2284" s="7" t="s">
        <v>5741</v>
      </c>
      <c r="N2284" s="7" t="s">
        <v>410</v>
      </c>
      <c r="O2284" s="7" t="s">
        <v>161</v>
      </c>
      <c r="P2284" s="7" t="s">
        <v>7316</v>
      </c>
      <c r="Q2284" s="129">
        <v>46199</v>
      </c>
      <c r="R2284" s="130">
        <f t="shared" si="246"/>
        <v>46203</v>
      </c>
      <c r="S2284" s="131">
        <f t="shared" si="250"/>
        <v>4</v>
      </c>
      <c r="T2284" s="7" t="s">
        <v>185</v>
      </c>
      <c r="U2284" s="7" t="s">
        <v>174</v>
      </c>
      <c r="V2284" s="7"/>
      <c r="W2284" s="7">
        <v>0</v>
      </c>
      <c r="X2284" s="132">
        <f t="shared" si="251"/>
        <v>7</v>
      </c>
      <c r="Y2284" s="133"/>
      <c r="Z2284" s="133"/>
      <c r="AA2284" s="133"/>
    </row>
    <row r="2285" spans="1:27" hidden="1" x14ac:dyDescent="0.25">
      <c r="A2285" s="127">
        <v>2484</v>
      </c>
      <c r="B2285" s="128" t="str">
        <f t="shared" si="249"/>
        <v>NAMT</v>
      </c>
      <c r="C2285" s="128" t="str">
        <f>+VLOOKUP(U2285,Ходим!A:B,2,0)</f>
        <v>31205812090050</v>
      </c>
      <c r="D2285" s="128" t="str">
        <f>IFERROR(VLOOKUP($B:$B,[20]свод!$A:$AB,3,0)," ")</f>
        <v>Наманган тумани</v>
      </c>
      <c r="E2285" s="7" t="s">
        <v>3419</v>
      </c>
      <c r="F2285" s="7" t="s">
        <v>9790</v>
      </c>
      <c r="G2285" s="134">
        <f t="shared" si="247"/>
        <v>1</v>
      </c>
      <c r="H2285" s="134" t="str">
        <f t="shared" si="248"/>
        <v/>
      </c>
      <c r="I2285" s="7" t="s">
        <v>158</v>
      </c>
      <c r="J2285" s="7" t="s">
        <v>2</v>
      </c>
      <c r="K2285" s="7"/>
      <c r="L2285" s="7" t="s">
        <v>167</v>
      </c>
      <c r="M2285" s="7" t="s">
        <v>5742</v>
      </c>
      <c r="N2285" s="7" t="s">
        <v>170</v>
      </c>
      <c r="O2285" s="7" t="s">
        <v>162</v>
      </c>
      <c r="P2285" s="7" t="s">
        <v>7317</v>
      </c>
      <c r="Q2285" s="129">
        <v>46199</v>
      </c>
      <c r="R2285" s="130">
        <f t="shared" si="246"/>
        <v>46209</v>
      </c>
      <c r="S2285" s="131">
        <f t="shared" si="250"/>
        <v>10</v>
      </c>
      <c r="T2285" s="7" t="s">
        <v>197</v>
      </c>
      <c r="U2285" s="7" t="s">
        <v>346</v>
      </c>
      <c r="V2285" s="7"/>
      <c r="W2285" s="7">
        <v>329.68</v>
      </c>
      <c r="X2285" s="132">
        <f t="shared" si="251"/>
        <v>10</v>
      </c>
      <c r="Y2285" s="133"/>
      <c r="Z2285" s="133"/>
      <c r="AA2285" s="133"/>
    </row>
    <row r="2286" spans="1:27" hidden="1" x14ac:dyDescent="0.25">
      <c r="A2286" s="127">
        <v>2485</v>
      </c>
      <c r="B2286" s="128" t="str">
        <f t="shared" si="249"/>
        <v>UCQT</v>
      </c>
      <c r="C2286" s="128" t="str">
        <f>+VLOOKUP(U2286,Ходим!A:B,2,0)</f>
        <v>32805962150027</v>
      </c>
      <c r="D2286" s="128" t="str">
        <f>IFERROR(VLOOKUP($B:$B,[20]свод!$A:$AB,3,0)," ")</f>
        <v>Учқўрғон тумани</v>
      </c>
      <c r="E2286" s="7" t="s">
        <v>3420</v>
      </c>
      <c r="F2286" s="7" t="s">
        <v>9791</v>
      </c>
      <c r="G2286" s="134">
        <f t="shared" si="247"/>
        <v>1</v>
      </c>
      <c r="H2286" s="134" t="str">
        <f t="shared" si="248"/>
        <v/>
      </c>
      <c r="I2286" s="7" t="s">
        <v>158</v>
      </c>
      <c r="J2286" s="7" t="s">
        <v>2</v>
      </c>
      <c r="K2286" s="7"/>
      <c r="L2286" s="7" t="s">
        <v>167</v>
      </c>
      <c r="M2286" s="7" t="s">
        <v>5743</v>
      </c>
      <c r="N2286" s="7" t="s">
        <v>170</v>
      </c>
      <c r="O2286" s="7" t="s">
        <v>162</v>
      </c>
      <c r="P2286" s="7" t="s">
        <v>6361</v>
      </c>
      <c r="Q2286" s="129">
        <v>46199</v>
      </c>
      <c r="R2286" s="130">
        <f t="shared" si="246"/>
        <v>46204</v>
      </c>
      <c r="S2286" s="131">
        <f t="shared" si="250"/>
        <v>5</v>
      </c>
      <c r="T2286" s="7" t="s">
        <v>175</v>
      </c>
      <c r="U2286" s="7" t="s">
        <v>369</v>
      </c>
      <c r="V2286" s="7"/>
      <c r="W2286" s="7">
        <v>113.78</v>
      </c>
      <c r="X2286" s="132">
        <f t="shared" si="251"/>
        <v>10</v>
      </c>
      <c r="Y2286" s="133"/>
      <c r="Z2286" s="133"/>
      <c r="AA2286" s="133"/>
    </row>
    <row r="2287" spans="1:27" hidden="1" x14ac:dyDescent="0.25">
      <c r="A2287" s="127">
        <v>2486</v>
      </c>
      <c r="B2287" s="128" t="str">
        <f t="shared" si="249"/>
        <v>TORT</v>
      </c>
      <c r="C2287" s="128" t="str">
        <f>+VLOOKUP(U2287,Ходим!A:B,2,0)</f>
        <v>31110892130070</v>
      </c>
      <c r="D2287" s="128" t="str">
        <f>IFERROR(VLOOKUP($B:$B,[20]свод!$A:$AB,3,0)," ")</f>
        <v>Тўрақўрғон тумани</v>
      </c>
      <c r="E2287" s="7" t="s">
        <v>3421</v>
      </c>
      <c r="F2287" s="7" t="s">
        <v>9792</v>
      </c>
      <c r="G2287" s="134">
        <f t="shared" si="247"/>
        <v>1</v>
      </c>
      <c r="H2287" s="134" t="str">
        <f t="shared" si="248"/>
        <v/>
      </c>
      <c r="I2287" s="7" t="s">
        <v>156</v>
      </c>
      <c r="J2287" s="7" t="s">
        <v>25</v>
      </c>
      <c r="K2287" s="7"/>
      <c r="L2287" s="7" t="s">
        <v>167</v>
      </c>
      <c r="M2287" s="7" t="s">
        <v>1121</v>
      </c>
      <c r="N2287" s="7" t="s">
        <v>410</v>
      </c>
      <c r="O2287" s="7" t="s">
        <v>162</v>
      </c>
      <c r="P2287" s="7" t="s">
        <v>7318</v>
      </c>
      <c r="Q2287" s="129">
        <v>46199</v>
      </c>
      <c r="R2287" s="130">
        <f t="shared" si="246"/>
        <v>46206</v>
      </c>
      <c r="S2287" s="131">
        <f t="shared" si="250"/>
        <v>7</v>
      </c>
      <c r="T2287" s="7" t="s">
        <v>203</v>
      </c>
      <c r="U2287" s="7" t="s">
        <v>297</v>
      </c>
      <c r="V2287" s="7"/>
      <c r="W2287" s="7">
        <v>19.95</v>
      </c>
      <c r="X2287" s="132">
        <f t="shared" si="251"/>
        <v>10</v>
      </c>
      <c r="Y2287" s="133"/>
      <c r="Z2287" s="133"/>
      <c r="AA2287" s="133"/>
    </row>
    <row r="2288" spans="1:27" hidden="1" x14ac:dyDescent="0.25">
      <c r="A2288" s="127">
        <v>2488</v>
      </c>
      <c r="B2288" s="128" t="str">
        <f t="shared" si="249"/>
        <v>UYCT</v>
      </c>
      <c r="C2288" s="128" t="str">
        <f>+VLOOKUP(U2288,Ходим!A:B,2,0)</f>
        <v>31007942140083</v>
      </c>
      <c r="D2288" s="128" t="str">
        <f>IFERROR(VLOOKUP($B:$B,[20]свод!$A:$AB,3,0)," ")</f>
        <v>Уйчи тумани</v>
      </c>
      <c r="E2288" s="7" t="s">
        <v>3422</v>
      </c>
      <c r="F2288" s="7" t="s">
        <v>9793</v>
      </c>
      <c r="G2288" s="134">
        <f t="shared" si="247"/>
        <v>1</v>
      </c>
      <c r="H2288" s="134" t="str">
        <f t="shared" si="248"/>
        <v/>
      </c>
      <c r="I2288" s="7" t="s">
        <v>158</v>
      </c>
      <c r="J2288" s="7" t="s">
        <v>2</v>
      </c>
      <c r="K2288" s="7"/>
      <c r="L2288" s="7" t="s">
        <v>167</v>
      </c>
      <c r="M2288" s="7" t="s">
        <v>5744</v>
      </c>
      <c r="N2288" s="7" t="s">
        <v>410</v>
      </c>
      <c r="O2288" s="7" t="s">
        <v>162</v>
      </c>
      <c r="P2288" s="7" t="s">
        <v>7319</v>
      </c>
      <c r="Q2288" s="129">
        <v>46199</v>
      </c>
      <c r="R2288" s="130">
        <f t="shared" si="246"/>
        <v>46204</v>
      </c>
      <c r="S2288" s="131">
        <f t="shared" si="250"/>
        <v>5</v>
      </c>
      <c r="T2288" s="7" t="s">
        <v>379</v>
      </c>
      <c r="U2288" s="7" t="s">
        <v>263</v>
      </c>
      <c r="V2288" s="7"/>
      <c r="W2288" s="7">
        <v>0</v>
      </c>
      <c r="X2288" s="132">
        <f t="shared" si="251"/>
        <v>10</v>
      </c>
      <c r="Y2288" s="133"/>
      <c r="Z2288" s="133"/>
      <c r="AA2288" s="133"/>
    </row>
    <row r="2289" spans="1:27" hidden="1" x14ac:dyDescent="0.25">
      <c r="A2289" s="127">
        <v>2489</v>
      </c>
      <c r="B2289" s="128" t="str">
        <f t="shared" si="249"/>
        <v>NAMS</v>
      </c>
      <c r="C2289" s="128" t="str">
        <f>+VLOOKUP(U2289,Ходим!A:B,2,0)</f>
        <v>31007955980023</v>
      </c>
      <c r="D2289" s="128" t="str">
        <f>IFERROR(VLOOKUP($B:$B,[20]свод!$A:$AB,3,0)," ")</f>
        <v>Наманган шаҳар</v>
      </c>
      <c r="E2289" s="7" t="s">
        <v>3423</v>
      </c>
      <c r="F2289" s="7" t="s">
        <v>9794</v>
      </c>
      <c r="G2289" s="134">
        <f t="shared" si="247"/>
        <v>1</v>
      </c>
      <c r="H2289" s="134" t="str">
        <f t="shared" si="248"/>
        <v/>
      </c>
      <c r="I2289" s="7" t="s">
        <v>156</v>
      </c>
      <c r="J2289" s="7" t="s">
        <v>25</v>
      </c>
      <c r="K2289" s="7"/>
      <c r="L2289" s="7"/>
      <c r="M2289" s="7"/>
      <c r="N2289" s="7" t="s">
        <v>410</v>
      </c>
      <c r="O2289" s="7" t="s">
        <v>162</v>
      </c>
      <c r="P2289" s="7" t="s">
        <v>7320</v>
      </c>
      <c r="Q2289" s="129">
        <v>46199</v>
      </c>
      <c r="R2289" s="130">
        <f t="shared" si="246"/>
        <v>46206</v>
      </c>
      <c r="S2289" s="131">
        <f t="shared" si="250"/>
        <v>7</v>
      </c>
      <c r="T2289" s="7" t="s">
        <v>173</v>
      </c>
      <c r="U2289" s="7" t="s">
        <v>207</v>
      </c>
      <c r="V2289" s="7"/>
      <c r="W2289" s="7"/>
      <c r="X2289" s="132">
        <f t="shared" si="251"/>
        <v>10</v>
      </c>
      <c r="Y2289" s="133"/>
      <c r="Z2289" s="133"/>
      <c r="AA2289" s="133"/>
    </row>
    <row r="2290" spans="1:27" hidden="1" x14ac:dyDescent="0.25">
      <c r="A2290" s="127">
        <v>2490</v>
      </c>
      <c r="B2290" s="128" t="str">
        <f t="shared" si="249"/>
        <v>YGQT</v>
      </c>
      <c r="C2290" s="128" t="str">
        <f>+VLOOKUP(U2290,Ходим!A:B,2,0)</f>
        <v>30903902160122</v>
      </c>
      <c r="D2290" s="128" t="str">
        <f>IFERROR(VLOOKUP($B:$B,[20]свод!$A:$AB,3,0)," ")</f>
        <v>Янгиқўрғон тумани</v>
      </c>
      <c r="E2290" s="7" t="s">
        <v>3424</v>
      </c>
      <c r="F2290" s="7" t="s">
        <v>9795</v>
      </c>
      <c r="G2290" s="134">
        <f t="shared" si="247"/>
        <v>1</v>
      </c>
      <c r="H2290" s="134" t="str">
        <f t="shared" si="248"/>
        <v/>
      </c>
      <c r="I2290" s="7" t="s">
        <v>158</v>
      </c>
      <c r="J2290" s="7" t="s">
        <v>2</v>
      </c>
      <c r="K2290" s="7"/>
      <c r="L2290" s="7"/>
      <c r="M2290" s="7"/>
      <c r="N2290" s="7" t="s">
        <v>170</v>
      </c>
      <c r="O2290" s="7" t="s">
        <v>162</v>
      </c>
      <c r="P2290" s="7" t="s">
        <v>6939</v>
      </c>
      <c r="Q2290" s="129">
        <v>46199</v>
      </c>
      <c r="R2290" s="130">
        <f t="shared" si="246"/>
        <v>46206</v>
      </c>
      <c r="S2290" s="131">
        <f t="shared" si="250"/>
        <v>7</v>
      </c>
      <c r="T2290" s="7" t="s">
        <v>255</v>
      </c>
      <c r="U2290" s="7" t="s">
        <v>230</v>
      </c>
      <c r="V2290" s="7"/>
      <c r="W2290" s="7"/>
      <c r="X2290" s="132">
        <f t="shared" si="251"/>
        <v>10</v>
      </c>
      <c r="Y2290" s="133"/>
      <c r="Z2290" s="133"/>
      <c r="AA2290" s="133"/>
    </row>
    <row r="2291" spans="1:27" hidden="1" x14ac:dyDescent="0.25">
      <c r="A2291" s="127">
        <v>2491</v>
      </c>
      <c r="B2291" s="128" t="str">
        <f t="shared" si="249"/>
        <v>CHUT</v>
      </c>
      <c r="C2291" s="128" t="str">
        <f>+VLOOKUP(U2291,Ходим!A:B,2,0)</f>
        <v>32511965970037</v>
      </c>
      <c r="D2291" s="128" t="str">
        <f>IFERROR(VLOOKUP($B:$B,[20]свод!$A:$AB,3,0)," ")</f>
        <v>Чуст тумани</v>
      </c>
      <c r="E2291" s="7" t="s">
        <v>3425</v>
      </c>
      <c r="F2291" s="7" t="s">
        <v>9796</v>
      </c>
      <c r="G2291" s="134" t="str">
        <f t="shared" si="247"/>
        <v/>
      </c>
      <c r="H2291" s="134">
        <f t="shared" si="248"/>
        <v>1</v>
      </c>
      <c r="I2291" s="7" t="s">
        <v>157</v>
      </c>
      <c r="J2291" s="7" t="s">
        <v>172</v>
      </c>
      <c r="K2291" s="7"/>
      <c r="L2291" s="7" t="s">
        <v>168</v>
      </c>
      <c r="M2291" s="7" t="s">
        <v>5745</v>
      </c>
      <c r="N2291" s="7" t="s">
        <v>410</v>
      </c>
      <c r="O2291" s="7" t="s">
        <v>161</v>
      </c>
      <c r="P2291" s="7" t="s">
        <v>6590</v>
      </c>
      <c r="Q2291" s="129">
        <v>46199</v>
      </c>
      <c r="R2291" s="130">
        <f t="shared" si="246"/>
        <v>46203</v>
      </c>
      <c r="S2291" s="131">
        <f t="shared" si="250"/>
        <v>4</v>
      </c>
      <c r="T2291" s="7" t="s">
        <v>178</v>
      </c>
      <c r="U2291" s="7" t="s">
        <v>351</v>
      </c>
      <c r="V2291" s="7"/>
      <c r="W2291" s="7">
        <v>0</v>
      </c>
      <c r="X2291" s="132">
        <f t="shared" si="251"/>
        <v>7</v>
      </c>
      <c r="Y2291" s="133"/>
      <c r="Z2291" s="133"/>
      <c r="AA2291" s="133"/>
    </row>
    <row r="2292" spans="1:27" hidden="1" x14ac:dyDescent="0.25">
      <c r="A2292" s="127">
        <v>2492</v>
      </c>
      <c r="B2292" s="128" t="str">
        <f t="shared" si="249"/>
        <v>TORT</v>
      </c>
      <c r="C2292" s="128" t="str">
        <f>+VLOOKUP(U2292,Ходим!A:B,2,0)</f>
        <v>31609912130025</v>
      </c>
      <c r="D2292" s="128" t="str">
        <f>IFERROR(VLOOKUP($B:$B,[20]свод!$A:$AB,3,0)," ")</f>
        <v>Тўрақўрғон тумани</v>
      </c>
      <c r="E2292" s="7" t="s">
        <v>3426</v>
      </c>
      <c r="F2292" s="7" t="s">
        <v>9797</v>
      </c>
      <c r="G2292" s="134">
        <f t="shared" si="247"/>
        <v>1</v>
      </c>
      <c r="H2292" s="134" t="str">
        <f t="shared" si="248"/>
        <v/>
      </c>
      <c r="I2292" s="7" t="s">
        <v>156</v>
      </c>
      <c r="J2292" s="7" t="s">
        <v>25</v>
      </c>
      <c r="K2292" s="7"/>
      <c r="L2292" s="7"/>
      <c r="M2292" s="7"/>
      <c r="N2292" s="7" t="s">
        <v>410</v>
      </c>
      <c r="O2292" s="7" t="s">
        <v>162</v>
      </c>
      <c r="P2292" s="7" t="s">
        <v>7321</v>
      </c>
      <c r="Q2292" s="129">
        <v>46199</v>
      </c>
      <c r="R2292" s="130">
        <f t="shared" si="246"/>
        <v>46206</v>
      </c>
      <c r="S2292" s="131">
        <f t="shared" si="250"/>
        <v>7</v>
      </c>
      <c r="T2292" s="7" t="s">
        <v>203</v>
      </c>
      <c r="U2292" s="7" t="s">
        <v>280</v>
      </c>
      <c r="V2292" s="7"/>
      <c r="W2292" s="7"/>
      <c r="X2292" s="132">
        <f t="shared" si="251"/>
        <v>10</v>
      </c>
      <c r="Y2292" s="133"/>
      <c r="Z2292" s="133"/>
      <c r="AA2292" s="133"/>
    </row>
    <row r="2293" spans="1:27" hidden="1" x14ac:dyDescent="0.25">
      <c r="A2293" s="127">
        <v>2493</v>
      </c>
      <c r="B2293" s="128" t="str">
        <f t="shared" si="249"/>
        <v>CHUT</v>
      </c>
      <c r="C2293" s="128" t="str">
        <f>+VLOOKUP(U2293,Ходим!A:B,2,0)</f>
        <v>32511965970037</v>
      </c>
      <c r="D2293" s="128" t="str">
        <f>IFERROR(VLOOKUP($B:$B,[20]свод!$A:$AB,3,0)," ")</f>
        <v>Чуст тумани</v>
      </c>
      <c r="E2293" s="7" t="s">
        <v>3427</v>
      </c>
      <c r="F2293" s="7" t="s">
        <v>9798</v>
      </c>
      <c r="G2293" s="134" t="str">
        <f t="shared" si="247"/>
        <v/>
      </c>
      <c r="H2293" s="134">
        <f t="shared" si="248"/>
        <v>1</v>
      </c>
      <c r="I2293" s="7" t="s">
        <v>157</v>
      </c>
      <c r="J2293" s="7" t="s">
        <v>172</v>
      </c>
      <c r="K2293" s="7"/>
      <c r="L2293" s="7" t="s">
        <v>168</v>
      </c>
      <c r="M2293" s="7" t="s">
        <v>5746</v>
      </c>
      <c r="N2293" s="7" t="s">
        <v>410</v>
      </c>
      <c r="O2293" s="7" t="s">
        <v>161</v>
      </c>
      <c r="P2293" s="7" t="s">
        <v>6590</v>
      </c>
      <c r="Q2293" s="129">
        <v>46199</v>
      </c>
      <c r="R2293" s="130">
        <f t="shared" si="246"/>
        <v>46203</v>
      </c>
      <c r="S2293" s="131">
        <f t="shared" si="250"/>
        <v>4</v>
      </c>
      <c r="T2293" s="7" t="s">
        <v>178</v>
      </c>
      <c r="U2293" s="7" t="s">
        <v>351</v>
      </c>
      <c r="V2293" s="7"/>
      <c r="W2293" s="7">
        <v>0</v>
      </c>
      <c r="X2293" s="132">
        <f t="shared" si="251"/>
        <v>7</v>
      </c>
      <c r="Y2293" s="133"/>
      <c r="Z2293" s="133"/>
      <c r="AA2293" s="133"/>
    </row>
    <row r="2294" spans="1:27" hidden="1" x14ac:dyDescent="0.25">
      <c r="A2294" s="127">
        <v>2494</v>
      </c>
      <c r="B2294" s="128" t="str">
        <f t="shared" si="249"/>
        <v>YGQT</v>
      </c>
      <c r="C2294" s="128" t="str">
        <f>+VLOOKUP(U2294,Ходим!A:B,2,0)</f>
        <v>30809995950021</v>
      </c>
      <c r="D2294" s="128" t="str">
        <f>IFERROR(VLOOKUP($B:$B,[20]свод!$A:$AB,3,0)," ")</f>
        <v>Янгиқўрғон тумани</v>
      </c>
      <c r="E2294" s="7" t="s">
        <v>3428</v>
      </c>
      <c r="F2294" s="7" t="s">
        <v>9799</v>
      </c>
      <c r="G2294" s="134">
        <f t="shared" si="247"/>
        <v>1</v>
      </c>
      <c r="H2294" s="134" t="str">
        <f t="shared" si="248"/>
        <v/>
      </c>
      <c r="I2294" s="7" t="s">
        <v>158</v>
      </c>
      <c r="J2294" s="7" t="s">
        <v>2</v>
      </c>
      <c r="K2294" s="7"/>
      <c r="L2294" s="7" t="s">
        <v>167</v>
      </c>
      <c r="M2294" s="7" t="s">
        <v>5747</v>
      </c>
      <c r="N2294" s="7" t="s">
        <v>170</v>
      </c>
      <c r="O2294" s="7" t="s">
        <v>162</v>
      </c>
      <c r="P2294" s="7" t="s">
        <v>7322</v>
      </c>
      <c r="Q2294" s="129">
        <v>46199</v>
      </c>
      <c r="R2294" s="130">
        <f t="shared" si="246"/>
        <v>46206</v>
      </c>
      <c r="S2294" s="131">
        <f t="shared" si="250"/>
        <v>7</v>
      </c>
      <c r="T2294" s="7" t="s">
        <v>255</v>
      </c>
      <c r="U2294" s="7" t="s">
        <v>223</v>
      </c>
      <c r="V2294" s="7"/>
      <c r="W2294" s="7">
        <v>132.03</v>
      </c>
      <c r="X2294" s="132">
        <f t="shared" si="251"/>
        <v>10</v>
      </c>
      <c r="Y2294" s="133"/>
      <c r="Z2294" s="133"/>
      <c r="AA2294" s="133"/>
    </row>
    <row r="2295" spans="1:27" hidden="1" x14ac:dyDescent="0.25">
      <c r="A2295" s="127">
        <v>2495</v>
      </c>
      <c r="B2295" s="128" t="str">
        <f t="shared" si="249"/>
        <v>YGQT</v>
      </c>
      <c r="C2295" s="128" t="str">
        <f>+VLOOKUP(U2295,Ходим!A:B,2,0)</f>
        <v>30903902160122</v>
      </c>
      <c r="D2295" s="128" t="str">
        <f>IFERROR(VLOOKUP($B:$B,[20]свод!$A:$AB,3,0)," ")</f>
        <v>Янгиқўрғон тумани</v>
      </c>
      <c r="E2295" s="7" t="s">
        <v>3429</v>
      </c>
      <c r="F2295" s="7" t="s">
        <v>9800</v>
      </c>
      <c r="G2295" s="134" t="str">
        <f t="shared" si="247"/>
        <v/>
      </c>
      <c r="H2295" s="134">
        <f t="shared" si="248"/>
        <v>1</v>
      </c>
      <c r="I2295" s="7" t="s">
        <v>157</v>
      </c>
      <c r="J2295" s="7" t="s">
        <v>2</v>
      </c>
      <c r="K2295" s="7"/>
      <c r="L2295" s="7" t="s">
        <v>168</v>
      </c>
      <c r="M2295" s="7" t="s">
        <v>382</v>
      </c>
      <c r="N2295" s="7" t="s">
        <v>170</v>
      </c>
      <c r="O2295" s="7" t="s">
        <v>161</v>
      </c>
      <c r="P2295" s="7" t="s">
        <v>7323</v>
      </c>
      <c r="Q2295" s="129">
        <v>46199</v>
      </c>
      <c r="R2295" s="130">
        <f t="shared" si="246"/>
        <v>46203</v>
      </c>
      <c r="S2295" s="131">
        <f t="shared" si="250"/>
        <v>4</v>
      </c>
      <c r="T2295" s="7" t="s">
        <v>255</v>
      </c>
      <c r="U2295" s="7" t="s">
        <v>230</v>
      </c>
      <c r="V2295" s="7"/>
      <c r="W2295" s="7">
        <v>0</v>
      </c>
      <c r="X2295" s="132">
        <f t="shared" si="251"/>
        <v>7</v>
      </c>
      <c r="Y2295" s="133"/>
      <c r="Z2295" s="133"/>
      <c r="AA2295" s="133"/>
    </row>
    <row r="2296" spans="1:27" hidden="1" x14ac:dyDescent="0.25">
      <c r="A2296" s="127">
        <v>2496</v>
      </c>
      <c r="B2296" s="128" t="str">
        <f t="shared" si="249"/>
        <v>YGQT</v>
      </c>
      <c r="C2296" s="128" t="str">
        <f>+VLOOKUP(U2296,Ходим!A:B,2,0)</f>
        <v>52009035950022</v>
      </c>
      <c r="D2296" s="128" t="str">
        <f>IFERROR(VLOOKUP($B:$B,[20]свод!$A:$AB,3,0)," ")</f>
        <v>Янгиқўрғон тумани</v>
      </c>
      <c r="E2296" s="7" t="s">
        <v>3430</v>
      </c>
      <c r="F2296" s="7" t="s">
        <v>9801</v>
      </c>
      <c r="G2296" s="134">
        <f t="shared" si="247"/>
        <v>1</v>
      </c>
      <c r="H2296" s="134" t="str">
        <f t="shared" si="248"/>
        <v/>
      </c>
      <c r="I2296" s="7" t="s">
        <v>158</v>
      </c>
      <c r="J2296" s="7" t="s">
        <v>2</v>
      </c>
      <c r="K2296" s="7"/>
      <c r="L2296" s="7" t="s">
        <v>167</v>
      </c>
      <c r="M2296" s="7" t="s">
        <v>5748</v>
      </c>
      <c r="N2296" s="7" t="s">
        <v>410</v>
      </c>
      <c r="O2296" s="7" t="s">
        <v>162</v>
      </c>
      <c r="P2296" s="7" t="s">
        <v>7324</v>
      </c>
      <c r="Q2296" s="129">
        <v>46199</v>
      </c>
      <c r="R2296" s="130">
        <f t="shared" si="246"/>
        <v>46205</v>
      </c>
      <c r="S2296" s="131">
        <f t="shared" si="250"/>
        <v>6</v>
      </c>
      <c r="T2296" s="7" t="s">
        <v>255</v>
      </c>
      <c r="U2296" s="7" t="s">
        <v>272</v>
      </c>
      <c r="V2296" s="7"/>
      <c r="W2296" s="7">
        <v>66</v>
      </c>
      <c r="X2296" s="132">
        <f t="shared" si="251"/>
        <v>10</v>
      </c>
      <c r="Y2296" s="133"/>
      <c r="Z2296" s="133"/>
      <c r="AA2296" s="133"/>
    </row>
    <row r="2297" spans="1:27" hidden="1" x14ac:dyDescent="0.25">
      <c r="A2297" s="127">
        <v>2497</v>
      </c>
      <c r="B2297" s="128" t="str">
        <f t="shared" si="249"/>
        <v>UYCT</v>
      </c>
      <c r="C2297" s="128" t="str">
        <f>+VLOOKUP(U2297,Ходим!A:B,2,0)</f>
        <v>32002975930037</v>
      </c>
      <c r="D2297" s="128" t="str">
        <f>IFERROR(VLOOKUP($B:$B,[20]свод!$A:$AB,3,0)," ")</f>
        <v>Уйчи тумани</v>
      </c>
      <c r="E2297" s="7" t="s">
        <v>3431</v>
      </c>
      <c r="F2297" s="7" t="s">
        <v>9802</v>
      </c>
      <c r="G2297" s="134">
        <f t="shared" si="247"/>
        <v>1</v>
      </c>
      <c r="H2297" s="134" t="str">
        <f t="shared" si="248"/>
        <v/>
      </c>
      <c r="I2297" s="7" t="s">
        <v>158</v>
      </c>
      <c r="J2297" s="7" t="s">
        <v>2</v>
      </c>
      <c r="K2297" s="7"/>
      <c r="L2297" s="7" t="s">
        <v>167</v>
      </c>
      <c r="M2297" s="7" t="s">
        <v>5749</v>
      </c>
      <c r="N2297" s="7" t="s">
        <v>170</v>
      </c>
      <c r="O2297" s="7" t="s">
        <v>162</v>
      </c>
      <c r="P2297" s="7" t="s">
        <v>7325</v>
      </c>
      <c r="Q2297" s="129">
        <v>46199</v>
      </c>
      <c r="R2297" s="130">
        <f t="shared" ref="R2297:R2350" si="252">WORKDAY(P2297,X2297,$Y$1:$AA$1)</f>
        <v>46209</v>
      </c>
      <c r="S2297" s="131">
        <f t="shared" si="250"/>
        <v>10</v>
      </c>
      <c r="T2297" s="7" t="s">
        <v>947</v>
      </c>
      <c r="U2297" s="7" t="s">
        <v>260</v>
      </c>
      <c r="V2297" s="7"/>
      <c r="W2297" s="7">
        <v>261.10000000000002</v>
      </c>
      <c r="X2297" s="132">
        <f t="shared" si="251"/>
        <v>10</v>
      </c>
      <c r="Y2297" s="133"/>
      <c r="Z2297" s="133"/>
      <c r="AA2297" s="133"/>
    </row>
    <row r="2298" spans="1:27" hidden="1" x14ac:dyDescent="0.25">
      <c r="A2298" s="127">
        <v>2498</v>
      </c>
      <c r="B2298" s="128" t="str">
        <f t="shared" si="249"/>
        <v>TORT</v>
      </c>
      <c r="C2298" s="128" t="str">
        <f>+VLOOKUP(U2298,Ходим!A:B,2,0)</f>
        <v>30708792130017</v>
      </c>
      <c r="D2298" s="128" t="str">
        <f>IFERROR(VLOOKUP($B:$B,[20]свод!$A:$AB,3,0)," ")</f>
        <v>Тўрақўрғон тумани</v>
      </c>
      <c r="E2298" s="7" t="s">
        <v>3432</v>
      </c>
      <c r="F2298" s="7" t="s">
        <v>9803</v>
      </c>
      <c r="G2298" s="134">
        <f t="shared" si="247"/>
        <v>1</v>
      </c>
      <c r="H2298" s="134" t="str">
        <f t="shared" si="248"/>
        <v/>
      </c>
      <c r="I2298" s="7" t="s">
        <v>154</v>
      </c>
      <c r="J2298" s="7" t="s">
        <v>100</v>
      </c>
      <c r="K2298" s="7"/>
      <c r="L2298" s="7" t="s">
        <v>167</v>
      </c>
      <c r="M2298" s="7" t="s">
        <v>5750</v>
      </c>
      <c r="N2298" s="7" t="s">
        <v>170</v>
      </c>
      <c r="O2298" s="7" t="s">
        <v>162</v>
      </c>
      <c r="P2298" s="7" t="s">
        <v>7325</v>
      </c>
      <c r="Q2298" s="129">
        <v>46199</v>
      </c>
      <c r="R2298" s="130">
        <f t="shared" si="252"/>
        <v>46209</v>
      </c>
      <c r="S2298" s="131">
        <f t="shared" si="250"/>
        <v>10</v>
      </c>
      <c r="T2298" s="7" t="s">
        <v>203</v>
      </c>
      <c r="U2298" s="7" t="s">
        <v>204</v>
      </c>
      <c r="V2298" s="7"/>
      <c r="W2298" s="7">
        <v>152.68</v>
      </c>
      <c r="X2298" s="132">
        <f t="shared" si="251"/>
        <v>10</v>
      </c>
      <c r="Y2298" s="133"/>
      <c r="Z2298" s="133"/>
      <c r="AA2298" s="133"/>
    </row>
    <row r="2299" spans="1:27" hidden="1" x14ac:dyDescent="0.25">
      <c r="A2299" s="127">
        <v>2499</v>
      </c>
      <c r="B2299" s="128" t="str">
        <f t="shared" si="249"/>
        <v>NAMS</v>
      </c>
      <c r="C2299" s="128" t="str">
        <f>+VLOOKUP(U2299,Ходим!A:B,2,0)</f>
        <v>30302965960014</v>
      </c>
      <c r="D2299" s="128" t="str">
        <f>IFERROR(VLOOKUP($B:$B,[20]свод!$A:$AB,3,0)," ")</f>
        <v>Наманган шаҳар</v>
      </c>
      <c r="E2299" s="7" t="s">
        <v>3433</v>
      </c>
      <c r="F2299" s="7" t="s">
        <v>9804</v>
      </c>
      <c r="G2299" s="134">
        <f t="shared" si="247"/>
        <v>1</v>
      </c>
      <c r="H2299" s="134" t="str">
        <f t="shared" si="248"/>
        <v/>
      </c>
      <c r="I2299" s="7" t="s">
        <v>158</v>
      </c>
      <c r="J2299" s="7" t="s">
        <v>134</v>
      </c>
      <c r="K2299" s="7"/>
      <c r="L2299" s="7"/>
      <c r="M2299" s="7"/>
      <c r="N2299" s="7" t="s">
        <v>170</v>
      </c>
      <c r="O2299" s="7" t="s">
        <v>162</v>
      </c>
      <c r="P2299" s="7" t="s">
        <v>7325</v>
      </c>
      <c r="Q2299" s="129">
        <v>46199</v>
      </c>
      <c r="R2299" s="130">
        <f t="shared" si="252"/>
        <v>46209</v>
      </c>
      <c r="S2299" s="131">
        <f t="shared" si="250"/>
        <v>10</v>
      </c>
      <c r="T2299" s="7" t="s">
        <v>173</v>
      </c>
      <c r="U2299" s="7" t="s">
        <v>304</v>
      </c>
      <c r="V2299" s="7"/>
      <c r="W2299" s="7"/>
      <c r="X2299" s="132">
        <f t="shared" si="251"/>
        <v>10</v>
      </c>
      <c r="Y2299" s="133"/>
      <c r="Z2299" s="133"/>
      <c r="AA2299" s="133"/>
    </row>
    <row r="2300" spans="1:27" x14ac:dyDescent="0.25">
      <c r="A2300" s="127">
        <v>2500</v>
      </c>
      <c r="B2300" s="128" t="str">
        <f t="shared" si="249"/>
        <v>KSST</v>
      </c>
      <c r="C2300" s="128" t="str">
        <f>+VLOOKUP(U2300,Ходим!A:B,2,0)</f>
        <v>31611995980026</v>
      </c>
      <c r="D2300" s="128" t="str">
        <f>IFERROR(VLOOKUP($B:$B,[20]свод!$A:$AB,3,0)," ")</f>
        <v>Косонсой тумани</v>
      </c>
      <c r="E2300" s="7" t="s">
        <v>3434</v>
      </c>
      <c r="F2300" s="7" t="s">
        <v>9805</v>
      </c>
      <c r="G2300" s="134" t="str">
        <f t="shared" si="247"/>
        <v/>
      </c>
      <c r="H2300" s="134">
        <f t="shared" si="248"/>
        <v>1</v>
      </c>
      <c r="I2300" s="7" t="s">
        <v>157</v>
      </c>
      <c r="J2300" s="7" t="s">
        <v>1</v>
      </c>
      <c r="K2300" s="7"/>
      <c r="L2300" s="7" t="s">
        <v>166</v>
      </c>
      <c r="M2300" s="7" t="s">
        <v>5751</v>
      </c>
      <c r="N2300" s="7" t="s">
        <v>170</v>
      </c>
      <c r="O2300" s="7" t="s">
        <v>161</v>
      </c>
      <c r="P2300" s="7" t="s">
        <v>7326</v>
      </c>
      <c r="Q2300" s="129">
        <v>46199</v>
      </c>
      <c r="R2300" s="130">
        <f t="shared" si="252"/>
        <v>46199</v>
      </c>
      <c r="S2300" s="131">
        <f t="shared" si="250"/>
        <v>0</v>
      </c>
      <c r="T2300" s="7" t="s">
        <v>180</v>
      </c>
      <c r="U2300" s="7" t="s">
        <v>181</v>
      </c>
      <c r="V2300" s="7"/>
      <c r="W2300" s="7">
        <v>101.27</v>
      </c>
      <c r="X2300" s="132">
        <f t="shared" si="251"/>
        <v>12</v>
      </c>
      <c r="Y2300" s="133"/>
      <c r="Z2300" s="133"/>
      <c r="AA2300" s="133"/>
    </row>
    <row r="2301" spans="1:27" x14ac:dyDescent="0.25">
      <c r="A2301" s="127">
        <v>2501</v>
      </c>
      <c r="B2301" s="128" t="str">
        <f t="shared" si="249"/>
        <v>NAMT</v>
      </c>
      <c r="C2301" s="128" t="str">
        <f>+VLOOKUP(U2301,Ходим!A:B,2,0)</f>
        <v>31702942090041</v>
      </c>
      <c r="D2301" s="128" t="str">
        <f>IFERROR(VLOOKUP($B:$B,[20]свод!$A:$AB,3,0)," ")</f>
        <v>Наманган тумани</v>
      </c>
      <c r="E2301" s="7" t="s">
        <v>3435</v>
      </c>
      <c r="F2301" s="7" t="s">
        <v>9806</v>
      </c>
      <c r="G2301" s="134">
        <f t="shared" ref="G2301:G2354" si="253">IF(OR(
I2301="Turar joy obyektning kadastr pasportini shakllantirish va davlat ro'yxatidan o'tkazish",
I2301="Turar kompozit"
),
1,
IF(OR(
I2301="Noturar kompozit",
I2301="Avtoyo'l va suv xo'jaligi obyektining kadastr pasportini shakllantirish va ro'yxatga olish",
I2301="Noturar obyektning kadastr pasportining kadastr pasportini shakllantirish va davlat ro'yxatidan o'tkazish"
),
"",
IF(OR(
I2301="Notarius uchun ma'lumotnoma (uz)",
I2301="Qurilishi tugallangan ko'chmas mulkni foydalanishga qabul qilish",
I2301="Umumiy foydalanishdagi ko'chmas mulk qismini yaratish",
I2301="Registratsiya (tashqi - UZKAD da bor)"
),
IF(OR(L2301="Turar yer maydoni",L2301="Yakka tartibdagi turar joy"),1,
IF(L2301="Noturar bino","",
IF(L2301="Noturar yer maydoni","",
IF(L2301="",IF(OR(O2301="Turar joy xizmati",O2301="Foydalanishga ruxsatnoma berish xizmati"),1,""),"")
))),
"")))</f>
        <v>1</v>
      </c>
      <c r="H2301" s="134" t="str">
        <f t="shared" ref="H2301:H2354" si="254">IF(OR(
I2301="Turar joy obyektning kadastr pasportini shakllantirish va davlat ro'yxatidan o'tkazish",
I2301="Turar kompozit"
),
"",
IF(OR(
I2301="Noturar kompozit",
I2301="Avtoyo'l va suv xo'jaligi obyektining kadastr pasportini shakllantirish va ro'yxatga olish",
I2301="Noturar obyektning kadastr pasportini shakllantirish va davlat ro'yxatidan o'tkazish"
),
1,
IF(OR(
I2301="Notarius uchun ma'lumotnoma (uz)",
I2301="Qurilishi tugallangan ko'chmas mulkni foydalanishga qabul qilish",
I2301="Umumiy foydalanishdagi ko'chmas mulk qismini yaratish",
I2301="Registratsiya (tashqi - UZKAD da bor)"
),
IF(OR(L2301="Turar yer maydoni",L2301="Yakka tartibdagi turar joy"),"",
IF(L2301="Noturar bino",1,
IF(L2301="Noturar yer maydoni",1,
IF(L2301="",IF(OR(O2301="Turar joy xizmati",O2301="Foydalanishga ruxsatnoma berish xizmati"),"",1),"")
))),
"")))</f>
        <v/>
      </c>
      <c r="I2301" s="7" t="s">
        <v>158</v>
      </c>
      <c r="J2301" s="7" t="s">
        <v>1</v>
      </c>
      <c r="K2301" s="7"/>
      <c r="L2301" s="7" t="s">
        <v>167</v>
      </c>
      <c r="M2301" s="7" t="s">
        <v>5752</v>
      </c>
      <c r="N2301" s="7" t="s">
        <v>170</v>
      </c>
      <c r="O2301" s="7" t="s">
        <v>162</v>
      </c>
      <c r="P2301" s="7" t="s">
        <v>7327</v>
      </c>
      <c r="Q2301" s="129">
        <v>46199</v>
      </c>
      <c r="R2301" s="130">
        <f t="shared" si="252"/>
        <v>46199</v>
      </c>
      <c r="S2301" s="131">
        <f t="shared" si="250"/>
        <v>0</v>
      </c>
      <c r="T2301" s="7" t="s">
        <v>193</v>
      </c>
      <c r="U2301" s="7" t="s">
        <v>194</v>
      </c>
      <c r="V2301" s="7"/>
      <c r="W2301" s="7">
        <v>297.97000000000003</v>
      </c>
      <c r="X2301" s="132">
        <f t="shared" si="251"/>
        <v>10</v>
      </c>
      <c r="Y2301" s="133"/>
      <c r="Z2301" s="133"/>
      <c r="AA2301" s="133"/>
    </row>
    <row r="2302" spans="1:27" hidden="1" x14ac:dyDescent="0.25">
      <c r="A2302" s="127">
        <v>2502</v>
      </c>
      <c r="B2302" s="128" t="str">
        <f t="shared" si="249"/>
        <v>UCQT</v>
      </c>
      <c r="C2302" s="128" t="str">
        <f>+VLOOKUP(U2302,Ходим!A:B,2,0)</f>
        <v>31402915940019</v>
      </c>
      <c r="D2302" s="128" t="str">
        <f>IFERROR(VLOOKUP($B:$B,[20]свод!$A:$AB,3,0)," ")</f>
        <v>Учқўрғон тумани</v>
      </c>
      <c r="E2302" s="7" t="s">
        <v>3436</v>
      </c>
      <c r="F2302" s="7" t="s">
        <v>9807</v>
      </c>
      <c r="G2302" s="134">
        <f t="shared" si="253"/>
        <v>1</v>
      </c>
      <c r="H2302" s="134" t="str">
        <f t="shared" si="254"/>
        <v/>
      </c>
      <c r="I2302" s="7" t="s">
        <v>158</v>
      </c>
      <c r="J2302" s="7" t="s">
        <v>2</v>
      </c>
      <c r="K2302" s="7"/>
      <c r="L2302" s="7" t="s">
        <v>167</v>
      </c>
      <c r="M2302" s="7" t="s">
        <v>5753</v>
      </c>
      <c r="N2302" s="7" t="s">
        <v>170</v>
      </c>
      <c r="O2302" s="7" t="s">
        <v>163</v>
      </c>
      <c r="P2302" s="7" t="s">
        <v>6340</v>
      </c>
      <c r="Q2302" s="129">
        <v>46199</v>
      </c>
      <c r="R2302" s="130">
        <f t="shared" si="252"/>
        <v>46209</v>
      </c>
      <c r="S2302" s="131">
        <f t="shared" si="250"/>
        <v>10</v>
      </c>
      <c r="T2302" s="7" t="s">
        <v>175</v>
      </c>
      <c r="U2302" s="7" t="s">
        <v>292</v>
      </c>
      <c r="V2302" s="7"/>
      <c r="W2302" s="7">
        <v>104.27</v>
      </c>
      <c r="X2302" s="132">
        <f t="shared" si="251"/>
        <v>10</v>
      </c>
      <c r="Y2302" s="133"/>
      <c r="Z2302" s="133"/>
      <c r="AA2302" s="133"/>
    </row>
    <row r="2303" spans="1:27" hidden="1" x14ac:dyDescent="0.25">
      <c r="A2303" s="127">
        <v>2503</v>
      </c>
      <c r="B2303" s="128" t="str">
        <f t="shared" si="249"/>
        <v>UCQT</v>
      </c>
      <c r="C2303" s="128" t="str">
        <f>+VLOOKUP(U2303,Ходим!A:B,2,0)</f>
        <v>52405005940019</v>
      </c>
      <c r="D2303" s="128" t="str">
        <f>IFERROR(VLOOKUP($B:$B,[20]свод!$A:$AB,3,0)," ")</f>
        <v>Учқўрғон тумани</v>
      </c>
      <c r="E2303" s="7" t="s">
        <v>3437</v>
      </c>
      <c r="F2303" s="7" t="s">
        <v>9808</v>
      </c>
      <c r="G2303" s="134">
        <f t="shared" si="253"/>
        <v>1</v>
      </c>
      <c r="H2303" s="134" t="str">
        <f t="shared" si="254"/>
        <v/>
      </c>
      <c r="I2303" s="7" t="s">
        <v>158</v>
      </c>
      <c r="J2303" s="7" t="s">
        <v>36</v>
      </c>
      <c r="K2303" s="7"/>
      <c r="L2303" s="7" t="s">
        <v>167</v>
      </c>
      <c r="M2303" s="7" t="s">
        <v>5754</v>
      </c>
      <c r="N2303" s="7" t="s">
        <v>170</v>
      </c>
      <c r="O2303" s="7" t="s">
        <v>162</v>
      </c>
      <c r="P2303" s="7" t="s">
        <v>6340</v>
      </c>
      <c r="Q2303" s="129">
        <v>46199</v>
      </c>
      <c r="R2303" s="130">
        <f t="shared" si="252"/>
        <v>46209</v>
      </c>
      <c r="S2303" s="131">
        <f t="shared" si="250"/>
        <v>10</v>
      </c>
      <c r="T2303" s="7" t="s">
        <v>175</v>
      </c>
      <c r="U2303" s="7" t="s">
        <v>209</v>
      </c>
      <c r="V2303" s="7"/>
      <c r="W2303" s="7">
        <v>284.76</v>
      </c>
      <c r="X2303" s="132">
        <f t="shared" si="251"/>
        <v>10</v>
      </c>
      <c r="Y2303" s="133"/>
      <c r="Z2303" s="133"/>
      <c r="AA2303" s="133"/>
    </row>
    <row r="2304" spans="1:27" x14ac:dyDescent="0.25">
      <c r="A2304" s="127">
        <v>2504</v>
      </c>
      <c r="B2304" s="128" t="str">
        <f t="shared" si="249"/>
        <v>CHUT</v>
      </c>
      <c r="C2304" s="128" t="str">
        <f>+VLOOKUP(U2304,Ходим!A:B,2,0)</f>
        <v>31312912180061</v>
      </c>
      <c r="D2304" s="128" t="str">
        <f>IFERROR(VLOOKUP($B:$B,[20]свод!$A:$AB,3,0)," ")</f>
        <v>Чуст тумани</v>
      </c>
      <c r="E2304" s="7" t="s">
        <v>3438</v>
      </c>
      <c r="F2304" s="7" t="s">
        <v>9809</v>
      </c>
      <c r="G2304" s="134">
        <f t="shared" si="253"/>
        <v>1</v>
      </c>
      <c r="H2304" s="134" t="str">
        <f t="shared" si="254"/>
        <v/>
      </c>
      <c r="I2304" s="7" t="s">
        <v>158</v>
      </c>
      <c r="J2304" s="7" t="s">
        <v>17</v>
      </c>
      <c r="K2304" s="7"/>
      <c r="L2304" s="7" t="s">
        <v>167</v>
      </c>
      <c r="M2304" s="7" t="s">
        <v>5755</v>
      </c>
      <c r="N2304" s="7" t="s">
        <v>410</v>
      </c>
      <c r="O2304" s="7" t="s">
        <v>162</v>
      </c>
      <c r="P2304" s="7" t="s">
        <v>6659</v>
      </c>
      <c r="Q2304" s="129">
        <v>46199</v>
      </c>
      <c r="R2304" s="130">
        <f t="shared" si="252"/>
        <v>46199</v>
      </c>
      <c r="S2304" s="131">
        <f t="shared" si="250"/>
        <v>0</v>
      </c>
      <c r="T2304" s="7" t="s">
        <v>178</v>
      </c>
      <c r="U2304" s="7" t="s">
        <v>202</v>
      </c>
      <c r="V2304" s="7"/>
      <c r="W2304" s="7">
        <v>238.52</v>
      </c>
      <c r="X2304" s="132">
        <f t="shared" si="251"/>
        <v>10</v>
      </c>
      <c r="Y2304" s="133"/>
      <c r="Z2304" s="133"/>
      <c r="AA2304" s="133"/>
    </row>
    <row r="2305" spans="1:27" hidden="1" x14ac:dyDescent="0.25">
      <c r="A2305" s="127">
        <v>2505</v>
      </c>
      <c r="B2305" s="128" t="str">
        <f t="shared" si="249"/>
        <v>UCQT</v>
      </c>
      <c r="C2305" s="128" t="str">
        <f>+VLOOKUP(U2305,Ходим!A:B,2,0)</f>
        <v>31402915940019</v>
      </c>
      <c r="D2305" s="128" t="str">
        <f>IFERROR(VLOOKUP($B:$B,[20]свод!$A:$AB,3,0)," ")</f>
        <v>Учқўрғон тумани</v>
      </c>
      <c r="E2305" s="7" t="s">
        <v>3439</v>
      </c>
      <c r="F2305" s="7" t="s">
        <v>9810</v>
      </c>
      <c r="G2305" s="134">
        <f t="shared" si="253"/>
        <v>1</v>
      </c>
      <c r="H2305" s="134" t="str">
        <f t="shared" si="254"/>
        <v/>
      </c>
      <c r="I2305" s="7" t="s">
        <v>158</v>
      </c>
      <c r="J2305" s="7" t="s">
        <v>2</v>
      </c>
      <c r="K2305" s="7"/>
      <c r="L2305" s="7" t="s">
        <v>167</v>
      </c>
      <c r="M2305" s="7" t="s">
        <v>5756</v>
      </c>
      <c r="N2305" s="7" t="s">
        <v>170</v>
      </c>
      <c r="O2305" s="7" t="s">
        <v>162</v>
      </c>
      <c r="P2305" s="7" t="s">
        <v>7328</v>
      </c>
      <c r="Q2305" s="129">
        <v>46199</v>
      </c>
      <c r="R2305" s="130">
        <f t="shared" si="252"/>
        <v>46209</v>
      </c>
      <c r="S2305" s="131">
        <f t="shared" si="250"/>
        <v>10</v>
      </c>
      <c r="T2305" s="7" t="s">
        <v>175</v>
      </c>
      <c r="U2305" s="7" t="s">
        <v>292</v>
      </c>
      <c r="V2305" s="7"/>
      <c r="W2305" s="7">
        <v>0</v>
      </c>
      <c r="X2305" s="132">
        <f t="shared" si="251"/>
        <v>10</v>
      </c>
      <c r="Y2305" s="133"/>
      <c r="Z2305" s="133"/>
      <c r="AA2305" s="133"/>
    </row>
    <row r="2306" spans="1:27" hidden="1" x14ac:dyDescent="0.25">
      <c r="A2306" s="127">
        <v>2506</v>
      </c>
      <c r="B2306" s="128" t="str">
        <f t="shared" si="249"/>
        <v>CHUT</v>
      </c>
      <c r="C2306" s="128" t="str">
        <f>+VLOOKUP(U2306,Ходим!A:B,2,0)</f>
        <v>30901882180031</v>
      </c>
      <c r="D2306" s="128" t="str">
        <f>IFERROR(VLOOKUP($B:$B,[20]свод!$A:$AB,3,0)," ")</f>
        <v>Чуст тумани</v>
      </c>
      <c r="E2306" s="7" t="s">
        <v>3440</v>
      </c>
      <c r="F2306" s="7" t="s">
        <v>9811</v>
      </c>
      <c r="G2306" s="134">
        <f t="shared" si="253"/>
        <v>1</v>
      </c>
      <c r="H2306" s="134" t="str">
        <f t="shared" si="254"/>
        <v/>
      </c>
      <c r="I2306" s="7" t="s">
        <v>158</v>
      </c>
      <c r="J2306" s="7" t="s">
        <v>172</v>
      </c>
      <c r="K2306" s="7"/>
      <c r="L2306" s="7" t="s">
        <v>167</v>
      </c>
      <c r="M2306" s="7" t="s">
        <v>5757</v>
      </c>
      <c r="N2306" s="7" t="s">
        <v>170</v>
      </c>
      <c r="O2306" s="7" t="s">
        <v>162</v>
      </c>
      <c r="P2306" s="7" t="s">
        <v>7329</v>
      </c>
      <c r="Q2306" s="129">
        <v>46199</v>
      </c>
      <c r="R2306" s="130">
        <f t="shared" si="252"/>
        <v>46205</v>
      </c>
      <c r="S2306" s="131">
        <f t="shared" si="250"/>
        <v>6</v>
      </c>
      <c r="T2306" s="7" t="s">
        <v>178</v>
      </c>
      <c r="U2306" s="7" t="s">
        <v>238</v>
      </c>
      <c r="V2306" s="7"/>
      <c r="W2306" s="7">
        <v>214.41</v>
      </c>
      <c r="X2306" s="132">
        <f t="shared" si="251"/>
        <v>10</v>
      </c>
      <c r="Y2306" s="133"/>
      <c r="Z2306" s="133"/>
      <c r="AA2306" s="133"/>
    </row>
    <row r="2307" spans="1:27" x14ac:dyDescent="0.25">
      <c r="A2307" s="127">
        <v>2508</v>
      </c>
      <c r="B2307" s="128" t="str">
        <f t="shared" si="249"/>
        <v>NAMS</v>
      </c>
      <c r="C2307" s="128" t="str">
        <f>+VLOOKUP(U2307,Ходим!A:B,2,0)</f>
        <v>31601642170089</v>
      </c>
      <c r="D2307" s="128" t="str">
        <f>IFERROR(VLOOKUP($B:$B,[20]свод!$A:$AB,3,0)," ")</f>
        <v>Наманган шаҳар</v>
      </c>
      <c r="E2307" s="7" t="s">
        <v>3441</v>
      </c>
      <c r="F2307" s="7" t="s">
        <v>9812</v>
      </c>
      <c r="G2307" s="134">
        <f t="shared" si="253"/>
        <v>1</v>
      </c>
      <c r="H2307" s="134" t="str">
        <f t="shared" si="254"/>
        <v/>
      </c>
      <c r="I2307" s="7" t="s">
        <v>158</v>
      </c>
      <c r="J2307" s="7" t="s">
        <v>134</v>
      </c>
      <c r="K2307" s="7"/>
      <c r="L2307" s="7" t="s">
        <v>169</v>
      </c>
      <c r="M2307" s="7" t="s">
        <v>381</v>
      </c>
      <c r="N2307" s="7" t="s">
        <v>410</v>
      </c>
      <c r="O2307" s="7" t="s">
        <v>162</v>
      </c>
      <c r="P2307" s="7" t="s">
        <v>7330</v>
      </c>
      <c r="Q2307" s="129">
        <v>46199</v>
      </c>
      <c r="R2307" s="130">
        <f t="shared" si="252"/>
        <v>46198</v>
      </c>
      <c r="S2307" s="131">
        <f t="shared" si="250"/>
        <v>-1</v>
      </c>
      <c r="T2307" s="7" t="s">
        <v>173</v>
      </c>
      <c r="U2307" s="7" t="s">
        <v>201</v>
      </c>
      <c r="V2307" s="7"/>
      <c r="W2307" s="7">
        <v>0</v>
      </c>
      <c r="X2307" s="132">
        <f t="shared" si="251"/>
        <v>7</v>
      </c>
      <c r="Y2307" s="133"/>
      <c r="Z2307" s="133"/>
      <c r="AA2307" s="133"/>
    </row>
    <row r="2308" spans="1:27" hidden="1" x14ac:dyDescent="0.25">
      <c r="A2308" s="127">
        <v>2509</v>
      </c>
      <c r="B2308" s="128" t="str">
        <f t="shared" si="249"/>
        <v>MINT</v>
      </c>
      <c r="C2308" s="128" t="str">
        <f>+VLOOKUP(U2308,Ходим!A:B,2,0)</f>
        <v>31005942200035</v>
      </c>
      <c r="D2308" s="128" t="str">
        <f>IFERROR(VLOOKUP($B:$B,[20]свод!$A:$AB,3,0)," ")</f>
        <v>Мингбулоқ тумани</v>
      </c>
      <c r="E2308" s="7" t="s">
        <v>3442</v>
      </c>
      <c r="F2308" s="7" t="s">
        <v>9813</v>
      </c>
      <c r="G2308" s="134">
        <f t="shared" si="253"/>
        <v>1</v>
      </c>
      <c r="H2308" s="134" t="str">
        <f t="shared" si="254"/>
        <v/>
      </c>
      <c r="I2308" s="7" t="s">
        <v>158</v>
      </c>
      <c r="J2308" s="7" t="s">
        <v>2</v>
      </c>
      <c r="K2308" s="7"/>
      <c r="L2308" s="7" t="s">
        <v>167</v>
      </c>
      <c r="M2308" s="7" t="s">
        <v>5758</v>
      </c>
      <c r="N2308" s="7" t="s">
        <v>410</v>
      </c>
      <c r="O2308" s="7" t="s">
        <v>162</v>
      </c>
      <c r="P2308" s="7" t="s">
        <v>7331</v>
      </c>
      <c r="Q2308" s="129">
        <v>46199</v>
      </c>
      <c r="R2308" s="130">
        <f t="shared" si="252"/>
        <v>46206</v>
      </c>
      <c r="S2308" s="131">
        <f t="shared" si="250"/>
        <v>7</v>
      </c>
      <c r="T2308" s="7" t="s">
        <v>220</v>
      </c>
      <c r="U2308" s="7" t="s">
        <v>222</v>
      </c>
      <c r="V2308" s="7"/>
      <c r="W2308" s="7">
        <v>237.29</v>
      </c>
      <c r="X2308" s="132">
        <f t="shared" si="251"/>
        <v>10</v>
      </c>
      <c r="Y2308" s="133"/>
      <c r="Z2308" s="133"/>
      <c r="AA2308" s="133"/>
    </row>
    <row r="2309" spans="1:27" hidden="1" x14ac:dyDescent="0.25">
      <c r="A2309" s="127">
        <v>2510</v>
      </c>
      <c r="B2309" s="128" t="str">
        <f t="shared" si="249"/>
        <v>CHUT</v>
      </c>
      <c r="C2309" s="128" t="str">
        <f>+VLOOKUP(U2309,Ходим!A:B,2,0)</f>
        <v>52801005970043</v>
      </c>
      <c r="D2309" s="128" t="str">
        <f>IFERROR(VLOOKUP($B:$B,[20]свод!$A:$AB,3,0)," ")</f>
        <v>Чуст тумани</v>
      </c>
      <c r="E2309" s="7" t="s">
        <v>3443</v>
      </c>
      <c r="F2309" s="7" t="s">
        <v>9814</v>
      </c>
      <c r="G2309" s="134">
        <f t="shared" si="253"/>
        <v>1</v>
      </c>
      <c r="H2309" s="134" t="str">
        <f t="shared" si="254"/>
        <v/>
      </c>
      <c r="I2309" s="7" t="s">
        <v>156</v>
      </c>
      <c r="J2309" s="7" t="s">
        <v>25</v>
      </c>
      <c r="K2309" s="7"/>
      <c r="L2309" s="7"/>
      <c r="M2309" s="7"/>
      <c r="N2309" s="7" t="s">
        <v>170</v>
      </c>
      <c r="O2309" s="7" t="s">
        <v>162</v>
      </c>
      <c r="P2309" s="7" t="s">
        <v>6340</v>
      </c>
      <c r="Q2309" s="129">
        <v>46199</v>
      </c>
      <c r="R2309" s="130">
        <f t="shared" si="252"/>
        <v>46209</v>
      </c>
      <c r="S2309" s="131">
        <f t="shared" si="250"/>
        <v>10</v>
      </c>
      <c r="T2309" s="7" t="s">
        <v>178</v>
      </c>
      <c r="U2309" s="7" t="s">
        <v>387</v>
      </c>
      <c r="V2309" s="7"/>
      <c r="W2309" s="7"/>
      <c r="X2309" s="132">
        <f t="shared" si="251"/>
        <v>10</v>
      </c>
      <c r="Y2309" s="133"/>
      <c r="Z2309" s="133"/>
      <c r="AA2309" s="133"/>
    </row>
    <row r="2310" spans="1:27" hidden="1" x14ac:dyDescent="0.25">
      <c r="A2310" s="127">
        <v>2511</v>
      </c>
      <c r="B2310" s="128" t="str">
        <f t="shared" si="249"/>
        <v>POPT</v>
      </c>
      <c r="C2310" s="128" t="str">
        <f>+VLOOKUP(U2310,Ходим!A:B,2,0)</f>
        <v>50310025910024</v>
      </c>
      <c r="D2310" s="128" t="str">
        <f>IFERROR(VLOOKUP($B:$B,[20]свод!$A:$AB,3,0)," ")</f>
        <v>Поп тумани</v>
      </c>
      <c r="E2310" s="7" t="s">
        <v>3444</v>
      </c>
      <c r="F2310" s="7" t="s">
        <v>9815</v>
      </c>
      <c r="G2310" s="134">
        <f t="shared" si="253"/>
        <v>1</v>
      </c>
      <c r="H2310" s="134" t="str">
        <f t="shared" si="254"/>
        <v/>
      </c>
      <c r="I2310" s="7" t="s">
        <v>156</v>
      </c>
      <c r="J2310" s="7" t="s">
        <v>25</v>
      </c>
      <c r="K2310" s="7"/>
      <c r="L2310" s="7"/>
      <c r="M2310" s="7"/>
      <c r="N2310" s="7" t="s">
        <v>170</v>
      </c>
      <c r="O2310" s="7" t="s">
        <v>162</v>
      </c>
      <c r="P2310" s="7" t="s">
        <v>6340</v>
      </c>
      <c r="Q2310" s="129">
        <v>46199</v>
      </c>
      <c r="R2310" s="130">
        <f t="shared" si="252"/>
        <v>46209</v>
      </c>
      <c r="S2310" s="131">
        <f t="shared" si="250"/>
        <v>10</v>
      </c>
      <c r="T2310" s="7" t="s">
        <v>214</v>
      </c>
      <c r="U2310" s="7" t="s">
        <v>964</v>
      </c>
      <c r="V2310" s="7"/>
      <c r="W2310" s="7"/>
      <c r="X2310" s="132">
        <f t="shared" si="251"/>
        <v>10</v>
      </c>
      <c r="Y2310" s="133"/>
      <c r="Z2310" s="133"/>
      <c r="AA2310" s="133"/>
    </row>
    <row r="2311" spans="1:27" hidden="1" x14ac:dyDescent="0.25">
      <c r="A2311" s="127">
        <v>2512</v>
      </c>
      <c r="B2311" s="128" t="str">
        <f t="shared" si="249"/>
        <v>UCQT</v>
      </c>
      <c r="C2311" s="128" t="str">
        <f>+VLOOKUP(U2311,Ходим!A:B,2,0)</f>
        <v>52405005940019</v>
      </c>
      <c r="D2311" s="128" t="str">
        <f>IFERROR(VLOOKUP($B:$B,[20]свод!$A:$AB,3,0)," ")</f>
        <v>Учқўрғон тумани</v>
      </c>
      <c r="E2311" s="7" t="s">
        <v>3445</v>
      </c>
      <c r="F2311" s="7"/>
      <c r="G2311" s="134">
        <f t="shared" si="253"/>
        <v>1</v>
      </c>
      <c r="H2311" s="134" t="str">
        <f t="shared" si="254"/>
        <v/>
      </c>
      <c r="I2311" s="7" t="s">
        <v>154</v>
      </c>
      <c r="J2311" s="7" t="s">
        <v>12</v>
      </c>
      <c r="K2311" s="7"/>
      <c r="L2311" s="7" t="s">
        <v>167</v>
      </c>
      <c r="M2311" s="7" t="s">
        <v>1078</v>
      </c>
      <c r="N2311" s="7" t="s">
        <v>368</v>
      </c>
      <c r="O2311" s="7"/>
      <c r="P2311" s="7" t="s">
        <v>7332</v>
      </c>
      <c r="Q2311" s="129">
        <v>46199</v>
      </c>
      <c r="R2311" s="130">
        <f t="shared" si="252"/>
        <v>46202</v>
      </c>
      <c r="S2311" s="131">
        <f t="shared" si="250"/>
        <v>3</v>
      </c>
      <c r="T2311" s="7"/>
      <c r="U2311" s="7" t="s">
        <v>209</v>
      </c>
      <c r="V2311" s="7"/>
      <c r="W2311" s="7">
        <v>105.49</v>
      </c>
      <c r="X2311" s="132">
        <f t="shared" si="251"/>
        <v>5</v>
      </c>
      <c r="Y2311" s="133"/>
      <c r="Z2311" s="133"/>
      <c r="AA2311" s="133"/>
    </row>
    <row r="2312" spans="1:27" hidden="1" x14ac:dyDescent="0.25">
      <c r="A2312" s="127">
        <v>2513</v>
      </c>
      <c r="B2312" s="128" t="str">
        <f t="shared" si="249"/>
        <v>TORT</v>
      </c>
      <c r="C2312" s="128" t="str">
        <f>+VLOOKUP(U2312,Ходим!A:B,2,0)</f>
        <v>31704782130035</v>
      </c>
      <c r="D2312" s="128" t="str">
        <f>IFERROR(VLOOKUP($B:$B,[20]свод!$A:$AB,3,0)," ")</f>
        <v>Тўрақўрғон тумани</v>
      </c>
      <c r="E2312" s="7" t="s">
        <v>3446</v>
      </c>
      <c r="F2312" s="7" t="s">
        <v>9816</v>
      </c>
      <c r="G2312" s="134">
        <f t="shared" si="253"/>
        <v>1</v>
      </c>
      <c r="H2312" s="134" t="str">
        <f t="shared" si="254"/>
        <v/>
      </c>
      <c r="I2312" s="7" t="s">
        <v>156</v>
      </c>
      <c r="J2312" s="7" t="s">
        <v>25</v>
      </c>
      <c r="K2312" s="7"/>
      <c r="L2312" s="7"/>
      <c r="M2312" s="7"/>
      <c r="N2312" s="7" t="s">
        <v>410</v>
      </c>
      <c r="O2312" s="7" t="s">
        <v>162</v>
      </c>
      <c r="P2312" s="7" t="s">
        <v>7333</v>
      </c>
      <c r="Q2312" s="129">
        <v>46199</v>
      </c>
      <c r="R2312" s="130">
        <f t="shared" si="252"/>
        <v>46206</v>
      </c>
      <c r="S2312" s="131">
        <f t="shared" si="250"/>
        <v>7</v>
      </c>
      <c r="T2312" s="7" t="s">
        <v>203</v>
      </c>
      <c r="U2312" s="7" t="s">
        <v>344</v>
      </c>
      <c r="V2312" s="7"/>
      <c r="W2312" s="7"/>
      <c r="X2312" s="132">
        <f t="shared" si="251"/>
        <v>10</v>
      </c>
      <c r="Y2312" s="133"/>
      <c r="Z2312" s="133"/>
      <c r="AA2312" s="133"/>
    </row>
    <row r="2313" spans="1:27" x14ac:dyDescent="0.25">
      <c r="A2313" s="127">
        <v>2514</v>
      </c>
      <c r="B2313" s="128" t="str">
        <f t="shared" si="249"/>
        <v>NAMS</v>
      </c>
      <c r="C2313" s="128" t="str">
        <f>+VLOOKUP(U2313,Ходим!A:B,2,0)</f>
        <v>31601642170089</v>
      </c>
      <c r="D2313" s="128" t="str">
        <f>IFERROR(VLOOKUP($B:$B,[20]свод!$A:$AB,3,0)," ")</f>
        <v>Наманган шаҳар</v>
      </c>
      <c r="E2313" s="7" t="s">
        <v>3447</v>
      </c>
      <c r="F2313" s="7" t="s">
        <v>9817</v>
      </c>
      <c r="G2313" s="134">
        <f t="shared" si="253"/>
        <v>1</v>
      </c>
      <c r="H2313" s="134" t="str">
        <f t="shared" si="254"/>
        <v/>
      </c>
      <c r="I2313" s="7" t="s">
        <v>158</v>
      </c>
      <c r="J2313" s="7" t="s">
        <v>134</v>
      </c>
      <c r="K2313" s="7"/>
      <c r="L2313" s="7" t="s">
        <v>169</v>
      </c>
      <c r="M2313" s="7" t="s">
        <v>381</v>
      </c>
      <c r="N2313" s="7" t="s">
        <v>410</v>
      </c>
      <c r="O2313" s="7" t="s">
        <v>162</v>
      </c>
      <c r="P2313" s="7" t="s">
        <v>7146</v>
      </c>
      <c r="Q2313" s="129">
        <v>46199</v>
      </c>
      <c r="R2313" s="130">
        <f t="shared" si="252"/>
        <v>46198</v>
      </c>
      <c r="S2313" s="131">
        <f t="shared" si="250"/>
        <v>-1</v>
      </c>
      <c r="T2313" s="7" t="s">
        <v>234</v>
      </c>
      <c r="U2313" s="7" t="s">
        <v>201</v>
      </c>
      <c r="V2313" s="7"/>
      <c r="W2313" s="7">
        <v>0</v>
      </c>
      <c r="X2313" s="132">
        <f t="shared" si="251"/>
        <v>7</v>
      </c>
      <c r="Y2313" s="133"/>
      <c r="Z2313" s="133"/>
      <c r="AA2313" s="133"/>
    </row>
    <row r="2314" spans="1:27" hidden="1" x14ac:dyDescent="0.25">
      <c r="A2314" s="127">
        <v>2515</v>
      </c>
      <c r="B2314" s="128" t="str">
        <f t="shared" si="249"/>
        <v>NAMS</v>
      </c>
      <c r="C2314" s="128" t="str">
        <f>+VLOOKUP(U2314,Ходим!A:B,2,0)</f>
        <v>31608732170178</v>
      </c>
      <c r="D2314" s="128" t="str">
        <f>IFERROR(VLOOKUP($B:$B,[20]свод!$A:$AB,3,0)," ")</f>
        <v>Наманган шаҳар</v>
      </c>
      <c r="E2314" s="7" t="s">
        <v>3448</v>
      </c>
      <c r="F2314" s="7" t="s">
        <v>9818</v>
      </c>
      <c r="G2314" s="134">
        <f t="shared" si="253"/>
        <v>1</v>
      </c>
      <c r="H2314" s="134" t="str">
        <f t="shared" si="254"/>
        <v/>
      </c>
      <c r="I2314" s="7" t="s">
        <v>156</v>
      </c>
      <c r="J2314" s="7" t="s">
        <v>25</v>
      </c>
      <c r="K2314" s="7"/>
      <c r="L2314" s="7"/>
      <c r="M2314" s="7"/>
      <c r="N2314" s="7" t="s">
        <v>170</v>
      </c>
      <c r="O2314" s="7" t="s">
        <v>162</v>
      </c>
      <c r="P2314" s="7" t="s">
        <v>7334</v>
      </c>
      <c r="Q2314" s="129">
        <v>46199</v>
      </c>
      <c r="R2314" s="130">
        <f t="shared" si="252"/>
        <v>46209</v>
      </c>
      <c r="S2314" s="131">
        <f t="shared" si="250"/>
        <v>10</v>
      </c>
      <c r="T2314" s="7" t="s">
        <v>173</v>
      </c>
      <c r="U2314" s="7" t="s">
        <v>267</v>
      </c>
      <c r="V2314" s="7"/>
      <c r="W2314" s="7"/>
      <c r="X2314" s="132">
        <f t="shared" si="251"/>
        <v>10</v>
      </c>
      <c r="Y2314" s="133"/>
      <c r="Z2314" s="133"/>
      <c r="AA2314" s="133"/>
    </row>
    <row r="2315" spans="1:27" hidden="1" x14ac:dyDescent="0.25">
      <c r="A2315" s="127">
        <v>2516</v>
      </c>
      <c r="B2315" s="128" t="str">
        <f t="shared" si="249"/>
        <v>UYCT</v>
      </c>
      <c r="C2315" s="128" t="str">
        <f>+VLOOKUP(U2315,Ходим!A:B,2,0)</f>
        <v>53007005930024</v>
      </c>
      <c r="D2315" s="128" t="str">
        <f>IFERROR(VLOOKUP($B:$B,[20]свод!$A:$AB,3,0)," ")</f>
        <v>Уйчи тумани</v>
      </c>
      <c r="E2315" s="7" t="s">
        <v>3449</v>
      </c>
      <c r="F2315" s="7" t="s">
        <v>9819</v>
      </c>
      <c r="G2315" s="134" t="str">
        <f t="shared" si="253"/>
        <v/>
      </c>
      <c r="H2315" s="134">
        <f t="shared" si="254"/>
        <v>1</v>
      </c>
      <c r="I2315" s="7" t="s">
        <v>155</v>
      </c>
      <c r="J2315" s="7" t="s">
        <v>25</v>
      </c>
      <c r="K2315" s="7"/>
      <c r="L2315" s="7" t="s">
        <v>166</v>
      </c>
      <c r="M2315" s="7" t="s">
        <v>5759</v>
      </c>
      <c r="N2315" s="7" t="s">
        <v>170</v>
      </c>
      <c r="O2315" s="7" t="s">
        <v>161</v>
      </c>
      <c r="P2315" s="7" t="s">
        <v>7334</v>
      </c>
      <c r="Q2315" s="129">
        <v>46199</v>
      </c>
      <c r="R2315" s="130">
        <f t="shared" si="252"/>
        <v>46218</v>
      </c>
      <c r="S2315" s="131">
        <f t="shared" si="250"/>
        <v>19</v>
      </c>
      <c r="T2315" s="7" t="s">
        <v>947</v>
      </c>
      <c r="U2315" s="7" t="s">
        <v>378</v>
      </c>
      <c r="V2315" s="7"/>
      <c r="W2315" s="7">
        <v>1642.4</v>
      </c>
      <c r="X2315" s="132">
        <f t="shared" si="251"/>
        <v>17</v>
      </c>
      <c r="Y2315" s="133"/>
      <c r="Z2315" s="133"/>
      <c r="AA2315" s="133"/>
    </row>
    <row r="2316" spans="1:27" hidden="1" x14ac:dyDescent="0.25">
      <c r="A2316" s="127">
        <v>2517</v>
      </c>
      <c r="B2316" s="128" t="str">
        <f t="shared" si="249"/>
        <v>UCQT</v>
      </c>
      <c r="C2316" s="128" t="str">
        <f>+VLOOKUP(U2316,Ходим!A:B,2,0)</f>
        <v>31206892150069</v>
      </c>
      <c r="D2316" s="128" t="str">
        <f>IFERROR(VLOOKUP($B:$B,[20]свод!$A:$AB,3,0)," ")</f>
        <v>Учқўрғон тумани</v>
      </c>
      <c r="E2316" s="7" t="s">
        <v>3450</v>
      </c>
      <c r="F2316" s="7" t="s">
        <v>9820</v>
      </c>
      <c r="G2316" s="134">
        <f t="shared" si="253"/>
        <v>1</v>
      </c>
      <c r="H2316" s="134" t="str">
        <f t="shared" si="254"/>
        <v/>
      </c>
      <c r="I2316" s="7" t="s">
        <v>158</v>
      </c>
      <c r="J2316" s="7" t="s">
        <v>2</v>
      </c>
      <c r="K2316" s="7"/>
      <c r="L2316" s="7"/>
      <c r="M2316" s="7"/>
      <c r="N2316" s="7" t="s">
        <v>170</v>
      </c>
      <c r="O2316" s="7" t="s">
        <v>162</v>
      </c>
      <c r="P2316" s="7" t="s">
        <v>7334</v>
      </c>
      <c r="Q2316" s="129">
        <v>46199</v>
      </c>
      <c r="R2316" s="130">
        <f t="shared" si="252"/>
        <v>46209</v>
      </c>
      <c r="S2316" s="131">
        <f t="shared" si="250"/>
        <v>10</v>
      </c>
      <c r="T2316" s="7" t="s">
        <v>175</v>
      </c>
      <c r="U2316" s="7" t="s">
        <v>318</v>
      </c>
      <c r="V2316" s="7"/>
      <c r="W2316" s="7"/>
      <c r="X2316" s="132">
        <f t="shared" si="251"/>
        <v>10</v>
      </c>
      <c r="Y2316" s="133"/>
      <c r="Z2316" s="133"/>
      <c r="AA2316" s="133"/>
    </row>
    <row r="2317" spans="1:27" hidden="1" x14ac:dyDescent="0.25">
      <c r="A2317" s="127">
        <v>2518</v>
      </c>
      <c r="B2317" s="128" t="str">
        <f t="shared" si="249"/>
        <v>UYCT</v>
      </c>
      <c r="C2317" s="128" t="str">
        <f>+VLOOKUP(U2317,Ходим!A:B,2,0)</f>
        <v>32906985930035</v>
      </c>
      <c r="D2317" s="128" t="str">
        <f>IFERROR(VLOOKUP($B:$B,[20]свод!$A:$AB,3,0)," ")</f>
        <v>Уйчи тумани</v>
      </c>
      <c r="E2317" s="7" t="s">
        <v>3451</v>
      </c>
      <c r="F2317" s="7" t="s">
        <v>9821</v>
      </c>
      <c r="G2317" s="134" t="str">
        <f t="shared" si="253"/>
        <v/>
      </c>
      <c r="H2317" s="134">
        <f t="shared" si="254"/>
        <v>1</v>
      </c>
      <c r="I2317" s="7" t="s">
        <v>155</v>
      </c>
      <c r="J2317" s="7" t="s">
        <v>11</v>
      </c>
      <c r="K2317" s="7"/>
      <c r="L2317" s="7" t="s">
        <v>166</v>
      </c>
      <c r="M2317" s="7" t="s">
        <v>5760</v>
      </c>
      <c r="N2317" s="7" t="s">
        <v>170</v>
      </c>
      <c r="O2317" s="7" t="s">
        <v>161</v>
      </c>
      <c r="P2317" s="7" t="s">
        <v>7334</v>
      </c>
      <c r="Q2317" s="129">
        <v>46199</v>
      </c>
      <c r="R2317" s="130">
        <f t="shared" si="252"/>
        <v>46209</v>
      </c>
      <c r="S2317" s="131">
        <f t="shared" si="250"/>
        <v>10</v>
      </c>
      <c r="T2317" s="7" t="s">
        <v>947</v>
      </c>
      <c r="U2317" s="7" t="s">
        <v>257</v>
      </c>
      <c r="V2317" s="7"/>
      <c r="W2317" s="7">
        <v>0</v>
      </c>
      <c r="X2317" s="132">
        <f t="shared" ref="X2317:X2368" si="255">IF(N2317="Kadastr muhandisi",3,
IF(N2317="UZKAD",5,
IF(V2317="FREE",5,
IF(I2317="Registratsiya (tashqi - UZKAD da bor)",1,
IF(I2317="Avtoyo'l va suv xo'jaligi obyektining kadastr pasportini shakllantirish va ro'yxatga olish",7,
IF(I2317="Notarius uchun ma'lumotnoma (uz)",1,
IF(I2317="Qurilishi tugallangan ko'chmas mulkni foydalanishga qabul qilish",10,
IF(OR(I2317="Turar joy obyektning kadastr pasportini shakllantirish va davlat ro'yxatidan o'tkazish",I2317="Turar kompozit"),
IF(L2317="Turar yer maydoni",7,10),
IF(OR(I2317="Noturar obyektning kadastr pasportini shakllantirish va davlat ro'yxatidan o'tkazish",I2317="Noturar kompozit"),
IF(O2317="Ko‘p yillik daraxtlar xizmati",15,
IF(OR(L2317="Noturar yer maydoni",L2317="Davlat tashkilotlaridan ijaraga olingan yer uchastkasi"),7,
IF(W2317&lt;100,10,IF(W2317&lt;=1000,12,IF(W2317&lt;=5000,17,IF(W2317&lt;=15000,22,IF(W2317&lt;=50000,28,37))))))),
IF(I2317="Umumiy foydalanishdagi ko'chmas mulk qismini yaratish",
IF(IF(TRIM(L2317)="",IF(OR(O2317="Turar joy xizmati",O2317="Yakka tartibdagi turar joy"),"Turar","Noturar"),IF(OR(L2317="Yakka tartibdagi turar joy",L2317="Turar joy xizmati"),"Turar","Noturar"))="Turar",
10,IF(W2317&lt;100,10,IF(W2317&lt;=1000,12,IF(W2317&lt;=5000,17,IF(W2317&lt;=15000,22,IF(W2317&lt;=50000,28,37)))))),
0))))))))))</f>
        <v>10</v>
      </c>
      <c r="Y2317" s="133"/>
      <c r="Z2317" s="133"/>
      <c r="AA2317" s="133"/>
    </row>
    <row r="2318" spans="1:27" hidden="1" x14ac:dyDescent="0.25">
      <c r="A2318" s="127">
        <v>2519</v>
      </c>
      <c r="B2318" s="128" t="str">
        <f t="shared" ref="B2318:B2369" si="256">LEFT(E2318,4)</f>
        <v>KSST</v>
      </c>
      <c r="C2318" s="128" t="str">
        <f>+VLOOKUP(U2318,Ходим!A:B,2,0)</f>
        <v>50709025980034</v>
      </c>
      <c r="D2318" s="128" t="str">
        <f>IFERROR(VLOOKUP($B:$B,[20]свод!$A:$AB,3,0)," ")</f>
        <v>Косонсой тумани</v>
      </c>
      <c r="E2318" s="7" t="s">
        <v>3452</v>
      </c>
      <c r="F2318" s="7" t="s">
        <v>9822</v>
      </c>
      <c r="G2318" s="134">
        <f t="shared" si="253"/>
        <v>1</v>
      </c>
      <c r="H2318" s="134" t="str">
        <f t="shared" si="254"/>
        <v/>
      </c>
      <c r="I2318" s="7" t="s">
        <v>158</v>
      </c>
      <c r="J2318" s="7" t="s">
        <v>2</v>
      </c>
      <c r="K2318" s="7"/>
      <c r="L2318" s="7" t="s">
        <v>167</v>
      </c>
      <c r="M2318" s="7" t="s">
        <v>5761</v>
      </c>
      <c r="N2318" s="7" t="s">
        <v>410</v>
      </c>
      <c r="O2318" s="7" t="s">
        <v>162</v>
      </c>
      <c r="P2318" s="7" t="s">
        <v>7335</v>
      </c>
      <c r="Q2318" s="129">
        <v>46199</v>
      </c>
      <c r="R2318" s="130">
        <f t="shared" si="252"/>
        <v>46206</v>
      </c>
      <c r="S2318" s="131">
        <f t="shared" ref="S2318:S2369" si="257">R2318-Q2318</f>
        <v>7</v>
      </c>
      <c r="T2318" s="7" t="s">
        <v>180</v>
      </c>
      <c r="U2318" s="7" t="s">
        <v>286</v>
      </c>
      <c r="V2318" s="7"/>
      <c r="W2318" s="7">
        <v>188.6</v>
      </c>
      <c r="X2318" s="132">
        <f t="shared" si="255"/>
        <v>10</v>
      </c>
      <c r="Y2318" s="133"/>
      <c r="Z2318" s="133"/>
      <c r="AA2318" s="133"/>
    </row>
    <row r="2319" spans="1:27" hidden="1" x14ac:dyDescent="0.25">
      <c r="A2319" s="127">
        <v>2520</v>
      </c>
      <c r="B2319" s="128" t="str">
        <f t="shared" si="256"/>
        <v>UCQT</v>
      </c>
      <c r="C2319" s="128">
        <f>+VLOOKUP(U2319,Ходим!A:B,2,0)</f>
        <v>52107015940019</v>
      </c>
      <c r="D2319" s="128" t="str">
        <f>IFERROR(VLOOKUP($B:$B,[20]свод!$A:$AB,3,0)," ")</f>
        <v>Учқўрғон тумани</v>
      </c>
      <c r="E2319" s="7" t="s">
        <v>3453</v>
      </c>
      <c r="F2319" s="7" t="s">
        <v>9823</v>
      </c>
      <c r="G2319" s="134">
        <f t="shared" si="253"/>
        <v>1</v>
      </c>
      <c r="H2319" s="134" t="str">
        <f t="shared" si="254"/>
        <v/>
      </c>
      <c r="I2319" s="7" t="s">
        <v>158</v>
      </c>
      <c r="J2319" s="7" t="s">
        <v>2</v>
      </c>
      <c r="K2319" s="7"/>
      <c r="L2319" s="7" t="s">
        <v>167</v>
      </c>
      <c r="M2319" s="7" t="s">
        <v>5762</v>
      </c>
      <c r="N2319" s="7" t="s">
        <v>170</v>
      </c>
      <c r="O2319" s="7" t="s">
        <v>162</v>
      </c>
      <c r="P2319" s="7" t="s">
        <v>6318</v>
      </c>
      <c r="Q2319" s="129">
        <v>46199</v>
      </c>
      <c r="R2319" s="130">
        <f t="shared" si="252"/>
        <v>46209</v>
      </c>
      <c r="S2319" s="131">
        <f t="shared" si="257"/>
        <v>10</v>
      </c>
      <c r="T2319" s="7" t="s">
        <v>390</v>
      </c>
      <c r="U2319" s="7" t="s">
        <v>361</v>
      </c>
      <c r="V2319" s="7"/>
      <c r="W2319" s="7">
        <v>0</v>
      </c>
      <c r="X2319" s="132">
        <f t="shared" si="255"/>
        <v>10</v>
      </c>
      <c r="Y2319" s="133"/>
      <c r="Z2319" s="133"/>
      <c r="AA2319" s="133"/>
    </row>
    <row r="2320" spans="1:27" hidden="1" x14ac:dyDescent="0.25">
      <c r="A2320" s="127">
        <v>2521</v>
      </c>
      <c r="B2320" s="128" t="str">
        <f t="shared" si="256"/>
        <v>POPT</v>
      </c>
      <c r="C2320" s="128" t="str">
        <f>+VLOOKUP(U2320,Ходим!A:B,2,0)</f>
        <v>30608945910016</v>
      </c>
      <c r="D2320" s="128" t="str">
        <f>IFERROR(VLOOKUP($B:$B,[20]свод!$A:$AB,3,0)," ")</f>
        <v>Поп тумани</v>
      </c>
      <c r="E2320" s="7" t="s">
        <v>3454</v>
      </c>
      <c r="F2320" s="7" t="s">
        <v>9824</v>
      </c>
      <c r="G2320" s="134">
        <f t="shared" si="253"/>
        <v>1</v>
      </c>
      <c r="H2320" s="134" t="str">
        <f t="shared" si="254"/>
        <v/>
      </c>
      <c r="I2320" s="7" t="s">
        <v>156</v>
      </c>
      <c r="J2320" s="7" t="s">
        <v>25</v>
      </c>
      <c r="K2320" s="7"/>
      <c r="L2320" s="7"/>
      <c r="M2320" s="7"/>
      <c r="N2320" s="7" t="s">
        <v>170</v>
      </c>
      <c r="O2320" s="7" t="s">
        <v>162</v>
      </c>
      <c r="P2320" s="7" t="s">
        <v>6845</v>
      </c>
      <c r="Q2320" s="129">
        <v>46199</v>
      </c>
      <c r="R2320" s="130">
        <f t="shared" si="252"/>
        <v>46212</v>
      </c>
      <c r="S2320" s="131">
        <f t="shared" si="257"/>
        <v>13</v>
      </c>
      <c r="T2320" s="7" t="s">
        <v>240</v>
      </c>
      <c r="U2320" s="7" t="s">
        <v>295</v>
      </c>
      <c r="V2320" s="7"/>
      <c r="W2320" s="7"/>
      <c r="X2320" s="132">
        <f t="shared" si="255"/>
        <v>10</v>
      </c>
      <c r="Y2320" s="133"/>
      <c r="Z2320" s="133"/>
      <c r="AA2320" s="133"/>
    </row>
    <row r="2321" spans="1:27" hidden="1" x14ac:dyDescent="0.25">
      <c r="A2321" s="127">
        <v>2523</v>
      </c>
      <c r="B2321" s="128" t="str">
        <f t="shared" si="256"/>
        <v>POPT</v>
      </c>
      <c r="C2321" s="128" t="str">
        <f>+VLOOKUP(U2321,Ходим!A:B,2,0)</f>
        <v>30608945910016</v>
      </c>
      <c r="D2321" s="128" t="str">
        <f>IFERROR(VLOOKUP($B:$B,[20]свод!$A:$AB,3,0)," ")</f>
        <v>Поп тумани</v>
      </c>
      <c r="E2321" s="7" t="s">
        <v>3455</v>
      </c>
      <c r="F2321" s="7" t="s">
        <v>9825</v>
      </c>
      <c r="G2321" s="134" t="str">
        <f t="shared" si="253"/>
        <v/>
      </c>
      <c r="H2321" s="134">
        <f t="shared" si="254"/>
        <v>1</v>
      </c>
      <c r="I2321" s="7" t="s">
        <v>155</v>
      </c>
      <c r="J2321" s="7" t="s">
        <v>25</v>
      </c>
      <c r="K2321" s="7" t="s">
        <v>10630</v>
      </c>
      <c r="L2321" s="7" t="s">
        <v>166</v>
      </c>
      <c r="M2321" s="7" t="s">
        <v>5763</v>
      </c>
      <c r="N2321" s="7" t="s">
        <v>171</v>
      </c>
      <c r="O2321" s="7" t="s">
        <v>164</v>
      </c>
      <c r="P2321" s="7" t="s">
        <v>7336</v>
      </c>
      <c r="Q2321" s="129">
        <v>46199</v>
      </c>
      <c r="R2321" s="130">
        <f t="shared" si="252"/>
        <v>46212</v>
      </c>
      <c r="S2321" s="131">
        <f t="shared" si="257"/>
        <v>13</v>
      </c>
      <c r="T2321" s="7" t="s">
        <v>240</v>
      </c>
      <c r="U2321" s="7" t="s">
        <v>295</v>
      </c>
      <c r="V2321" s="7"/>
      <c r="W2321" s="7">
        <v>24</v>
      </c>
      <c r="X2321" s="132">
        <f t="shared" si="255"/>
        <v>10</v>
      </c>
      <c r="Y2321" s="133"/>
      <c r="Z2321" s="133"/>
      <c r="AA2321" s="133"/>
    </row>
    <row r="2322" spans="1:27" hidden="1" x14ac:dyDescent="0.25">
      <c r="A2322" s="127">
        <v>2527</v>
      </c>
      <c r="B2322" s="128" t="str">
        <f t="shared" si="256"/>
        <v>KSST</v>
      </c>
      <c r="C2322" s="128" t="str">
        <f>+VLOOKUP(U2322,Ходим!A:B,2,0)</f>
        <v>31810912190036</v>
      </c>
      <c r="D2322" s="128" t="str">
        <f>IFERROR(VLOOKUP($B:$B,[20]свод!$A:$AB,3,0)," ")</f>
        <v>Косонсой тумани</v>
      </c>
      <c r="E2322" s="7" t="s">
        <v>3456</v>
      </c>
      <c r="F2322" s="7" t="s">
        <v>9826</v>
      </c>
      <c r="G2322" s="134">
        <f t="shared" si="253"/>
        <v>1</v>
      </c>
      <c r="H2322" s="134" t="str">
        <f t="shared" si="254"/>
        <v/>
      </c>
      <c r="I2322" s="7" t="s">
        <v>158</v>
      </c>
      <c r="J2322" s="7" t="s">
        <v>2</v>
      </c>
      <c r="K2322" s="7"/>
      <c r="L2322" s="7" t="s">
        <v>167</v>
      </c>
      <c r="M2322" s="7" t="s">
        <v>5764</v>
      </c>
      <c r="N2322" s="7" t="s">
        <v>170</v>
      </c>
      <c r="O2322" s="7" t="s">
        <v>162</v>
      </c>
      <c r="P2322" s="7" t="s">
        <v>6318</v>
      </c>
      <c r="Q2322" s="129">
        <v>46199</v>
      </c>
      <c r="R2322" s="130">
        <f t="shared" si="252"/>
        <v>46209</v>
      </c>
      <c r="S2322" s="131">
        <f t="shared" si="257"/>
        <v>10</v>
      </c>
      <c r="T2322" s="7" t="s">
        <v>180</v>
      </c>
      <c r="U2322" s="7" t="s">
        <v>196</v>
      </c>
      <c r="V2322" s="7"/>
      <c r="W2322" s="7">
        <v>250.37</v>
      </c>
      <c r="X2322" s="132">
        <f t="shared" si="255"/>
        <v>10</v>
      </c>
      <c r="Y2322" s="133"/>
      <c r="Z2322" s="133"/>
      <c r="AA2322" s="133"/>
    </row>
    <row r="2323" spans="1:27" hidden="1" x14ac:dyDescent="0.25">
      <c r="A2323" s="127">
        <v>2530</v>
      </c>
      <c r="B2323" s="128" t="str">
        <f t="shared" si="256"/>
        <v>CHUT</v>
      </c>
      <c r="C2323" s="128" t="str">
        <f>+VLOOKUP(U2323,Ходим!A:B,2,0)</f>
        <v>32511965970037</v>
      </c>
      <c r="D2323" s="128" t="str">
        <f>IFERROR(VLOOKUP($B:$B,[20]свод!$A:$AB,3,0)," ")</f>
        <v>Чуст тумани</v>
      </c>
      <c r="E2323" s="7" t="s">
        <v>3457</v>
      </c>
      <c r="F2323" s="7" t="s">
        <v>9827</v>
      </c>
      <c r="G2323" s="134" t="str">
        <f t="shared" si="253"/>
        <v/>
      </c>
      <c r="H2323" s="134">
        <f t="shared" si="254"/>
        <v>1</v>
      </c>
      <c r="I2323" s="7" t="s">
        <v>155</v>
      </c>
      <c r="J2323" s="7" t="s">
        <v>22</v>
      </c>
      <c r="K2323" s="7"/>
      <c r="L2323" s="7"/>
      <c r="M2323" s="7"/>
      <c r="N2323" s="7" t="s">
        <v>410</v>
      </c>
      <c r="O2323" s="7" t="s">
        <v>161</v>
      </c>
      <c r="P2323" s="7" t="s">
        <v>6318</v>
      </c>
      <c r="Q2323" s="129">
        <v>46199</v>
      </c>
      <c r="R2323" s="130">
        <f t="shared" si="252"/>
        <v>46209</v>
      </c>
      <c r="S2323" s="131">
        <f t="shared" si="257"/>
        <v>10</v>
      </c>
      <c r="T2323" s="7" t="s">
        <v>178</v>
      </c>
      <c r="U2323" s="7" t="s">
        <v>351</v>
      </c>
      <c r="V2323" s="7"/>
      <c r="W2323" s="7"/>
      <c r="X2323" s="132">
        <f t="shared" si="255"/>
        <v>10</v>
      </c>
      <c r="Y2323" s="133"/>
      <c r="Z2323" s="133"/>
      <c r="AA2323" s="133"/>
    </row>
    <row r="2324" spans="1:27" hidden="1" x14ac:dyDescent="0.25">
      <c r="A2324" s="127">
        <v>2531</v>
      </c>
      <c r="B2324" s="128" t="str">
        <f t="shared" si="256"/>
        <v>NAMS</v>
      </c>
      <c r="C2324" s="128" t="str">
        <f>+VLOOKUP(U2324,Ходим!A:B,2,0)</f>
        <v>30809892160183</v>
      </c>
      <c r="D2324" s="128" t="str">
        <f>IFERROR(VLOOKUP($B:$B,[20]свод!$A:$AB,3,0)," ")</f>
        <v>Наманган шаҳар</v>
      </c>
      <c r="E2324" s="7" t="s">
        <v>3458</v>
      </c>
      <c r="F2324" s="7" t="s">
        <v>9828</v>
      </c>
      <c r="G2324" s="134">
        <f t="shared" si="253"/>
        <v>1</v>
      </c>
      <c r="H2324" s="134" t="str">
        <f t="shared" si="254"/>
        <v/>
      </c>
      <c r="I2324" s="7" t="s">
        <v>158</v>
      </c>
      <c r="J2324" s="7" t="s">
        <v>1</v>
      </c>
      <c r="K2324" s="7"/>
      <c r="L2324" s="7" t="s">
        <v>167</v>
      </c>
      <c r="M2324" s="7" t="s">
        <v>5765</v>
      </c>
      <c r="N2324" s="7" t="s">
        <v>170</v>
      </c>
      <c r="O2324" s="7" t="s">
        <v>162</v>
      </c>
      <c r="P2324" s="7" t="s">
        <v>7337</v>
      </c>
      <c r="Q2324" s="129">
        <v>46199</v>
      </c>
      <c r="R2324" s="130">
        <f t="shared" si="252"/>
        <v>46205</v>
      </c>
      <c r="S2324" s="131">
        <f t="shared" si="257"/>
        <v>6</v>
      </c>
      <c r="T2324" s="7" t="s">
        <v>185</v>
      </c>
      <c r="U2324" s="7" t="s">
        <v>192</v>
      </c>
      <c r="V2324" s="7"/>
      <c r="W2324" s="7">
        <v>295.77999999999997</v>
      </c>
      <c r="X2324" s="132">
        <f t="shared" si="255"/>
        <v>10</v>
      </c>
      <c r="Y2324" s="133"/>
      <c r="Z2324" s="133"/>
      <c r="AA2324" s="133"/>
    </row>
    <row r="2325" spans="1:27" hidden="1" x14ac:dyDescent="0.25">
      <c r="A2325" s="127">
        <v>2532</v>
      </c>
      <c r="B2325" s="128" t="str">
        <f t="shared" si="256"/>
        <v>NAMS</v>
      </c>
      <c r="C2325" s="128" t="str">
        <f>+VLOOKUP(U2325,Ходим!A:B,2,0)</f>
        <v>51110025960044</v>
      </c>
      <c r="D2325" s="128" t="str">
        <f>IFERROR(VLOOKUP($B:$B,[20]свод!$A:$AB,3,0)," ")</f>
        <v>Наманган шаҳар</v>
      </c>
      <c r="E2325" s="7" t="s">
        <v>3459</v>
      </c>
      <c r="F2325" s="7" t="s">
        <v>9829</v>
      </c>
      <c r="G2325" s="134">
        <f t="shared" si="253"/>
        <v>1</v>
      </c>
      <c r="H2325" s="134" t="str">
        <f t="shared" si="254"/>
        <v/>
      </c>
      <c r="I2325" s="7" t="s">
        <v>158</v>
      </c>
      <c r="J2325" s="7" t="s">
        <v>2</v>
      </c>
      <c r="K2325" s="7"/>
      <c r="L2325" s="7"/>
      <c r="M2325" s="7"/>
      <c r="N2325" s="7" t="s">
        <v>170</v>
      </c>
      <c r="O2325" s="7" t="s">
        <v>162</v>
      </c>
      <c r="P2325" s="7" t="s">
        <v>6318</v>
      </c>
      <c r="Q2325" s="129">
        <v>46199</v>
      </c>
      <c r="R2325" s="130">
        <f t="shared" si="252"/>
        <v>46209</v>
      </c>
      <c r="S2325" s="131">
        <f t="shared" si="257"/>
        <v>10</v>
      </c>
      <c r="T2325" s="7" t="s">
        <v>173</v>
      </c>
      <c r="U2325" s="7" t="s">
        <v>294</v>
      </c>
      <c r="V2325" s="7"/>
      <c r="W2325" s="7"/>
      <c r="X2325" s="132">
        <f t="shared" si="255"/>
        <v>10</v>
      </c>
      <c r="Y2325" s="133"/>
      <c r="Z2325" s="133"/>
      <c r="AA2325" s="133"/>
    </row>
    <row r="2326" spans="1:27" x14ac:dyDescent="0.25">
      <c r="A2326" s="127">
        <v>2533</v>
      </c>
      <c r="B2326" s="128" t="str">
        <f t="shared" si="256"/>
        <v>NAMT</v>
      </c>
      <c r="C2326" s="128" t="str">
        <f>+VLOOKUP(U2326,Ходим!A:B,2,0)</f>
        <v>32610955880027</v>
      </c>
      <c r="D2326" s="128" t="str">
        <f>IFERROR(VLOOKUP($B:$B,[20]свод!$A:$AB,3,0)," ")</f>
        <v>Наманган тумани</v>
      </c>
      <c r="E2326" s="7" t="s">
        <v>3460</v>
      </c>
      <c r="F2326" s="7" t="s">
        <v>9830</v>
      </c>
      <c r="G2326" s="134">
        <f t="shared" si="253"/>
        <v>1</v>
      </c>
      <c r="H2326" s="134" t="str">
        <f t="shared" si="254"/>
        <v/>
      </c>
      <c r="I2326" s="7" t="s">
        <v>158</v>
      </c>
      <c r="J2326" s="7" t="s">
        <v>1</v>
      </c>
      <c r="K2326" s="7"/>
      <c r="L2326" s="7" t="s">
        <v>167</v>
      </c>
      <c r="M2326" s="7" t="s">
        <v>5766</v>
      </c>
      <c r="N2326" s="7" t="s">
        <v>170</v>
      </c>
      <c r="O2326" s="7" t="s">
        <v>162</v>
      </c>
      <c r="P2326" s="7" t="s">
        <v>7338</v>
      </c>
      <c r="Q2326" s="129">
        <v>46199</v>
      </c>
      <c r="R2326" s="130">
        <f t="shared" si="252"/>
        <v>46199</v>
      </c>
      <c r="S2326" s="131">
        <f t="shared" si="257"/>
        <v>0</v>
      </c>
      <c r="T2326" s="7" t="s">
        <v>193</v>
      </c>
      <c r="U2326" s="7" t="s">
        <v>288</v>
      </c>
      <c r="V2326" s="7"/>
      <c r="W2326" s="7">
        <v>306.05</v>
      </c>
      <c r="X2326" s="132">
        <f t="shared" si="255"/>
        <v>10</v>
      </c>
      <c r="Y2326" s="133"/>
      <c r="Z2326" s="133"/>
      <c r="AA2326" s="133"/>
    </row>
    <row r="2327" spans="1:27" hidden="1" x14ac:dyDescent="0.25">
      <c r="A2327" s="127">
        <v>2534</v>
      </c>
      <c r="B2327" s="128" t="str">
        <f t="shared" si="256"/>
        <v>TORT</v>
      </c>
      <c r="C2327" s="128" t="str">
        <f>+VLOOKUP(U2327,Ходим!A:B,2,0)</f>
        <v>32801762130050</v>
      </c>
      <c r="D2327" s="128" t="str">
        <f>IFERROR(VLOOKUP($B:$B,[20]свод!$A:$AB,3,0)," ")</f>
        <v>Тўрақўрғон тумани</v>
      </c>
      <c r="E2327" s="7" t="s">
        <v>3461</v>
      </c>
      <c r="F2327" s="7" t="s">
        <v>9831</v>
      </c>
      <c r="G2327" s="134" t="str">
        <f t="shared" si="253"/>
        <v/>
      </c>
      <c r="H2327" s="134">
        <f t="shared" si="254"/>
        <v>1</v>
      </c>
      <c r="I2327" s="7" t="s">
        <v>157</v>
      </c>
      <c r="J2327" s="7" t="s">
        <v>2</v>
      </c>
      <c r="K2327" s="7"/>
      <c r="L2327" s="7" t="s">
        <v>166</v>
      </c>
      <c r="M2327" s="7" t="s">
        <v>5767</v>
      </c>
      <c r="N2327" s="7" t="s">
        <v>170</v>
      </c>
      <c r="O2327" s="7" t="s">
        <v>161</v>
      </c>
      <c r="P2327" s="7" t="s">
        <v>7339</v>
      </c>
      <c r="Q2327" s="129">
        <v>46199</v>
      </c>
      <c r="R2327" s="130">
        <f t="shared" si="252"/>
        <v>46210</v>
      </c>
      <c r="S2327" s="131">
        <f t="shared" si="257"/>
        <v>11</v>
      </c>
      <c r="T2327" s="7" t="s">
        <v>203</v>
      </c>
      <c r="U2327" s="7" t="s">
        <v>206</v>
      </c>
      <c r="V2327" s="7"/>
      <c r="W2327" s="7">
        <v>584.95000000000005</v>
      </c>
      <c r="X2327" s="132">
        <f t="shared" si="255"/>
        <v>12</v>
      </c>
      <c r="Y2327" s="133"/>
      <c r="Z2327" s="133"/>
      <c r="AA2327" s="133"/>
    </row>
    <row r="2328" spans="1:27" hidden="1" x14ac:dyDescent="0.25">
      <c r="A2328" s="127">
        <v>2535</v>
      </c>
      <c r="B2328" s="128" t="str">
        <f t="shared" si="256"/>
        <v>TORT</v>
      </c>
      <c r="C2328" s="128" t="str">
        <f>+VLOOKUP(U2328,Ходим!A:B,2,0)</f>
        <v>30612832130021</v>
      </c>
      <c r="D2328" s="128" t="str">
        <f>IFERROR(VLOOKUP($B:$B,[20]свод!$A:$AB,3,0)," ")</f>
        <v>Тўрақўрғон тумани</v>
      </c>
      <c r="E2328" s="7" t="s">
        <v>3462</v>
      </c>
      <c r="F2328" s="7" t="s">
        <v>9832</v>
      </c>
      <c r="G2328" s="134">
        <f t="shared" si="253"/>
        <v>1</v>
      </c>
      <c r="H2328" s="134" t="str">
        <f t="shared" si="254"/>
        <v/>
      </c>
      <c r="I2328" s="7" t="s">
        <v>158</v>
      </c>
      <c r="J2328" s="7" t="s">
        <v>1</v>
      </c>
      <c r="K2328" s="7"/>
      <c r="L2328" s="7" t="s">
        <v>167</v>
      </c>
      <c r="M2328" s="7" t="s">
        <v>5768</v>
      </c>
      <c r="N2328" s="7" t="s">
        <v>170</v>
      </c>
      <c r="O2328" s="7" t="s">
        <v>162</v>
      </c>
      <c r="P2328" s="7" t="s">
        <v>6278</v>
      </c>
      <c r="Q2328" s="129">
        <v>46199</v>
      </c>
      <c r="R2328" s="130">
        <f t="shared" si="252"/>
        <v>46206</v>
      </c>
      <c r="S2328" s="131">
        <f t="shared" si="257"/>
        <v>7</v>
      </c>
      <c r="T2328" s="7" t="s">
        <v>203</v>
      </c>
      <c r="U2328" s="7" t="s">
        <v>342</v>
      </c>
      <c r="V2328" s="7"/>
      <c r="W2328" s="7">
        <v>187.94</v>
      </c>
      <c r="X2328" s="132">
        <f t="shared" si="255"/>
        <v>10</v>
      </c>
      <c r="Y2328" s="133"/>
      <c r="Z2328" s="133"/>
      <c r="AA2328" s="133"/>
    </row>
    <row r="2329" spans="1:27" hidden="1" x14ac:dyDescent="0.25">
      <c r="A2329" s="127">
        <v>2536</v>
      </c>
      <c r="B2329" s="128" t="str">
        <f t="shared" si="256"/>
        <v>NAMS</v>
      </c>
      <c r="C2329" s="128" t="str">
        <f>+VLOOKUP(U2329,Ходим!A:B,2,0)</f>
        <v>31601642170089</v>
      </c>
      <c r="D2329" s="128" t="str">
        <f>IFERROR(VLOOKUP($B:$B,[20]свод!$A:$AB,3,0)," ")</f>
        <v>Наманган шаҳар</v>
      </c>
      <c r="E2329" s="7" t="s">
        <v>3463</v>
      </c>
      <c r="F2329" s="7" t="s">
        <v>9833</v>
      </c>
      <c r="G2329" s="134">
        <f t="shared" si="253"/>
        <v>1</v>
      </c>
      <c r="H2329" s="134" t="str">
        <f t="shared" si="254"/>
        <v/>
      </c>
      <c r="I2329" s="7" t="s">
        <v>156</v>
      </c>
      <c r="J2329" s="7" t="s">
        <v>25</v>
      </c>
      <c r="K2329" s="7"/>
      <c r="L2329" s="7" t="s">
        <v>167</v>
      </c>
      <c r="M2329" s="7" t="s">
        <v>5769</v>
      </c>
      <c r="N2329" s="7" t="s">
        <v>170</v>
      </c>
      <c r="O2329" s="7" t="s">
        <v>163</v>
      </c>
      <c r="P2329" s="7" t="s">
        <v>6559</v>
      </c>
      <c r="Q2329" s="129">
        <v>46199</v>
      </c>
      <c r="R2329" s="130">
        <f t="shared" si="252"/>
        <v>46209</v>
      </c>
      <c r="S2329" s="131">
        <f t="shared" si="257"/>
        <v>10</v>
      </c>
      <c r="T2329" s="7" t="s">
        <v>173</v>
      </c>
      <c r="U2329" s="7" t="s">
        <v>201</v>
      </c>
      <c r="V2329" s="7"/>
      <c r="W2329" s="7">
        <v>1091.46</v>
      </c>
      <c r="X2329" s="132">
        <f t="shared" si="255"/>
        <v>10</v>
      </c>
      <c r="Y2329" s="133"/>
      <c r="Z2329" s="133"/>
      <c r="AA2329" s="133"/>
    </row>
    <row r="2330" spans="1:27" hidden="1" x14ac:dyDescent="0.25">
      <c r="A2330" s="127">
        <v>2537</v>
      </c>
      <c r="B2330" s="128" t="str">
        <f t="shared" si="256"/>
        <v>NAMS</v>
      </c>
      <c r="C2330" s="128">
        <f>+VLOOKUP(U2330,Ходим!A:B,2,0)</f>
        <v>50703045960050</v>
      </c>
      <c r="D2330" s="128" t="str">
        <f>IFERROR(VLOOKUP($B:$B,[20]свод!$A:$AB,3,0)," ")</f>
        <v>Наманган шаҳар</v>
      </c>
      <c r="E2330" s="7" t="s">
        <v>3464</v>
      </c>
      <c r="F2330" s="7" t="s">
        <v>9834</v>
      </c>
      <c r="G2330" s="134">
        <f t="shared" si="253"/>
        <v>1</v>
      </c>
      <c r="H2330" s="134" t="str">
        <f t="shared" si="254"/>
        <v/>
      </c>
      <c r="I2330" s="7" t="s">
        <v>156</v>
      </c>
      <c r="J2330" s="7" t="s">
        <v>25</v>
      </c>
      <c r="K2330" s="7"/>
      <c r="L2330" s="7"/>
      <c r="M2330" s="7"/>
      <c r="N2330" s="7" t="s">
        <v>170</v>
      </c>
      <c r="O2330" s="7" t="s">
        <v>162</v>
      </c>
      <c r="P2330" s="7" t="s">
        <v>7340</v>
      </c>
      <c r="Q2330" s="129">
        <v>46199</v>
      </c>
      <c r="R2330" s="130">
        <f t="shared" si="252"/>
        <v>46209</v>
      </c>
      <c r="S2330" s="131">
        <f t="shared" si="257"/>
        <v>10</v>
      </c>
      <c r="T2330" s="7" t="s">
        <v>173</v>
      </c>
      <c r="U2330" s="7" t="s">
        <v>948</v>
      </c>
      <c r="V2330" s="7"/>
      <c r="W2330" s="7"/>
      <c r="X2330" s="132">
        <f t="shared" si="255"/>
        <v>10</v>
      </c>
      <c r="Y2330" s="133"/>
      <c r="Z2330" s="133"/>
      <c r="AA2330" s="133"/>
    </row>
    <row r="2331" spans="1:27" hidden="1" x14ac:dyDescent="0.25">
      <c r="A2331" s="127">
        <v>2538</v>
      </c>
      <c r="B2331" s="128" t="str">
        <f t="shared" si="256"/>
        <v>TORT</v>
      </c>
      <c r="C2331" s="128" t="str">
        <f>+VLOOKUP(U2331,Ходим!A:B,2,0)</f>
        <v>40302922130046</v>
      </c>
      <c r="D2331" s="128" t="str">
        <f>IFERROR(VLOOKUP($B:$B,[20]свод!$A:$AB,3,0)," ")</f>
        <v>Тўрақўрғон тумани</v>
      </c>
      <c r="E2331" s="7" t="s">
        <v>3465</v>
      </c>
      <c r="F2331" s="7" t="s">
        <v>9835</v>
      </c>
      <c r="G2331" s="134">
        <f t="shared" si="253"/>
        <v>1</v>
      </c>
      <c r="H2331" s="134" t="str">
        <f t="shared" si="254"/>
        <v/>
      </c>
      <c r="I2331" s="7" t="s">
        <v>158</v>
      </c>
      <c r="J2331" s="7" t="s">
        <v>36</v>
      </c>
      <c r="K2331" s="7"/>
      <c r="L2331" s="7" t="s">
        <v>167</v>
      </c>
      <c r="M2331" s="7" t="s">
        <v>5770</v>
      </c>
      <c r="N2331" s="7" t="s">
        <v>170</v>
      </c>
      <c r="O2331" s="7" t="s">
        <v>163</v>
      </c>
      <c r="P2331" s="7" t="s">
        <v>7340</v>
      </c>
      <c r="Q2331" s="129">
        <v>46199</v>
      </c>
      <c r="R2331" s="130">
        <f t="shared" si="252"/>
        <v>46209</v>
      </c>
      <c r="S2331" s="131">
        <f t="shared" si="257"/>
        <v>10</v>
      </c>
      <c r="T2331" s="7" t="s">
        <v>203</v>
      </c>
      <c r="U2331" s="7" t="s">
        <v>258</v>
      </c>
      <c r="V2331" s="7"/>
      <c r="W2331" s="7">
        <v>318.38</v>
      </c>
      <c r="X2331" s="132">
        <f t="shared" si="255"/>
        <v>10</v>
      </c>
      <c r="Y2331" s="133"/>
      <c r="Z2331" s="133"/>
      <c r="AA2331" s="133"/>
    </row>
    <row r="2332" spans="1:27" hidden="1" x14ac:dyDescent="0.25">
      <c r="A2332" s="127">
        <v>2539</v>
      </c>
      <c r="B2332" s="128" t="str">
        <f t="shared" si="256"/>
        <v>NAMS</v>
      </c>
      <c r="C2332" s="128" t="str">
        <f>+VLOOKUP(U2332,Ходим!A:B,2,0)</f>
        <v>33012942170121</v>
      </c>
      <c r="D2332" s="128" t="str">
        <f>IFERROR(VLOOKUP($B:$B,[20]свод!$A:$AB,3,0)," ")</f>
        <v>Наманган шаҳар</v>
      </c>
      <c r="E2332" s="7" t="s">
        <v>3466</v>
      </c>
      <c r="F2332" s="7"/>
      <c r="G2332" s="134">
        <f t="shared" si="253"/>
        <v>1</v>
      </c>
      <c r="H2332" s="134" t="str">
        <f t="shared" si="254"/>
        <v/>
      </c>
      <c r="I2332" s="7" t="s">
        <v>154</v>
      </c>
      <c r="J2332" s="7" t="s">
        <v>145</v>
      </c>
      <c r="K2332" s="7"/>
      <c r="L2332" s="7" t="s">
        <v>167</v>
      </c>
      <c r="M2332" s="7" t="s">
        <v>1098</v>
      </c>
      <c r="N2332" s="7" t="s">
        <v>368</v>
      </c>
      <c r="O2332" s="7"/>
      <c r="P2332" s="7" t="s">
        <v>7341</v>
      </c>
      <c r="Q2332" s="129">
        <v>46199</v>
      </c>
      <c r="R2332" s="130">
        <f t="shared" si="252"/>
        <v>46202</v>
      </c>
      <c r="S2332" s="131">
        <f t="shared" si="257"/>
        <v>3</v>
      </c>
      <c r="T2332" s="7" t="s">
        <v>234</v>
      </c>
      <c r="U2332" s="7" t="s">
        <v>259</v>
      </c>
      <c r="V2332" s="7" t="s">
        <v>965</v>
      </c>
      <c r="W2332" s="7">
        <v>1273.53</v>
      </c>
      <c r="X2332" s="132">
        <f t="shared" si="255"/>
        <v>5</v>
      </c>
      <c r="Y2332" s="133"/>
      <c r="Z2332" s="133"/>
      <c r="AA2332" s="133"/>
    </row>
    <row r="2333" spans="1:27" hidden="1" x14ac:dyDescent="0.25">
      <c r="A2333" s="127">
        <v>2541</v>
      </c>
      <c r="B2333" s="128" t="str">
        <f t="shared" si="256"/>
        <v>NAMT</v>
      </c>
      <c r="C2333" s="128" t="str">
        <f>+VLOOKUP(U2333,Ходим!A:B,2,0)</f>
        <v>32610955880027</v>
      </c>
      <c r="D2333" s="128" t="str">
        <f>IFERROR(VLOOKUP($B:$B,[20]свод!$A:$AB,3,0)," ")</f>
        <v>Наманган тумани</v>
      </c>
      <c r="E2333" s="7" t="s">
        <v>3467</v>
      </c>
      <c r="F2333" s="7" t="s">
        <v>9836</v>
      </c>
      <c r="G2333" s="134">
        <f t="shared" si="253"/>
        <v>1</v>
      </c>
      <c r="H2333" s="134" t="str">
        <f t="shared" si="254"/>
        <v/>
      </c>
      <c r="I2333" s="7" t="s">
        <v>158</v>
      </c>
      <c r="J2333" s="7" t="s">
        <v>36</v>
      </c>
      <c r="K2333" s="7"/>
      <c r="L2333" s="7" t="s">
        <v>167</v>
      </c>
      <c r="M2333" s="7" t="s">
        <v>5771</v>
      </c>
      <c r="N2333" s="7" t="s">
        <v>410</v>
      </c>
      <c r="O2333" s="7" t="s">
        <v>162</v>
      </c>
      <c r="P2333" s="7" t="s">
        <v>7342</v>
      </c>
      <c r="Q2333" s="129">
        <v>46199</v>
      </c>
      <c r="R2333" s="130">
        <f t="shared" si="252"/>
        <v>46209</v>
      </c>
      <c r="S2333" s="131">
        <f t="shared" si="257"/>
        <v>10</v>
      </c>
      <c r="T2333" s="7" t="s">
        <v>197</v>
      </c>
      <c r="U2333" s="7" t="s">
        <v>288</v>
      </c>
      <c r="V2333" s="7"/>
      <c r="W2333" s="7">
        <v>0</v>
      </c>
      <c r="X2333" s="132">
        <f t="shared" si="255"/>
        <v>10</v>
      </c>
      <c r="Y2333" s="133"/>
      <c r="Z2333" s="133"/>
      <c r="AA2333" s="133"/>
    </row>
    <row r="2334" spans="1:27" hidden="1" x14ac:dyDescent="0.25">
      <c r="A2334" s="127">
        <v>2542</v>
      </c>
      <c r="B2334" s="128" t="str">
        <f t="shared" si="256"/>
        <v>POPT</v>
      </c>
      <c r="C2334" s="128" t="str">
        <f>+VLOOKUP(U2334,Ходим!A:B,2,0)</f>
        <v>50902005910032</v>
      </c>
      <c r="D2334" s="128" t="str">
        <f>IFERROR(VLOOKUP($B:$B,[20]свод!$A:$AB,3,0)," ")</f>
        <v>Поп тумани</v>
      </c>
      <c r="E2334" s="7" t="s">
        <v>3468</v>
      </c>
      <c r="F2334" s="7" t="s">
        <v>9837</v>
      </c>
      <c r="G2334" s="134">
        <f t="shared" si="253"/>
        <v>1</v>
      </c>
      <c r="H2334" s="134" t="str">
        <f t="shared" si="254"/>
        <v/>
      </c>
      <c r="I2334" s="7" t="s">
        <v>158</v>
      </c>
      <c r="J2334" s="7" t="s">
        <v>13</v>
      </c>
      <c r="K2334" s="7"/>
      <c r="L2334" s="7" t="s">
        <v>167</v>
      </c>
      <c r="M2334" s="7" t="s">
        <v>5772</v>
      </c>
      <c r="N2334" s="7" t="s">
        <v>170</v>
      </c>
      <c r="O2334" s="7" t="s">
        <v>162</v>
      </c>
      <c r="P2334" s="7" t="s">
        <v>7343</v>
      </c>
      <c r="Q2334" s="129">
        <v>46199</v>
      </c>
      <c r="R2334" s="130">
        <f t="shared" si="252"/>
        <v>46209</v>
      </c>
      <c r="S2334" s="131">
        <f t="shared" si="257"/>
        <v>10</v>
      </c>
      <c r="T2334" s="7" t="s">
        <v>214</v>
      </c>
      <c r="U2334" s="7" t="s">
        <v>278</v>
      </c>
      <c r="V2334" s="7"/>
      <c r="W2334" s="7">
        <v>171.42</v>
      </c>
      <c r="X2334" s="132">
        <f t="shared" si="255"/>
        <v>10</v>
      </c>
      <c r="Y2334" s="133"/>
      <c r="Z2334" s="133"/>
      <c r="AA2334" s="133"/>
    </row>
    <row r="2335" spans="1:27" hidden="1" x14ac:dyDescent="0.25">
      <c r="A2335" s="127">
        <v>2543</v>
      </c>
      <c r="B2335" s="128" t="str">
        <f t="shared" si="256"/>
        <v>YGQT</v>
      </c>
      <c r="C2335" s="128" t="str">
        <f>+VLOOKUP(U2335,Ходим!A:B,2,0)</f>
        <v>52410005950025</v>
      </c>
      <c r="D2335" s="128" t="str">
        <f>IFERROR(VLOOKUP($B:$B,[20]свод!$A:$AB,3,0)," ")</f>
        <v>Янгиқўрғон тумани</v>
      </c>
      <c r="E2335" s="7" t="s">
        <v>3469</v>
      </c>
      <c r="F2335" s="7" t="s">
        <v>9838</v>
      </c>
      <c r="G2335" s="134">
        <f t="shared" si="253"/>
        <v>1</v>
      </c>
      <c r="H2335" s="134" t="str">
        <f t="shared" si="254"/>
        <v/>
      </c>
      <c r="I2335" s="7" t="s">
        <v>158</v>
      </c>
      <c r="J2335" s="7" t="s">
        <v>2</v>
      </c>
      <c r="K2335" s="7"/>
      <c r="L2335" s="7" t="s">
        <v>167</v>
      </c>
      <c r="M2335" s="7" t="s">
        <v>5773</v>
      </c>
      <c r="N2335" s="7" t="s">
        <v>170</v>
      </c>
      <c r="O2335" s="7" t="s">
        <v>162</v>
      </c>
      <c r="P2335" s="7" t="s">
        <v>7343</v>
      </c>
      <c r="Q2335" s="129">
        <v>46199</v>
      </c>
      <c r="R2335" s="130">
        <f t="shared" si="252"/>
        <v>46209</v>
      </c>
      <c r="S2335" s="131">
        <f t="shared" si="257"/>
        <v>10</v>
      </c>
      <c r="T2335" s="7" t="s">
        <v>182</v>
      </c>
      <c r="U2335" s="7" t="s">
        <v>256</v>
      </c>
      <c r="V2335" s="7"/>
      <c r="W2335" s="7">
        <v>219.5</v>
      </c>
      <c r="X2335" s="132">
        <f t="shared" si="255"/>
        <v>10</v>
      </c>
      <c r="Y2335" s="133"/>
      <c r="Z2335" s="133"/>
      <c r="AA2335" s="133"/>
    </row>
    <row r="2336" spans="1:27" hidden="1" x14ac:dyDescent="0.25">
      <c r="A2336" s="127">
        <v>2544</v>
      </c>
      <c r="B2336" s="128" t="str">
        <f t="shared" si="256"/>
        <v>NAMS</v>
      </c>
      <c r="C2336" s="128" t="str">
        <f>+VLOOKUP(U2336,Ходим!A:B,2,0)</f>
        <v>51911035960011</v>
      </c>
      <c r="D2336" s="128" t="str">
        <f>IFERROR(VLOOKUP($B:$B,[20]свод!$A:$AB,3,0)," ")</f>
        <v>Наманган шаҳар</v>
      </c>
      <c r="E2336" s="7" t="s">
        <v>3470</v>
      </c>
      <c r="F2336" s="7" t="s">
        <v>9839</v>
      </c>
      <c r="G2336" s="134">
        <f t="shared" si="253"/>
        <v>1</v>
      </c>
      <c r="H2336" s="134" t="str">
        <f t="shared" si="254"/>
        <v/>
      </c>
      <c r="I2336" s="7" t="s">
        <v>158</v>
      </c>
      <c r="J2336" s="7" t="s">
        <v>2</v>
      </c>
      <c r="K2336" s="7"/>
      <c r="L2336" s="7" t="s">
        <v>167</v>
      </c>
      <c r="M2336" s="7" t="s">
        <v>5774</v>
      </c>
      <c r="N2336" s="7" t="s">
        <v>170</v>
      </c>
      <c r="O2336" s="7" t="s">
        <v>162</v>
      </c>
      <c r="P2336" s="7" t="s">
        <v>7343</v>
      </c>
      <c r="Q2336" s="129">
        <v>46199</v>
      </c>
      <c r="R2336" s="130">
        <f t="shared" si="252"/>
        <v>46209</v>
      </c>
      <c r="S2336" s="131">
        <f t="shared" si="257"/>
        <v>10</v>
      </c>
      <c r="T2336" s="7" t="s">
        <v>173</v>
      </c>
      <c r="U2336" s="7" t="s">
        <v>371</v>
      </c>
      <c r="V2336" s="7"/>
      <c r="W2336" s="7">
        <v>117.26</v>
      </c>
      <c r="X2336" s="132">
        <f t="shared" si="255"/>
        <v>10</v>
      </c>
      <c r="Y2336" s="133"/>
      <c r="Z2336" s="133"/>
      <c r="AA2336" s="133"/>
    </row>
    <row r="2337" spans="1:27" hidden="1" x14ac:dyDescent="0.25">
      <c r="A2337" s="127">
        <v>2545</v>
      </c>
      <c r="B2337" s="128" t="str">
        <f t="shared" si="256"/>
        <v>YGQT</v>
      </c>
      <c r="C2337" s="128" t="str">
        <f>+VLOOKUP(U2337,Ходим!A:B,2,0)</f>
        <v>30107965950010</v>
      </c>
      <c r="D2337" s="128" t="str">
        <f>IFERROR(VLOOKUP($B:$B,[20]свод!$A:$AB,3,0)," ")</f>
        <v>Янгиқўрғон тумани</v>
      </c>
      <c r="E2337" s="7" t="s">
        <v>3471</v>
      </c>
      <c r="F2337" s="7" t="s">
        <v>9840</v>
      </c>
      <c r="G2337" s="134">
        <f t="shared" si="253"/>
        <v>1</v>
      </c>
      <c r="H2337" s="134" t="str">
        <f t="shared" si="254"/>
        <v/>
      </c>
      <c r="I2337" s="7" t="s">
        <v>158</v>
      </c>
      <c r="J2337" s="7" t="s">
        <v>2</v>
      </c>
      <c r="K2337" s="7"/>
      <c r="L2337" s="7"/>
      <c r="M2337" s="7"/>
      <c r="N2337" s="7" t="s">
        <v>170</v>
      </c>
      <c r="O2337" s="7" t="s">
        <v>162</v>
      </c>
      <c r="P2337" s="7" t="s">
        <v>7343</v>
      </c>
      <c r="Q2337" s="129">
        <v>46199</v>
      </c>
      <c r="R2337" s="130">
        <f t="shared" si="252"/>
        <v>46209</v>
      </c>
      <c r="S2337" s="131">
        <f t="shared" si="257"/>
        <v>10</v>
      </c>
      <c r="T2337" s="7" t="s">
        <v>255</v>
      </c>
      <c r="U2337" s="7" t="s">
        <v>244</v>
      </c>
      <c r="V2337" s="7"/>
      <c r="W2337" s="7"/>
      <c r="X2337" s="132">
        <f t="shared" si="255"/>
        <v>10</v>
      </c>
      <c r="Y2337" s="133"/>
      <c r="Z2337" s="133"/>
      <c r="AA2337" s="133"/>
    </row>
    <row r="2338" spans="1:27" hidden="1" x14ac:dyDescent="0.25">
      <c r="A2338" s="127">
        <v>2547</v>
      </c>
      <c r="B2338" s="128" t="str">
        <f t="shared" si="256"/>
        <v>KSST</v>
      </c>
      <c r="C2338" s="128" t="e">
        <f>+VLOOKUP(U2338,Ходим!A:B,2,0)</f>
        <v>#N/A</v>
      </c>
      <c r="D2338" s="128" t="str">
        <f>IFERROR(VLOOKUP($B:$B,[20]свод!$A:$AB,3,0)," ")</f>
        <v>Косонсой тумани</v>
      </c>
      <c r="E2338" s="7" t="s">
        <v>3472</v>
      </c>
      <c r="F2338" s="7" t="s">
        <v>9841</v>
      </c>
      <c r="G2338" s="134">
        <f t="shared" si="253"/>
        <v>1</v>
      </c>
      <c r="H2338" s="134" t="str">
        <f t="shared" si="254"/>
        <v/>
      </c>
      <c r="I2338" s="7" t="s">
        <v>156</v>
      </c>
      <c r="J2338" s="7" t="s">
        <v>25</v>
      </c>
      <c r="K2338" s="7"/>
      <c r="L2338" s="7"/>
      <c r="M2338" s="7"/>
      <c r="N2338" s="7" t="s">
        <v>170</v>
      </c>
      <c r="O2338" s="7" t="s">
        <v>162</v>
      </c>
      <c r="P2338" s="7" t="s">
        <v>7343</v>
      </c>
      <c r="Q2338" s="129">
        <v>46199</v>
      </c>
      <c r="R2338" s="130">
        <f t="shared" si="252"/>
        <v>46209</v>
      </c>
      <c r="S2338" s="131">
        <f t="shared" si="257"/>
        <v>10</v>
      </c>
      <c r="T2338" s="7" t="s">
        <v>180</v>
      </c>
      <c r="U2338" s="7" t="s">
        <v>10634</v>
      </c>
      <c r="V2338" s="7"/>
      <c r="W2338" s="7"/>
      <c r="X2338" s="132">
        <f t="shared" si="255"/>
        <v>10</v>
      </c>
      <c r="Y2338" s="133"/>
      <c r="Z2338" s="133"/>
      <c r="AA2338" s="133"/>
    </row>
    <row r="2339" spans="1:27" hidden="1" x14ac:dyDescent="0.25">
      <c r="A2339" s="127">
        <v>2548</v>
      </c>
      <c r="B2339" s="128" t="str">
        <f t="shared" si="256"/>
        <v>UCQT</v>
      </c>
      <c r="C2339" s="128" t="str">
        <f>+VLOOKUP(U2339,Ходим!A:B,2,0)</f>
        <v>32805962150027</v>
      </c>
      <c r="D2339" s="128" t="str">
        <f>IFERROR(VLOOKUP($B:$B,[20]свод!$A:$AB,3,0)," ")</f>
        <v>Учқўрғон тумани</v>
      </c>
      <c r="E2339" s="7" t="s">
        <v>3473</v>
      </c>
      <c r="F2339" s="7" t="s">
        <v>9842</v>
      </c>
      <c r="G2339" s="134">
        <f t="shared" si="253"/>
        <v>1</v>
      </c>
      <c r="H2339" s="134" t="str">
        <f t="shared" si="254"/>
        <v/>
      </c>
      <c r="I2339" s="7" t="s">
        <v>158</v>
      </c>
      <c r="J2339" s="7" t="s">
        <v>2</v>
      </c>
      <c r="K2339" s="7"/>
      <c r="L2339" s="7" t="s">
        <v>167</v>
      </c>
      <c r="M2339" s="7" t="s">
        <v>5775</v>
      </c>
      <c r="N2339" s="7" t="s">
        <v>170</v>
      </c>
      <c r="O2339" s="7" t="s">
        <v>162</v>
      </c>
      <c r="P2339" s="7" t="s">
        <v>7343</v>
      </c>
      <c r="Q2339" s="129">
        <v>46199</v>
      </c>
      <c r="R2339" s="130">
        <f t="shared" si="252"/>
        <v>46209</v>
      </c>
      <c r="S2339" s="131">
        <f t="shared" si="257"/>
        <v>10</v>
      </c>
      <c r="T2339" s="7" t="s">
        <v>175</v>
      </c>
      <c r="U2339" s="7" t="s">
        <v>369</v>
      </c>
      <c r="V2339" s="7"/>
      <c r="W2339" s="7">
        <v>247.56</v>
      </c>
      <c r="X2339" s="132">
        <f t="shared" si="255"/>
        <v>10</v>
      </c>
      <c r="Y2339" s="133"/>
      <c r="Z2339" s="133"/>
      <c r="AA2339" s="133"/>
    </row>
    <row r="2340" spans="1:27" hidden="1" x14ac:dyDescent="0.25">
      <c r="A2340" s="127">
        <v>2550</v>
      </c>
      <c r="B2340" s="128" t="str">
        <f t="shared" si="256"/>
        <v>KSST</v>
      </c>
      <c r="C2340" s="128" t="str">
        <f>+VLOOKUP(U2340,Ходим!A:B,2,0)</f>
        <v>31810912190036</v>
      </c>
      <c r="D2340" s="128" t="str">
        <f>IFERROR(VLOOKUP($B:$B,[20]свод!$A:$AB,3,0)," ")</f>
        <v>Косонсой тумани</v>
      </c>
      <c r="E2340" s="7" t="s">
        <v>3474</v>
      </c>
      <c r="F2340" s="7" t="s">
        <v>9843</v>
      </c>
      <c r="G2340" s="134">
        <f t="shared" si="253"/>
        <v>1</v>
      </c>
      <c r="H2340" s="134" t="str">
        <f t="shared" si="254"/>
        <v/>
      </c>
      <c r="I2340" s="7" t="s">
        <v>158</v>
      </c>
      <c r="J2340" s="7" t="s">
        <v>2</v>
      </c>
      <c r="K2340" s="7"/>
      <c r="L2340" s="7" t="s">
        <v>167</v>
      </c>
      <c r="M2340" s="7" t="s">
        <v>5776</v>
      </c>
      <c r="N2340" s="7" t="s">
        <v>170</v>
      </c>
      <c r="O2340" s="7" t="s">
        <v>162</v>
      </c>
      <c r="P2340" s="7" t="s">
        <v>7343</v>
      </c>
      <c r="Q2340" s="129">
        <v>46199</v>
      </c>
      <c r="R2340" s="130">
        <f t="shared" si="252"/>
        <v>46209</v>
      </c>
      <c r="S2340" s="131">
        <f t="shared" si="257"/>
        <v>10</v>
      </c>
      <c r="T2340" s="7" t="s">
        <v>180</v>
      </c>
      <c r="U2340" s="7" t="s">
        <v>196</v>
      </c>
      <c r="V2340" s="7"/>
      <c r="W2340" s="7">
        <v>332.43</v>
      </c>
      <c r="X2340" s="132">
        <f t="shared" si="255"/>
        <v>10</v>
      </c>
      <c r="Y2340" s="133"/>
      <c r="Z2340" s="133"/>
      <c r="AA2340" s="133"/>
    </row>
    <row r="2341" spans="1:27" hidden="1" x14ac:dyDescent="0.25">
      <c r="A2341" s="127">
        <v>2551</v>
      </c>
      <c r="B2341" s="128" t="str">
        <f t="shared" si="256"/>
        <v>UCQT</v>
      </c>
      <c r="C2341" s="128" t="str">
        <f>+VLOOKUP(U2341,Ходим!A:B,2,0)</f>
        <v>42005872150022</v>
      </c>
      <c r="D2341" s="128" t="str">
        <f>IFERROR(VLOOKUP($B:$B,[20]свод!$A:$AB,3,0)," ")</f>
        <v>Учқўрғон тумани</v>
      </c>
      <c r="E2341" s="7" t="s">
        <v>3475</v>
      </c>
      <c r="F2341" s="7" t="s">
        <v>9844</v>
      </c>
      <c r="G2341" s="134">
        <f t="shared" si="253"/>
        <v>1</v>
      </c>
      <c r="H2341" s="134" t="str">
        <f t="shared" si="254"/>
        <v/>
      </c>
      <c r="I2341" s="7" t="s">
        <v>158</v>
      </c>
      <c r="J2341" s="7" t="s">
        <v>36</v>
      </c>
      <c r="K2341" s="7"/>
      <c r="L2341" s="7" t="s">
        <v>167</v>
      </c>
      <c r="M2341" s="7" t="s">
        <v>5777</v>
      </c>
      <c r="N2341" s="7" t="s">
        <v>170</v>
      </c>
      <c r="O2341" s="7" t="s">
        <v>162</v>
      </c>
      <c r="P2341" s="7" t="s">
        <v>6779</v>
      </c>
      <c r="Q2341" s="129">
        <v>46199</v>
      </c>
      <c r="R2341" s="130">
        <f t="shared" si="252"/>
        <v>46204</v>
      </c>
      <c r="S2341" s="131">
        <f t="shared" si="257"/>
        <v>5</v>
      </c>
      <c r="T2341" s="7" t="s">
        <v>175</v>
      </c>
      <c r="U2341" s="7" t="s">
        <v>176</v>
      </c>
      <c r="V2341" s="7"/>
      <c r="W2341" s="7">
        <v>279.82</v>
      </c>
      <c r="X2341" s="132">
        <f t="shared" si="255"/>
        <v>10</v>
      </c>
      <c r="Y2341" s="133"/>
      <c r="Z2341" s="133"/>
      <c r="AA2341" s="133"/>
    </row>
    <row r="2342" spans="1:27" hidden="1" x14ac:dyDescent="0.25">
      <c r="A2342" s="127">
        <v>2552</v>
      </c>
      <c r="B2342" s="128" t="str">
        <f t="shared" si="256"/>
        <v>KSST</v>
      </c>
      <c r="C2342" s="128" t="str">
        <f>+VLOOKUP(U2342,Ходим!A:B,2,0)</f>
        <v>31204985980041</v>
      </c>
      <c r="D2342" s="128" t="str">
        <f>IFERROR(VLOOKUP($B:$B,[20]свод!$A:$AB,3,0)," ")</f>
        <v>Косонсой тумани</v>
      </c>
      <c r="E2342" s="7" t="s">
        <v>3476</v>
      </c>
      <c r="F2342" s="7" t="s">
        <v>9845</v>
      </c>
      <c r="G2342" s="134">
        <f t="shared" si="253"/>
        <v>1</v>
      </c>
      <c r="H2342" s="134" t="str">
        <f t="shared" si="254"/>
        <v/>
      </c>
      <c r="I2342" s="7" t="s">
        <v>158</v>
      </c>
      <c r="J2342" s="7" t="s">
        <v>36</v>
      </c>
      <c r="K2342" s="7"/>
      <c r="L2342" s="7" t="s">
        <v>167</v>
      </c>
      <c r="M2342" s="7" t="s">
        <v>5778</v>
      </c>
      <c r="N2342" s="7" t="s">
        <v>170</v>
      </c>
      <c r="O2342" s="7" t="s">
        <v>162</v>
      </c>
      <c r="P2342" s="7" t="s">
        <v>6973</v>
      </c>
      <c r="Q2342" s="129">
        <v>46199</v>
      </c>
      <c r="R2342" s="130">
        <f t="shared" si="252"/>
        <v>46205</v>
      </c>
      <c r="S2342" s="131">
        <f t="shared" si="257"/>
        <v>6</v>
      </c>
      <c r="T2342" s="7" t="s">
        <v>180</v>
      </c>
      <c r="U2342" s="7" t="s">
        <v>236</v>
      </c>
      <c r="V2342" s="7"/>
      <c r="W2342" s="7">
        <v>0</v>
      </c>
      <c r="X2342" s="132">
        <f t="shared" si="255"/>
        <v>10</v>
      </c>
      <c r="Y2342" s="133"/>
      <c r="Z2342" s="133"/>
      <c r="AA2342" s="133"/>
    </row>
    <row r="2343" spans="1:27" hidden="1" x14ac:dyDescent="0.25">
      <c r="A2343" s="127">
        <v>2553</v>
      </c>
      <c r="B2343" s="128" t="str">
        <f t="shared" si="256"/>
        <v>NAMS</v>
      </c>
      <c r="C2343" s="128" t="str">
        <f>+VLOOKUP(U2343,Ходим!A:B,2,0)</f>
        <v>30304915960053</v>
      </c>
      <c r="D2343" s="128" t="str">
        <f>IFERROR(VLOOKUP($B:$B,[20]свод!$A:$AB,3,0)," ")</f>
        <v>Наманган шаҳар</v>
      </c>
      <c r="E2343" s="7" t="s">
        <v>3477</v>
      </c>
      <c r="F2343" s="7" t="s">
        <v>9846</v>
      </c>
      <c r="G2343" s="134">
        <f t="shared" si="253"/>
        <v>1</v>
      </c>
      <c r="H2343" s="134" t="str">
        <f t="shared" si="254"/>
        <v/>
      </c>
      <c r="I2343" s="7" t="s">
        <v>158</v>
      </c>
      <c r="J2343" s="7" t="s">
        <v>1</v>
      </c>
      <c r="K2343" s="7"/>
      <c r="L2343" s="7" t="s">
        <v>167</v>
      </c>
      <c r="M2343" s="7" t="s">
        <v>5779</v>
      </c>
      <c r="N2343" s="7" t="s">
        <v>170</v>
      </c>
      <c r="O2343" s="7" t="s">
        <v>162</v>
      </c>
      <c r="P2343" s="7" t="s">
        <v>7190</v>
      </c>
      <c r="Q2343" s="129">
        <v>46199</v>
      </c>
      <c r="R2343" s="130">
        <f t="shared" si="252"/>
        <v>46203</v>
      </c>
      <c r="S2343" s="131">
        <f t="shared" si="257"/>
        <v>4</v>
      </c>
      <c r="T2343" s="7" t="s">
        <v>227</v>
      </c>
      <c r="U2343" s="7" t="s">
        <v>314</v>
      </c>
      <c r="V2343" s="7"/>
      <c r="W2343" s="7">
        <v>262</v>
      </c>
      <c r="X2343" s="132">
        <f t="shared" si="255"/>
        <v>10</v>
      </c>
      <c r="Y2343" s="133"/>
      <c r="Z2343" s="133"/>
      <c r="AA2343" s="133"/>
    </row>
    <row r="2344" spans="1:27" hidden="1" x14ac:dyDescent="0.25">
      <c r="A2344" s="127">
        <v>2554</v>
      </c>
      <c r="B2344" s="128" t="str">
        <f t="shared" si="256"/>
        <v>CHUT</v>
      </c>
      <c r="C2344" s="128" t="str">
        <f>+VLOOKUP(U2344,Ходим!A:B,2,0)</f>
        <v>30202885970013</v>
      </c>
      <c r="D2344" s="128" t="str">
        <f>IFERROR(VLOOKUP($B:$B,[20]свод!$A:$AB,3,0)," ")</f>
        <v>Чуст тумани</v>
      </c>
      <c r="E2344" s="7" t="s">
        <v>3478</v>
      </c>
      <c r="F2344" s="7" t="s">
        <v>9847</v>
      </c>
      <c r="G2344" s="134" t="str">
        <f t="shared" si="253"/>
        <v/>
      </c>
      <c r="H2344" s="134">
        <f t="shared" si="254"/>
        <v>1</v>
      </c>
      <c r="I2344" s="7" t="s">
        <v>157</v>
      </c>
      <c r="J2344" s="7" t="s">
        <v>172</v>
      </c>
      <c r="K2344" s="7"/>
      <c r="L2344" s="7" t="s">
        <v>168</v>
      </c>
      <c r="M2344" s="7" t="s">
        <v>5780</v>
      </c>
      <c r="N2344" s="7" t="s">
        <v>410</v>
      </c>
      <c r="O2344" s="7" t="s">
        <v>161</v>
      </c>
      <c r="P2344" s="7" t="s">
        <v>7344</v>
      </c>
      <c r="Q2344" s="129">
        <v>46199</v>
      </c>
      <c r="R2344" s="130">
        <f t="shared" si="252"/>
        <v>46204</v>
      </c>
      <c r="S2344" s="131">
        <f t="shared" si="257"/>
        <v>5</v>
      </c>
      <c r="T2344" s="7" t="s">
        <v>178</v>
      </c>
      <c r="U2344" s="7" t="s">
        <v>289</v>
      </c>
      <c r="V2344" s="7"/>
      <c r="W2344" s="7">
        <v>0</v>
      </c>
      <c r="X2344" s="132">
        <f t="shared" si="255"/>
        <v>7</v>
      </c>
      <c r="Y2344" s="133"/>
      <c r="Z2344" s="133"/>
      <c r="AA2344" s="133"/>
    </row>
    <row r="2345" spans="1:27" hidden="1" x14ac:dyDescent="0.25">
      <c r="A2345" s="127">
        <v>2555</v>
      </c>
      <c r="B2345" s="128" t="str">
        <f t="shared" si="256"/>
        <v>POPT</v>
      </c>
      <c r="C2345" s="128" t="str">
        <f>+VLOOKUP(U2345,Ходим!A:B,2,0)</f>
        <v>30808922120014</v>
      </c>
      <c r="D2345" s="128" t="str">
        <f>IFERROR(VLOOKUP($B:$B,[20]свод!$A:$AB,3,0)," ")</f>
        <v>Поп тумани</v>
      </c>
      <c r="E2345" s="7" t="s">
        <v>3479</v>
      </c>
      <c r="F2345" s="7" t="s">
        <v>9848</v>
      </c>
      <c r="G2345" s="134">
        <f t="shared" si="253"/>
        <v>1</v>
      </c>
      <c r="H2345" s="134" t="str">
        <f t="shared" si="254"/>
        <v/>
      </c>
      <c r="I2345" s="7" t="s">
        <v>156</v>
      </c>
      <c r="J2345" s="7" t="s">
        <v>25</v>
      </c>
      <c r="K2345" s="7"/>
      <c r="L2345" s="7"/>
      <c r="M2345" s="7"/>
      <c r="N2345" s="7" t="s">
        <v>170</v>
      </c>
      <c r="O2345" s="7" t="s">
        <v>162</v>
      </c>
      <c r="P2345" s="7" t="s">
        <v>7344</v>
      </c>
      <c r="Q2345" s="129">
        <v>46199</v>
      </c>
      <c r="R2345" s="130">
        <f t="shared" si="252"/>
        <v>46209</v>
      </c>
      <c r="S2345" s="131">
        <f t="shared" si="257"/>
        <v>10</v>
      </c>
      <c r="T2345" s="7" t="s">
        <v>214</v>
      </c>
      <c r="U2345" s="7" t="s">
        <v>242</v>
      </c>
      <c r="V2345" s="7"/>
      <c r="W2345" s="7"/>
      <c r="X2345" s="132">
        <f t="shared" si="255"/>
        <v>10</v>
      </c>
      <c r="Y2345" s="133"/>
      <c r="Z2345" s="133"/>
      <c r="AA2345" s="133"/>
    </row>
    <row r="2346" spans="1:27" hidden="1" x14ac:dyDescent="0.25">
      <c r="A2346" s="127">
        <v>2556</v>
      </c>
      <c r="B2346" s="128" t="str">
        <f t="shared" si="256"/>
        <v>NAMS</v>
      </c>
      <c r="C2346" s="128" t="e">
        <f>+VLOOKUP(U2346,Ходим!A:B,2,0)</f>
        <v>#N/A</v>
      </c>
      <c r="D2346" s="128" t="str">
        <f>IFERROR(VLOOKUP($B:$B,[20]свод!$A:$AB,3,0)," ")</f>
        <v>Наманган шаҳар</v>
      </c>
      <c r="E2346" s="7" t="s">
        <v>3480</v>
      </c>
      <c r="F2346" s="7" t="s">
        <v>9849</v>
      </c>
      <c r="G2346" s="134">
        <f t="shared" si="253"/>
        <v>1</v>
      </c>
      <c r="H2346" s="134" t="str">
        <f t="shared" si="254"/>
        <v/>
      </c>
      <c r="I2346" s="7" t="s">
        <v>159</v>
      </c>
      <c r="J2346" s="7" t="s">
        <v>136</v>
      </c>
      <c r="K2346" s="7"/>
      <c r="L2346" s="7" t="s">
        <v>167</v>
      </c>
      <c r="M2346" s="7" t="s">
        <v>5781</v>
      </c>
      <c r="N2346" s="7" t="s">
        <v>170</v>
      </c>
      <c r="O2346" s="7" t="s">
        <v>163</v>
      </c>
      <c r="P2346" s="7" t="s">
        <v>7344</v>
      </c>
      <c r="Q2346" s="129">
        <v>46199</v>
      </c>
      <c r="R2346" s="130">
        <f t="shared" si="252"/>
        <v>46209</v>
      </c>
      <c r="S2346" s="131">
        <f t="shared" si="257"/>
        <v>10</v>
      </c>
      <c r="T2346" s="7" t="s">
        <v>185</v>
      </c>
      <c r="U2346" s="7"/>
      <c r="V2346" s="7"/>
      <c r="W2346" s="7">
        <v>483.61</v>
      </c>
      <c r="X2346" s="132">
        <f t="shared" si="255"/>
        <v>10</v>
      </c>
      <c r="Y2346" s="133"/>
      <c r="Z2346" s="133"/>
      <c r="AA2346" s="133"/>
    </row>
    <row r="2347" spans="1:27" hidden="1" x14ac:dyDescent="0.25">
      <c r="A2347" s="127">
        <v>2557</v>
      </c>
      <c r="B2347" s="128" t="str">
        <f t="shared" si="256"/>
        <v>UYCT</v>
      </c>
      <c r="C2347" s="128" t="str">
        <f>+VLOOKUP(U2347,Ходим!A:B,2,0)</f>
        <v>30510922140032</v>
      </c>
      <c r="D2347" s="128" t="str">
        <f>IFERROR(VLOOKUP($B:$B,[20]свод!$A:$AB,3,0)," ")</f>
        <v>Уйчи тумани</v>
      </c>
      <c r="E2347" s="7" t="s">
        <v>3481</v>
      </c>
      <c r="F2347" s="7" t="s">
        <v>9850</v>
      </c>
      <c r="G2347" s="134">
        <f t="shared" si="253"/>
        <v>1</v>
      </c>
      <c r="H2347" s="134" t="str">
        <f t="shared" si="254"/>
        <v/>
      </c>
      <c r="I2347" s="7" t="s">
        <v>156</v>
      </c>
      <c r="J2347" s="7" t="s">
        <v>22</v>
      </c>
      <c r="K2347" s="7"/>
      <c r="L2347" s="7"/>
      <c r="M2347" s="7"/>
      <c r="N2347" s="7" t="s">
        <v>410</v>
      </c>
      <c r="O2347" s="7" t="s">
        <v>162</v>
      </c>
      <c r="P2347" s="7" t="s">
        <v>7345</v>
      </c>
      <c r="Q2347" s="129">
        <v>46199</v>
      </c>
      <c r="R2347" s="130">
        <f t="shared" si="252"/>
        <v>46212</v>
      </c>
      <c r="S2347" s="131">
        <f t="shared" si="257"/>
        <v>13</v>
      </c>
      <c r="T2347" s="7" t="s">
        <v>379</v>
      </c>
      <c r="U2347" s="7" t="s">
        <v>199</v>
      </c>
      <c r="V2347" s="7"/>
      <c r="W2347" s="7"/>
      <c r="X2347" s="132">
        <f t="shared" si="255"/>
        <v>10</v>
      </c>
      <c r="Y2347" s="133"/>
      <c r="Z2347" s="133"/>
      <c r="AA2347" s="133"/>
    </row>
    <row r="2348" spans="1:27" hidden="1" x14ac:dyDescent="0.25">
      <c r="A2348" s="127">
        <v>2558</v>
      </c>
      <c r="B2348" s="128" t="str">
        <f t="shared" si="256"/>
        <v>YGQT</v>
      </c>
      <c r="C2348" s="128" t="str">
        <f>+VLOOKUP(U2348,Ходим!A:B,2,0)</f>
        <v>52802005950028</v>
      </c>
      <c r="D2348" s="128" t="str">
        <f>IFERROR(VLOOKUP($B:$B,[20]свод!$A:$AB,3,0)," ")</f>
        <v>Янгиқўрғон тумани</v>
      </c>
      <c r="E2348" s="7" t="s">
        <v>3482</v>
      </c>
      <c r="F2348" s="7" t="s">
        <v>9851</v>
      </c>
      <c r="G2348" s="134">
        <f t="shared" si="253"/>
        <v>1</v>
      </c>
      <c r="H2348" s="134" t="str">
        <f t="shared" si="254"/>
        <v/>
      </c>
      <c r="I2348" s="7" t="s">
        <v>158</v>
      </c>
      <c r="J2348" s="7" t="s">
        <v>172</v>
      </c>
      <c r="K2348" s="7"/>
      <c r="L2348" s="7"/>
      <c r="M2348" s="7"/>
      <c r="N2348" s="7" t="s">
        <v>170</v>
      </c>
      <c r="O2348" s="7" t="s">
        <v>162</v>
      </c>
      <c r="P2348" s="7" t="s">
        <v>7346</v>
      </c>
      <c r="Q2348" s="129">
        <v>46199</v>
      </c>
      <c r="R2348" s="130">
        <f t="shared" si="252"/>
        <v>46209</v>
      </c>
      <c r="S2348" s="131">
        <f t="shared" si="257"/>
        <v>10</v>
      </c>
      <c r="T2348" s="7" t="s">
        <v>182</v>
      </c>
      <c r="U2348" s="7" t="s">
        <v>281</v>
      </c>
      <c r="V2348" s="7"/>
      <c r="W2348" s="7"/>
      <c r="X2348" s="132">
        <f t="shared" si="255"/>
        <v>10</v>
      </c>
      <c r="Y2348" s="133"/>
      <c r="Z2348" s="133"/>
      <c r="AA2348" s="133"/>
    </row>
    <row r="2349" spans="1:27" hidden="1" x14ac:dyDescent="0.25">
      <c r="A2349" s="127">
        <v>2559</v>
      </c>
      <c r="B2349" s="128" t="str">
        <f t="shared" si="256"/>
        <v>UCQT</v>
      </c>
      <c r="C2349" s="128" t="str">
        <f>+VLOOKUP(U2349,Ходим!A:B,2,0)</f>
        <v>32805962150027</v>
      </c>
      <c r="D2349" s="128" t="str">
        <f>IFERROR(VLOOKUP($B:$B,[20]свод!$A:$AB,3,0)," ")</f>
        <v>Учқўрғон тумани</v>
      </c>
      <c r="E2349" s="7" t="s">
        <v>3483</v>
      </c>
      <c r="F2349" s="7" t="s">
        <v>9852</v>
      </c>
      <c r="G2349" s="134">
        <f t="shared" si="253"/>
        <v>1</v>
      </c>
      <c r="H2349" s="134" t="str">
        <f t="shared" si="254"/>
        <v/>
      </c>
      <c r="I2349" s="7" t="s">
        <v>156</v>
      </c>
      <c r="J2349" s="7" t="s">
        <v>25</v>
      </c>
      <c r="K2349" s="7"/>
      <c r="L2349" s="7"/>
      <c r="M2349" s="7"/>
      <c r="N2349" s="7" t="s">
        <v>170</v>
      </c>
      <c r="O2349" s="7" t="s">
        <v>162</v>
      </c>
      <c r="P2349" s="7" t="s">
        <v>6491</v>
      </c>
      <c r="Q2349" s="129">
        <v>46199</v>
      </c>
      <c r="R2349" s="130">
        <f t="shared" si="252"/>
        <v>46205</v>
      </c>
      <c r="S2349" s="131">
        <f t="shared" si="257"/>
        <v>6</v>
      </c>
      <c r="T2349" s="7" t="s">
        <v>390</v>
      </c>
      <c r="U2349" s="7" t="s">
        <v>369</v>
      </c>
      <c r="V2349" s="7"/>
      <c r="W2349" s="7"/>
      <c r="X2349" s="132">
        <f t="shared" si="255"/>
        <v>10</v>
      </c>
      <c r="Y2349" s="133"/>
      <c r="Z2349" s="133"/>
      <c r="AA2349" s="133"/>
    </row>
    <row r="2350" spans="1:27" hidden="1" x14ac:dyDescent="0.25">
      <c r="A2350" s="127">
        <v>2560</v>
      </c>
      <c r="B2350" s="128" t="str">
        <f t="shared" si="256"/>
        <v>UYCT</v>
      </c>
      <c r="C2350" s="128" t="str">
        <f>+VLOOKUP(U2350,Ходим!A:B,2,0)</f>
        <v>31703985930055</v>
      </c>
      <c r="D2350" s="128" t="str">
        <f>IFERROR(VLOOKUP($B:$B,[20]свод!$A:$AB,3,0)," ")</f>
        <v>Уйчи тумани</v>
      </c>
      <c r="E2350" s="7" t="s">
        <v>3484</v>
      </c>
      <c r="F2350" s="7" t="s">
        <v>9853</v>
      </c>
      <c r="G2350" s="134">
        <f t="shared" si="253"/>
        <v>1</v>
      </c>
      <c r="H2350" s="134" t="str">
        <f t="shared" si="254"/>
        <v/>
      </c>
      <c r="I2350" s="7" t="s">
        <v>158</v>
      </c>
      <c r="J2350" s="7" t="s">
        <v>1</v>
      </c>
      <c r="K2350" s="7"/>
      <c r="L2350" s="7" t="s">
        <v>167</v>
      </c>
      <c r="M2350" s="7" t="s">
        <v>5782</v>
      </c>
      <c r="N2350" s="7" t="s">
        <v>170</v>
      </c>
      <c r="O2350" s="7" t="s">
        <v>162</v>
      </c>
      <c r="P2350" s="7" t="s">
        <v>6592</v>
      </c>
      <c r="Q2350" s="129">
        <v>46199</v>
      </c>
      <c r="R2350" s="130">
        <f t="shared" si="252"/>
        <v>46205</v>
      </c>
      <c r="S2350" s="131">
        <f t="shared" si="257"/>
        <v>6</v>
      </c>
      <c r="T2350" s="7" t="s">
        <v>947</v>
      </c>
      <c r="U2350" s="7" t="s">
        <v>276</v>
      </c>
      <c r="V2350" s="7"/>
      <c r="W2350" s="7">
        <v>136.69999999999999</v>
      </c>
      <c r="X2350" s="132">
        <f t="shared" si="255"/>
        <v>10</v>
      </c>
      <c r="Y2350" s="133"/>
      <c r="Z2350" s="133"/>
      <c r="AA2350" s="133"/>
    </row>
    <row r="2351" spans="1:27" x14ac:dyDescent="0.25">
      <c r="A2351" s="127">
        <v>2561</v>
      </c>
      <c r="B2351" s="128" t="str">
        <f t="shared" si="256"/>
        <v>MINT</v>
      </c>
      <c r="C2351" s="128" t="str">
        <f>+VLOOKUP(U2351,Ходим!A:B,2,0)</f>
        <v>31710662200035</v>
      </c>
      <c r="D2351" s="128" t="str">
        <f>IFERROR(VLOOKUP($B:$B,[20]свод!$A:$AB,3,0)," ")</f>
        <v>Мингбулоқ тумани</v>
      </c>
      <c r="E2351" s="7" t="s">
        <v>3485</v>
      </c>
      <c r="F2351" s="7" t="s">
        <v>9854</v>
      </c>
      <c r="G2351" s="134">
        <f t="shared" si="253"/>
        <v>1</v>
      </c>
      <c r="H2351" s="134" t="str">
        <f t="shared" si="254"/>
        <v/>
      </c>
      <c r="I2351" s="7" t="s">
        <v>158</v>
      </c>
      <c r="J2351" s="7" t="s">
        <v>10</v>
      </c>
      <c r="K2351" s="7"/>
      <c r="L2351" s="7" t="s">
        <v>167</v>
      </c>
      <c r="M2351" s="7" t="s">
        <v>5783</v>
      </c>
      <c r="N2351" s="7" t="s">
        <v>410</v>
      </c>
      <c r="O2351" s="7" t="s">
        <v>162</v>
      </c>
      <c r="P2351" s="7" t="s">
        <v>7347</v>
      </c>
      <c r="Q2351" s="129">
        <v>46199</v>
      </c>
      <c r="R2351" s="130">
        <f t="shared" ref="R2351:R2407" si="258">WORKDAY(P2351,X2351,$Y$1:$AA$1)</f>
        <v>46199</v>
      </c>
      <c r="S2351" s="131">
        <f t="shared" si="257"/>
        <v>0</v>
      </c>
      <c r="T2351" s="7" t="s">
        <v>220</v>
      </c>
      <c r="U2351" s="7" t="s">
        <v>268</v>
      </c>
      <c r="V2351" s="7"/>
      <c r="W2351" s="7">
        <v>273.49</v>
      </c>
      <c r="X2351" s="132">
        <f t="shared" si="255"/>
        <v>10</v>
      </c>
      <c r="Y2351" s="133"/>
      <c r="Z2351" s="133"/>
      <c r="AA2351" s="133"/>
    </row>
    <row r="2352" spans="1:27" hidden="1" x14ac:dyDescent="0.25">
      <c r="A2352" s="127">
        <v>2562</v>
      </c>
      <c r="B2352" s="128" t="str">
        <f t="shared" si="256"/>
        <v>YGQT</v>
      </c>
      <c r="C2352" s="128" t="str">
        <f>+VLOOKUP(U2352,Ходим!A:B,2,0)</f>
        <v>52802005950028</v>
      </c>
      <c r="D2352" s="128" t="str">
        <f>IFERROR(VLOOKUP($B:$B,[20]свод!$A:$AB,3,0)," ")</f>
        <v>Янгиқўрғон тумани</v>
      </c>
      <c r="E2352" s="7" t="s">
        <v>3486</v>
      </c>
      <c r="F2352" s="7" t="s">
        <v>9855</v>
      </c>
      <c r="G2352" s="134">
        <f t="shared" si="253"/>
        <v>1</v>
      </c>
      <c r="H2352" s="134" t="str">
        <f t="shared" si="254"/>
        <v/>
      </c>
      <c r="I2352" s="7" t="s">
        <v>158</v>
      </c>
      <c r="J2352" s="7" t="s">
        <v>172</v>
      </c>
      <c r="K2352" s="7"/>
      <c r="L2352" s="7"/>
      <c r="M2352" s="7"/>
      <c r="N2352" s="7" t="s">
        <v>170</v>
      </c>
      <c r="O2352" s="7" t="s">
        <v>162</v>
      </c>
      <c r="P2352" s="7" t="s">
        <v>7346</v>
      </c>
      <c r="Q2352" s="129">
        <v>46199</v>
      </c>
      <c r="R2352" s="130">
        <f t="shared" si="258"/>
        <v>46209</v>
      </c>
      <c r="S2352" s="131">
        <f t="shared" si="257"/>
        <v>10</v>
      </c>
      <c r="T2352" s="7" t="s">
        <v>255</v>
      </c>
      <c r="U2352" s="7" t="s">
        <v>281</v>
      </c>
      <c r="V2352" s="7"/>
      <c r="W2352" s="7"/>
      <c r="X2352" s="132">
        <f t="shared" si="255"/>
        <v>10</v>
      </c>
      <c r="Y2352" s="133"/>
      <c r="Z2352" s="133"/>
      <c r="AA2352" s="133"/>
    </row>
    <row r="2353" spans="1:27" hidden="1" x14ac:dyDescent="0.25">
      <c r="A2353" s="127">
        <v>2563</v>
      </c>
      <c r="B2353" s="128" t="str">
        <f t="shared" si="256"/>
        <v>YGQT</v>
      </c>
      <c r="C2353" s="128" t="str">
        <f>+VLOOKUP(U2353,Ходим!A:B,2,0)</f>
        <v>52802005950028</v>
      </c>
      <c r="D2353" s="128" t="str">
        <f>IFERROR(VLOOKUP($B:$B,[20]свод!$A:$AB,3,0)," ")</f>
        <v>Янгиқўрғон тумани</v>
      </c>
      <c r="E2353" s="7" t="s">
        <v>3487</v>
      </c>
      <c r="F2353" s="7" t="s">
        <v>9856</v>
      </c>
      <c r="G2353" s="134">
        <f t="shared" si="253"/>
        <v>1</v>
      </c>
      <c r="H2353" s="134" t="str">
        <f t="shared" si="254"/>
        <v/>
      </c>
      <c r="I2353" s="7" t="s">
        <v>158</v>
      </c>
      <c r="J2353" s="7" t="s">
        <v>172</v>
      </c>
      <c r="K2353" s="7"/>
      <c r="L2353" s="7"/>
      <c r="M2353" s="7"/>
      <c r="N2353" s="7" t="s">
        <v>170</v>
      </c>
      <c r="O2353" s="7" t="s">
        <v>162</v>
      </c>
      <c r="P2353" s="7" t="s">
        <v>7346</v>
      </c>
      <c r="Q2353" s="129">
        <v>46199</v>
      </c>
      <c r="R2353" s="130">
        <f t="shared" si="258"/>
        <v>46209</v>
      </c>
      <c r="S2353" s="131">
        <f t="shared" si="257"/>
        <v>10</v>
      </c>
      <c r="T2353" s="7" t="s">
        <v>182</v>
      </c>
      <c r="U2353" s="7" t="s">
        <v>281</v>
      </c>
      <c r="V2353" s="7"/>
      <c r="W2353" s="7"/>
      <c r="X2353" s="132">
        <f t="shared" si="255"/>
        <v>10</v>
      </c>
      <c r="Y2353" s="133"/>
      <c r="Z2353" s="133"/>
      <c r="AA2353" s="133"/>
    </row>
    <row r="2354" spans="1:27" hidden="1" x14ac:dyDescent="0.25">
      <c r="A2354" s="127">
        <v>2564</v>
      </c>
      <c r="B2354" s="128" t="str">
        <f t="shared" si="256"/>
        <v>YGQT</v>
      </c>
      <c r="C2354" s="128" t="str">
        <f>+VLOOKUP(U2354,Ходим!A:B,2,0)</f>
        <v>52802005950028</v>
      </c>
      <c r="D2354" s="128" t="str">
        <f>IFERROR(VLOOKUP($B:$B,[20]свод!$A:$AB,3,0)," ")</f>
        <v>Янгиқўрғон тумани</v>
      </c>
      <c r="E2354" s="7" t="s">
        <v>3488</v>
      </c>
      <c r="F2354" s="7" t="s">
        <v>9857</v>
      </c>
      <c r="G2354" s="134">
        <f t="shared" si="253"/>
        <v>1</v>
      </c>
      <c r="H2354" s="134" t="str">
        <f t="shared" si="254"/>
        <v/>
      </c>
      <c r="I2354" s="7" t="s">
        <v>158</v>
      </c>
      <c r="J2354" s="7" t="s">
        <v>172</v>
      </c>
      <c r="K2354" s="7"/>
      <c r="L2354" s="7"/>
      <c r="M2354" s="7"/>
      <c r="N2354" s="7" t="s">
        <v>170</v>
      </c>
      <c r="O2354" s="7" t="s">
        <v>162</v>
      </c>
      <c r="P2354" s="7" t="s">
        <v>7346</v>
      </c>
      <c r="Q2354" s="129">
        <v>46199</v>
      </c>
      <c r="R2354" s="130">
        <f t="shared" si="258"/>
        <v>46209</v>
      </c>
      <c r="S2354" s="131">
        <f t="shared" si="257"/>
        <v>10</v>
      </c>
      <c r="T2354" s="7" t="s">
        <v>255</v>
      </c>
      <c r="U2354" s="7" t="s">
        <v>281</v>
      </c>
      <c r="V2354" s="7"/>
      <c r="W2354" s="7"/>
      <c r="X2354" s="132">
        <f t="shared" si="255"/>
        <v>10</v>
      </c>
      <c r="Y2354" s="133"/>
      <c r="Z2354" s="133"/>
      <c r="AA2354" s="133"/>
    </row>
    <row r="2355" spans="1:27" hidden="1" x14ac:dyDescent="0.25">
      <c r="A2355" s="127">
        <v>2565</v>
      </c>
      <c r="B2355" s="128" t="str">
        <f t="shared" si="256"/>
        <v>YGQT</v>
      </c>
      <c r="C2355" s="128" t="str">
        <f>+VLOOKUP(U2355,Ходим!A:B,2,0)</f>
        <v>52802005950028</v>
      </c>
      <c r="D2355" s="128" t="str">
        <f>IFERROR(VLOOKUP($B:$B,[20]свод!$A:$AB,3,0)," ")</f>
        <v>Янгиқўрғон тумани</v>
      </c>
      <c r="E2355" s="7" t="s">
        <v>3489</v>
      </c>
      <c r="F2355" s="7" t="s">
        <v>9858</v>
      </c>
      <c r="G2355" s="134">
        <f t="shared" ref="G2355:G2411" si="259">IF(OR(
I2355="Turar joy obyektning kadastr pasportini shakllantirish va davlat ro'yxatidan o'tkazish",
I2355="Turar kompozit"
),
1,
IF(OR(
I2355="Noturar kompozit",
I2355="Avtoyo'l va suv xo'jaligi obyektining kadastr pasportini shakllantirish va ro'yxatga olish",
I2355="Noturar obyektning kadastr pasportining kadastr pasportini shakllantirish va davlat ro'yxatidan o'tkazish"
),
"",
IF(OR(
I2355="Notarius uchun ma'lumotnoma (uz)",
I2355="Qurilishi tugallangan ko'chmas mulkni foydalanishga qabul qilish",
I2355="Umumiy foydalanishdagi ko'chmas mulk qismini yaratish",
I2355="Registratsiya (tashqi - UZKAD da bor)"
),
IF(OR(L2355="Turar yer maydoni",L2355="Yakka tartibdagi turar joy"),1,
IF(L2355="Noturar bino","",
IF(L2355="Noturar yer maydoni","",
IF(L2355="",IF(OR(O2355="Turar joy xizmati",O2355="Foydalanishga ruxsatnoma berish xizmati"),1,""),"")
))),
"")))</f>
        <v>1</v>
      </c>
      <c r="H2355" s="134" t="str">
        <f t="shared" ref="H2355:H2411" si="260">IF(OR(
I2355="Turar joy obyektning kadastr pasportini shakllantirish va davlat ro'yxatidan o'tkazish",
I2355="Turar kompozit"
),
"",
IF(OR(
I2355="Noturar kompozit",
I2355="Avtoyo'l va suv xo'jaligi obyektining kadastr pasportini shakllantirish va ro'yxatga olish",
I2355="Noturar obyektning kadastr pasportini shakllantirish va davlat ro'yxatidan o'tkazish"
),
1,
IF(OR(
I2355="Notarius uchun ma'lumotnoma (uz)",
I2355="Qurilishi tugallangan ko'chmas mulkni foydalanishga qabul qilish",
I2355="Umumiy foydalanishdagi ko'chmas mulk qismini yaratish",
I2355="Registratsiya (tashqi - UZKAD da bor)"
),
IF(OR(L2355="Turar yer maydoni",L2355="Yakka tartibdagi turar joy"),"",
IF(L2355="Noturar bino",1,
IF(L2355="Noturar yer maydoni",1,
IF(L2355="",IF(OR(O2355="Turar joy xizmati",O2355="Foydalanishga ruxsatnoma berish xizmati"),"",1),"")
))),
"")))</f>
        <v/>
      </c>
      <c r="I2355" s="7" t="s">
        <v>158</v>
      </c>
      <c r="J2355" s="7" t="s">
        <v>172</v>
      </c>
      <c r="K2355" s="7"/>
      <c r="L2355" s="7"/>
      <c r="M2355" s="7"/>
      <c r="N2355" s="7" t="s">
        <v>170</v>
      </c>
      <c r="O2355" s="7" t="s">
        <v>162</v>
      </c>
      <c r="P2355" s="7" t="s">
        <v>7346</v>
      </c>
      <c r="Q2355" s="129">
        <v>46199</v>
      </c>
      <c r="R2355" s="130">
        <f t="shared" si="258"/>
        <v>46209</v>
      </c>
      <c r="S2355" s="131">
        <f t="shared" si="257"/>
        <v>10</v>
      </c>
      <c r="T2355" s="7" t="s">
        <v>255</v>
      </c>
      <c r="U2355" s="7" t="s">
        <v>281</v>
      </c>
      <c r="V2355" s="7"/>
      <c r="W2355" s="7"/>
      <c r="X2355" s="132">
        <f t="shared" si="255"/>
        <v>10</v>
      </c>
      <c r="Y2355" s="133"/>
      <c r="Z2355" s="133"/>
      <c r="AA2355" s="133"/>
    </row>
    <row r="2356" spans="1:27" hidden="1" x14ac:dyDescent="0.25">
      <c r="A2356" s="127">
        <v>2566</v>
      </c>
      <c r="B2356" s="128" t="str">
        <f t="shared" si="256"/>
        <v>YGQT</v>
      </c>
      <c r="C2356" s="128" t="str">
        <f>+VLOOKUP(U2356,Ходим!A:B,2,0)</f>
        <v>52802005950028</v>
      </c>
      <c r="D2356" s="128" t="str">
        <f>IFERROR(VLOOKUP($B:$B,[20]свод!$A:$AB,3,0)," ")</f>
        <v>Янгиқўрғон тумани</v>
      </c>
      <c r="E2356" s="7" t="s">
        <v>3490</v>
      </c>
      <c r="F2356" s="7" t="s">
        <v>9859</v>
      </c>
      <c r="G2356" s="134">
        <f t="shared" si="259"/>
        <v>1</v>
      </c>
      <c r="H2356" s="134" t="str">
        <f t="shared" si="260"/>
        <v/>
      </c>
      <c r="I2356" s="7" t="s">
        <v>158</v>
      </c>
      <c r="J2356" s="7" t="s">
        <v>172</v>
      </c>
      <c r="K2356" s="7"/>
      <c r="L2356" s="7"/>
      <c r="M2356" s="7"/>
      <c r="N2356" s="7" t="s">
        <v>170</v>
      </c>
      <c r="O2356" s="7" t="s">
        <v>162</v>
      </c>
      <c r="P2356" s="7" t="s">
        <v>7346</v>
      </c>
      <c r="Q2356" s="129">
        <v>46199</v>
      </c>
      <c r="R2356" s="130">
        <f t="shared" si="258"/>
        <v>46209</v>
      </c>
      <c r="S2356" s="131">
        <f t="shared" si="257"/>
        <v>10</v>
      </c>
      <c r="T2356" s="7" t="s">
        <v>255</v>
      </c>
      <c r="U2356" s="7" t="s">
        <v>281</v>
      </c>
      <c r="V2356" s="7"/>
      <c r="W2356" s="7"/>
      <c r="X2356" s="132">
        <f t="shared" si="255"/>
        <v>10</v>
      </c>
      <c r="Y2356" s="133"/>
      <c r="Z2356" s="133"/>
      <c r="AA2356" s="133"/>
    </row>
    <row r="2357" spans="1:27" hidden="1" x14ac:dyDescent="0.25">
      <c r="A2357" s="127">
        <v>2567</v>
      </c>
      <c r="B2357" s="128" t="str">
        <f t="shared" si="256"/>
        <v>YGQT</v>
      </c>
      <c r="C2357" s="128" t="str">
        <f>+VLOOKUP(U2357,Ходим!A:B,2,0)</f>
        <v>52802005950028</v>
      </c>
      <c r="D2357" s="128" t="str">
        <f>IFERROR(VLOOKUP($B:$B,[20]свод!$A:$AB,3,0)," ")</f>
        <v>Янгиқўрғон тумани</v>
      </c>
      <c r="E2357" s="7" t="s">
        <v>3491</v>
      </c>
      <c r="F2357" s="7" t="s">
        <v>9860</v>
      </c>
      <c r="G2357" s="134">
        <f t="shared" si="259"/>
        <v>1</v>
      </c>
      <c r="H2357" s="134" t="str">
        <f t="shared" si="260"/>
        <v/>
      </c>
      <c r="I2357" s="7" t="s">
        <v>158</v>
      </c>
      <c r="J2357" s="7" t="s">
        <v>172</v>
      </c>
      <c r="K2357" s="7"/>
      <c r="L2357" s="7"/>
      <c r="M2357" s="7"/>
      <c r="N2357" s="7" t="s">
        <v>170</v>
      </c>
      <c r="O2357" s="7" t="s">
        <v>162</v>
      </c>
      <c r="P2357" s="7" t="s">
        <v>7346</v>
      </c>
      <c r="Q2357" s="129">
        <v>46199</v>
      </c>
      <c r="R2357" s="130">
        <f t="shared" si="258"/>
        <v>46209</v>
      </c>
      <c r="S2357" s="131">
        <f t="shared" si="257"/>
        <v>10</v>
      </c>
      <c r="T2357" s="7" t="s">
        <v>182</v>
      </c>
      <c r="U2357" s="7" t="s">
        <v>281</v>
      </c>
      <c r="V2357" s="7"/>
      <c r="W2357" s="7"/>
      <c r="X2357" s="132">
        <f t="shared" si="255"/>
        <v>10</v>
      </c>
      <c r="Y2357" s="133"/>
      <c r="Z2357" s="133"/>
      <c r="AA2357" s="133"/>
    </row>
    <row r="2358" spans="1:27" hidden="1" x14ac:dyDescent="0.25">
      <c r="A2358" s="127">
        <v>2568</v>
      </c>
      <c r="B2358" s="128" t="str">
        <f t="shared" si="256"/>
        <v>YGQT</v>
      </c>
      <c r="C2358" s="128" t="str">
        <f>+VLOOKUP(U2358,Ходим!A:B,2,0)</f>
        <v>52802005950028</v>
      </c>
      <c r="D2358" s="128" t="str">
        <f>IFERROR(VLOOKUP($B:$B,[20]свод!$A:$AB,3,0)," ")</f>
        <v>Янгиқўрғон тумани</v>
      </c>
      <c r="E2358" s="7" t="s">
        <v>3492</v>
      </c>
      <c r="F2358" s="7" t="s">
        <v>9861</v>
      </c>
      <c r="G2358" s="134">
        <f t="shared" si="259"/>
        <v>1</v>
      </c>
      <c r="H2358" s="134" t="str">
        <f t="shared" si="260"/>
        <v/>
      </c>
      <c r="I2358" s="7" t="s">
        <v>158</v>
      </c>
      <c r="J2358" s="7" t="s">
        <v>172</v>
      </c>
      <c r="K2358" s="7"/>
      <c r="L2358" s="7"/>
      <c r="M2358" s="7"/>
      <c r="N2358" s="7" t="s">
        <v>170</v>
      </c>
      <c r="O2358" s="7" t="s">
        <v>162</v>
      </c>
      <c r="P2358" s="7" t="s">
        <v>7346</v>
      </c>
      <c r="Q2358" s="129">
        <v>46199</v>
      </c>
      <c r="R2358" s="130">
        <f t="shared" si="258"/>
        <v>46209</v>
      </c>
      <c r="S2358" s="131">
        <f t="shared" si="257"/>
        <v>10</v>
      </c>
      <c r="T2358" s="7" t="s">
        <v>255</v>
      </c>
      <c r="U2358" s="7" t="s">
        <v>281</v>
      </c>
      <c r="V2358" s="7"/>
      <c r="W2358" s="7"/>
      <c r="X2358" s="132">
        <f t="shared" si="255"/>
        <v>10</v>
      </c>
      <c r="Y2358" s="133"/>
      <c r="Z2358" s="133"/>
      <c r="AA2358" s="133"/>
    </row>
    <row r="2359" spans="1:27" hidden="1" x14ac:dyDescent="0.25">
      <c r="A2359" s="127">
        <v>2569</v>
      </c>
      <c r="B2359" s="128" t="str">
        <f t="shared" si="256"/>
        <v>NAMS</v>
      </c>
      <c r="C2359" s="128">
        <f>+VLOOKUP(U2359,Ходим!A:B,2,0)</f>
        <v>52004005950071</v>
      </c>
      <c r="D2359" s="128" t="str">
        <f>IFERROR(VLOOKUP($B:$B,[20]свод!$A:$AB,3,0)," ")</f>
        <v>Наманган шаҳар</v>
      </c>
      <c r="E2359" s="7" t="s">
        <v>3493</v>
      </c>
      <c r="F2359" s="7" t="s">
        <v>9862</v>
      </c>
      <c r="G2359" s="134">
        <f t="shared" si="259"/>
        <v>1</v>
      </c>
      <c r="H2359" s="134" t="str">
        <f t="shared" si="260"/>
        <v/>
      </c>
      <c r="I2359" s="7" t="s">
        <v>156</v>
      </c>
      <c r="J2359" s="7" t="s">
        <v>25</v>
      </c>
      <c r="K2359" s="7"/>
      <c r="L2359" s="7"/>
      <c r="M2359" s="7"/>
      <c r="N2359" s="7" t="s">
        <v>170</v>
      </c>
      <c r="O2359" s="7" t="s">
        <v>162</v>
      </c>
      <c r="P2359" s="7" t="s">
        <v>6396</v>
      </c>
      <c r="Q2359" s="129">
        <v>46199</v>
      </c>
      <c r="R2359" s="130">
        <f t="shared" si="258"/>
        <v>46211</v>
      </c>
      <c r="S2359" s="131">
        <f t="shared" si="257"/>
        <v>12</v>
      </c>
      <c r="T2359" s="7" t="s">
        <v>173</v>
      </c>
      <c r="U2359" s="7" t="s">
        <v>1015</v>
      </c>
      <c r="V2359" s="7"/>
      <c r="W2359" s="7"/>
      <c r="X2359" s="132">
        <f t="shared" si="255"/>
        <v>10</v>
      </c>
      <c r="Y2359" s="133"/>
      <c r="Z2359" s="133"/>
      <c r="AA2359" s="133"/>
    </row>
    <row r="2360" spans="1:27" hidden="1" x14ac:dyDescent="0.25">
      <c r="A2360" s="127">
        <v>2570</v>
      </c>
      <c r="B2360" s="128" t="str">
        <f t="shared" si="256"/>
        <v>TORT</v>
      </c>
      <c r="C2360" s="128" t="str">
        <f>+VLOOKUP(U2360,Ходим!A:B,2,0)</f>
        <v>50908015920034</v>
      </c>
      <c r="D2360" s="128" t="str">
        <f>IFERROR(VLOOKUP($B:$B,[20]свод!$A:$AB,3,0)," ")</f>
        <v>Тўрақўрғон тумани</v>
      </c>
      <c r="E2360" s="7" t="s">
        <v>3494</v>
      </c>
      <c r="F2360" s="7" t="s">
        <v>9863</v>
      </c>
      <c r="G2360" s="134" t="str">
        <f t="shared" si="259"/>
        <v/>
      </c>
      <c r="H2360" s="134">
        <f t="shared" si="260"/>
        <v>1</v>
      </c>
      <c r="I2360" s="7" t="s">
        <v>157</v>
      </c>
      <c r="J2360" s="7" t="s">
        <v>2</v>
      </c>
      <c r="K2360" s="7"/>
      <c r="L2360" s="7"/>
      <c r="M2360" s="7"/>
      <c r="N2360" s="7" t="s">
        <v>170</v>
      </c>
      <c r="O2360" s="7" t="s">
        <v>161</v>
      </c>
      <c r="P2360" s="7" t="s">
        <v>7348</v>
      </c>
      <c r="Q2360" s="129">
        <v>46199</v>
      </c>
      <c r="R2360" s="130">
        <f t="shared" si="258"/>
        <v>46209</v>
      </c>
      <c r="S2360" s="131">
        <f t="shared" si="257"/>
        <v>10</v>
      </c>
      <c r="T2360" s="7" t="s">
        <v>203</v>
      </c>
      <c r="U2360" s="7" t="s">
        <v>205</v>
      </c>
      <c r="V2360" s="7"/>
      <c r="W2360" s="7"/>
      <c r="X2360" s="132">
        <f t="shared" si="255"/>
        <v>10</v>
      </c>
      <c r="Y2360" s="133"/>
      <c r="Z2360" s="133"/>
      <c r="AA2360" s="133"/>
    </row>
    <row r="2361" spans="1:27" hidden="1" x14ac:dyDescent="0.25">
      <c r="A2361" s="127">
        <v>2571</v>
      </c>
      <c r="B2361" s="128" t="str">
        <f t="shared" si="256"/>
        <v>NAMS</v>
      </c>
      <c r="C2361" s="128" t="str">
        <f>+VLOOKUP(U2361,Ходим!A:B,2,0)</f>
        <v>32207925880019</v>
      </c>
      <c r="D2361" s="128" t="str">
        <f>IFERROR(VLOOKUP($B:$B,[20]свод!$A:$AB,3,0)," ")</f>
        <v>Наманган шаҳар</v>
      </c>
      <c r="E2361" s="7" t="s">
        <v>3495</v>
      </c>
      <c r="F2361" s="7" t="s">
        <v>9864</v>
      </c>
      <c r="G2361" s="134">
        <f t="shared" si="259"/>
        <v>1</v>
      </c>
      <c r="H2361" s="134" t="str">
        <f t="shared" si="260"/>
        <v/>
      </c>
      <c r="I2361" s="7" t="s">
        <v>158</v>
      </c>
      <c r="J2361" s="7" t="s">
        <v>13</v>
      </c>
      <c r="K2361" s="7"/>
      <c r="L2361" s="7" t="s">
        <v>167</v>
      </c>
      <c r="M2361" s="7" t="s">
        <v>5784</v>
      </c>
      <c r="N2361" s="7" t="s">
        <v>170</v>
      </c>
      <c r="O2361" s="7" t="s">
        <v>162</v>
      </c>
      <c r="P2361" s="7" t="s">
        <v>7348</v>
      </c>
      <c r="Q2361" s="129">
        <v>46199</v>
      </c>
      <c r="R2361" s="130">
        <f t="shared" si="258"/>
        <v>46209</v>
      </c>
      <c r="S2361" s="131">
        <f t="shared" si="257"/>
        <v>10</v>
      </c>
      <c r="T2361" s="7" t="s">
        <v>173</v>
      </c>
      <c r="U2361" s="7" t="s">
        <v>174</v>
      </c>
      <c r="V2361" s="7"/>
      <c r="W2361" s="7">
        <v>46.17</v>
      </c>
      <c r="X2361" s="132">
        <f t="shared" si="255"/>
        <v>10</v>
      </c>
      <c r="Y2361" s="133"/>
      <c r="Z2361" s="133"/>
      <c r="AA2361" s="133"/>
    </row>
    <row r="2362" spans="1:27" hidden="1" x14ac:dyDescent="0.25">
      <c r="A2362" s="127">
        <v>2572</v>
      </c>
      <c r="B2362" s="128" t="str">
        <f t="shared" si="256"/>
        <v>NAMS</v>
      </c>
      <c r="C2362" s="128" t="str">
        <f>+VLOOKUP(U2362,Ходим!A:B,2,0)</f>
        <v>53008015960094</v>
      </c>
      <c r="D2362" s="128" t="str">
        <f>IFERROR(VLOOKUP($B:$B,[20]свод!$A:$AB,3,0)," ")</f>
        <v>Наманган шаҳар</v>
      </c>
      <c r="E2362" s="7" t="s">
        <v>3496</v>
      </c>
      <c r="F2362" s="7" t="s">
        <v>9865</v>
      </c>
      <c r="G2362" s="134">
        <f t="shared" si="259"/>
        <v>1</v>
      </c>
      <c r="H2362" s="134" t="str">
        <f t="shared" si="260"/>
        <v/>
      </c>
      <c r="I2362" s="7" t="s">
        <v>158</v>
      </c>
      <c r="J2362" s="7" t="s">
        <v>36</v>
      </c>
      <c r="K2362" s="7"/>
      <c r="L2362" s="7" t="s">
        <v>167</v>
      </c>
      <c r="M2362" s="7" t="s">
        <v>5785</v>
      </c>
      <c r="N2362" s="7" t="s">
        <v>170</v>
      </c>
      <c r="O2362" s="7" t="s">
        <v>162</v>
      </c>
      <c r="P2362" s="7" t="s">
        <v>7348</v>
      </c>
      <c r="Q2362" s="129">
        <v>46199</v>
      </c>
      <c r="R2362" s="130">
        <f t="shared" si="258"/>
        <v>46209</v>
      </c>
      <c r="S2362" s="131">
        <f t="shared" si="257"/>
        <v>10</v>
      </c>
      <c r="T2362" s="7" t="s">
        <v>173</v>
      </c>
      <c r="U2362" s="7" t="s">
        <v>403</v>
      </c>
      <c r="V2362" s="7"/>
      <c r="W2362" s="7">
        <v>84.01</v>
      </c>
      <c r="X2362" s="132">
        <f t="shared" si="255"/>
        <v>10</v>
      </c>
      <c r="Y2362" s="133"/>
      <c r="Z2362" s="133"/>
      <c r="AA2362" s="133"/>
    </row>
    <row r="2363" spans="1:27" hidden="1" x14ac:dyDescent="0.25">
      <c r="A2363" s="127">
        <v>2573</v>
      </c>
      <c r="B2363" s="128" t="str">
        <f t="shared" si="256"/>
        <v>UYCT</v>
      </c>
      <c r="C2363" s="128" t="str">
        <f>+VLOOKUP(U2363,Ходим!A:B,2,0)</f>
        <v>51501005930032</v>
      </c>
      <c r="D2363" s="128" t="str">
        <f>IFERROR(VLOOKUP($B:$B,[20]свод!$A:$AB,3,0)," ")</f>
        <v>Уйчи тумани</v>
      </c>
      <c r="E2363" s="7" t="s">
        <v>3497</v>
      </c>
      <c r="F2363" s="7" t="s">
        <v>9866</v>
      </c>
      <c r="G2363" s="134">
        <f t="shared" si="259"/>
        <v>1</v>
      </c>
      <c r="H2363" s="134" t="str">
        <f t="shared" si="260"/>
        <v/>
      </c>
      <c r="I2363" s="7" t="s">
        <v>158</v>
      </c>
      <c r="J2363" s="7" t="s">
        <v>2</v>
      </c>
      <c r="K2363" s="7"/>
      <c r="L2363" s="7" t="s">
        <v>167</v>
      </c>
      <c r="M2363" s="7" t="s">
        <v>5786</v>
      </c>
      <c r="N2363" s="7" t="s">
        <v>170</v>
      </c>
      <c r="O2363" s="7" t="s">
        <v>162</v>
      </c>
      <c r="P2363" s="7" t="s">
        <v>7348</v>
      </c>
      <c r="Q2363" s="129">
        <v>46199</v>
      </c>
      <c r="R2363" s="130">
        <f t="shared" si="258"/>
        <v>46209</v>
      </c>
      <c r="S2363" s="131">
        <f t="shared" si="257"/>
        <v>10</v>
      </c>
      <c r="T2363" s="7" t="s">
        <v>947</v>
      </c>
      <c r="U2363" s="7" t="s">
        <v>326</v>
      </c>
      <c r="V2363" s="7"/>
      <c r="W2363" s="7">
        <v>158.6</v>
      </c>
      <c r="X2363" s="132">
        <f t="shared" si="255"/>
        <v>10</v>
      </c>
      <c r="Y2363" s="133"/>
      <c r="Z2363" s="133"/>
      <c r="AA2363" s="133"/>
    </row>
    <row r="2364" spans="1:27" hidden="1" x14ac:dyDescent="0.25">
      <c r="A2364" s="127">
        <v>2574</v>
      </c>
      <c r="B2364" s="128" t="str">
        <f t="shared" si="256"/>
        <v>UCQT</v>
      </c>
      <c r="C2364" s="128" t="str">
        <f>+VLOOKUP(U2364,Ходим!A:B,2,0)</f>
        <v>51107025940051</v>
      </c>
      <c r="D2364" s="128" t="str">
        <f>IFERROR(VLOOKUP($B:$B,[20]свод!$A:$AB,3,0)," ")</f>
        <v>Учқўрғон тумани</v>
      </c>
      <c r="E2364" s="7" t="s">
        <v>3498</v>
      </c>
      <c r="F2364" s="7" t="s">
        <v>9867</v>
      </c>
      <c r="G2364" s="134">
        <f t="shared" si="259"/>
        <v>1</v>
      </c>
      <c r="H2364" s="134" t="str">
        <f t="shared" si="260"/>
        <v/>
      </c>
      <c r="I2364" s="7" t="s">
        <v>156</v>
      </c>
      <c r="J2364" s="7" t="s">
        <v>22</v>
      </c>
      <c r="K2364" s="7"/>
      <c r="L2364" s="7" t="s">
        <v>167</v>
      </c>
      <c r="M2364" s="7" t="s">
        <v>5787</v>
      </c>
      <c r="N2364" s="7" t="s">
        <v>170</v>
      </c>
      <c r="O2364" s="7" t="s">
        <v>162</v>
      </c>
      <c r="P2364" s="7" t="s">
        <v>7349</v>
      </c>
      <c r="Q2364" s="129">
        <v>46199</v>
      </c>
      <c r="R2364" s="130">
        <f t="shared" si="258"/>
        <v>46209</v>
      </c>
      <c r="S2364" s="131">
        <f t="shared" si="257"/>
        <v>10</v>
      </c>
      <c r="T2364" s="7" t="s">
        <v>175</v>
      </c>
      <c r="U2364" s="7" t="s">
        <v>296</v>
      </c>
      <c r="V2364" s="7"/>
      <c r="W2364" s="7">
        <v>34.340000000000003</v>
      </c>
      <c r="X2364" s="132">
        <f t="shared" si="255"/>
        <v>10</v>
      </c>
      <c r="Y2364" s="133"/>
      <c r="Z2364" s="133"/>
      <c r="AA2364" s="133"/>
    </row>
    <row r="2365" spans="1:27" hidden="1" x14ac:dyDescent="0.25">
      <c r="A2365" s="127">
        <v>2575</v>
      </c>
      <c r="B2365" s="128" t="str">
        <f t="shared" si="256"/>
        <v>CHUT</v>
      </c>
      <c r="C2365" s="128" t="str">
        <f>+VLOOKUP(U2365,Ходим!A:B,2,0)</f>
        <v>30409785970022</v>
      </c>
      <c r="D2365" s="128" t="str">
        <f>IFERROR(VLOOKUP($B:$B,[20]свод!$A:$AB,3,0)," ")</f>
        <v>Чуст тумани</v>
      </c>
      <c r="E2365" s="7" t="s">
        <v>3499</v>
      </c>
      <c r="F2365" s="7" t="s">
        <v>9868</v>
      </c>
      <c r="G2365" s="134" t="str">
        <f t="shared" si="259"/>
        <v/>
      </c>
      <c r="H2365" s="134">
        <f t="shared" si="260"/>
        <v>1</v>
      </c>
      <c r="I2365" s="7" t="s">
        <v>157</v>
      </c>
      <c r="J2365" s="7" t="s">
        <v>2</v>
      </c>
      <c r="K2365" s="7"/>
      <c r="L2365" s="7" t="s">
        <v>166</v>
      </c>
      <c r="M2365" s="7" t="s">
        <v>1047</v>
      </c>
      <c r="N2365" s="7" t="s">
        <v>410</v>
      </c>
      <c r="O2365" s="7" t="s">
        <v>163</v>
      </c>
      <c r="P2365" s="7" t="s">
        <v>7349</v>
      </c>
      <c r="Q2365" s="129">
        <v>46199</v>
      </c>
      <c r="R2365" s="130">
        <f t="shared" si="258"/>
        <v>46209</v>
      </c>
      <c r="S2365" s="131">
        <f t="shared" si="257"/>
        <v>10</v>
      </c>
      <c r="T2365" s="7" t="s">
        <v>178</v>
      </c>
      <c r="U2365" s="7" t="s">
        <v>191</v>
      </c>
      <c r="V2365" s="7"/>
      <c r="W2365" s="7">
        <v>0</v>
      </c>
      <c r="X2365" s="132">
        <f t="shared" si="255"/>
        <v>10</v>
      </c>
      <c r="Y2365" s="133"/>
      <c r="Z2365" s="133"/>
      <c r="AA2365" s="133"/>
    </row>
    <row r="2366" spans="1:27" hidden="1" x14ac:dyDescent="0.25">
      <c r="A2366" s="127">
        <v>2576</v>
      </c>
      <c r="B2366" s="128" t="str">
        <f t="shared" si="256"/>
        <v>KSST</v>
      </c>
      <c r="C2366" s="128" t="str">
        <f>+VLOOKUP(U2366,Ходим!A:B,2,0)</f>
        <v>30411985980017</v>
      </c>
      <c r="D2366" s="128" t="str">
        <f>IFERROR(VLOOKUP($B:$B,[20]свод!$A:$AB,3,0)," ")</f>
        <v>Косонсой тумани</v>
      </c>
      <c r="E2366" s="7" t="s">
        <v>3500</v>
      </c>
      <c r="F2366" s="7" t="s">
        <v>9869</v>
      </c>
      <c r="G2366" s="134">
        <f t="shared" si="259"/>
        <v>1</v>
      </c>
      <c r="H2366" s="134" t="str">
        <f t="shared" si="260"/>
        <v/>
      </c>
      <c r="I2366" s="7" t="s">
        <v>158</v>
      </c>
      <c r="J2366" s="7" t="s">
        <v>2</v>
      </c>
      <c r="K2366" s="7"/>
      <c r="L2366" s="7" t="s">
        <v>167</v>
      </c>
      <c r="M2366" s="7" t="s">
        <v>5788</v>
      </c>
      <c r="N2366" s="7" t="s">
        <v>170</v>
      </c>
      <c r="O2366" s="7" t="s">
        <v>162</v>
      </c>
      <c r="P2366" s="7" t="s">
        <v>7349</v>
      </c>
      <c r="Q2366" s="129">
        <v>46199</v>
      </c>
      <c r="R2366" s="130">
        <f t="shared" si="258"/>
        <v>46209</v>
      </c>
      <c r="S2366" s="131">
        <f t="shared" si="257"/>
        <v>10</v>
      </c>
      <c r="T2366" s="7" t="s">
        <v>180</v>
      </c>
      <c r="U2366" s="7" t="s">
        <v>360</v>
      </c>
      <c r="V2366" s="7"/>
      <c r="W2366" s="7">
        <v>156.9</v>
      </c>
      <c r="X2366" s="132">
        <f t="shared" si="255"/>
        <v>10</v>
      </c>
      <c r="Y2366" s="133"/>
      <c r="Z2366" s="133"/>
      <c r="AA2366" s="133"/>
    </row>
    <row r="2367" spans="1:27" hidden="1" x14ac:dyDescent="0.25">
      <c r="A2367" s="127">
        <v>2577</v>
      </c>
      <c r="B2367" s="128" t="str">
        <f t="shared" si="256"/>
        <v>TORT</v>
      </c>
      <c r="C2367" s="128" t="str">
        <f>+VLOOKUP(U2367,Ходим!A:B,2,0)</f>
        <v>31701915920077</v>
      </c>
      <c r="D2367" s="128" t="str">
        <f>IFERROR(VLOOKUP($B:$B,[20]свод!$A:$AB,3,0)," ")</f>
        <v>Тўрақўрғон тумани</v>
      </c>
      <c r="E2367" s="7" t="s">
        <v>3501</v>
      </c>
      <c r="F2367" s="7" t="s">
        <v>9870</v>
      </c>
      <c r="G2367" s="134">
        <f t="shared" si="259"/>
        <v>1</v>
      </c>
      <c r="H2367" s="134" t="str">
        <f t="shared" si="260"/>
        <v/>
      </c>
      <c r="I2367" s="7" t="s">
        <v>154</v>
      </c>
      <c r="J2367" s="7" t="s">
        <v>2</v>
      </c>
      <c r="K2367" s="7"/>
      <c r="L2367" s="7"/>
      <c r="M2367" s="7"/>
      <c r="N2367" s="7" t="s">
        <v>170</v>
      </c>
      <c r="O2367" s="7" t="s">
        <v>162</v>
      </c>
      <c r="P2367" s="7" t="s">
        <v>7349</v>
      </c>
      <c r="Q2367" s="129">
        <v>46199</v>
      </c>
      <c r="R2367" s="130">
        <f t="shared" si="258"/>
        <v>46209</v>
      </c>
      <c r="S2367" s="131">
        <f t="shared" si="257"/>
        <v>10</v>
      </c>
      <c r="T2367" s="7" t="s">
        <v>203</v>
      </c>
      <c r="U2367" s="7" t="s">
        <v>332</v>
      </c>
      <c r="V2367" s="7"/>
      <c r="W2367" s="7"/>
      <c r="X2367" s="132">
        <f t="shared" si="255"/>
        <v>10</v>
      </c>
      <c r="Y2367" s="133"/>
      <c r="Z2367" s="133"/>
      <c r="AA2367" s="133"/>
    </row>
    <row r="2368" spans="1:27" hidden="1" x14ac:dyDescent="0.25">
      <c r="A2368" s="127">
        <v>2578</v>
      </c>
      <c r="B2368" s="128" t="str">
        <f t="shared" si="256"/>
        <v>MINT</v>
      </c>
      <c r="C2368" s="128" t="str">
        <f>+VLOOKUP(U2368,Ходим!A:B,2,0)</f>
        <v>51604025990014</v>
      </c>
      <c r="D2368" s="128" t="str">
        <f>IFERROR(VLOOKUP($B:$B,[20]свод!$A:$AB,3,0)," ")</f>
        <v>Мингбулоқ тумани</v>
      </c>
      <c r="E2368" s="7" t="s">
        <v>3502</v>
      </c>
      <c r="F2368" s="7" t="s">
        <v>9871</v>
      </c>
      <c r="G2368" s="134">
        <f t="shared" si="259"/>
        <v>1</v>
      </c>
      <c r="H2368" s="134" t="str">
        <f t="shared" si="260"/>
        <v/>
      </c>
      <c r="I2368" s="7" t="s">
        <v>158</v>
      </c>
      <c r="J2368" s="7" t="s">
        <v>36</v>
      </c>
      <c r="K2368" s="7"/>
      <c r="L2368" s="7" t="s">
        <v>167</v>
      </c>
      <c r="M2368" s="7" t="s">
        <v>5789</v>
      </c>
      <c r="N2368" s="7" t="s">
        <v>170</v>
      </c>
      <c r="O2368" s="7" t="s">
        <v>163</v>
      </c>
      <c r="P2368" s="7" t="s">
        <v>6340</v>
      </c>
      <c r="Q2368" s="129">
        <v>46199</v>
      </c>
      <c r="R2368" s="130">
        <f t="shared" si="258"/>
        <v>46209</v>
      </c>
      <c r="S2368" s="131">
        <f t="shared" si="257"/>
        <v>10</v>
      </c>
      <c r="T2368" s="7" t="s">
        <v>220</v>
      </c>
      <c r="U2368" s="7" t="s">
        <v>252</v>
      </c>
      <c r="V2368" s="7"/>
      <c r="W2368" s="7">
        <v>191.08</v>
      </c>
      <c r="X2368" s="132">
        <f t="shared" si="255"/>
        <v>10</v>
      </c>
      <c r="Y2368" s="133"/>
      <c r="Z2368" s="133"/>
      <c r="AA2368" s="133"/>
    </row>
    <row r="2369" spans="1:27" hidden="1" x14ac:dyDescent="0.25">
      <c r="A2369" s="127">
        <v>2582</v>
      </c>
      <c r="B2369" s="128" t="str">
        <f t="shared" si="256"/>
        <v>NAMS</v>
      </c>
      <c r="C2369" s="128" t="str">
        <f>+VLOOKUP(U2369,Ходим!A:B,2,0)</f>
        <v>53008015960094</v>
      </c>
      <c r="D2369" s="128" t="str">
        <f>IFERROR(VLOOKUP($B:$B,[20]свод!$A:$AB,3,0)," ")</f>
        <v>Наманган шаҳар</v>
      </c>
      <c r="E2369" s="7" t="s">
        <v>3503</v>
      </c>
      <c r="F2369" s="7" t="s">
        <v>9872</v>
      </c>
      <c r="G2369" s="134">
        <f t="shared" si="259"/>
        <v>1</v>
      </c>
      <c r="H2369" s="134" t="str">
        <f t="shared" si="260"/>
        <v/>
      </c>
      <c r="I2369" s="7" t="s">
        <v>156</v>
      </c>
      <c r="J2369" s="7" t="s">
        <v>25</v>
      </c>
      <c r="K2369" s="7"/>
      <c r="L2369" s="7"/>
      <c r="M2369" s="7"/>
      <c r="N2369" s="7" t="s">
        <v>170</v>
      </c>
      <c r="O2369" s="7" t="s">
        <v>162</v>
      </c>
      <c r="P2369" s="7" t="s">
        <v>7350</v>
      </c>
      <c r="Q2369" s="129">
        <v>46199</v>
      </c>
      <c r="R2369" s="130">
        <f t="shared" si="258"/>
        <v>46209</v>
      </c>
      <c r="S2369" s="131">
        <f t="shared" si="257"/>
        <v>10</v>
      </c>
      <c r="T2369" s="7" t="s">
        <v>173</v>
      </c>
      <c r="U2369" s="7" t="s">
        <v>403</v>
      </c>
      <c r="V2369" s="7"/>
      <c r="W2369" s="7"/>
      <c r="X2369" s="132">
        <f t="shared" ref="X2369:X2428" si="261">IF(N2369="Kadastr muhandisi",3,
IF(N2369="UZKAD",5,
IF(V2369="FREE",5,
IF(I2369="Registratsiya (tashqi - UZKAD da bor)",1,
IF(I2369="Avtoyo'l va suv xo'jaligi obyektining kadastr pasportini shakllantirish va ro'yxatga olish",7,
IF(I2369="Notarius uchun ma'lumotnoma (uz)",1,
IF(I2369="Qurilishi tugallangan ko'chmas mulkni foydalanishga qabul qilish",10,
IF(OR(I2369="Turar joy obyektning kadastr pasportini shakllantirish va davlat ro'yxatidan o'tkazish",I2369="Turar kompozit"),
IF(L2369="Turar yer maydoni",7,10),
IF(OR(I2369="Noturar obyektning kadastr pasportini shakllantirish va davlat ro'yxatidan o'tkazish",I2369="Noturar kompozit"),
IF(O2369="Ko‘p yillik daraxtlar xizmati",15,
IF(OR(L2369="Noturar yer maydoni",L2369="Davlat tashkilotlaridan ijaraga olingan yer uchastkasi"),7,
IF(W2369&lt;100,10,IF(W2369&lt;=1000,12,IF(W2369&lt;=5000,17,IF(W2369&lt;=15000,22,IF(W2369&lt;=50000,28,37))))))),
IF(I2369="Umumiy foydalanishdagi ko'chmas mulk qismini yaratish",
IF(IF(TRIM(L2369)="",IF(OR(O2369="Turar joy xizmati",O2369="Yakka tartibdagi turar joy"),"Turar","Noturar"),IF(OR(L2369="Yakka tartibdagi turar joy",L2369="Turar joy xizmati"),"Turar","Noturar"))="Turar",
10,IF(W2369&lt;100,10,IF(W2369&lt;=1000,12,IF(W2369&lt;=5000,17,IF(W2369&lt;=15000,22,IF(W2369&lt;=50000,28,37)))))),
0))))))))))</f>
        <v>10</v>
      </c>
      <c r="Y2369" s="133"/>
      <c r="Z2369" s="133"/>
      <c r="AA2369" s="133"/>
    </row>
    <row r="2370" spans="1:27" hidden="1" x14ac:dyDescent="0.25">
      <c r="A2370" s="127">
        <v>2583</v>
      </c>
      <c r="B2370" s="128" t="str">
        <f t="shared" ref="B2370:B2429" si="262">LEFT(E2370,4)</f>
        <v>NAMS</v>
      </c>
      <c r="C2370" s="128" t="str">
        <f>+VLOOKUP(U2370,Ходим!A:B,2,0)</f>
        <v>32407752170062</v>
      </c>
      <c r="D2370" s="128" t="str">
        <f>IFERROR(VLOOKUP($B:$B,[20]свод!$A:$AB,3,0)," ")</f>
        <v>Наманган шаҳар</v>
      </c>
      <c r="E2370" s="7" t="s">
        <v>3504</v>
      </c>
      <c r="F2370" s="7" t="s">
        <v>9873</v>
      </c>
      <c r="G2370" s="134">
        <f t="shared" si="259"/>
        <v>1</v>
      </c>
      <c r="H2370" s="134" t="str">
        <f t="shared" si="260"/>
        <v/>
      </c>
      <c r="I2370" s="7" t="s">
        <v>158</v>
      </c>
      <c r="J2370" s="7" t="s">
        <v>2</v>
      </c>
      <c r="K2370" s="7"/>
      <c r="L2370" s="7"/>
      <c r="M2370" s="7"/>
      <c r="N2370" s="7" t="s">
        <v>170</v>
      </c>
      <c r="O2370" s="7" t="s">
        <v>162</v>
      </c>
      <c r="P2370" s="7" t="s">
        <v>7210</v>
      </c>
      <c r="Q2370" s="129">
        <v>46199</v>
      </c>
      <c r="R2370" s="130">
        <f t="shared" si="258"/>
        <v>46203</v>
      </c>
      <c r="S2370" s="131">
        <f t="shared" ref="S2370:S2429" si="263">R2370-Q2370</f>
        <v>4</v>
      </c>
      <c r="T2370" s="7" t="s">
        <v>173</v>
      </c>
      <c r="U2370" s="7" t="s">
        <v>264</v>
      </c>
      <c r="V2370" s="7"/>
      <c r="W2370" s="7"/>
      <c r="X2370" s="132">
        <f t="shared" si="261"/>
        <v>10</v>
      </c>
      <c r="Y2370" s="133"/>
      <c r="Z2370" s="133"/>
      <c r="AA2370" s="133"/>
    </row>
    <row r="2371" spans="1:27" hidden="1" x14ac:dyDescent="0.25">
      <c r="A2371" s="127">
        <v>2584</v>
      </c>
      <c r="B2371" s="128" t="str">
        <f t="shared" si="262"/>
        <v>NAMS</v>
      </c>
      <c r="C2371" s="128">
        <f>+VLOOKUP(U2371,Ходим!A:B,2,0)</f>
        <v>50703045960050</v>
      </c>
      <c r="D2371" s="128" t="str">
        <f>IFERROR(VLOOKUP($B:$B,[20]свод!$A:$AB,3,0)," ")</f>
        <v>Наманган шаҳар</v>
      </c>
      <c r="E2371" s="7" t="s">
        <v>3505</v>
      </c>
      <c r="F2371" s="7" t="s">
        <v>9874</v>
      </c>
      <c r="G2371" s="134">
        <f t="shared" si="259"/>
        <v>1</v>
      </c>
      <c r="H2371" s="134" t="str">
        <f t="shared" si="260"/>
        <v/>
      </c>
      <c r="I2371" s="7" t="s">
        <v>158</v>
      </c>
      <c r="J2371" s="7" t="s">
        <v>13</v>
      </c>
      <c r="K2371" s="7"/>
      <c r="L2371" s="7" t="s">
        <v>167</v>
      </c>
      <c r="M2371" s="7" t="s">
        <v>5790</v>
      </c>
      <c r="N2371" s="7" t="s">
        <v>170</v>
      </c>
      <c r="O2371" s="7" t="s">
        <v>162</v>
      </c>
      <c r="P2371" s="7" t="s">
        <v>7351</v>
      </c>
      <c r="Q2371" s="129">
        <v>46199</v>
      </c>
      <c r="R2371" s="130">
        <f t="shared" si="258"/>
        <v>46209</v>
      </c>
      <c r="S2371" s="131">
        <f t="shared" si="263"/>
        <v>10</v>
      </c>
      <c r="T2371" s="7" t="s">
        <v>173</v>
      </c>
      <c r="U2371" s="7" t="s">
        <v>948</v>
      </c>
      <c r="V2371" s="7"/>
      <c r="W2371" s="7">
        <v>0</v>
      </c>
      <c r="X2371" s="132">
        <f t="shared" si="261"/>
        <v>10</v>
      </c>
      <c r="Y2371" s="133"/>
      <c r="Z2371" s="133"/>
      <c r="AA2371" s="133"/>
    </row>
    <row r="2372" spans="1:27" hidden="1" x14ac:dyDescent="0.25">
      <c r="A2372" s="127">
        <v>2585</v>
      </c>
      <c r="B2372" s="128" t="str">
        <f t="shared" si="262"/>
        <v>UYCT</v>
      </c>
      <c r="C2372" s="128" t="str">
        <f>+VLOOKUP(U2372,Ходим!A:B,2,0)</f>
        <v>32002975930037</v>
      </c>
      <c r="D2372" s="128" t="str">
        <f>IFERROR(VLOOKUP($B:$B,[20]свод!$A:$AB,3,0)," ")</f>
        <v>Уйчи тумани</v>
      </c>
      <c r="E2372" s="7" t="s">
        <v>3506</v>
      </c>
      <c r="F2372" s="7" t="s">
        <v>9875</v>
      </c>
      <c r="G2372" s="134" t="str">
        <f t="shared" si="259"/>
        <v/>
      </c>
      <c r="H2372" s="134">
        <f t="shared" si="260"/>
        <v>1</v>
      </c>
      <c r="I2372" s="7" t="s">
        <v>157</v>
      </c>
      <c r="J2372" s="7" t="s">
        <v>2</v>
      </c>
      <c r="K2372" s="7"/>
      <c r="L2372" s="7"/>
      <c r="M2372" s="7"/>
      <c r="N2372" s="7" t="s">
        <v>410</v>
      </c>
      <c r="O2372" s="7" t="s">
        <v>161</v>
      </c>
      <c r="P2372" s="7" t="s">
        <v>7351</v>
      </c>
      <c r="Q2372" s="129">
        <v>46199</v>
      </c>
      <c r="R2372" s="130">
        <f t="shared" si="258"/>
        <v>46209</v>
      </c>
      <c r="S2372" s="131">
        <f t="shared" si="263"/>
        <v>10</v>
      </c>
      <c r="T2372" s="7" t="s">
        <v>947</v>
      </c>
      <c r="U2372" s="7" t="s">
        <v>260</v>
      </c>
      <c r="V2372" s="7"/>
      <c r="W2372" s="7"/>
      <c r="X2372" s="132">
        <f t="shared" si="261"/>
        <v>10</v>
      </c>
      <c r="Y2372" s="133"/>
      <c r="Z2372" s="133"/>
      <c r="AA2372" s="133"/>
    </row>
    <row r="2373" spans="1:27" hidden="1" x14ac:dyDescent="0.25">
      <c r="A2373" s="127">
        <v>2586</v>
      </c>
      <c r="B2373" s="128" t="str">
        <f t="shared" si="262"/>
        <v>NAMS</v>
      </c>
      <c r="C2373" s="128">
        <f>+VLOOKUP(U2373,Ходим!A:B,2,0)</f>
        <v>50510025960139</v>
      </c>
      <c r="D2373" s="128" t="str">
        <f>IFERROR(VLOOKUP($B:$B,[20]свод!$A:$AB,3,0)," ")</f>
        <v>Наманган шаҳар</v>
      </c>
      <c r="E2373" s="7" t="s">
        <v>3507</v>
      </c>
      <c r="F2373" s="7" t="s">
        <v>9876</v>
      </c>
      <c r="G2373" s="134">
        <f t="shared" si="259"/>
        <v>1</v>
      </c>
      <c r="H2373" s="134" t="str">
        <f t="shared" si="260"/>
        <v/>
      </c>
      <c r="I2373" s="7" t="s">
        <v>156</v>
      </c>
      <c r="J2373" s="7" t="s">
        <v>25</v>
      </c>
      <c r="K2373" s="7"/>
      <c r="L2373" s="7"/>
      <c r="M2373" s="7"/>
      <c r="N2373" s="7" t="s">
        <v>170</v>
      </c>
      <c r="O2373" s="7" t="s">
        <v>163</v>
      </c>
      <c r="P2373" s="7" t="s">
        <v>7351</v>
      </c>
      <c r="Q2373" s="129">
        <v>46199</v>
      </c>
      <c r="R2373" s="130">
        <f t="shared" si="258"/>
        <v>46209</v>
      </c>
      <c r="S2373" s="131">
        <f t="shared" si="263"/>
        <v>10</v>
      </c>
      <c r="T2373" s="7" t="s">
        <v>173</v>
      </c>
      <c r="U2373" s="7" t="s">
        <v>955</v>
      </c>
      <c r="V2373" s="7"/>
      <c r="W2373" s="7"/>
      <c r="X2373" s="132">
        <f t="shared" si="261"/>
        <v>10</v>
      </c>
      <c r="Y2373" s="133"/>
      <c r="Z2373" s="133"/>
      <c r="AA2373" s="133"/>
    </row>
    <row r="2374" spans="1:27" hidden="1" x14ac:dyDescent="0.25">
      <c r="A2374" s="127">
        <v>2587</v>
      </c>
      <c r="B2374" s="128" t="str">
        <f t="shared" si="262"/>
        <v>NORT</v>
      </c>
      <c r="C2374" s="128" t="str">
        <f>+VLOOKUP(U2374,Ходим!A:B,2,0)</f>
        <v>30110922110044</v>
      </c>
      <c r="D2374" s="128" t="str">
        <f>IFERROR(VLOOKUP($B:$B,[20]свод!$A:$AB,3,0)," ")</f>
        <v>Норин тумани</v>
      </c>
      <c r="E2374" s="7" t="s">
        <v>3508</v>
      </c>
      <c r="F2374" s="7" t="s">
        <v>9877</v>
      </c>
      <c r="G2374" s="134" t="str">
        <f t="shared" si="259"/>
        <v/>
      </c>
      <c r="H2374" s="134">
        <f t="shared" si="260"/>
        <v>1</v>
      </c>
      <c r="I2374" s="7" t="s">
        <v>157</v>
      </c>
      <c r="J2374" s="7" t="s">
        <v>2</v>
      </c>
      <c r="K2374" s="7"/>
      <c r="L2374" s="7"/>
      <c r="M2374" s="7"/>
      <c r="N2374" s="7" t="s">
        <v>170</v>
      </c>
      <c r="O2374" s="7" t="s">
        <v>161</v>
      </c>
      <c r="P2374" s="7" t="s">
        <v>7351</v>
      </c>
      <c r="Q2374" s="129">
        <v>46199</v>
      </c>
      <c r="R2374" s="130">
        <f t="shared" si="258"/>
        <v>46209</v>
      </c>
      <c r="S2374" s="131">
        <f t="shared" si="263"/>
        <v>10</v>
      </c>
      <c r="T2374" s="7" t="s">
        <v>210</v>
      </c>
      <c r="U2374" s="7" t="s">
        <v>239</v>
      </c>
      <c r="V2374" s="7"/>
      <c r="W2374" s="7"/>
      <c r="X2374" s="132">
        <f t="shared" si="261"/>
        <v>10</v>
      </c>
      <c r="Y2374" s="133"/>
      <c r="Z2374" s="133"/>
      <c r="AA2374" s="133"/>
    </row>
    <row r="2375" spans="1:27" hidden="1" x14ac:dyDescent="0.25">
      <c r="A2375" s="127">
        <v>2588</v>
      </c>
      <c r="B2375" s="128" t="str">
        <f t="shared" si="262"/>
        <v>UCQT</v>
      </c>
      <c r="C2375" s="128" t="str">
        <f>+VLOOKUP(U2375,Ходим!A:B,2,0)</f>
        <v>30307955940049</v>
      </c>
      <c r="D2375" s="128" t="str">
        <f>IFERROR(VLOOKUP($B:$B,[20]свод!$A:$AB,3,0)," ")</f>
        <v>Учқўрғон тумани</v>
      </c>
      <c r="E2375" s="7" t="s">
        <v>3509</v>
      </c>
      <c r="F2375" s="7" t="s">
        <v>9878</v>
      </c>
      <c r="G2375" s="134">
        <f t="shared" si="259"/>
        <v>1</v>
      </c>
      <c r="H2375" s="134" t="str">
        <f t="shared" si="260"/>
        <v/>
      </c>
      <c r="I2375" s="7" t="s">
        <v>158</v>
      </c>
      <c r="J2375" s="7" t="s">
        <v>2</v>
      </c>
      <c r="K2375" s="7"/>
      <c r="L2375" s="7" t="s">
        <v>167</v>
      </c>
      <c r="M2375" s="7" t="s">
        <v>5791</v>
      </c>
      <c r="N2375" s="7" t="s">
        <v>410</v>
      </c>
      <c r="O2375" s="7" t="s">
        <v>162</v>
      </c>
      <c r="P2375" s="7" t="s">
        <v>6336</v>
      </c>
      <c r="Q2375" s="129">
        <v>46199</v>
      </c>
      <c r="R2375" s="130">
        <f t="shared" si="258"/>
        <v>46204</v>
      </c>
      <c r="S2375" s="131">
        <f t="shared" si="263"/>
        <v>5</v>
      </c>
      <c r="T2375" s="7" t="s">
        <v>175</v>
      </c>
      <c r="U2375" s="7" t="s">
        <v>306</v>
      </c>
      <c r="V2375" s="7"/>
      <c r="W2375" s="7">
        <v>347.72500000000002</v>
      </c>
      <c r="X2375" s="132">
        <f t="shared" si="261"/>
        <v>10</v>
      </c>
      <c r="Y2375" s="133"/>
      <c r="Z2375" s="133"/>
      <c r="AA2375" s="133"/>
    </row>
    <row r="2376" spans="1:27" hidden="1" x14ac:dyDescent="0.25">
      <c r="A2376" s="127">
        <v>2589</v>
      </c>
      <c r="B2376" s="128" t="str">
        <f t="shared" si="262"/>
        <v>TORT</v>
      </c>
      <c r="C2376" s="128" t="str">
        <f>+VLOOKUP(U2376,Ходим!A:B,2,0)</f>
        <v>30612832130021</v>
      </c>
      <c r="D2376" s="128" t="str">
        <f>IFERROR(VLOOKUP($B:$B,[20]свод!$A:$AB,3,0)," ")</f>
        <v>Тўрақўрғон тумани</v>
      </c>
      <c r="E2376" s="7" t="s">
        <v>3510</v>
      </c>
      <c r="F2376" s="7" t="s">
        <v>9879</v>
      </c>
      <c r="G2376" s="134">
        <f t="shared" si="259"/>
        <v>1</v>
      </c>
      <c r="H2376" s="134" t="str">
        <f t="shared" si="260"/>
        <v/>
      </c>
      <c r="I2376" s="7" t="s">
        <v>158</v>
      </c>
      <c r="J2376" s="7" t="s">
        <v>36</v>
      </c>
      <c r="K2376" s="7"/>
      <c r="L2376" s="7" t="s">
        <v>167</v>
      </c>
      <c r="M2376" s="7" t="s">
        <v>5792</v>
      </c>
      <c r="N2376" s="7" t="s">
        <v>170</v>
      </c>
      <c r="O2376" s="7" t="s">
        <v>162</v>
      </c>
      <c r="P2376" s="7" t="s">
        <v>7352</v>
      </c>
      <c r="Q2376" s="129">
        <v>46199</v>
      </c>
      <c r="R2376" s="130">
        <f t="shared" si="258"/>
        <v>46209</v>
      </c>
      <c r="S2376" s="131">
        <f t="shared" si="263"/>
        <v>10</v>
      </c>
      <c r="T2376" s="7" t="s">
        <v>203</v>
      </c>
      <c r="U2376" s="7" t="s">
        <v>342</v>
      </c>
      <c r="V2376" s="7"/>
      <c r="W2376" s="7">
        <v>170.91</v>
      </c>
      <c r="X2376" s="132">
        <f t="shared" si="261"/>
        <v>10</v>
      </c>
      <c r="Y2376" s="133"/>
      <c r="Z2376" s="133"/>
      <c r="AA2376" s="133"/>
    </row>
    <row r="2377" spans="1:27" hidden="1" x14ac:dyDescent="0.25">
      <c r="A2377" s="127">
        <v>2590</v>
      </c>
      <c r="B2377" s="128" t="str">
        <f t="shared" si="262"/>
        <v>TORT</v>
      </c>
      <c r="C2377" s="128" t="str">
        <f>+VLOOKUP(U2377,Ходим!A:B,2,0)</f>
        <v>30612832130021</v>
      </c>
      <c r="D2377" s="128" t="str">
        <f>IFERROR(VLOOKUP($B:$B,[20]свод!$A:$AB,3,0)," ")</f>
        <v>Тўрақўрғон тумани</v>
      </c>
      <c r="E2377" s="7" t="s">
        <v>3511</v>
      </c>
      <c r="F2377" s="7" t="s">
        <v>9880</v>
      </c>
      <c r="G2377" s="134">
        <f t="shared" si="259"/>
        <v>1</v>
      </c>
      <c r="H2377" s="134" t="str">
        <f t="shared" si="260"/>
        <v/>
      </c>
      <c r="I2377" s="7" t="s">
        <v>158</v>
      </c>
      <c r="J2377" s="7" t="s">
        <v>2</v>
      </c>
      <c r="K2377" s="7"/>
      <c r="L2377" s="7" t="s">
        <v>167</v>
      </c>
      <c r="M2377" s="7" t="s">
        <v>5793</v>
      </c>
      <c r="N2377" s="7" t="s">
        <v>170</v>
      </c>
      <c r="O2377" s="7" t="s">
        <v>162</v>
      </c>
      <c r="P2377" s="7" t="s">
        <v>7352</v>
      </c>
      <c r="Q2377" s="129">
        <v>46199</v>
      </c>
      <c r="R2377" s="130">
        <f t="shared" si="258"/>
        <v>46209</v>
      </c>
      <c r="S2377" s="131">
        <f t="shared" si="263"/>
        <v>10</v>
      </c>
      <c r="T2377" s="7" t="s">
        <v>203</v>
      </c>
      <c r="U2377" s="7" t="s">
        <v>342</v>
      </c>
      <c r="V2377" s="7"/>
      <c r="W2377" s="7">
        <v>52.2</v>
      </c>
      <c r="X2377" s="132">
        <f t="shared" si="261"/>
        <v>10</v>
      </c>
      <c r="Y2377" s="133"/>
      <c r="Z2377" s="133"/>
      <c r="AA2377" s="133"/>
    </row>
    <row r="2378" spans="1:27" hidden="1" x14ac:dyDescent="0.25">
      <c r="A2378" s="127">
        <v>2591</v>
      </c>
      <c r="B2378" s="128" t="str">
        <f t="shared" si="262"/>
        <v>NAMS</v>
      </c>
      <c r="C2378" s="128" t="str">
        <f>+VLOOKUP(U2378,Ходим!A:B,2,0)</f>
        <v>30108932170088</v>
      </c>
      <c r="D2378" s="128" t="str">
        <f>IFERROR(VLOOKUP($B:$B,[20]свод!$A:$AB,3,0)," ")</f>
        <v>Наманган шаҳар</v>
      </c>
      <c r="E2378" s="7" t="s">
        <v>3512</v>
      </c>
      <c r="F2378" s="7" t="s">
        <v>9881</v>
      </c>
      <c r="G2378" s="134">
        <f t="shared" si="259"/>
        <v>1</v>
      </c>
      <c r="H2378" s="134" t="str">
        <f t="shared" si="260"/>
        <v/>
      </c>
      <c r="I2378" s="7" t="s">
        <v>156</v>
      </c>
      <c r="J2378" s="7" t="s">
        <v>22</v>
      </c>
      <c r="K2378" s="7"/>
      <c r="L2378" s="7"/>
      <c r="M2378" s="7"/>
      <c r="N2378" s="7" t="s">
        <v>170</v>
      </c>
      <c r="O2378" s="7" t="s">
        <v>162</v>
      </c>
      <c r="P2378" s="7" t="s">
        <v>7352</v>
      </c>
      <c r="Q2378" s="129">
        <v>46199</v>
      </c>
      <c r="R2378" s="130">
        <f t="shared" si="258"/>
        <v>46209</v>
      </c>
      <c r="S2378" s="131">
        <f t="shared" si="263"/>
        <v>10</v>
      </c>
      <c r="T2378" s="7" t="s">
        <v>173</v>
      </c>
      <c r="U2378" s="7" t="s">
        <v>329</v>
      </c>
      <c r="V2378" s="7"/>
      <c r="W2378" s="7"/>
      <c r="X2378" s="132">
        <f t="shared" si="261"/>
        <v>10</v>
      </c>
      <c r="Y2378" s="133"/>
      <c r="Z2378" s="133"/>
      <c r="AA2378" s="133"/>
    </row>
    <row r="2379" spans="1:27" hidden="1" x14ac:dyDescent="0.25">
      <c r="A2379" s="127">
        <v>2592</v>
      </c>
      <c r="B2379" s="128" t="str">
        <f t="shared" si="262"/>
        <v>NORT</v>
      </c>
      <c r="C2379" s="128" t="str">
        <f>+VLOOKUP(U2379,Ходим!A:B,2,0)</f>
        <v>30110922110044</v>
      </c>
      <c r="D2379" s="128" t="str">
        <f>IFERROR(VLOOKUP($B:$B,[20]свод!$A:$AB,3,0)," ")</f>
        <v>Норин тумани</v>
      </c>
      <c r="E2379" s="7" t="s">
        <v>3513</v>
      </c>
      <c r="F2379" s="7" t="s">
        <v>9882</v>
      </c>
      <c r="G2379" s="134" t="str">
        <f t="shared" si="259"/>
        <v/>
      </c>
      <c r="H2379" s="134">
        <f t="shared" si="260"/>
        <v>1</v>
      </c>
      <c r="I2379" s="7" t="s">
        <v>157</v>
      </c>
      <c r="J2379" s="7" t="s">
        <v>2</v>
      </c>
      <c r="K2379" s="7"/>
      <c r="L2379" s="7"/>
      <c r="M2379" s="7"/>
      <c r="N2379" s="7" t="s">
        <v>170</v>
      </c>
      <c r="O2379" s="7" t="s">
        <v>161</v>
      </c>
      <c r="P2379" s="7" t="s">
        <v>7352</v>
      </c>
      <c r="Q2379" s="129">
        <v>46199</v>
      </c>
      <c r="R2379" s="130">
        <f t="shared" si="258"/>
        <v>46209</v>
      </c>
      <c r="S2379" s="131">
        <f t="shared" si="263"/>
        <v>10</v>
      </c>
      <c r="T2379" s="7" t="s">
        <v>210</v>
      </c>
      <c r="U2379" s="7" t="s">
        <v>239</v>
      </c>
      <c r="V2379" s="7"/>
      <c r="W2379" s="7"/>
      <c r="X2379" s="132">
        <f t="shared" si="261"/>
        <v>10</v>
      </c>
      <c r="Y2379" s="133"/>
      <c r="Z2379" s="133"/>
      <c r="AA2379" s="133"/>
    </row>
    <row r="2380" spans="1:27" hidden="1" x14ac:dyDescent="0.25">
      <c r="A2380" s="127">
        <v>2593</v>
      </c>
      <c r="B2380" s="128" t="str">
        <f t="shared" si="262"/>
        <v>KSST</v>
      </c>
      <c r="C2380" s="128" t="str">
        <f>+VLOOKUP(U2380,Ходим!A:B,2,0)</f>
        <v>30411985980017</v>
      </c>
      <c r="D2380" s="128" t="str">
        <f>IFERROR(VLOOKUP($B:$B,[20]свод!$A:$AB,3,0)," ")</f>
        <v>Косонсой тумани</v>
      </c>
      <c r="E2380" s="7" t="s">
        <v>3514</v>
      </c>
      <c r="F2380" s="7" t="s">
        <v>9883</v>
      </c>
      <c r="G2380" s="134">
        <f t="shared" si="259"/>
        <v>1</v>
      </c>
      <c r="H2380" s="134" t="str">
        <f t="shared" si="260"/>
        <v/>
      </c>
      <c r="I2380" s="7" t="s">
        <v>158</v>
      </c>
      <c r="J2380" s="7" t="s">
        <v>2</v>
      </c>
      <c r="K2380" s="7"/>
      <c r="L2380" s="7" t="s">
        <v>167</v>
      </c>
      <c r="M2380" s="7" t="s">
        <v>5794</v>
      </c>
      <c r="N2380" s="7" t="s">
        <v>170</v>
      </c>
      <c r="O2380" s="7" t="s">
        <v>162</v>
      </c>
      <c r="P2380" s="7" t="s">
        <v>7352</v>
      </c>
      <c r="Q2380" s="129">
        <v>46199</v>
      </c>
      <c r="R2380" s="130">
        <f t="shared" si="258"/>
        <v>46209</v>
      </c>
      <c r="S2380" s="131">
        <f t="shared" si="263"/>
        <v>10</v>
      </c>
      <c r="T2380" s="7" t="s">
        <v>180</v>
      </c>
      <c r="U2380" s="7" t="s">
        <v>360</v>
      </c>
      <c r="V2380" s="7"/>
      <c r="W2380" s="7">
        <v>15.26</v>
      </c>
      <c r="X2380" s="132">
        <f t="shared" si="261"/>
        <v>10</v>
      </c>
      <c r="Y2380" s="133"/>
      <c r="Z2380" s="133"/>
      <c r="AA2380" s="133"/>
    </row>
    <row r="2381" spans="1:27" hidden="1" x14ac:dyDescent="0.25">
      <c r="A2381" s="127">
        <v>2594</v>
      </c>
      <c r="B2381" s="128" t="str">
        <f t="shared" si="262"/>
        <v>UYCT</v>
      </c>
      <c r="C2381" s="128" t="str">
        <f>+VLOOKUP(U2381,Ходим!A:B,2,0)</f>
        <v>32906985930035</v>
      </c>
      <c r="D2381" s="128" t="str">
        <f>IFERROR(VLOOKUP($B:$B,[20]свод!$A:$AB,3,0)," ")</f>
        <v>Уйчи тумани</v>
      </c>
      <c r="E2381" s="7" t="s">
        <v>3515</v>
      </c>
      <c r="F2381" s="7" t="s">
        <v>9884</v>
      </c>
      <c r="G2381" s="134">
        <f t="shared" si="259"/>
        <v>1</v>
      </c>
      <c r="H2381" s="134" t="str">
        <f t="shared" si="260"/>
        <v/>
      </c>
      <c r="I2381" s="7" t="s">
        <v>158</v>
      </c>
      <c r="J2381" s="7" t="s">
        <v>2</v>
      </c>
      <c r="K2381" s="7"/>
      <c r="L2381" s="7" t="s">
        <v>167</v>
      </c>
      <c r="M2381" s="7" t="s">
        <v>5795</v>
      </c>
      <c r="N2381" s="7" t="s">
        <v>170</v>
      </c>
      <c r="O2381" s="7" t="s">
        <v>162</v>
      </c>
      <c r="P2381" s="7" t="s">
        <v>7352</v>
      </c>
      <c r="Q2381" s="129">
        <v>46199</v>
      </c>
      <c r="R2381" s="130">
        <f t="shared" si="258"/>
        <v>46209</v>
      </c>
      <c r="S2381" s="131">
        <f t="shared" si="263"/>
        <v>10</v>
      </c>
      <c r="T2381" s="7" t="s">
        <v>379</v>
      </c>
      <c r="U2381" s="7" t="s">
        <v>257</v>
      </c>
      <c r="V2381" s="7"/>
      <c r="W2381" s="7">
        <v>107.3</v>
      </c>
      <c r="X2381" s="132">
        <f t="shared" si="261"/>
        <v>10</v>
      </c>
      <c r="Y2381" s="133"/>
      <c r="Z2381" s="133"/>
      <c r="AA2381" s="133"/>
    </row>
    <row r="2382" spans="1:27" hidden="1" x14ac:dyDescent="0.25">
      <c r="A2382" s="127">
        <v>2595</v>
      </c>
      <c r="B2382" s="128" t="str">
        <f t="shared" si="262"/>
        <v>KSST</v>
      </c>
      <c r="C2382" s="128" t="str">
        <f>+VLOOKUP(U2382,Ходим!A:B,2,0)</f>
        <v>30507932190090</v>
      </c>
      <c r="D2382" s="128" t="str">
        <f>IFERROR(VLOOKUP($B:$B,[20]свод!$A:$AB,3,0)," ")</f>
        <v>Косонсой тумани</v>
      </c>
      <c r="E2382" s="7" t="s">
        <v>3516</v>
      </c>
      <c r="F2382" s="7" t="s">
        <v>9885</v>
      </c>
      <c r="G2382" s="134">
        <f t="shared" si="259"/>
        <v>1</v>
      </c>
      <c r="H2382" s="134" t="str">
        <f t="shared" si="260"/>
        <v/>
      </c>
      <c r="I2382" s="7" t="s">
        <v>158</v>
      </c>
      <c r="J2382" s="7" t="s">
        <v>1</v>
      </c>
      <c r="K2382" s="7"/>
      <c r="L2382" s="7" t="s">
        <v>167</v>
      </c>
      <c r="M2382" s="7" t="s">
        <v>5796</v>
      </c>
      <c r="N2382" s="7" t="s">
        <v>170</v>
      </c>
      <c r="O2382" s="7" t="s">
        <v>162</v>
      </c>
      <c r="P2382" s="7" t="s">
        <v>7353</v>
      </c>
      <c r="Q2382" s="129">
        <v>46199</v>
      </c>
      <c r="R2382" s="130">
        <f t="shared" si="258"/>
        <v>46209</v>
      </c>
      <c r="S2382" s="131">
        <f t="shared" si="263"/>
        <v>10</v>
      </c>
      <c r="T2382" s="7" t="s">
        <v>180</v>
      </c>
      <c r="U2382" s="7" t="s">
        <v>232</v>
      </c>
      <c r="V2382" s="7"/>
      <c r="W2382" s="7">
        <v>196.8</v>
      </c>
      <c r="X2382" s="132">
        <f t="shared" si="261"/>
        <v>10</v>
      </c>
      <c r="Y2382" s="133"/>
      <c r="Z2382" s="133"/>
      <c r="AA2382" s="133"/>
    </row>
    <row r="2383" spans="1:27" hidden="1" x14ac:dyDescent="0.25">
      <c r="A2383" s="127">
        <v>2596</v>
      </c>
      <c r="B2383" s="128" t="str">
        <f t="shared" si="262"/>
        <v>UYCT</v>
      </c>
      <c r="C2383" s="128" t="str">
        <f>+VLOOKUP(U2383,Ходим!A:B,2,0)</f>
        <v>53007005930024</v>
      </c>
      <c r="D2383" s="128" t="str">
        <f>IFERROR(VLOOKUP($B:$B,[20]свод!$A:$AB,3,0)," ")</f>
        <v>Уйчи тумани</v>
      </c>
      <c r="E2383" s="7" t="s">
        <v>3517</v>
      </c>
      <c r="F2383" s="7" t="s">
        <v>9886</v>
      </c>
      <c r="G2383" s="134">
        <f t="shared" si="259"/>
        <v>1</v>
      </c>
      <c r="H2383" s="134" t="str">
        <f t="shared" si="260"/>
        <v/>
      </c>
      <c r="I2383" s="7" t="s">
        <v>156</v>
      </c>
      <c r="J2383" s="7" t="s">
        <v>22</v>
      </c>
      <c r="K2383" s="7"/>
      <c r="L2383" s="7" t="s">
        <v>167</v>
      </c>
      <c r="M2383" s="7" t="s">
        <v>5797</v>
      </c>
      <c r="N2383" s="7" t="s">
        <v>170</v>
      </c>
      <c r="O2383" s="7" t="s">
        <v>162</v>
      </c>
      <c r="P2383" s="7" t="s">
        <v>7353</v>
      </c>
      <c r="Q2383" s="129">
        <v>46199</v>
      </c>
      <c r="R2383" s="130">
        <f t="shared" si="258"/>
        <v>46209</v>
      </c>
      <c r="S2383" s="131">
        <f t="shared" si="263"/>
        <v>10</v>
      </c>
      <c r="T2383" s="7" t="s">
        <v>947</v>
      </c>
      <c r="U2383" s="7" t="s">
        <v>378</v>
      </c>
      <c r="V2383" s="7"/>
      <c r="W2383" s="7">
        <v>58</v>
      </c>
      <c r="X2383" s="132">
        <f t="shared" si="261"/>
        <v>10</v>
      </c>
      <c r="Y2383" s="133"/>
      <c r="Z2383" s="133"/>
      <c r="AA2383" s="133"/>
    </row>
    <row r="2384" spans="1:27" hidden="1" x14ac:dyDescent="0.25">
      <c r="A2384" s="127">
        <v>2597</v>
      </c>
      <c r="B2384" s="128" t="str">
        <f t="shared" si="262"/>
        <v>KSST</v>
      </c>
      <c r="C2384" s="128" t="str">
        <f>+VLOOKUP(U2384,Ходим!A:B,2,0)</f>
        <v>30507932190090</v>
      </c>
      <c r="D2384" s="128" t="str">
        <f>IFERROR(VLOOKUP($B:$B,[20]свод!$A:$AB,3,0)," ")</f>
        <v>Косонсой тумани</v>
      </c>
      <c r="E2384" s="7" t="s">
        <v>3518</v>
      </c>
      <c r="F2384" s="7" t="s">
        <v>9887</v>
      </c>
      <c r="G2384" s="134">
        <f t="shared" si="259"/>
        <v>1</v>
      </c>
      <c r="H2384" s="134" t="str">
        <f t="shared" si="260"/>
        <v/>
      </c>
      <c r="I2384" s="7" t="s">
        <v>158</v>
      </c>
      <c r="J2384" s="7" t="s">
        <v>1</v>
      </c>
      <c r="K2384" s="7"/>
      <c r="L2384" s="7" t="s">
        <v>167</v>
      </c>
      <c r="M2384" s="7" t="s">
        <v>1060</v>
      </c>
      <c r="N2384" s="7" t="s">
        <v>170</v>
      </c>
      <c r="O2384" s="7" t="s">
        <v>163</v>
      </c>
      <c r="P2384" s="7" t="s">
        <v>6976</v>
      </c>
      <c r="Q2384" s="129">
        <v>46199</v>
      </c>
      <c r="R2384" s="130">
        <f t="shared" si="258"/>
        <v>46206</v>
      </c>
      <c r="S2384" s="131">
        <f t="shared" si="263"/>
        <v>7</v>
      </c>
      <c r="T2384" s="7" t="s">
        <v>180</v>
      </c>
      <c r="U2384" s="7" t="s">
        <v>232</v>
      </c>
      <c r="V2384" s="7"/>
      <c r="W2384" s="7">
        <v>165.69</v>
      </c>
      <c r="X2384" s="132">
        <f t="shared" si="261"/>
        <v>10</v>
      </c>
      <c r="Y2384" s="133"/>
      <c r="Z2384" s="133"/>
      <c r="AA2384" s="133"/>
    </row>
    <row r="2385" spans="1:27" hidden="1" x14ac:dyDescent="0.25">
      <c r="A2385" s="127">
        <v>2598</v>
      </c>
      <c r="B2385" s="128" t="str">
        <f t="shared" si="262"/>
        <v>KSST</v>
      </c>
      <c r="C2385" s="128" t="e">
        <f>+VLOOKUP(U2385,Ходим!A:B,2,0)</f>
        <v>#N/A</v>
      </c>
      <c r="D2385" s="128" t="str">
        <f>IFERROR(VLOOKUP($B:$B,[20]свод!$A:$AB,3,0)," ")</f>
        <v>Косонсой тумани</v>
      </c>
      <c r="E2385" s="7" t="s">
        <v>3519</v>
      </c>
      <c r="F2385" s="7" t="s">
        <v>9888</v>
      </c>
      <c r="G2385" s="134" t="str">
        <f t="shared" si="259"/>
        <v/>
      </c>
      <c r="H2385" s="134">
        <f t="shared" si="260"/>
        <v>1</v>
      </c>
      <c r="I2385" s="7" t="s">
        <v>155</v>
      </c>
      <c r="J2385" s="7" t="s">
        <v>25</v>
      </c>
      <c r="K2385" s="7"/>
      <c r="L2385" s="7" t="s">
        <v>166</v>
      </c>
      <c r="M2385" s="7" t="s">
        <v>5798</v>
      </c>
      <c r="N2385" s="7" t="s">
        <v>170</v>
      </c>
      <c r="O2385" s="7" t="s">
        <v>163</v>
      </c>
      <c r="P2385" s="7" t="s">
        <v>7177</v>
      </c>
      <c r="Q2385" s="129">
        <v>46199</v>
      </c>
      <c r="R2385" s="130">
        <f t="shared" si="258"/>
        <v>46209</v>
      </c>
      <c r="S2385" s="131">
        <f t="shared" si="263"/>
        <v>10</v>
      </c>
      <c r="T2385" s="7" t="s">
        <v>180</v>
      </c>
      <c r="U2385" s="7" t="s">
        <v>10634</v>
      </c>
      <c r="V2385" s="7"/>
      <c r="W2385" s="7">
        <v>0</v>
      </c>
      <c r="X2385" s="132">
        <f t="shared" si="261"/>
        <v>10</v>
      </c>
      <c r="Y2385" s="133"/>
      <c r="Z2385" s="133"/>
      <c r="AA2385" s="133"/>
    </row>
    <row r="2386" spans="1:27" hidden="1" x14ac:dyDescent="0.25">
      <c r="A2386" s="127">
        <v>2599</v>
      </c>
      <c r="B2386" s="128" t="str">
        <f t="shared" si="262"/>
        <v>YGQT</v>
      </c>
      <c r="C2386" s="128" t="e">
        <f>+VLOOKUP(U2386,Ходим!A:B,2,0)</f>
        <v>#N/A</v>
      </c>
      <c r="D2386" s="128" t="str">
        <f>IFERROR(VLOOKUP($B:$B,[20]свод!$A:$AB,3,0)," ")</f>
        <v>Янгиқўрғон тумани</v>
      </c>
      <c r="E2386" s="7" t="s">
        <v>3520</v>
      </c>
      <c r="F2386" s="7" t="s">
        <v>9889</v>
      </c>
      <c r="G2386" s="134">
        <f t="shared" si="259"/>
        <v>1</v>
      </c>
      <c r="H2386" s="134" t="str">
        <f t="shared" si="260"/>
        <v/>
      </c>
      <c r="I2386" s="7" t="s">
        <v>158</v>
      </c>
      <c r="J2386" s="7" t="s">
        <v>2</v>
      </c>
      <c r="K2386" s="7"/>
      <c r="L2386" s="7" t="s">
        <v>167</v>
      </c>
      <c r="M2386" s="7" t="s">
        <v>5799</v>
      </c>
      <c r="N2386" s="7" t="s">
        <v>170</v>
      </c>
      <c r="O2386" s="7" t="s">
        <v>162</v>
      </c>
      <c r="P2386" s="7" t="s">
        <v>7177</v>
      </c>
      <c r="Q2386" s="129">
        <v>46199</v>
      </c>
      <c r="R2386" s="130">
        <f t="shared" si="258"/>
        <v>46209</v>
      </c>
      <c r="S2386" s="131">
        <f t="shared" si="263"/>
        <v>10</v>
      </c>
      <c r="T2386" s="7" t="s">
        <v>255</v>
      </c>
      <c r="U2386" s="7" t="s">
        <v>1105</v>
      </c>
      <c r="V2386" s="7"/>
      <c r="W2386" s="7">
        <v>475.15499999999997</v>
      </c>
      <c r="X2386" s="132">
        <f t="shared" si="261"/>
        <v>10</v>
      </c>
      <c r="Y2386" s="133"/>
      <c r="Z2386" s="133"/>
      <c r="AA2386" s="133"/>
    </row>
    <row r="2387" spans="1:27" hidden="1" x14ac:dyDescent="0.25">
      <c r="A2387" s="127">
        <v>2600</v>
      </c>
      <c r="B2387" s="128" t="str">
        <f t="shared" si="262"/>
        <v>POPT</v>
      </c>
      <c r="C2387" s="128" t="str">
        <f>+VLOOKUP(U2387,Ходим!A:B,2,0)</f>
        <v>32209966000029</v>
      </c>
      <c r="D2387" s="128" t="str">
        <f>IFERROR(VLOOKUP($B:$B,[20]свод!$A:$AB,3,0)," ")</f>
        <v>Поп тумани</v>
      </c>
      <c r="E2387" s="7" t="s">
        <v>3521</v>
      </c>
      <c r="F2387" s="7" t="s">
        <v>9890</v>
      </c>
      <c r="G2387" s="134" t="str">
        <f t="shared" si="259"/>
        <v/>
      </c>
      <c r="H2387" s="134">
        <f t="shared" si="260"/>
        <v>1</v>
      </c>
      <c r="I2387" s="7" t="s">
        <v>157</v>
      </c>
      <c r="J2387" s="7" t="s">
        <v>1</v>
      </c>
      <c r="K2387" s="7"/>
      <c r="L2387" s="7" t="s">
        <v>168</v>
      </c>
      <c r="M2387" s="7" t="s">
        <v>5800</v>
      </c>
      <c r="N2387" s="7" t="s">
        <v>170</v>
      </c>
      <c r="O2387" s="7" t="s">
        <v>161</v>
      </c>
      <c r="P2387" s="7" t="s">
        <v>7177</v>
      </c>
      <c r="Q2387" s="129">
        <v>46199</v>
      </c>
      <c r="R2387" s="130">
        <f t="shared" si="258"/>
        <v>46204</v>
      </c>
      <c r="S2387" s="131">
        <f t="shared" si="263"/>
        <v>5</v>
      </c>
      <c r="T2387" s="7" t="s">
        <v>214</v>
      </c>
      <c r="U2387" s="7" t="s">
        <v>282</v>
      </c>
      <c r="V2387" s="7"/>
      <c r="W2387" s="7">
        <v>0</v>
      </c>
      <c r="X2387" s="132">
        <f t="shared" si="261"/>
        <v>7</v>
      </c>
      <c r="Y2387" s="133"/>
      <c r="Z2387" s="133"/>
      <c r="AA2387" s="133"/>
    </row>
    <row r="2388" spans="1:27" x14ac:dyDescent="0.25">
      <c r="A2388" s="127">
        <v>2601</v>
      </c>
      <c r="B2388" s="128" t="str">
        <f t="shared" si="262"/>
        <v>NAMS</v>
      </c>
      <c r="C2388" s="128">
        <f>+VLOOKUP(U2388,Ходим!A:B,2,0)</f>
        <v>50703045960050</v>
      </c>
      <c r="D2388" s="128" t="str">
        <f>IFERROR(VLOOKUP($B:$B,[20]свод!$A:$AB,3,0)," ")</f>
        <v>Наманган шаҳар</v>
      </c>
      <c r="E2388" s="7" t="s">
        <v>3522</v>
      </c>
      <c r="F2388" s="7" t="s">
        <v>9891</v>
      </c>
      <c r="G2388" s="134">
        <f t="shared" si="259"/>
        <v>1</v>
      </c>
      <c r="H2388" s="134" t="str">
        <f t="shared" si="260"/>
        <v/>
      </c>
      <c r="I2388" s="7" t="s">
        <v>158</v>
      </c>
      <c r="J2388" s="7" t="s">
        <v>9</v>
      </c>
      <c r="K2388" s="7"/>
      <c r="L2388" s="7" t="s">
        <v>167</v>
      </c>
      <c r="M2388" s="7" t="s">
        <v>5801</v>
      </c>
      <c r="N2388" s="7" t="s">
        <v>410</v>
      </c>
      <c r="O2388" s="7" t="s">
        <v>162</v>
      </c>
      <c r="P2388" s="7" t="s">
        <v>7354</v>
      </c>
      <c r="Q2388" s="129">
        <v>46199</v>
      </c>
      <c r="R2388" s="130">
        <f t="shared" si="258"/>
        <v>46196</v>
      </c>
      <c r="S2388" s="131">
        <f t="shared" si="263"/>
        <v>-3</v>
      </c>
      <c r="T2388" s="7" t="s">
        <v>185</v>
      </c>
      <c r="U2388" s="7" t="s">
        <v>948</v>
      </c>
      <c r="V2388" s="7" t="s">
        <v>359</v>
      </c>
      <c r="W2388" s="7">
        <v>228.36</v>
      </c>
      <c r="X2388" s="132">
        <f t="shared" si="261"/>
        <v>10</v>
      </c>
      <c r="Y2388" s="133"/>
      <c r="Z2388" s="133"/>
      <c r="AA2388" s="133"/>
    </row>
    <row r="2389" spans="1:27" hidden="1" x14ac:dyDescent="0.25">
      <c r="A2389" s="127">
        <v>2602</v>
      </c>
      <c r="B2389" s="128" t="str">
        <f t="shared" si="262"/>
        <v>UCQT</v>
      </c>
      <c r="C2389" s="128" t="e">
        <f>+VLOOKUP(U2389,Ходим!A:B,2,0)</f>
        <v>#N/A</v>
      </c>
      <c r="D2389" s="128" t="str">
        <f>IFERROR(VLOOKUP($B:$B,[20]свод!$A:$AB,3,0)," ")</f>
        <v>Учқўрғон тумани</v>
      </c>
      <c r="E2389" s="7" t="s">
        <v>3523</v>
      </c>
      <c r="F2389" s="7" t="s">
        <v>9892</v>
      </c>
      <c r="G2389" s="134">
        <f t="shared" si="259"/>
        <v>1</v>
      </c>
      <c r="H2389" s="134" t="str">
        <f t="shared" si="260"/>
        <v/>
      </c>
      <c r="I2389" s="7" t="s">
        <v>156</v>
      </c>
      <c r="J2389" s="7" t="s">
        <v>11</v>
      </c>
      <c r="K2389" s="7"/>
      <c r="L2389" s="7"/>
      <c r="M2389" s="7"/>
      <c r="N2389" s="7" t="s">
        <v>170</v>
      </c>
      <c r="O2389" s="7" t="s">
        <v>162</v>
      </c>
      <c r="P2389" s="7" t="s">
        <v>7355</v>
      </c>
      <c r="Q2389" s="129">
        <v>46199</v>
      </c>
      <c r="R2389" s="130">
        <f t="shared" si="258"/>
        <v>46209</v>
      </c>
      <c r="S2389" s="131">
        <f t="shared" si="263"/>
        <v>10</v>
      </c>
      <c r="T2389" s="7" t="s">
        <v>175</v>
      </c>
      <c r="U2389" s="7"/>
      <c r="V2389" s="7"/>
      <c r="W2389" s="7"/>
      <c r="X2389" s="132">
        <f t="shared" si="261"/>
        <v>10</v>
      </c>
      <c r="Y2389" s="133"/>
      <c r="Z2389" s="133"/>
      <c r="AA2389" s="133"/>
    </row>
    <row r="2390" spans="1:27" hidden="1" x14ac:dyDescent="0.25">
      <c r="A2390" s="127">
        <v>2604</v>
      </c>
      <c r="B2390" s="128" t="str">
        <f t="shared" si="262"/>
        <v>CHUT</v>
      </c>
      <c r="C2390" s="128" t="str">
        <f>+VLOOKUP(U2390,Ходим!A:B,2,0)</f>
        <v>50905015970078</v>
      </c>
      <c r="D2390" s="128" t="str">
        <f>IFERROR(VLOOKUP($B:$B,[20]свод!$A:$AB,3,0)," ")</f>
        <v>Чуст тумани</v>
      </c>
      <c r="E2390" s="7" t="s">
        <v>3524</v>
      </c>
      <c r="F2390" s="7" t="s">
        <v>9893</v>
      </c>
      <c r="G2390" s="134">
        <f t="shared" si="259"/>
        <v>1</v>
      </c>
      <c r="H2390" s="134" t="str">
        <f t="shared" si="260"/>
        <v/>
      </c>
      <c r="I2390" s="7" t="s">
        <v>158</v>
      </c>
      <c r="J2390" s="7" t="s">
        <v>2</v>
      </c>
      <c r="K2390" s="7"/>
      <c r="L2390" s="7" t="s">
        <v>167</v>
      </c>
      <c r="M2390" s="7" t="s">
        <v>5802</v>
      </c>
      <c r="N2390" s="7" t="s">
        <v>170</v>
      </c>
      <c r="O2390" s="7" t="s">
        <v>162</v>
      </c>
      <c r="P2390" s="7" t="s">
        <v>7355</v>
      </c>
      <c r="Q2390" s="129">
        <v>46199</v>
      </c>
      <c r="R2390" s="130">
        <f t="shared" si="258"/>
        <v>46209</v>
      </c>
      <c r="S2390" s="131">
        <f t="shared" si="263"/>
        <v>10</v>
      </c>
      <c r="T2390" s="7" t="s">
        <v>178</v>
      </c>
      <c r="U2390" s="7" t="s">
        <v>521</v>
      </c>
      <c r="V2390" s="7"/>
      <c r="W2390" s="7">
        <v>201.35</v>
      </c>
      <c r="X2390" s="132">
        <f t="shared" si="261"/>
        <v>10</v>
      </c>
      <c r="Y2390" s="133"/>
      <c r="Z2390" s="133"/>
      <c r="AA2390" s="133"/>
    </row>
    <row r="2391" spans="1:27" hidden="1" x14ac:dyDescent="0.25">
      <c r="A2391" s="127">
        <v>2605</v>
      </c>
      <c r="B2391" s="128" t="str">
        <f t="shared" si="262"/>
        <v>NAMS</v>
      </c>
      <c r="C2391" s="128" t="str">
        <f>+VLOOKUP(U2391,Ходим!A:B,2,0)</f>
        <v>31312985950011</v>
      </c>
      <c r="D2391" s="128" t="str">
        <f>IFERROR(VLOOKUP($B:$B,[20]свод!$A:$AB,3,0)," ")</f>
        <v>Наманган шаҳар</v>
      </c>
      <c r="E2391" s="7" t="s">
        <v>3525</v>
      </c>
      <c r="F2391" s="7" t="s">
        <v>9894</v>
      </c>
      <c r="G2391" s="134">
        <f t="shared" si="259"/>
        <v>1</v>
      </c>
      <c r="H2391" s="134" t="str">
        <f t="shared" si="260"/>
        <v/>
      </c>
      <c r="I2391" s="7" t="s">
        <v>158</v>
      </c>
      <c r="J2391" s="7" t="s">
        <v>2</v>
      </c>
      <c r="K2391" s="7"/>
      <c r="L2391" s="7" t="s">
        <v>167</v>
      </c>
      <c r="M2391" s="7" t="s">
        <v>5803</v>
      </c>
      <c r="N2391" s="7" t="s">
        <v>170</v>
      </c>
      <c r="O2391" s="7" t="s">
        <v>162</v>
      </c>
      <c r="P2391" s="7" t="s">
        <v>7355</v>
      </c>
      <c r="Q2391" s="129">
        <v>46199</v>
      </c>
      <c r="R2391" s="130">
        <f t="shared" si="258"/>
        <v>46209</v>
      </c>
      <c r="S2391" s="131">
        <f t="shared" si="263"/>
        <v>10</v>
      </c>
      <c r="T2391" s="7" t="s">
        <v>173</v>
      </c>
      <c r="U2391" s="7" t="s">
        <v>303</v>
      </c>
      <c r="V2391" s="7"/>
      <c r="W2391" s="7">
        <v>0</v>
      </c>
      <c r="X2391" s="132">
        <f t="shared" si="261"/>
        <v>10</v>
      </c>
      <c r="Y2391" s="133"/>
      <c r="Z2391" s="133"/>
      <c r="AA2391" s="133"/>
    </row>
    <row r="2392" spans="1:27" hidden="1" x14ac:dyDescent="0.25">
      <c r="A2392" s="127">
        <v>2606</v>
      </c>
      <c r="B2392" s="128" t="str">
        <f t="shared" si="262"/>
        <v>MINT</v>
      </c>
      <c r="C2392" s="128" t="e">
        <f>+VLOOKUP(U2392,Ходим!A:B,2,0)</f>
        <v>#N/A</v>
      </c>
      <c r="D2392" s="128" t="str">
        <f>IFERROR(VLOOKUP($B:$B,[20]свод!$A:$AB,3,0)," ")</f>
        <v>Мингбулоқ тумани</v>
      </c>
      <c r="E2392" s="7" t="s">
        <v>3526</v>
      </c>
      <c r="F2392" s="7" t="s">
        <v>9895</v>
      </c>
      <c r="G2392" s="134" t="str">
        <f t="shared" si="259"/>
        <v/>
      </c>
      <c r="H2392" s="134">
        <f t="shared" si="260"/>
        <v>1</v>
      </c>
      <c r="I2392" s="7" t="s">
        <v>155</v>
      </c>
      <c r="J2392" s="7" t="s">
        <v>11</v>
      </c>
      <c r="K2392" s="7"/>
      <c r="L2392" s="7" t="s">
        <v>168</v>
      </c>
      <c r="M2392" s="7" t="s">
        <v>5804</v>
      </c>
      <c r="N2392" s="7" t="s">
        <v>170</v>
      </c>
      <c r="O2392" s="7" t="s">
        <v>161</v>
      </c>
      <c r="P2392" s="7" t="s">
        <v>7355</v>
      </c>
      <c r="Q2392" s="129">
        <v>46199</v>
      </c>
      <c r="R2392" s="130">
        <f t="shared" si="258"/>
        <v>46204</v>
      </c>
      <c r="S2392" s="131">
        <f t="shared" si="263"/>
        <v>5</v>
      </c>
      <c r="T2392" s="7" t="s">
        <v>220</v>
      </c>
      <c r="U2392" s="7"/>
      <c r="V2392" s="7"/>
      <c r="W2392" s="7">
        <v>0</v>
      </c>
      <c r="X2392" s="132">
        <f t="shared" si="261"/>
        <v>7</v>
      </c>
      <c r="Y2392" s="133"/>
      <c r="Z2392" s="133"/>
      <c r="AA2392" s="133"/>
    </row>
    <row r="2393" spans="1:27" hidden="1" x14ac:dyDescent="0.25">
      <c r="A2393" s="127">
        <v>2607</v>
      </c>
      <c r="B2393" s="128" t="str">
        <f t="shared" si="262"/>
        <v>UCQT</v>
      </c>
      <c r="C2393" s="128" t="str">
        <f>+VLOOKUP(U2393,Ходим!A:B,2,0)</f>
        <v>32911835940021</v>
      </c>
      <c r="D2393" s="128" t="str">
        <f>IFERROR(VLOOKUP($B:$B,[20]свод!$A:$AB,3,0)," ")</f>
        <v>Учқўрғон тумани</v>
      </c>
      <c r="E2393" s="7" t="s">
        <v>3527</v>
      </c>
      <c r="F2393" s="7" t="s">
        <v>9896</v>
      </c>
      <c r="G2393" s="134">
        <f t="shared" si="259"/>
        <v>1</v>
      </c>
      <c r="H2393" s="134" t="str">
        <f t="shared" si="260"/>
        <v/>
      </c>
      <c r="I2393" s="7" t="s">
        <v>158</v>
      </c>
      <c r="J2393" s="7" t="s">
        <v>172</v>
      </c>
      <c r="K2393" s="7"/>
      <c r="L2393" s="7"/>
      <c r="M2393" s="7"/>
      <c r="N2393" s="7" t="s">
        <v>410</v>
      </c>
      <c r="O2393" s="7" t="s">
        <v>162</v>
      </c>
      <c r="P2393" s="7" t="s">
        <v>7355</v>
      </c>
      <c r="Q2393" s="129">
        <v>46199</v>
      </c>
      <c r="R2393" s="130">
        <f t="shared" si="258"/>
        <v>46209</v>
      </c>
      <c r="S2393" s="131">
        <f t="shared" si="263"/>
        <v>10</v>
      </c>
      <c r="T2393" s="7" t="s">
        <v>175</v>
      </c>
      <c r="U2393" s="7" t="s">
        <v>321</v>
      </c>
      <c r="V2393" s="7"/>
      <c r="W2393" s="7"/>
      <c r="X2393" s="132">
        <f t="shared" si="261"/>
        <v>10</v>
      </c>
      <c r="Y2393" s="133"/>
      <c r="Z2393" s="133"/>
      <c r="AA2393" s="133"/>
    </row>
    <row r="2394" spans="1:27" hidden="1" x14ac:dyDescent="0.25">
      <c r="A2394" s="127">
        <v>2608</v>
      </c>
      <c r="B2394" s="128" t="str">
        <f t="shared" si="262"/>
        <v>NAMS</v>
      </c>
      <c r="C2394" s="128" t="str">
        <f>+VLOOKUP(U2394,Ходим!A:B,2,0)</f>
        <v>52601025870013</v>
      </c>
      <c r="D2394" s="128" t="str">
        <f>IFERROR(VLOOKUP($B:$B,[20]свод!$A:$AB,3,0)," ")</f>
        <v>Наманган шаҳар</v>
      </c>
      <c r="E2394" s="7" t="s">
        <v>3528</v>
      </c>
      <c r="F2394" s="7" t="s">
        <v>9897</v>
      </c>
      <c r="G2394" s="134">
        <f t="shared" si="259"/>
        <v>1</v>
      </c>
      <c r="H2394" s="134" t="str">
        <f t="shared" si="260"/>
        <v/>
      </c>
      <c r="I2394" s="7" t="s">
        <v>158</v>
      </c>
      <c r="J2394" s="7" t="s">
        <v>2</v>
      </c>
      <c r="K2394" s="7"/>
      <c r="L2394" s="7" t="s">
        <v>167</v>
      </c>
      <c r="M2394" s="7" t="s">
        <v>5805</v>
      </c>
      <c r="N2394" s="7" t="s">
        <v>170</v>
      </c>
      <c r="O2394" s="7" t="s">
        <v>162</v>
      </c>
      <c r="P2394" s="7" t="s">
        <v>7356</v>
      </c>
      <c r="Q2394" s="129">
        <v>46199</v>
      </c>
      <c r="R2394" s="130">
        <f t="shared" si="258"/>
        <v>46209</v>
      </c>
      <c r="S2394" s="131">
        <f t="shared" si="263"/>
        <v>10</v>
      </c>
      <c r="T2394" s="7" t="s">
        <v>173</v>
      </c>
      <c r="U2394" s="7" t="s">
        <v>405</v>
      </c>
      <c r="V2394" s="7"/>
      <c r="W2394" s="7">
        <v>252.81</v>
      </c>
      <c r="X2394" s="132">
        <f t="shared" si="261"/>
        <v>10</v>
      </c>
      <c r="Y2394" s="133"/>
      <c r="Z2394" s="133"/>
      <c r="AA2394" s="133"/>
    </row>
    <row r="2395" spans="1:27" hidden="1" x14ac:dyDescent="0.25">
      <c r="A2395" s="127">
        <v>2609</v>
      </c>
      <c r="B2395" s="128" t="str">
        <f t="shared" si="262"/>
        <v>NAMS</v>
      </c>
      <c r="C2395" s="128" t="str">
        <f>+VLOOKUP(U2395,Ходим!A:B,2,0)</f>
        <v>31601642170089</v>
      </c>
      <c r="D2395" s="128" t="str">
        <f>IFERROR(VLOOKUP($B:$B,[20]свод!$A:$AB,3,0)," ")</f>
        <v>Наманган шаҳар</v>
      </c>
      <c r="E2395" s="7" t="s">
        <v>3529</v>
      </c>
      <c r="F2395" s="7" t="s">
        <v>9898</v>
      </c>
      <c r="G2395" s="134">
        <f t="shared" si="259"/>
        <v>1</v>
      </c>
      <c r="H2395" s="134" t="str">
        <f t="shared" si="260"/>
        <v/>
      </c>
      <c r="I2395" s="7" t="s">
        <v>158</v>
      </c>
      <c r="J2395" s="7" t="s">
        <v>2</v>
      </c>
      <c r="K2395" s="7"/>
      <c r="L2395" s="7" t="s">
        <v>167</v>
      </c>
      <c r="M2395" s="7" t="s">
        <v>5806</v>
      </c>
      <c r="N2395" s="7" t="s">
        <v>170</v>
      </c>
      <c r="O2395" s="7" t="s">
        <v>162</v>
      </c>
      <c r="P2395" s="7" t="s">
        <v>7356</v>
      </c>
      <c r="Q2395" s="129">
        <v>46199</v>
      </c>
      <c r="R2395" s="130">
        <f t="shared" si="258"/>
        <v>46209</v>
      </c>
      <c r="S2395" s="131">
        <f t="shared" si="263"/>
        <v>10</v>
      </c>
      <c r="T2395" s="7" t="s">
        <v>185</v>
      </c>
      <c r="U2395" s="7" t="s">
        <v>201</v>
      </c>
      <c r="V2395" s="7"/>
      <c r="W2395" s="7">
        <v>238.7</v>
      </c>
      <c r="X2395" s="132">
        <f t="shared" si="261"/>
        <v>10</v>
      </c>
      <c r="Y2395" s="133"/>
      <c r="Z2395" s="133"/>
      <c r="AA2395" s="133"/>
    </row>
    <row r="2396" spans="1:27" hidden="1" x14ac:dyDescent="0.25">
      <c r="A2396" s="127">
        <v>2610</v>
      </c>
      <c r="B2396" s="128" t="str">
        <f t="shared" si="262"/>
        <v>KSST</v>
      </c>
      <c r="C2396" s="128" t="str">
        <f>+VLOOKUP(U2396,Ходим!A:B,2,0)</f>
        <v>31611995980026</v>
      </c>
      <c r="D2396" s="128" t="str">
        <f>IFERROR(VLOOKUP($B:$B,[20]свод!$A:$AB,3,0)," ")</f>
        <v>Косонсой тумани</v>
      </c>
      <c r="E2396" s="7" t="s">
        <v>3530</v>
      </c>
      <c r="F2396" s="7" t="s">
        <v>9899</v>
      </c>
      <c r="G2396" s="134">
        <f t="shared" si="259"/>
        <v>1</v>
      </c>
      <c r="H2396" s="134" t="str">
        <f t="shared" si="260"/>
        <v/>
      </c>
      <c r="I2396" s="7" t="s">
        <v>158</v>
      </c>
      <c r="J2396" s="7" t="s">
        <v>2</v>
      </c>
      <c r="K2396" s="7"/>
      <c r="L2396" s="7"/>
      <c r="M2396" s="7"/>
      <c r="N2396" s="7" t="s">
        <v>170</v>
      </c>
      <c r="O2396" s="7" t="s">
        <v>162</v>
      </c>
      <c r="P2396" s="7" t="s">
        <v>7356</v>
      </c>
      <c r="Q2396" s="129">
        <v>46199</v>
      </c>
      <c r="R2396" s="130">
        <f t="shared" si="258"/>
        <v>46209</v>
      </c>
      <c r="S2396" s="131">
        <f t="shared" si="263"/>
        <v>10</v>
      </c>
      <c r="T2396" s="7" t="s">
        <v>180</v>
      </c>
      <c r="U2396" s="7" t="s">
        <v>181</v>
      </c>
      <c r="V2396" s="7"/>
      <c r="W2396" s="7"/>
      <c r="X2396" s="132">
        <f t="shared" si="261"/>
        <v>10</v>
      </c>
      <c r="Y2396" s="133"/>
      <c r="Z2396" s="133"/>
      <c r="AA2396" s="133"/>
    </row>
    <row r="2397" spans="1:27" hidden="1" x14ac:dyDescent="0.25">
      <c r="A2397" s="127">
        <v>2611</v>
      </c>
      <c r="B2397" s="128" t="str">
        <f t="shared" si="262"/>
        <v>UYCT</v>
      </c>
      <c r="C2397" s="128" t="str">
        <f>+VLOOKUP(U2397,Ходим!A:B,2,0)</f>
        <v>30309975930028</v>
      </c>
      <c r="D2397" s="128" t="str">
        <f>IFERROR(VLOOKUP($B:$B,[20]свод!$A:$AB,3,0)," ")</f>
        <v>Уйчи тумани</v>
      </c>
      <c r="E2397" s="7" t="s">
        <v>3531</v>
      </c>
      <c r="F2397" s="7" t="s">
        <v>9900</v>
      </c>
      <c r="G2397" s="134">
        <f t="shared" si="259"/>
        <v>1</v>
      </c>
      <c r="H2397" s="134" t="str">
        <f t="shared" si="260"/>
        <v/>
      </c>
      <c r="I2397" s="7" t="s">
        <v>158</v>
      </c>
      <c r="J2397" s="7" t="s">
        <v>2</v>
      </c>
      <c r="K2397" s="7"/>
      <c r="L2397" s="7" t="s">
        <v>167</v>
      </c>
      <c r="M2397" s="7" t="s">
        <v>5807</v>
      </c>
      <c r="N2397" s="7" t="s">
        <v>170</v>
      </c>
      <c r="O2397" s="7" t="s">
        <v>162</v>
      </c>
      <c r="P2397" s="7" t="s">
        <v>7356</v>
      </c>
      <c r="Q2397" s="129">
        <v>46199</v>
      </c>
      <c r="R2397" s="130">
        <f t="shared" si="258"/>
        <v>46209</v>
      </c>
      <c r="S2397" s="131">
        <f t="shared" si="263"/>
        <v>10</v>
      </c>
      <c r="T2397" s="7" t="s">
        <v>947</v>
      </c>
      <c r="U2397" s="7" t="s">
        <v>261</v>
      </c>
      <c r="V2397" s="7"/>
      <c r="W2397" s="7">
        <v>0</v>
      </c>
      <c r="X2397" s="132">
        <f t="shared" si="261"/>
        <v>10</v>
      </c>
      <c r="Y2397" s="133"/>
      <c r="Z2397" s="133"/>
      <c r="AA2397" s="133"/>
    </row>
    <row r="2398" spans="1:27" hidden="1" x14ac:dyDescent="0.25">
      <c r="A2398" s="127">
        <v>2612</v>
      </c>
      <c r="B2398" s="128" t="str">
        <f t="shared" si="262"/>
        <v>KSST</v>
      </c>
      <c r="C2398" s="128" t="str">
        <f>+VLOOKUP(U2398,Ходим!A:B,2,0)</f>
        <v>30411985980017</v>
      </c>
      <c r="D2398" s="128" t="str">
        <f>IFERROR(VLOOKUP($B:$B,[20]свод!$A:$AB,3,0)," ")</f>
        <v>Косонсой тумани</v>
      </c>
      <c r="E2398" s="7" t="s">
        <v>3532</v>
      </c>
      <c r="F2398" s="7" t="s">
        <v>9901</v>
      </c>
      <c r="G2398" s="134">
        <f t="shared" si="259"/>
        <v>1</v>
      </c>
      <c r="H2398" s="134" t="str">
        <f t="shared" si="260"/>
        <v/>
      </c>
      <c r="I2398" s="7" t="s">
        <v>156</v>
      </c>
      <c r="J2398" s="7" t="s">
        <v>25</v>
      </c>
      <c r="K2398" s="7"/>
      <c r="L2398" s="7"/>
      <c r="M2398" s="7"/>
      <c r="N2398" s="7" t="s">
        <v>170</v>
      </c>
      <c r="O2398" s="7" t="s">
        <v>162</v>
      </c>
      <c r="P2398" s="7" t="s">
        <v>7356</v>
      </c>
      <c r="Q2398" s="129">
        <v>46199</v>
      </c>
      <c r="R2398" s="130">
        <f t="shared" si="258"/>
        <v>46209</v>
      </c>
      <c r="S2398" s="131">
        <f t="shared" si="263"/>
        <v>10</v>
      </c>
      <c r="T2398" s="7" t="s">
        <v>180</v>
      </c>
      <c r="U2398" s="7" t="s">
        <v>360</v>
      </c>
      <c r="V2398" s="7"/>
      <c r="W2398" s="7"/>
      <c r="X2398" s="132">
        <f t="shared" si="261"/>
        <v>10</v>
      </c>
      <c r="Y2398" s="133"/>
      <c r="Z2398" s="133"/>
      <c r="AA2398" s="133"/>
    </row>
    <row r="2399" spans="1:27" hidden="1" x14ac:dyDescent="0.25">
      <c r="A2399" s="127">
        <v>2614</v>
      </c>
      <c r="B2399" s="128" t="str">
        <f t="shared" si="262"/>
        <v>POPT</v>
      </c>
      <c r="C2399" s="128" t="str">
        <f>+VLOOKUP(U2399,Ходим!A:B,2,0)</f>
        <v>51605005910024</v>
      </c>
      <c r="D2399" s="128" t="str">
        <f>IFERROR(VLOOKUP($B:$B,[20]свод!$A:$AB,3,0)," ")</f>
        <v>Поп тумани</v>
      </c>
      <c r="E2399" s="7" t="s">
        <v>3533</v>
      </c>
      <c r="F2399" s="7" t="s">
        <v>9902</v>
      </c>
      <c r="G2399" s="134">
        <f t="shared" si="259"/>
        <v>1</v>
      </c>
      <c r="H2399" s="134" t="str">
        <f t="shared" si="260"/>
        <v/>
      </c>
      <c r="I2399" s="7" t="s">
        <v>156</v>
      </c>
      <c r="J2399" s="7" t="s">
        <v>25</v>
      </c>
      <c r="K2399" s="7"/>
      <c r="L2399" s="7"/>
      <c r="M2399" s="7"/>
      <c r="N2399" s="7" t="s">
        <v>170</v>
      </c>
      <c r="O2399" s="7" t="s">
        <v>162</v>
      </c>
      <c r="P2399" s="7" t="s">
        <v>7356</v>
      </c>
      <c r="Q2399" s="129">
        <v>46199</v>
      </c>
      <c r="R2399" s="130">
        <f t="shared" si="258"/>
        <v>46209</v>
      </c>
      <c r="S2399" s="131">
        <f t="shared" si="263"/>
        <v>10</v>
      </c>
      <c r="T2399" s="7" t="s">
        <v>214</v>
      </c>
      <c r="U2399" s="7" t="s">
        <v>241</v>
      </c>
      <c r="V2399" s="7"/>
      <c r="W2399" s="7"/>
      <c r="X2399" s="132">
        <f t="shared" si="261"/>
        <v>10</v>
      </c>
      <c r="Y2399" s="133"/>
      <c r="Z2399" s="133"/>
      <c r="AA2399" s="133"/>
    </row>
    <row r="2400" spans="1:27" hidden="1" x14ac:dyDescent="0.25">
      <c r="A2400" s="127">
        <v>2615</v>
      </c>
      <c r="B2400" s="128" t="str">
        <f t="shared" si="262"/>
        <v>UCQT</v>
      </c>
      <c r="C2400" s="128" t="e">
        <f>+VLOOKUP(U2400,Ходим!A:B,2,0)</f>
        <v>#N/A</v>
      </c>
      <c r="D2400" s="128" t="str">
        <f>IFERROR(VLOOKUP($B:$B,[20]свод!$A:$AB,3,0)," ")</f>
        <v>Учқўрғон тумани</v>
      </c>
      <c r="E2400" s="7" t="s">
        <v>3534</v>
      </c>
      <c r="F2400" s="7" t="s">
        <v>9903</v>
      </c>
      <c r="G2400" s="134">
        <f t="shared" si="259"/>
        <v>1</v>
      </c>
      <c r="H2400" s="134" t="str">
        <f t="shared" si="260"/>
        <v/>
      </c>
      <c r="I2400" s="7" t="s">
        <v>156</v>
      </c>
      <c r="J2400" s="7" t="s">
        <v>11</v>
      </c>
      <c r="K2400" s="7"/>
      <c r="L2400" s="7"/>
      <c r="M2400" s="7"/>
      <c r="N2400" s="7" t="s">
        <v>170</v>
      </c>
      <c r="O2400" s="7" t="s">
        <v>162</v>
      </c>
      <c r="P2400" s="7" t="s">
        <v>7357</v>
      </c>
      <c r="Q2400" s="129">
        <v>46199</v>
      </c>
      <c r="R2400" s="130">
        <f t="shared" si="258"/>
        <v>46209</v>
      </c>
      <c r="S2400" s="131">
        <f t="shared" si="263"/>
        <v>10</v>
      </c>
      <c r="T2400" s="7" t="s">
        <v>175</v>
      </c>
      <c r="U2400" s="7"/>
      <c r="V2400" s="7"/>
      <c r="W2400" s="7"/>
      <c r="X2400" s="132">
        <f t="shared" si="261"/>
        <v>10</v>
      </c>
      <c r="Y2400" s="133"/>
      <c r="Z2400" s="133"/>
      <c r="AA2400" s="133"/>
    </row>
    <row r="2401" spans="1:27" hidden="1" x14ac:dyDescent="0.25">
      <c r="A2401" s="127">
        <v>2616</v>
      </c>
      <c r="B2401" s="128" t="str">
        <f t="shared" si="262"/>
        <v>NAMT</v>
      </c>
      <c r="C2401" s="128" t="str">
        <f>+VLOOKUP(U2401,Ходим!A:B,2,0)</f>
        <v>32204892090133</v>
      </c>
      <c r="D2401" s="128" t="str">
        <f>IFERROR(VLOOKUP($B:$B,[20]свод!$A:$AB,3,0)," ")</f>
        <v>Наманган тумани</v>
      </c>
      <c r="E2401" s="7" t="s">
        <v>3535</v>
      </c>
      <c r="F2401" s="7" t="s">
        <v>9904</v>
      </c>
      <c r="G2401" s="134">
        <f t="shared" si="259"/>
        <v>1</v>
      </c>
      <c r="H2401" s="134" t="str">
        <f t="shared" si="260"/>
        <v/>
      </c>
      <c r="I2401" s="7" t="s">
        <v>158</v>
      </c>
      <c r="J2401" s="7" t="s">
        <v>2</v>
      </c>
      <c r="K2401" s="7"/>
      <c r="L2401" s="7" t="s">
        <v>167</v>
      </c>
      <c r="M2401" s="7" t="s">
        <v>5808</v>
      </c>
      <c r="N2401" s="7" t="s">
        <v>170</v>
      </c>
      <c r="O2401" s="7" t="s">
        <v>162</v>
      </c>
      <c r="P2401" s="7" t="s">
        <v>7357</v>
      </c>
      <c r="Q2401" s="129">
        <v>46199</v>
      </c>
      <c r="R2401" s="130">
        <f t="shared" si="258"/>
        <v>46209</v>
      </c>
      <c r="S2401" s="131">
        <f t="shared" si="263"/>
        <v>10</v>
      </c>
      <c r="T2401" s="7" t="s">
        <v>193</v>
      </c>
      <c r="U2401" s="7" t="s">
        <v>198</v>
      </c>
      <c r="V2401" s="7"/>
      <c r="W2401" s="7">
        <v>224.63</v>
      </c>
      <c r="X2401" s="132">
        <f t="shared" si="261"/>
        <v>10</v>
      </c>
      <c r="Y2401" s="133"/>
      <c r="Z2401" s="133"/>
      <c r="AA2401" s="133"/>
    </row>
    <row r="2402" spans="1:27" hidden="1" x14ac:dyDescent="0.25">
      <c r="A2402" s="127">
        <v>2617</v>
      </c>
      <c r="B2402" s="128" t="str">
        <f t="shared" si="262"/>
        <v>CHUT</v>
      </c>
      <c r="C2402" s="128" t="str">
        <f>+VLOOKUP(U2402,Ходим!A:B,2,0)</f>
        <v>50309005970046</v>
      </c>
      <c r="D2402" s="128" t="str">
        <f>IFERROR(VLOOKUP($B:$B,[20]свод!$A:$AB,3,0)," ")</f>
        <v>Чуст тумани</v>
      </c>
      <c r="E2402" s="7" t="s">
        <v>3536</v>
      </c>
      <c r="F2402" s="7" t="s">
        <v>9905</v>
      </c>
      <c r="G2402" s="134">
        <f t="shared" si="259"/>
        <v>1</v>
      </c>
      <c r="H2402" s="134" t="str">
        <f t="shared" si="260"/>
        <v/>
      </c>
      <c r="I2402" s="7" t="s">
        <v>158</v>
      </c>
      <c r="J2402" s="7" t="s">
        <v>172</v>
      </c>
      <c r="K2402" s="7"/>
      <c r="L2402" s="7" t="s">
        <v>167</v>
      </c>
      <c r="M2402" s="7" t="s">
        <v>5809</v>
      </c>
      <c r="N2402" s="7" t="s">
        <v>170</v>
      </c>
      <c r="O2402" s="7" t="s">
        <v>162</v>
      </c>
      <c r="P2402" s="7" t="s">
        <v>7357</v>
      </c>
      <c r="Q2402" s="129">
        <v>46199</v>
      </c>
      <c r="R2402" s="130">
        <f t="shared" si="258"/>
        <v>46209</v>
      </c>
      <c r="S2402" s="131">
        <f t="shared" si="263"/>
        <v>10</v>
      </c>
      <c r="T2402" s="7" t="s">
        <v>178</v>
      </c>
      <c r="U2402" s="7" t="s">
        <v>290</v>
      </c>
      <c r="V2402" s="7"/>
      <c r="W2402" s="7">
        <v>189.07</v>
      </c>
      <c r="X2402" s="132">
        <f t="shared" si="261"/>
        <v>10</v>
      </c>
      <c r="Y2402" s="133"/>
      <c r="Z2402" s="133"/>
      <c r="AA2402" s="133"/>
    </row>
    <row r="2403" spans="1:27" hidden="1" x14ac:dyDescent="0.25">
      <c r="A2403" s="127">
        <v>2618</v>
      </c>
      <c r="B2403" s="128" t="str">
        <f t="shared" si="262"/>
        <v>NAMS</v>
      </c>
      <c r="C2403" s="128">
        <f>+VLOOKUP(U2403,Ходим!A:B,2,0)</f>
        <v>52004005950071</v>
      </c>
      <c r="D2403" s="128" t="str">
        <f>IFERROR(VLOOKUP($B:$B,[20]свод!$A:$AB,3,0)," ")</f>
        <v>Наманган шаҳар</v>
      </c>
      <c r="E2403" s="7" t="s">
        <v>3537</v>
      </c>
      <c r="F2403" s="7" t="s">
        <v>9906</v>
      </c>
      <c r="G2403" s="134">
        <f t="shared" si="259"/>
        <v>1</v>
      </c>
      <c r="H2403" s="134" t="str">
        <f t="shared" si="260"/>
        <v/>
      </c>
      <c r="I2403" s="7" t="s">
        <v>158</v>
      </c>
      <c r="J2403" s="7" t="s">
        <v>2</v>
      </c>
      <c r="K2403" s="7"/>
      <c r="L2403" s="7"/>
      <c r="M2403" s="7"/>
      <c r="N2403" s="7" t="s">
        <v>170</v>
      </c>
      <c r="O2403" s="7" t="s">
        <v>162</v>
      </c>
      <c r="P2403" s="7" t="s">
        <v>7357</v>
      </c>
      <c r="Q2403" s="129">
        <v>46199</v>
      </c>
      <c r="R2403" s="130">
        <f t="shared" si="258"/>
        <v>46209</v>
      </c>
      <c r="S2403" s="131">
        <f t="shared" si="263"/>
        <v>10</v>
      </c>
      <c r="T2403" s="7" t="s">
        <v>185</v>
      </c>
      <c r="U2403" s="7" t="s">
        <v>1015</v>
      </c>
      <c r="V2403" s="7"/>
      <c r="W2403" s="7"/>
      <c r="X2403" s="132">
        <f t="shared" si="261"/>
        <v>10</v>
      </c>
      <c r="Y2403" s="133"/>
      <c r="Z2403" s="133"/>
      <c r="AA2403" s="133"/>
    </row>
    <row r="2404" spans="1:27" hidden="1" x14ac:dyDescent="0.25">
      <c r="A2404" s="127">
        <v>2619</v>
      </c>
      <c r="B2404" s="128" t="str">
        <f t="shared" si="262"/>
        <v>MINT</v>
      </c>
      <c r="C2404" s="128" t="e">
        <f>+VLOOKUP(U2404,Ходим!A:B,2,0)</f>
        <v>#N/A</v>
      </c>
      <c r="D2404" s="128" t="str">
        <f>IFERROR(VLOOKUP($B:$B,[20]свод!$A:$AB,3,0)," ")</f>
        <v>Мингбулоқ тумани</v>
      </c>
      <c r="E2404" s="7" t="s">
        <v>3538</v>
      </c>
      <c r="F2404" s="7" t="s">
        <v>9907</v>
      </c>
      <c r="G2404" s="134" t="str">
        <f t="shared" si="259"/>
        <v/>
      </c>
      <c r="H2404" s="134">
        <f t="shared" si="260"/>
        <v>1</v>
      </c>
      <c r="I2404" s="7" t="s">
        <v>155</v>
      </c>
      <c r="J2404" s="7" t="s">
        <v>11</v>
      </c>
      <c r="K2404" s="7"/>
      <c r="L2404" s="7" t="s">
        <v>168</v>
      </c>
      <c r="M2404" s="7" t="s">
        <v>5810</v>
      </c>
      <c r="N2404" s="7" t="s">
        <v>170</v>
      </c>
      <c r="O2404" s="7" t="s">
        <v>161</v>
      </c>
      <c r="P2404" s="7" t="s">
        <v>7357</v>
      </c>
      <c r="Q2404" s="129">
        <v>46199</v>
      </c>
      <c r="R2404" s="130">
        <f t="shared" si="258"/>
        <v>46204</v>
      </c>
      <c r="S2404" s="131">
        <f t="shared" si="263"/>
        <v>5</v>
      </c>
      <c r="T2404" s="7"/>
      <c r="U2404" s="7"/>
      <c r="V2404" s="7"/>
      <c r="W2404" s="7">
        <v>0</v>
      </c>
      <c r="X2404" s="132">
        <f t="shared" si="261"/>
        <v>7</v>
      </c>
      <c r="Y2404" s="133"/>
      <c r="Z2404" s="133"/>
      <c r="AA2404" s="133"/>
    </row>
    <row r="2405" spans="1:27" hidden="1" x14ac:dyDescent="0.25">
      <c r="A2405" s="127">
        <v>2622</v>
      </c>
      <c r="B2405" s="128" t="str">
        <f t="shared" si="262"/>
        <v>UCQT</v>
      </c>
      <c r="C2405" s="128" t="e">
        <f>+VLOOKUP(U2405,Ходим!A:B,2,0)</f>
        <v>#N/A</v>
      </c>
      <c r="D2405" s="128" t="str">
        <f>IFERROR(VLOOKUP($B:$B,[20]свод!$A:$AB,3,0)," ")</f>
        <v>Учқўрғон тумани</v>
      </c>
      <c r="E2405" s="7" t="s">
        <v>3539</v>
      </c>
      <c r="F2405" s="7" t="s">
        <v>9908</v>
      </c>
      <c r="G2405" s="134">
        <f t="shared" si="259"/>
        <v>1</v>
      </c>
      <c r="H2405" s="134" t="str">
        <f t="shared" si="260"/>
        <v/>
      </c>
      <c r="I2405" s="7" t="s">
        <v>156</v>
      </c>
      <c r="J2405" s="7" t="s">
        <v>11</v>
      </c>
      <c r="K2405" s="7"/>
      <c r="L2405" s="7"/>
      <c r="M2405" s="7"/>
      <c r="N2405" s="7" t="s">
        <v>170</v>
      </c>
      <c r="O2405" s="7" t="s">
        <v>162</v>
      </c>
      <c r="P2405" s="7" t="s">
        <v>7357</v>
      </c>
      <c r="Q2405" s="129">
        <v>46199</v>
      </c>
      <c r="R2405" s="130">
        <f t="shared" si="258"/>
        <v>46209</v>
      </c>
      <c r="S2405" s="131">
        <f t="shared" si="263"/>
        <v>10</v>
      </c>
      <c r="T2405" s="7" t="s">
        <v>175</v>
      </c>
      <c r="U2405" s="7"/>
      <c r="V2405" s="7"/>
      <c r="W2405" s="7"/>
      <c r="X2405" s="132">
        <f t="shared" si="261"/>
        <v>10</v>
      </c>
      <c r="Y2405" s="133"/>
      <c r="Z2405" s="133"/>
      <c r="AA2405" s="133"/>
    </row>
    <row r="2406" spans="1:27" hidden="1" x14ac:dyDescent="0.25">
      <c r="A2406" s="127">
        <v>2623</v>
      </c>
      <c r="B2406" s="128" t="str">
        <f t="shared" si="262"/>
        <v>YGQT</v>
      </c>
      <c r="C2406" s="128" t="str">
        <f>+VLOOKUP(U2406,Ходим!A:B,2,0)</f>
        <v>30101922100050</v>
      </c>
      <c r="D2406" s="128" t="str">
        <f>IFERROR(VLOOKUP($B:$B,[20]свод!$A:$AB,3,0)," ")</f>
        <v>Янгиқўрғон тумани</v>
      </c>
      <c r="E2406" s="7" t="s">
        <v>3540</v>
      </c>
      <c r="F2406" s="7" t="s">
        <v>9909</v>
      </c>
      <c r="G2406" s="134">
        <f t="shared" si="259"/>
        <v>1</v>
      </c>
      <c r="H2406" s="134" t="str">
        <f t="shared" si="260"/>
        <v/>
      </c>
      <c r="I2406" s="7" t="s">
        <v>158</v>
      </c>
      <c r="J2406" s="7" t="s">
        <v>1</v>
      </c>
      <c r="K2406" s="7"/>
      <c r="L2406" s="7" t="s">
        <v>167</v>
      </c>
      <c r="M2406" s="7" t="s">
        <v>5811</v>
      </c>
      <c r="N2406" s="7" t="s">
        <v>170</v>
      </c>
      <c r="O2406" s="7" t="s">
        <v>162</v>
      </c>
      <c r="P2406" s="7" t="s">
        <v>7357</v>
      </c>
      <c r="Q2406" s="129">
        <v>46199</v>
      </c>
      <c r="R2406" s="130">
        <f t="shared" si="258"/>
        <v>46209</v>
      </c>
      <c r="S2406" s="131">
        <f t="shared" si="263"/>
        <v>10</v>
      </c>
      <c r="T2406" s="7" t="s">
        <v>182</v>
      </c>
      <c r="U2406" s="7" t="s">
        <v>265</v>
      </c>
      <c r="V2406" s="7"/>
      <c r="W2406" s="7">
        <v>515.62</v>
      </c>
      <c r="X2406" s="132">
        <f t="shared" si="261"/>
        <v>10</v>
      </c>
      <c r="Y2406" s="133"/>
      <c r="Z2406" s="133"/>
      <c r="AA2406" s="133"/>
    </row>
    <row r="2407" spans="1:27" hidden="1" x14ac:dyDescent="0.25">
      <c r="A2407" s="127">
        <v>2624</v>
      </c>
      <c r="B2407" s="128" t="str">
        <f t="shared" si="262"/>
        <v>MINT</v>
      </c>
      <c r="C2407" s="128" t="e">
        <f>+VLOOKUP(U2407,Ходим!A:B,2,0)</f>
        <v>#N/A</v>
      </c>
      <c r="D2407" s="128" t="str">
        <f>IFERROR(VLOOKUP($B:$B,[20]свод!$A:$AB,3,0)," ")</f>
        <v>Мингбулоқ тумани</v>
      </c>
      <c r="E2407" s="7" t="s">
        <v>3541</v>
      </c>
      <c r="F2407" s="7" t="s">
        <v>9910</v>
      </c>
      <c r="G2407" s="134" t="str">
        <f t="shared" si="259"/>
        <v/>
      </c>
      <c r="H2407" s="134">
        <f t="shared" si="260"/>
        <v>1</v>
      </c>
      <c r="I2407" s="7" t="s">
        <v>155</v>
      </c>
      <c r="J2407" s="7" t="s">
        <v>11</v>
      </c>
      <c r="K2407" s="7"/>
      <c r="L2407" s="7" t="s">
        <v>168</v>
      </c>
      <c r="M2407" s="7" t="s">
        <v>5812</v>
      </c>
      <c r="N2407" s="7" t="s">
        <v>170</v>
      </c>
      <c r="O2407" s="7" t="s">
        <v>161</v>
      </c>
      <c r="P2407" s="7" t="s">
        <v>7357</v>
      </c>
      <c r="Q2407" s="129">
        <v>46199</v>
      </c>
      <c r="R2407" s="130">
        <f t="shared" si="258"/>
        <v>46204</v>
      </c>
      <c r="S2407" s="131">
        <f t="shared" si="263"/>
        <v>5</v>
      </c>
      <c r="T2407" s="7"/>
      <c r="U2407" s="7"/>
      <c r="V2407" s="7"/>
      <c r="W2407" s="7">
        <v>0</v>
      </c>
      <c r="X2407" s="132">
        <f t="shared" si="261"/>
        <v>7</v>
      </c>
      <c r="Y2407" s="133"/>
      <c r="Z2407" s="133"/>
      <c r="AA2407" s="133"/>
    </row>
    <row r="2408" spans="1:27" x14ac:dyDescent="0.25">
      <c r="A2408" s="133"/>
      <c r="B2408" s="128" t="str">
        <f t="shared" si="262"/>
        <v>YGQT</v>
      </c>
      <c r="C2408" s="128" t="str">
        <f>+VLOOKUP(U2408,Ходим!A:B,2,0)</f>
        <v>30502995950058</v>
      </c>
      <c r="D2408" s="128" t="str">
        <f>IFERROR(VLOOKUP($B:$B,[20]свод!$A:$AB,3,0)," ")</f>
        <v>Янгиқўрғон тумани</v>
      </c>
      <c r="E2408" s="7" t="s">
        <v>990</v>
      </c>
      <c r="F2408" s="7" t="s">
        <v>1011</v>
      </c>
      <c r="G2408" s="134">
        <f t="shared" si="259"/>
        <v>1</v>
      </c>
      <c r="H2408" s="134" t="str">
        <f t="shared" si="260"/>
        <v/>
      </c>
      <c r="I2408" s="7" t="s">
        <v>158</v>
      </c>
      <c r="J2408" s="7" t="s">
        <v>9</v>
      </c>
      <c r="K2408" s="7"/>
      <c r="L2408" s="7" t="s">
        <v>167</v>
      </c>
      <c r="M2408" s="7" t="s">
        <v>5813</v>
      </c>
      <c r="N2408" s="7" t="s">
        <v>410</v>
      </c>
      <c r="O2408" s="7" t="s">
        <v>162</v>
      </c>
      <c r="P2408" s="7" t="s">
        <v>1014</v>
      </c>
      <c r="Q2408" s="129">
        <v>46199</v>
      </c>
      <c r="R2408" s="130">
        <f t="shared" ref="R2408:R2471" si="264">WORKDAY(P2408,X2408,$Y$1:$AA$1)</f>
        <v>46183</v>
      </c>
      <c r="S2408" s="131">
        <f t="shared" si="263"/>
        <v>-16</v>
      </c>
      <c r="T2408" s="7" t="s">
        <v>182</v>
      </c>
      <c r="U2408" s="7" t="s">
        <v>340</v>
      </c>
      <c r="V2408" s="7" t="s">
        <v>359</v>
      </c>
      <c r="W2408" s="7">
        <v>155.66</v>
      </c>
      <c r="X2408" s="132">
        <f t="shared" si="261"/>
        <v>10</v>
      </c>
      <c r="Y2408" s="133"/>
      <c r="Z2408" s="133"/>
      <c r="AA2408" s="133"/>
    </row>
    <row r="2409" spans="1:27" hidden="1" x14ac:dyDescent="0.25">
      <c r="A2409" s="133"/>
      <c r="B2409" s="128" t="str">
        <f t="shared" si="262"/>
        <v>NORT</v>
      </c>
      <c r="C2409" s="128" t="str">
        <f>+VLOOKUP(U2409,Ходим!A:B,2,0)</f>
        <v>30308662110024</v>
      </c>
      <c r="D2409" s="128" t="str">
        <f>IFERROR(VLOOKUP($B:$B,[20]свод!$A:$AB,3,0)," ")</f>
        <v>Норин тумани</v>
      </c>
      <c r="E2409" s="7" t="s">
        <v>3542</v>
      </c>
      <c r="F2409" s="7" t="s">
        <v>9911</v>
      </c>
      <c r="G2409" s="134">
        <f t="shared" si="259"/>
        <v>1</v>
      </c>
      <c r="H2409" s="134" t="str">
        <f t="shared" si="260"/>
        <v/>
      </c>
      <c r="I2409" s="7" t="s">
        <v>158</v>
      </c>
      <c r="J2409" s="7" t="s">
        <v>2</v>
      </c>
      <c r="K2409" s="7"/>
      <c r="L2409" s="7" t="s">
        <v>167</v>
      </c>
      <c r="M2409" s="7" t="s">
        <v>5814</v>
      </c>
      <c r="N2409" s="7" t="s">
        <v>170</v>
      </c>
      <c r="O2409" s="7" t="s">
        <v>162</v>
      </c>
      <c r="P2409" s="7" t="s">
        <v>7358</v>
      </c>
      <c r="Q2409" s="129">
        <v>46199</v>
      </c>
      <c r="R2409" s="130">
        <f t="shared" si="264"/>
        <v>46209</v>
      </c>
      <c r="S2409" s="131">
        <f t="shared" si="263"/>
        <v>10</v>
      </c>
      <c r="T2409" s="7" t="s">
        <v>210</v>
      </c>
      <c r="U2409" s="7" t="s">
        <v>211</v>
      </c>
      <c r="V2409" s="7"/>
      <c r="W2409" s="7">
        <v>229.54</v>
      </c>
      <c r="X2409" s="132">
        <f t="shared" si="261"/>
        <v>10</v>
      </c>
      <c r="Y2409" s="133"/>
      <c r="Z2409" s="133"/>
      <c r="AA2409" s="133"/>
    </row>
    <row r="2410" spans="1:27" hidden="1" x14ac:dyDescent="0.25">
      <c r="A2410" s="133"/>
      <c r="B2410" s="128" t="str">
        <f t="shared" si="262"/>
        <v>YGQT</v>
      </c>
      <c r="C2410" s="128" t="str">
        <f>+VLOOKUP(U2410,Ходим!A:B,2,0)</f>
        <v>30107965950010</v>
      </c>
      <c r="D2410" s="128" t="str">
        <f>IFERROR(VLOOKUP($B:$B,[20]свод!$A:$AB,3,0)," ")</f>
        <v>Янгиқўрғон тумани</v>
      </c>
      <c r="E2410" s="7" t="s">
        <v>3543</v>
      </c>
      <c r="F2410" s="7" t="s">
        <v>9912</v>
      </c>
      <c r="G2410" s="134">
        <f t="shared" si="259"/>
        <v>1</v>
      </c>
      <c r="H2410" s="134" t="str">
        <f t="shared" si="260"/>
        <v/>
      </c>
      <c r="I2410" s="7" t="s">
        <v>158</v>
      </c>
      <c r="J2410" s="7" t="s">
        <v>1</v>
      </c>
      <c r="K2410" s="7"/>
      <c r="L2410" s="7" t="s">
        <v>167</v>
      </c>
      <c r="M2410" s="7" t="s">
        <v>5815</v>
      </c>
      <c r="N2410" s="7" t="s">
        <v>170</v>
      </c>
      <c r="O2410" s="7" t="s">
        <v>162</v>
      </c>
      <c r="P2410" s="7" t="s">
        <v>7358</v>
      </c>
      <c r="Q2410" s="129">
        <v>46199</v>
      </c>
      <c r="R2410" s="130">
        <f t="shared" si="264"/>
        <v>46209</v>
      </c>
      <c r="S2410" s="131">
        <f t="shared" si="263"/>
        <v>10</v>
      </c>
      <c r="T2410" s="7" t="s">
        <v>255</v>
      </c>
      <c r="U2410" s="7" t="s">
        <v>244</v>
      </c>
      <c r="V2410" s="7"/>
      <c r="W2410" s="7">
        <v>501.39</v>
      </c>
      <c r="X2410" s="132">
        <f t="shared" si="261"/>
        <v>10</v>
      </c>
      <c r="Y2410" s="133"/>
      <c r="Z2410" s="133"/>
      <c r="AA2410" s="133"/>
    </row>
    <row r="2411" spans="1:27" hidden="1" x14ac:dyDescent="0.25">
      <c r="A2411" s="133"/>
      <c r="B2411" s="128" t="str">
        <f t="shared" si="262"/>
        <v>YGQT</v>
      </c>
      <c r="C2411" s="128" t="str">
        <f>+VLOOKUP(U2411,Ходим!A:B,2,0)</f>
        <v>30809995950021</v>
      </c>
      <c r="D2411" s="128" t="str">
        <f>IFERROR(VLOOKUP($B:$B,[20]свод!$A:$AB,3,0)," ")</f>
        <v>Янгиқўрғон тумани</v>
      </c>
      <c r="E2411" s="7" t="s">
        <v>3544</v>
      </c>
      <c r="F2411" s="7" t="s">
        <v>9913</v>
      </c>
      <c r="G2411" s="134" t="str">
        <f t="shared" si="259"/>
        <v/>
      </c>
      <c r="H2411" s="134">
        <f t="shared" si="260"/>
        <v>1</v>
      </c>
      <c r="I2411" s="7" t="s">
        <v>157</v>
      </c>
      <c r="J2411" s="7" t="s">
        <v>2</v>
      </c>
      <c r="K2411" s="7"/>
      <c r="L2411" s="7" t="s">
        <v>166</v>
      </c>
      <c r="M2411" s="7" t="s">
        <v>5816</v>
      </c>
      <c r="N2411" s="7" t="s">
        <v>170</v>
      </c>
      <c r="O2411" s="7" t="s">
        <v>161</v>
      </c>
      <c r="P2411" s="7" t="s">
        <v>7358</v>
      </c>
      <c r="Q2411" s="129">
        <v>46199</v>
      </c>
      <c r="R2411" s="130">
        <f t="shared" si="264"/>
        <v>46209</v>
      </c>
      <c r="S2411" s="131">
        <f t="shared" si="263"/>
        <v>10</v>
      </c>
      <c r="T2411" s="7" t="s">
        <v>255</v>
      </c>
      <c r="U2411" s="7" t="s">
        <v>223</v>
      </c>
      <c r="V2411" s="7"/>
      <c r="W2411" s="7">
        <v>25.2</v>
      </c>
      <c r="X2411" s="132">
        <f t="shared" si="261"/>
        <v>10</v>
      </c>
      <c r="Y2411" s="133"/>
      <c r="Z2411" s="133"/>
      <c r="AA2411" s="133"/>
    </row>
    <row r="2412" spans="1:27" hidden="1" x14ac:dyDescent="0.25">
      <c r="A2412" s="133"/>
      <c r="B2412" s="128" t="str">
        <f t="shared" si="262"/>
        <v>NAMT</v>
      </c>
      <c r="C2412" s="128" t="str">
        <f>+VLOOKUP(U2412,Ходим!A:B,2,0)</f>
        <v>31702942090041</v>
      </c>
      <c r="D2412" s="128" t="str">
        <f>IFERROR(VLOOKUP($B:$B,[20]свод!$A:$AB,3,0)," ")</f>
        <v>Наманган тумани</v>
      </c>
      <c r="E2412" s="7" t="s">
        <v>3545</v>
      </c>
      <c r="F2412" s="7" t="s">
        <v>9914</v>
      </c>
      <c r="G2412" s="134" t="str">
        <f t="shared" ref="G2412:G2475" si="265">IF(OR(
I2412="Turar joy obyektning kadastr pasportini shakllantirish va davlat ro'yxatidan o'tkazish",
I2412="Turar kompozit"
),
1,
IF(OR(
I2412="Noturar kompozit",
I2412="Avtoyo'l va suv xo'jaligi obyektining kadastr pasportini shakllantirish va ro'yxatga olish",
I2412="Noturar obyektning kadastr pasportining kadastr pasportini shakllantirish va davlat ro'yxatidan o'tkazish"
),
"",
IF(OR(
I2412="Notarius uchun ma'lumotnoma (uz)",
I2412="Qurilishi tugallangan ko'chmas mulkni foydalanishga qabul qilish",
I2412="Umumiy foydalanishdagi ko'chmas mulk qismini yaratish",
I2412="Registratsiya (tashqi - UZKAD da bor)"
),
IF(OR(L2412="Turar yer maydoni",L2412="Yakka tartibdagi turar joy"),1,
IF(L2412="Noturar bino","",
IF(L2412="Noturar yer maydoni","",
IF(L2412="",IF(OR(O2412="Turar joy xizmati",O2412="Foydalanishga ruxsatnoma berish xizmati"),1,""),"")
))),
"")))</f>
        <v/>
      </c>
      <c r="H2412" s="134">
        <f t="shared" ref="H2412:H2475" si="266">IF(OR(
I2412="Turar joy obyektning kadastr pasportini shakllantirish va davlat ro'yxatidan o'tkazish",
I2412="Turar kompozit"
),
"",
IF(OR(
I2412="Noturar kompozit",
I2412="Avtoyo'l va suv xo'jaligi obyektining kadastr pasportini shakllantirish va ro'yxatga olish",
I2412="Noturar obyektning kadastr pasportini shakllantirish va davlat ro'yxatidan o'tkazish"
),
1,
IF(OR(
I2412="Notarius uchun ma'lumotnoma (uz)",
I2412="Qurilishi tugallangan ko'chmas mulkni foydalanishga qabul qilish",
I2412="Umumiy foydalanishdagi ko'chmas mulk qismini yaratish",
I2412="Registratsiya (tashqi - UZKAD da bor)"
),
IF(OR(L2412="Turar yer maydoni",L2412="Yakka tartibdagi turar joy"),"",
IF(L2412="Noturar bino",1,
IF(L2412="Noturar yer maydoni",1,
IF(L2412="",IF(OR(O2412="Turar joy xizmati",O2412="Foydalanishga ruxsatnoma berish xizmati"),"",1),"")
))),
"")))</f>
        <v>1</v>
      </c>
      <c r="I2412" s="7" t="s">
        <v>157</v>
      </c>
      <c r="J2412" s="7" t="s">
        <v>35</v>
      </c>
      <c r="K2412" s="7"/>
      <c r="L2412" s="7" t="s">
        <v>168</v>
      </c>
      <c r="M2412" s="7" t="s">
        <v>5817</v>
      </c>
      <c r="N2412" s="7" t="s">
        <v>170</v>
      </c>
      <c r="O2412" s="7" t="s">
        <v>161</v>
      </c>
      <c r="P2412" s="7" t="s">
        <v>7358</v>
      </c>
      <c r="Q2412" s="129">
        <v>46199</v>
      </c>
      <c r="R2412" s="130">
        <f t="shared" si="264"/>
        <v>46204</v>
      </c>
      <c r="S2412" s="131">
        <f t="shared" si="263"/>
        <v>5</v>
      </c>
      <c r="T2412" s="7" t="s">
        <v>193</v>
      </c>
      <c r="U2412" s="7" t="s">
        <v>194</v>
      </c>
      <c r="V2412" s="7"/>
      <c r="W2412" s="7">
        <v>0</v>
      </c>
      <c r="X2412" s="132">
        <f t="shared" si="261"/>
        <v>7</v>
      </c>
      <c r="Y2412" s="133"/>
      <c r="Z2412" s="133"/>
      <c r="AA2412" s="133"/>
    </row>
    <row r="2413" spans="1:27" hidden="1" x14ac:dyDescent="0.25">
      <c r="A2413" s="133"/>
      <c r="B2413" s="128" t="str">
        <f t="shared" si="262"/>
        <v>NAMS</v>
      </c>
      <c r="C2413" s="128" t="str">
        <f>+VLOOKUP(U2413,Ходим!A:B,2,0)</f>
        <v>52503015960039</v>
      </c>
      <c r="D2413" s="128" t="str">
        <f>IFERROR(VLOOKUP($B:$B,[20]свод!$A:$AB,3,0)," ")</f>
        <v>Наманган шаҳар</v>
      </c>
      <c r="E2413" s="7" t="s">
        <v>3546</v>
      </c>
      <c r="F2413" s="7" t="s">
        <v>9915</v>
      </c>
      <c r="G2413" s="134">
        <f t="shared" si="265"/>
        <v>1</v>
      </c>
      <c r="H2413" s="134" t="str">
        <f t="shared" si="266"/>
        <v/>
      </c>
      <c r="I2413" s="7" t="s">
        <v>158</v>
      </c>
      <c r="J2413" s="7" t="s">
        <v>2</v>
      </c>
      <c r="K2413" s="7"/>
      <c r="L2413" s="7"/>
      <c r="M2413" s="7"/>
      <c r="N2413" s="7" t="s">
        <v>170</v>
      </c>
      <c r="O2413" s="7" t="s">
        <v>162</v>
      </c>
      <c r="P2413" s="7" t="s">
        <v>7358</v>
      </c>
      <c r="Q2413" s="129">
        <v>46199</v>
      </c>
      <c r="R2413" s="130">
        <f t="shared" si="264"/>
        <v>46209</v>
      </c>
      <c r="S2413" s="131">
        <f t="shared" si="263"/>
        <v>10</v>
      </c>
      <c r="T2413" s="7" t="s">
        <v>173</v>
      </c>
      <c r="U2413" s="7" t="s">
        <v>246</v>
      </c>
      <c r="V2413" s="7"/>
      <c r="W2413" s="7"/>
      <c r="X2413" s="132">
        <f t="shared" si="261"/>
        <v>10</v>
      </c>
      <c r="Y2413" s="133"/>
      <c r="Z2413" s="133"/>
      <c r="AA2413" s="133"/>
    </row>
    <row r="2414" spans="1:27" hidden="1" x14ac:dyDescent="0.25">
      <c r="A2414" s="133"/>
      <c r="B2414" s="128" t="str">
        <f t="shared" si="262"/>
        <v>CHUT</v>
      </c>
      <c r="C2414" s="128" t="str">
        <f>+VLOOKUP(U2414,Ходим!A:B,2,0)</f>
        <v>30409785970022</v>
      </c>
      <c r="D2414" s="128" t="str">
        <f>IFERROR(VLOOKUP($B:$B,[20]свод!$A:$AB,3,0)," ")</f>
        <v>Чуст тумани</v>
      </c>
      <c r="E2414" s="7" t="s">
        <v>3547</v>
      </c>
      <c r="F2414" s="7" t="s">
        <v>9916</v>
      </c>
      <c r="G2414" s="134">
        <f t="shared" si="265"/>
        <v>1</v>
      </c>
      <c r="H2414" s="134" t="str">
        <f t="shared" si="266"/>
        <v/>
      </c>
      <c r="I2414" s="7" t="s">
        <v>154</v>
      </c>
      <c r="J2414" s="7" t="s">
        <v>134</v>
      </c>
      <c r="K2414" s="7"/>
      <c r="L2414" s="7"/>
      <c r="M2414" s="7"/>
      <c r="N2414" s="7" t="s">
        <v>170</v>
      </c>
      <c r="O2414" s="7" t="s">
        <v>162</v>
      </c>
      <c r="P2414" s="7" t="s">
        <v>7358</v>
      </c>
      <c r="Q2414" s="129">
        <v>46199</v>
      </c>
      <c r="R2414" s="130">
        <f t="shared" si="264"/>
        <v>46209</v>
      </c>
      <c r="S2414" s="131">
        <f t="shared" si="263"/>
        <v>10</v>
      </c>
      <c r="T2414" s="7" t="s">
        <v>178</v>
      </c>
      <c r="U2414" s="7" t="s">
        <v>191</v>
      </c>
      <c r="V2414" s="7"/>
      <c r="W2414" s="7"/>
      <c r="X2414" s="132">
        <f t="shared" si="261"/>
        <v>10</v>
      </c>
      <c r="Y2414" s="133"/>
      <c r="Z2414" s="133"/>
      <c r="AA2414" s="133"/>
    </row>
    <row r="2415" spans="1:27" hidden="1" x14ac:dyDescent="0.25">
      <c r="A2415" s="133"/>
      <c r="B2415" s="128" t="str">
        <f t="shared" si="262"/>
        <v>CHUT</v>
      </c>
      <c r="C2415" s="128" t="e">
        <f>+VLOOKUP(U2415,Ходим!A:B,2,0)</f>
        <v>#N/A</v>
      </c>
      <c r="D2415" s="128" t="str">
        <f>IFERROR(VLOOKUP($B:$B,[20]свод!$A:$AB,3,0)," ")</f>
        <v>Чуст тумани</v>
      </c>
      <c r="E2415" s="7" t="s">
        <v>3548</v>
      </c>
      <c r="F2415" s="7" t="s">
        <v>9917</v>
      </c>
      <c r="G2415" s="134" t="str">
        <f t="shared" si="265"/>
        <v/>
      </c>
      <c r="H2415" s="134">
        <f t="shared" si="266"/>
        <v>1</v>
      </c>
      <c r="I2415" s="7" t="s">
        <v>155</v>
      </c>
      <c r="J2415" s="7" t="s">
        <v>11</v>
      </c>
      <c r="K2415" s="7"/>
      <c r="L2415" s="7" t="s">
        <v>168</v>
      </c>
      <c r="M2415" s="7" t="s">
        <v>5818</v>
      </c>
      <c r="N2415" s="7" t="s">
        <v>170</v>
      </c>
      <c r="O2415" s="7" t="s">
        <v>161</v>
      </c>
      <c r="P2415" s="7" t="s">
        <v>7359</v>
      </c>
      <c r="Q2415" s="129">
        <v>46199</v>
      </c>
      <c r="R2415" s="130">
        <f t="shared" si="264"/>
        <v>46210</v>
      </c>
      <c r="S2415" s="131">
        <f t="shared" si="263"/>
        <v>11</v>
      </c>
      <c r="T2415" s="7"/>
      <c r="U2415" s="7"/>
      <c r="V2415" s="7"/>
      <c r="W2415" s="7">
        <v>0</v>
      </c>
      <c r="X2415" s="132">
        <f t="shared" si="261"/>
        <v>7</v>
      </c>
      <c r="Y2415" s="133"/>
      <c r="Z2415" s="133"/>
      <c r="AA2415" s="133"/>
    </row>
    <row r="2416" spans="1:27" hidden="1" x14ac:dyDescent="0.25">
      <c r="A2416" s="133"/>
      <c r="B2416" s="128" t="str">
        <f t="shared" si="262"/>
        <v>NAMS</v>
      </c>
      <c r="C2416" s="128" t="e">
        <f>+VLOOKUP(U2416,Ходим!A:B,2,0)</f>
        <v>#N/A</v>
      </c>
      <c r="D2416" s="128" t="str">
        <f>IFERROR(VLOOKUP($B:$B,[20]свод!$A:$AB,3,0)," ")</f>
        <v>Наманган шаҳар</v>
      </c>
      <c r="E2416" s="7" t="s">
        <v>3549</v>
      </c>
      <c r="F2416" s="7" t="s">
        <v>9918</v>
      </c>
      <c r="G2416" s="134">
        <f t="shared" si="265"/>
        <v>1</v>
      </c>
      <c r="H2416" s="134" t="str">
        <f t="shared" si="266"/>
        <v/>
      </c>
      <c r="I2416" s="7" t="s">
        <v>156</v>
      </c>
      <c r="J2416" s="7" t="s">
        <v>11</v>
      </c>
      <c r="K2416" s="7"/>
      <c r="L2416" s="7"/>
      <c r="M2416" s="7"/>
      <c r="N2416" s="7" t="s">
        <v>170</v>
      </c>
      <c r="O2416" s="7" t="s">
        <v>162</v>
      </c>
      <c r="P2416" s="7" t="s">
        <v>7360</v>
      </c>
      <c r="Q2416" s="129">
        <v>46199</v>
      </c>
      <c r="R2416" s="130">
        <f t="shared" si="264"/>
        <v>46213</v>
      </c>
      <c r="S2416" s="131">
        <f t="shared" si="263"/>
        <v>14</v>
      </c>
      <c r="T2416" s="7"/>
      <c r="U2416" s="7"/>
      <c r="V2416" s="7"/>
      <c r="W2416" s="7"/>
      <c r="X2416" s="132">
        <f t="shared" si="261"/>
        <v>10</v>
      </c>
      <c r="Y2416" s="133"/>
      <c r="Z2416" s="133"/>
      <c r="AA2416" s="133"/>
    </row>
    <row r="2417" spans="1:27" hidden="1" x14ac:dyDescent="0.25">
      <c r="A2417" s="133"/>
      <c r="B2417" s="128" t="str">
        <f t="shared" si="262"/>
        <v>NAMS</v>
      </c>
      <c r="C2417" s="128" t="str">
        <f>+VLOOKUP(U2417,Ходим!A:B,2,0)</f>
        <v>30809892160183</v>
      </c>
      <c r="D2417" s="128" t="str">
        <f>IFERROR(VLOOKUP($B:$B,[20]свод!$A:$AB,3,0)," ")</f>
        <v>Наманган шаҳар</v>
      </c>
      <c r="E2417" s="7" t="s">
        <v>3550</v>
      </c>
      <c r="F2417" s="7" t="s">
        <v>9919</v>
      </c>
      <c r="G2417" s="134" t="str">
        <f t="shared" si="265"/>
        <v/>
      </c>
      <c r="H2417" s="134">
        <f t="shared" si="266"/>
        <v>1</v>
      </c>
      <c r="I2417" s="7" t="s">
        <v>154</v>
      </c>
      <c r="J2417" s="7" t="s">
        <v>1</v>
      </c>
      <c r="K2417" s="7"/>
      <c r="L2417" s="7" t="s">
        <v>166</v>
      </c>
      <c r="M2417" s="7" t="s">
        <v>5819</v>
      </c>
      <c r="N2417" s="7" t="s">
        <v>410</v>
      </c>
      <c r="O2417" s="7" t="s">
        <v>161</v>
      </c>
      <c r="P2417" s="7" t="s">
        <v>7361</v>
      </c>
      <c r="Q2417" s="129">
        <v>46199</v>
      </c>
      <c r="R2417" s="130">
        <f t="shared" si="264"/>
        <v>46213</v>
      </c>
      <c r="S2417" s="131">
        <f t="shared" si="263"/>
        <v>14</v>
      </c>
      <c r="T2417" s="7" t="s">
        <v>227</v>
      </c>
      <c r="U2417" s="7" t="s">
        <v>192</v>
      </c>
      <c r="V2417" s="7"/>
      <c r="W2417" s="7">
        <v>3238.6</v>
      </c>
      <c r="X2417" s="132">
        <f t="shared" si="261"/>
        <v>17</v>
      </c>
      <c r="Y2417" s="133"/>
      <c r="Z2417" s="133"/>
      <c r="AA2417" s="133"/>
    </row>
    <row r="2418" spans="1:27" hidden="1" x14ac:dyDescent="0.25">
      <c r="A2418" s="133"/>
      <c r="B2418" s="128" t="str">
        <f t="shared" si="262"/>
        <v>MINT</v>
      </c>
      <c r="C2418" s="128" t="e">
        <f>+VLOOKUP(U2418,Ходим!A:B,2,0)</f>
        <v>#N/A</v>
      </c>
      <c r="D2418" s="128" t="str">
        <f>IFERROR(VLOOKUP($B:$B,[20]свод!$A:$AB,3,0)," ")</f>
        <v>Мингбулоқ тумани</v>
      </c>
      <c r="E2418" s="7" t="s">
        <v>3551</v>
      </c>
      <c r="F2418" s="7" t="s">
        <v>9920</v>
      </c>
      <c r="G2418" s="134">
        <f t="shared" si="265"/>
        <v>1</v>
      </c>
      <c r="H2418" s="134" t="str">
        <f t="shared" si="266"/>
        <v/>
      </c>
      <c r="I2418" s="7" t="s">
        <v>156</v>
      </c>
      <c r="J2418" s="7" t="s">
        <v>11</v>
      </c>
      <c r="K2418" s="7"/>
      <c r="L2418" s="7"/>
      <c r="M2418" s="7"/>
      <c r="N2418" s="7" t="s">
        <v>410</v>
      </c>
      <c r="O2418" s="7" t="s">
        <v>162</v>
      </c>
      <c r="P2418" s="7" t="s">
        <v>7362</v>
      </c>
      <c r="Q2418" s="129">
        <v>46199</v>
      </c>
      <c r="R2418" s="130">
        <f t="shared" si="264"/>
        <v>46213</v>
      </c>
      <c r="S2418" s="131">
        <f t="shared" si="263"/>
        <v>14</v>
      </c>
      <c r="T2418" s="7"/>
      <c r="U2418" s="7"/>
      <c r="V2418" s="7"/>
      <c r="W2418" s="7"/>
      <c r="X2418" s="132">
        <f t="shared" si="261"/>
        <v>10</v>
      </c>
      <c r="Y2418" s="133"/>
      <c r="Z2418" s="133"/>
      <c r="AA2418" s="133"/>
    </row>
    <row r="2419" spans="1:27" hidden="1" x14ac:dyDescent="0.25">
      <c r="A2419" s="133"/>
      <c r="B2419" s="128" t="str">
        <f t="shared" si="262"/>
        <v>UCQT</v>
      </c>
      <c r="C2419" s="128" t="e">
        <f>+VLOOKUP(U2419,Ходим!A:B,2,0)</f>
        <v>#N/A</v>
      </c>
      <c r="D2419" s="128" t="str">
        <f>IFERROR(VLOOKUP($B:$B,[20]свод!$A:$AB,3,0)," ")</f>
        <v>Учқўрғон тумани</v>
      </c>
      <c r="E2419" s="7" t="s">
        <v>3552</v>
      </c>
      <c r="F2419" s="7" t="s">
        <v>9921</v>
      </c>
      <c r="G2419" s="134">
        <f t="shared" si="265"/>
        <v>1</v>
      </c>
      <c r="H2419" s="134" t="str">
        <f t="shared" si="266"/>
        <v/>
      </c>
      <c r="I2419" s="7" t="s">
        <v>156</v>
      </c>
      <c r="J2419" s="7" t="s">
        <v>11</v>
      </c>
      <c r="K2419" s="7"/>
      <c r="L2419" s="7"/>
      <c r="M2419" s="7"/>
      <c r="N2419" s="7" t="s">
        <v>170</v>
      </c>
      <c r="O2419" s="7" t="s">
        <v>162</v>
      </c>
      <c r="P2419" s="7" t="s">
        <v>7363</v>
      </c>
      <c r="Q2419" s="129">
        <v>46199</v>
      </c>
      <c r="R2419" s="130">
        <f t="shared" si="264"/>
        <v>46209</v>
      </c>
      <c r="S2419" s="131">
        <f t="shared" si="263"/>
        <v>10</v>
      </c>
      <c r="T2419" s="7" t="s">
        <v>175</v>
      </c>
      <c r="U2419" s="7"/>
      <c r="V2419" s="7"/>
      <c r="W2419" s="7"/>
      <c r="X2419" s="132">
        <f t="shared" si="261"/>
        <v>10</v>
      </c>
      <c r="Y2419" s="133"/>
      <c r="Z2419" s="133"/>
      <c r="AA2419" s="133"/>
    </row>
    <row r="2420" spans="1:27" hidden="1" x14ac:dyDescent="0.25">
      <c r="A2420" s="133"/>
      <c r="B2420" s="128" t="str">
        <f t="shared" si="262"/>
        <v>NORT</v>
      </c>
      <c r="C2420" s="128" t="str">
        <f>+VLOOKUP(U2420,Ходим!A:B,2,0)</f>
        <v>30308662110024</v>
      </c>
      <c r="D2420" s="128" t="str">
        <f>IFERROR(VLOOKUP($B:$B,[20]свод!$A:$AB,3,0)," ")</f>
        <v>Норин тумани</v>
      </c>
      <c r="E2420" s="7" t="s">
        <v>3553</v>
      </c>
      <c r="F2420" s="7" t="s">
        <v>9922</v>
      </c>
      <c r="G2420" s="134">
        <f t="shared" si="265"/>
        <v>1</v>
      </c>
      <c r="H2420" s="134" t="str">
        <f t="shared" si="266"/>
        <v/>
      </c>
      <c r="I2420" s="7" t="s">
        <v>158</v>
      </c>
      <c r="J2420" s="7" t="s">
        <v>2</v>
      </c>
      <c r="K2420" s="7"/>
      <c r="L2420" s="7" t="s">
        <v>167</v>
      </c>
      <c r="M2420" s="7" t="s">
        <v>5820</v>
      </c>
      <c r="N2420" s="7" t="s">
        <v>170</v>
      </c>
      <c r="O2420" s="7" t="s">
        <v>162</v>
      </c>
      <c r="P2420" s="7" t="s">
        <v>7363</v>
      </c>
      <c r="Q2420" s="129">
        <v>46199</v>
      </c>
      <c r="R2420" s="130">
        <f t="shared" si="264"/>
        <v>46209</v>
      </c>
      <c r="S2420" s="131">
        <f t="shared" si="263"/>
        <v>10</v>
      </c>
      <c r="T2420" s="7" t="s">
        <v>210</v>
      </c>
      <c r="U2420" s="7" t="s">
        <v>211</v>
      </c>
      <c r="V2420" s="7"/>
      <c r="W2420" s="7">
        <v>225.85</v>
      </c>
      <c r="X2420" s="132">
        <f t="shared" si="261"/>
        <v>10</v>
      </c>
      <c r="Y2420" s="133"/>
      <c r="Z2420" s="133"/>
      <c r="AA2420" s="133"/>
    </row>
    <row r="2421" spans="1:27" hidden="1" x14ac:dyDescent="0.25">
      <c r="A2421" s="133"/>
      <c r="B2421" s="128" t="str">
        <f t="shared" si="262"/>
        <v>MINT</v>
      </c>
      <c r="C2421" s="128" t="e">
        <f>+VLOOKUP(U2421,Ходим!A:B,2,0)</f>
        <v>#N/A</v>
      </c>
      <c r="D2421" s="128" t="str">
        <f>IFERROR(VLOOKUP($B:$B,[20]свод!$A:$AB,3,0)," ")</f>
        <v>Мингбулоқ тумани</v>
      </c>
      <c r="E2421" s="7" t="s">
        <v>3554</v>
      </c>
      <c r="F2421" s="7" t="s">
        <v>9923</v>
      </c>
      <c r="G2421" s="134" t="str">
        <f t="shared" si="265"/>
        <v/>
      </c>
      <c r="H2421" s="134">
        <f t="shared" si="266"/>
        <v>1</v>
      </c>
      <c r="I2421" s="7" t="s">
        <v>155</v>
      </c>
      <c r="J2421" s="7" t="s">
        <v>11</v>
      </c>
      <c r="K2421" s="7"/>
      <c r="L2421" s="7" t="s">
        <v>168</v>
      </c>
      <c r="M2421" s="7" t="s">
        <v>5821</v>
      </c>
      <c r="N2421" s="7" t="s">
        <v>170</v>
      </c>
      <c r="O2421" s="7" t="s">
        <v>161</v>
      </c>
      <c r="P2421" s="7" t="s">
        <v>7363</v>
      </c>
      <c r="Q2421" s="129">
        <v>46199</v>
      </c>
      <c r="R2421" s="130">
        <f t="shared" si="264"/>
        <v>46204</v>
      </c>
      <c r="S2421" s="131">
        <f t="shared" si="263"/>
        <v>5</v>
      </c>
      <c r="T2421" s="7"/>
      <c r="U2421" s="7"/>
      <c r="V2421" s="7"/>
      <c r="W2421" s="7">
        <v>0</v>
      </c>
      <c r="X2421" s="132">
        <f t="shared" si="261"/>
        <v>7</v>
      </c>
      <c r="Y2421" s="133"/>
      <c r="Z2421" s="133"/>
      <c r="AA2421" s="133"/>
    </row>
    <row r="2422" spans="1:27" hidden="1" x14ac:dyDescent="0.25">
      <c r="A2422" s="133"/>
      <c r="B2422" s="128" t="str">
        <f t="shared" si="262"/>
        <v>NAMT</v>
      </c>
      <c r="C2422" s="128" t="str">
        <f>+VLOOKUP(U2422,Ходим!A:B,2,0)</f>
        <v>31205812090050</v>
      </c>
      <c r="D2422" s="128" t="str">
        <f>IFERROR(VLOOKUP($B:$B,[20]свод!$A:$AB,3,0)," ")</f>
        <v>Наманган тумани</v>
      </c>
      <c r="E2422" s="7" t="s">
        <v>3555</v>
      </c>
      <c r="F2422" s="7" t="s">
        <v>9924</v>
      </c>
      <c r="G2422" s="134">
        <f t="shared" si="265"/>
        <v>1</v>
      </c>
      <c r="H2422" s="134" t="str">
        <f t="shared" si="266"/>
        <v/>
      </c>
      <c r="I2422" s="7" t="s">
        <v>156</v>
      </c>
      <c r="J2422" s="7" t="s">
        <v>25</v>
      </c>
      <c r="K2422" s="7"/>
      <c r="L2422" s="7" t="s">
        <v>167</v>
      </c>
      <c r="M2422" s="7" t="s">
        <v>5822</v>
      </c>
      <c r="N2422" s="7" t="s">
        <v>170</v>
      </c>
      <c r="O2422" s="7" t="s">
        <v>162</v>
      </c>
      <c r="P2422" s="7" t="s">
        <v>7363</v>
      </c>
      <c r="Q2422" s="129">
        <v>46199</v>
      </c>
      <c r="R2422" s="130">
        <f t="shared" si="264"/>
        <v>46209</v>
      </c>
      <c r="S2422" s="131">
        <f t="shared" si="263"/>
        <v>10</v>
      </c>
      <c r="T2422" s="7" t="s">
        <v>193</v>
      </c>
      <c r="U2422" s="7" t="s">
        <v>346</v>
      </c>
      <c r="V2422" s="7"/>
      <c r="W2422" s="7">
        <v>307.83</v>
      </c>
      <c r="X2422" s="132">
        <f t="shared" si="261"/>
        <v>10</v>
      </c>
      <c r="Y2422" s="133"/>
      <c r="Z2422" s="133"/>
      <c r="AA2422" s="133"/>
    </row>
    <row r="2423" spans="1:27" x14ac:dyDescent="0.25">
      <c r="A2423" s="133"/>
      <c r="B2423" s="128" t="str">
        <f t="shared" si="262"/>
        <v>UYCT</v>
      </c>
      <c r="C2423" s="128" t="str">
        <f>+VLOOKUP(U2423,Ходим!A:B,2,0)</f>
        <v>31310995930032</v>
      </c>
      <c r="D2423" s="128" t="str">
        <f>IFERROR(VLOOKUP($B:$B,[20]свод!$A:$AB,3,0)," ")</f>
        <v>Уйчи тумани</v>
      </c>
      <c r="E2423" s="7" t="s">
        <v>3556</v>
      </c>
      <c r="F2423" s="7" t="s">
        <v>9925</v>
      </c>
      <c r="G2423" s="134">
        <f t="shared" si="265"/>
        <v>1</v>
      </c>
      <c r="H2423" s="134" t="str">
        <f t="shared" si="266"/>
        <v/>
      </c>
      <c r="I2423" s="7" t="s">
        <v>158</v>
      </c>
      <c r="J2423" s="7" t="s">
        <v>1</v>
      </c>
      <c r="K2423" s="7"/>
      <c r="L2423" s="7" t="s">
        <v>167</v>
      </c>
      <c r="M2423" s="7" t="s">
        <v>5823</v>
      </c>
      <c r="N2423" s="7" t="s">
        <v>170</v>
      </c>
      <c r="O2423" s="7" t="s">
        <v>162</v>
      </c>
      <c r="P2423" s="7" t="s">
        <v>7364</v>
      </c>
      <c r="Q2423" s="129">
        <v>46199</v>
      </c>
      <c r="R2423" s="130">
        <f t="shared" si="264"/>
        <v>46196</v>
      </c>
      <c r="S2423" s="131">
        <f t="shared" si="263"/>
        <v>-3</v>
      </c>
      <c r="T2423" s="7" t="s">
        <v>947</v>
      </c>
      <c r="U2423" s="7" t="s">
        <v>399</v>
      </c>
      <c r="V2423" s="7"/>
      <c r="W2423" s="7">
        <v>202.86</v>
      </c>
      <c r="X2423" s="132">
        <f t="shared" si="261"/>
        <v>10</v>
      </c>
      <c r="Y2423" s="133"/>
      <c r="Z2423" s="133"/>
      <c r="AA2423" s="133"/>
    </row>
    <row r="2424" spans="1:27" x14ac:dyDescent="0.25">
      <c r="A2424" s="133"/>
      <c r="B2424" s="128" t="str">
        <f t="shared" si="262"/>
        <v>UCQT</v>
      </c>
      <c r="C2424" s="128" t="str">
        <f>+VLOOKUP(U2424,Ходим!A:B,2,0)</f>
        <v>31206892150069</v>
      </c>
      <c r="D2424" s="128" t="str">
        <f>IFERROR(VLOOKUP($B:$B,[20]свод!$A:$AB,3,0)," ")</f>
        <v>Учқўрғон тумани</v>
      </c>
      <c r="E2424" s="7" t="s">
        <v>988</v>
      </c>
      <c r="F2424" s="7" t="s">
        <v>1009</v>
      </c>
      <c r="G2424" s="134">
        <f t="shared" si="265"/>
        <v>1</v>
      </c>
      <c r="H2424" s="134" t="str">
        <f t="shared" si="266"/>
        <v/>
      </c>
      <c r="I2424" s="7" t="s">
        <v>158</v>
      </c>
      <c r="J2424" s="7" t="s">
        <v>1137</v>
      </c>
      <c r="K2424" s="7"/>
      <c r="L2424" s="7" t="s">
        <v>167</v>
      </c>
      <c r="M2424" s="7" t="s">
        <v>992</v>
      </c>
      <c r="N2424" s="7" t="s">
        <v>170</v>
      </c>
      <c r="O2424" s="7" t="s">
        <v>162</v>
      </c>
      <c r="P2424" s="7" t="s">
        <v>1012</v>
      </c>
      <c r="Q2424" s="129">
        <v>46199</v>
      </c>
      <c r="R2424" s="130">
        <f t="shared" si="264"/>
        <v>46181</v>
      </c>
      <c r="S2424" s="131">
        <f t="shared" si="263"/>
        <v>-18</v>
      </c>
      <c r="T2424" s="7" t="s">
        <v>175</v>
      </c>
      <c r="U2424" s="7" t="s">
        <v>318</v>
      </c>
      <c r="V2424" s="7" t="s">
        <v>359</v>
      </c>
      <c r="W2424" s="7">
        <v>398.04</v>
      </c>
      <c r="X2424" s="132">
        <f t="shared" si="261"/>
        <v>10</v>
      </c>
      <c r="Y2424" s="133"/>
      <c r="Z2424" s="133"/>
      <c r="AA2424" s="133"/>
    </row>
    <row r="2425" spans="1:27" hidden="1" x14ac:dyDescent="0.25">
      <c r="A2425" s="133"/>
      <c r="B2425" s="128" t="str">
        <f t="shared" si="262"/>
        <v>YGQT</v>
      </c>
      <c r="C2425" s="128" t="str">
        <f>+VLOOKUP(U2425,Ходим!A:B,2,0)</f>
        <v>52410005950025</v>
      </c>
      <c r="D2425" s="128" t="str">
        <f>IFERROR(VLOOKUP($B:$B,[20]свод!$A:$AB,3,0)," ")</f>
        <v>Янгиқўрғон тумани</v>
      </c>
      <c r="E2425" s="7" t="s">
        <v>3557</v>
      </c>
      <c r="F2425" s="7" t="s">
        <v>9926</v>
      </c>
      <c r="G2425" s="134">
        <f t="shared" si="265"/>
        <v>1</v>
      </c>
      <c r="H2425" s="134" t="str">
        <f t="shared" si="266"/>
        <v/>
      </c>
      <c r="I2425" s="7" t="s">
        <v>156</v>
      </c>
      <c r="J2425" s="7" t="s">
        <v>22</v>
      </c>
      <c r="K2425" s="7"/>
      <c r="L2425" s="7" t="s">
        <v>167</v>
      </c>
      <c r="M2425" s="7" t="s">
        <v>5824</v>
      </c>
      <c r="N2425" s="7" t="s">
        <v>170</v>
      </c>
      <c r="O2425" s="7" t="s">
        <v>162</v>
      </c>
      <c r="P2425" s="7" t="s">
        <v>7365</v>
      </c>
      <c r="Q2425" s="129">
        <v>46199</v>
      </c>
      <c r="R2425" s="130">
        <f t="shared" si="264"/>
        <v>46209</v>
      </c>
      <c r="S2425" s="131">
        <f t="shared" si="263"/>
        <v>10</v>
      </c>
      <c r="T2425" s="7" t="s">
        <v>182</v>
      </c>
      <c r="U2425" s="7" t="s">
        <v>256</v>
      </c>
      <c r="V2425" s="7"/>
      <c r="W2425" s="7">
        <v>71.239999999999995</v>
      </c>
      <c r="X2425" s="132">
        <f t="shared" si="261"/>
        <v>10</v>
      </c>
      <c r="Y2425" s="133"/>
      <c r="Z2425" s="133"/>
      <c r="AA2425" s="133"/>
    </row>
    <row r="2426" spans="1:27" hidden="1" x14ac:dyDescent="0.25">
      <c r="A2426" s="133"/>
      <c r="B2426" s="128" t="str">
        <f t="shared" si="262"/>
        <v>UCQT</v>
      </c>
      <c r="C2426" s="128" t="e">
        <f>+VLOOKUP(U2426,Ходим!A:B,2,0)</f>
        <v>#N/A</v>
      </c>
      <c r="D2426" s="128" t="str">
        <f>IFERROR(VLOOKUP($B:$B,[20]свод!$A:$AB,3,0)," ")</f>
        <v>Учқўрғон тумани</v>
      </c>
      <c r="E2426" s="7" t="s">
        <v>3558</v>
      </c>
      <c r="F2426" s="7" t="s">
        <v>9927</v>
      </c>
      <c r="G2426" s="134">
        <f t="shared" si="265"/>
        <v>1</v>
      </c>
      <c r="H2426" s="134" t="str">
        <f t="shared" si="266"/>
        <v/>
      </c>
      <c r="I2426" s="7" t="s">
        <v>156</v>
      </c>
      <c r="J2426" s="7" t="s">
        <v>11</v>
      </c>
      <c r="K2426" s="7"/>
      <c r="L2426" s="7"/>
      <c r="M2426" s="7"/>
      <c r="N2426" s="7" t="s">
        <v>410</v>
      </c>
      <c r="O2426" s="7" t="s">
        <v>162</v>
      </c>
      <c r="P2426" s="7" t="s">
        <v>7264</v>
      </c>
      <c r="Q2426" s="129">
        <v>46199</v>
      </c>
      <c r="R2426" s="130">
        <f t="shared" si="264"/>
        <v>46209</v>
      </c>
      <c r="S2426" s="131">
        <f t="shared" si="263"/>
        <v>10</v>
      </c>
      <c r="T2426" s="7" t="s">
        <v>175</v>
      </c>
      <c r="U2426" s="7"/>
      <c r="V2426" s="7"/>
      <c r="W2426" s="7"/>
      <c r="X2426" s="132">
        <f t="shared" si="261"/>
        <v>10</v>
      </c>
      <c r="Y2426" s="133"/>
      <c r="Z2426" s="133"/>
      <c r="AA2426" s="133"/>
    </row>
    <row r="2427" spans="1:27" hidden="1" x14ac:dyDescent="0.25">
      <c r="A2427" s="133"/>
      <c r="B2427" s="128" t="str">
        <f t="shared" si="262"/>
        <v>NAMS</v>
      </c>
      <c r="C2427" s="128" t="str">
        <f>+VLOOKUP(U2427,Ходим!A:B,2,0)</f>
        <v>32503832170037</v>
      </c>
      <c r="D2427" s="128" t="str">
        <f>IFERROR(VLOOKUP($B:$B,[20]свод!$A:$AB,3,0)," ")</f>
        <v>Наманган шаҳар</v>
      </c>
      <c r="E2427" s="7" t="s">
        <v>3559</v>
      </c>
      <c r="F2427" s="7" t="s">
        <v>9928</v>
      </c>
      <c r="G2427" s="134">
        <f t="shared" si="265"/>
        <v>1</v>
      </c>
      <c r="H2427" s="134" t="str">
        <f t="shared" si="266"/>
        <v/>
      </c>
      <c r="I2427" s="7" t="s">
        <v>158</v>
      </c>
      <c r="J2427" s="7" t="s">
        <v>2</v>
      </c>
      <c r="K2427" s="7"/>
      <c r="L2427" s="7" t="s">
        <v>167</v>
      </c>
      <c r="M2427" s="7" t="s">
        <v>5825</v>
      </c>
      <c r="N2427" s="7" t="s">
        <v>170</v>
      </c>
      <c r="O2427" s="7" t="s">
        <v>162</v>
      </c>
      <c r="P2427" s="7" t="s">
        <v>7264</v>
      </c>
      <c r="Q2427" s="129">
        <v>46199</v>
      </c>
      <c r="R2427" s="130">
        <f t="shared" si="264"/>
        <v>46209</v>
      </c>
      <c r="S2427" s="131">
        <f t="shared" si="263"/>
        <v>10</v>
      </c>
      <c r="T2427" s="7" t="s">
        <v>173</v>
      </c>
      <c r="U2427" s="7" t="s">
        <v>401</v>
      </c>
      <c r="V2427" s="7"/>
      <c r="W2427" s="7">
        <v>261.83</v>
      </c>
      <c r="X2427" s="132">
        <f t="shared" si="261"/>
        <v>10</v>
      </c>
      <c r="Y2427" s="133"/>
      <c r="Z2427" s="133"/>
      <c r="AA2427" s="133"/>
    </row>
    <row r="2428" spans="1:27" hidden="1" x14ac:dyDescent="0.25">
      <c r="A2428" s="133"/>
      <c r="B2428" s="128" t="str">
        <f t="shared" si="262"/>
        <v>KSST</v>
      </c>
      <c r="C2428" s="128" t="str">
        <f>+VLOOKUP(U2428,Ходим!A:B,2,0)</f>
        <v>31204985980041</v>
      </c>
      <c r="D2428" s="128" t="str">
        <f>IFERROR(VLOOKUP($B:$B,[20]свод!$A:$AB,3,0)," ")</f>
        <v>Косонсой тумани</v>
      </c>
      <c r="E2428" s="7" t="s">
        <v>3560</v>
      </c>
      <c r="F2428" s="7" t="s">
        <v>9929</v>
      </c>
      <c r="G2428" s="134">
        <f t="shared" si="265"/>
        <v>1</v>
      </c>
      <c r="H2428" s="134" t="str">
        <f t="shared" si="266"/>
        <v/>
      </c>
      <c r="I2428" s="7" t="s">
        <v>158</v>
      </c>
      <c r="J2428" s="7" t="s">
        <v>2</v>
      </c>
      <c r="K2428" s="7"/>
      <c r="L2428" s="7" t="s">
        <v>167</v>
      </c>
      <c r="M2428" s="7" t="s">
        <v>5826</v>
      </c>
      <c r="N2428" s="7" t="s">
        <v>170</v>
      </c>
      <c r="O2428" s="7" t="s">
        <v>162</v>
      </c>
      <c r="P2428" s="7" t="s">
        <v>7264</v>
      </c>
      <c r="Q2428" s="129">
        <v>46199</v>
      </c>
      <c r="R2428" s="130">
        <f t="shared" si="264"/>
        <v>46209</v>
      </c>
      <c r="S2428" s="131">
        <f t="shared" si="263"/>
        <v>10</v>
      </c>
      <c r="T2428" s="7" t="s">
        <v>180</v>
      </c>
      <c r="U2428" s="7" t="s">
        <v>236</v>
      </c>
      <c r="V2428" s="7"/>
      <c r="W2428" s="7">
        <v>53.2</v>
      </c>
      <c r="X2428" s="132">
        <f t="shared" si="261"/>
        <v>10</v>
      </c>
      <c r="Y2428" s="133"/>
      <c r="Z2428" s="133"/>
      <c r="AA2428" s="133"/>
    </row>
    <row r="2429" spans="1:27" hidden="1" x14ac:dyDescent="0.25">
      <c r="A2429" s="133"/>
      <c r="B2429" s="128" t="str">
        <f t="shared" si="262"/>
        <v>NAMS</v>
      </c>
      <c r="C2429" s="128" t="str">
        <f>+VLOOKUP(U2429,Ходим!A:B,2,0)</f>
        <v>52601025870013</v>
      </c>
      <c r="D2429" s="128" t="str">
        <f>IFERROR(VLOOKUP($B:$B,[20]свод!$A:$AB,3,0)," ")</f>
        <v>Наманган шаҳар</v>
      </c>
      <c r="E2429" s="7" t="s">
        <v>3561</v>
      </c>
      <c r="F2429" s="7" t="s">
        <v>9930</v>
      </c>
      <c r="G2429" s="134">
        <f t="shared" si="265"/>
        <v>1</v>
      </c>
      <c r="H2429" s="134" t="str">
        <f t="shared" si="266"/>
        <v/>
      </c>
      <c r="I2429" s="7" t="s">
        <v>156</v>
      </c>
      <c r="J2429" s="7" t="s">
        <v>25</v>
      </c>
      <c r="K2429" s="7"/>
      <c r="L2429" s="7"/>
      <c r="M2429" s="7"/>
      <c r="N2429" s="7" t="s">
        <v>170</v>
      </c>
      <c r="O2429" s="7" t="s">
        <v>162</v>
      </c>
      <c r="P2429" s="7" t="s">
        <v>7264</v>
      </c>
      <c r="Q2429" s="129">
        <v>46199</v>
      </c>
      <c r="R2429" s="130">
        <f t="shared" si="264"/>
        <v>46209</v>
      </c>
      <c r="S2429" s="131">
        <f t="shared" si="263"/>
        <v>10</v>
      </c>
      <c r="T2429" s="7" t="s">
        <v>173</v>
      </c>
      <c r="U2429" s="7" t="s">
        <v>405</v>
      </c>
      <c r="V2429" s="7"/>
      <c r="W2429" s="7"/>
      <c r="X2429" s="132">
        <f t="shared" ref="X2429:X2490" si="267">IF(N2429="Kadastr muhandisi",3,
IF(N2429="UZKAD",5,
IF(V2429="FREE",5,
IF(I2429="Registratsiya (tashqi - UZKAD da bor)",1,
IF(I2429="Avtoyo'l va suv xo'jaligi obyektining kadastr pasportini shakllantirish va ro'yxatga olish",7,
IF(I2429="Notarius uchun ma'lumotnoma (uz)",1,
IF(I2429="Qurilishi tugallangan ko'chmas mulkni foydalanishga qabul qilish",10,
IF(OR(I2429="Turar joy obyektning kadastr pasportini shakllantirish va davlat ro'yxatidan o'tkazish",I2429="Turar kompozit"),
IF(L2429="Turar yer maydoni",7,10),
IF(OR(I2429="Noturar obyektning kadastr pasportini shakllantirish va davlat ro'yxatidan o'tkazish",I2429="Noturar kompozit"),
IF(O2429="Ko‘p yillik daraxtlar xizmati",15,
IF(OR(L2429="Noturar yer maydoni",L2429="Davlat tashkilotlaridan ijaraga olingan yer uchastkasi"),7,
IF(W2429&lt;100,10,IF(W2429&lt;=1000,12,IF(W2429&lt;=5000,17,IF(W2429&lt;=15000,22,IF(W2429&lt;=50000,28,37))))))),
IF(I2429="Umumiy foydalanishdagi ko'chmas mulk qismini yaratish",
IF(IF(TRIM(L2429)="",IF(OR(O2429="Turar joy xizmati",O2429="Yakka tartibdagi turar joy"),"Turar","Noturar"),IF(OR(L2429="Yakka tartibdagi turar joy",L2429="Turar joy xizmati"),"Turar","Noturar"))="Turar",
10,IF(W2429&lt;100,10,IF(W2429&lt;=1000,12,IF(W2429&lt;=5000,17,IF(W2429&lt;=15000,22,IF(W2429&lt;=50000,28,37)))))),
0))))))))))</f>
        <v>10</v>
      </c>
      <c r="Y2429" s="133"/>
      <c r="Z2429" s="133"/>
      <c r="AA2429" s="133"/>
    </row>
    <row r="2430" spans="1:27" hidden="1" x14ac:dyDescent="0.25">
      <c r="A2430" s="133"/>
      <c r="B2430" s="128" t="str">
        <f t="shared" ref="B2430:B2491" si="268">LEFT(E2430,4)</f>
        <v>MINT</v>
      </c>
      <c r="C2430" s="128" t="e">
        <f>+VLOOKUP(U2430,Ходим!A:B,2,0)</f>
        <v>#N/A</v>
      </c>
      <c r="D2430" s="128" t="str">
        <f>IFERROR(VLOOKUP($B:$B,[20]свод!$A:$AB,3,0)," ")</f>
        <v>Мингбулоқ тумани</v>
      </c>
      <c r="E2430" s="7" t="s">
        <v>3562</v>
      </c>
      <c r="F2430" s="7" t="s">
        <v>9931</v>
      </c>
      <c r="G2430" s="134" t="str">
        <f t="shared" si="265"/>
        <v/>
      </c>
      <c r="H2430" s="134">
        <f t="shared" si="266"/>
        <v>1</v>
      </c>
      <c r="I2430" s="7" t="s">
        <v>155</v>
      </c>
      <c r="J2430" s="7" t="s">
        <v>11</v>
      </c>
      <c r="K2430" s="7"/>
      <c r="L2430" s="7" t="s">
        <v>168</v>
      </c>
      <c r="M2430" s="7" t="s">
        <v>5827</v>
      </c>
      <c r="N2430" s="7" t="s">
        <v>170</v>
      </c>
      <c r="O2430" s="7" t="s">
        <v>161</v>
      </c>
      <c r="P2430" s="7" t="s">
        <v>7264</v>
      </c>
      <c r="Q2430" s="129">
        <v>46199</v>
      </c>
      <c r="R2430" s="130">
        <f t="shared" si="264"/>
        <v>46204</v>
      </c>
      <c r="S2430" s="131">
        <f t="shared" ref="S2430:S2491" si="269">R2430-Q2430</f>
        <v>5</v>
      </c>
      <c r="T2430" s="7"/>
      <c r="U2430" s="7"/>
      <c r="V2430" s="7"/>
      <c r="W2430" s="7">
        <v>0</v>
      </c>
      <c r="X2430" s="132">
        <f t="shared" si="267"/>
        <v>7</v>
      </c>
      <c r="Y2430" s="133"/>
      <c r="Z2430" s="133"/>
      <c r="AA2430" s="133"/>
    </row>
    <row r="2431" spans="1:27" hidden="1" x14ac:dyDescent="0.25">
      <c r="A2431" s="133"/>
      <c r="B2431" s="128" t="str">
        <f t="shared" si="268"/>
        <v>NAMS</v>
      </c>
      <c r="C2431" s="128" t="str">
        <f>+VLOOKUP(U2431,Ходим!A:B,2,0)</f>
        <v>51705025890024</v>
      </c>
      <c r="D2431" s="128" t="str">
        <f>IFERROR(VLOOKUP($B:$B,[20]свод!$A:$AB,3,0)," ")</f>
        <v>Наманган шаҳар</v>
      </c>
      <c r="E2431" s="7" t="s">
        <v>3563</v>
      </c>
      <c r="F2431" s="7" t="s">
        <v>9932</v>
      </c>
      <c r="G2431" s="134">
        <f t="shared" si="265"/>
        <v>1</v>
      </c>
      <c r="H2431" s="134" t="str">
        <f t="shared" si="266"/>
        <v/>
      </c>
      <c r="I2431" s="7" t="s">
        <v>158</v>
      </c>
      <c r="J2431" s="7" t="s">
        <v>2</v>
      </c>
      <c r="K2431" s="7"/>
      <c r="L2431" s="7"/>
      <c r="M2431" s="7"/>
      <c r="N2431" s="7" t="s">
        <v>170</v>
      </c>
      <c r="O2431" s="7" t="s">
        <v>162</v>
      </c>
      <c r="P2431" s="7" t="s">
        <v>6425</v>
      </c>
      <c r="Q2431" s="129">
        <v>46199</v>
      </c>
      <c r="R2431" s="130">
        <f t="shared" si="264"/>
        <v>46204</v>
      </c>
      <c r="S2431" s="131">
        <f t="shared" si="269"/>
        <v>5</v>
      </c>
      <c r="T2431" s="7" t="s">
        <v>173</v>
      </c>
      <c r="U2431" s="7" t="s">
        <v>189</v>
      </c>
      <c r="V2431" s="7"/>
      <c r="W2431" s="7"/>
      <c r="X2431" s="132">
        <f t="shared" si="267"/>
        <v>10</v>
      </c>
      <c r="Y2431" s="133"/>
      <c r="Z2431" s="133"/>
      <c r="AA2431" s="133"/>
    </row>
    <row r="2432" spans="1:27" hidden="1" x14ac:dyDescent="0.25">
      <c r="A2432" s="133"/>
      <c r="B2432" s="128" t="str">
        <f t="shared" si="268"/>
        <v>NAMT</v>
      </c>
      <c r="C2432" s="128" t="str">
        <f>+VLOOKUP(U2432,Ходим!A:B,2,0)</f>
        <v>32204892090133</v>
      </c>
      <c r="D2432" s="128" t="str">
        <f>IFERROR(VLOOKUP($B:$B,[20]свод!$A:$AB,3,0)," ")</f>
        <v>Наманган тумани</v>
      </c>
      <c r="E2432" s="7" t="s">
        <v>3564</v>
      </c>
      <c r="F2432" s="7" t="s">
        <v>9933</v>
      </c>
      <c r="G2432" s="134">
        <f t="shared" si="265"/>
        <v>1</v>
      </c>
      <c r="H2432" s="134" t="str">
        <f t="shared" si="266"/>
        <v/>
      </c>
      <c r="I2432" s="7" t="s">
        <v>158</v>
      </c>
      <c r="J2432" s="7" t="s">
        <v>134</v>
      </c>
      <c r="K2432" s="7"/>
      <c r="L2432" s="7" t="s">
        <v>167</v>
      </c>
      <c r="M2432" s="7" t="s">
        <v>5828</v>
      </c>
      <c r="N2432" s="7" t="s">
        <v>170</v>
      </c>
      <c r="O2432" s="7" t="s">
        <v>162</v>
      </c>
      <c r="P2432" s="7" t="s">
        <v>7366</v>
      </c>
      <c r="Q2432" s="129">
        <v>46199</v>
      </c>
      <c r="R2432" s="130">
        <f t="shared" si="264"/>
        <v>46203</v>
      </c>
      <c r="S2432" s="131">
        <f t="shared" si="269"/>
        <v>4</v>
      </c>
      <c r="T2432" s="7" t="s">
        <v>197</v>
      </c>
      <c r="U2432" s="7" t="s">
        <v>198</v>
      </c>
      <c r="V2432" s="7"/>
      <c r="W2432" s="7">
        <v>21.19</v>
      </c>
      <c r="X2432" s="132">
        <f t="shared" si="267"/>
        <v>10</v>
      </c>
      <c r="Y2432" s="133"/>
      <c r="Z2432" s="133"/>
      <c r="AA2432" s="133"/>
    </row>
    <row r="2433" spans="1:27" x14ac:dyDescent="0.25">
      <c r="A2433" s="133"/>
      <c r="B2433" s="128" t="str">
        <f t="shared" si="268"/>
        <v>UYCT</v>
      </c>
      <c r="C2433" s="128" t="str">
        <f>+VLOOKUP(U2433,Ходим!A:B,2,0)</f>
        <v>30309975930028</v>
      </c>
      <c r="D2433" s="128" t="str">
        <f>IFERROR(VLOOKUP($B:$B,[20]свод!$A:$AB,3,0)," ")</f>
        <v>Уйчи тумани</v>
      </c>
      <c r="E2433" s="7" t="s">
        <v>3565</v>
      </c>
      <c r="F2433" s="7" t="s">
        <v>9934</v>
      </c>
      <c r="G2433" s="134" t="str">
        <f t="shared" si="265"/>
        <v/>
      </c>
      <c r="H2433" s="134">
        <f t="shared" si="266"/>
        <v>1</v>
      </c>
      <c r="I2433" s="7" t="s">
        <v>157</v>
      </c>
      <c r="J2433" s="7" t="s">
        <v>134</v>
      </c>
      <c r="K2433" s="7"/>
      <c r="L2433" s="7"/>
      <c r="M2433" s="7"/>
      <c r="N2433" s="7" t="s">
        <v>410</v>
      </c>
      <c r="O2433" s="7" t="s">
        <v>161</v>
      </c>
      <c r="P2433" s="7" t="s">
        <v>7367</v>
      </c>
      <c r="Q2433" s="129">
        <v>46199</v>
      </c>
      <c r="R2433" s="130">
        <f t="shared" si="264"/>
        <v>46197</v>
      </c>
      <c r="S2433" s="131">
        <f t="shared" si="269"/>
        <v>-2</v>
      </c>
      <c r="T2433" s="7" t="s">
        <v>379</v>
      </c>
      <c r="U2433" s="7" t="s">
        <v>261</v>
      </c>
      <c r="V2433" s="7"/>
      <c r="W2433" s="7"/>
      <c r="X2433" s="132">
        <f t="shared" si="267"/>
        <v>10</v>
      </c>
      <c r="Y2433" s="133"/>
      <c r="Z2433" s="133"/>
      <c r="AA2433" s="133"/>
    </row>
    <row r="2434" spans="1:27" hidden="1" x14ac:dyDescent="0.25">
      <c r="A2434" s="133"/>
      <c r="B2434" s="128" t="str">
        <f t="shared" si="268"/>
        <v>CHUT</v>
      </c>
      <c r="C2434" s="128" t="str">
        <f>+VLOOKUP(U2434,Ходим!A:B,2,0)</f>
        <v>32304995970021</v>
      </c>
      <c r="D2434" s="128" t="str">
        <f>IFERROR(VLOOKUP($B:$B,[20]свод!$A:$AB,3,0)," ")</f>
        <v>Чуст тумани</v>
      </c>
      <c r="E2434" s="7" t="s">
        <v>3566</v>
      </c>
      <c r="F2434" s="7" t="s">
        <v>9935</v>
      </c>
      <c r="G2434" s="134">
        <f t="shared" si="265"/>
        <v>1</v>
      </c>
      <c r="H2434" s="134" t="str">
        <f t="shared" si="266"/>
        <v/>
      </c>
      <c r="I2434" s="7" t="s">
        <v>158</v>
      </c>
      <c r="J2434" s="7" t="s">
        <v>1</v>
      </c>
      <c r="K2434" s="7"/>
      <c r="L2434" s="7" t="s">
        <v>167</v>
      </c>
      <c r="M2434" s="7" t="s">
        <v>5829</v>
      </c>
      <c r="N2434" s="7" t="s">
        <v>170</v>
      </c>
      <c r="O2434" s="7" t="s">
        <v>162</v>
      </c>
      <c r="P2434" s="7" t="s">
        <v>6786</v>
      </c>
      <c r="Q2434" s="129">
        <v>46199</v>
      </c>
      <c r="R2434" s="130">
        <f t="shared" si="264"/>
        <v>46206</v>
      </c>
      <c r="S2434" s="131">
        <f t="shared" si="269"/>
        <v>7</v>
      </c>
      <c r="T2434" s="7" t="s">
        <v>178</v>
      </c>
      <c r="U2434" s="7" t="s">
        <v>938</v>
      </c>
      <c r="V2434" s="7"/>
      <c r="W2434" s="7">
        <v>406.45</v>
      </c>
      <c r="X2434" s="132">
        <f t="shared" si="267"/>
        <v>10</v>
      </c>
      <c r="Y2434" s="133"/>
      <c r="Z2434" s="133"/>
      <c r="AA2434" s="133"/>
    </row>
    <row r="2435" spans="1:27" x14ac:dyDescent="0.25">
      <c r="A2435" s="133"/>
      <c r="B2435" s="128" t="str">
        <f t="shared" si="268"/>
        <v>POPT</v>
      </c>
      <c r="C2435" s="128" t="str">
        <f>+VLOOKUP(U2435,Ходим!A:B,2,0)</f>
        <v>31503892210028</v>
      </c>
      <c r="D2435" s="128" t="str">
        <f>IFERROR(VLOOKUP($B:$B,[20]свод!$A:$AB,3,0)," ")</f>
        <v>Поп тумани</v>
      </c>
      <c r="E2435" s="7" t="s">
        <v>3567</v>
      </c>
      <c r="F2435" s="7" t="s">
        <v>9936</v>
      </c>
      <c r="G2435" s="134">
        <f t="shared" si="265"/>
        <v>1</v>
      </c>
      <c r="H2435" s="134" t="str">
        <f t="shared" si="266"/>
        <v/>
      </c>
      <c r="I2435" s="7" t="s">
        <v>158</v>
      </c>
      <c r="J2435" s="7" t="s">
        <v>2</v>
      </c>
      <c r="K2435" s="7"/>
      <c r="L2435" s="7" t="s">
        <v>167</v>
      </c>
      <c r="M2435" s="7" t="s">
        <v>385</v>
      </c>
      <c r="N2435" s="7" t="s">
        <v>170</v>
      </c>
      <c r="O2435" s="7" t="s">
        <v>162</v>
      </c>
      <c r="P2435" s="7" t="s">
        <v>6679</v>
      </c>
      <c r="Q2435" s="129">
        <v>46199</v>
      </c>
      <c r="R2435" s="130">
        <f t="shared" si="264"/>
        <v>46199</v>
      </c>
      <c r="S2435" s="131">
        <f t="shared" si="269"/>
        <v>0</v>
      </c>
      <c r="T2435" s="7" t="s">
        <v>214</v>
      </c>
      <c r="U2435" s="7" t="s">
        <v>285</v>
      </c>
      <c r="V2435" s="7"/>
      <c r="W2435" s="7">
        <v>0</v>
      </c>
      <c r="X2435" s="132">
        <f t="shared" si="267"/>
        <v>10</v>
      </c>
      <c r="Y2435" s="133"/>
      <c r="Z2435" s="133"/>
      <c r="AA2435" s="133"/>
    </row>
    <row r="2436" spans="1:27" hidden="1" x14ac:dyDescent="0.25">
      <c r="A2436" s="133"/>
      <c r="B2436" s="128" t="str">
        <f t="shared" si="268"/>
        <v>NORT</v>
      </c>
      <c r="C2436" s="128" t="str">
        <f>+VLOOKUP(U2436,Ходим!A:B,2,0)</f>
        <v>51810035900046</v>
      </c>
      <c r="D2436" s="128" t="str">
        <f>IFERROR(VLOOKUP($B:$B,[20]свод!$A:$AB,3,0)," ")</f>
        <v>Норин тумани</v>
      </c>
      <c r="E2436" s="7" t="s">
        <v>3568</v>
      </c>
      <c r="F2436" s="7" t="s">
        <v>9937</v>
      </c>
      <c r="G2436" s="134">
        <f t="shared" si="265"/>
        <v>1</v>
      </c>
      <c r="H2436" s="134" t="str">
        <f t="shared" si="266"/>
        <v/>
      </c>
      <c r="I2436" s="7" t="s">
        <v>158</v>
      </c>
      <c r="J2436" s="7" t="s">
        <v>1</v>
      </c>
      <c r="K2436" s="7"/>
      <c r="L2436" s="7" t="s">
        <v>167</v>
      </c>
      <c r="M2436" s="7" t="s">
        <v>1045</v>
      </c>
      <c r="N2436" s="7" t="s">
        <v>170</v>
      </c>
      <c r="O2436" s="7" t="s">
        <v>162</v>
      </c>
      <c r="P2436" s="7" t="s">
        <v>7278</v>
      </c>
      <c r="Q2436" s="129">
        <v>46199</v>
      </c>
      <c r="R2436" s="130">
        <f t="shared" si="264"/>
        <v>46204</v>
      </c>
      <c r="S2436" s="131">
        <f t="shared" si="269"/>
        <v>5</v>
      </c>
      <c r="T2436" s="7" t="s">
        <v>210</v>
      </c>
      <c r="U2436" s="7" t="s">
        <v>400</v>
      </c>
      <c r="V2436" s="7"/>
      <c r="W2436" s="7">
        <v>200.59</v>
      </c>
      <c r="X2436" s="132">
        <f t="shared" si="267"/>
        <v>10</v>
      </c>
      <c r="Y2436" s="133"/>
      <c r="Z2436" s="133"/>
      <c r="AA2436" s="133"/>
    </row>
    <row r="2437" spans="1:27" hidden="1" x14ac:dyDescent="0.25">
      <c r="A2437" s="133"/>
      <c r="B2437" s="128" t="str">
        <f t="shared" si="268"/>
        <v>YGQT</v>
      </c>
      <c r="C2437" s="128" t="str">
        <f>+VLOOKUP(U2437,Ходим!A:B,2,0)</f>
        <v>32105902160025</v>
      </c>
      <c r="D2437" s="128" t="str">
        <f>IFERROR(VLOOKUP($B:$B,[20]свод!$A:$AB,3,0)," ")</f>
        <v>Янгиқўрғон тумани</v>
      </c>
      <c r="E2437" s="7" t="s">
        <v>3569</v>
      </c>
      <c r="F2437" s="7" t="s">
        <v>9938</v>
      </c>
      <c r="G2437" s="134">
        <f t="shared" si="265"/>
        <v>1</v>
      </c>
      <c r="H2437" s="134" t="str">
        <f t="shared" si="266"/>
        <v/>
      </c>
      <c r="I2437" s="7" t="s">
        <v>158</v>
      </c>
      <c r="J2437" s="7" t="s">
        <v>2</v>
      </c>
      <c r="K2437" s="7"/>
      <c r="L2437" s="7" t="s">
        <v>167</v>
      </c>
      <c r="M2437" s="7" t="s">
        <v>5830</v>
      </c>
      <c r="N2437" s="7" t="s">
        <v>170</v>
      </c>
      <c r="O2437" s="7" t="s">
        <v>162</v>
      </c>
      <c r="P2437" s="7" t="s">
        <v>7368</v>
      </c>
      <c r="Q2437" s="129">
        <v>46199</v>
      </c>
      <c r="R2437" s="130">
        <f t="shared" si="264"/>
        <v>46209</v>
      </c>
      <c r="S2437" s="131">
        <f t="shared" si="269"/>
        <v>10</v>
      </c>
      <c r="T2437" s="7" t="s">
        <v>255</v>
      </c>
      <c r="U2437" s="7" t="s">
        <v>308</v>
      </c>
      <c r="V2437" s="7"/>
      <c r="W2437" s="7">
        <v>379</v>
      </c>
      <c r="X2437" s="132">
        <f t="shared" si="267"/>
        <v>10</v>
      </c>
      <c r="Y2437" s="133"/>
      <c r="Z2437" s="133"/>
      <c r="AA2437" s="133"/>
    </row>
    <row r="2438" spans="1:27" hidden="1" x14ac:dyDescent="0.25">
      <c r="A2438" s="133"/>
      <c r="B2438" s="128" t="str">
        <f t="shared" si="268"/>
        <v>MINT</v>
      </c>
      <c r="C2438" s="128" t="e">
        <f>+VLOOKUP(U2438,Ходим!A:B,2,0)</f>
        <v>#N/A</v>
      </c>
      <c r="D2438" s="128" t="str">
        <f>IFERROR(VLOOKUP($B:$B,[20]свод!$A:$AB,3,0)," ")</f>
        <v>Мингбулоқ тумани</v>
      </c>
      <c r="E2438" s="7" t="s">
        <v>3570</v>
      </c>
      <c r="F2438" s="7" t="s">
        <v>9939</v>
      </c>
      <c r="G2438" s="134" t="str">
        <f t="shared" si="265"/>
        <v/>
      </c>
      <c r="H2438" s="134">
        <f t="shared" si="266"/>
        <v>1</v>
      </c>
      <c r="I2438" s="7" t="s">
        <v>155</v>
      </c>
      <c r="J2438" s="7" t="s">
        <v>11</v>
      </c>
      <c r="K2438" s="7"/>
      <c r="L2438" s="7" t="s">
        <v>168</v>
      </c>
      <c r="M2438" s="7" t="s">
        <v>5831</v>
      </c>
      <c r="N2438" s="7" t="s">
        <v>170</v>
      </c>
      <c r="O2438" s="7" t="s">
        <v>161</v>
      </c>
      <c r="P2438" s="7" t="s">
        <v>7369</v>
      </c>
      <c r="Q2438" s="129">
        <v>46199</v>
      </c>
      <c r="R2438" s="130">
        <f t="shared" si="264"/>
        <v>46204</v>
      </c>
      <c r="S2438" s="131">
        <f t="shared" si="269"/>
        <v>5</v>
      </c>
      <c r="T2438" s="7"/>
      <c r="U2438" s="7"/>
      <c r="V2438" s="7"/>
      <c r="W2438" s="7">
        <v>0</v>
      </c>
      <c r="X2438" s="132">
        <f t="shared" si="267"/>
        <v>7</v>
      </c>
      <c r="Y2438" s="133"/>
      <c r="Z2438" s="133"/>
      <c r="AA2438" s="133"/>
    </row>
    <row r="2439" spans="1:27" hidden="1" x14ac:dyDescent="0.25">
      <c r="A2439" s="133"/>
      <c r="B2439" s="128" t="str">
        <f t="shared" si="268"/>
        <v>KSST</v>
      </c>
      <c r="C2439" s="128" t="str">
        <f>+VLOOKUP(U2439,Ходим!A:B,2,0)</f>
        <v>30507932190090</v>
      </c>
      <c r="D2439" s="128" t="str">
        <f>IFERROR(VLOOKUP($B:$B,[20]свод!$A:$AB,3,0)," ")</f>
        <v>Косонсой тумани</v>
      </c>
      <c r="E2439" s="7" t="s">
        <v>3571</v>
      </c>
      <c r="F2439" s="7" t="s">
        <v>9940</v>
      </c>
      <c r="G2439" s="134">
        <f t="shared" si="265"/>
        <v>1</v>
      </c>
      <c r="H2439" s="134" t="str">
        <f t="shared" si="266"/>
        <v/>
      </c>
      <c r="I2439" s="7" t="s">
        <v>158</v>
      </c>
      <c r="J2439" s="7" t="s">
        <v>2</v>
      </c>
      <c r="K2439" s="7"/>
      <c r="L2439" s="7" t="s">
        <v>167</v>
      </c>
      <c r="M2439" s="7" t="s">
        <v>5832</v>
      </c>
      <c r="N2439" s="7" t="s">
        <v>170</v>
      </c>
      <c r="O2439" s="7" t="s">
        <v>162</v>
      </c>
      <c r="P2439" s="7" t="s">
        <v>7369</v>
      </c>
      <c r="Q2439" s="129">
        <v>46199</v>
      </c>
      <c r="R2439" s="130">
        <f t="shared" si="264"/>
        <v>46209</v>
      </c>
      <c r="S2439" s="131">
        <f t="shared" si="269"/>
        <v>10</v>
      </c>
      <c r="T2439" s="7" t="s">
        <v>180</v>
      </c>
      <c r="U2439" s="7" t="s">
        <v>232</v>
      </c>
      <c r="V2439" s="7"/>
      <c r="W2439" s="7">
        <v>169.3</v>
      </c>
      <c r="X2439" s="132">
        <f t="shared" si="267"/>
        <v>10</v>
      </c>
      <c r="Y2439" s="133"/>
      <c r="Z2439" s="133"/>
      <c r="AA2439" s="133"/>
    </row>
    <row r="2440" spans="1:27" hidden="1" x14ac:dyDescent="0.25">
      <c r="A2440" s="133"/>
      <c r="B2440" s="128" t="str">
        <f t="shared" si="268"/>
        <v>TORT</v>
      </c>
      <c r="C2440" s="128" t="str">
        <f>+VLOOKUP(U2440,Ходим!A:B,2,0)</f>
        <v>30708792130017</v>
      </c>
      <c r="D2440" s="128" t="str">
        <f>IFERROR(VLOOKUP($B:$B,[20]свод!$A:$AB,3,0)," ")</f>
        <v>Тўрақўрғон тумани</v>
      </c>
      <c r="E2440" s="7" t="s">
        <v>3572</v>
      </c>
      <c r="F2440" s="7" t="s">
        <v>9941</v>
      </c>
      <c r="G2440" s="134">
        <f t="shared" si="265"/>
        <v>1</v>
      </c>
      <c r="H2440" s="134" t="str">
        <f t="shared" si="266"/>
        <v/>
      </c>
      <c r="I2440" s="7" t="s">
        <v>158</v>
      </c>
      <c r="J2440" s="7" t="s">
        <v>2</v>
      </c>
      <c r="K2440" s="7"/>
      <c r="L2440" s="7" t="s">
        <v>167</v>
      </c>
      <c r="M2440" s="7" t="s">
        <v>5833</v>
      </c>
      <c r="N2440" s="7" t="s">
        <v>170</v>
      </c>
      <c r="O2440" s="7" t="s">
        <v>162</v>
      </c>
      <c r="P2440" s="7" t="s">
        <v>7369</v>
      </c>
      <c r="Q2440" s="129">
        <v>46199</v>
      </c>
      <c r="R2440" s="130">
        <f t="shared" si="264"/>
        <v>46209</v>
      </c>
      <c r="S2440" s="131">
        <f t="shared" si="269"/>
        <v>10</v>
      </c>
      <c r="T2440" s="7" t="s">
        <v>203</v>
      </c>
      <c r="U2440" s="7" t="s">
        <v>204</v>
      </c>
      <c r="V2440" s="7"/>
      <c r="W2440" s="7">
        <v>21.12</v>
      </c>
      <c r="X2440" s="132">
        <f t="shared" si="267"/>
        <v>10</v>
      </c>
      <c r="Y2440" s="133"/>
      <c r="Z2440" s="133"/>
      <c r="AA2440" s="133"/>
    </row>
    <row r="2441" spans="1:27" hidden="1" x14ac:dyDescent="0.25">
      <c r="A2441" s="133"/>
      <c r="B2441" s="128" t="str">
        <f t="shared" si="268"/>
        <v>KSST</v>
      </c>
      <c r="C2441" s="128" t="e">
        <f>+VLOOKUP(U2441,Ходим!A:B,2,0)</f>
        <v>#N/A</v>
      </c>
      <c r="D2441" s="128" t="str">
        <f>IFERROR(VLOOKUP($B:$B,[20]свод!$A:$AB,3,0)," ")</f>
        <v>Косонсой тумани</v>
      </c>
      <c r="E2441" s="7" t="s">
        <v>3573</v>
      </c>
      <c r="F2441" s="7" t="s">
        <v>9942</v>
      </c>
      <c r="G2441" s="134">
        <f t="shared" si="265"/>
        <v>1</v>
      </c>
      <c r="H2441" s="134" t="str">
        <f t="shared" si="266"/>
        <v/>
      </c>
      <c r="I2441" s="7" t="s">
        <v>158</v>
      </c>
      <c r="J2441" s="7" t="s">
        <v>12</v>
      </c>
      <c r="K2441" s="7"/>
      <c r="L2441" s="7" t="s">
        <v>167</v>
      </c>
      <c r="M2441" s="7" t="s">
        <v>5834</v>
      </c>
      <c r="N2441" s="7" t="s">
        <v>170</v>
      </c>
      <c r="O2441" s="7" t="s">
        <v>162</v>
      </c>
      <c r="P2441" s="7" t="s">
        <v>6400</v>
      </c>
      <c r="Q2441" s="129">
        <v>46199</v>
      </c>
      <c r="R2441" s="130">
        <f t="shared" si="264"/>
        <v>46211</v>
      </c>
      <c r="S2441" s="131">
        <f t="shared" si="269"/>
        <v>12</v>
      </c>
      <c r="T2441" s="7" t="s">
        <v>180</v>
      </c>
      <c r="U2441" s="7" t="s">
        <v>10636</v>
      </c>
      <c r="V2441" s="7"/>
      <c r="W2441" s="7">
        <v>253.89</v>
      </c>
      <c r="X2441" s="132">
        <f t="shared" si="267"/>
        <v>10</v>
      </c>
      <c r="Y2441" s="133"/>
      <c r="Z2441" s="133"/>
      <c r="AA2441" s="133"/>
    </row>
    <row r="2442" spans="1:27" hidden="1" x14ac:dyDescent="0.25">
      <c r="A2442" s="133"/>
      <c r="B2442" s="128" t="str">
        <f t="shared" si="268"/>
        <v>CHUT</v>
      </c>
      <c r="C2442" s="128" t="e">
        <f>+VLOOKUP(U2442,Ходим!A:B,2,0)</f>
        <v>#N/A</v>
      </c>
      <c r="D2442" s="128" t="str">
        <f>IFERROR(VLOOKUP($B:$B,[20]свод!$A:$AB,3,0)," ")</f>
        <v>Чуст тумани</v>
      </c>
      <c r="E2442" s="7" t="s">
        <v>3574</v>
      </c>
      <c r="F2442" s="7" t="s">
        <v>9943</v>
      </c>
      <c r="G2442" s="134">
        <f t="shared" si="265"/>
        <v>1</v>
      </c>
      <c r="H2442" s="134" t="str">
        <f t="shared" si="266"/>
        <v/>
      </c>
      <c r="I2442" s="7" t="s">
        <v>156</v>
      </c>
      <c r="J2442" s="7" t="s">
        <v>11</v>
      </c>
      <c r="K2442" s="7"/>
      <c r="L2442" s="7"/>
      <c r="M2442" s="7"/>
      <c r="N2442" s="7" t="s">
        <v>170</v>
      </c>
      <c r="O2442" s="7" t="s">
        <v>162</v>
      </c>
      <c r="P2442" s="7" t="s">
        <v>7370</v>
      </c>
      <c r="Q2442" s="129">
        <v>46199</v>
      </c>
      <c r="R2442" s="130">
        <f t="shared" si="264"/>
        <v>46213</v>
      </c>
      <c r="S2442" s="131">
        <f t="shared" si="269"/>
        <v>14</v>
      </c>
      <c r="T2442" s="7"/>
      <c r="U2442" s="7"/>
      <c r="V2442" s="7"/>
      <c r="W2442" s="7"/>
      <c r="X2442" s="132">
        <f t="shared" si="267"/>
        <v>10</v>
      </c>
      <c r="Y2442" s="133"/>
      <c r="Z2442" s="133"/>
      <c r="AA2442" s="133"/>
    </row>
    <row r="2443" spans="1:27" hidden="1" x14ac:dyDescent="0.25">
      <c r="A2443" s="133"/>
      <c r="B2443" s="128" t="str">
        <f t="shared" si="268"/>
        <v>CHOT</v>
      </c>
      <c r="C2443" s="128" t="str">
        <f>+VLOOKUP(U2443,Ходим!A:B,2,0)</f>
        <v>30510945890013</v>
      </c>
      <c r="D2443" s="128" t="str">
        <f>IFERROR(VLOOKUP($B:$B,[20]свод!$A:$AB,3,0)," ")</f>
        <v>Чортоқ тумани</v>
      </c>
      <c r="E2443" s="7" t="s">
        <v>3575</v>
      </c>
      <c r="F2443" s="7"/>
      <c r="G2443" s="134" t="str">
        <f t="shared" si="265"/>
        <v/>
      </c>
      <c r="H2443" s="134">
        <f t="shared" si="266"/>
        <v>1</v>
      </c>
      <c r="I2443" s="7" t="s">
        <v>154</v>
      </c>
      <c r="J2443" s="7" t="s">
        <v>15</v>
      </c>
      <c r="K2443" s="7"/>
      <c r="L2443" s="7" t="s">
        <v>166</v>
      </c>
      <c r="M2443" s="7" t="s">
        <v>5835</v>
      </c>
      <c r="N2443" s="7" t="s">
        <v>368</v>
      </c>
      <c r="O2443" s="7"/>
      <c r="P2443" s="7" t="s">
        <v>7371</v>
      </c>
      <c r="Q2443" s="129">
        <v>46199</v>
      </c>
      <c r="R2443" s="130">
        <f t="shared" si="264"/>
        <v>46204</v>
      </c>
      <c r="S2443" s="131">
        <f t="shared" si="269"/>
        <v>5</v>
      </c>
      <c r="T2443" s="7"/>
      <c r="U2443" s="7" t="s">
        <v>185</v>
      </c>
      <c r="V2443" s="7"/>
      <c r="W2443" s="7">
        <v>3195.66</v>
      </c>
      <c r="X2443" s="132">
        <f t="shared" si="267"/>
        <v>5</v>
      </c>
      <c r="Y2443" s="133"/>
      <c r="Z2443" s="133"/>
      <c r="AA2443" s="133"/>
    </row>
    <row r="2444" spans="1:27" hidden="1" x14ac:dyDescent="0.25">
      <c r="A2444" s="133"/>
      <c r="B2444" s="128" t="str">
        <f t="shared" si="268"/>
        <v>YGQT</v>
      </c>
      <c r="C2444" s="128" t="e">
        <f>+VLOOKUP(U2444,Ходим!A:B,2,0)</f>
        <v>#N/A</v>
      </c>
      <c r="D2444" s="128" t="str">
        <f>IFERROR(VLOOKUP($B:$B,[20]свод!$A:$AB,3,0)," ")</f>
        <v>Янгиқўрғон тумани</v>
      </c>
      <c r="E2444" s="7" t="s">
        <v>3576</v>
      </c>
      <c r="F2444" s="7" t="s">
        <v>9944</v>
      </c>
      <c r="G2444" s="134">
        <f t="shared" si="265"/>
        <v>1</v>
      </c>
      <c r="H2444" s="134" t="str">
        <f t="shared" si="266"/>
        <v/>
      </c>
      <c r="I2444" s="7" t="s">
        <v>156</v>
      </c>
      <c r="J2444" s="7" t="s">
        <v>11</v>
      </c>
      <c r="K2444" s="7"/>
      <c r="L2444" s="7"/>
      <c r="M2444" s="7"/>
      <c r="N2444" s="7" t="s">
        <v>170</v>
      </c>
      <c r="O2444" s="7" t="s">
        <v>162</v>
      </c>
      <c r="P2444" s="7" t="s">
        <v>7370</v>
      </c>
      <c r="Q2444" s="129">
        <v>46199</v>
      </c>
      <c r="R2444" s="130">
        <f t="shared" si="264"/>
        <v>46213</v>
      </c>
      <c r="S2444" s="131">
        <f t="shared" si="269"/>
        <v>14</v>
      </c>
      <c r="T2444" s="7"/>
      <c r="U2444" s="7"/>
      <c r="V2444" s="7"/>
      <c r="W2444" s="7"/>
      <c r="X2444" s="132">
        <f t="shared" si="267"/>
        <v>10</v>
      </c>
      <c r="Y2444" s="133"/>
      <c r="Z2444" s="133"/>
      <c r="AA2444" s="133"/>
    </row>
    <row r="2445" spans="1:27" hidden="1" x14ac:dyDescent="0.25">
      <c r="A2445" s="133"/>
      <c r="B2445" s="128" t="str">
        <f t="shared" si="268"/>
        <v>NAMS</v>
      </c>
      <c r="C2445" s="128" t="e">
        <f>+VLOOKUP(U2445,Ходим!A:B,2,0)</f>
        <v>#N/A</v>
      </c>
      <c r="D2445" s="128" t="str">
        <f>IFERROR(VLOOKUP($B:$B,[20]свод!$A:$AB,3,0)," ")</f>
        <v>Наманган шаҳар</v>
      </c>
      <c r="E2445" s="7" t="s">
        <v>3577</v>
      </c>
      <c r="F2445" s="7" t="s">
        <v>9945</v>
      </c>
      <c r="G2445" s="134">
        <f t="shared" si="265"/>
        <v>1</v>
      </c>
      <c r="H2445" s="134" t="str">
        <f t="shared" si="266"/>
        <v/>
      </c>
      <c r="I2445" s="7" t="s">
        <v>156</v>
      </c>
      <c r="J2445" s="7" t="s">
        <v>11</v>
      </c>
      <c r="K2445" s="7"/>
      <c r="L2445" s="7" t="s">
        <v>167</v>
      </c>
      <c r="M2445" s="7" t="s">
        <v>5836</v>
      </c>
      <c r="N2445" s="7" t="s">
        <v>410</v>
      </c>
      <c r="O2445" s="7" t="s">
        <v>162</v>
      </c>
      <c r="P2445" s="7" t="s">
        <v>7370</v>
      </c>
      <c r="Q2445" s="129">
        <v>46199</v>
      </c>
      <c r="R2445" s="130">
        <f t="shared" si="264"/>
        <v>46213</v>
      </c>
      <c r="S2445" s="131">
        <f t="shared" si="269"/>
        <v>14</v>
      </c>
      <c r="T2445" s="7"/>
      <c r="U2445" s="7"/>
      <c r="V2445" s="7"/>
      <c r="W2445" s="7">
        <v>55.56</v>
      </c>
      <c r="X2445" s="132">
        <f t="shared" si="267"/>
        <v>10</v>
      </c>
      <c r="Y2445" s="133"/>
      <c r="Z2445" s="133"/>
      <c r="AA2445" s="133"/>
    </row>
    <row r="2446" spans="1:27" hidden="1" x14ac:dyDescent="0.25">
      <c r="A2446" s="133"/>
      <c r="B2446" s="128" t="str">
        <f t="shared" si="268"/>
        <v>TORT</v>
      </c>
      <c r="C2446" s="128" t="e">
        <f>+VLOOKUP(U2446,Ходим!A:B,2,0)</f>
        <v>#N/A</v>
      </c>
      <c r="D2446" s="128" t="str">
        <f>IFERROR(VLOOKUP($B:$B,[20]свод!$A:$AB,3,0)," ")</f>
        <v>Тўрақўрғон тумани</v>
      </c>
      <c r="E2446" s="7" t="s">
        <v>3578</v>
      </c>
      <c r="F2446" s="7" t="s">
        <v>9946</v>
      </c>
      <c r="G2446" s="134">
        <f t="shared" si="265"/>
        <v>1</v>
      </c>
      <c r="H2446" s="134" t="str">
        <f t="shared" si="266"/>
        <v/>
      </c>
      <c r="I2446" s="7" t="s">
        <v>156</v>
      </c>
      <c r="J2446" s="7" t="s">
        <v>11</v>
      </c>
      <c r="K2446" s="7"/>
      <c r="L2446" s="7"/>
      <c r="M2446" s="7"/>
      <c r="N2446" s="7" t="s">
        <v>170</v>
      </c>
      <c r="O2446" s="7" t="s">
        <v>162</v>
      </c>
      <c r="P2446" s="7" t="s">
        <v>7370</v>
      </c>
      <c r="Q2446" s="129">
        <v>46199</v>
      </c>
      <c r="R2446" s="130">
        <f t="shared" si="264"/>
        <v>46213</v>
      </c>
      <c r="S2446" s="131">
        <f t="shared" si="269"/>
        <v>14</v>
      </c>
      <c r="T2446" s="7"/>
      <c r="U2446" s="7"/>
      <c r="V2446" s="7"/>
      <c r="W2446" s="7"/>
      <c r="X2446" s="132">
        <f t="shared" si="267"/>
        <v>10</v>
      </c>
      <c r="Y2446" s="133"/>
      <c r="Z2446" s="133"/>
      <c r="AA2446" s="133"/>
    </row>
    <row r="2447" spans="1:27" hidden="1" x14ac:dyDescent="0.25">
      <c r="A2447" s="133"/>
      <c r="B2447" s="128" t="str">
        <f t="shared" si="268"/>
        <v>MINT</v>
      </c>
      <c r="C2447" s="128" t="str">
        <f>+VLOOKUP(U2447,Ходим!A:B,2,0)</f>
        <v>30910905990010</v>
      </c>
      <c r="D2447" s="128" t="str">
        <f>IFERROR(VLOOKUP($B:$B,[20]свод!$A:$AB,3,0)," ")</f>
        <v>Мингбулоқ тумани</v>
      </c>
      <c r="E2447" s="7" t="s">
        <v>3579</v>
      </c>
      <c r="F2447" s="7"/>
      <c r="G2447" s="134" t="str">
        <f t="shared" si="265"/>
        <v/>
      </c>
      <c r="H2447" s="134">
        <f t="shared" si="266"/>
        <v>1</v>
      </c>
      <c r="I2447" s="7" t="s">
        <v>154</v>
      </c>
      <c r="J2447" s="7" t="s">
        <v>13</v>
      </c>
      <c r="K2447" s="7"/>
      <c r="L2447" s="7" t="s">
        <v>166</v>
      </c>
      <c r="M2447" s="7" t="s">
        <v>5837</v>
      </c>
      <c r="N2447" s="7" t="s">
        <v>368</v>
      </c>
      <c r="O2447" s="7"/>
      <c r="P2447" s="7" t="s">
        <v>7372</v>
      </c>
      <c r="Q2447" s="129">
        <v>46199</v>
      </c>
      <c r="R2447" s="130">
        <f t="shared" si="264"/>
        <v>46206</v>
      </c>
      <c r="S2447" s="131">
        <f t="shared" si="269"/>
        <v>7</v>
      </c>
      <c r="T2447" s="7"/>
      <c r="U2447" s="7" t="s">
        <v>221</v>
      </c>
      <c r="V2447" s="7"/>
      <c r="W2447" s="7">
        <v>23.94</v>
      </c>
      <c r="X2447" s="132">
        <f t="shared" si="267"/>
        <v>5</v>
      </c>
      <c r="Y2447" s="133"/>
      <c r="Z2447" s="133"/>
      <c r="AA2447" s="133"/>
    </row>
    <row r="2448" spans="1:27" hidden="1" x14ac:dyDescent="0.25">
      <c r="A2448" s="133"/>
      <c r="B2448" s="128" t="str">
        <f t="shared" si="268"/>
        <v>NORT</v>
      </c>
      <c r="C2448" s="128" t="str">
        <f>+VLOOKUP(U2448,Ходим!A:B,2,0)</f>
        <v>51304005900090</v>
      </c>
      <c r="D2448" s="128" t="str">
        <f>IFERROR(VLOOKUP($B:$B,[20]свод!$A:$AB,3,0)," ")</f>
        <v>Норин тумани</v>
      </c>
      <c r="E2448" s="7" t="s">
        <v>3580</v>
      </c>
      <c r="F2448" s="7" t="s">
        <v>9947</v>
      </c>
      <c r="G2448" s="134">
        <f t="shared" si="265"/>
        <v>1</v>
      </c>
      <c r="H2448" s="134" t="str">
        <f t="shared" si="266"/>
        <v/>
      </c>
      <c r="I2448" s="7" t="s">
        <v>158</v>
      </c>
      <c r="J2448" s="7" t="s">
        <v>1</v>
      </c>
      <c r="K2448" s="7"/>
      <c r="L2448" s="7" t="s">
        <v>167</v>
      </c>
      <c r="M2448" s="7" t="s">
        <v>5838</v>
      </c>
      <c r="N2448" s="7" t="s">
        <v>170</v>
      </c>
      <c r="O2448" s="7" t="s">
        <v>162</v>
      </c>
      <c r="P2448" s="7" t="s">
        <v>6552</v>
      </c>
      <c r="Q2448" s="129">
        <v>46199</v>
      </c>
      <c r="R2448" s="130">
        <f t="shared" si="264"/>
        <v>46205</v>
      </c>
      <c r="S2448" s="131">
        <f t="shared" si="269"/>
        <v>6</v>
      </c>
      <c r="T2448" s="7" t="s">
        <v>210</v>
      </c>
      <c r="U2448" s="7" t="s">
        <v>336</v>
      </c>
      <c r="V2448" s="7"/>
      <c r="W2448" s="7">
        <v>92.9</v>
      </c>
      <c r="X2448" s="132">
        <f t="shared" si="267"/>
        <v>10</v>
      </c>
      <c r="Y2448" s="133"/>
      <c r="Z2448" s="133"/>
      <c r="AA2448" s="133"/>
    </row>
    <row r="2449" spans="1:27" hidden="1" x14ac:dyDescent="0.25">
      <c r="A2449" s="133"/>
      <c r="B2449" s="128" t="str">
        <f t="shared" si="268"/>
        <v>POPT</v>
      </c>
      <c r="C2449" s="128" t="e">
        <f>+VLOOKUP(U2449,Ходим!A:B,2,0)</f>
        <v>#N/A</v>
      </c>
      <c r="D2449" s="128" t="str">
        <f>IFERROR(VLOOKUP($B:$B,[20]свод!$A:$AB,3,0)," ")</f>
        <v>Поп тумани</v>
      </c>
      <c r="E2449" s="7" t="s">
        <v>3581</v>
      </c>
      <c r="F2449" s="7" t="s">
        <v>9948</v>
      </c>
      <c r="G2449" s="134" t="str">
        <f t="shared" si="265"/>
        <v/>
      </c>
      <c r="H2449" s="134">
        <f t="shared" si="266"/>
        <v>1</v>
      </c>
      <c r="I2449" s="7" t="s">
        <v>159</v>
      </c>
      <c r="J2449" s="7" t="s">
        <v>137</v>
      </c>
      <c r="K2449" s="7"/>
      <c r="L2449" s="7" t="s">
        <v>166</v>
      </c>
      <c r="M2449" s="7" t="s">
        <v>5839</v>
      </c>
      <c r="N2449" s="7" t="s">
        <v>410</v>
      </c>
      <c r="O2449" s="7" t="s">
        <v>163</v>
      </c>
      <c r="P2449" s="7" t="s">
        <v>7373</v>
      </c>
      <c r="Q2449" s="129">
        <v>46199</v>
      </c>
      <c r="R2449" s="130">
        <f t="shared" si="264"/>
        <v>46213</v>
      </c>
      <c r="S2449" s="131">
        <f t="shared" si="269"/>
        <v>14</v>
      </c>
      <c r="T2449" s="7"/>
      <c r="U2449" s="7"/>
      <c r="V2449" s="7"/>
      <c r="W2449" s="7">
        <v>306.94</v>
      </c>
      <c r="X2449" s="132">
        <f t="shared" si="267"/>
        <v>10</v>
      </c>
      <c r="Y2449" s="133"/>
      <c r="Z2449" s="133"/>
      <c r="AA2449" s="133"/>
    </row>
    <row r="2450" spans="1:27" hidden="1" x14ac:dyDescent="0.25">
      <c r="A2450" s="133"/>
      <c r="B2450" s="128" t="str">
        <f t="shared" si="268"/>
        <v>TORT</v>
      </c>
      <c r="C2450" s="128" t="e">
        <f>+VLOOKUP(U2450,Ходим!A:B,2,0)</f>
        <v>#N/A</v>
      </c>
      <c r="D2450" s="128" t="str">
        <f>IFERROR(VLOOKUP($B:$B,[20]свод!$A:$AB,3,0)," ")</f>
        <v>Тўрақўрғон тумани</v>
      </c>
      <c r="E2450" s="7" t="s">
        <v>3582</v>
      </c>
      <c r="F2450" s="7" t="s">
        <v>9949</v>
      </c>
      <c r="G2450" s="134">
        <f t="shared" si="265"/>
        <v>1</v>
      </c>
      <c r="H2450" s="134" t="str">
        <f t="shared" si="266"/>
        <v/>
      </c>
      <c r="I2450" s="7" t="s">
        <v>156</v>
      </c>
      <c r="J2450" s="7" t="s">
        <v>11</v>
      </c>
      <c r="K2450" s="7"/>
      <c r="L2450" s="7" t="s">
        <v>167</v>
      </c>
      <c r="M2450" s="7" t="s">
        <v>5840</v>
      </c>
      <c r="N2450" s="7" t="s">
        <v>170</v>
      </c>
      <c r="O2450" s="7" t="s">
        <v>162</v>
      </c>
      <c r="P2450" s="7" t="s">
        <v>7373</v>
      </c>
      <c r="Q2450" s="129">
        <v>46199</v>
      </c>
      <c r="R2450" s="130">
        <f t="shared" si="264"/>
        <v>46213</v>
      </c>
      <c r="S2450" s="131">
        <f t="shared" si="269"/>
        <v>14</v>
      </c>
      <c r="T2450" s="7"/>
      <c r="U2450" s="7"/>
      <c r="V2450" s="7"/>
      <c r="W2450" s="7">
        <v>387.23</v>
      </c>
      <c r="X2450" s="132">
        <f t="shared" si="267"/>
        <v>10</v>
      </c>
      <c r="Y2450" s="133"/>
      <c r="Z2450" s="133"/>
      <c r="AA2450" s="133"/>
    </row>
    <row r="2451" spans="1:27" hidden="1" x14ac:dyDescent="0.25">
      <c r="A2451" s="133"/>
      <c r="B2451" s="128" t="str">
        <f t="shared" si="268"/>
        <v>YGQT</v>
      </c>
      <c r="C2451" s="128" t="e">
        <f>+VLOOKUP(U2451,Ходим!A:B,2,0)</f>
        <v>#N/A</v>
      </c>
      <c r="D2451" s="128" t="str">
        <f>IFERROR(VLOOKUP($B:$B,[20]свод!$A:$AB,3,0)," ")</f>
        <v>Янгиқўрғон тумани</v>
      </c>
      <c r="E2451" s="7" t="s">
        <v>3583</v>
      </c>
      <c r="F2451" s="7" t="s">
        <v>9950</v>
      </c>
      <c r="G2451" s="134" t="str">
        <f t="shared" si="265"/>
        <v/>
      </c>
      <c r="H2451" s="134">
        <f t="shared" si="266"/>
        <v>1</v>
      </c>
      <c r="I2451" s="7" t="s">
        <v>155</v>
      </c>
      <c r="J2451" s="7" t="s">
        <v>11</v>
      </c>
      <c r="K2451" s="7"/>
      <c r="L2451" s="7"/>
      <c r="M2451" s="7"/>
      <c r="N2451" s="7" t="s">
        <v>170</v>
      </c>
      <c r="O2451" s="7" t="s">
        <v>161</v>
      </c>
      <c r="P2451" s="7" t="s">
        <v>7373</v>
      </c>
      <c r="Q2451" s="129">
        <v>46199</v>
      </c>
      <c r="R2451" s="130">
        <f t="shared" si="264"/>
        <v>46213</v>
      </c>
      <c r="S2451" s="131">
        <f t="shared" si="269"/>
        <v>14</v>
      </c>
      <c r="T2451" s="7"/>
      <c r="U2451" s="7"/>
      <c r="V2451" s="7"/>
      <c r="W2451" s="7"/>
      <c r="X2451" s="132">
        <f t="shared" si="267"/>
        <v>10</v>
      </c>
      <c r="Y2451" s="133"/>
      <c r="Z2451" s="133"/>
      <c r="AA2451" s="133"/>
    </row>
    <row r="2452" spans="1:27" hidden="1" x14ac:dyDescent="0.25">
      <c r="A2452" s="133"/>
      <c r="B2452" s="128" t="str">
        <f t="shared" si="268"/>
        <v>MINT</v>
      </c>
      <c r="C2452" s="128" t="str">
        <f>+VLOOKUP(U2452,Ходим!A:B,2,0)</f>
        <v>30910905990010</v>
      </c>
      <c r="D2452" s="128" t="str">
        <f>IFERROR(VLOOKUP($B:$B,[20]свод!$A:$AB,3,0)," ")</f>
        <v>Мингбулоқ тумани</v>
      </c>
      <c r="E2452" s="7" t="s">
        <v>3584</v>
      </c>
      <c r="F2452" s="7" t="s">
        <v>9951</v>
      </c>
      <c r="G2452" s="134">
        <f t="shared" si="265"/>
        <v>1</v>
      </c>
      <c r="H2452" s="134" t="str">
        <f t="shared" si="266"/>
        <v/>
      </c>
      <c r="I2452" s="7" t="s">
        <v>154</v>
      </c>
      <c r="J2452" s="7" t="s">
        <v>100</v>
      </c>
      <c r="K2452" s="7"/>
      <c r="L2452" s="7" t="s">
        <v>167</v>
      </c>
      <c r="M2452" s="7" t="s">
        <v>5841</v>
      </c>
      <c r="N2452" s="7" t="s">
        <v>410</v>
      </c>
      <c r="O2452" s="7" t="s">
        <v>162</v>
      </c>
      <c r="P2452" s="7" t="s">
        <v>7374</v>
      </c>
      <c r="Q2452" s="129">
        <v>46199</v>
      </c>
      <c r="R2452" s="130">
        <f t="shared" si="264"/>
        <v>46209</v>
      </c>
      <c r="S2452" s="131">
        <f t="shared" si="269"/>
        <v>10</v>
      </c>
      <c r="T2452" s="7" t="s">
        <v>220</v>
      </c>
      <c r="U2452" s="7" t="s">
        <v>221</v>
      </c>
      <c r="V2452" s="7"/>
      <c r="W2452" s="7">
        <v>60.24</v>
      </c>
      <c r="X2452" s="132">
        <f t="shared" si="267"/>
        <v>10</v>
      </c>
      <c r="Y2452" s="133"/>
      <c r="Z2452" s="133"/>
      <c r="AA2452" s="133"/>
    </row>
    <row r="2453" spans="1:27" hidden="1" x14ac:dyDescent="0.25">
      <c r="A2453" s="133"/>
      <c r="B2453" s="128" t="str">
        <f t="shared" si="268"/>
        <v>NAMT</v>
      </c>
      <c r="C2453" s="128" t="e">
        <f>+VLOOKUP(U2453,Ходим!A:B,2,0)</f>
        <v>#N/A</v>
      </c>
      <c r="D2453" s="128" t="str">
        <f>IFERROR(VLOOKUP($B:$B,[20]свод!$A:$AB,3,0)," ")</f>
        <v>Наманган тумани</v>
      </c>
      <c r="E2453" s="7" t="s">
        <v>3585</v>
      </c>
      <c r="F2453" s="7" t="s">
        <v>9952</v>
      </c>
      <c r="G2453" s="134">
        <f t="shared" si="265"/>
        <v>1</v>
      </c>
      <c r="H2453" s="134" t="str">
        <f t="shared" si="266"/>
        <v/>
      </c>
      <c r="I2453" s="7" t="s">
        <v>159</v>
      </c>
      <c r="J2453" s="7" t="s">
        <v>137</v>
      </c>
      <c r="K2453" s="7"/>
      <c r="L2453" s="7" t="s">
        <v>167</v>
      </c>
      <c r="M2453" s="7" t="s">
        <v>5842</v>
      </c>
      <c r="N2453" s="7" t="s">
        <v>170</v>
      </c>
      <c r="O2453" s="7" t="s">
        <v>163</v>
      </c>
      <c r="P2453" s="7" t="s">
        <v>7373</v>
      </c>
      <c r="Q2453" s="129">
        <v>46199</v>
      </c>
      <c r="R2453" s="130">
        <f t="shared" si="264"/>
        <v>46213</v>
      </c>
      <c r="S2453" s="131">
        <f t="shared" si="269"/>
        <v>14</v>
      </c>
      <c r="T2453" s="7"/>
      <c r="U2453" s="7"/>
      <c r="V2453" s="7"/>
      <c r="W2453" s="7">
        <v>847.56</v>
      </c>
      <c r="X2453" s="132">
        <f t="shared" si="267"/>
        <v>10</v>
      </c>
      <c r="Y2453" s="133"/>
      <c r="Z2453" s="133"/>
      <c r="AA2453" s="133"/>
    </row>
    <row r="2454" spans="1:27" hidden="1" x14ac:dyDescent="0.25">
      <c r="A2454" s="133"/>
      <c r="B2454" s="128" t="str">
        <f t="shared" si="268"/>
        <v>NORT</v>
      </c>
      <c r="C2454" s="128" t="str">
        <f>+VLOOKUP(U2454,Ходим!A:B,2,0)</f>
        <v>32609882110022</v>
      </c>
      <c r="D2454" s="128" t="str">
        <f>IFERROR(VLOOKUP($B:$B,[20]свод!$A:$AB,3,0)," ")</f>
        <v>Норин тумани</v>
      </c>
      <c r="E2454" s="7" t="s">
        <v>3586</v>
      </c>
      <c r="F2454" s="7" t="s">
        <v>9953</v>
      </c>
      <c r="G2454" s="134">
        <f t="shared" si="265"/>
        <v>1</v>
      </c>
      <c r="H2454" s="134" t="str">
        <f t="shared" si="266"/>
        <v/>
      </c>
      <c r="I2454" s="7" t="s">
        <v>158</v>
      </c>
      <c r="J2454" s="7" t="s">
        <v>36</v>
      </c>
      <c r="K2454" s="7"/>
      <c r="L2454" s="7" t="s">
        <v>167</v>
      </c>
      <c r="M2454" s="7" t="s">
        <v>5843</v>
      </c>
      <c r="N2454" s="7" t="s">
        <v>170</v>
      </c>
      <c r="O2454" s="7" t="s">
        <v>162</v>
      </c>
      <c r="P2454" s="7" t="s">
        <v>7374</v>
      </c>
      <c r="Q2454" s="129">
        <v>46199</v>
      </c>
      <c r="R2454" s="130">
        <f t="shared" si="264"/>
        <v>46209</v>
      </c>
      <c r="S2454" s="131">
        <f t="shared" si="269"/>
        <v>10</v>
      </c>
      <c r="T2454" s="7" t="s">
        <v>210</v>
      </c>
      <c r="U2454" s="7" t="s">
        <v>300</v>
      </c>
      <c r="V2454" s="7"/>
      <c r="W2454" s="7">
        <v>0</v>
      </c>
      <c r="X2454" s="132">
        <f t="shared" si="267"/>
        <v>10</v>
      </c>
      <c r="Y2454" s="133"/>
      <c r="Z2454" s="133"/>
      <c r="AA2454" s="133"/>
    </row>
    <row r="2455" spans="1:27" hidden="1" x14ac:dyDescent="0.25">
      <c r="A2455" s="133"/>
      <c r="B2455" s="128" t="str">
        <f t="shared" si="268"/>
        <v>KSST</v>
      </c>
      <c r="C2455" s="128" t="str">
        <f>+VLOOKUP(U2455,Ходим!A:B,2,0)</f>
        <v>30205975980020</v>
      </c>
      <c r="D2455" s="128" t="str">
        <f>IFERROR(VLOOKUP($B:$B,[20]свод!$A:$AB,3,0)," ")</f>
        <v>Косонсой тумани</v>
      </c>
      <c r="E2455" s="7" t="s">
        <v>3587</v>
      </c>
      <c r="F2455" s="7" t="s">
        <v>9954</v>
      </c>
      <c r="G2455" s="134">
        <f t="shared" si="265"/>
        <v>1</v>
      </c>
      <c r="H2455" s="134" t="str">
        <f t="shared" si="266"/>
        <v/>
      </c>
      <c r="I2455" s="7" t="s">
        <v>156</v>
      </c>
      <c r="J2455" s="7" t="s">
        <v>25</v>
      </c>
      <c r="K2455" s="7"/>
      <c r="L2455" s="7" t="s">
        <v>167</v>
      </c>
      <c r="M2455" s="7" t="s">
        <v>5844</v>
      </c>
      <c r="N2455" s="7" t="s">
        <v>170</v>
      </c>
      <c r="O2455" s="7" t="s">
        <v>162</v>
      </c>
      <c r="P2455" s="7" t="s">
        <v>7374</v>
      </c>
      <c r="Q2455" s="129">
        <v>46199</v>
      </c>
      <c r="R2455" s="130">
        <f t="shared" si="264"/>
        <v>46209</v>
      </c>
      <c r="S2455" s="131">
        <f t="shared" si="269"/>
        <v>10</v>
      </c>
      <c r="T2455" s="7" t="s">
        <v>180</v>
      </c>
      <c r="U2455" s="7" t="s">
        <v>370</v>
      </c>
      <c r="V2455" s="7"/>
      <c r="W2455" s="7">
        <v>0</v>
      </c>
      <c r="X2455" s="132">
        <f t="shared" si="267"/>
        <v>10</v>
      </c>
      <c r="Y2455" s="133"/>
      <c r="Z2455" s="133"/>
      <c r="AA2455" s="133"/>
    </row>
    <row r="2456" spans="1:27" hidden="1" x14ac:dyDescent="0.25">
      <c r="A2456" s="133"/>
      <c r="B2456" s="128" t="str">
        <f t="shared" si="268"/>
        <v>MINT</v>
      </c>
      <c r="C2456" s="128" t="e">
        <f>+VLOOKUP(U2456,Ходим!A:B,2,0)</f>
        <v>#N/A</v>
      </c>
      <c r="D2456" s="128" t="str">
        <f>IFERROR(VLOOKUP($B:$B,[20]свод!$A:$AB,3,0)," ")</f>
        <v>Мингбулоқ тумани</v>
      </c>
      <c r="E2456" s="7" t="s">
        <v>3588</v>
      </c>
      <c r="F2456" s="7" t="s">
        <v>9955</v>
      </c>
      <c r="G2456" s="134" t="str">
        <f t="shared" si="265"/>
        <v/>
      </c>
      <c r="H2456" s="134">
        <f t="shared" si="266"/>
        <v>1</v>
      </c>
      <c r="I2456" s="7" t="s">
        <v>155</v>
      </c>
      <c r="J2456" s="7" t="s">
        <v>11</v>
      </c>
      <c r="K2456" s="7"/>
      <c r="L2456" s="7" t="s">
        <v>168</v>
      </c>
      <c r="M2456" s="7" t="s">
        <v>5845</v>
      </c>
      <c r="N2456" s="7" t="s">
        <v>170</v>
      </c>
      <c r="O2456" s="7" t="s">
        <v>161</v>
      </c>
      <c r="P2456" s="7" t="s">
        <v>7374</v>
      </c>
      <c r="Q2456" s="129">
        <v>46199</v>
      </c>
      <c r="R2456" s="130">
        <f t="shared" si="264"/>
        <v>46204</v>
      </c>
      <c r="S2456" s="131">
        <f t="shared" si="269"/>
        <v>5</v>
      </c>
      <c r="T2456" s="7"/>
      <c r="U2456" s="7"/>
      <c r="V2456" s="7"/>
      <c r="W2456" s="7">
        <v>0</v>
      </c>
      <c r="X2456" s="132">
        <f t="shared" si="267"/>
        <v>7</v>
      </c>
      <c r="Y2456" s="133"/>
      <c r="Z2456" s="133"/>
      <c r="AA2456" s="133"/>
    </row>
    <row r="2457" spans="1:27" hidden="1" x14ac:dyDescent="0.25">
      <c r="A2457" s="133"/>
      <c r="B2457" s="128" t="str">
        <f t="shared" si="268"/>
        <v>UCQT</v>
      </c>
      <c r="C2457" s="128" t="e">
        <f>+VLOOKUP(U2457,Ходим!A:B,2,0)</f>
        <v>#N/A</v>
      </c>
      <c r="D2457" s="128" t="str">
        <f>IFERROR(VLOOKUP($B:$B,[20]свод!$A:$AB,3,0)," ")</f>
        <v>Учқўрғон тумани</v>
      </c>
      <c r="E2457" s="7" t="s">
        <v>3589</v>
      </c>
      <c r="F2457" s="7" t="s">
        <v>9956</v>
      </c>
      <c r="G2457" s="134">
        <f t="shared" si="265"/>
        <v>1</v>
      </c>
      <c r="H2457" s="134" t="str">
        <f t="shared" si="266"/>
        <v/>
      </c>
      <c r="I2457" s="7" t="s">
        <v>156</v>
      </c>
      <c r="J2457" s="7" t="s">
        <v>11</v>
      </c>
      <c r="K2457" s="7"/>
      <c r="L2457" s="7" t="s">
        <v>167</v>
      </c>
      <c r="M2457" s="7" t="s">
        <v>5846</v>
      </c>
      <c r="N2457" s="7" t="s">
        <v>170</v>
      </c>
      <c r="O2457" s="7" t="s">
        <v>162</v>
      </c>
      <c r="P2457" s="7" t="s">
        <v>7374</v>
      </c>
      <c r="Q2457" s="129">
        <v>46199</v>
      </c>
      <c r="R2457" s="130">
        <f t="shared" si="264"/>
        <v>46209</v>
      </c>
      <c r="S2457" s="131">
        <f t="shared" si="269"/>
        <v>10</v>
      </c>
      <c r="T2457" s="7" t="s">
        <v>175</v>
      </c>
      <c r="U2457" s="7"/>
      <c r="V2457" s="7"/>
      <c r="W2457" s="7">
        <v>193.73</v>
      </c>
      <c r="X2457" s="132">
        <f t="shared" si="267"/>
        <v>10</v>
      </c>
      <c r="Y2457" s="133"/>
      <c r="Z2457" s="133"/>
      <c r="AA2457" s="133"/>
    </row>
    <row r="2458" spans="1:27" hidden="1" x14ac:dyDescent="0.25">
      <c r="A2458" s="133"/>
      <c r="B2458" s="128" t="str">
        <f t="shared" si="268"/>
        <v>KSST</v>
      </c>
      <c r="C2458" s="128" t="str">
        <f>+VLOOKUP(U2458,Ходим!A:B,2,0)</f>
        <v>31407932190092</v>
      </c>
      <c r="D2458" s="128" t="str">
        <f>IFERROR(VLOOKUP($B:$B,[20]свод!$A:$AB,3,0)," ")</f>
        <v>Косонсой тумани</v>
      </c>
      <c r="E2458" s="7" t="s">
        <v>3590</v>
      </c>
      <c r="F2458" s="7" t="s">
        <v>9957</v>
      </c>
      <c r="G2458" s="134">
        <f t="shared" si="265"/>
        <v>1</v>
      </c>
      <c r="H2458" s="134" t="str">
        <f t="shared" si="266"/>
        <v/>
      </c>
      <c r="I2458" s="7" t="s">
        <v>158</v>
      </c>
      <c r="J2458" s="7" t="s">
        <v>2</v>
      </c>
      <c r="K2458" s="7"/>
      <c r="L2458" s="7" t="s">
        <v>167</v>
      </c>
      <c r="M2458" s="7" t="s">
        <v>5847</v>
      </c>
      <c r="N2458" s="7" t="s">
        <v>170</v>
      </c>
      <c r="O2458" s="7" t="s">
        <v>162</v>
      </c>
      <c r="P2458" s="7" t="s">
        <v>7374</v>
      </c>
      <c r="Q2458" s="129">
        <v>46199</v>
      </c>
      <c r="R2458" s="130">
        <f t="shared" si="264"/>
        <v>46209</v>
      </c>
      <c r="S2458" s="131">
        <f t="shared" si="269"/>
        <v>10</v>
      </c>
      <c r="T2458" s="7" t="s">
        <v>180</v>
      </c>
      <c r="U2458" s="7" t="s">
        <v>188</v>
      </c>
      <c r="V2458" s="7"/>
      <c r="W2458" s="7">
        <v>347.05</v>
      </c>
      <c r="X2458" s="132">
        <f t="shared" si="267"/>
        <v>10</v>
      </c>
      <c r="Y2458" s="133"/>
      <c r="Z2458" s="133"/>
      <c r="AA2458" s="133"/>
    </row>
    <row r="2459" spans="1:27" hidden="1" x14ac:dyDescent="0.25">
      <c r="A2459" s="133"/>
      <c r="B2459" s="128" t="str">
        <f t="shared" si="268"/>
        <v>CHOT</v>
      </c>
      <c r="C2459" s="128" t="str">
        <f>+VLOOKUP(U2459,Ходим!A:B,2,0)</f>
        <v>30610995890040</v>
      </c>
      <c r="D2459" s="128" t="str">
        <f>IFERROR(VLOOKUP($B:$B,[20]свод!$A:$AB,3,0)," ")</f>
        <v>Чортоқ тумани</v>
      </c>
      <c r="E2459" s="7" t="s">
        <v>3591</v>
      </c>
      <c r="F2459" s="7" t="s">
        <v>9958</v>
      </c>
      <c r="G2459" s="134">
        <f t="shared" si="265"/>
        <v>1</v>
      </c>
      <c r="H2459" s="134" t="str">
        <f t="shared" si="266"/>
        <v/>
      </c>
      <c r="I2459" s="7" t="s">
        <v>158</v>
      </c>
      <c r="J2459" s="7" t="s">
        <v>36</v>
      </c>
      <c r="K2459" s="7"/>
      <c r="L2459" s="7" t="s">
        <v>167</v>
      </c>
      <c r="M2459" s="7" t="s">
        <v>5848</v>
      </c>
      <c r="N2459" s="7" t="s">
        <v>170</v>
      </c>
      <c r="O2459" s="7" t="s">
        <v>162</v>
      </c>
      <c r="P2459" s="7" t="s">
        <v>7188</v>
      </c>
      <c r="Q2459" s="129">
        <v>46199</v>
      </c>
      <c r="R2459" s="130">
        <f t="shared" si="264"/>
        <v>46203</v>
      </c>
      <c r="S2459" s="131">
        <f t="shared" si="269"/>
        <v>4</v>
      </c>
      <c r="T2459" s="7" t="s">
        <v>184</v>
      </c>
      <c r="U2459" s="7" t="s">
        <v>322</v>
      </c>
      <c r="V2459" s="7"/>
      <c r="W2459" s="7">
        <v>0</v>
      </c>
      <c r="X2459" s="132">
        <f t="shared" si="267"/>
        <v>10</v>
      </c>
      <c r="Y2459" s="133"/>
      <c r="Z2459" s="133"/>
      <c r="AA2459" s="133"/>
    </row>
    <row r="2460" spans="1:27" hidden="1" x14ac:dyDescent="0.25">
      <c r="A2460" s="133"/>
      <c r="B2460" s="128" t="str">
        <f t="shared" si="268"/>
        <v>NAMT</v>
      </c>
      <c r="C2460" s="128" t="str">
        <f>+VLOOKUP(U2460,Ходим!A:B,2,0)</f>
        <v>31303965880044</v>
      </c>
      <c r="D2460" s="128" t="str">
        <f>IFERROR(VLOOKUP($B:$B,[20]свод!$A:$AB,3,0)," ")</f>
        <v>Наманган тумани</v>
      </c>
      <c r="E2460" s="7" t="s">
        <v>3592</v>
      </c>
      <c r="F2460" s="7" t="s">
        <v>9959</v>
      </c>
      <c r="G2460" s="134">
        <f t="shared" si="265"/>
        <v>1</v>
      </c>
      <c r="H2460" s="134" t="str">
        <f t="shared" si="266"/>
        <v/>
      </c>
      <c r="I2460" s="7" t="s">
        <v>158</v>
      </c>
      <c r="J2460" s="7" t="s">
        <v>16</v>
      </c>
      <c r="K2460" s="7"/>
      <c r="L2460" s="7" t="s">
        <v>167</v>
      </c>
      <c r="M2460" s="7" t="s">
        <v>5849</v>
      </c>
      <c r="N2460" s="7" t="s">
        <v>170</v>
      </c>
      <c r="O2460" s="7" t="s">
        <v>162</v>
      </c>
      <c r="P2460" s="7" t="s">
        <v>7375</v>
      </c>
      <c r="Q2460" s="129">
        <v>46199</v>
      </c>
      <c r="R2460" s="130">
        <f t="shared" si="264"/>
        <v>46204</v>
      </c>
      <c r="S2460" s="131">
        <f t="shared" si="269"/>
        <v>5</v>
      </c>
      <c r="T2460" s="7" t="s">
        <v>193</v>
      </c>
      <c r="U2460" s="7" t="s">
        <v>217</v>
      </c>
      <c r="V2460" s="7"/>
      <c r="W2460" s="7">
        <v>158.11000000000001</v>
      </c>
      <c r="X2460" s="132">
        <f t="shared" si="267"/>
        <v>10</v>
      </c>
      <c r="Y2460" s="133"/>
      <c r="Z2460" s="133"/>
      <c r="AA2460" s="133"/>
    </row>
    <row r="2461" spans="1:27" hidden="1" x14ac:dyDescent="0.25">
      <c r="A2461" s="133"/>
      <c r="B2461" s="128" t="str">
        <f t="shared" si="268"/>
        <v>NAMS</v>
      </c>
      <c r="C2461" s="128" t="str">
        <f>+VLOOKUP(U2461,Ходим!A:B,2,0)</f>
        <v>30302965960014</v>
      </c>
      <c r="D2461" s="128" t="str">
        <f>IFERROR(VLOOKUP($B:$B,[20]свод!$A:$AB,3,0)," ")</f>
        <v>Наманган шаҳар</v>
      </c>
      <c r="E2461" s="7" t="s">
        <v>3593</v>
      </c>
      <c r="F2461" s="7" t="s">
        <v>9960</v>
      </c>
      <c r="G2461" s="134">
        <f t="shared" si="265"/>
        <v>1</v>
      </c>
      <c r="H2461" s="134" t="str">
        <f t="shared" si="266"/>
        <v/>
      </c>
      <c r="I2461" s="7" t="s">
        <v>158</v>
      </c>
      <c r="J2461" s="7" t="s">
        <v>1</v>
      </c>
      <c r="K2461" s="7"/>
      <c r="L2461" s="7" t="s">
        <v>167</v>
      </c>
      <c r="M2461" s="7" t="s">
        <v>5850</v>
      </c>
      <c r="N2461" s="7" t="s">
        <v>410</v>
      </c>
      <c r="O2461" s="7" t="s">
        <v>162</v>
      </c>
      <c r="P2461" s="7" t="s">
        <v>6564</v>
      </c>
      <c r="Q2461" s="129">
        <v>46199</v>
      </c>
      <c r="R2461" s="130">
        <f t="shared" si="264"/>
        <v>46205</v>
      </c>
      <c r="S2461" s="131">
        <f t="shared" si="269"/>
        <v>6</v>
      </c>
      <c r="T2461" s="7" t="s">
        <v>227</v>
      </c>
      <c r="U2461" s="7" t="s">
        <v>304</v>
      </c>
      <c r="V2461" s="7"/>
      <c r="W2461" s="7">
        <v>1191.75</v>
      </c>
      <c r="X2461" s="132">
        <f t="shared" si="267"/>
        <v>10</v>
      </c>
      <c r="Y2461" s="133"/>
      <c r="Z2461" s="133"/>
      <c r="AA2461" s="133"/>
    </row>
    <row r="2462" spans="1:27" hidden="1" x14ac:dyDescent="0.25">
      <c r="A2462" s="133"/>
      <c r="B2462" s="128" t="str">
        <f t="shared" si="268"/>
        <v>TORT</v>
      </c>
      <c r="C2462" s="128" t="str">
        <f>+VLOOKUP(U2462,Ходим!A:B,2,0)</f>
        <v>31701915920077</v>
      </c>
      <c r="D2462" s="128" t="str">
        <f>IFERROR(VLOOKUP($B:$B,[20]свод!$A:$AB,3,0)," ")</f>
        <v>Тўрақўрғон тумани</v>
      </c>
      <c r="E2462" s="7" t="s">
        <v>3594</v>
      </c>
      <c r="F2462" s="7" t="s">
        <v>9961</v>
      </c>
      <c r="G2462" s="134" t="str">
        <f t="shared" si="265"/>
        <v/>
      </c>
      <c r="H2462" s="134">
        <f t="shared" si="266"/>
        <v>1</v>
      </c>
      <c r="I2462" s="7" t="s">
        <v>157</v>
      </c>
      <c r="J2462" s="7" t="s">
        <v>2</v>
      </c>
      <c r="K2462" s="7"/>
      <c r="L2462" s="7" t="s">
        <v>166</v>
      </c>
      <c r="M2462" s="7" t="s">
        <v>5851</v>
      </c>
      <c r="N2462" s="7" t="s">
        <v>170</v>
      </c>
      <c r="O2462" s="7" t="s">
        <v>161</v>
      </c>
      <c r="P2462" s="7" t="s">
        <v>7376</v>
      </c>
      <c r="Q2462" s="129">
        <v>46199</v>
      </c>
      <c r="R2462" s="130">
        <f t="shared" si="264"/>
        <v>46209</v>
      </c>
      <c r="S2462" s="131">
        <f t="shared" si="269"/>
        <v>10</v>
      </c>
      <c r="T2462" s="7" t="s">
        <v>203</v>
      </c>
      <c r="U2462" s="7" t="s">
        <v>332</v>
      </c>
      <c r="V2462" s="7"/>
      <c r="W2462" s="7">
        <v>25.42</v>
      </c>
      <c r="X2462" s="132">
        <f t="shared" si="267"/>
        <v>10</v>
      </c>
      <c r="Y2462" s="133"/>
      <c r="Z2462" s="133"/>
      <c r="AA2462" s="133"/>
    </row>
    <row r="2463" spans="1:27" hidden="1" x14ac:dyDescent="0.25">
      <c r="A2463" s="133"/>
      <c r="B2463" s="128" t="str">
        <f t="shared" si="268"/>
        <v>YGQT</v>
      </c>
      <c r="C2463" s="128" t="str">
        <f>+VLOOKUP(U2463,Ходим!A:B,2,0)</f>
        <v>31501762160017</v>
      </c>
      <c r="D2463" s="128" t="str">
        <f>IFERROR(VLOOKUP($B:$B,[20]свод!$A:$AB,3,0)," ")</f>
        <v>Янгиқўрғон тумани</v>
      </c>
      <c r="E2463" s="7" t="s">
        <v>3595</v>
      </c>
      <c r="F2463" s="7" t="s">
        <v>9962</v>
      </c>
      <c r="G2463" s="134">
        <f t="shared" si="265"/>
        <v>1</v>
      </c>
      <c r="H2463" s="134" t="str">
        <f t="shared" si="266"/>
        <v/>
      </c>
      <c r="I2463" s="7" t="s">
        <v>158</v>
      </c>
      <c r="J2463" s="7" t="s">
        <v>1</v>
      </c>
      <c r="K2463" s="7"/>
      <c r="L2463" s="7" t="s">
        <v>167</v>
      </c>
      <c r="M2463" s="7" t="s">
        <v>1007</v>
      </c>
      <c r="N2463" s="7" t="s">
        <v>170</v>
      </c>
      <c r="O2463" s="7" t="s">
        <v>162</v>
      </c>
      <c r="P2463" s="7" t="s">
        <v>7376</v>
      </c>
      <c r="Q2463" s="129">
        <v>46199</v>
      </c>
      <c r="R2463" s="130">
        <f t="shared" si="264"/>
        <v>46209</v>
      </c>
      <c r="S2463" s="131">
        <f t="shared" si="269"/>
        <v>10</v>
      </c>
      <c r="T2463" s="7" t="s">
        <v>255</v>
      </c>
      <c r="U2463" s="7" t="s">
        <v>275</v>
      </c>
      <c r="V2463" s="7"/>
      <c r="W2463" s="7">
        <v>204</v>
      </c>
      <c r="X2463" s="132">
        <f t="shared" si="267"/>
        <v>10</v>
      </c>
      <c r="Y2463" s="133"/>
      <c r="Z2463" s="133"/>
      <c r="AA2463" s="133"/>
    </row>
    <row r="2464" spans="1:27" x14ac:dyDescent="0.25">
      <c r="A2464" s="133"/>
      <c r="B2464" s="128" t="str">
        <f t="shared" si="268"/>
        <v>TORT</v>
      </c>
      <c r="C2464" s="128" t="str">
        <f>+VLOOKUP(U2464,Ходим!A:B,2,0)</f>
        <v>31609912130025</v>
      </c>
      <c r="D2464" s="128" t="str">
        <f>IFERROR(VLOOKUP($B:$B,[20]свод!$A:$AB,3,0)," ")</f>
        <v>Тўрақўрғон тумани</v>
      </c>
      <c r="E2464" s="7" t="s">
        <v>3596</v>
      </c>
      <c r="F2464" s="7" t="s">
        <v>9963</v>
      </c>
      <c r="G2464" s="134" t="str">
        <f t="shared" si="265"/>
        <v/>
      </c>
      <c r="H2464" s="134">
        <f t="shared" si="266"/>
        <v>1</v>
      </c>
      <c r="I2464" s="7" t="s">
        <v>157</v>
      </c>
      <c r="J2464" s="7" t="s">
        <v>1137</v>
      </c>
      <c r="K2464" s="7"/>
      <c r="L2464" s="7" t="s">
        <v>166</v>
      </c>
      <c r="M2464" s="7" t="s">
        <v>5852</v>
      </c>
      <c r="N2464" s="7" t="s">
        <v>170</v>
      </c>
      <c r="O2464" s="7" t="s">
        <v>161</v>
      </c>
      <c r="P2464" s="7" t="s">
        <v>7377</v>
      </c>
      <c r="Q2464" s="129">
        <v>46199</v>
      </c>
      <c r="R2464" s="130">
        <f t="shared" si="264"/>
        <v>46198</v>
      </c>
      <c r="S2464" s="131">
        <f t="shared" si="269"/>
        <v>-1</v>
      </c>
      <c r="T2464" s="7" t="s">
        <v>203</v>
      </c>
      <c r="U2464" s="7" t="s">
        <v>280</v>
      </c>
      <c r="V2464" s="7" t="s">
        <v>359</v>
      </c>
      <c r="W2464" s="7">
        <v>604.24</v>
      </c>
      <c r="X2464" s="132">
        <f t="shared" si="267"/>
        <v>12</v>
      </c>
      <c r="Y2464" s="133"/>
      <c r="Z2464" s="133"/>
      <c r="AA2464" s="133"/>
    </row>
    <row r="2465" spans="1:27" hidden="1" x14ac:dyDescent="0.25">
      <c r="A2465" s="133"/>
      <c r="B2465" s="128" t="str">
        <f t="shared" si="268"/>
        <v>YGQT</v>
      </c>
      <c r="C2465" s="128" t="str">
        <f>+VLOOKUP(U2465,Ходим!A:B,2,0)</f>
        <v>52010015950028</v>
      </c>
      <c r="D2465" s="128" t="str">
        <f>IFERROR(VLOOKUP($B:$B,[20]свод!$A:$AB,3,0)," ")</f>
        <v>Янгиқўрғон тумани</v>
      </c>
      <c r="E2465" s="7" t="s">
        <v>3597</v>
      </c>
      <c r="F2465" s="7" t="s">
        <v>9964</v>
      </c>
      <c r="G2465" s="134">
        <f t="shared" si="265"/>
        <v>1</v>
      </c>
      <c r="H2465" s="134" t="str">
        <f t="shared" si="266"/>
        <v/>
      </c>
      <c r="I2465" s="7" t="s">
        <v>158</v>
      </c>
      <c r="J2465" s="7" t="s">
        <v>2</v>
      </c>
      <c r="K2465" s="7"/>
      <c r="L2465" s="7" t="s">
        <v>167</v>
      </c>
      <c r="M2465" s="7" t="s">
        <v>5853</v>
      </c>
      <c r="N2465" s="7" t="s">
        <v>170</v>
      </c>
      <c r="O2465" s="7" t="s">
        <v>162</v>
      </c>
      <c r="P2465" s="7" t="s">
        <v>7376</v>
      </c>
      <c r="Q2465" s="129">
        <v>46199</v>
      </c>
      <c r="R2465" s="130">
        <f t="shared" si="264"/>
        <v>46209</v>
      </c>
      <c r="S2465" s="131">
        <f t="shared" si="269"/>
        <v>10</v>
      </c>
      <c r="T2465" s="7" t="s">
        <v>182</v>
      </c>
      <c r="U2465" s="7" t="s">
        <v>391</v>
      </c>
      <c r="V2465" s="7"/>
      <c r="W2465" s="7">
        <v>188.38</v>
      </c>
      <c r="X2465" s="132">
        <f t="shared" si="267"/>
        <v>10</v>
      </c>
      <c r="Y2465" s="133"/>
      <c r="Z2465" s="133"/>
      <c r="AA2465" s="133"/>
    </row>
    <row r="2466" spans="1:27" hidden="1" x14ac:dyDescent="0.25">
      <c r="A2466" s="133"/>
      <c r="B2466" s="128" t="str">
        <f t="shared" si="268"/>
        <v>CHUT</v>
      </c>
      <c r="C2466" s="128" t="str">
        <f>+VLOOKUP(U2466,Ходим!A:B,2,0)</f>
        <v>31312912180061</v>
      </c>
      <c r="D2466" s="128" t="str">
        <f>IFERROR(VLOOKUP($B:$B,[20]свод!$A:$AB,3,0)," ")</f>
        <v>Чуст тумани</v>
      </c>
      <c r="E2466" s="7" t="s">
        <v>3598</v>
      </c>
      <c r="F2466" s="7" t="s">
        <v>9965</v>
      </c>
      <c r="G2466" s="134">
        <f t="shared" si="265"/>
        <v>1</v>
      </c>
      <c r="H2466" s="134" t="str">
        <f t="shared" si="266"/>
        <v/>
      </c>
      <c r="I2466" s="7" t="s">
        <v>158</v>
      </c>
      <c r="J2466" s="7" t="s">
        <v>1</v>
      </c>
      <c r="K2466" s="7"/>
      <c r="L2466" s="7" t="s">
        <v>167</v>
      </c>
      <c r="M2466" s="7" t="s">
        <v>1034</v>
      </c>
      <c r="N2466" s="7" t="s">
        <v>170</v>
      </c>
      <c r="O2466" s="7" t="s">
        <v>163</v>
      </c>
      <c r="P2466" s="7" t="s">
        <v>7285</v>
      </c>
      <c r="Q2466" s="129">
        <v>46199</v>
      </c>
      <c r="R2466" s="130">
        <f t="shared" si="264"/>
        <v>46209</v>
      </c>
      <c r="S2466" s="131">
        <f t="shared" si="269"/>
        <v>10</v>
      </c>
      <c r="T2466" s="7" t="s">
        <v>178</v>
      </c>
      <c r="U2466" s="7" t="s">
        <v>202</v>
      </c>
      <c r="V2466" s="7"/>
      <c r="W2466" s="7">
        <v>242.76</v>
      </c>
      <c r="X2466" s="132">
        <f t="shared" si="267"/>
        <v>10</v>
      </c>
      <c r="Y2466" s="133"/>
      <c r="Z2466" s="133"/>
      <c r="AA2466" s="133"/>
    </row>
    <row r="2467" spans="1:27" hidden="1" x14ac:dyDescent="0.25">
      <c r="A2467" s="133"/>
      <c r="B2467" s="128" t="str">
        <f t="shared" si="268"/>
        <v>TORT</v>
      </c>
      <c r="C2467" s="128" t="str">
        <f>+VLOOKUP(U2467,Ходим!A:B,2,0)</f>
        <v>31701915920077</v>
      </c>
      <c r="D2467" s="128" t="str">
        <f>IFERROR(VLOOKUP($B:$B,[20]свод!$A:$AB,3,0)," ")</f>
        <v>Тўрақўрғон тумани</v>
      </c>
      <c r="E2467" s="7" t="s">
        <v>3599</v>
      </c>
      <c r="F2467" s="7" t="s">
        <v>9966</v>
      </c>
      <c r="G2467" s="134">
        <f t="shared" si="265"/>
        <v>1</v>
      </c>
      <c r="H2467" s="134" t="str">
        <f t="shared" si="266"/>
        <v/>
      </c>
      <c r="I2467" s="7" t="s">
        <v>158</v>
      </c>
      <c r="J2467" s="7" t="s">
        <v>2</v>
      </c>
      <c r="K2467" s="7"/>
      <c r="L2467" s="7" t="s">
        <v>167</v>
      </c>
      <c r="M2467" s="7" t="s">
        <v>5854</v>
      </c>
      <c r="N2467" s="7" t="s">
        <v>170</v>
      </c>
      <c r="O2467" s="7" t="s">
        <v>162</v>
      </c>
      <c r="P2467" s="7" t="s">
        <v>7378</v>
      </c>
      <c r="Q2467" s="129">
        <v>46199</v>
      </c>
      <c r="R2467" s="130">
        <f t="shared" si="264"/>
        <v>46203</v>
      </c>
      <c r="S2467" s="131">
        <f t="shared" si="269"/>
        <v>4</v>
      </c>
      <c r="T2467" s="7" t="s">
        <v>203</v>
      </c>
      <c r="U2467" s="7" t="s">
        <v>332</v>
      </c>
      <c r="V2467" s="7"/>
      <c r="W2467" s="7">
        <v>179.45</v>
      </c>
      <c r="X2467" s="132">
        <f t="shared" si="267"/>
        <v>10</v>
      </c>
      <c r="Y2467" s="133"/>
      <c r="Z2467" s="133"/>
      <c r="AA2467" s="133"/>
    </row>
    <row r="2468" spans="1:27" hidden="1" x14ac:dyDescent="0.25">
      <c r="A2468" s="133"/>
      <c r="B2468" s="128" t="str">
        <f t="shared" si="268"/>
        <v>KSST</v>
      </c>
      <c r="C2468" s="128" t="e">
        <f>+VLOOKUP(U2468,Ходим!A:B,2,0)</f>
        <v>#N/A</v>
      </c>
      <c r="D2468" s="128" t="str">
        <f>IFERROR(VLOOKUP($B:$B,[20]свод!$A:$AB,3,0)," ")</f>
        <v>Косонсой тумани</v>
      </c>
      <c r="E2468" s="7" t="s">
        <v>3600</v>
      </c>
      <c r="F2468" s="7" t="s">
        <v>9967</v>
      </c>
      <c r="G2468" s="134" t="str">
        <f t="shared" si="265"/>
        <v/>
      </c>
      <c r="H2468" s="134">
        <f t="shared" si="266"/>
        <v>1</v>
      </c>
      <c r="I2468" s="7" t="s">
        <v>155</v>
      </c>
      <c r="J2468" s="7" t="s">
        <v>11</v>
      </c>
      <c r="K2468" s="7"/>
      <c r="L2468" s="7"/>
      <c r="M2468" s="7"/>
      <c r="N2468" s="7" t="s">
        <v>170</v>
      </c>
      <c r="O2468" s="7" t="s">
        <v>161</v>
      </c>
      <c r="P2468" s="7" t="s">
        <v>7379</v>
      </c>
      <c r="Q2468" s="129">
        <v>46199</v>
      </c>
      <c r="R2468" s="130">
        <f t="shared" si="264"/>
        <v>46213</v>
      </c>
      <c r="S2468" s="131">
        <f t="shared" si="269"/>
        <v>14</v>
      </c>
      <c r="T2468" s="7"/>
      <c r="U2468" s="7"/>
      <c r="V2468" s="7"/>
      <c r="W2468" s="7"/>
      <c r="X2468" s="132">
        <f t="shared" si="267"/>
        <v>10</v>
      </c>
      <c r="Y2468" s="133"/>
      <c r="Z2468" s="133"/>
      <c r="AA2468" s="133"/>
    </row>
    <row r="2469" spans="1:27" hidden="1" x14ac:dyDescent="0.25">
      <c r="A2469" s="133"/>
      <c r="B2469" s="128" t="str">
        <f t="shared" si="268"/>
        <v>YGQT</v>
      </c>
      <c r="C2469" s="128" t="str">
        <f>+VLOOKUP(U2469,Ходим!A:B,2,0)</f>
        <v>30602822170087</v>
      </c>
      <c r="D2469" s="128" t="str">
        <f>IFERROR(VLOOKUP($B:$B,[20]свод!$A:$AB,3,0)," ")</f>
        <v>Янгиқўрғон тумани</v>
      </c>
      <c r="E2469" s="7" t="s">
        <v>3601</v>
      </c>
      <c r="F2469" s="7" t="s">
        <v>9968</v>
      </c>
      <c r="G2469" s="134">
        <f t="shared" si="265"/>
        <v>1</v>
      </c>
      <c r="H2469" s="134" t="str">
        <f t="shared" si="266"/>
        <v/>
      </c>
      <c r="I2469" s="7" t="s">
        <v>158</v>
      </c>
      <c r="J2469" s="7" t="s">
        <v>36</v>
      </c>
      <c r="K2469" s="7"/>
      <c r="L2469" s="7" t="s">
        <v>167</v>
      </c>
      <c r="M2469" s="7" t="s">
        <v>5855</v>
      </c>
      <c r="N2469" s="7" t="s">
        <v>170</v>
      </c>
      <c r="O2469" s="7" t="s">
        <v>162</v>
      </c>
      <c r="P2469" s="7" t="s">
        <v>7376</v>
      </c>
      <c r="Q2469" s="129">
        <v>46199</v>
      </c>
      <c r="R2469" s="130">
        <f t="shared" si="264"/>
        <v>46209</v>
      </c>
      <c r="S2469" s="131">
        <f t="shared" si="269"/>
        <v>10</v>
      </c>
      <c r="T2469" s="7" t="s">
        <v>255</v>
      </c>
      <c r="U2469" s="7" t="s">
        <v>320</v>
      </c>
      <c r="V2469" s="7"/>
      <c r="W2469" s="7">
        <v>178.04</v>
      </c>
      <c r="X2469" s="132">
        <f t="shared" si="267"/>
        <v>10</v>
      </c>
      <c r="Y2469" s="133"/>
      <c r="Z2469" s="133"/>
      <c r="AA2469" s="133"/>
    </row>
    <row r="2470" spans="1:27" hidden="1" x14ac:dyDescent="0.25">
      <c r="A2470" s="133"/>
      <c r="B2470" s="128" t="str">
        <f t="shared" si="268"/>
        <v>NAMT</v>
      </c>
      <c r="C2470" s="128" t="e">
        <f>+VLOOKUP(U2470,Ходим!A:B,2,0)</f>
        <v>#N/A</v>
      </c>
      <c r="D2470" s="128" t="str">
        <f>IFERROR(VLOOKUP($B:$B,[20]свод!$A:$AB,3,0)," ")</f>
        <v>Наманган тумани</v>
      </c>
      <c r="E2470" s="7" t="s">
        <v>3602</v>
      </c>
      <c r="F2470" s="7" t="s">
        <v>9969</v>
      </c>
      <c r="G2470" s="134">
        <f t="shared" si="265"/>
        <v>1</v>
      </c>
      <c r="H2470" s="134" t="str">
        <f t="shared" si="266"/>
        <v/>
      </c>
      <c r="I2470" s="7" t="s">
        <v>156</v>
      </c>
      <c r="J2470" s="7" t="s">
        <v>11</v>
      </c>
      <c r="K2470" s="7"/>
      <c r="L2470" s="7" t="s">
        <v>167</v>
      </c>
      <c r="M2470" s="7" t="s">
        <v>5856</v>
      </c>
      <c r="N2470" s="7" t="s">
        <v>170</v>
      </c>
      <c r="O2470" s="7" t="s">
        <v>162</v>
      </c>
      <c r="P2470" s="7" t="s">
        <v>7380</v>
      </c>
      <c r="Q2470" s="129">
        <v>46199</v>
      </c>
      <c r="R2470" s="130">
        <f t="shared" si="264"/>
        <v>46213</v>
      </c>
      <c r="S2470" s="131">
        <f t="shared" si="269"/>
        <v>14</v>
      </c>
      <c r="T2470" s="7"/>
      <c r="U2470" s="7"/>
      <c r="V2470" s="7"/>
      <c r="W2470" s="7">
        <v>309.08</v>
      </c>
      <c r="X2470" s="132">
        <f t="shared" si="267"/>
        <v>10</v>
      </c>
      <c r="Y2470" s="133"/>
      <c r="Z2470" s="133"/>
      <c r="AA2470" s="133"/>
    </row>
    <row r="2471" spans="1:27" hidden="1" x14ac:dyDescent="0.25">
      <c r="A2471" s="133"/>
      <c r="B2471" s="128" t="str">
        <f t="shared" si="268"/>
        <v>MINT</v>
      </c>
      <c r="C2471" s="128" t="e">
        <f>+VLOOKUP(U2471,Ходим!A:B,2,0)</f>
        <v>#N/A</v>
      </c>
      <c r="D2471" s="128" t="str">
        <f>IFERROR(VLOOKUP($B:$B,[20]свод!$A:$AB,3,0)," ")</f>
        <v>Мингбулоқ тумани</v>
      </c>
      <c r="E2471" s="7" t="s">
        <v>3603</v>
      </c>
      <c r="F2471" s="7" t="s">
        <v>9970</v>
      </c>
      <c r="G2471" s="134">
        <f t="shared" si="265"/>
        <v>1</v>
      </c>
      <c r="H2471" s="134" t="str">
        <f t="shared" si="266"/>
        <v/>
      </c>
      <c r="I2471" s="7" t="s">
        <v>159</v>
      </c>
      <c r="J2471" s="7" t="s">
        <v>137</v>
      </c>
      <c r="K2471" s="7"/>
      <c r="L2471" s="7" t="s">
        <v>167</v>
      </c>
      <c r="M2471" s="7" t="s">
        <v>5857</v>
      </c>
      <c r="N2471" s="7" t="s">
        <v>170</v>
      </c>
      <c r="O2471" s="7" t="s">
        <v>163</v>
      </c>
      <c r="P2471" s="7" t="s">
        <v>7381</v>
      </c>
      <c r="Q2471" s="129">
        <v>46199</v>
      </c>
      <c r="R2471" s="130">
        <f t="shared" si="264"/>
        <v>46209</v>
      </c>
      <c r="S2471" s="131">
        <f t="shared" si="269"/>
        <v>10</v>
      </c>
      <c r="T2471" s="7"/>
      <c r="U2471" s="7"/>
      <c r="V2471" s="7"/>
      <c r="W2471" s="7">
        <v>254.15</v>
      </c>
      <c r="X2471" s="132">
        <f t="shared" si="267"/>
        <v>10</v>
      </c>
      <c r="Y2471" s="133"/>
      <c r="Z2471" s="133"/>
      <c r="AA2471" s="133"/>
    </row>
    <row r="2472" spans="1:27" hidden="1" x14ac:dyDescent="0.25">
      <c r="A2472" s="133"/>
      <c r="B2472" s="128" t="str">
        <f t="shared" si="268"/>
        <v>NAMS</v>
      </c>
      <c r="C2472" s="128" t="str">
        <f>+VLOOKUP(U2472,Ходим!A:B,2,0)</f>
        <v>51110025960044</v>
      </c>
      <c r="D2472" s="128" t="str">
        <f>IFERROR(VLOOKUP($B:$B,[20]свод!$A:$AB,3,0)," ")</f>
        <v>Наманган шаҳар</v>
      </c>
      <c r="E2472" s="7" t="s">
        <v>3604</v>
      </c>
      <c r="F2472" s="7" t="s">
        <v>9971</v>
      </c>
      <c r="G2472" s="134">
        <f t="shared" si="265"/>
        <v>1</v>
      </c>
      <c r="H2472" s="134" t="str">
        <f t="shared" si="266"/>
        <v/>
      </c>
      <c r="I2472" s="7" t="s">
        <v>158</v>
      </c>
      <c r="J2472" s="7" t="s">
        <v>2</v>
      </c>
      <c r="K2472" s="7"/>
      <c r="L2472" s="7"/>
      <c r="M2472" s="7"/>
      <c r="N2472" s="7" t="s">
        <v>410</v>
      </c>
      <c r="O2472" s="7" t="s">
        <v>162</v>
      </c>
      <c r="P2472" s="7" t="s">
        <v>7381</v>
      </c>
      <c r="Q2472" s="129">
        <v>46199</v>
      </c>
      <c r="R2472" s="130">
        <f t="shared" ref="R2472:R2532" si="270">WORKDAY(P2472,X2472,$Y$1:$AA$1)</f>
        <v>46209</v>
      </c>
      <c r="S2472" s="131">
        <f t="shared" si="269"/>
        <v>10</v>
      </c>
      <c r="T2472" s="7" t="s">
        <v>173</v>
      </c>
      <c r="U2472" s="7" t="s">
        <v>294</v>
      </c>
      <c r="V2472" s="7"/>
      <c r="W2472" s="7"/>
      <c r="X2472" s="132">
        <f t="shared" si="267"/>
        <v>10</v>
      </c>
      <c r="Y2472" s="133"/>
      <c r="Z2472" s="133"/>
      <c r="AA2472" s="133"/>
    </row>
    <row r="2473" spans="1:27" hidden="1" x14ac:dyDescent="0.25">
      <c r="A2473" s="133"/>
      <c r="B2473" s="128" t="str">
        <f t="shared" si="268"/>
        <v>NAMS</v>
      </c>
      <c r="C2473" s="128">
        <f>+VLOOKUP(U2473,Ходим!A:B,2,0)</f>
        <v>51006025960068</v>
      </c>
      <c r="D2473" s="128" t="str">
        <f>IFERROR(VLOOKUP($B:$B,[20]свод!$A:$AB,3,0)," ")</f>
        <v>Наманган шаҳар</v>
      </c>
      <c r="E2473" s="7" t="s">
        <v>3605</v>
      </c>
      <c r="F2473" s="7" t="s">
        <v>9972</v>
      </c>
      <c r="G2473" s="134">
        <f t="shared" si="265"/>
        <v>1</v>
      </c>
      <c r="H2473" s="134" t="str">
        <f t="shared" si="266"/>
        <v/>
      </c>
      <c r="I2473" s="7" t="s">
        <v>158</v>
      </c>
      <c r="J2473" s="7" t="s">
        <v>2</v>
      </c>
      <c r="K2473" s="7"/>
      <c r="L2473" s="7" t="s">
        <v>167</v>
      </c>
      <c r="M2473" s="7" t="s">
        <v>5858</v>
      </c>
      <c r="N2473" s="7" t="s">
        <v>170</v>
      </c>
      <c r="O2473" s="7" t="s">
        <v>162</v>
      </c>
      <c r="P2473" s="7" t="s">
        <v>7381</v>
      </c>
      <c r="Q2473" s="129">
        <v>46199</v>
      </c>
      <c r="R2473" s="130">
        <f t="shared" si="270"/>
        <v>46209</v>
      </c>
      <c r="S2473" s="131">
        <f t="shared" si="269"/>
        <v>10</v>
      </c>
      <c r="T2473" s="7" t="s">
        <v>173</v>
      </c>
      <c r="U2473" s="7" t="s">
        <v>944</v>
      </c>
      <c r="V2473" s="7"/>
      <c r="W2473" s="7">
        <v>64.209999999999994</v>
      </c>
      <c r="X2473" s="132">
        <f t="shared" si="267"/>
        <v>10</v>
      </c>
      <c r="Y2473" s="133"/>
      <c r="Z2473" s="133"/>
      <c r="AA2473" s="133"/>
    </row>
    <row r="2474" spans="1:27" hidden="1" x14ac:dyDescent="0.25">
      <c r="A2474" s="133"/>
      <c r="B2474" s="128" t="str">
        <f t="shared" si="268"/>
        <v>MINT</v>
      </c>
      <c r="C2474" s="128" t="e">
        <f>+VLOOKUP(U2474,Ходим!A:B,2,0)</f>
        <v>#N/A</v>
      </c>
      <c r="D2474" s="128" t="str">
        <f>IFERROR(VLOOKUP($B:$B,[20]свод!$A:$AB,3,0)," ")</f>
        <v>Мингбулоқ тумани</v>
      </c>
      <c r="E2474" s="7" t="s">
        <v>3606</v>
      </c>
      <c r="F2474" s="7" t="s">
        <v>9973</v>
      </c>
      <c r="G2474" s="134" t="str">
        <f t="shared" si="265"/>
        <v/>
      </c>
      <c r="H2474" s="134">
        <f t="shared" si="266"/>
        <v>1</v>
      </c>
      <c r="I2474" s="7" t="s">
        <v>155</v>
      </c>
      <c r="J2474" s="7" t="s">
        <v>11</v>
      </c>
      <c r="K2474" s="7"/>
      <c r="L2474" s="7" t="s">
        <v>168</v>
      </c>
      <c r="M2474" s="7" t="s">
        <v>5859</v>
      </c>
      <c r="N2474" s="7" t="s">
        <v>170</v>
      </c>
      <c r="O2474" s="7" t="s">
        <v>161</v>
      </c>
      <c r="P2474" s="7" t="s">
        <v>7381</v>
      </c>
      <c r="Q2474" s="129">
        <v>46199</v>
      </c>
      <c r="R2474" s="130">
        <f t="shared" si="270"/>
        <v>46204</v>
      </c>
      <c r="S2474" s="131">
        <f t="shared" si="269"/>
        <v>5</v>
      </c>
      <c r="T2474" s="7"/>
      <c r="U2474" s="7"/>
      <c r="V2474" s="7"/>
      <c r="W2474" s="7">
        <v>0</v>
      </c>
      <c r="X2474" s="132">
        <f t="shared" si="267"/>
        <v>7</v>
      </c>
      <c r="Y2474" s="133"/>
      <c r="Z2474" s="133"/>
      <c r="AA2474" s="133"/>
    </row>
    <row r="2475" spans="1:27" hidden="1" x14ac:dyDescent="0.25">
      <c r="A2475" s="133"/>
      <c r="B2475" s="128" t="str">
        <f t="shared" si="268"/>
        <v>NAMS</v>
      </c>
      <c r="C2475" s="128" t="str">
        <f>+VLOOKUP(U2475,Ходим!A:B,2,0)</f>
        <v>53008015960094</v>
      </c>
      <c r="D2475" s="128" t="str">
        <f>IFERROR(VLOOKUP($B:$B,[20]свод!$A:$AB,3,0)," ")</f>
        <v>Наманган шаҳар</v>
      </c>
      <c r="E2475" s="7" t="s">
        <v>3607</v>
      </c>
      <c r="F2475" s="7" t="s">
        <v>9974</v>
      </c>
      <c r="G2475" s="134">
        <f t="shared" si="265"/>
        <v>1</v>
      </c>
      <c r="H2475" s="134" t="str">
        <f t="shared" si="266"/>
        <v/>
      </c>
      <c r="I2475" s="7" t="s">
        <v>158</v>
      </c>
      <c r="J2475" s="7" t="s">
        <v>2</v>
      </c>
      <c r="K2475" s="7"/>
      <c r="L2475" s="7" t="s">
        <v>167</v>
      </c>
      <c r="M2475" s="7" t="s">
        <v>5860</v>
      </c>
      <c r="N2475" s="7" t="s">
        <v>170</v>
      </c>
      <c r="O2475" s="7" t="s">
        <v>162</v>
      </c>
      <c r="P2475" s="7" t="s">
        <v>7381</v>
      </c>
      <c r="Q2475" s="129">
        <v>46199</v>
      </c>
      <c r="R2475" s="130">
        <f t="shared" si="270"/>
        <v>46209</v>
      </c>
      <c r="S2475" s="131">
        <f t="shared" si="269"/>
        <v>10</v>
      </c>
      <c r="T2475" s="7" t="s">
        <v>173</v>
      </c>
      <c r="U2475" s="7" t="s">
        <v>403</v>
      </c>
      <c r="V2475" s="7"/>
      <c r="W2475" s="7">
        <v>138.22</v>
      </c>
      <c r="X2475" s="132">
        <f t="shared" si="267"/>
        <v>10</v>
      </c>
      <c r="Y2475" s="133"/>
      <c r="Z2475" s="133"/>
      <c r="AA2475" s="133"/>
    </row>
    <row r="2476" spans="1:27" hidden="1" x14ac:dyDescent="0.25">
      <c r="A2476" s="133"/>
      <c r="B2476" s="128" t="str">
        <f t="shared" si="268"/>
        <v>YGQT</v>
      </c>
      <c r="C2476" s="128" t="str">
        <f>+VLOOKUP(U2476,Ходим!A:B,2,0)</f>
        <v>31108942160081</v>
      </c>
      <c r="D2476" s="128" t="str">
        <f>IFERROR(VLOOKUP($B:$B,[20]свод!$A:$AB,3,0)," ")</f>
        <v>Янгиқўрғон тумани</v>
      </c>
      <c r="E2476" s="7" t="s">
        <v>3608</v>
      </c>
      <c r="F2476" s="7" t="s">
        <v>9975</v>
      </c>
      <c r="G2476" s="134" t="str">
        <f t="shared" ref="G2476:G2536" si="271">IF(OR(
I2476="Turar joy obyektning kadastr pasportini shakllantirish va davlat ro'yxatidan o'tkazish",
I2476="Turar kompozit"
),
1,
IF(OR(
I2476="Noturar kompozit",
I2476="Avtoyo'l va suv xo'jaligi obyektining kadastr pasportini shakllantirish va ro'yxatga olish",
I2476="Noturar obyektning kadastr pasportining kadastr pasportini shakllantirish va davlat ro'yxatidan o'tkazish"
),
"",
IF(OR(
I2476="Notarius uchun ma'lumotnoma (uz)",
I2476="Qurilishi tugallangan ko'chmas mulkni foydalanishga qabul qilish",
I2476="Umumiy foydalanishdagi ko'chmas mulk qismini yaratish",
I2476="Registratsiya (tashqi - UZKAD da bor)"
),
IF(OR(L2476="Turar yer maydoni",L2476="Yakka tartibdagi turar joy"),1,
IF(L2476="Noturar bino","",
IF(L2476="Noturar yer maydoni","",
IF(L2476="",IF(OR(O2476="Turar joy xizmati",O2476="Foydalanishga ruxsatnoma berish xizmati"),1,""),"")
))),
"")))</f>
        <v/>
      </c>
      <c r="H2476" s="134">
        <f t="shared" ref="H2476:H2536" si="272">IF(OR(
I2476="Turar joy obyektning kadastr pasportini shakllantirish va davlat ro'yxatidan o'tkazish",
I2476="Turar kompozit"
),
"",
IF(OR(
I2476="Noturar kompozit",
I2476="Avtoyo'l va suv xo'jaligi obyektining kadastr pasportini shakllantirish va ro'yxatga olish",
I2476="Noturar obyektning kadastr pasportini shakllantirish va davlat ro'yxatidan o'tkazish"
),
1,
IF(OR(
I2476="Notarius uchun ma'lumotnoma (uz)",
I2476="Qurilishi tugallangan ko'chmas mulkni foydalanishga qabul qilish",
I2476="Umumiy foydalanishdagi ko'chmas mulk qismini yaratish",
I2476="Registratsiya (tashqi - UZKAD da bor)"
),
IF(OR(L2476="Turar yer maydoni",L2476="Yakka tartibdagi turar joy"),"",
IF(L2476="Noturar bino",1,
IF(L2476="Noturar yer maydoni",1,
IF(L2476="",IF(OR(O2476="Turar joy xizmati",O2476="Foydalanishga ruxsatnoma berish xizmati"),"",1),"")
))),
"")))</f>
        <v>1</v>
      </c>
      <c r="I2476" s="7" t="s">
        <v>157</v>
      </c>
      <c r="J2476" s="7" t="s">
        <v>172</v>
      </c>
      <c r="K2476" s="7"/>
      <c r="L2476" s="7"/>
      <c r="M2476" s="7"/>
      <c r="N2476" s="7" t="s">
        <v>170</v>
      </c>
      <c r="O2476" s="7" t="s">
        <v>161</v>
      </c>
      <c r="P2476" s="7" t="s">
        <v>7365</v>
      </c>
      <c r="Q2476" s="129">
        <v>46199</v>
      </c>
      <c r="R2476" s="130">
        <f t="shared" si="270"/>
        <v>46209</v>
      </c>
      <c r="S2476" s="131">
        <f t="shared" si="269"/>
        <v>10</v>
      </c>
      <c r="T2476" s="7" t="s">
        <v>255</v>
      </c>
      <c r="U2476" s="7" t="s">
        <v>228</v>
      </c>
      <c r="V2476" s="7"/>
      <c r="W2476" s="7"/>
      <c r="X2476" s="132">
        <f t="shared" si="267"/>
        <v>10</v>
      </c>
      <c r="Y2476" s="133"/>
      <c r="Z2476" s="133"/>
      <c r="AA2476" s="133"/>
    </row>
    <row r="2477" spans="1:27" hidden="1" x14ac:dyDescent="0.25">
      <c r="A2477" s="133"/>
      <c r="B2477" s="128" t="str">
        <f t="shared" si="268"/>
        <v>NAMS</v>
      </c>
      <c r="C2477" s="128" t="str">
        <f>+VLOOKUP(U2477,Ходим!A:B,2,0)</f>
        <v>32602902170105</v>
      </c>
      <c r="D2477" s="128" t="str">
        <f>IFERROR(VLOOKUP($B:$B,[20]свод!$A:$AB,3,0)," ")</f>
        <v>Наманган шаҳар</v>
      </c>
      <c r="E2477" s="7" t="s">
        <v>3609</v>
      </c>
      <c r="F2477" s="7" t="s">
        <v>9976</v>
      </c>
      <c r="G2477" s="134">
        <f t="shared" si="271"/>
        <v>1</v>
      </c>
      <c r="H2477" s="134" t="str">
        <f t="shared" si="272"/>
        <v/>
      </c>
      <c r="I2477" s="7" t="s">
        <v>158</v>
      </c>
      <c r="J2477" s="7" t="s">
        <v>1</v>
      </c>
      <c r="K2477" s="7"/>
      <c r="L2477" s="7" t="s">
        <v>169</v>
      </c>
      <c r="M2477" s="7" t="s">
        <v>5861</v>
      </c>
      <c r="N2477" s="7" t="s">
        <v>410</v>
      </c>
      <c r="O2477" s="7" t="s">
        <v>162</v>
      </c>
      <c r="P2477" s="7" t="s">
        <v>7376</v>
      </c>
      <c r="Q2477" s="129">
        <v>46199</v>
      </c>
      <c r="R2477" s="130">
        <f t="shared" si="270"/>
        <v>46204</v>
      </c>
      <c r="S2477" s="131">
        <f t="shared" si="269"/>
        <v>5</v>
      </c>
      <c r="T2477" s="7" t="s">
        <v>185</v>
      </c>
      <c r="U2477" s="7" t="s">
        <v>247</v>
      </c>
      <c r="V2477" s="7"/>
      <c r="W2477" s="7">
        <v>0</v>
      </c>
      <c r="X2477" s="132">
        <f t="shared" si="267"/>
        <v>7</v>
      </c>
      <c r="Y2477" s="133"/>
      <c r="Z2477" s="133"/>
      <c r="AA2477" s="133"/>
    </row>
    <row r="2478" spans="1:27" hidden="1" x14ac:dyDescent="0.25">
      <c r="A2478" s="133"/>
      <c r="B2478" s="128" t="str">
        <f t="shared" si="268"/>
        <v>NAMS</v>
      </c>
      <c r="C2478" s="128" t="str">
        <f>+VLOOKUP(U2478,Ходим!A:B,2,0)</f>
        <v>50308015960081</v>
      </c>
      <c r="D2478" s="128" t="str">
        <f>IFERROR(VLOOKUP($B:$B,[20]свод!$A:$AB,3,0)," ")</f>
        <v>Наманган шаҳар</v>
      </c>
      <c r="E2478" s="7" t="s">
        <v>3610</v>
      </c>
      <c r="F2478" s="7" t="s">
        <v>9977</v>
      </c>
      <c r="G2478" s="134">
        <f t="shared" si="271"/>
        <v>1</v>
      </c>
      <c r="H2478" s="134" t="str">
        <f t="shared" si="272"/>
        <v/>
      </c>
      <c r="I2478" s="7" t="s">
        <v>156</v>
      </c>
      <c r="J2478" s="7" t="s">
        <v>25</v>
      </c>
      <c r="K2478" s="7"/>
      <c r="L2478" s="7"/>
      <c r="M2478" s="7"/>
      <c r="N2478" s="7" t="s">
        <v>170</v>
      </c>
      <c r="O2478" s="7" t="s">
        <v>162</v>
      </c>
      <c r="P2478" s="7" t="s">
        <v>7381</v>
      </c>
      <c r="Q2478" s="129">
        <v>46199</v>
      </c>
      <c r="R2478" s="130">
        <f t="shared" si="270"/>
        <v>46209</v>
      </c>
      <c r="S2478" s="131">
        <f t="shared" si="269"/>
        <v>10</v>
      </c>
      <c r="T2478" s="7" t="s">
        <v>173</v>
      </c>
      <c r="U2478" s="7" t="s">
        <v>375</v>
      </c>
      <c r="V2478" s="7"/>
      <c r="W2478" s="7"/>
      <c r="X2478" s="132">
        <f t="shared" si="267"/>
        <v>10</v>
      </c>
      <c r="Y2478" s="133"/>
      <c r="Z2478" s="133"/>
      <c r="AA2478" s="133"/>
    </row>
    <row r="2479" spans="1:27" x14ac:dyDescent="0.25">
      <c r="A2479" s="133"/>
      <c r="B2479" s="128" t="str">
        <f t="shared" si="268"/>
        <v>UYCT</v>
      </c>
      <c r="C2479" s="128" t="str">
        <f>+VLOOKUP(U2479,Ходим!A:B,2,0)</f>
        <v>32002975930037</v>
      </c>
      <c r="D2479" s="128" t="str">
        <f>IFERROR(VLOOKUP($B:$B,[20]свод!$A:$AB,3,0)," ")</f>
        <v>Уйчи тумани</v>
      </c>
      <c r="E2479" s="7" t="s">
        <v>3611</v>
      </c>
      <c r="F2479" s="7" t="s">
        <v>9978</v>
      </c>
      <c r="G2479" s="134">
        <f t="shared" si="271"/>
        <v>1</v>
      </c>
      <c r="H2479" s="134" t="str">
        <f t="shared" si="272"/>
        <v/>
      </c>
      <c r="I2479" s="7" t="s">
        <v>158</v>
      </c>
      <c r="J2479" s="7" t="s">
        <v>35</v>
      </c>
      <c r="K2479" s="7"/>
      <c r="L2479" s="7" t="s">
        <v>167</v>
      </c>
      <c r="M2479" s="7" t="s">
        <v>5862</v>
      </c>
      <c r="N2479" s="7" t="s">
        <v>170</v>
      </c>
      <c r="O2479" s="7" t="s">
        <v>163</v>
      </c>
      <c r="P2479" s="7" t="s">
        <v>7204</v>
      </c>
      <c r="Q2479" s="129">
        <v>46199</v>
      </c>
      <c r="R2479" s="130">
        <f t="shared" si="270"/>
        <v>46199</v>
      </c>
      <c r="S2479" s="131">
        <f t="shared" si="269"/>
        <v>0</v>
      </c>
      <c r="T2479" s="7" t="s">
        <v>947</v>
      </c>
      <c r="U2479" s="7" t="s">
        <v>260</v>
      </c>
      <c r="V2479" s="7"/>
      <c r="W2479" s="7">
        <v>25.5</v>
      </c>
      <c r="X2479" s="132">
        <f t="shared" si="267"/>
        <v>10</v>
      </c>
      <c r="Y2479" s="133"/>
      <c r="Z2479" s="133"/>
      <c r="AA2479" s="133"/>
    </row>
    <row r="2480" spans="1:27" hidden="1" x14ac:dyDescent="0.25">
      <c r="A2480" s="133"/>
      <c r="B2480" s="128" t="str">
        <f t="shared" si="268"/>
        <v>NAMT</v>
      </c>
      <c r="C2480" s="128" t="str">
        <f>+VLOOKUP(U2480,Ходим!A:B,2,0)</f>
        <v>32607902090019</v>
      </c>
      <c r="D2480" s="128" t="str">
        <f>IFERROR(VLOOKUP($B:$B,[20]свод!$A:$AB,3,0)," ")</f>
        <v>Наманган тумани</v>
      </c>
      <c r="E2480" s="7" t="s">
        <v>3612</v>
      </c>
      <c r="F2480" s="7" t="s">
        <v>9979</v>
      </c>
      <c r="G2480" s="134" t="str">
        <f t="shared" si="271"/>
        <v/>
      </c>
      <c r="H2480" s="134">
        <f t="shared" si="272"/>
        <v>1</v>
      </c>
      <c r="I2480" s="7" t="s">
        <v>157</v>
      </c>
      <c r="J2480" s="7" t="s">
        <v>13</v>
      </c>
      <c r="K2480" s="7"/>
      <c r="L2480" s="7" t="s">
        <v>166</v>
      </c>
      <c r="M2480" s="7" t="s">
        <v>5863</v>
      </c>
      <c r="N2480" s="7" t="s">
        <v>170</v>
      </c>
      <c r="O2480" s="7" t="s">
        <v>161</v>
      </c>
      <c r="P2480" s="7" t="s">
        <v>6945</v>
      </c>
      <c r="Q2480" s="129">
        <v>46199</v>
      </c>
      <c r="R2480" s="130">
        <f t="shared" si="270"/>
        <v>46210</v>
      </c>
      <c r="S2480" s="131">
        <f t="shared" si="269"/>
        <v>11</v>
      </c>
      <c r="T2480" s="7" t="s">
        <v>197</v>
      </c>
      <c r="U2480" s="7" t="s">
        <v>243</v>
      </c>
      <c r="V2480" s="7"/>
      <c r="W2480" s="7">
        <v>840.36</v>
      </c>
      <c r="X2480" s="132">
        <f t="shared" si="267"/>
        <v>12</v>
      </c>
      <c r="Y2480" s="133"/>
      <c r="Z2480" s="133"/>
      <c r="AA2480" s="133"/>
    </row>
    <row r="2481" spans="1:27" hidden="1" x14ac:dyDescent="0.25">
      <c r="A2481" s="133"/>
      <c r="B2481" s="128" t="str">
        <f t="shared" si="268"/>
        <v>NAMT</v>
      </c>
      <c r="C2481" s="128">
        <f>+VLOOKUP(U2481,Ходим!A:B,2,0)</f>
        <v>52908045880018</v>
      </c>
      <c r="D2481" s="128" t="str">
        <f>IFERROR(VLOOKUP($B:$B,[20]свод!$A:$AB,3,0)," ")</f>
        <v>Наманган тумани</v>
      </c>
      <c r="E2481" s="7" t="s">
        <v>3613</v>
      </c>
      <c r="F2481" s="7" t="s">
        <v>9980</v>
      </c>
      <c r="G2481" s="134" t="str">
        <f t="shared" si="271"/>
        <v/>
      </c>
      <c r="H2481" s="134">
        <f t="shared" si="272"/>
        <v>1</v>
      </c>
      <c r="I2481" s="7" t="s">
        <v>157</v>
      </c>
      <c r="J2481" s="7" t="s">
        <v>2</v>
      </c>
      <c r="K2481" s="7"/>
      <c r="L2481" s="7" t="s">
        <v>166</v>
      </c>
      <c r="M2481" s="7" t="s">
        <v>5864</v>
      </c>
      <c r="N2481" s="7" t="s">
        <v>170</v>
      </c>
      <c r="O2481" s="7" t="s">
        <v>161</v>
      </c>
      <c r="P2481" s="7" t="s">
        <v>6945</v>
      </c>
      <c r="Q2481" s="129">
        <v>46199</v>
      </c>
      <c r="R2481" s="130">
        <f t="shared" si="270"/>
        <v>46206</v>
      </c>
      <c r="S2481" s="131">
        <f t="shared" si="269"/>
        <v>7</v>
      </c>
      <c r="T2481" s="7" t="s">
        <v>193</v>
      </c>
      <c r="U2481" s="7" t="s">
        <v>982</v>
      </c>
      <c r="V2481" s="7"/>
      <c r="W2481" s="7">
        <v>0</v>
      </c>
      <c r="X2481" s="132">
        <f t="shared" si="267"/>
        <v>10</v>
      </c>
      <c r="Y2481" s="133"/>
      <c r="Z2481" s="133"/>
      <c r="AA2481" s="133"/>
    </row>
    <row r="2482" spans="1:27" hidden="1" x14ac:dyDescent="0.25">
      <c r="A2482" s="133"/>
      <c r="B2482" s="128" t="str">
        <f t="shared" si="268"/>
        <v>NAMT</v>
      </c>
      <c r="C2482" s="128" t="str">
        <f>+VLOOKUP(U2482,Ходим!A:B,2,0)</f>
        <v>31205812090050</v>
      </c>
      <c r="D2482" s="128" t="str">
        <f>IFERROR(VLOOKUP($B:$B,[20]свод!$A:$AB,3,0)," ")</f>
        <v>Наманган тумани</v>
      </c>
      <c r="E2482" s="7" t="s">
        <v>3614</v>
      </c>
      <c r="F2482" s="7" t="s">
        <v>9981</v>
      </c>
      <c r="G2482" s="134" t="str">
        <f t="shared" si="271"/>
        <v/>
      </c>
      <c r="H2482" s="134">
        <f t="shared" si="272"/>
        <v>1</v>
      </c>
      <c r="I2482" s="7" t="s">
        <v>157</v>
      </c>
      <c r="J2482" s="7" t="s">
        <v>2</v>
      </c>
      <c r="K2482" s="7"/>
      <c r="L2482" s="7" t="s">
        <v>166</v>
      </c>
      <c r="M2482" s="7" t="s">
        <v>5865</v>
      </c>
      <c r="N2482" s="7" t="s">
        <v>170</v>
      </c>
      <c r="O2482" s="7" t="s">
        <v>161</v>
      </c>
      <c r="P2482" s="7" t="s">
        <v>6945</v>
      </c>
      <c r="Q2482" s="129">
        <v>46199</v>
      </c>
      <c r="R2482" s="130">
        <f t="shared" si="270"/>
        <v>46210</v>
      </c>
      <c r="S2482" s="131">
        <f t="shared" si="269"/>
        <v>11</v>
      </c>
      <c r="T2482" s="7" t="s">
        <v>197</v>
      </c>
      <c r="U2482" s="7" t="s">
        <v>346</v>
      </c>
      <c r="V2482" s="7"/>
      <c r="W2482" s="7">
        <v>600.96</v>
      </c>
      <c r="X2482" s="132">
        <f t="shared" si="267"/>
        <v>12</v>
      </c>
      <c r="Y2482" s="133"/>
      <c r="Z2482" s="133"/>
      <c r="AA2482" s="133"/>
    </row>
    <row r="2483" spans="1:27" hidden="1" x14ac:dyDescent="0.25">
      <c r="A2483" s="133"/>
      <c r="B2483" s="128" t="str">
        <f t="shared" si="268"/>
        <v>POPT</v>
      </c>
      <c r="C2483" s="128" t="str">
        <f>+VLOOKUP(U2483,Ходим!A:B,2,0)</f>
        <v>30201995910023</v>
      </c>
      <c r="D2483" s="128" t="str">
        <f>IFERROR(VLOOKUP($B:$B,[20]свод!$A:$AB,3,0)," ")</f>
        <v>Поп тумани</v>
      </c>
      <c r="E2483" s="7" t="s">
        <v>3615</v>
      </c>
      <c r="F2483" s="7" t="s">
        <v>9982</v>
      </c>
      <c r="G2483" s="134" t="str">
        <f t="shared" si="271"/>
        <v/>
      </c>
      <c r="H2483" s="134">
        <f t="shared" si="272"/>
        <v>1</v>
      </c>
      <c r="I2483" s="7" t="s">
        <v>155</v>
      </c>
      <c r="J2483" s="7" t="s">
        <v>25</v>
      </c>
      <c r="K2483" s="7"/>
      <c r="L2483" s="7" t="s">
        <v>166</v>
      </c>
      <c r="M2483" s="7" t="s">
        <v>5866</v>
      </c>
      <c r="N2483" s="7" t="s">
        <v>170</v>
      </c>
      <c r="O2483" s="7" t="s">
        <v>161</v>
      </c>
      <c r="P2483" s="7" t="s">
        <v>6728</v>
      </c>
      <c r="Q2483" s="129">
        <v>46199</v>
      </c>
      <c r="R2483" s="130">
        <f t="shared" si="270"/>
        <v>46209</v>
      </c>
      <c r="S2483" s="131">
        <f t="shared" si="269"/>
        <v>10</v>
      </c>
      <c r="T2483" s="7" t="s">
        <v>214</v>
      </c>
      <c r="U2483" s="7" t="s">
        <v>353</v>
      </c>
      <c r="V2483" s="7"/>
      <c r="W2483" s="7">
        <v>31.5</v>
      </c>
      <c r="X2483" s="132">
        <f t="shared" si="267"/>
        <v>10</v>
      </c>
      <c r="Y2483" s="133"/>
      <c r="Z2483" s="133"/>
      <c r="AA2483" s="133"/>
    </row>
    <row r="2484" spans="1:27" hidden="1" x14ac:dyDescent="0.25">
      <c r="A2484" s="133"/>
      <c r="B2484" s="128" t="str">
        <f t="shared" si="268"/>
        <v>POPT</v>
      </c>
      <c r="C2484" s="128" t="str">
        <f>+VLOOKUP(U2484,Ходим!A:B,2,0)</f>
        <v>50310025910024</v>
      </c>
      <c r="D2484" s="128" t="str">
        <f>IFERROR(VLOOKUP($B:$B,[20]свод!$A:$AB,3,0)," ")</f>
        <v>Поп тумани</v>
      </c>
      <c r="E2484" s="7" t="s">
        <v>3616</v>
      </c>
      <c r="F2484" s="7" t="s">
        <v>9983</v>
      </c>
      <c r="G2484" s="134">
        <f t="shared" si="271"/>
        <v>1</v>
      </c>
      <c r="H2484" s="134" t="str">
        <f t="shared" si="272"/>
        <v/>
      </c>
      <c r="I2484" s="7" t="s">
        <v>156</v>
      </c>
      <c r="J2484" s="7" t="s">
        <v>25</v>
      </c>
      <c r="K2484" s="7"/>
      <c r="L2484" s="7"/>
      <c r="M2484" s="7"/>
      <c r="N2484" s="7" t="s">
        <v>170</v>
      </c>
      <c r="O2484" s="7" t="s">
        <v>162</v>
      </c>
      <c r="P2484" s="7" t="s">
        <v>6728</v>
      </c>
      <c r="Q2484" s="129">
        <v>46199</v>
      </c>
      <c r="R2484" s="130">
        <f t="shared" si="270"/>
        <v>46209</v>
      </c>
      <c r="S2484" s="131">
        <f t="shared" si="269"/>
        <v>10</v>
      </c>
      <c r="T2484" s="7" t="s">
        <v>214</v>
      </c>
      <c r="U2484" s="7" t="s">
        <v>964</v>
      </c>
      <c r="V2484" s="7"/>
      <c r="W2484" s="7"/>
      <c r="X2484" s="132">
        <f t="shared" si="267"/>
        <v>10</v>
      </c>
      <c r="Y2484" s="133"/>
      <c r="Z2484" s="133"/>
      <c r="AA2484" s="133"/>
    </row>
    <row r="2485" spans="1:27" hidden="1" x14ac:dyDescent="0.25">
      <c r="A2485" s="133"/>
      <c r="B2485" s="128" t="str">
        <f t="shared" si="268"/>
        <v>UCQT</v>
      </c>
      <c r="C2485" s="128" t="e">
        <f>+VLOOKUP(U2485,Ходим!A:B,2,0)</f>
        <v>#N/A</v>
      </c>
      <c r="D2485" s="128" t="str">
        <f>IFERROR(VLOOKUP($B:$B,[20]свод!$A:$AB,3,0)," ")</f>
        <v>Учқўрғон тумани</v>
      </c>
      <c r="E2485" s="7" t="s">
        <v>3617</v>
      </c>
      <c r="F2485" s="7" t="s">
        <v>9984</v>
      </c>
      <c r="G2485" s="134">
        <f t="shared" si="271"/>
        <v>1</v>
      </c>
      <c r="H2485" s="134" t="str">
        <f t="shared" si="272"/>
        <v/>
      </c>
      <c r="I2485" s="7" t="s">
        <v>156</v>
      </c>
      <c r="J2485" s="7" t="s">
        <v>11</v>
      </c>
      <c r="K2485" s="7"/>
      <c r="L2485" s="7"/>
      <c r="M2485" s="7"/>
      <c r="N2485" s="7" t="s">
        <v>170</v>
      </c>
      <c r="O2485" s="7" t="s">
        <v>162</v>
      </c>
      <c r="P2485" s="7" t="s">
        <v>6728</v>
      </c>
      <c r="Q2485" s="129">
        <v>46199</v>
      </c>
      <c r="R2485" s="130">
        <f t="shared" si="270"/>
        <v>46209</v>
      </c>
      <c r="S2485" s="131">
        <f t="shared" si="269"/>
        <v>10</v>
      </c>
      <c r="T2485" s="7" t="s">
        <v>175</v>
      </c>
      <c r="U2485" s="7"/>
      <c r="V2485" s="7"/>
      <c r="W2485" s="7"/>
      <c r="X2485" s="132">
        <f t="shared" si="267"/>
        <v>10</v>
      </c>
      <c r="Y2485" s="133"/>
      <c r="Z2485" s="133"/>
      <c r="AA2485" s="133"/>
    </row>
    <row r="2486" spans="1:27" hidden="1" x14ac:dyDescent="0.25">
      <c r="A2486" s="133"/>
      <c r="B2486" s="128" t="str">
        <f t="shared" si="268"/>
        <v>KSST</v>
      </c>
      <c r="C2486" s="128" t="str">
        <f>+VLOOKUP(U2486,Ходим!A:B,2,0)</f>
        <v>30507932190090</v>
      </c>
      <c r="D2486" s="128" t="str">
        <f>IFERROR(VLOOKUP($B:$B,[20]свод!$A:$AB,3,0)," ")</f>
        <v>Косонсой тумани</v>
      </c>
      <c r="E2486" s="7" t="s">
        <v>3618</v>
      </c>
      <c r="F2486" s="7" t="s">
        <v>9985</v>
      </c>
      <c r="G2486" s="134">
        <f t="shared" si="271"/>
        <v>1</v>
      </c>
      <c r="H2486" s="134" t="str">
        <f t="shared" si="272"/>
        <v/>
      </c>
      <c r="I2486" s="7" t="s">
        <v>158</v>
      </c>
      <c r="J2486" s="7" t="s">
        <v>13</v>
      </c>
      <c r="K2486" s="7"/>
      <c r="L2486" s="7" t="s">
        <v>167</v>
      </c>
      <c r="M2486" s="7" t="s">
        <v>5867</v>
      </c>
      <c r="N2486" s="7" t="s">
        <v>170</v>
      </c>
      <c r="O2486" s="7" t="s">
        <v>162</v>
      </c>
      <c r="P2486" s="7" t="s">
        <v>6728</v>
      </c>
      <c r="Q2486" s="129">
        <v>46199</v>
      </c>
      <c r="R2486" s="130">
        <f t="shared" si="270"/>
        <v>46209</v>
      </c>
      <c r="S2486" s="131">
        <f t="shared" si="269"/>
        <v>10</v>
      </c>
      <c r="T2486" s="7" t="s">
        <v>180</v>
      </c>
      <c r="U2486" s="7" t="s">
        <v>232</v>
      </c>
      <c r="V2486" s="7"/>
      <c r="W2486" s="7">
        <v>356.37</v>
      </c>
      <c r="X2486" s="132">
        <f t="shared" si="267"/>
        <v>10</v>
      </c>
      <c r="Y2486" s="133"/>
      <c r="Z2486" s="133"/>
      <c r="AA2486" s="133"/>
    </row>
    <row r="2487" spans="1:27" hidden="1" x14ac:dyDescent="0.25">
      <c r="A2487" s="133"/>
      <c r="B2487" s="128" t="str">
        <f t="shared" si="268"/>
        <v>NAMS</v>
      </c>
      <c r="C2487" s="128" t="str">
        <f>+VLOOKUP(U2487,Ходим!A:B,2,0)</f>
        <v>51911035960011</v>
      </c>
      <c r="D2487" s="128" t="str">
        <f>IFERROR(VLOOKUP($B:$B,[20]свод!$A:$AB,3,0)," ")</f>
        <v>Наманган шаҳар</v>
      </c>
      <c r="E2487" s="7" t="s">
        <v>3619</v>
      </c>
      <c r="F2487" s="7" t="s">
        <v>9986</v>
      </c>
      <c r="G2487" s="134">
        <f t="shared" si="271"/>
        <v>1</v>
      </c>
      <c r="H2487" s="134" t="str">
        <f t="shared" si="272"/>
        <v/>
      </c>
      <c r="I2487" s="7" t="s">
        <v>154</v>
      </c>
      <c r="J2487" s="7" t="s">
        <v>117</v>
      </c>
      <c r="K2487" s="7"/>
      <c r="L2487" s="7"/>
      <c r="M2487" s="7"/>
      <c r="N2487" s="7" t="s">
        <v>170</v>
      </c>
      <c r="O2487" s="7" t="s">
        <v>162</v>
      </c>
      <c r="P2487" s="7" t="s">
        <v>7214</v>
      </c>
      <c r="Q2487" s="129">
        <v>46199</v>
      </c>
      <c r="R2487" s="130">
        <f t="shared" si="270"/>
        <v>46206</v>
      </c>
      <c r="S2487" s="131">
        <f t="shared" si="269"/>
        <v>7</v>
      </c>
      <c r="T2487" s="7" t="s">
        <v>185</v>
      </c>
      <c r="U2487" s="7" t="s">
        <v>371</v>
      </c>
      <c r="V2487" s="7"/>
      <c r="W2487" s="7"/>
      <c r="X2487" s="132">
        <f t="shared" si="267"/>
        <v>10</v>
      </c>
      <c r="Y2487" s="133"/>
      <c r="Z2487" s="133"/>
      <c r="AA2487" s="133"/>
    </row>
    <row r="2488" spans="1:27" hidden="1" x14ac:dyDescent="0.25">
      <c r="A2488" s="133"/>
      <c r="B2488" s="128" t="str">
        <f t="shared" si="268"/>
        <v>NAMT</v>
      </c>
      <c r="C2488" s="128">
        <f>+VLOOKUP(U2488,Ходим!A:B,2,0)</f>
        <v>52908045880018</v>
      </c>
      <c r="D2488" s="128" t="str">
        <f>IFERROR(VLOOKUP($B:$B,[20]свод!$A:$AB,3,0)," ")</f>
        <v>Наманган тумани</v>
      </c>
      <c r="E2488" s="7" t="s">
        <v>3620</v>
      </c>
      <c r="F2488" s="7" t="s">
        <v>9987</v>
      </c>
      <c r="G2488" s="134" t="str">
        <f t="shared" si="271"/>
        <v/>
      </c>
      <c r="H2488" s="134">
        <f t="shared" si="272"/>
        <v>1</v>
      </c>
      <c r="I2488" s="7" t="s">
        <v>157</v>
      </c>
      <c r="J2488" s="7" t="s">
        <v>2</v>
      </c>
      <c r="K2488" s="7"/>
      <c r="L2488" s="7" t="s">
        <v>166</v>
      </c>
      <c r="M2488" s="7" t="s">
        <v>5868</v>
      </c>
      <c r="N2488" s="7" t="s">
        <v>170</v>
      </c>
      <c r="O2488" s="7" t="s">
        <v>161</v>
      </c>
      <c r="P2488" s="7" t="s">
        <v>6951</v>
      </c>
      <c r="Q2488" s="129">
        <v>46199</v>
      </c>
      <c r="R2488" s="130">
        <f t="shared" si="270"/>
        <v>46210</v>
      </c>
      <c r="S2488" s="131">
        <f t="shared" si="269"/>
        <v>11</v>
      </c>
      <c r="T2488" s="7" t="s">
        <v>193</v>
      </c>
      <c r="U2488" s="7" t="s">
        <v>982</v>
      </c>
      <c r="V2488" s="7"/>
      <c r="W2488" s="7">
        <v>490.2</v>
      </c>
      <c r="X2488" s="132">
        <f t="shared" si="267"/>
        <v>12</v>
      </c>
      <c r="Y2488" s="133"/>
      <c r="Z2488" s="133"/>
      <c r="AA2488" s="133"/>
    </row>
    <row r="2489" spans="1:27" hidden="1" x14ac:dyDescent="0.25">
      <c r="A2489" s="133"/>
      <c r="B2489" s="128" t="str">
        <f t="shared" si="268"/>
        <v>NAMS</v>
      </c>
      <c r="C2489" s="128" t="str">
        <f>+VLOOKUP(U2489,Ходим!A:B,2,0)</f>
        <v>32207925880019</v>
      </c>
      <c r="D2489" s="128" t="str">
        <f>IFERROR(VLOOKUP($B:$B,[20]свод!$A:$AB,3,0)," ")</f>
        <v>Наманган шаҳар</v>
      </c>
      <c r="E2489" s="7" t="s">
        <v>3621</v>
      </c>
      <c r="F2489" s="7" t="s">
        <v>9988</v>
      </c>
      <c r="G2489" s="134" t="str">
        <f t="shared" si="271"/>
        <v/>
      </c>
      <c r="H2489" s="134">
        <f t="shared" si="272"/>
        <v>1</v>
      </c>
      <c r="I2489" s="7" t="s">
        <v>155</v>
      </c>
      <c r="J2489" s="7" t="s">
        <v>25</v>
      </c>
      <c r="K2489" s="7"/>
      <c r="L2489" s="7"/>
      <c r="M2489" s="7"/>
      <c r="N2489" s="7" t="s">
        <v>170</v>
      </c>
      <c r="O2489" s="7" t="s">
        <v>161</v>
      </c>
      <c r="P2489" s="7" t="s">
        <v>7130</v>
      </c>
      <c r="Q2489" s="129">
        <v>46199</v>
      </c>
      <c r="R2489" s="130">
        <f t="shared" si="270"/>
        <v>46209</v>
      </c>
      <c r="S2489" s="131">
        <f t="shared" si="269"/>
        <v>10</v>
      </c>
      <c r="T2489" s="7" t="s">
        <v>227</v>
      </c>
      <c r="U2489" s="7" t="s">
        <v>174</v>
      </c>
      <c r="V2489" s="7"/>
      <c r="W2489" s="7"/>
      <c r="X2489" s="132">
        <f t="shared" si="267"/>
        <v>10</v>
      </c>
      <c r="Y2489" s="133"/>
      <c r="Z2489" s="133"/>
      <c r="AA2489" s="133"/>
    </row>
    <row r="2490" spans="1:27" hidden="1" x14ac:dyDescent="0.25">
      <c r="A2490" s="133"/>
      <c r="B2490" s="128" t="str">
        <f t="shared" si="268"/>
        <v>NAMS</v>
      </c>
      <c r="C2490" s="128" t="str">
        <f>+VLOOKUP(U2490,Ходим!A:B,2,0)</f>
        <v>31007955980023</v>
      </c>
      <c r="D2490" s="128" t="str">
        <f>IFERROR(VLOOKUP($B:$B,[20]свод!$A:$AB,3,0)," ")</f>
        <v>Наманган шаҳар</v>
      </c>
      <c r="E2490" s="7" t="s">
        <v>3622</v>
      </c>
      <c r="F2490" s="7" t="s">
        <v>9989</v>
      </c>
      <c r="G2490" s="134">
        <f t="shared" si="271"/>
        <v>1</v>
      </c>
      <c r="H2490" s="134" t="str">
        <f t="shared" si="272"/>
        <v/>
      </c>
      <c r="I2490" s="7" t="s">
        <v>156</v>
      </c>
      <c r="J2490" s="7" t="s">
        <v>25</v>
      </c>
      <c r="K2490" s="7"/>
      <c r="L2490" s="7"/>
      <c r="M2490" s="7"/>
      <c r="N2490" s="7" t="s">
        <v>170</v>
      </c>
      <c r="O2490" s="7" t="s">
        <v>162</v>
      </c>
      <c r="P2490" s="7" t="s">
        <v>7130</v>
      </c>
      <c r="Q2490" s="129">
        <v>46199</v>
      </c>
      <c r="R2490" s="130">
        <f t="shared" si="270"/>
        <v>46209</v>
      </c>
      <c r="S2490" s="131">
        <f t="shared" si="269"/>
        <v>10</v>
      </c>
      <c r="T2490" s="7" t="s">
        <v>173</v>
      </c>
      <c r="U2490" s="7" t="s">
        <v>207</v>
      </c>
      <c r="V2490" s="7"/>
      <c r="W2490" s="7"/>
      <c r="X2490" s="132">
        <f t="shared" si="267"/>
        <v>10</v>
      </c>
      <c r="Y2490" s="133"/>
      <c r="Z2490" s="133"/>
      <c r="AA2490" s="133"/>
    </row>
    <row r="2491" spans="1:27" hidden="1" x14ac:dyDescent="0.25">
      <c r="A2491" s="133"/>
      <c r="B2491" s="128" t="str">
        <f t="shared" si="268"/>
        <v>YGQT</v>
      </c>
      <c r="C2491" s="128" t="str">
        <f>+VLOOKUP(U2491,Ходим!A:B,2,0)</f>
        <v>32105902160025</v>
      </c>
      <c r="D2491" s="128" t="str">
        <f>IFERROR(VLOOKUP($B:$B,[20]свод!$A:$AB,3,0)," ")</f>
        <v>Янгиқўрғон тумани</v>
      </c>
      <c r="E2491" s="7" t="s">
        <v>3623</v>
      </c>
      <c r="F2491" s="7" t="s">
        <v>9990</v>
      </c>
      <c r="G2491" s="134">
        <f t="shared" si="271"/>
        <v>1</v>
      </c>
      <c r="H2491" s="134" t="str">
        <f t="shared" si="272"/>
        <v/>
      </c>
      <c r="I2491" s="7" t="s">
        <v>158</v>
      </c>
      <c r="J2491" s="7" t="s">
        <v>2</v>
      </c>
      <c r="K2491" s="7"/>
      <c r="L2491" s="7"/>
      <c r="M2491" s="7"/>
      <c r="N2491" s="7" t="s">
        <v>170</v>
      </c>
      <c r="O2491" s="7" t="s">
        <v>162</v>
      </c>
      <c r="P2491" s="7" t="s">
        <v>7365</v>
      </c>
      <c r="Q2491" s="129">
        <v>46199</v>
      </c>
      <c r="R2491" s="130">
        <f t="shared" si="270"/>
        <v>46209</v>
      </c>
      <c r="S2491" s="131">
        <f t="shared" si="269"/>
        <v>10</v>
      </c>
      <c r="T2491" s="7" t="s">
        <v>255</v>
      </c>
      <c r="U2491" s="7" t="s">
        <v>308</v>
      </c>
      <c r="V2491" s="7"/>
      <c r="W2491" s="7"/>
      <c r="X2491" s="132">
        <f t="shared" ref="X2491:X2553" si="273">IF(N2491="Kadastr muhandisi",3,
IF(N2491="UZKAD",5,
IF(V2491="FREE",5,
IF(I2491="Registratsiya (tashqi - UZKAD da bor)",1,
IF(I2491="Avtoyo'l va suv xo'jaligi obyektining kadastr pasportini shakllantirish va ro'yxatga olish",7,
IF(I2491="Notarius uchun ma'lumotnoma (uz)",1,
IF(I2491="Qurilishi tugallangan ko'chmas mulkni foydalanishga qabul qilish",10,
IF(OR(I2491="Turar joy obyektning kadastr pasportini shakllantirish va davlat ro'yxatidan o'tkazish",I2491="Turar kompozit"),
IF(L2491="Turar yer maydoni",7,10),
IF(OR(I2491="Noturar obyektning kadastr pasportini shakllantirish va davlat ro'yxatidan o'tkazish",I2491="Noturar kompozit"),
IF(O2491="Ko‘p yillik daraxtlar xizmati",15,
IF(OR(L2491="Noturar yer maydoni",L2491="Davlat tashkilotlaridan ijaraga olingan yer uchastkasi"),7,
IF(W2491&lt;100,10,IF(W2491&lt;=1000,12,IF(W2491&lt;=5000,17,IF(W2491&lt;=15000,22,IF(W2491&lt;=50000,28,37))))))),
IF(I2491="Umumiy foydalanishdagi ko'chmas mulk qismini yaratish",
IF(IF(TRIM(L2491)="",IF(OR(O2491="Turar joy xizmati",O2491="Yakka tartibdagi turar joy"),"Turar","Noturar"),IF(OR(L2491="Yakka tartibdagi turar joy",L2491="Turar joy xizmati"),"Turar","Noturar"))="Turar",
10,IF(W2491&lt;100,10,IF(W2491&lt;=1000,12,IF(W2491&lt;=5000,17,IF(W2491&lt;=15000,22,IF(W2491&lt;=50000,28,37)))))),
0))))))))))</f>
        <v>10</v>
      </c>
      <c r="Y2491" s="133"/>
      <c r="Z2491" s="133"/>
      <c r="AA2491" s="133"/>
    </row>
    <row r="2492" spans="1:27" hidden="1" x14ac:dyDescent="0.25">
      <c r="A2492" s="133"/>
      <c r="B2492" s="128" t="str">
        <f t="shared" ref="B2492:B2554" si="274">LEFT(E2492,4)</f>
        <v>NAMS</v>
      </c>
      <c r="C2492" s="128" t="str">
        <f>+VLOOKUP(U2492,Ходим!A:B,2,0)</f>
        <v>51705025890024</v>
      </c>
      <c r="D2492" s="128" t="str">
        <f>IFERROR(VLOOKUP($B:$B,[20]свод!$A:$AB,3,0)," ")</f>
        <v>Наманган шаҳар</v>
      </c>
      <c r="E2492" s="7" t="s">
        <v>3624</v>
      </c>
      <c r="F2492" s="7" t="s">
        <v>9991</v>
      </c>
      <c r="G2492" s="134">
        <f t="shared" si="271"/>
        <v>1</v>
      </c>
      <c r="H2492" s="134" t="str">
        <f t="shared" si="272"/>
        <v/>
      </c>
      <c r="I2492" s="7" t="s">
        <v>156</v>
      </c>
      <c r="J2492" s="7" t="s">
        <v>22</v>
      </c>
      <c r="K2492" s="7"/>
      <c r="L2492" s="7" t="s">
        <v>167</v>
      </c>
      <c r="M2492" s="7" t="s">
        <v>1005</v>
      </c>
      <c r="N2492" s="7" t="s">
        <v>170</v>
      </c>
      <c r="O2492" s="7" t="s">
        <v>163</v>
      </c>
      <c r="P2492" s="7" t="s">
        <v>7130</v>
      </c>
      <c r="Q2492" s="129">
        <v>46199</v>
      </c>
      <c r="R2492" s="130">
        <f t="shared" si="270"/>
        <v>46209</v>
      </c>
      <c r="S2492" s="131">
        <f t="shared" ref="S2492:S2554" si="275">R2492-Q2492</f>
        <v>10</v>
      </c>
      <c r="T2492" s="7" t="s">
        <v>173</v>
      </c>
      <c r="U2492" s="7" t="s">
        <v>189</v>
      </c>
      <c r="V2492" s="7"/>
      <c r="W2492" s="7">
        <v>393.76</v>
      </c>
      <c r="X2492" s="132">
        <f t="shared" si="273"/>
        <v>10</v>
      </c>
      <c r="Y2492" s="133"/>
      <c r="Z2492" s="133"/>
      <c r="AA2492" s="133"/>
    </row>
    <row r="2493" spans="1:27" hidden="1" x14ac:dyDescent="0.25">
      <c r="A2493" s="133"/>
      <c r="B2493" s="128" t="str">
        <f t="shared" si="274"/>
        <v>MINT</v>
      </c>
      <c r="C2493" s="128" t="str">
        <f>+VLOOKUP(U2493,Ходим!A:B,2,0)</f>
        <v>30109882130063</v>
      </c>
      <c r="D2493" s="128" t="str">
        <f>IFERROR(VLOOKUP($B:$B,[20]свод!$A:$AB,3,0)," ")</f>
        <v>Мингбулоқ тумани</v>
      </c>
      <c r="E2493" s="7" t="s">
        <v>3625</v>
      </c>
      <c r="F2493" s="7" t="s">
        <v>9992</v>
      </c>
      <c r="G2493" s="134">
        <f t="shared" si="271"/>
        <v>1</v>
      </c>
      <c r="H2493" s="134" t="str">
        <f t="shared" si="272"/>
        <v/>
      </c>
      <c r="I2493" s="7" t="s">
        <v>158</v>
      </c>
      <c r="J2493" s="7" t="s">
        <v>1</v>
      </c>
      <c r="K2493" s="7"/>
      <c r="L2493" s="7" t="s">
        <v>167</v>
      </c>
      <c r="M2493" s="7" t="s">
        <v>5869</v>
      </c>
      <c r="N2493" s="7" t="s">
        <v>410</v>
      </c>
      <c r="O2493" s="7" t="s">
        <v>162</v>
      </c>
      <c r="P2493" s="7" t="s">
        <v>6393</v>
      </c>
      <c r="Q2493" s="129">
        <v>46199</v>
      </c>
      <c r="R2493" s="130">
        <f t="shared" si="270"/>
        <v>46204</v>
      </c>
      <c r="S2493" s="131">
        <f t="shared" si="275"/>
        <v>5</v>
      </c>
      <c r="T2493" s="7" t="s">
        <v>220</v>
      </c>
      <c r="U2493" s="7" t="s">
        <v>262</v>
      </c>
      <c r="V2493" s="7"/>
      <c r="W2493" s="7">
        <v>293.61</v>
      </c>
      <c r="X2493" s="132">
        <f t="shared" si="273"/>
        <v>10</v>
      </c>
      <c r="Y2493" s="133"/>
      <c r="Z2493" s="133"/>
      <c r="AA2493" s="133"/>
    </row>
    <row r="2494" spans="1:27" hidden="1" x14ac:dyDescent="0.25">
      <c r="A2494" s="133"/>
      <c r="B2494" s="128" t="str">
        <f t="shared" si="274"/>
        <v>NAMS</v>
      </c>
      <c r="C2494" s="128" t="str">
        <f>+VLOOKUP(U2494,Ходим!A:B,2,0)</f>
        <v>33012942170121</v>
      </c>
      <c r="D2494" s="128" t="str">
        <f>IFERROR(VLOOKUP($B:$B,[20]свод!$A:$AB,3,0)," ")</f>
        <v>Наманган шаҳар</v>
      </c>
      <c r="E2494" s="7" t="s">
        <v>3626</v>
      </c>
      <c r="F2494" s="7" t="s">
        <v>9993</v>
      </c>
      <c r="G2494" s="134">
        <f t="shared" si="271"/>
        <v>1</v>
      </c>
      <c r="H2494" s="134" t="str">
        <f t="shared" si="272"/>
        <v/>
      </c>
      <c r="I2494" s="7" t="s">
        <v>158</v>
      </c>
      <c r="J2494" s="7" t="s">
        <v>172</v>
      </c>
      <c r="K2494" s="7"/>
      <c r="L2494" s="7" t="s">
        <v>167</v>
      </c>
      <c r="M2494" s="7" t="s">
        <v>5870</v>
      </c>
      <c r="N2494" s="7" t="s">
        <v>170</v>
      </c>
      <c r="O2494" s="7" t="s">
        <v>162</v>
      </c>
      <c r="P2494" s="7" t="s">
        <v>7365</v>
      </c>
      <c r="Q2494" s="129">
        <v>46199</v>
      </c>
      <c r="R2494" s="130">
        <f t="shared" si="270"/>
        <v>46209</v>
      </c>
      <c r="S2494" s="131">
        <f t="shared" si="275"/>
        <v>10</v>
      </c>
      <c r="T2494" s="7" t="s">
        <v>173</v>
      </c>
      <c r="U2494" s="7" t="s">
        <v>259</v>
      </c>
      <c r="V2494" s="7"/>
      <c r="W2494" s="7">
        <v>206.04</v>
      </c>
      <c r="X2494" s="132">
        <f t="shared" si="273"/>
        <v>10</v>
      </c>
      <c r="Y2494" s="133"/>
      <c r="Z2494" s="133"/>
      <c r="AA2494" s="133"/>
    </row>
    <row r="2495" spans="1:27" hidden="1" x14ac:dyDescent="0.25">
      <c r="A2495" s="133"/>
      <c r="B2495" s="128" t="str">
        <f t="shared" si="274"/>
        <v>KSST</v>
      </c>
      <c r="C2495" s="128" t="str">
        <f>+VLOOKUP(U2495,Ходим!A:B,2,0)</f>
        <v>30205975980020</v>
      </c>
      <c r="D2495" s="128" t="str">
        <f>IFERROR(VLOOKUP($B:$B,[20]свод!$A:$AB,3,0)," ")</f>
        <v>Косонсой тумани</v>
      </c>
      <c r="E2495" s="7" t="s">
        <v>3627</v>
      </c>
      <c r="F2495" s="7" t="s">
        <v>9994</v>
      </c>
      <c r="G2495" s="134">
        <f t="shared" si="271"/>
        <v>1</v>
      </c>
      <c r="H2495" s="134" t="str">
        <f t="shared" si="272"/>
        <v/>
      </c>
      <c r="I2495" s="7" t="s">
        <v>156</v>
      </c>
      <c r="J2495" s="7" t="s">
        <v>25</v>
      </c>
      <c r="K2495" s="7"/>
      <c r="L2495" s="7"/>
      <c r="M2495" s="7"/>
      <c r="N2495" s="7" t="s">
        <v>170</v>
      </c>
      <c r="O2495" s="7" t="s">
        <v>162</v>
      </c>
      <c r="P2495" s="7" t="s">
        <v>7382</v>
      </c>
      <c r="Q2495" s="129">
        <v>46199</v>
      </c>
      <c r="R2495" s="130">
        <f t="shared" si="270"/>
        <v>46209</v>
      </c>
      <c r="S2495" s="131">
        <f t="shared" si="275"/>
        <v>10</v>
      </c>
      <c r="T2495" s="7" t="s">
        <v>180</v>
      </c>
      <c r="U2495" s="7" t="s">
        <v>370</v>
      </c>
      <c r="V2495" s="7"/>
      <c r="W2495" s="7"/>
      <c r="X2495" s="132">
        <f t="shared" si="273"/>
        <v>10</v>
      </c>
      <c r="Y2495" s="133"/>
      <c r="Z2495" s="133"/>
      <c r="AA2495" s="133"/>
    </row>
    <row r="2496" spans="1:27" hidden="1" x14ac:dyDescent="0.25">
      <c r="A2496" s="133"/>
      <c r="B2496" s="128" t="str">
        <f t="shared" si="274"/>
        <v>KSST</v>
      </c>
      <c r="C2496" s="128" t="str">
        <f>+VLOOKUP(U2496,Ходим!A:B,2,0)</f>
        <v>30507932190090</v>
      </c>
      <c r="D2496" s="128" t="str">
        <f>IFERROR(VLOOKUP($B:$B,[20]свод!$A:$AB,3,0)," ")</f>
        <v>Косонсой тумани</v>
      </c>
      <c r="E2496" s="7" t="s">
        <v>3628</v>
      </c>
      <c r="F2496" s="7" t="s">
        <v>9995</v>
      </c>
      <c r="G2496" s="134">
        <f t="shared" si="271"/>
        <v>1</v>
      </c>
      <c r="H2496" s="134" t="str">
        <f t="shared" si="272"/>
        <v/>
      </c>
      <c r="I2496" s="7" t="s">
        <v>158</v>
      </c>
      <c r="J2496" s="7" t="s">
        <v>1</v>
      </c>
      <c r="K2496" s="7"/>
      <c r="L2496" s="7" t="s">
        <v>167</v>
      </c>
      <c r="M2496" s="7" t="s">
        <v>5871</v>
      </c>
      <c r="N2496" s="7" t="s">
        <v>170</v>
      </c>
      <c r="O2496" s="7" t="s">
        <v>162</v>
      </c>
      <c r="P2496" s="7" t="s">
        <v>6453</v>
      </c>
      <c r="Q2496" s="129">
        <v>46199</v>
      </c>
      <c r="R2496" s="130">
        <f t="shared" si="270"/>
        <v>46205</v>
      </c>
      <c r="S2496" s="131">
        <f t="shared" si="275"/>
        <v>6</v>
      </c>
      <c r="T2496" s="7" t="s">
        <v>180</v>
      </c>
      <c r="U2496" s="7" t="s">
        <v>232</v>
      </c>
      <c r="V2496" s="7"/>
      <c r="W2496" s="7">
        <v>434.8</v>
      </c>
      <c r="X2496" s="132">
        <f t="shared" si="273"/>
        <v>10</v>
      </c>
      <c r="Y2496" s="133"/>
      <c r="Z2496" s="133"/>
      <c r="AA2496" s="133"/>
    </row>
    <row r="2497" spans="1:27" hidden="1" x14ac:dyDescent="0.25">
      <c r="A2497" s="133"/>
      <c r="B2497" s="128" t="str">
        <f t="shared" si="274"/>
        <v>YGQT</v>
      </c>
      <c r="C2497" s="128" t="str">
        <f>+VLOOKUP(U2497,Ходим!A:B,2,0)</f>
        <v>31108942160081</v>
      </c>
      <c r="D2497" s="128" t="str">
        <f>IFERROR(VLOOKUP($B:$B,[20]свод!$A:$AB,3,0)," ")</f>
        <v>Янгиқўрғон тумани</v>
      </c>
      <c r="E2497" s="7" t="s">
        <v>3629</v>
      </c>
      <c r="F2497" s="7" t="s">
        <v>9996</v>
      </c>
      <c r="G2497" s="134">
        <f t="shared" si="271"/>
        <v>1</v>
      </c>
      <c r="H2497" s="134" t="str">
        <f t="shared" si="272"/>
        <v/>
      </c>
      <c r="I2497" s="7" t="s">
        <v>158</v>
      </c>
      <c r="J2497" s="7" t="s">
        <v>2</v>
      </c>
      <c r="K2497" s="7"/>
      <c r="L2497" s="7" t="s">
        <v>167</v>
      </c>
      <c r="M2497" s="7" t="s">
        <v>5872</v>
      </c>
      <c r="N2497" s="7" t="s">
        <v>170</v>
      </c>
      <c r="O2497" s="7" t="s">
        <v>162</v>
      </c>
      <c r="P2497" s="7" t="s">
        <v>7383</v>
      </c>
      <c r="Q2497" s="129">
        <v>46199</v>
      </c>
      <c r="R2497" s="130">
        <f t="shared" si="270"/>
        <v>46209</v>
      </c>
      <c r="S2497" s="131">
        <f t="shared" si="275"/>
        <v>10</v>
      </c>
      <c r="T2497" s="7" t="s">
        <v>255</v>
      </c>
      <c r="U2497" s="7" t="s">
        <v>228</v>
      </c>
      <c r="V2497" s="7"/>
      <c r="W2497" s="7">
        <v>42.4</v>
      </c>
      <c r="X2497" s="132">
        <f t="shared" si="273"/>
        <v>10</v>
      </c>
      <c r="Y2497" s="133"/>
      <c r="Z2497" s="133"/>
      <c r="AA2497" s="133"/>
    </row>
    <row r="2498" spans="1:27" hidden="1" x14ac:dyDescent="0.25">
      <c r="A2498" s="133"/>
      <c r="B2498" s="128" t="str">
        <f t="shared" si="274"/>
        <v>NAMS</v>
      </c>
      <c r="C2498" s="128" t="str">
        <f>+VLOOKUP(U2498,Ходим!A:B,2,0)</f>
        <v>52107015960107</v>
      </c>
      <c r="D2498" s="128" t="str">
        <f>IFERROR(VLOOKUP($B:$B,[20]свод!$A:$AB,3,0)," ")</f>
        <v>Наманган шаҳар</v>
      </c>
      <c r="E2498" s="7" t="s">
        <v>3630</v>
      </c>
      <c r="F2498" s="7" t="s">
        <v>9997</v>
      </c>
      <c r="G2498" s="134">
        <f t="shared" si="271"/>
        <v>1</v>
      </c>
      <c r="H2498" s="134" t="str">
        <f t="shared" si="272"/>
        <v/>
      </c>
      <c r="I2498" s="7" t="s">
        <v>158</v>
      </c>
      <c r="J2498" s="7" t="s">
        <v>2</v>
      </c>
      <c r="K2498" s="7"/>
      <c r="L2498" s="7" t="s">
        <v>167</v>
      </c>
      <c r="M2498" s="7" t="s">
        <v>5873</v>
      </c>
      <c r="N2498" s="7" t="s">
        <v>410</v>
      </c>
      <c r="O2498" s="7" t="s">
        <v>162</v>
      </c>
      <c r="P2498" s="7" t="s">
        <v>7384</v>
      </c>
      <c r="Q2498" s="129">
        <v>46199</v>
      </c>
      <c r="R2498" s="130">
        <f t="shared" si="270"/>
        <v>46209</v>
      </c>
      <c r="S2498" s="131">
        <f t="shared" si="275"/>
        <v>10</v>
      </c>
      <c r="T2498" s="7" t="s">
        <v>173</v>
      </c>
      <c r="U2498" s="7" t="s">
        <v>348</v>
      </c>
      <c r="V2498" s="7"/>
      <c r="W2498" s="7">
        <v>55.71</v>
      </c>
      <c r="X2498" s="132">
        <f t="shared" si="273"/>
        <v>10</v>
      </c>
      <c r="Y2498" s="133"/>
      <c r="Z2498" s="133"/>
      <c r="AA2498" s="133"/>
    </row>
    <row r="2499" spans="1:27" hidden="1" x14ac:dyDescent="0.25">
      <c r="A2499" s="133"/>
      <c r="B2499" s="128" t="str">
        <f t="shared" si="274"/>
        <v>KSST</v>
      </c>
      <c r="C2499" s="128" t="str">
        <f>+VLOOKUP(U2499,Ходим!A:B,2,0)</f>
        <v>30507932190090</v>
      </c>
      <c r="D2499" s="128" t="str">
        <f>IFERROR(VLOOKUP($B:$B,[20]свод!$A:$AB,3,0)," ")</f>
        <v>Косонсой тумани</v>
      </c>
      <c r="E2499" s="7" t="s">
        <v>3631</v>
      </c>
      <c r="F2499" s="7" t="s">
        <v>9998</v>
      </c>
      <c r="G2499" s="134">
        <f t="shared" si="271"/>
        <v>1</v>
      </c>
      <c r="H2499" s="134" t="str">
        <f t="shared" si="272"/>
        <v/>
      </c>
      <c r="I2499" s="7" t="s">
        <v>158</v>
      </c>
      <c r="J2499" s="7" t="s">
        <v>2</v>
      </c>
      <c r="K2499" s="7"/>
      <c r="L2499" s="7" t="s">
        <v>167</v>
      </c>
      <c r="M2499" s="7" t="s">
        <v>5874</v>
      </c>
      <c r="N2499" s="7" t="s">
        <v>170</v>
      </c>
      <c r="O2499" s="7" t="s">
        <v>162</v>
      </c>
      <c r="P2499" s="7" t="s">
        <v>7384</v>
      </c>
      <c r="Q2499" s="129">
        <v>46199</v>
      </c>
      <c r="R2499" s="130">
        <f t="shared" si="270"/>
        <v>46209</v>
      </c>
      <c r="S2499" s="131">
        <f t="shared" si="275"/>
        <v>10</v>
      </c>
      <c r="T2499" s="7" t="s">
        <v>180</v>
      </c>
      <c r="U2499" s="7" t="s">
        <v>232</v>
      </c>
      <c r="V2499" s="7"/>
      <c r="W2499" s="7">
        <v>193.34</v>
      </c>
      <c r="X2499" s="132">
        <f t="shared" si="273"/>
        <v>10</v>
      </c>
      <c r="Y2499" s="133"/>
      <c r="Z2499" s="133"/>
      <c r="AA2499" s="133"/>
    </row>
    <row r="2500" spans="1:27" hidden="1" x14ac:dyDescent="0.25">
      <c r="A2500" s="133"/>
      <c r="B2500" s="128" t="str">
        <f t="shared" si="274"/>
        <v>NAMS</v>
      </c>
      <c r="C2500" s="128">
        <f>+VLOOKUP(U2500,Ходим!A:B,2,0)</f>
        <v>50510025960139</v>
      </c>
      <c r="D2500" s="128" t="str">
        <f>IFERROR(VLOOKUP($B:$B,[20]свод!$A:$AB,3,0)," ")</f>
        <v>Наманган шаҳар</v>
      </c>
      <c r="E2500" s="7" t="s">
        <v>3632</v>
      </c>
      <c r="F2500" s="7" t="s">
        <v>9999</v>
      </c>
      <c r="G2500" s="134">
        <f t="shared" si="271"/>
        <v>1</v>
      </c>
      <c r="H2500" s="134" t="str">
        <f t="shared" si="272"/>
        <v/>
      </c>
      <c r="I2500" s="7" t="s">
        <v>156</v>
      </c>
      <c r="J2500" s="7" t="s">
        <v>25</v>
      </c>
      <c r="K2500" s="7"/>
      <c r="L2500" s="7"/>
      <c r="M2500" s="7"/>
      <c r="N2500" s="7" t="s">
        <v>170</v>
      </c>
      <c r="O2500" s="7" t="s">
        <v>162</v>
      </c>
      <c r="P2500" s="7" t="s">
        <v>7384</v>
      </c>
      <c r="Q2500" s="129">
        <v>46199</v>
      </c>
      <c r="R2500" s="130">
        <f t="shared" si="270"/>
        <v>46209</v>
      </c>
      <c r="S2500" s="131">
        <f t="shared" si="275"/>
        <v>10</v>
      </c>
      <c r="T2500" s="7" t="s">
        <v>173</v>
      </c>
      <c r="U2500" s="7" t="s">
        <v>955</v>
      </c>
      <c r="V2500" s="7"/>
      <c r="W2500" s="7"/>
      <c r="X2500" s="132">
        <f t="shared" si="273"/>
        <v>10</v>
      </c>
      <c r="Y2500" s="133"/>
      <c r="Z2500" s="133"/>
      <c r="AA2500" s="133"/>
    </row>
    <row r="2501" spans="1:27" hidden="1" x14ac:dyDescent="0.25">
      <c r="A2501" s="133"/>
      <c r="B2501" s="128" t="str">
        <f t="shared" si="274"/>
        <v>UYCT</v>
      </c>
      <c r="C2501" s="128" t="str">
        <f>+VLOOKUP(U2501,Ходим!A:B,2,0)</f>
        <v>51501005930032</v>
      </c>
      <c r="D2501" s="128" t="str">
        <f>IFERROR(VLOOKUP($B:$B,[20]свод!$A:$AB,3,0)," ")</f>
        <v>Уйчи тумани</v>
      </c>
      <c r="E2501" s="7" t="s">
        <v>3633</v>
      </c>
      <c r="F2501" s="7" t="s">
        <v>10000</v>
      </c>
      <c r="G2501" s="134">
        <f t="shared" si="271"/>
        <v>1</v>
      </c>
      <c r="H2501" s="134" t="str">
        <f t="shared" si="272"/>
        <v/>
      </c>
      <c r="I2501" s="7" t="s">
        <v>158</v>
      </c>
      <c r="J2501" s="7" t="s">
        <v>2</v>
      </c>
      <c r="K2501" s="7"/>
      <c r="L2501" s="7" t="s">
        <v>167</v>
      </c>
      <c r="M2501" s="7" t="s">
        <v>5875</v>
      </c>
      <c r="N2501" s="7" t="s">
        <v>170</v>
      </c>
      <c r="O2501" s="7" t="s">
        <v>162</v>
      </c>
      <c r="P2501" s="7" t="s">
        <v>7384</v>
      </c>
      <c r="Q2501" s="129">
        <v>46199</v>
      </c>
      <c r="R2501" s="130">
        <f t="shared" si="270"/>
        <v>46209</v>
      </c>
      <c r="S2501" s="131">
        <f t="shared" si="275"/>
        <v>10</v>
      </c>
      <c r="T2501" s="7" t="s">
        <v>947</v>
      </c>
      <c r="U2501" s="7" t="s">
        <v>326</v>
      </c>
      <c r="V2501" s="7"/>
      <c r="W2501" s="7">
        <v>176</v>
      </c>
      <c r="X2501" s="132">
        <f t="shared" si="273"/>
        <v>10</v>
      </c>
      <c r="Y2501" s="133"/>
      <c r="Z2501" s="133"/>
      <c r="AA2501" s="133"/>
    </row>
    <row r="2502" spans="1:27" hidden="1" x14ac:dyDescent="0.25">
      <c r="A2502" s="133"/>
      <c r="B2502" s="128" t="str">
        <f t="shared" si="274"/>
        <v>UCQT</v>
      </c>
      <c r="C2502" s="128" t="e">
        <f>+VLOOKUP(U2502,Ходим!A:B,2,0)</f>
        <v>#N/A</v>
      </c>
      <c r="D2502" s="128" t="str">
        <f>IFERROR(VLOOKUP($B:$B,[20]свод!$A:$AB,3,0)," ")</f>
        <v>Учқўрғон тумани</v>
      </c>
      <c r="E2502" s="7" t="s">
        <v>3634</v>
      </c>
      <c r="F2502" s="7" t="s">
        <v>10001</v>
      </c>
      <c r="G2502" s="134">
        <f t="shared" si="271"/>
        <v>1</v>
      </c>
      <c r="H2502" s="134" t="str">
        <f t="shared" si="272"/>
        <v/>
      </c>
      <c r="I2502" s="7" t="s">
        <v>156</v>
      </c>
      <c r="J2502" s="7" t="s">
        <v>11</v>
      </c>
      <c r="K2502" s="7"/>
      <c r="L2502" s="7"/>
      <c r="M2502" s="7"/>
      <c r="N2502" s="7" t="s">
        <v>170</v>
      </c>
      <c r="O2502" s="7" t="s">
        <v>162</v>
      </c>
      <c r="P2502" s="7" t="s">
        <v>7385</v>
      </c>
      <c r="Q2502" s="129">
        <v>46199</v>
      </c>
      <c r="R2502" s="130">
        <f t="shared" si="270"/>
        <v>46209</v>
      </c>
      <c r="S2502" s="131">
        <f t="shared" si="275"/>
        <v>10</v>
      </c>
      <c r="T2502" s="7" t="s">
        <v>175</v>
      </c>
      <c r="U2502" s="7"/>
      <c r="V2502" s="7"/>
      <c r="W2502" s="7"/>
      <c r="X2502" s="132">
        <f t="shared" si="273"/>
        <v>10</v>
      </c>
      <c r="Y2502" s="133"/>
      <c r="Z2502" s="133"/>
      <c r="AA2502" s="133"/>
    </row>
    <row r="2503" spans="1:27" hidden="1" x14ac:dyDescent="0.25">
      <c r="A2503" s="133"/>
      <c r="B2503" s="128" t="str">
        <f t="shared" si="274"/>
        <v>UCQT</v>
      </c>
      <c r="C2503" s="128" t="str">
        <f>+VLOOKUP(U2503,Ходим!A:B,2,0)</f>
        <v>30307955940049</v>
      </c>
      <c r="D2503" s="128" t="str">
        <f>IFERROR(VLOOKUP($B:$B,[20]свод!$A:$AB,3,0)," ")</f>
        <v>Учқўрғон тумани</v>
      </c>
      <c r="E2503" s="7" t="s">
        <v>3635</v>
      </c>
      <c r="F2503" s="7" t="s">
        <v>10002</v>
      </c>
      <c r="G2503" s="134">
        <f t="shared" si="271"/>
        <v>1</v>
      </c>
      <c r="H2503" s="134" t="str">
        <f t="shared" si="272"/>
        <v/>
      </c>
      <c r="I2503" s="7" t="s">
        <v>158</v>
      </c>
      <c r="J2503" s="7" t="s">
        <v>2</v>
      </c>
      <c r="K2503" s="7"/>
      <c r="L2503" s="7" t="s">
        <v>167</v>
      </c>
      <c r="M2503" s="7" t="s">
        <v>5876</v>
      </c>
      <c r="N2503" s="7" t="s">
        <v>170</v>
      </c>
      <c r="O2503" s="7" t="s">
        <v>163</v>
      </c>
      <c r="P2503" s="7" t="s">
        <v>7365</v>
      </c>
      <c r="Q2503" s="129">
        <v>46199</v>
      </c>
      <c r="R2503" s="130">
        <f t="shared" si="270"/>
        <v>46209</v>
      </c>
      <c r="S2503" s="131">
        <f t="shared" si="275"/>
        <v>10</v>
      </c>
      <c r="T2503" s="7" t="s">
        <v>175</v>
      </c>
      <c r="U2503" s="7" t="s">
        <v>306</v>
      </c>
      <c r="V2503" s="7"/>
      <c r="W2503" s="7">
        <v>315.37</v>
      </c>
      <c r="X2503" s="132">
        <f t="shared" si="273"/>
        <v>10</v>
      </c>
      <c r="Y2503" s="133"/>
      <c r="Z2503" s="133"/>
      <c r="AA2503" s="133"/>
    </row>
    <row r="2504" spans="1:27" hidden="1" x14ac:dyDescent="0.25">
      <c r="A2504" s="133"/>
      <c r="B2504" s="128" t="str">
        <f t="shared" si="274"/>
        <v>YGQT</v>
      </c>
      <c r="C2504" s="128" t="str">
        <f>+VLOOKUP(U2504,Ходим!A:B,2,0)</f>
        <v>30602822170087</v>
      </c>
      <c r="D2504" s="128" t="str">
        <f>IFERROR(VLOOKUP($B:$B,[20]свод!$A:$AB,3,0)," ")</f>
        <v>Янгиқўрғон тумани</v>
      </c>
      <c r="E2504" s="7" t="s">
        <v>3636</v>
      </c>
      <c r="F2504" s="7" t="s">
        <v>10003</v>
      </c>
      <c r="G2504" s="134">
        <f t="shared" si="271"/>
        <v>1</v>
      </c>
      <c r="H2504" s="134" t="str">
        <f t="shared" si="272"/>
        <v/>
      </c>
      <c r="I2504" s="7" t="s">
        <v>158</v>
      </c>
      <c r="J2504" s="7" t="s">
        <v>36</v>
      </c>
      <c r="K2504" s="7"/>
      <c r="L2504" s="7" t="s">
        <v>167</v>
      </c>
      <c r="M2504" s="7" t="s">
        <v>5877</v>
      </c>
      <c r="N2504" s="7" t="s">
        <v>170</v>
      </c>
      <c r="O2504" s="7" t="s">
        <v>162</v>
      </c>
      <c r="P2504" s="7" t="s">
        <v>7365</v>
      </c>
      <c r="Q2504" s="129">
        <v>46199</v>
      </c>
      <c r="R2504" s="130">
        <f t="shared" si="270"/>
        <v>46209</v>
      </c>
      <c r="S2504" s="131">
        <f t="shared" si="275"/>
        <v>10</v>
      </c>
      <c r="T2504" s="7" t="s">
        <v>255</v>
      </c>
      <c r="U2504" s="7" t="s">
        <v>320</v>
      </c>
      <c r="V2504" s="7"/>
      <c r="W2504" s="7">
        <v>308.10000000000002</v>
      </c>
      <c r="X2504" s="132">
        <f t="shared" si="273"/>
        <v>10</v>
      </c>
      <c r="Y2504" s="133"/>
      <c r="Z2504" s="133"/>
      <c r="AA2504" s="133"/>
    </row>
    <row r="2505" spans="1:27" hidden="1" x14ac:dyDescent="0.25">
      <c r="A2505" s="133"/>
      <c r="B2505" s="128" t="str">
        <f t="shared" si="274"/>
        <v>CHUT</v>
      </c>
      <c r="C2505" s="128" t="str">
        <f>+VLOOKUP(U2505,Ходим!A:B,2,0)</f>
        <v>30901882180031</v>
      </c>
      <c r="D2505" s="128" t="str">
        <f>IFERROR(VLOOKUP($B:$B,[20]свод!$A:$AB,3,0)," ")</f>
        <v>Чуст тумани</v>
      </c>
      <c r="E2505" s="7" t="s">
        <v>3637</v>
      </c>
      <c r="F2505" s="7" t="s">
        <v>10004</v>
      </c>
      <c r="G2505" s="134">
        <f t="shared" si="271"/>
        <v>1</v>
      </c>
      <c r="H2505" s="134" t="str">
        <f t="shared" si="272"/>
        <v/>
      </c>
      <c r="I2505" s="7" t="s">
        <v>158</v>
      </c>
      <c r="J2505" s="7" t="s">
        <v>172</v>
      </c>
      <c r="K2505" s="7"/>
      <c r="L2505" s="7" t="s">
        <v>167</v>
      </c>
      <c r="M2505" s="7" t="s">
        <v>5878</v>
      </c>
      <c r="N2505" s="7" t="s">
        <v>170</v>
      </c>
      <c r="O2505" s="7" t="s">
        <v>162</v>
      </c>
      <c r="P2505" s="7" t="s">
        <v>7386</v>
      </c>
      <c r="Q2505" s="129">
        <v>46199</v>
      </c>
      <c r="R2505" s="130">
        <f t="shared" si="270"/>
        <v>46209</v>
      </c>
      <c r="S2505" s="131">
        <f t="shared" si="275"/>
        <v>10</v>
      </c>
      <c r="T2505" s="7" t="s">
        <v>178</v>
      </c>
      <c r="U2505" s="7" t="s">
        <v>238</v>
      </c>
      <c r="V2505" s="7"/>
      <c r="W2505" s="7">
        <v>0</v>
      </c>
      <c r="X2505" s="132">
        <f t="shared" si="273"/>
        <v>10</v>
      </c>
      <c r="Y2505" s="133"/>
      <c r="Z2505" s="133"/>
      <c r="AA2505" s="133"/>
    </row>
    <row r="2506" spans="1:27" hidden="1" x14ac:dyDescent="0.25">
      <c r="A2506" s="133"/>
      <c r="B2506" s="128" t="str">
        <f t="shared" si="274"/>
        <v>NAMS</v>
      </c>
      <c r="C2506" s="128" t="str">
        <f>+VLOOKUP(U2506,Ходим!A:B,2,0)</f>
        <v>31312985950011</v>
      </c>
      <c r="D2506" s="128" t="str">
        <f>IFERROR(VLOOKUP($B:$B,[20]свод!$A:$AB,3,0)," ")</f>
        <v>Наманган шаҳар</v>
      </c>
      <c r="E2506" s="7" t="s">
        <v>3638</v>
      </c>
      <c r="F2506" s="7" t="s">
        <v>10005</v>
      </c>
      <c r="G2506" s="134">
        <f t="shared" si="271"/>
        <v>1</v>
      </c>
      <c r="H2506" s="134" t="str">
        <f t="shared" si="272"/>
        <v/>
      </c>
      <c r="I2506" s="7" t="s">
        <v>158</v>
      </c>
      <c r="J2506" s="7" t="s">
        <v>2</v>
      </c>
      <c r="K2506" s="7"/>
      <c r="L2506" s="7" t="s">
        <v>167</v>
      </c>
      <c r="M2506" s="7" t="s">
        <v>5879</v>
      </c>
      <c r="N2506" s="7" t="s">
        <v>170</v>
      </c>
      <c r="O2506" s="7" t="s">
        <v>162</v>
      </c>
      <c r="P2506" s="7" t="s">
        <v>7386</v>
      </c>
      <c r="Q2506" s="129">
        <v>46199</v>
      </c>
      <c r="R2506" s="130">
        <f t="shared" si="270"/>
        <v>46209</v>
      </c>
      <c r="S2506" s="131">
        <f t="shared" si="275"/>
        <v>10</v>
      </c>
      <c r="T2506" s="7" t="s">
        <v>173</v>
      </c>
      <c r="U2506" s="7" t="s">
        <v>303</v>
      </c>
      <c r="V2506" s="7"/>
      <c r="W2506" s="7">
        <v>155.75</v>
      </c>
      <c r="X2506" s="132">
        <f t="shared" si="273"/>
        <v>10</v>
      </c>
      <c r="Y2506" s="133"/>
      <c r="Z2506" s="133"/>
      <c r="AA2506" s="133"/>
    </row>
    <row r="2507" spans="1:27" hidden="1" x14ac:dyDescent="0.25">
      <c r="A2507" s="133"/>
      <c r="B2507" s="128" t="str">
        <f t="shared" si="274"/>
        <v>CHUT</v>
      </c>
      <c r="C2507" s="128" t="str">
        <f>+VLOOKUP(U2507,Ходим!A:B,2,0)</f>
        <v>31312912180061</v>
      </c>
      <c r="D2507" s="128" t="str">
        <f>IFERROR(VLOOKUP($B:$B,[20]свод!$A:$AB,3,0)," ")</f>
        <v>Чуст тумани</v>
      </c>
      <c r="E2507" s="7" t="s">
        <v>3639</v>
      </c>
      <c r="F2507" s="7" t="s">
        <v>10006</v>
      </c>
      <c r="G2507" s="134" t="str">
        <f t="shared" si="271"/>
        <v/>
      </c>
      <c r="H2507" s="134">
        <f t="shared" si="272"/>
        <v>1</v>
      </c>
      <c r="I2507" s="7" t="s">
        <v>157</v>
      </c>
      <c r="J2507" s="7" t="s">
        <v>1</v>
      </c>
      <c r="K2507" s="7"/>
      <c r="L2507" s="7" t="s">
        <v>166</v>
      </c>
      <c r="M2507" s="7" t="s">
        <v>5880</v>
      </c>
      <c r="N2507" s="7" t="s">
        <v>170</v>
      </c>
      <c r="O2507" s="7" t="s">
        <v>163</v>
      </c>
      <c r="P2507" s="7" t="s">
        <v>6631</v>
      </c>
      <c r="Q2507" s="129">
        <v>46199</v>
      </c>
      <c r="R2507" s="130">
        <f t="shared" si="270"/>
        <v>46209</v>
      </c>
      <c r="S2507" s="131">
        <f t="shared" si="275"/>
        <v>10</v>
      </c>
      <c r="T2507" s="7" t="s">
        <v>178</v>
      </c>
      <c r="U2507" s="7" t="s">
        <v>202</v>
      </c>
      <c r="V2507" s="7"/>
      <c r="W2507" s="7">
        <v>507.74</v>
      </c>
      <c r="X2507" s="132">
        <f t="shared" si="273"/>
        <v>12</v>
      </c>
      <c r="Y2507" s="133"/>
      <c r="Z2507" s="133"/>
      <c r="AA2507" s="133"/>
    </row>
    <row r="2508" spans="1:27" hidden="1" x14ac:dyDescent="0.25">
      <c r="A2508" s="133"/>
      <c r="B2508" s="128" t="str">
        <f t="shared" si="274"/>
        <v>NAMS</v>
      </c>
      <c r="C2508" s="128" t="str">
        <f>+VLOOKUP(U2508,Ходим!A:B,2,0)</f>
        <v>31601642170089</v>
      </c>
      <c r="D2508" s="128" t="str">
        <f>IFERROR(VLOOKUP($B:$B,[20]свод!$A:$AB,3,0)," ")</f>
        <v>Наманган шаҳар</v>
      </c>
      <c r="E2508" s="7" t="s">
        <v>3640</v>
      </c>
      <c r="F2508" s="7" t="s">
        <v>10007</v>
      </c>
      <c r="G2508" s="134">
        <f t="shared" si="271"/>
        <v>1</v>
      </c>
      <c r="H2508" s="134" t="str">
        <f t="shared" si="272"/>
        <v/>
      </c>
      <c r="I2508" s="7" t="s">
        <v>156</v>
      </c>
      <c r="J2508" s="7" t="s">
        <v>25</v>
      </c>
      <c r="K2508" s="7"/>
      <c r="L2508" s="7"/>
      <c r="M2508" s="7"/>
      <c r="N2508" s="7" t="s">
        <v>170</v>
      </c>
      <c r="O2508" s="7" t="s">
        <v>162</v>
      </c>
      <c r="P2508" s="7" t="s">
        <v>7387</v>
      </c>
      <c r="Q2508" s="129">
        <v>46199</v>
      </c>
      <c r="R2508" s="130">
        <f t="shared" si="270"/>
        <v>46209</v>
      </c>
      <c r="S2508" s="131">
        <f t="shared" si="275"/>
        <v>10</v>
      </c>
      <c r="T2508" s="7" t="s">
        <v>173</v>
      </c>
      <c r="U2508" s="7" t="s">
        <v>201</v>
      </c>
      <c r="V2508" s="7"/>
      <c r="W2508" s="7"/>
      <c r="X2508" s="132">
        <f t="shared" si="273"/>
        <v>10</v>
      </c>
      <c r="Y2508" s="133"/>
      <c r="Z2508" s="133"/>
      <c r="AA2508" s="133"/>
    </row>
    <row r="2509" spans="1:27" hidden="1" x14ac:dyDescent="0.25">
      <c r="A2509" s="133"/>
      <c r="B2509" s="128" t="str">
        <f t="shared" si="274"/>
        <v>CHUT</v>
      </c>
      <c r="C2509" s="128" t="str">
        <f>+VLOOKUP(U2509,Ходим!A:B,2,0)</f>
        <v>32006862180015</v>
      </c>
      <c r="D2509" s="128" t="str">
        <f>IFERROR(VLOOKUP($B:$B,[20]свод!$A:$AB,3,0)," ")</f>
        <v>Чуст тумани</v>
      </c>
      <c r="E2509" s="7" t="s">
        <v>3641</v>
      </c>
      <c r="F2509" s="7" t="s">
        <v>10008</v>
      </c>
      <c r="G2509" s="134">
        <f t="shared" si="271"/>
        <v>1</v>
      </c>
      <c r="H2509" s="134" t="str">
        <f t="shared" si="272"/>
        <v/>
      </c>
      <c r="I2509" s="7" t="s">
        <v>158</v>
      </c>
      <c r="J2509" s="7" t="s">
        <v>172</v>
      </c>
      <c r="K2509" s="7"/>
      <c r="L2509" s="7" t="s">
        <v>167</v>
      </c>
      <c r="M2509" s="7" t="s">
        <v>5881</v>
      </c>
      <c r="N2509" s="7" t="s">
        <v>170</v>
      </c>
      <c r="O2509" s="7" t="s">
        <v>162</v>
      </c>
      <c r="P2509" s="7" t="s">
        <v>7388</v>
      </c>
      <c r="Q2509" s="129">
        <v>46199</v>
      </c>
      <c r="R2509" s="130">
        <f t="shared" si="270"/>
        <v>46209</v>
      </c>
      <c r="S2509" s="131">
        <f t="shared" si="275"/>
        <v>10</v>
      </c>
      <c r="T2509" s="7" t="s">
        <v>178</v>
      </c>
      <c r="U2509" s="7" t="s">
        <v>347</v>
      </c>
      <c r="V2509" s="7"/>
      <c r="W2509" s="7">
        <v>371.07</v>
      </c>
      <c r="X2509" s="132">
        <f t="shared" si="273"/>
        <v>10</v>
      </c>
      <c r="Y2509" s="133"/>
      <c r="Z2509" s="133"/>
      <c r="AA2509" s="133"/>
    </row>
    <row r="2510" spans="1:27" hidden="1" x14ac:dyDescent="0.25">
      <c r="A2510" s="133"/>
      <c r="B2510" s="128" t="str">
        <f t="shared" si="274"/>
        <v>YGQT</v>
      </c>
      <c r="C2510" s="128" t="str">
        <f>+VLOOKUP(U2510,Ходим!A:B,2,0)</f>
        <v>52802005950028</v>
      </c>
      <c r="D2510" s="128" t="str">
        <f>IFERROR(VLOOKUP($B:$B,[20]свод!$A:$AB,3,0)," ")</f>
        <v>Янгиқўрғон тумани</v>
      </c>
      <c r="E2510" s="7" t="s">
        <v>3642</v>
      </c>
      <c r="F2510" s="7" t="s">
        <v>10009</v>
      </c>
      <c r="G2510" s="134">
        <f t="shared" si="271"/>
        <v>1</v>
      </c>
      <c r="H2510" s="134" t="str">
        <f t="shared" si="272"/>
        <v/>
      </c>
      <c r="I2510" s="7" t="s">
        <v>158</v>
      </c>
      <c r="J2510" s="7" t="s">
        <v>2</v>
      </c>
      <c r="K2510" s="7"/>
      <c r="L2510" s="7"/>
      <c r="M2510" s="7"/>
      <c r="N2510" s="7" t="s">
        <v>170</v>
      </c>
      <c r="O2510" s="7" t="s">
        <v>162</v>
      </c>
      <c r="P2510" s="7" t="s">
        <v>7388</v>
      </c>
      <c r="Q2510" s="129">
        <v>46199</v>
      </c>
      <c r="R2510" s="130">
        <f t="shared" si="270"/>
        <v>46209</v>
      </c>
      <c r="S2510" s="131">
        <f t="shared" si="275"/>
        <v>10</v>
      </c>
      <c r="T2510" s="7" t="s">
        <v>255</v>
      </c>
      <c r="U2510" s="7" t="s">
        <v>281</v>
      </c>
      <c r="V2510" s="7"/>
      <c r="W2510" s="7"/>
      <c r="X2510" s="132">
        <f t="shared" si="273"/>
        <v>10</v>
      </c>
      <c r="Y2510" s="133"/>
      <c r="Z2510" s="133"/>
      <c r="AA2510" s="133"/>
    </row>
    <row r="2511" spans="1:27" hidden="1" x14ac:dyDescent="0.25">
      <c r="A2511" s="133"/>
      <c r="B2511" s="128" t="str">
        <f t="shared" si="274"/>
        <v>NAMT</v>
      </c>
      <c r="C2511" s="128">
        <f>+VLOOKUP(U2511,Ходим!A:B,2,0)</f>
        <v>32712932090068</v>
      </c>
      <c r="D2511" s="128" t="str">
        <f>IFERROR(VLOOKUP($B:$B,[20]свод!$A:$AB,3,0)," ")</f>
        <v>Наманган тумани</v>
      </c>
      <c r="E2511" s="7" t="s">
        <v>3643</v>
      </c>
      <c r="F2511" s="7" t="s">
        <v>10010</v>
      </c>
      <c r="G2511" s="134">
        <f t="shared" si="271"/>
        <v>1</v>
      </c>
      <c r="H2511" s="134" t="str">
        <f t="shared" si="272"/>
        <v/>
      </c>
      <c r="I2511" s="7" t="s">
        <v>158</v>
      </c>
      <c r="J2511" s="7" t="s">
        <v>2</v>
      </c>
      <c r="K2511" s="7"/>
      <c r="L2511" s="7"/>
      <c r="M2511" s="7"/>
      <c r="N2511" s="7" t="s">
        <v>170</v>
      </c>
      <c r="O2511" s="7" t="s">
        <v>162</v>
      </c>
      <c r="P2511" s="7" t="s">
        <v>7388</v>
      </c>
      <c r="Q2511" s="129">
        <v>46199</v>
      </c>
      <c r="R2511" s="130">
        <f t="shared" si="270"/>
        <v>46209</v>
      </c>
      <c r="S2511" s="131">
        <f t="shared" si="275"/>
        <v>10</v>
      </c>
      <c r="T2511" s="7" t="s">
        <v>193</v>
      </c>
      <c r="U2511" s="7" t="s">
        <v>1016</v>
      </c>
      <c r="V2511" s="7"/>
      <c r="W2511" s="7"/>
      <c r="X2511" s="132">
        <f t="shared" si="273"/>
        <v>10</v>
      </c>
      <c r="Y2511" s="133"/>
      <c r="Z2511" s="133"/>
      <c r="AA2511" s="133"/>
    </row>
    <row r="2512" spans="1:27" hidden="1" x14ac:dyDescent="0.25">
      <c r="A2512" s="133"/>
      <c r="B2512" s="128" t="str">
        <f t="shared" si="274"/>
        <v>TORT</v>
      </c>
      <c r="C2512" s="128" t="str">
        <f>+VLOOKUP(U2512,Ходим!A:B,2,0)</f>
        <v>31704782130035</v>
      </c>
      <c r="D2512" s="128" t="str">
        <f>IFERROR(VLOOKUP($B:$B,[20]свод!$A:$AB,3,0)," ")</f>
        <v>Тўрақўрғон тумани</v>
      </c>
      <c r="E2512" s="7" t="s">
        <v>3644</v>
      </c>
      <c r="F2512" s="7" t="s">
        <v>10011</v>
      </c>
      <c r="G2512" s="134">
        <f t="shared" si="271"/>
        <v>1</v>
      </c>
      <c r="H2512" s="134" t="str">
        <f t="shared" si="272"/>
        <v/>
      </c>
      <c r="I2512" s="7" t="s">
        <v>158</v>
      </c>
      <c r="J2512" s="7" t="s">
        <v>36</v>
      </c>
      <c r="K2512" s="7"/>
      <c r="L2512" s="7" t="s">
        <v>167</v>
      </c>
      <c r="M2512" s="7" t="s">
        <v>5882</v>
      </c>
      <c r="N2512" s="7" t="s">
        <v>170</v>
      </c>
      <c r="O2512" s="7" t="s">
        <v>162</v>
      </c>
      <c r="P2512" s="7" t="s">
        <v>7388</v>
      </c>
      <c r="Q2512" s="129">
        <v>46199</v>
      </c>
      <c r="R2512" s="130">
        <f t="shared" si="270"/>
        <v>46209</v>
      </c>
      <c r="S2512" s="131">
        <f t="shared" si="275"/>
        <v>10</v>
      </c>
      <c r="T2512" s="7" t="s">
        <v>203</v>
      </c>
      <c r="U2512" s="7" t="s">
        <v>344</v>
      </c>
      <c r="V2512" s="7"/>
      <c r="W2512" s="7">
        <v>0</v>
      </c>
      <c r="X2512" s="132">
        <f t="shared" si="273"/>
        <v>10</v>
      </c>
      <c r="Y2512" s="133"/>
      <c r="Z2512" s="133"/>
      <c r="AA2512" s="133"/>
    </row>
    <row r="2513" spans="1:27" hidden="1" x14ac:dyDescent="0.25">
      <c r="A2513" s="133"/>
      <c r="B2513" s="128" t="str">
        <f t="shared" si="274"/>
        <v>NAMS</v>
      </c>
      <c r="C2513" s="128" t="str">
        <f>+VLOOKUP(U2513,Ходим!A:B,2,0)</f>
        <v>33012942170121</v>
      </c>
      <c r="D2513" s="128" t="str">
        <f>IFERROR(VLOOKUP($B:$B,[20]свод!$A:$AB,3,0)," ")</f>
        <v>Наманган шаҳар</v>
      </c>
      <c r="E2513" s="7" t="s">
        <v>3645</v>
      </c>
      <c r="F2513" s="7" t="s">
        <v>10012</v>
      </c>
      <c r="G2513" s="134">
        <f t="shared" si="271"/>
        <v>1</v>
      </c>
      <c r="H2513" s="134" t="str">
        <f t="shared" si="272"/>
        <v/>
      </c>
      <c r="I2513" s="7" t="s">
        <v>158</v>
      </c>
      <c r="J2513" s="7" t="s">
        <v>2</v>
      </c>
      <c r="K2513" s="7"/>
      <c r="L2513" s="7" t="s">
        <v>167</v>
      </c>
      <c r="M2513" s="7" t="s">
        <v>5883</v>
      </c>
      <c r="N2513" s="7" t="s">
        <v>170</v>
      </c>
      <c r="O2513" s="7" t="s">
        <v>162</v>
      </c>
      <c r="P2513" s="7" t="s">
        <v>7388</v>
      </c>
      <c r="Q2513" s="129">
        <v>46199</v>
      </c>
      <c r="R2513" s="130">
        <f t="shared" si="270"/>
        <v>46209</v>
      </c>
      <c r="S2513" s="131">
        <f t="shared" si="275"/>
        <v>10</v>
      </c>
      <c r="T2513" s="7" t="s">
        <v>173</v>
      </c>
      <c r="U2513" s="7" t="s">
        <v>259</v>
      </c>
      <c r="V2513" s="7"/>
      <c r="W2513" s="7">
        <v>0</v>
      </c>
      <c r="X2513" s="132">
        <f t="shared" si="273"/>
        <v>10</v>
      </c>
      <c r="Y2513" s="133"/>
      <c r="Z2513" s="133"/>
      <c r="AA2513" s="133"/>
    </row>
    <row r="2514" spans="1:27" x14ac:dyDescent="0.25">
      <c r="A2514" s="133"/>
      <c r="B2514" s="128" t="str">
        <f t="shared" si="274"/>
        <v>POPT</v>
      </c>
      <c r="C2514" s="128" t="str">
        <f>+VLOOKUP(U2514,Ходим!A:B,2,0)</f>
        <v>50310025910024</v>
      </c>
      <c r="D2514" s="128" t="str">
        <f>IFERROR(VLOOKUP($B:$B,[20]свод!$A:$AB,3,0)," ")</f>
        <v>Поп тумани</v>
      </c>
      <c r="E2514" s="7" t="s">
        <v>3646</v>
      </c>
      <c r="F2514" s="7" t="s">
        <v>10013</v>
      </c>
      <c r="G2514" s="134">
        <f t="shared" si="271"/>
        <v>1</v>
      </c>
      <c r="H2514" s="134" t="str">
        <f t="shared" si="272"/>
        <v/>
      </c>
      <c r="I2514" s="7" t="s">
        <v>154</v>
      </c>
      <c r="J2514" s="7" t="s">
        <v>2</v>
      </c>
      <c r="K2514" s="7"/>
      <c r="L2514" s="7" t="s">
        <v>167</v>
      </c>
      <c r="M2514" s="7" t="s">
        <v>5884</v>
      </c>
      <c r="N2514" s="7" t="s">
        <v>170</v>
      </c>
      <c r="O2514" s="7" t="s">
        <v>162</v>
      </c>
      <c r="P2514" s="7" t="s">
        <v>6659</v>
      </c>
      <c r="Q2514" s="129">
        <v>46199</v>
      </c>
      <c r="R2514" s="130">
        <f t="shared" si="270"/>
        <v>46199</v>
      </c>
      <c r="S2514" s="131">
        <f t="shared" si="275"/>
        <v>0</v>
      </c>
      <c r="T2514" s="7" t="s">
        <v>240</v>
      </c>
      <c r="U2514" s="7" t="s">
        <v>964</v>
      </c>
      <c r="V2514" s="7"/>
      <c r="W2514" s="7">
        <v>24.94</v>
      </c>
      <c r="X2514" s="132">
        <f t="shared" si="273"/>
        <v>10</v>
      </c>
      <c r="Y2514" s="133"/>
      <c r="Z2514" s="133"/>
      <c r="AA2514" s="133"/>
    </row>
    <row r="2515" spans="1:27" hidden="1" x14ac:dyDescent="0.25">
      <c r="A2515" s="133"/>
      <c r="B2515" s="128" t="str">
        <f t="shared" si="274"/>
        <v>NAMS</v>
      </c>
      <c r="C2515" s="128" t="str">
        <f>+VLOOKUP(U2515,Ходим!A:B,2,0)</f>
        <v>52710005960025</v>
      </c>
      <c r="D2515" s="128" t="str">
        <f>IFERROR(VLOOKUP($B:$B,[20]свод!$A:$AB,3,0)," ")</f>
        <v>Наманган шаҳар</v>
      </c>
      <c r="E2515" s="7" t="s">
        <v>3647</v>
      </c>
      <c r="F2515" s="7" t="s">
        <v>10014</v>
      </c>
      <c r="G2515" s="134">
        <f t="shared" si="271"/>
        <v>1</v>
      </c>
      <c r="H2515" s="134" t="str">
        <f t="shared" si="272"/>
        <v/>
      </c>
      <c r="I2515" s="7" t="s">
        <v>158</v>
      </c>
      <c r="J2515" s="7" t="s">
        <v>2</v>
      </c>
      <c r="K2515" s="7"/>
      <c r="L2515" s="7"/>
      <c r="M2515" s="7"/>
      <c r="N2515" s="7" t="s">
        <v>170</v>
      </c>
      <c r="O2515" s="7" t="s">
        <v>162</v>
      </c>
      <c r="P2515" s="7" t="s">
        <v>7389</v>
      </c>
      <c r="Q2515" s="129">
        <v>46199</v>
      </c>
      <c r="R2515" s="130">
        <f t="shared" si="270"/>
        <v>46209</v>
      </c>
      <c r="S2515" s="131">
        <f t="shared" si="275"/>
        <v>10</v>
      </c>
      <c r="T2515" s="7" t="s">
        <v>173</v>
      </c>
      <c r="U2515" s="7" t="s">
        <v>274</v>
      </c>
      <c r="V2515" s="7"/>
      <c r="W2515" s="7"/>
      <c r="X2515" s="132">
        <f t="shared" si="273"/>
        <v>10</v>
      </c>
      <c r="Y2515" s="133"/>
      <c r="Z2515" s="133"/>
      <c r="AA2515" s="133"/>
    </row>
    <row r="2516" spans="1:27" hidden="1" x14ac:dyDescent="0.25">
      <c r="A2516" s="133"/>
      <c r="B2516" s="128" t="str">
        <f t="shared" si="274"/>
        <v>NAMS</v>
      </c>
      <c r="C2516" s="128" t="str">
        <f>+VLOOKUP(U2516,Ходим!A:B,2,0)</f>
        <v>52710005960025</v>
      </c>
      <c r="D2516" s="128" t="str">
        <f>IFERROR(VLOOKUP($B:$B,[20]свод!$A:$AB,3,0)," ")</f>
        <v>Наманган шаҳар</v>
      </c>
      <c r="E2516" s="7" t="s">
        <v>3648</v>
      </c>
      <c r="F2516" s="7" t="s">
        <v>10015</v>
      </c>
      <c r="G2516" s="134">
        <f t="shared" si="271"/>
        <v>1</v>
      </c>
      <c r="H2516" s="134" t="str">
        <f t="shared" si="272"/>
        <v/>
      </c>
      <c r="I2516" s="7" t="s">
        <v>158</v>
      </c>
      <c r="J2516" s="7" t="s">
        <v>2</v>
      </c>
      <c r="K2516" s="7"/>
      <c r="L2516" s="7"/>
      <c r="M2516" s="7"/>
      <c r="N2516" s="7" t="s">
        <v>170</v>
      </c>
      <c r="O2516" s="7" t="s">
        <v>162</v>
      </c>
      <c r="P2516" s="7" t="s">
        <v>7389</v>
      </c>
      <c r="Q2516" s="129">
        <v>46199</v>
      </c>
      <c r="R2516" s="130">
        <f t="shared" si="270"/>
        <v>46209</v>
      </c>
      <c r="S2516" s="131">
        <f t="shared" si="275"/>
        <v>10</v>
      </c>
      <c r="T2516" s="7" t="s">
        <v>173</v>
      </c>
      <c r="U2516" s="7" t="s">
        <v>274</v>
      </c>
      <c r="V2516" s="7"/>
      <c r="W2516" s="7"/>
      <c r="X2516" s="132">
        <f t="shared" si="273"/>
        <v>10</v>
      </c>
      <c r="Y2516" s="133"/>
      <c r="Z2516" s="133"/>
      <c r="AA2516" s="133"/>
    </row>
    <row r="2517" spans="1:27" hidden="1" x14ac:dyDescent="0.25">
      <c r="A2517" s="133"/>
      <c r="B2517" s="128" t="str">
        <f t="shared" si="274"/>
        <v>NAMS</v>
      </c>
      <c r="C2517" s="128" t="str">
        <f>+VLOOKUP(U2517,Ходим!A:B,2,0)</f>
        <v>52503015960039</v>
      </c>
      <c r="D2517" s="128" t="str">
        <f>IFERROR(VLOOKUP($B:$B,[20]свод!$A:$AB,3,0)," ")</f>
        <v>Наманган шаҳар</v>
      </c>
      <c r="E2517" s="7" t="s">
        <v>3649</v>
      </c>
      <c r="F2517" s="7" t="s">
        <v>10016</v>
      </c>
      <c r="G2517" s="134">
        <f t="shared" si="271"/>
        <v>1</v>
      </c>
      <c r="H2517" s="134" t="str">
        <f t="shared" si="272"/>
        <v/>
      </c>
      <c r="I2517" s="7" t="s">
        <v>158</v>
      </c>
      <c r="J2517" s="7" t="s">
        <v>2</v>
      </c>
      <c r="K2517" s="7"/>
      <c r="L2517" s="7"/>
      <c r="M2517" s="7"/>
      <c r="N2517" s="7" t="s">
        <v>170</v>
      </c>
      <c r="O2517" s="7" t="s">
        <v>162</v>
      </c>
      <c r="P2517" s="7" t="s">
        <v>7389</v>
      </c>
      <c r="Q2517" s="129">
        <v>46199</v>
      </c>
      <c r="R2517" s="130">
        <f t="shared" si="270"/>
        <v>46209</v>
      </c>
      <c r="S2517" s="131">
        <f t="shared" si="275"/>
        <v>10</v>
      </c>
      <c r="T2517" s="7" t="s">
        <v>173</v>
      </c>
      <c r="U2517" s="7" t="s">
        <v>246</v>
      </c>
      <c r="V2517" s="7"/>
      <c r="W2517" s="7"/>
      <c r="X2517" s="132">
        <f t="shared" si="273"/>
        <v>10</v>
      </c>
      <c r="Y2517" s="133"/>
      <c r="Z2517" s="133"/>
      <c r="AA2517" s="133"/>
    </row>
    <row r="2518" spans="1:27" hidden="1" x14ac:dyDescent="0.25">
      <c r="A2518" s="133"/>
      <c r="B2518" s="128" t="str">
        <f t="shared" si="274"/>
        <v>TORT</v>
      </c>
      <c r="C2518" s="128" t="str">
        <f>+VLOOKUP(U2518,Ходим!A:B,2,0)</f>
        <v>32801762130050</v>
      </c>
      <c r="D2518" s="128" t="str">
        <f>IFERROR(VLOOKUP($B:$B,[20]свод!$A:$AB,3,0)," ")</f>
        <v>Тўрақўрғон тумани</v>
      </c>
      <c r="E2518" s="7" t="s">
        <v>3650</v>
      </c>
      <c r="F2518" s="7" t="s">
        <v>10017</v>
      </c>
      <c r="G2518" s="134" t="str">
        <f t="shared" si="271"/>
        <v/>
      </c>
      <c r="H2518" s="134">
        <f t="shared" si="272"/>
        <v>1</v>
      </c>
      <c r="I2518" s="7" t="s">
        <v>157</v>
      </c>
      <c r="J2518" s="7" t="s">
        <v>2</v>
      </c>
      <c r="K2518" s="7"/>
      <c r="L2518" s="7"/>
      <c r="M2518" s="7"/>
      <c r="N2518" s="7" t="s">
        <v>170</v>
      </c>
      <c r="O2518" s="7" t="s">
        <v>161</v>
      </c>
      <c r="P2518" s="7" t="s">
        <v>7389</v>
      </c>
      <c r="Q2518" s="129">
        <v>46199</v>
      </c>
      <c r="R2518" s="130">
        <f t="shared" si="270"/>
        <v>46209</v>
      </c>
      <c r="S2518" s="131">
        <f t="shared" si="275"/>
        <v>10</v>
      </c>
      <c r="T2518" s="7" t="s">
        <v>203</v>
      </c>
      <c r="U2518" s="7" t="s">
        <v>206</v>
      </c>
      <c r="V2518" s="7"/>
      <c r="W2518" s="7"/>
      <c r="X2518" s="132">
        <f t="shared" si="273"/>
        <v>10</v>
      </c>
      <c r="Y2518" s="133"/>
      <c r="Z2518" s="133"/>
      <c r="AA2518" s="133"/>
    </row>
    <row r="2519" spans="1:27" hidden="1" x14ac:dyDescent="0.25">
      <c r="A2519" s="133"/>
      <c r="B2519" s="128" t="str">
        <f t="shared" si="274"/>
        <v>NAMS</v>
      </c>
      <c r="C2519" s="128">
        <f>+VLOOKUP(U2519,Ходим!A:B,2,0)</f>
        <v>50703045960050</v>
      </c>
      <c r="D2519" s="128" t="str">
        <f>IFERROR(VLOOKUP($B:$B,[20]свод!$A:$AB,3,0)," ")</f>
        <v>Наманган шаҳар</v>
      </c>
      <c r="E2519" s="7" t="s">
        <v>3651</v>
      </c>
      <c r="F2519" s="7" t="s">
        <v>10018</v>
      </c>
      <c r="G2519" s="134">
        <f t="shared" si="271"/>
        <v>1</v>
      </c>
      <c r="H2519" s="134" t="str">
        <f t="shared" si="272"/>
        <v/>
      </c>
      <c r="I2519" s="7" t="s">
        <v>158</v>
      </c>
      <c r="J2519" s="7" t="s">
        <v>13</v>
      </c>
      <c r="K2519" s="7"/>
      <c r="L2519" s="7" t="s">
        <v>167</v>
      </c>
      <c r="M2519" s="7" t="s">
        <v>5885</v>
      </c>
      <c r="N2519" s="7" t="s">
        <v>170</v>
      </c>
      <c r="O2519" s="7" t="s">
        <v>162</v>
      </c>
      <c r="P2519" s="7" t="s">
        <v>7389</v>
      </c>
      <c r="Q2519" s="129">
        <v>46199</v>
      </c>
      <c r="R2519" s="130">
        <f t="shared" si="270"/>
        <v>46209</v>
      </c>
      <c r="S2519" s="131">
        <f t="shared" si="275"/>
        <v>10</v>
      </c>
      <c r="T2519" s="7" t="s">
        <v>227</v>
      </c>
      <c r="U2519" s="7" t="s">
        <v>948</v>
      </c>
      <c r="V2519" s="7"/>
      <c r="W2519" s="7">
        <v>208.7</v>
      </c>
      <c r="X2519" s="132">
        <f t="shared" si="273"/>
        <v>10</v>
      </c>
      <c r="Y2519" s="133"/>
      <c r="Z2519" s="133"/>
      <c r="AA2519" s="133"/>
    </row>
    <row r="2520" spans="1:27" hidden="1" x14ac:dyDescent="0.25">
      <c r="A2520" s="133"/>
      <c r="B2520" s="128" t="str">
        <f t="shared" si="274"/>
        <v>NAMT</v>
      </c>
      <c r="C2520" s="128">
        <f>+VLOOKUP(U2520,Ходим!A:B,2,0)</f>
        <v>52908045880018</v>
      </c>
      <c r="D2520" s="128" t="str">
        <f>IFERROR(VLOOKUP($B:$B,[20]свод!$A:$AB,3,0)," ")</f>
        <v>Наманган тумани</v>
      </c>
      <c r="E2520" s="7" t="s">
        <v>3652</v>
      </c>
      <c r="F2520" s="7" t="s">
        <v>10019</v>
      </c>
      <c r="G2520" s="134">
        <f t="shared" si="271"/>
        <v>1</v>
      </c>
      <c r="H2520" s="134" t="str">
        <f t="shared" si="272"/>
        <v/>
      </c>
      <c r="I2520" s="7" t="s">
        <v>158</v>
      </c>
      <c r="J2520" s="7" t="s">
        <v>13</v>
      </c>
      <c r="K2520" s="7"/>
      <c r="L2520" s="7" t="s">
        <v>167</v>
      </c>
      <c r="M2520" s="7" t="s">
        <v>5886</v>
      </c>
      <c r="N2520" s="7" t="s">
        <v>170</v>
      </c>
      <c r="O2520" s="7" t="s">
        <v>162</v>
      </c>
      <c r="P2520" s="7" t="s">
        <v>7390</v>
      </c>
      <c r="Q2520" s="129">
        <v>46199</v>
      </c>
      <c r="R2520" s="130">
        <f t="shared" si="270"/>
        <v>46209</v>
      </c>
      <c r="S2520" s="131">
        <f t="shared" si="275"/>
        <v>10</v>
      </c>
      <c r="T2520" s="7" t="s">
        <v>193</v>
      </c>
      <c r="U2520" s="7" t="s">
        <v>982</v>
      </c>
      <c r="V2520" s="7"/>
      <c r="W2520" s="7">
        <v>152.07</v>
      </c>
      <c r="X2520" s="132">
        <f t="shared" si="273"/>
        <v>10</v>
      </c>
      <c r="Y2520" s="133"/>
      <c r="Z2520" s="133"/>
      <c r="AA2520" s="133"/>
    </row>
    <row r="2521" spans="1:27" hidden="1" x14ac:dyDescent="0.25">
      <c r="A2521" s="133"/>
      <c r="B2521" s="128" t="str">
        <f t="shared" si="274"/>
        <v>YGQT</v>
      </c>
      <c r="C2521" s="128" t="str">
        <f>+VLOOKUP(U2521,Ходим!A:B,2,0)</f>
        <v>52802005950028</v>
      </c>
      <c r="D2521" s="128" t="str">
        <f>IFERROR(VLOOKUP($B:$B,[20]свод!$A:$AB,3,0)," ")</f>
        <v>Янгиқўрғон тумани</v>
      </c>
      <c r="E2521" s="7" t="s">
        <v>3653</v>
      </c>
      <c r="F2521" s="7" t="s">
        <v>10020</v>
      </c>
      <c r="G2521" s="134" t="str">
        <f t="shared" si="271"/>
        <v/>
      </c>
      <c r="H2521" s="134">
        <f t="shared" si="272"/>
        <v>1</v>
      </c>
      <c r="I2521" s="7" t="s">
        <v>157</v>
      </c>
      <c r="J2521" s="7" t="s">
        <v>1</v>
      </c>
      <c r="K2521" s="7"/>
      <c r="L2521" s="7" t="s">
        <v>168</v>
      </c>
      <c r="M2521" s="7" t="s">
        <v>5887</v>
      </c>
      <c r="N2521" s="7" t="s">
        <v>170</v>
      </c>
      <c r="O2521" s="7" t="s">
        <v>161</v>
      </c>
      <c r="P2521" s="7" t="s">
        <v>7390</v>
      </c>
      <c r="Q2521" s="129">
        <v>46199</v>
      </c>
      <c r="R2521" s="130">
        <f t="shared" si="270"/>
        <v>46204</v>
      </c>
      <c r="S2521" s="131">
        <f t="shared" si="275"/>
        <v>5</v>
      </c>
      <c r="T2521" s="7" t="s">
        <v>255</v>
      </c>
      <c r="U2521" s="7" t="s">
        <v>281</v>
      </c>
      <c r="V2521" s="7"/>
      <c r="W2521" s="7">
        <v>0</v>
      </c>
      <c r="X2521" s="132">
        <f t="shared" si="273"/>
        <v>7</v>
      </c>
      <c r="Y2521" s="133"/>
      <c r="Z2521" s="133"/>
      <c r="AA2521" s="133"/>
    </row>
    <row r="2522" spans="1:27" hidden="1" x14ac:dyDescent="0.25">
      <c r="A2522" s="133"/>
      <c r="B2522" s="128" t="str">
        <f t="shared" si="274"/>
        <v>YGQT</v>
      </c>
      <c r="C2522" s="128" t="str">
        <f>+VLOOKUP(U2522,Ходим!A:B,2,0)</f>
        <v>30809995950021</v>
      </c>
      <c r="D2522" s="128" t="str">
        <f>IFERROR(VLOOKUP($B:$B,[20]свод!$A:$AB,3,0)," ")</f>
        <v>Янгиқўрғон тумани</v>
      </c>
      <c r="E2522" s="7" t="s">
        <v>3654</v>
      </c>
      <c r="F2522" s="7" t="s">
        <v>10021</v>
      </c>
      <c r="G2522" s="134" t="str">
        <f t="shared" si="271"/>
        <v/>
      </c>
      <c r="H2522" s="134">
        <f t="shared" si="272"/>
        <v>1</v>
      </c>
      <c r="I2522" s="7" t="s">
        <v>157</v>
      </c>
      <c r="J2522" s="7" t="s">
        <v>2</v>
      </c>
      <c r="K2522" s="7"/>
      <c r="L2522" s="7"/>
      <c r="M2522" s="7"/>
      <c r="N2522" s="7" t="s">
        <v>170</v>
      </c>
      <c r="O2522" s="7" t="s">
        <v>161</v>
      </c>
      <c r="P2522" s="7" t="s">
        <v>7122</v>
      </c>
      <c r="Q2522" s="129">
        <v>46199</v>
      </c>
      <c r="R2522" s="130">
        <f t="shared" si="270"/>
        <v>46209</v>
      </c>
      <c r="S2522" s="131">
        <f t="shared" si="275"/>
        <v>10</v>
      </c>
      <c r="T2522" s="7" t="s">
        <v>255</v>
      </c>
      <c r="U2522" s="7" t="s">
        <v>223</v>
      </c>
      <c r="V2522" s="7"/>
      <c r="W2522" s="7"/>
      <c r="X2522" s="132">
        <f t="shared" si="273"/>
        <v>10</v>
      </c>
      <c r="Y2522" s="133"/>
      <c r="Z2522" s="133"/>
      <c r="AA2522" s="133"/>
    </row>
    <row r="2523" spans="1:27" x14ac:dyDescent="0.25">
      <c r="A2523" s="133"/>
      <c r="B2523" s="128" t="str">
        <f t="shared" si="274"/>
        <v>POPT</v>
      </c>
      <c r="C2523" s="128" t="str">
        <f>+VLOOKUP(U2523,Ходим!A:B,2,0)</f>
        <v>31103842180041</v>
      </c>
      <c r="D2523" s="128" t="str">
        <f>IFERROR(VLOOKUP($B:$B,[20]свод!$A:$AB,3,0)," ")</f>
        <v>Поп тумани</v>
      </c>
      <c r="E2523" s="7" t="s">
        <v>3655</v>
      </c>
      <c r="F2523" s="7" t="s">
        <v>10022</v>
      </c>
      <c r="G2523" s="134" t="str">
        <f t="shared" si="271"/>
        <v/>
      </c>
      <c r="H2523" s="134">
        <f t="shared" si="272"/>
        <v>1</v>
      </c>
      <c r="I2523" s="7" t="s">
        <v>157</v>
      </c>
      <c r="J2523" s="7" t="s">
        <v>36</v>
      </c>
      <c r="K2523" s="7"/>
      <c r="L2523" s="7" t="s">
        <v>166</v>
      </c>
      <c r="M2523" s="7" t="s">
        <v>5888</v>
      </c>
      <c r="N2523" s="7" t="s">
        <v>170</v>
      </c>
      <c r="O2523" s="7" t="s">
        <v>161</v>
      </c>
      <c r="P2523" s="7" t="s">
        <v>6854</v>
      </c>
      <c r="Q2523" s="129">
        <v>46199</v>
      </c>
      <c r="R2523" s="130">
        <f t="shared" si="270"/>
        <v>46199</v>
      </c>
      <c r="S2523" s="131">
        <f t="shared" si="275"/>
        <v>0</v>
      </c>
      <c r="T2523" s="7" t="s">
        <v>214</v>
      </c>
      <c r="U2523" s="7" t="s">
        <v>337</v>
      </c>
      <c r="V2523" s="7"/>
      <c r="W2523" s="7">
        <v>194.4</v>
      </c>
      <c r="X2523" s="132">
        <f t="shared" si="273"/>
        <v>12</v>
      </c>
      <c r="Y2523" s="133"/>
      <c r="Z2523" s="133"/>
      <c r="AA2523" s="133"/>
    </row>
    <row r="2524" spans="1:27" hidden="1" x14ac:dyDescent="0.25">
      <c r="A2524" s="133"/>
      <c r="B2524" s="128" t="str">
        <f t="shared" si="274"/>
        <v>KSST</v>
      </c>
      <c r="C2524" s="128" t="str">
        <f>+VLOOKUP(U2524,Ходим!A:B,2,0)</f>
        <v>32910975980025</v>
      </c>
      <c r="D2524" s="128" t="str">
        <f>IFERROR(VLOOKUP($B:$B,[20]свод!$A:$AB,3,0)," ")</f>
        <v>Косонсой тумани</v>
      </c>
      <c r="E2524" s="7" t="s">
        <v>3656</v>
      </c>
      <c r="F2524" s="7" t="s">
        <v>10023</v>
      </c>
      <c r="G2524" s="134">
        <f t="shared" si="271"/>
        <v>1</v>
      </c>
      <c r="H2524" s="134" t="str">
        <f t="shared" si="272"/>
        <v/>
      </c>
      <c r="I2524" s="7" t="s">
        <v>156</v>
      </c>
      <c r="J2524" s="7" t="s">
        <v>25</v>
      </c>
      <c r="K2524" s="7"/>
      <c r="L2524" s="7" t="s">
        <v>167</v>
      </c>
      <c r="M2524" s="7" t="s">
        <v>5889</v>
      </c>
      <c r="N2524" s="7" t="s">
        <v>410</v>
      </c>
      <c r="O2524" s="7" t="s">
        <v>162</v>
      </c>
      <c r="P2524" s="7" t="s">
        <v>7391</v>
      </c>
      <c r="Q2524" s="129">
        <v>46199</v>
      </c>
      <c r="R2524" s="130">
        <f t="shared" si="270"/>
        <v>46209</v>
      </c>
      <c r="S2524" s="131">
        <f t="shared" si="275"/>
        <v>10</v>
      </c>
      <c r="T2524" s="7" t="s">
        <v>180</v>
      </c>
      <c r="U2524" s="7" t="s">
        <v>187</v>
      </c>
      <c r="V2524" s="7"/>
      <c r="W2524" s="7">
        <v>423.96</v>
      </c>
      <c r="X2524" s="132">
        <f t="shared" si="273"/>
        <v>10</v>
      </c>
      <c r="Y2524" s="133"/>
      <c r="Z2524" s="133"/>
      <c r="AA2524" s="133"/>
    </row>
    <row r="2525" spans="1:27" hidden="1" x14ac:dyDescent="0.25">
      <c r="A2525" s="133"/>
      <c r="B2525" s="128" t="str">
        <f t="shared" si="274"/>
        <v>UYCT</v>
      </c>
      <c r="C2525" s="128" t="str">
        <f>+VLOOKUP(U2525,Ходим!A:B,2,0)</f>
        <v>32002975930037</v>
      </c>
      <c r="D2525" s="128" t="str">
        <f>IFERROR(VLOOKUP($B:$B,[20]свод!$A:$AB,3,0)," ")</f>
        <v>Уйчи тумани</v>
      </c>
      <c r="E2525" s="7" t="s">
        <v>3657</v>
      </c>
      <c r="F2525" s="7" t="s">
        <v>10024</v>
      </c>
      <c r="G2525" s="134">
        <f t="shared" si="271"/>
        <v>1</v>
      </c>
      <c r="H2525" s="134" t="str">
        <f t="shared" si="272"/>
        <v/>
      </c>
      <c r="I2525" s="7" t="s">
        <v>154</v>
      </c>
      <c r="J2525" s="7" t="s">
        <v>2</v>
      </c>
      <c r="K2525" s="7"/>
      <c r="L2525" s="7"/>
      <c r="M2525" s="7"/>
      <c r="N2525" s="7" t="s">
        <v>170</v>
      </c>
      <c r="O2525" s="7" t="s">
        <v>162</v>
      </c>
      <c r="P2525" s="7" t="s">
        <v>7391</v>
      </c>
      <c r="Q2525" s="129">
        <v>46199</v>
      </c>
      <c r="R2525" s="130">
        <f t="shared" si="270"/>
        <v>46209</v>
      </c>
      <c r="S2525" s="131">
        <f t="shared" si="275"/>
        <v>10</v>
      </c>
      <c r="T2525" s="7" t="s">
        <v>947</v>
      </c>
      <c r="U2525" s="7" t="s">
        <v>260</v>
      </c>
      <c r="V2525" s="7"/>
      <c r="W2525" s="7"/>
      <c r="X2525" s="132">
        <f t="shared" si="273"/>
        <v>10</v>
      </c>
      <c r="Y2525" s="133"/>
      <c r="Z2525" s="133"/>
      <c r="AA2525" s="133"/>
    </row>
    <row r="2526" spans="1:27" hidden="1" x14ac:dyDescent="0.25">
      <c r="A2526" s="133"/>
      <c r="B2526" s="128" t="str">
        <f t="shared" si="274"/>
        <v>MINT</v>
      </c>
      <c r="C2526" s="128" t="e">
        <f>+VLOOKUP(U2526,Ходим!A:B,2,0)</f>
        <v>#N/A</v>
      </c>
      <c r="D2526" s="128" t="str">
        <f>IFERROR(VLOOKUP($B:$B,[20]свод!$A:$AB,3,0)," ")</f>
        <v>Мингбулоқ тумани</v>
      </c>
      <c r="E2526" s="7" t="s">
        <v>3658</v>
      </c>
      <c r="F2526" s="7" t="s">
        <v>10025</v>
      </c>
      <c r="G2526" s="134">
        <f t="shared" si="271"/>
        <v>1</v>
      </c>
      <c r="H2526" s="134" t="str">
        <f t="shared" si="272"/>
        <v/>
      </c>
      <c r="I2526" s="7" t="s">
        <v>156</v>
      </c>
      <c r="J2526" s="7" t="s">
        <v>11</v>
      </c>
      <c r="K2526" s="7"/>
      <c r="L2526" s="7" t="s">
        <v>167</v>
      </c>
      <c r="M2526" s="7" t="s">
        <v>5890</v>
      </c>
      <c r="N2526" s="7" t="s">
        <v>170</v>
      </c>
      <c r="O2526" s="7" t="s">
        <v>162</v>
      </c>
      <c r="P2526" s="7" t="s">
        <v>7122</v>
      </c>
      <c r="Q2526" s="129">
        <v>46199</v>
      </c>
      <c r="R2526" s="130">
        <f t="shared" si="270"/>
        <v>46209</v>
      </c>
      <c r="S2526" s="131">
        <f t="shared" si="275"/>
        <v>10</v>
      </c>
      <c r="T2526" s="7"/>
      <c r="U2526" s="7"/>
      <c r="V2526" s="7"/>
      <c r="W2526" s="7">
        <v>299.39999999999998</v>
      </c>
      <c r="X2526" s="132">
        <f t="shared" si="273"/>
        <v>10</v>
      </c>
      <c r="Y2526" s="133"/>
      <c r="Z2526" s="133"/>
      <c r="AA2526" s="133"/>
    </row>
    <row r="2527" spans="1:27" hidden="1" x14ac:dyDescent="0.25">
      <c r="A2527" s="133"/>
      <c r="B2527" s="128" t="str">
        <f t="shared" si="274"/>
        <v>POPT</v>
      </c>
      <c r="C2527" s="128" t="str">
        <f>+VLOOKUP(U2527,Ходим!A:B,2,0)</f>
        <v>30609882120085</v>
      </c>
      <c r="D2527" s="128" t="str">
        <f>IFERROR(VLOOKUP($B:$B,[20]свод!$A:$AB,3,0)," ")</f>
        <v>Поп тумани</v>
      </c>
      <c r="E2527" s="7" t="s">
        <v>3659</v>
      </c>
      <c r="F2527" s="7" t="s">
        <v>10026</v>
      </c>
      <c r="G2527" s="134">
        <f t="shared" si="271"/>
        <v>1</v>
      </c>
      <c r="H2527" s="134" t="str">
        <f t="shared" si="272"/>
        <v/>
      </c>
      <c r="I2527" s="7" t="s">
        <v>158</v>
      </c>
      <c r="J2527" s="7" t="s">
        <v>2</v>
      </c>
      <c r="K2527" s="7"/>
      <c r="L2527" s="7" t="s">
        <v>167</v>
      </c>
      <c r="M2527" s="7" t="s">
        <v>1024</v>
      </c>
      <c r="N2527" s="7" t="s">
        <v>410</v>
      </c>
      <c r="O2527" s="7" t="s">
        <v>162</v>
      </c>
      <c r="P2527" s="7" t="s">
        <v>7391</v>
      </c>
      <c r="Q2527" s="129">
        <v>46199</v>
      </c>
      <c r="R2527" s="130">
        <f t="shared" si="270"/>
        <v>46209</v>
      </c>
      <c r="S2527" s="131">
        <f t="shared" si="275"/>
        <v>10</v>
      </c>
      <c r="T2527" s="7" t="s">
        <v>240</v>
      </c>
      <c r="U2527" s="7" t="s">
        <v>248</v>
      </c>
      <c r="V2527" s="7"/>
      <c r="W2527" s="7">
        <v>36.96</v>
      </c>
      <c r="X2527" s="132">
        <f t="shared" si="273"/>
        <v>10</v>
      </c>
      <c r="Y2527" s="133"/>
      <c r="Z2527" s="133"/>
      <c r="AA2527" s="133"/>
    </row>
    <row r="2528" spans="1:27" hidden="1" x14ac:dyDescent="0.25">
      <c r="A2528" s="133"/>
      <c r="B2528" s="128" t="str">
        <f t="shared" si="274"/>
        <v>NAMS</v>
      </c>
      <c r="C2528" s="128" t="str">
        <f>+VLOOKUP(U2528,Ходим!A:B,2,0)</f>
        <v>30302942170072</v>
      </c>
      <c r="D2528" s="128" t="str">
        <f>IFERROR(VLOOKUP($B:$B,[20]свод!$A:$AB,3,0)," ")</f>
        <v>Наманган шаҳар</v>
      </c>
      <c r="E2528" s="7" t="s">
        <v>3660</v>
      </c>
      <c r="F2528" s="7" t="s">
        <v>10027</v>
      </c>
      <c r="G2528" s="134" t="str">
        <f t="shared" si="271"/>
        <v/>
      </c>
      <c r="H2528" s="134">
        <f t="shared" si="272"/>
        <v>1</v>
      </c>
      <c r="I2528" s="7" t="s">
        <v>154</v>
      </c>
      <c r="J2528" s="7" t="s">
        <v>100</v>
      </c>
      <c r="K2528" s="7"/>
      <c r="L2528" s="7" t="s">
        <v>166</v>
      </c>
      <c r="M2528" s="7" t="s">
        <v>5891</v>
      </c>
      <c r="N2528" s="7" t="s">
        <v>410</v>
      </c>
      <c r="O2528" s="7" t="s">
        <v>161</v>
      </c>
      <c r="P2528" s="7" t="s">
        <v>7391</v>
      </c>
      <c r="Q2528" s="129">
        <v>46199</v>
      </c>
      <c r="R2528" s="130">
        <f t="shared" si="270"/>
        <v>46218</v>
      </c>
      <c r="S2528" s="131">
        <f t="shared" si="275"/>
        <v>19</v>
      </c>
      <c r="T2528" s="7" t="s">
        <v>185</v>
      </c>
      <c r="U2528" s="7" t="s">
        <v>325</v>
      </c>
      <c r="V2528" s="7"/>
      <c r="W2528" s="7">
        <v>1804.4</v>
      </c>
      <c r="X2528" s="132">
        <f t="shared" si="273"/>
        <v>17</v>
      </c>
      <c r="Y2528" s="133"/>
      <c r="Z2528" s="133"/>
      <c r="AA2528" s="133"/>
    </row>
    <row r="2529" spans="1:27" hidden="1" x14ac:dyDescent="0.25">
      <c r="A2529" s="133"/>
      <c r="B2529" s="128" t="str">
        <f t="shared" si="274"/>
        <v>YGQT</v>
      </c>
      <c r="C2529" s="128" t="str">
        <f>+VLOOKUP(U2529,Ходим!A:B,2,0)</f>
        <v>30809995950021</v>
      </c>
      <c r="D2529" s="128" t="str">
        <f>IFERROR(VLOOKUP($B:$B,[20]свод!$A:$AB,3,0)," ")</f>
        <v>Янгиқўрғон тумани</v>
      </c>
      <c r="E2529" s="7" t="s">
        <v>3661</v>
      </c>
      <c r="F2529" s="7" t="s">
        <v>10028</v>
      </c>
      <c r="G2529" s="134" t="str">
        <f t="shared" si="271"/>
        <v/>
      </c>
      <c r="H2529" s="134">
        <f t="shared" si="272"/>
        <v>1</v>
      </c>
      <c r="I2529" s="7" t="s">
        <v>157</v>
      </c>
      <c r="J2529" s="7" t="s">
        <v>2</v>
      </c>
      <c r="K2529" s="7"/>
      <c r="L2529" s="7"/>
      <c r="M2529" s="7"/>
      <c r="N2529" s="7" t="s">
        <v>170</v>
      </c>
      <c r="O2529" s="7" t="s">
        <v>161</v>
      </c>
      <c r="P2529" s="7" t="s">
        <v>7122</v>
      </c>
      <c r="Q2529" s="129">
        <v>46199</v>
      </c>
      <c r="R2529" s="130">
        <f t="shared" si="270"/>
        <v>46209</v>
      </c>
      <c r="S2529" s="131">
        <f t="shared" si="275"/>
        <v>10</v>
      </c>
      <c r="T2529" s="7" t="s">
        <v>255</v>
      </c>
      <c r="U2529" s="7" t="s">
        <v>223</v>
      </c>
      <c r="V2529" s="7"/>
      <c r="W2529" s="7"/>
      <c r="X2529" s="132">
        <f t="shared" si="273"/>
        <v>10</v>
      </c>
      <c r="Y2529" s="133"/>
      <c r="Z2529" s="133"/>
      <c r="AA2529" s="133"/>
    </row>
    <row r="2530" spans="1:27" hidden="1" x14ac:dyDescent="0.25">
      <c r="A2530" s="133"/>
      <c r="B2530" s="128" t="str">
        <f t="shared" si="274"/>
        <v>TORT</v>
      </c>
      <c r="C2530" s="128" t="str">
        <f>+VLOOKUP(U2530,Ходим!A:B,2,0)</f>
        <v>32211772130034</v>
      </c>
      <c r="D2530" s="128" t="str">
        <f>IFERROR(VLOOKUP($B:$B,[20]свод!$A:$AB,3,0)," ")</f>
        <v>Тўрақўрғон тумани</v>
      </c>
      <c r="E2530" s="7" t="s">
        <v>3662</v>
      </c>
      <c r="F2530" s="7" t="s">
        <v>10029</v>
      </c>
      <c r="G2530" s="134">
        <f t="shared" si="271"/>
        <v>1</v>
      </c>
      <c r="H2530" s="134" t="str">
        <f t="shared" si="272"/>
        <v/>
      </c>
      <c r="I2530" s="7" t="s">
        <v>158</v>
      </c>
      <c r="J2530" s="7" t="s">
        <v>13</v>
      </c>
      <c r="K2530" s="7"/>
      <c r="L2530" s="7" t="s">
        <v>167</v>
      </c>
      <c r="M2530" s="7" t="s">
        <v>5892</v>
      </c>
      <c r="N2530" s="7" t="s">
        <v>410</v>
      </c>
      <c r="O2530" s="7" t="s">
        <v>162</v>
      </c>
      <c r="P2530" s="7" t="s">
        <v>7122</v>
      </c>
      <c r="Q2530" s="129">
        <v>46199</v>
      </c>
      <c r="R2530" s="130">
        <f t="shared" si="270"/>
        <v>46209</v>
      </c>
      <c r="S2530" s="131">
        <f t="shared" si="275"/>
        <v>10</v>
      </c>
      <c r="T2530" s="7" t="s">
        <v>203</v>
      </c>
      <c r="U2530" s="7" t="s">
        <v>270</v>
      </c>
      <c r="V2530" s="7"/>
      <c r="W2530" s="7">
        <v>35.92</v>
      </c>
      <c r="X2530" s="132">
        <f t="shared" si="273"/>
        <v>10</v>
      </c>
      <c r="Y2530" s="133"/>
      <c r="Z2530" s="133"/>
      <c r="AA2530" s="133"/>
    </row>
    <row r="2531" spans="1:27" hidden="1" x14ac:dyDescent="0.25">
      <c r="A2531" s="133"/>
      <c r="B2531" s="128" t="str">
        <f t="shared" si="274"/>
        <v>NAMS</v>
      </c>
      <c r="C2531" s="128" t="str">
        <f>+VLOOKUP(U2531,Ходим!A:B,2,0)</f>
        <v>30304915960053</v>
      </c>
      <c r="D2531" s="128" t="str">
        <f>IFERROR(VLOOKUP($B:$B,[20]свод!$A:$AB,3,0)," ")</f>
        <v>Наманган шаҳар</v>
      </c>
      <c r="E2531" s="7" t="s">
        <v>3663</v>
      </c>
      <c r="F2531" s="7" t="s">
        <v>10030</v>
      </c>
      <c r="G2531" s="134">
        <f t="shared" si="271"/>
        <v>1</v>
      </c>
      <c r="H2531" s="134" t="str">
        <f t="shared" si="272"/>
        <v/>
      </c>
      <c r="I2531" s="7" t="s">
        <v>158</v>
      </c>
      <c r="J2531" s="7" t="s">
        <v>1</v>
      </c>
      <c r="K2531" s="7"/>
      <c r="L2531" s="7" t="s">
        <v>167</v>
      </c>
      <c r="M2531" s="7" t="s">
        <v>5893</v>
      </c>
      <c r="N2531" s="7" t="s">
        <v>170</v>
      </c>
      <c r="O2531" s="7" t="s">
        <v>162</v>
      </c>
      <c r="P2531" s="7" t="s">
        <v>6327</v>
      </c>
      <c r="Q2531" s="129">
        <v>46199</v>
      </c>
      <c r="R2531" s="130">
        <f t="shared" si="270"/>
        <v>46204</v>
      </c>
      <c r="S2531" s="131">
        <f t="shared" si="275"/>
        <v>5</v>
      </c>
      <c r="T2531" s="7" t="s">
        <v>185</v>
      </c>
      <c r="U2531" s="7" t="s">
        <v>314</v>
      </c>
      <c r="V2531" s="7"/>
      <c r="W2531" s="7">
        <v>173.97</v>
      </c>
      <c r="X2531" s="132">
        <f t="shared" si="273"/>
        <v>10</v>
      </c>
      <c r="Y2531" s="133"/>
      <c r="Z2531" s="133"/>
      <c r="AA2531" s="133"/>
    </row>
    <row r="2532" spans="1:27" hidden="1" x14ac:dyDescent="0.25">
      <c r="A2532" s="133"/>
      <c r="B2532" s="128" t="str">
        <f t="shared" si="274"/>
        <v>UCQT</v>
      </c>
      <c r="C2532" s="128" t="e">
        <f>+VLOOKUP(U2532,Ходим!A:B,2,0)</f>
        <v>#N/A</v>
      </c>
      <c r="D2532" s="128" t="str">
        <f>IFERROR(VLOOKUP($B:$B,[20]свод!$A:$AB,3,0)," ")</f>
        <v>Учқўрғон тумани</v>
      </c>
      <c r="E2532" s="7" t="s">
        <v>3664</v>
      </c>
      <c r="F2532" s="7" t="s">
        <v>10031</v>
      </c>
      <c r="G2532" s="134" t="str">
        <f t="shared" si="271"/>
        <v/>
      </c>
      <c r="H2532" s="134">
        <f t="shared" si="272"/>
        <v>1</v>
      </c>
      <c r="I2532" s="7" t="s">
        <v>155</v>
      </c>
      <c r="J2532" s="7" t="s">
        <v>11</v>
      </c>
      <c r="K2532" s="7"/>
      <c r="L2532" s="7"/>
      <c r="M2532" s="7"/>
      <c r="N2532" s="7" t="s">
        <v>170</v>
      </c>
      <c r="O2532" s="7" t="s">
        <v>161</v>
      </c>
      <c r="P2532" s="7" t="s">
        <v>7392</v>
      </c>
      <c r="Q2532" s="129">
        <v>46199</v>
      </c>
      <c r="R2532" s="130">
        <f t="shared" si="270"/>
        <v>46209</v>
      </c>
      <c r="S2532" s="131">
        <f t="shared" si="275"/>
        <v>10</v>
      </c>
      <c r="T2532" s="7" t="s">
        <v>175</v>
      </c>
      <c r="U2532" s="7"/>
      <c r="V2532" s="7"/>
      <c r="W2532" s="7"/>
      <c r="X2532" s="132">
        <f t="shared" si="273"/>
        <v>10</v>
      </c>
      <c r="Y2532" s="133"/>
      <c r="Z2532" s="133"/>
      <c r="AA2532" s="133"/>
    </row>
    <row r="2533" spans="1:27" hidden="1" x14ac:dyDescent="0.25">
      <c r="A2533" s="133"/>
      <c r="B2533" s="128" t="str">
        <f t="shared" si="274"/>
        <v>UYCT</v>
      </c>
      <c r="C2533" s="128" t="str">
        <f>+VLOOKUP(U2533,Ходим!A:B,2,0)</f>
        <v>53007005930024</v>
      </c>
      <c r="D2533" s="128" t="str">
        <f>IFERROR(VLOOKUP($B:$B,[20]свод!$A:$AB,3,0)," ")</f>
        <v>Уйчи тумани</v>
      </c>
      <c r="E2533" s="7" t="s">
        <v>3665</v>
      </c>
      <c r="F2533" s="7" t="s">
        <v>10032</v>
      </c>
      <c r="G2533" s="134">
        <f t="shared" si="271"/>
        <v>1</v>
      </c>
      <c r="H2533" s="134" t="str">
        <f t="shared" si="272"/>
        <v/>
      </c>
      <c r="I2533" s="7" t="s">
        <v>156</v>
      </c>
      <c r="J2533" s="7" t="s">
        <v>22</v>
      </c>
      <c r="K2533" s="7"/>
      <c r="L2533" s="7" t="s">
        <v>167</v>
      </c>
      <c r="M2533" s="7" t="s">
        <v>5894</v>
      </c>
      <c r="N2533" s="7" t="s">
        <v>170</v>
      </c>
      <c r="O2533" s="7" t="s">
        <v>162</v>
      </c>
      <c r="P2533" s="7" t="s">
        <v>7392</v>
      </c>
      <c r="Q2533" s="129">
        <v>46199</v>
      </c>
      <c r="R2533" s="130">
        <f t="shared" ref="R2533:R2595" si="276">WORKDAY(P2533,X2533,$Y$1:$AA$1)</f>
        <v>46209</v>
      </c>
      <c r="S2533" s="131">
        <f t="shared" si="275"/>
        <v>10</v>
      </c>
      <c r="T2533" s="7" t="s">
        <v>947</v>
      </c>
      <c r="U2533" s="7" t="s">
        <v>378</v>
      </c>
      <c r="V2533" s="7"/>
      <c r="W2533" s="7">
        <v>82.2</v>
      </c>
      <c r="X2533" s="132">
        <f t="shared" si="273"/>
        <v>10</v>
      </c>
      <c r="Y2533" s="133"/>
      <c r="Z2533" s="133"/>
      <c r="AA2533" s="133"/>
    </row>
    <row r="2534" spans="1:27" hidden="1" x14ac:dyDescent="0.25">
      <c r="A2534" s="133"/>
      <c r="B2534" s="128" t="str">
        <f t="shared" si="274"/>
        <v>KSST</v>
      </c>
      <c r="C2534" s="128" t="str">
        <f>+VLOOKUP(U2534,Ходим!A:B,2,0)</f>
        <v>31810912190036</v>
      </c>
      <c r="D2534" s="128" t="str">
        <f>IFERROR(VLOOKUP($B:$B,[20]свод!$A:$AB,3,0)," ")</f>
        <v>Косонсой тумани</v>
      </c>
      <c r="E2534" s="7" t="s">
        <v>3666</v>
      </c>
      <c r="F2534" s="7" t="s">
        <v>10033</v>
      </c>
      <c r="G2534" s="134">
        <f t="shared" si="271"/>
        <v>1</v>
      </c>
      <c r="H2534" s="134" t="str">
        <f t="shared" si="272"/>
        <v/>
      </c>
      <c r="I2534" s="7" t="s">
        <v>158</v>
      </c>
      <c r="J2534" s="7" t="s">
        <v>2</v>
      </c>
      <c r="K2534" s="7"/>
      <c r="L2534" s="7" t="s">
        <v>167</v>
      </c>
      <c r="M2534" s="7" t="s">
        <v>5895</v>
      </c>
      <c r="N2534" s="7" t="s">
        <v>170</v>
      </c>
      <c r="O2534" s="7" t="s">
        <v>162</v>
      </c>
      <c r="P2534" s="7" t="s">
        <v>7392</v>
      </c>
      <c r="Q2534" s="129">
        <v>46199</v>
      </c>
      <c r="R2534" s="130">
        <f t="shared" si="276"/>
        <v>46209</v>
      </c>
      <c r="S2534" s="131">
        <f t="shared" si="275"/>
        <v>10</v>
      </c>
      <c r="T2534" s="7" t="s">
        <v>180</v>
      </c>
      <c r="U2534" s="7" t="s">
        <v>196</v>
      </c>
      <c r="V2534" s="7"/>
      <c r="W2534" s="7">
        <v>479.63</v>
      </c>
      <c r="X2534" s="132">
        <f t="shared" si="273"/>
        <v>10</v>
      </c>
      <c r="Y2534" s="133"/>
      <c r="Z2534" s="133"/>
      <c r="AA2534" s="133"/>
    </row>
    <row r="2535" spans="1:27" hidden="1" x14ac:dyDescent="0.25">
      <c r="A2535" s="133"/>
      <c r="B2535" s="128" t="str">
        <f t="shared" si="274"/>
        <v>POPT</v>
      </c>
      <c r="C2535" s="128" t="str">
        <f>+VLOOKUP(U2535,Ходим!A:B,2,0)</f>
        <v>30901742120047</v>
      </c>
      <c r="D2535" s="128" t="str">
        <f>IFERROR(VLOOKUP($B:$B,[20]свод!$A:$AB,3,0)," ")</f>
        <v>Поп тумани</v>
      </c>
      <c r="E2535" s="7" t="s">
        <v>3667</v>
      </c>
      <c r="F2535" s="7" t="s">
        <v>10034</v>
      </c>
      <c r="G2535" s="134">
        <f t="shared" si="271"/>
        <v>1</v>
      </c>
      <c r="H2535" s="134" t="str">
        <f t="shared" si="272"/>
        <v/>
      </c>
      <c r="I2535" s="7" t="s">
        <v>156</v>
      </c>
      <c r="J2535" s="7" t="s">
        <v>22</v>
      </c>
      <c r="K2535" s="7"/>
      <c r="L2535" s="7"/>
      <c r="M2535" s="7"/>
      <c r="N2535" s="7" t="s">
        <v>410</v>
      </c>
      <c r="O2535" s="7" t="s">
        <v>162</v>
      </c>
      <c r="P2535" s="7" t="s">
        <v>7353</v>
      </c>
      <c r="Q2535" s="129">
        <v>46199</v>
      </c>
      <c r="R2535" s="130">
        <f t="shared" si="276"/>
        <v>46209</v>
      </c>
      <c r="S2535" s="131">
        <f t="shared" si="275"/>
        <v>10</v>
      </c>
      <c r="T2535" s="7" t="s">
        <v>240</v>
      </c>
      <c r="U2535" s="7" t="s">
        <v>323</v>
      </c>
      <c r="V2535" s="7"/>
      <c r="W2535" s="7"/>
      <c r="X2535" s="132">
        <f t="shared" si="273"/>
        <v>10</v>
      </c>
      <c r="Y2535" s="133"/>
      <c r="Z2535" s="133"/>
      <c r="AA2535" s="133"/>
    </row>
    <row r="2536" spans="1:27" x14ac:dyDescent="0.25">
      <c r="A2536" s="133"/>
      <c r="B2536" s="128" t="str">
        <f t="shared" si="274"/>
        <v>POPT</v>
      </c>
      <c r="C2536" s="128" t="str">
        <f>+VLOOKUP(U2536,Ходим!A:B,2,0)</f>
        <v>32209966000029</v>
      </c>
      <c r="D2536" s="128" t="str">
        <f>IFERROR(VLOOKUP($B:$B,[20]свод!$A:$AB,3,0)," ")</f>
        <v>Поп тумани</v>
      </c>
      <c r="E2536" s="7" t="s">
        <v>3668</v>
      </c>
      <c r="F2536" s="7" t="s">
        <v>10035</v>
      </c>
      <c r="G2536" s="134">
        <f t="shared" si="271"/>
        <v>1</v>
      </c>
      <c r="H2536" s="134" t="str">
        <f t="shared" si="272"/>
        <v/>
      </c>
      <c r="I2536" s="7" t="s">
        <v>158</v>
      </c>
      <c r="J2536" s="7" t="s">
        <v>16</v>
      </c>
      <c r="K2536" s="7"/>
      <c r="L2536" s="7" t="s">
        <v>169</v>
      </c>
      <c r="M2536" s="7" t="s">
        <v>5896</v>
      </c>
      <c r="N2536" s="7" t="s">
        <v>170</v>
      </c>
      <c r="O2536" s="7" t="s">
        <v>162</v>
      </c>
      <c r="P2536" s="7" t="s">
        <v>7393</v>
      </c>
      <c r="Q2536" s="129">
        <v>46199</v>
      </c>
      <c r="R2536" s="130">
        <f t="shared" si="276"/>
        <v>46199</v>
      </c>
      <c r="S2536" s="131">
        <f t="shared" si="275"/>
        <v>0</v>
      </c>
      <c r="T2536" s="7" t="s">
        <v>214</v>
      </c>
      <c r="U2536" s="7" t="s">
        <v>282</v>
      </c>
      <c r="V2536" s="7"/>
      <c r="W2536" s="7">
        <v>0</v>
      </c>
      <c r="X2536" s="132">
        <f t="shared" si="273"/>
        <v>7</v>
      </c>
      <c r="Y2536" s="133"/>
      <c r="Z2536" s="133"/>
      <c r="AA2536" s="133"/>
    </row>
    <row r="2537" spans="1:27" hidden="1" x14ac:dyDescent="0.25">
      <c r="A2537" s="133"/>
      <c r="B2537" s="128" t="str">
        <f t="shared" si="274"/>
        <v>YGQT</v>
      </c>
      <c r="C2537" s="128" t="str">
        <f>+VLOOKUP(U2537,Ходим!A:B,2,0)</f>
        <v>31501762160017</v>
      </c>
      <c r="D2537" s="128" t="str">
        <f>IFERROR(VLOOKUP($B:$B,[20]свод!$A:$AB,3,0)," ")</f>
        <v>Янгиқўрғон тумани</v>
      </c>
      <c r="E2537" s="7" t="s">
        <v>3669</v>
      </c>
      <c r="F2537" s="7" t="s">
        <v>10036</v>
      </c>
      <c r="G2537" s="134">
        <f t="shared" ref="G2537:G2599" si="277">IF(OR(
I2537="Turar joy obyektning kadastr pasportini shakllantirish va davlat ro'yxatidan o'tkazish",
I2537="Turar kompozit"
),
1,
IF(OR(
I2537="Noturar kompozit",
I2537="Avtoyo'l va suv xo'jaligi obyektining kadastr pasportini shakllantirish va ro'yxatga olish",
I2537="Noturar obyektning kadastr pasportining kadastr pasportini shakllantirish va davlat ro'yxatidan o'tkazish"
),
"",
IF(OR(
I2537="Notarius uchun ma'lumotnoma (uz)",
I2537="Qurilishi tugallangan ko'chmas mulkni foydalanishga qabul qilish",
I2537="Umumiy foydalanishdagi ko'chmas mulk qismini yaratish",
I2537="Registratsiya (tashqi - UZKAD da bor)"
),
IF(OR(L2537="Turar yer maydoni",L2537="Yakka tartibdagi turar joy"),1,
IF(L2537="Noturar bino","",
IF(L2537="Noturar yer maydoni","",
IF(L2537="",IF(OR(O2537="Turar joy xizmati",O2537="Foydalanishga ruxsatnoma berish xizmati"),1,""),"")
))),
"")))</f>
        <v>1</v>
      </c>
      <c r="H2537" s="134" t="str">
        <f t="shared" ref="H2537:H2599" si="278">IF(OR(
I2537="Turar joy obyektning kadastr pasportini shakllantirish va davlat ro'yxatidan o'tkazish",
I2537="Turar kompozit"
),
"",
IF(OR(
I2537="Noturar kompozit",
I2537="Avtoyo'l va suv xo'jaligi obyektining kadastr pasportini shakllantirish va ro'yxatga olish",
I2537="Noturar obyektning kadastr pasportini shakllantirish va davlat ro'yxatidan o'tkazish"
),
1,
IF(OR(
I2537="Notarius uchun ma'lumotnoma (uz)",
I2537="Qurilishi tugallangan ko'chmas mulkni foydalanishga qabul qilish",
I2537="Umumiy foydalanishdagi ko'chmas mulk qismini yaratish",
I2537="Registratsiya (tashqi - UZKAD da bor)"
),
IF(OR(L2537="Turar yer maydoni",L2537="Yakka tartibdagi turar joy"),"",
IF(L2537="Noturar bino",1,
IF(L2537="Noturar yer maydoni",1,
IF(L2537="",IF(OR(O2537="Turar joy xizmati",O2537="Foydalanishga ruxsatnoma berish xizmati"),"",1),"")
))),
"")))</f>
        <v/>
      </c>
      <c r="I2537" s="7" t="s">
        <v>158</v>
      </c>
      <c r="J2537" s="7" t="s">
        <v>172</v>
      </c>
      <c r="K2537" s="7"/>
      <c r="L2537" s="7"/>
      <c r="M2537" s="7"/>
      <c r="N2537" s="7" t="s">
        <v>410</v>
      </c>
      <c r="O2537" s="7" t="s">
        <v>162</v>
      </c>
      <c r="P2537" s="7" t="s">
        <v>7394</v>
      </c>
      <c r="Q2537" s="129">
        <v>46199</v>
      </c>
      <c r="R2537" s="130">
        <f t="shared" si="276"/>
        <v>46209</v>
      </c>
      <c r="S2537" s="131">
        <f t="shared" si="275"/>
        <v>10</v>
      </c>
      <c r="T2537" s="7" t="s">
        <v>255</v>
      </c>
      <c r="U2537" s="7" t="s">
        <v>275</v>
      </c>
      <c r="V2537" s="7"/>
      <c r="W2537" s="7"/>
      <c r="X2537" s="132">
        <f t="shared" si="273"/>
        <v>10</v>
      </c>
      <c r="Y2537" s="133"/>
      <c r="Z2537" s="133"/>
      <c r="AA2537" s="133"/>
    </row>
    <row r="2538" spans="1:27" hidden="1" x14ac:dyDescent="0.25">
      <c r="A2538" s="133"/>
      <c r="B2538" s="128" t="str">
        <f t="shared" si="274"/>
        <v>UYCT</v>
      </c>
      <c r="C2538" s="128" t="str">
        <f>+VLOOKUP(U2538,Ходим!A:B,2,0)</f>
        <v>30309975930028</v>
      </c>
      <c r="D2538" s="128" t="str">
        <f>IFERROR(VLOOKUP($B:$B,[20]свод!$A:$AB,3,0)," ")</f>
        <v>Уйчи тумани</v>
      </c>
      <c r="E2538" s="7" t="s">
        <v>3670</v>
      </c>
      <c r="F2538" s="7" t="s">
        <v>10037</v>
      </c>
      <c r="G2538" s="134" t="str">
        <f t="shared" si="277"/>
        <v/>
      </c>
      <c r="H2538" s="134">
        <f t="shared" si="278"/>
        <v>1</v>
      </c>
      <c r="I2538" s="7" t="s">
        <v>157</v>
      </c>
      <c r="J2538" s="7" t="s">
        <v>2</v>
      </c>
      <c r="K2538" s="7"/>
      <c r="L2538" s="7" t="s">
        <v>166</v>
      </c>
      <c r="M2538" s="7" t="s">
        <v>1069</v>
      </c>
      <c r="N2538" s="7" t="s">
        <v>410</v>
      </c>
      <c r="O2538" s="7" t="s">
        <v>161</v>
      </c>
      <c r="P2538" s="7" t="s">
        <v>7395</v>
      </c>
      <c r="Q2538" s="129">
        <v>46199</v>
      </c>
      <c r="R2538" s="130">
        <f t="shared" si="276"/>
        <v>46209</v>
      </c>
      <c r="S2538" s="131">
        <f t="shared" si="275"/>
        <v>10</v>
      </c>
      <c r="T2538" s="7" t="s">
        <v>947</v>
      </c>
      <c r="U2538" s="7" t="s">
        <v>261</v>
      </c>
      <c r="V2538" s="7"/>
      <c r="W2538" s="7">
        <v>0</v>
      </c>
      <c r="X2538" s="132">
        <f t="shared" si="273"/>
        <v>10</v>
      </c>
      <c r="Y2538" s="133"/>
      <c r="Z2538" s="133"/>
      <c r="AA2538" s="133"/>
    </row>
    <row r="2539" spans="1:27" hidden="1" x14ac:dyDescent="0.25">
      <c r="A2539" s="133"/>
      <c r="B2539" s="128" t="str">
        <f t="shared" si="274"/>
        <v>NAMS</v>
      </c>
      <c r="C2539" s="128" t="str">
        <f>+VLOOKUP(U2539,Ходим!A:B,2,0)</f>
        <v>31608732170178</v>
      </c>
      <c r="D2539" s="128" t="str">
        <f>IFERROR(VLOOKUP($B:$B,[20]свод!$A:$AB,3,0)," ")</f>
        <v>Наманган шаҳар</v>
      </c>
      <c r="E2539" s="7" t="s">
        <v>3671</v>
      </c>
      <c r="F2539" s="7" t="s">
        <v>10038</v>
      </c>
      <c r="G2539" s="134">
        <f t="shared" si="277"/>
        <v>1</v>
      </c>
      <c r="H2539" s="134" t="str">
        <f t="shared" si="278"/>
        <v/>
      </c>
      <c r="I2539" s="7" t="s">
        <v>158</v>
      </c>
      <c r="J2539" s="7" t="s">
        <v>2</v>
      </c>
      <c r="K2539" s="7"/>
      <c r="L2539" s="7"/>
      <c r="M2539" s="7"/>
      <c r="N2539" s="7" t="s">
        <v>170</v>
      </c>
      <c r="O2539" s="7" t="s">
        <v>162</v>
      </c>
      <c r="P2539" s="7" t="s">
        <v>7395</v>
      </c>
      <c r="Q2539" s="129">
        <v>46199</v>
      </c>
      <c r="R2539" s="130">
        <f t="shared" si="276"/>
        <v>46209</v>
      </c>
      <c r="S2539" s="131">
        <f t="shared" si="275"/>
        <v>10</v>
      </c>
      <c r="T2539" s="7" t="s">
        <v>173</v>
      </c>
      <c r="U2539" s="7" t="s">
        <v>267</v>
      </c>
      <c r="V2539" s="7"/>
      <c r="W2539" s="7"/>
      <c r="X2539" s="132">
        <f t="shared" si="273"/>
        <v>10</v>
      </c>
      <c r="Y2539" s="133"/>
      <c r="Z2539" s="133"/>
      <c r="AA2539" s="133"/>
    </row>
    <row r="2540" spans="1:27" hidden="1" x14ac:dyDescent="0.25">
      <c r="A2540" s="133"/>
      <c r="B2540" s="128" t="str">
        <f t="shared" si="274"/>
        <v>KSST</v>
      </c>
      <c r="C2540" s="128" t="str">
        <f>+VLOOKUP(U2540,Ходим!A:B,2,0)</f>
        <v>31611995980026</v>
      </c>
      <c r="D2540" s="128" t="str">
        <f>IFERROR(VLOOKUP($B:$B,[20]свод!$A:$AB,3,0)," ")</f>
        <v>Косонсой тумани</v>
      </c>
      <c r="E2540" s="7" t="s">
        <v>3672</v>
      </c>
      <c r="F2540" s="7" t="s">
        <v>10039</v>
      </c>
      <c r="G2540" s="134" t="str">
        <f t="shared" si="277"/>
        <v/>
      </c>
      <c r="H2540" s="134">
        <f t="shared" si="278"/>
        <v>1</v>
      </c>
      <c r="I2540" s="7" t="s">
        <v>157</v>
      </c>
      <c r="J2540" s="7" t="s">
        <v>2</v>
      </c>
      <c r="K2540" s="7"/>
      <c r="L2540" s="7"/>
      <c r="M2540" s="7"/>
      <c r="N2540" s="7" t="s">
        <v>170</v>
      </c>
      <c r="O2540" s="7" t="s">
        <v>161</v>
      </c>
      <c r="P2540" s="7" t="s">
        <v>7395</v>
      </c>
      <c r="Q2540" s="129">
        <v>46199</v>
      </c>
      <c r="R2540" s="130">
        <f t="shared" si="276"/>
        <v>46209</v>
      </c>
      <c r="S2540" s="131">
        <f t="shared" si="275"/>
        <v>10</v>
      </c>
      <c r="T2540" s="7" t="s">
        <v>180</v>
      </c>
      <c r="U2540" s="7" t="s">
        <v>181</v>
      </c>
      <c r="V2540" s="7"/>
      <c r="W2540" s="7"/>
      <c r="X2540" s="132">
        <f t="shared" si="273"/>
        <v>10</v>
      </c>
      <c r="Y2540" s="133"/>
      <c r="Z2540" s="133"/>
      <c r="AA2540" s="133"/>
    </row>
    <row r="2541" spans="1:27" hidden="1" x14ac:dyDescent="0.25">
      <c r="A2541" s="133"/>
      <c r="B2541" s="128" t="str">
        <f t="shared" si="274"/>
        <v>KSST</v>
      </c>
      <c r="C2541" s="128" t="str">
        <f>+VLOOKUP(U2541,Ходим!A:B,2,0)</f>
        <v>31204985980041</v>
      </c>
      <c r="D2541" s="128" t="str">
        <f>IFERROR(VLOOKUP($B:$B,[20]свод!$A:$AB,3,0)," ")</f>
        <v>Косонсой тумани</v>
      </c>
      <c r="E2541" s="7" t="s">
        <v>3673</v>
      </c>
      <c r="F2541" s="7" t="s">
        <v>10040</v>
      </c>
      <c r="G2541" s="134">
        <f t="shared" si="277"/>
        <v>1</v>
      </c>
      <c r="H2541" s="134" t="str">
        <f t="shared" si="278"/>
        <v/>
      </c>
      <c r="I2541" s="7" t="s">
        <v>158</v>
      </c>
      <c r="J2541" s="7" t="s">
        <v>2</v>
      </c>
      <c r="K2541" s="7"/>
      <c r="L2541" s="7" t="s">
        <v>167</v>
      </c>
      <c r="M2541" s="7" t="s">
        <v>5897</v>
      </c>
      <c r="N2541" s="7" t="s">
        <v>410</v>
      </c>
      <c r="O2541" s="7" t="s">
        <v>162</v>
      </c>
      <c r="P2541" s="7" t="s">
        <v>7395</v>
      </c>
      <c r="Q2541" s="129">
        <v>46199</v>
      </c>
      <c r="R2541" s="130">
        <f t="shared" si="276"/>
        <v>46209</v>
      </c>
      <c r="S2541" s="131">
        <f t="shared" si="275"/>
        <v>10</v>
      </c>
      <c r="T2541" s="7" t="s">
        <v>180</v>
      </c>
      <c r="U2541" s="7" t="s">
        <v>236</v>
      </c>
      <c r="V2541" s="7"/>
      <c r="W2541" s="7">
        <v>0</v>
      </c>
      <c r="X2541" s="132">
        <f t="shared" si="273"/>
        <v>10</v>
      </c>
      <c r="Y2541" s="133"/>
      <c r="Z2541" s="133"/>
      <c r="AA2541" s="133"/>
    </row>
    <row r="2542" spans="1:27" hidden="1" x14ac:dyDescent="0.25">
      <c r="A2542" s="133"/>
      <c r="B2542" s="128" t="str">
        <f t="shared" si="274"/>
        <v>NAMS</v>
      </c>
      <c r="C2542" s="128" t="str">
        <f>+VLOOKUP(U2542,Ходим!A:B,2,0)</f>
        <v>53008015960094</v>
      </c>
      <c r="D2542" s="128" t="str">
        <f>IFERROR(VLOOKUP($B:$B,[20]свод!$A:$AB,3,0)," ")</f>
        <v>Наманган шаҳар</v>
      </c>
      <c r="E2542" s="7" t="s">
        <v>3674</v>
      </c>
      <c r="F2542" s="7" t="s">
        <v>10041</v>
      </c>
      <c r="G2542" s="134">
        <f t="shared" si="277"/>
        <v>1</v>
      </c>
      <c r="H2542" s="134" t="str">
        <f t="shared" si="278"/>
        <v/>
      </c>
      <c r="I2542" s="7" t="s">
        <v>156</v>
      </c>
      <c r="J2542" s="7" t="s">
        <v>25</v>
      </c>
      <c r="K2542" s="7"/>
      <c r="L2542" s="7"/>
      <c r="M2542" s="7"/>
      <c r="N2542" s="7" t="s">
        <v>170</v>
      </c>
      <c r="O2542" s="7" t="s">
        <v>162</v>
      </c>
      <c r="P2542" s="7" t="s">
        <v>7395</v>
      </c>
      <c r="Q2542" s="129">
        <v>46199</v>
      </c>
      <c r="R2542" s="130">
        <f t="shared" si="276"/>
        <v>46209</v>
      </c>
      <c r="S2542" s="131">
        <f t="shared" si="275"/>
        <v>10</v>
      </c>
      <c r="T2542" s="7" t="s">
        <v>173</v>
      </c>
      <c r="U2542" s="7" t="s">
        <v>403</v>
      </c>
      <c r="V2542" s="7"/>
      <c r="W2542" s="7"/>
      <c r="X2542" s="132">
        <f t="shared" si="273"/>
        <v>10</v>
      </c>
      <c r="Y2542" s="133"/>
      <c r="Z2542" s="133"/>
      <c r="AA2542" s="133"/>
    </row>
    <row r="2543" spans="1:27" hidden="1" x14ac:dyDescent="0.25">
      <c r="A2543" s="133"/>
      <c r="B2543" s="128" t="str">
        <f t="shared" si="274"/>
        <v>CHUT</v>
      </c>
      <c r="C2543" s="128" t="str">
        <f>+VLOOKUP(U2543,Ходим!A:B,2,0)</f>
        <v>30901882180031</v>
      </c>
      <c r="D2543" s="128" t="str">
        <f>IFERROR(VLOOKUP($B:$B,[20]свод!$A:$AB,3,0)," ")</f>
        <v>Чуст тумани</v>
      </c>
      <c r="E2543" s="7" t="s">
        <v>3675</v>
      </c>
      <c r="F2543" s="7" t="s">
        <v>10042</v>
      </c>
      <c r="G2543" s="134">
        <f t="shared" si="277"/>
        <v>1</v>
      </c>
      <c r="H2543" s="134" t="str">
        <f t="shared" si="278"/>
        <v/>
      </c>
      <c r="I2543" s="7" t="s">
        <v>158</v>
      </c>
      <c r="J2543" s="7" t="s">
        <v>172</v>
      </c>
      <c r="K2543" s="7"/>
      <c r="L2543" s="7" t="s">
        <v>167</v>
      </c>
      <c r="M2543" s="7" t="s">
        <v>5898</v>
      </c>
      <c r="N2543" s="7" t="s">
        <v>170</v>
      </c>
      <c r="O2543" s="7" t="s">
        <v>163</v>
      </c>
      <c r="P2543" s="7" t="s">
        <v>7396</v>
      </c>
      <c r="Q2543" s="129">
        <v>46199</v>
      </c>
      <c r="R2543" s="130">
        <f t="shared" si="276"/>
        <v>46209</v>
      </c>
      <c r="S2543" s="131">
        <f t="shared" si="275"/>
        <v>10</v>
      </c>
      <c r="T2543" s="7" t="s">
        <v>178</v>
      </c>
      <c r="U2543" s="7" t="s">
        <v>238</v>
      </c>
      <c r="V2543" s="7"/>
      <c r="W2543" s="7">
        <v>539.95000000000005</v>
      </c>
      <c r="X2543" s="132">
        <f t="shared" si="273"/>
        <v>10</v>
      </c>
      <c r="Y2543" s="133"/>
      <c r="Z2543" s="133"/>
      <c r="AA2543" s="133"/>
    </row>
    <row r="2544" spans="1:27" hidden="1" x14ac:dyDescent="0.25">
      <c r="A2544" s="133"/>
      <c r="B2544" s="128" t="str">
        <f t="shared" si="274"/>
        <v>CHUT</v>
      </c>
      <c r="C2544" s="128" t="str">
        <f>+VLOOKUP(U2544,Ходим!A:B,2,0)</f>
        <v>31910975970049</v>
      </c>
      <c r="D2544" s="128" t="str">
        <f>IFERROR(VLOOKUP($B:$B,[20]свод!$A:$AB,3,0)," ")</f>
        <v>Чуст тумани</v>
      </c>
      <c r="E2544" s="7" t="s">
        <v>3676</v>
      </c>
      <c r="F2544" s="7" t="s">
        <v>10043</v>
      </c>
      <c r="G2544" s="134">
        <f t="shared" si="277"/>
        <v>1</v>
      </c>
      <c r="H2544" s="134" t="str">
        <f t="shared" si="278"/>
        <v/>
      </c>
      <c r="I2544" s="7" t="s">
        <v>156</v>
      </c>
      <c r="J2544" s="7" t="s">
        <v>25</v>
      </c>
      <c r="K2544" s="7"/>
      <c r="L2544" s="7"/>
      <c r="M2544" s="7"/>
      <c r="N2544" s="7" t="s">
        <v>170</v>
      </c>
      <c r="O2544" s="7" t="s">
        <v>162</v>
      </c>
      <c r="P2544" s="7" t="s">
        <v>7397</v>
      </c>
      <c r="Q2544" s="129">
        <v>46199</v>
      </c>
      <c r="R2544" s="130">
        <f t="shared" si="276"/>
        <v>46209</v>
      </c>
      <c r="S2544" s="131">
        <f t="shared" si="275"/>
        <v>10</v>
      </c>
      <c r="T2544" s="7" t="s">
        <v>178</v>
      </c>
      <c r="U2544" s="7" t="s">
        <v>352</v>
      </c>
      <c r="V2544" s="7"/>
      <c r="W2544" s="7"/>
      <c r="X2544" s="132">
        <f t="shared" si="273"/>
        <v>10</v>
      </c>
      <c r="Y2544" s="133"/>
      <c r="Z2544" s="133"/>
      <c r="AA2544" s="133"/>
    </row>
    <row r="2545" spans="1:27" hidden="1" x14ac:dyDescent="0.25">
      <c r="A2545" s="133"/>
      <c r="B2545" s="128" t="str">
        <f t="shared" si="274"/>
        <v>UYCT</v>
      </c>
      <c r="C2545" s="128" t="str">
        <f>+VLOOKUP(U2545,Ходим!A:B,2,0)</f>
        <v>31007985930029</v>
      </c>
      <c r="D2545" s="128" t="str">
        <f>IFERROR(VLOOKUP($B:$B,[20]свод!$A:$AB,3,0)," ")</f>
        <v>Уйчи тумани</v>
      </c>
      <c r="E2545" s="7" t="s">
        <v>3677</v>
      </c>
      <c r="F2545" s="7" t="s">
        <v>10044</v>
      </c>
      <c r="G2545" s="134">
        <f t="shared" si="277"/>
        <v>1</v>
      </c>
      <c r="H2545" s="134" t="str">
        <f t="shared" si="278"/>
        <v/>
      </c>
      <c r="I2545" s="7" t="s">
        <v>158</v>
      </c>
      <c r="J2545" s="7" t="s">
        <v>2</v>
      </c>
      <c r="K2545" s="7"/>
      <c r="L2545" s="7" t="s">
        <v>167</v>
      </c>
      <c r="M2545" s="7" t="s">
        <v>5899</v>
      </c>
      <c r="N2545" s="7" t="s">
        <v>170</v>
      </c>
      <c r="O2545" s="7" t="s">
        <v>162</v>
      </c>
      <c r="P2545" s="7" t="s">
        <v>7397</v>
      </c>
      <c r="Q2545" s="129">
        <v>46199</v>
      </c>
      <c r="R2545" s="130">
        <f t="shared" si="276"/>
        <v>46209</v>
      </c>
      <c r="S2545" s="131">
        <f t="shared" si="275"/>
        <v>10</v>
      </c>
      <c r="T2545" s="7" t="s">
        <v>947</v>
      </c>
      <c r="U2545" s="7" t="s">
        <v>389</v>
      </c>
      <c r="V2545" s="7"/>
      <c r="W2545" s="7">
        <v>257.19</v>
      </c>
      <c r="X2545" s="132">
        <f t="shared" si="273"/>
        <v>10</v>
      </c>
      <c r="Y2545" s="133"/>
      <c r="Z2545" s="133"/>
      <c r="AA2545" s="133"/>
    </row>
    <row r="2546" spans="1:27" hidden="1" x14ac:dyDescent="0.25">
      <c r="A2546" s="133"/>
      <c r="B2546" s="128" t="str">
        <f t="shared" si="274"/>
        <v>UYCT</v>
      </c>
      <c r="C2546" s="128" t="str">
        <f>+VLOOKUP(U2546,Ходим!A:B,2,0)</f>
        <v>50304035930044</v>
      </c>
      <c r="D2546" s="128" t="str">
        <f>IFERROR(VLOOKUP($B:$B,[20]свод!$A:$AB,3,0)," ")</f>
        <v>Уйчи тумани</v>
      </c>
      <c r="E2546" s="7" t="s">
        <v>3678</v>
      </c>
      <c r="F2546" s="7" t="s">
        <v>10045</v>
      </c>
      <c r="G2546" s="134">
        <f t="shared" si="277"/>
        <v>1</v>
      </c>
      <c r="H2546" s="134" t="str">
        <f t="shared" si="278"/>
        <v/>
      </c>
      <c r="I2546" s="7" t="s">
        <v>156</v>
      </c>
      <c r="J2546" s="7" t="s">
        <v>25</v>
      </c>
      <c r="K2546" s="7"/>
      <c r="L2546" s="7"/>
      <c r="M2546" s="7"/>
      <c r="N2546" s="7" t="s">
        <v>410</v>
      </c>
      <c r="O2546" s="7" t="s">
        <v>162</v>
      </c>
      <c r="P2546" s="7" t="s">
        <v>7397</v>
      </c>
      <c r="Q2546" s="129">
        <v>46199</v>
      </c>
      <c r="R2546" s="130">
        <f t="shared" si="276"/>
        <v>46209</v>
      </c>
      <c r="S2546" s="131">
        <f t="shared" si="275"/>
        <v>10</v>
      </c>
      <c r="T2546" s="7" t="s">
        <v>947</v>
      </c>
      <c r="U2546" s="7" t="s">
        <v>956</v>
      </c>
      <c r="V2546" s="7"/>
      <c r="W2546" s="7"/>
      <c r="X2546" s="132">
        <f t="shared" si="273"/>
        <v>10</v>
      </c>
      <c r="Y2546" s="133"/>
      <c r="Z2546" s="133"/>
      <c r="AA2546" s="133"/>
    </row>
    <row r="2547" spans="1:27" hidden="1" x14ac:dyDescent="0.25">
      <c r="A2547" s="133"/>
      <c r="B2547" s="128" t="str">
        <f t="shared" si="274"/>
        <v>NAMS</v>
      </c>
      <c r="C2547" s="128" t="str">
        <f>+VLOOKUP(U2547,Ходим!A:B,2,0)</f>
        <v>30302942170072</v>
      </c>
      <c r="D2547" s="128" t="str">
        <f>IFERROR(VLOOKUP($B:$B,[20]свод!$A:$AB,3,0)," ")</f>
        <v>Наманган шаҳар</v>
      </c>
      <c r="E2547" s="7" t="s">
        <v>3679</v>
      </c>
      <c r="F2547" s="7" t="s">
        <v>10046</v>
      </c>
      <c r="G2547" s="134">
        <f t="shared" si="277"/>
        <v>1</v>
      </c>
      <c r="H2547" s="134" t="str">
        <f t="shared" si="278"/>
        <v/>
      </c>
      <c r="I2547" s="7" t="s">
        <v>158</v>
      </c>
      <c r="J2547" s="7" t="s">
        <v>2</v>
      </c>
      <c r="K2547" s="7"/>
      <c r="L2547" s="7"/>
      <c r="M2547" s="7"/>
      <c r="N2547" s="7" t="s">
        <v>410</v>
      </c>
      <c r="O2547" s="7" t="s">
        <v>162</v>
      </c>
      <c r="P2547" s="7" t="s">
        <v>7397</v>
      </c>
      <c r="Q2547" s="129">
        <v>46199</v>
      </c>
      <c r="R2547" s="130">
        <f t="shared" si="276"/>
        <v>46209</v>
      </c>
      <c r="S2547" s="131">
        <f t="shared" si="275"/>
        <v>10</v>
      </c>
      <c r="T2547" s="7" t="s">
        <v>173</v>
      </c>
      <c r="U2547" s="7" t="s">
        <v>325</v>
      </c>
      <c r="V2547" s="7"/>
      <c r="W2547" s="7"/>
      <c r="X2547" s="132">
        <f t="shared" si="273"/>
        <v>10</v>
      </c>
      <c r="Y2547" s="133"/>
      <c r="Z2547" s="133"/>
      <c r="AA2547" s="133"/>
    </row>
    <row r="2548" spans="1:27" hidden="1" x14ac:dyDescent="0.25">
      <c r="A2548" s="133"/>
      <c r="B2548" s="128" t="str">
        <f t="shared" si="274"/>
        <v>NAMS</v>
      </c>
      <c r="C2548" s="128" t="str">
        <f>+VLOOKUP(U2548,Ходим!A:B,2,0)</f>
        <v>51110025960044</v>
      </c>
      <c r="D2548" s="128" t="str">
        <f>IFERROR(VLOOKUP($B:$B,[20]свод!$A:$AB,3,0)," ")</f>
        <v>Наманган шаҳар</v>
      </c>
      <c r="E2548" s="7" t="s">
        <v>3680</v>
      </c>
      <c r="F2548" s="7" t="s">
        <v>10047</v>
      </c>
      <c r="G2548" s="134">
        <f t="shared" si="277"/>
        <v>1</v>
      </c>
      <c r="H2548" s="134" t="str">
        <f t="shared" si="278"/>
        <v/>
      </c>
      <c r="I2548" s="7" t="s">
        <v>158</v>
      </c>
      <c r="J2548" s="7" t="s">
        <v>2</v>
      </c>
      <c r="K2548" s="7"/>
      <c r="L2548" s="7"/>
      <c r="M2548" s="7"/>
      <c r="N2548" s="7" t="s">
        <v>170</v>
      </c>
      <c r="O2548" s="7" t="s">
        <v>162</v>
      </c>
      <c r="P2548" s="7" t="s">
        <v>7398</v>
      </c>
      <c r="Q2548" s="129">
        <v>46199</v>
      </c>
      <c r="R2548" s="130">
        <f t="shared" si="276"/>
        <v>46209</v>
      </c>
      <c r="S2548" s="131">
        <f t="shared" si="275"/>
        <v>10</v>
      </c>
      <c r="T2548" s="7" t="s">
        <v>173</v>
      </c>
      <c r="U2548" s="7" t="s">
        <v>294</v>
      </c>
      <c r="V2548" s="7"/>
      <c r="W2548" s="7"/>
      <c r="X2548" s="132">
        <f t="shared" si="273"/>
        <v>10</v>
      </c>
      <c r="Y2548" s="133"/>
      <c r="Z2548" s="133"/>
      <c r="AA2548" s="133"/>
    </row>
    <row r="2549" spans="1:27" hidden="1" x14ac:dyDescent="0.25">
      <c r="A2549" s="133"/>
      <c r="B2549" s="128" t="str">
        <f t="shared" si="274"/>
        <v>UCQT</v>
      </c>
      <c r="C2549" s="128" t="e">
        <f>+VLOOKUP(U2549,Ходим!A:B,2,0)</f>
        <v>#N/A</v>
      </c>
      <c r="D2549" s="128" t="str">
        <f>IFERROR(VLOOKUP($B:$B,[20]свод!$A:$AB,3,0)," ")</f>
        <v>Учқўрғон тумани</v>
      </c>
      <c r="E2549" s="7" t="s">
        <v>3681</v>
      </c>
      <c r="F2549" s="7" t="s">
        <v>10048</v>
      </c>
      <c r="G2549" s="134">
        <f t="shared" si="277"/>
        <v>1</v>
      </c>
      <c r="H2549" s="134" t="str">
        <f t="shared" si="278"/>
        <v/>
      </c>
      <c r="I2549" s="7" t="s">
        <v>156</v>
      </c>
      <c r="J2549" s="7" t="s">
        <v>11</v>
      </c>
      <c r="K2549" s="7"/>
      <c r="L2549" s="7"/>
      <c r="M2549" s="7"/>
      <c r="N2549" s="7" t="s">
        <v>170</v>
      </c>
      <c r="O2549" s="7" t="s">
        <v>162</v>
      </c>
      <c r="P2549" s="7" t="s">
        <v>7398</v>
      </c>
      <c r="Q2549" s="129">
        <v>46199</v>
      </c>
      <c r="R2549" s="130">
        <f t="shared" si="276"/>
        <v>46209</v>
      </c>
      <c r="S2549" s="131">
        <f t="shared" si="275"/>
        <v>10</v>
      </c>
      <c r="T2549" s="7" t="s">
        <v>175</v>
      </c>
      <c r="U2549" s="7"/>
      <c r="V2549" s="7"/>
      <c r="W2549" s="7"/>
      <c r="X2549" s="132">
        <f t="shared" si="273"/>
        <v>10</v>
      </c>
      <c r="Y2549" s="133"/>
      <c r="Z2549" s="133"/>
      <c r="AA2549" s="133"/>
    </row>
    <row r="2550" spans="1:27" hidden="1" x14ac:dyDescent="0.25">
      <c r="A2550" s="133"/>
      <c r="B2550" s="128" t="str">
        <f t="shared" si="274"/>
        <v>CHOT</v>
      </c>
      <c r="C2550" s="128" t="str">
        <f>+VLOOKUP(U2550,Ходим!A:B,2,0)</f>
        <v>50205015890036</v>
      </c>
      <c r="D2550" s="128" t="str">
        <f>IFERROR(VLOOKUP($B:$B,[20]свод!$A:$AB,3,0)," ")</f>
        <v>Чортоқ тумани</v>
      </c>
      <c r="E2550" s="7" t="s">
        <v>3682</v>
      </c>
      <c r="F2550" s="7" t="s">
        <v>10049</v>
      </c>
      <c r="G2550" s="134">
        <f t="shared" si="277"/>
        <v>1</v>
      </c>
      <c r="H2550" s="134" t="str">
        <f t="shared" si="278"/>
        <v/>
      </c>
      <c r="I2550" s="7" t="s">
        <v>158</v>
      </c>
      <c r="J2550" s="7" t="s">
        <v>172</v>
      </c>
      <c r="K2550" s="7"/>
      <c r="L2550" s="7" t="s">
        <v>167</v>
      </c>
      <c r="M2550" s="7" t="s">
        <v>5900</v>
      </c>
      <c r="N2550" s="7" t="s">
        <v>170</v>
      </c>
      <c r="O2550" s="7" t="s">
        <v>162</v>
      </c>
      <c r="P2550" s="7" t="s">
        <v>7396</v>
      </c>
      <c r="Q2550" s="129">
        <v>46199</v>
      </c>
      <c r="R2550" s="130">
        <f t="shared" si="276"/>
        <v>46209</v>
      </c>
      <c r="S2550" s="131">
        <f t="shared" si="275"/>
        <v>10</v>
      </c>
      <c r="T2550" s="7" t="s">
        <v>184</v>
      </c>
      <c r="U2550" s="7" t="s">
        <v>251</v>
      </c>
      <c r="V2550" s="7"/>
      <c r="W2550" s="7">
        <v>191.1</v>
      </c>
      <c r="X2550" s="132">
        <f t="shared" si="273"/>
        <v>10</v>
      </c>
      <c r="Y2550" s="133"/>
      <c r="Z2550" s="133"/>
      <c r="AA2550" s="133"/>
    </row>
    <row r="2551" spans="1:27" hidden="1" x14ac:dyDescent="0.25">
      <c r="A2551" s="133"/>
      <c r="B2551" s="128" t="str">
        <f t="shared" si="274"/>
        <v>NAMS</v>
      </c>
      <c r="C2551" s="128">
        <f>+VLOOKUP(U2551,Ходим!A:B,2,0)</f>
        <v>50703045960050</v>
      </c>
      <c r="D2551" s="128" t="str">
        <f>IFERROR(VLOOKUP($B:$B,[20]свод!$A:$AB,3,0)," ")</f>
        <v>Наманган шаҳар</v>
      </c>
      <c r="E2551" s="7" t="s">
        <v>3683</v>
      </c>
      <c r="F2551" s="7" t="s">
        <v>10050</v>
      </c>
      <c r="G2551" s="134" t="str">
        <f t="shared" si="277"/>
        <v/>
      </c>
      <c r="H2551" s="134">
        <f t="shared" si="278"/>
        <v>1</v>
      </c>
      <c r="I2551" s="7" t="s">
        <v>157</v>
      </c>
      <c r="J2551" s="7" t="s">
        <v>35</v>
      </c>
      <c r="K2551" s="7"/>
      <c r="L2551" s="7" t="s">
        <v>166</v>
      </c>
      <c r="M2551" s="7" t="s">
        <v>5901</v>
      </c>
      <c r="N2551" s="7" t="s">
        <v>170</v>
      </c>
      <c r="O2551" s="7" t="s">
        <v>163</v>
      </c>
      <c r="P2551" s="7" t="s">
        <v>6718</v>
      </c>
      <c r="Q2551" s="129">
        <v>46199</v>
      </c>
      <c r="R2551" s="130">
        <f t="shared" si="276"/>
        <v>46218</v>
      </c>
      <c r="S2551" s="131">
        <f t="shared" si="275"/>
        <v>19</v>
      </c>
      <c r="T2551" s="7" t="s">
        <v>227</v>
      </c>
      <c r="U2551" s="7" t="s">
        <v>948</v>
      </c>
      <c r="V2551" s="7"/>
      <c r="W2551" s="7">
        <v>1008.73</v>
      </c>
      <c r="X2551" s="132">
        <f t="shared" si="273"/>
        <v>17</v>
      </c>
      <c r="Y2551" s="133"/>
      <c r="Z2551" s="133"/>
      <c r="AA2551" s="133"/>
    </row>
    <row r="2552" spans="1:27" hidden="1" x14ac:dyDescent="0.25">
      <c r="A2552" s="133"/>
      <c r="B2552" s="128" t="str">
        <f t="shared" si="274"/>
        <v>UYCT</v>
      </c>
      <c r="C2552" s="128" t="str">
        <f>+VLOOKUP(U2552,Ходим!A:B,2,0)</f>
        <v>30309975930028</v>
      </c>
      <c r="D2552" s="128" t="str">
        <f>IFERROR(VLOOKUP($B:$B,[20]свод!$A:$AB,3,0)," ")</f>
        <v>Уйчи тумани</v>
      </c>
      <c r="E2552" s="7" t="s">
        <v>3684</v>
      </c>
      <c r="F2552" s="7" t="s">
        <v>10051</v>
      </c>
      <c r="G2552" s="134">
        <f t="shared" si="277"/>
        <v>1</v>
      </c>
      <c r="H2552" s="134" t="str">
        <f t="shared" si="278"/>
        <v/>
      </c>
      <c r="I2552" s="7" t="s">
        <v>158</v>
      </c>
      <c r="J2552" s="7" t="s">
        <v>2</v>
      </c>
      <c r="K2552" s="7"/>
      <c r="L2552" s="7" t="s">
        <v>167</v>
      </c>
      <c r="M2552" s="7" t="s">
        <v>5902</v>
      </c>
      <c r="N2552" s="7" t="s">
        <v>410</v>
      </c>
      <c r="O2552" s="7" t="s">
        <v>162</v>
      </c>
      <c r="P2552" s="7" t="s">
        <v>6718</v>
      </c>
      <c r="Q2552" s="129">
        <v>46199</v>
      </c>
      <c r="R2552" s="130">
        <f t="shared" si="276"/>
        <v>46209</v>
      </c>
      <c r="S2552" s="131">
        <f t="shared" si="275"/>
        <v>10</v>
      </c>
      <c r="T2552" s="7" t="s">
        <v>947</v>
      </c>
      <c r="U2552" s="7" t="s">
        <v>261</v>
      </c>
      <c r="V2552" s="7"/>
      <c r="W2552" s="7">
        <v>54.9</v>
      </c>
      <c r="X2552" s="132">
        <f t="shared" si="273"/>
        <v>10</v>
      </c>
      <c r="Y2552" s="133"/>
      <c r="Z2552" s="133"/>
      <c r="AA2552" s="133"/>
    </row>
    <row r="2553" spans="1:27" hidden="1" x14ac:dyDescent="0.25">
      <c r="A2553" s="133"/>
      <c r="B2553" s="128" t="str">
        <f t="shared" si="274"/>
        <v>UCQT</v>
      </c>
      <c r="C2553" s="128">
        <f>+VLOOKUP(U2553,Ходим!A:B,2,0)</f>
        <v>52107015940019</v>
      </c>
      <c r="D2553" s="128" t="str">
        <f>IFERROR(VLOOKUP($B:$B,[20]свод!$A:$AB,3,0)," ")</f>
        <v>Учқўрғон тумани</v>
      </c>
      <c r="E2553" s="7" t="s">
        <v>3685</v>
      </c>
      <c r="F2553" s="7" t="s">
        <v>10052</v>
      </c>
      <c r="G2553" s="134">
        <f t="shared" si="277"/>
        <v>1</v>
      </c>
      <c r="H2553" s="134" t="str">
        <f t="shared" si="278"/>
        <v/>
      </c>
      <c r="I2553" s="7" t="s">
        <v>158</v>
      </c>
      <c r="J2553" s="7" t="s">
        <v>1</v>
      </c>
      <c r="K2553" s="7"/>
      <c r="L2553" s="7" t="s">
        <v>167</v>
      </c>
      <c r="M2553" s="7" t="s">
        <v>5903</v>
      </c>
      <c r="N2553" s="7" t="s">
        <v>170</v>
      </c>
      <c r="O2553" s="7" t="s">
        <v>162</v>
      </c>
      <c r="P2553" s="7" t="s">
        <v>7131</v>
      </c>
      <c r="Q2553" s="129">
        <v>46199</v>
      </c>
      <c r="R2553" s="130">
        <f t="shared" si="276"/>
        <v>46209</v>
      </c>
      <c r="S2553" s="131">
        <f t="shared" si="275"/>
        <v>10</v>
      </c>
      <c r="T2553" s="7" t="s">
        <v>390</v>
      </c>
      <c r="U2553" s="7" t="s">
        <v>361</v>
      </c>
      <c r="V2553" s="7"/>
      <c r="W2553" s="7">
        <v>310.83999999999997</v>
      </c>
      <c r="X2553" s="132">
        <f t="shared" si="273"/>
        <v>10</v>
      </c>
      <c r="Y2553" s="133"/>
      <c r="Z2553" s="133"/>
      <c r="AA2553" s="133"/>
    </row>
    <row r="2554" spans="1:27" hidden="1" x14ac:dyDescent="0.25">
      <c r="A2554" s="133"/>
      <c r="B2554" s="128" t="str">
        <f t="shared" si="274"/>
        <v>TORT</v>
      </c>
      <c r="C2554" s="128" t="str">
        <f>+VLOOKUP(U2554,Ходим!A:B,2,0)</f>
        <v>31110892130070</v>
      </c>
      <c r="D2554" s="128" t="str">
        <f>IFERROR(VLOOKUP($B:$B,[20]свод!$A:$AB,3,0)," ")</f>
        <v>Тўрақўрғон тумани</v>
      </c>
      <c r="E2554" s="7" t="s">
        <v>3686</v>
      </c>
      <c r="F2554" s="7" t="s">
        <v>10053</v>
      </c>
      <c r="G2554" s="134">
        <f t="shared" si="277"/>
        <v>1</v>
      </c>
      <c r="H2554" s="134" t="str">
        <f t="shared" si="278"/>
        <v/>
      </c>
      <c r="I2554" s="7" t="s">
        <v>158</v>
      </c>
      <c r="J2554" s="7" t="s">
        <v>2</v>
      </c>
      <c r="K2554" s="7"/>
      <c r="L2554" s="7" t="s">
        <v>167</v>
      </c>
      <c r="M2554" s="7" t="s">
        <v>5904</v>
      </c>
      <c r="N2554" s="7" t="s">
        <v>170</v>
      </c>
      <c r="O2554" s="7" t="s">
        <v>162</v>
      </c>
      <c r="P2554" s="7" t="s">
        <v>7399</v>
      </c>
      <c r="Q2554" s="129">
        <v>46199</v>
      </c>
      <c r="R2554" s="130">
        <f t="shared" si="276"/>
        <v>46209</v>
      </c>
      <c r="S2554" s="131">
        <f t="shared" si="275"/>
        <v>10</v>
      </c>
      <c r="T2554" s="7" t="s">
        <v>203</v>
      </c>
      <c r="U2554" s="7" t="s">
        <v>297</v>
      </c>
      <c r="V2554" s="7"/>
      <c r="W2554" s="7">
        <v>0</v>
      </c>
      <c r="X2554" s="132">
        <f t="shared" ref="X2554:X2615" si="279">IF(N2554="Kadastr muhandisi",3,
IF(N2554="UZKAD",5,
IF(V2554="FREE",5,
IF(I2554="Registratsiya (tashqi - UZKAD da bor)",1,
IF(I2554="Avtoyo'l va suv xo'jaligi obyektining kadastr pasportini shakllantirish va ro'yxatga olish",7,
IF(I2554="Notarius uchun ma'lumotnoma (uz)",1,
IF(I2554="Qurilishi tugallangan ko'chmas mulkni foydalanishga qabul qilish",10,
IF(OR(I2554="Turar joy obyektning kadastr pasportini shakllantirish va davlat ro'yxatidan o'tkazish",I2554="Turar kompozit"),
IF(L2554="Turar yer maydoni",7,10),
IF(OR(I2554="Noturar obyektning kadastr pasportini shakllantirish va davlat ro'yxatidan o'tkazish",I2554="Noturar kompozit"),
IF(O2554="Ko‘p yillik daraxtlar xizmati",15,
IF(OR(L2554="Noturar yer maydoni",L2554="Davlat tashkilotlaridan ijaraga olingan yer uchastkasi"),7,
IF(W2554&lt;100,10,IF(W2554&lt;=1000,12,IF(W2554&lt;=5000,17,IF(W2554&lt;=15000,22,IF(W2554&lt;=50000,28,37))))))),
IF(I2554="Umumiy foydalanishdagi ko'chmas mulk qismini yaratish",
IF(IF(TRIM(L2554)="",IF(OR(O2554="Turar joy xizmati",O2554="Yakka tartibdagi turar joy"),"Turar","Noturar"),IF(OR(L2554="Yakka tartibdagi turar joy",L2554="Turar joy xizmati"),"Turar","Noturar"))="Turar",
10,IF(W2554&lt;100,10,IF(W2554&lt;=1000,12,IF(W2554&lt;=5000,17,IF(W2554&lt;=15000,22,IF(W2554&lt;=50000,28,37)))))),
0))))))))))</f>
        <v>10</v>
      </c>
      <c r="Y2554" s="133"/>
      <c r="Z2554" s="133"/>
      <c r="AA2554" s="133"/>
    </row>
    <row r="2555" spans="1:27" hidden="1" x14ac:dyDescent="0.25">
      <c r="A2555" s="133"/>
      <c r="B2555" s="128" t="str">
        <f t="shared" ref="B2555:B2616" si="280">LEFT(E2555,4)</f>
        <v>NAMS</v>
      </c>
      <c r="C2555" s="128" t="str">
        <f>+VLOOKUP(U2555,Ходим!A:B,2,0)</f>
        <v>32407752170062</v>
      </c>
      <c r="D2555" s="128" t="str">
        <f>IFERROR(VLOOKUP($B:$B,[20]свод!$A:$AB,3,0)," ")</f>
        <v>Наманган шаҳар</v>
      </c>
      <c r="E2555" s="7" t="s">
        <v>3687</v>
      </c>
      <c r="F2555" s="7" t="s">
        <v>10054</v>
      </c>
      <c r="G2555" s="134">
        <f t="shared" si="277"/>
        <v>1</v>
      </c>
      <c r="H2555" s="134" t="str">
        <f t="shared" si="278"/>
        <v/>
      </c>
      <c r="I2555" s="7" t="s">
        <v>158</v>
      </c>
      <c r="J2555" s="7" t="s">
        <v>2</v>
      </c>
      <c r="K2555" s="7"/>
      <c r="L2555" s="7"/>
      <c r="M2555" s="7"/>
      <c r="N2555" s="7" t="s">
        <v>170</v>
      </c>
      <c r="O2555" s="7" t="s">
        <v>162</v>
      </c>
      <c r="P2555" s="7" t="s">
        <v>7399</v>
      </c>
      <c r="Q2555" s="129">
        <v>46199</v>
      </c>
      <c r="R2555" s="130">
        <f t="shared" si="276"/>
        <v>46209</v>
      </c>
      <c r="S2555" s="131">
        <f t="shared" ref="S2555:S2616" si="281">R2555-Q2555</f>
        <v>10</v>
      </c>
      <c r="T2555" s="7" t="s">
        <v>173</v>
      </c>
      <c r="U2555" s="7" t="s">
        <v>264</v>
      </c>
      <c r="V2555" s="7"/>
      <c r="W2555" s="7"/>
      <c r="X2555" s="132">
        <f t="shared" si="279"/>
        <v>10</v>
      </c>
      <c r="Y2555" s="133"/>
      <c r="Z2555" s="133"/>
      <c r="AA2555" s="133"/>
    </row>
    <row r="2556" spans="1:27" hidden="1" x14ac:dyDescent="0.25">
      <c r="A2556" s="133"/>
      <c r="B2556" s="128" t="str">
        <f t="shared" si="280"/>
        <v>MINT</v>
      </c>
      <c r="C2556" s="128" t="e">
        <f>+VLOOKUP(U2556,Ходим!A:B,2,0)</f>
        <v>#N/A</v>
      </c>
      <c r="D2556" s="128" t="str">
        <f>IFERROR(VLOOKUP($B:$B,[20]свод!$A:$AB,3,0)," ")</f>
        <v>Мингбулоқ тумани</v>
      </c>
      <c r="E2556" s="7" t="s">
        <v>3688</v>
      </c>
      <c r="F2556" s="7" t="s">
        <v>10055</v>
      </c>
      <c r="G2556" s="134">
        <f t="shared" si="277"/>
        <v>1</v>
      </c>
      <c r="H2556" s="134" t="str">
        <f t="shared" si="278"/>
        <v/>
      </c>
      <c r="I2556" s="7" t="s">
        <v>156</v>
      </c>
      <c r="J2556" s="7" t="s">
        <v>11</v>
      </c>
      <c r="K2556" s="7"/>
      <c r="L2556" s="7"/>
      <c r="M2556" s="7"/>
      <c r="N2556" s="7" t="s">
        <v>170</v>
      </c>
      <c r="O2556" s="7" t="s">
        <v>162</v>
      </c>
      <c r="P2556" s="7" t="s">
        <v>7399</v>
      </c>
      <c r="Q2556" s="129">
        <v>46199</v>
      </c>
      <c r="R2556" s="130">
        <f t="shared" si="276"/>
        <v>46209</v>
      </c>
      <c r="S2556" s="131">
        <f t="shared" si="281"/>
        <v>10</v>
      </c>
      <c r="T2556" s="7"/>
      <c r="U2556" s="7"/>
      <c r="V2556" s="7"/>
      <c r="W2556" s="7"/>
      <c r="X2556" s="132">
        <f t="shared" si="279"/>
        <v>10</v>
      </c>
      <c r="Y2556" s="133"/>
      <c r="Z2556" s="133"/>
      <c r="AA2556" s="133"/>
    </row>
    <row r="2557" spans="1:27" hidden="1" x14ac:dyDescent="0.25">
      <c r="A2557" s="133"/>
      <c r="B2557" s="128" t="str">
        <f t="shared" si="280"/>
        <v>NAMS</v>
      </c>
      <c r="C2557" s="128" t="str">
        <f>+VLOOKUP(U2557,Ходим!A:B,2,0)</f>
        <v>51705025890024</v>
      </c>
      <c r="D2557" s="128" t="str">
        <f>IFERROR(VLOOKUP($B:$B,[20]свод!$A:$AB,3,0)," ")</f>
        <v>Наманган шаҳар</v>
      </c>
      <c r="E2557" s="7" t="s">
        <v>3689</v>
      </c>
      <c r="F2557" s="7" t="s">
        <v>10056</v>
      </c>
      <c r="G2557" s="134">
        <f t="shared" si="277"/>
        <v>1</v>
      </c>
      <c r="H2557" s="134" t="str">
        <f t="shared" si="278"/>
        <v/>
      </c>
      <c r="I2557" s="7" t="s">
        <v>158</v>
      </c>
      <c r="J2557" s="7" t="s">
        <v>1</v>
      </c>
      <c r="K2557" s="7"/>
      <c r="L2557" s="7" t="s">
        <v>167</v>
      </c>
      <c r="M2557" s="7" t="s">
        <v>5905</v>
      </c>
      <c r="N2557" s="7" t="s">
        <v>170</v>
      </c>
      <c r="O2557" s="7" t="s">
        <v>162</v>
      </c>
      <c r="P2557" s="7" t="s">
        <v>7399</v>
      </c>
      <c r="Q2557" s="129">
        <v>46199</v>
      </c>
      <c r="R2557" s="130">
        <f t="shared" si="276"/>
        <v>46209</v>
      </c>
      <c r="S2557" s="131">
        <f t="shared" si="281"/>
        <v>10</v>
      </c>
      <c r="T2557" s="7" t="s">
        <v>185</v>
      </c>
      <c r="U2557" s="7" t="s">
        <v>189</v>
      </c>
      <c r="V2557" s="7"/>
      <c r="W2557" s="7">
        <v>174.41</v>
      </c>
      <c r="X2557" s="132">
        <f t="shared" si="279"/>
        <v>10</v>
      </c>
      <c r="Y2557" s="133"/>
      <c r="Z2557" s="133"/>
      <c r="AA2557" s="133"/>
    </row>
    <row r="2558" spans="1:27" hidden="1" x14ac:dyDescent="0.25">
      <c r="A2558" s="133"/>
      <c r="B2558" s="128" t="str">
        <f t="shared" si="280"/>
        <v>NAMS</v>
      </c>
      <c r="C2558" s="128" t="str">
        <f>+VLOOKUP(U2558,Ходим!A:B,2,0)</f>
        <v>31007955980023</v>
      </c>
      <c r="D2558" s="128" t="str">
        <f>IFERROR(VLOOKUP($B:$B,[20]свод!$A:$AB,3,0)," ")</f>
        <v>Наманган шаҳар</v>
      </c>
      <c r="E2558" s="7" t="s">
        <v>3690</v>
      </c>
      <c r="F2558" s="7" t="s">
        <v>10057</v>
      </c>
      <c r="G2558" s="134">
        <f t="shared" si="277"/>
        <v>1</v>
      </c>
      <c r="H2558" s="134" t="str">
        <f t="shared" si="278"/>
        <v/>
      </c>
      <c r="I2558" s="7" t="s">
        <v>156</v>
      </c>
      <c r="J2558" s="7" t="s">
        <v>25</v>
      </c>
      <c r="K2558" s="7"/>
      <c r="L2558" s="7" t="s">
        <v>167</v>
      </c>
      <c r="M2558" s="7" t="s">
        <v>5906</v>
      </c>
      <c r="N2558" s="7" t="s">
        <v>170</v>
      </c>
      <c r="O2558" s="7" t="s">
        <v>163</v>
      </c>
      <c r="P2558" s="7" t="s">
        <v>7399</v>
      </c>
      <c r="Q2558" s="129">
        <v>46199</v>
      </c>
      <c r="R2558" s="130">
        <f t="shared" si="276"/>
        <v>46209</v>
      </c>
      <c r="S2558" s="131">
        <f t="shared" si="281"/>
        <v>10</v>
      </c>
      <c r="T2558" s="7" t="s">
        <v>173</v>
      </c>
      <c r="U2558" s="7" t="s">
        <v>207</v>
      </c>
      <c r="V2558" s="7"/>
      <c r="W2558" s="7">
        <v>424</v>
      </c>
      <c r="X2558" s="132">
        <f t="shared" si="279"/>
        <v>10</v>
      </c>
      <c r="Y2558" s="133"/>
      <c r="Z2558" s="133"/>
      <c r="AA2558" s="133"/>
    </row>
    <row r="2559" spans="1:27" hidden="1" x14ac:dyDescent="0.25">
      <c r="A2559" s="133"/>
      <c r="B2559" s="128" t="str">
        <f t="shared" si="280"/>
        <v>NAMS</v>
      </c>
      <c r="C2559" s="128" t="str">
        <f>+VLOOKUP(U2559,Ходим!A:B,2,0)</f>
        <v>31007955980023</v>
      </c>
      <c r="D2559" s="128" t="str">
        <f>IFERROR(VLOOKUP($B:$B,[20]свод!$A:$AB,3,0)," ")</f>
        <v>Наманган шаҳар</v>
      </c>
      <c r="E2559" s="7" t="s">
        <v>3691</v>
      </c>
      <c r="F2559" s="7" t="s">
        <v>10058</v>
      </c>
      <c r="G2559" s="134">
        <f t="shared" si="277"/>
        <v>1</v>
      </c>
      <c r="H2559" s="134" t="str">
        <f t="shared" si="278"/>
        <v/>
      </c>
      <c r="I2559" s="7" t="s">
        <v>156</v>
      </c>
      <c r="J2559" s="7" t="s">
        <v>25</v>
      </c>
      <c r="K2559" s="7"/>
      <c r="L2559" s="7"/>
      <c r="M2559" s="7"/>
      <c r="N2559" s="7" t="s">
        <v>170</v>
      </c>
      <c r="O2559" s="7" t="s">
        <v>162</v>
      </c>
      <c r="P2559" s="7" t="s">
        <v>7399</v>
      </c>
      <c r="Q2559" s="129">
        <v>46199</v>
      </c>
      <c r="R2559" s="130">
        <f t="shared" si="276"/>
        <v>46209</v>
      </c>
      <c r="S2559" s="131">
        <f t="shared" si="281"/>
        <v>10</v>
      </c>
      <c r="T2559" s="7" t="s">
        <v>173</v>
      </c>
      <c r="U2559" s="7" t="s">
        <v>207</v>
      </c>
      <c r="V2559" s="7"/>
      <c r="W2559" s="7"/>
      <c r="X2559" s="132">
        <f t="shared" si="279"/>
        <v>10</v>
      </c>
      <c r="Y2559" s="133"/>
      <c r="Z2559" s="133"/>
      <c r="AA2559" s="133"/>
    </row>
    <row r="2560" spans="1:27" hidden="1" x14ac:dyDescent="0.25">
      <c r="A2560" s="133"/>
      <c r="B2560" s="128" t="str">
        <f t="shared" si="280"/>
        <v>YGQT</v>
      </c>
      <c r="C2560" s="128" t="str">
        <f>+VLOOKUP(U2560,Ходим!A:B,2,0)</f>
        <v>32806922160043</v>
      </c>
      <c r="D2560" s="128" t="str">
        <f>IFERROR(VLOOKUP($B:$B,[20]свод!$A:$AB,3,0)," ")</f>
        <v>Янгиқўрғон тумани</v>
      </c>
      <c r="E2560" s="7" t="s">
        <v>3692</v>
      </c>
      <c r="F2560" s="7" t="s">
        <v>10059</v>
      </c>
      <c r="G2560" s="134">
        <f t="shared" si="277"/>
        <v>1</v>
      </c>
      <c r="H2560" s="134" t="str">
        <f t="shared" si="278"/>
        <v/>
      </c>
      <c r="I2560" s="7" t="s">
        <v>158</v>
      </c>
      <c r="J2560" s="7" t="s">
        <v>2</v>
      </c>
      <c r="K2560" s="7"/>
      <c r="L2560" s="7" t="s">
        <v>167</v>
      </c>
      <c r="M2560" s="7" t="s">
        <v>5907</v>
      </c>
      <c r="N2560" s="7" t="s">
        <v>170</v>
      </c>
      <c r="O2560" s="7" t="s">
        <v>162</v>
      </c>
      <c r="P2560" s="7" t="s">
        <v>7399</v>
      </c>
      <c r="Q2560" s="129">
        <v>46199</v>
      </c>
      <c r="R2560" s="130">
        <f t="shared" si="276"/>
        <v>46209</v>
      </c>
      <c r="S2560" s="131">
        <f t="shared" si="281"/>
        <v>10</v>
      </c>
      <c r="T2560" s="7" t="s">
        <v>255</v>
      </c>
      <c r="U2560" s="7" t="s">
        <v>186</v>
      </c>
      <c r="V2560" s="7"/>
      <c r="W2560" s="7">
        <v>0</v>
      </c>
      <c r="X2560" s="132">
        <f t="shared" si="279"/>
        <v>10</v>
      </c>
      <c r="Y2560" s="133"/>
      <c r="Z2560" s="133"/>
      <c r="AA2560" s="133"/>
    </row>
    <row r="2561" spans="1:27" hidden="1" x14ac:dyDescent="0.25">
      <c r="A2561" s="133"/>
      <c r="B2561" s="128" t="str">
        <f t="shared" si="280"/>
        <v>TORT</v>
      </c>
      <c r="C2561" s="128" t="str">
        <f>+VLOOKUP(U2561,Ходим!A:B,2,0)</f>
        <v>32211772130034</v>
      </c>
      <c r="D2561" s="128" t="str">
        <f>IFERROR(VLOOKUP($B:$B,[20]свод!$A:$AB,3,0)," ")</f>
        <v>Тўрақўрғон тумани</v>
      </c>
      <c r="E2561" s="7" t="s">
        <v>3693</v>
      </c>
      <c r="F2561" s="7" t="s">
        <v>10060</v>
      </c>
      <c r="G2561" s="134">
        <f t="shared" si="277"/>
        <v>1</v>
      </c>
      <c r="H2561" s="134" t="str">
        <f t="shared" si="278"/>
        <v/>
      </c>
      <c r="I2561" s="7" t="s">
        <v>158</v>
      </c>
      <c r="J2561" s="7" t="s">
        <v>1</v>
      </c>
      <c r="K2561" s="7"/>
      <c r="L2561" s="7" t="s">
        <v>167</v>
      </c>
      <c r="M2561" s="7" t="s">
        <v>5908</v>
      </c>
      <c r="N2561" s="7" t="s">
        <v>170</v>
      </c>
      <c r="O2561" s="7" t="s">
        <v>162</v>
      </c>
      <c r="P2561" s="7" t="s">
        <v>6346</v>
      </c>
      <c r="Q2561" s="129">
        <v>46199</v>
      </c>
      <c r="R2561" s="130">
        <f t="shared" si="276"/>
        <v>46203</v>
      </c>
      <c r="S2561" s="131">
        <f t="shared" si="281"/>
        <v>4</v>
      </c>
      <c r="T2561" s="7" t="s">
        <v>203</v>
      </c>
      <c r="U2561" s="7" t="s">
        <v>270</v>
      </c>
      <c r="V2561" s="7"/>
      <c r="W2561" s="7">
        <v>589.91999999999996</v>
      </c>
      <c r="X2561" s="132">
        <f t="shared" si="279"/>
        <v>10</v>
      </c>
      <c r="Y2561" s="133"/>
      <c r="Z2561" s="133"/>
      <c r="AA2561" s="133"/>
    </row>
    <row r="2562" spans="1:27" hidden="1" x14ac:dyDescent="0.25">
      <c r="A2562" s="133"/>
      <c r="B2562" s="128" t="str">
        <f t="shared" si="280"/>
        <v>KSST</v>
      </c>
      <c r="C2562" s="128" t="e">
        <f>+VLOOKUP(U2562,Ходим!A:B,2,0)</f>
        <v>#N/A</v>
      </c>
      <c r="D2562" s="128" t="str">
        <f>IFERROR(VLOOKUP($B:$B,[20]свод!$A:$AB,3,0)," ")</f>
        <v>Косонсой тумани</v>
      </c>
      <c r="E2562" s="7" t="s">
        <v>3694</v>
      </c>
      <c r="F2562" s="7" t="s">
        <v>10061</v>
      </c>
      <c r="G2562" s="134" t="str">
        <f t="shared" si="277"/>
        <v/>
      </c>
      <c r="H2562" s="134">
        <f t="shared" si="278"/>
        <v>1</v>
      </c>
      <c r="I2562" s="7" t="s">
        <v>155</v>
      </c>
      <c r="J2562" s="7" t="s">
        <v>25</v>
      </c>
      <c r="K2562" s="7"/>
      <c r="L2562" s="7" t="s">
        <v>166</v>
      </c>
      <c r="M2562" s="7" t="s">
        <v>5909</v>
      </c>
      <c r="N2562" s="7" t="s">
        <v>170</v>
      </c>
      <c r="O2562" s="7" t="s">
        <v>163</v>
      </c>
      <c r="P2562" s="7" t="s">
        <v>7400</v>
      </c>
      <c r="Q2562" s="129">
        <v>46199</v>
      </c>
      <c r="R2562" s="130">
        <f t="shared" si="276"/>
        <v>46218</v>
      </c>
      <c r="S2562" s="131">
        <f t="shared" si="281"/>
        <v>19</v>
      </c>
      <c r="T2562" s="7" t="s">
        <v>180</v>
      </c>
      <c r="U2562" s="7" t="s">
        <v>10634</v>
      </c>
      <c r="V2562" s="7"/>
      <c r="W2562" s="7">
        <v>1171.98</v>
      </c>
      <c r="X2562" s="132">
        <f t="shared" si="279"/>
        <v>17</v>
      </c>
      <c r="Y2562" s="133"/>
      <c r="Z2562" s="133"/>
      <c r="AA2562" s="133"/>
    </row>
    <row r="2563" spans="1:27" hidden="1" x14ac:dyDescent="0.25">
      <c r="A2563" s="133"/>
      <c r="B2563" s="128" t="str">
        <f t="shared" si="280"/>
        <v>NORT</v>
      </c>
      <c r="C2563" s="128" t="str">
        <f>+VLOOKUP(U2563,Ходим!A:B,2,0)</f>
        <v>31609962110019</v>
      </c>
      <c r="D2563" s="128" t="str">
        <f>IFERROR(VLOOKUP($B:$B,[20]свод!$A:$AB,3,0)," ")</f>
        <v>Норин тумани</v>
      </c>
      <c r="E2563" s="7" t="s">
        <v>3695</v>
      </c>
      <c r="F2563" s="7" t="s">
        <v>10062</v>
      </c>
      <c r="G2563" s="134">
        <f t="shared" si="277"/>
        <v>1</v>
      </c>
      <c r="H2563" s="134" t="str">
        <f t="shared" si="278"/>
        <v/>
      </c>
      <c r="I2563" s="7" t="s">
        <v>154</v>
      </c>
      <c r="J2563" s="7" t="s">
        <v>100</v>
      </c>
      <c r="K2563" s="7"/>
      <c r="L2563" s="7" t="s">
        <v>167</v>
      </c>
      <c r="M2563" s="7" t="s">
        <v>5910</v>
      </c>
      <c r="N2563" s="7" t="s">
        <v>170</v>
      </c>
      <c r="O2563" s="7" t="s">
        <v>162</v>
      </c>
      <c r="P2563" s="7" t="s">
        <v>7400</v>
      </c>
      <c r="Q2563" s="129">
        <v>46199</v>
      </c>
      <c r="R2563" s="130">
        <f t="shared" si="276"/>
        <v>46209</v>
      </c>
      <c r="S2563" s="131">
        <f t="shared" si="281"/>
        <v>10</v>
      </c>
      <c r="T2563" s="7" t="s">
        <v>210</v>
      </c>
      <c r="U2563" s="7" t="s">
        <v>355</v>
      </c>
      <c r="V2563" s="7"/>
      <c r="W2563" s="7">
        <v>74.8</v>
      </c>
      <c r="X2563" s="132">
        <f t="shared" si="279"/>
        <v>10</v>
      </c>
      <c r="Y2563" s="133"/>
      <c r="Z2563" s="133"/>
      <c r="AA2563" s="133"/>
    </row>
    <row r="2564" spans="1:27" hidden="1" x14ac:dyDescent="0.25">
      <c r="A2564" s="133"/>
      <c r="B2564" s="128" t="str">
        <f t="shared" si="280"/>
        <v>YGQT</v>
      </c>
      <c r="C2564" s="128" t="str">
        <f>+VLOOKUP(U2564,Ходим!A:B,2,0)</f>
        <v>52802005950028</v>
      </c>
      <c r="D2564" s="128" t="str">
        <f>IFERROR(VLOOKUP($B:$B,[20]свод!$A:$AB,3,0)," ")</f>
        <v>Янгиқўрғон тумани</v>
      </c>
      <c r="E2564" s="7" t="s">
        <v>3696</v>
      </c>
      <c r="F2564" s="7" t="s">
        <v>10063</v>
      </c>
      <c r="G2564" s="134">
        <f t="shared" si="277"/>
        <v>1</v>
      </c>
      <c r="H2564" s="134" t="str">
        <f t="shared" si="278"/>
        <v/>
      </c>
      <c r="I2564" s="7" t="s">
        <v>158</v>
      </c>
      <c r="J2564" s="7" t="s">
        <v>2</v>
      </c>
      <c r="K2564" s="7"/>
      <c r="L2564" s="7"/>
      <c r="M2564" s="7"/>
      <c r="N2564" s="7" t="s">
        <v>170</v>
      </c>
      <c r="O2564" s="7" t="s">
        <v>162</v>
      </c>
      <c r="P2564" s="7" t="s">
        <v>7401</v>
      </c>
      <c r="Q2564" s="129">
        <v>46199</v>
      </c>
      <c r="R2564" s="130">
        <f t="shared" si="276"/>
        <v>46209</v>
      </c>
      <c r="S2564" s="131">
        <f t="shared" si="281"/>
        <v>10</v>
      </c>
      <c r="T2564" s="7" t="s">
        <v>255</v>
      </c>
      <c r="U2564" s="7" t="s">
        <v>281</v>
      </c>
      <c r="V2564" s="7"/>
      <c r="W2564" s="7"/>
      <c r="X2564" s="132">
        <f t="shared" si="279"/>
        <v>10</v>
      </c>
      <c r="Y2564" s="133"/>
      <c r="Z2564" s="133"/>
      <c r="AA2564" s="133"/>
    </row>
    <row r="2565" spans="1:27" hidden="1" x14ac:dyDescent="0.25">
      <c r="A2565" s="133"/>
      <c r="B2565" s="128" t="str">
        <f t="shared" si="280"/>
        <v>NAMS</v>
      </c>
      <c r="C2565" s="128" t="str">
        <f>+VLOOKUP(U2565,Ходим!A:B,2,0)</f>
        <v>52710005960025</v>
      </c>
      <c r="D2565" s="128" t="str">
        <f>IFERROR(VLOOKUP($B:$B,[20]свод!$A:$AB,3,0)," ")</f>
        <v>Наманган шаҳар</v>
      </c>
      <c r="E2565" s="7" t="s">
        <v>3697</v>
      </c>
      <c r="F2565" s="7" t="s">
        <v>10064</v>
      </c>
      <c r="G2565" s="134">
        <f t="shared" si="277"/>
        <v>1</v>
      </c>
      <c r="H2565" s="134" t="str">
        <f t="shared" si="278"/>
        <v/>
      </c>
      <c r="I2565" s="7" t="s">
        <v>158</v>
      </c>
      <c r="J2565" s="7" t="s">
        <v>2</v>
      </c>
      <c r="K2565" s="7"/>
      <c r="L2565" s="7" t="s">
        <v>169</v>
      </c>
      <c r="M2565" s="7" t="s">
        <v>5911</v>
      </c>
      <c r="N2565" s="7" t="s">
        <v>170</v>
      </c>
      <c r="O2565" s="7" t="s">
        <v>162</v>
      </c>
      <c r="P2565" s="7" t="s">
        <v>7131</v>
      </c>
      <c r="Q2565" s="129">
        <v>46199</v>
      </c>
      <c r="R2565" s="130">
        <f t="shared" si="276"/>
        <v>46204</v>
      </c>
      <c r="S2565" s="131">
        <f t="shared" si="281"/>
        <v>5</v>
      </c>
      <c r="T2565" s="7" t="s">
        <v>173</v>
      </c>
      <c r="U2565" s="7" t="s">
        <v>274</v>
      </c>
      <c r="V2565" s="7"/>
      <c r="W2565" s="7">
        <v>0</v>
      </c>
      <c r="X2565" s="132">
        <f t="shared" si="279"/>
        <v>7</v>
      </c>
      <c r="Y2565" s="133"/>
      <c r="Z2565" s="133"/>
      <c r="AA2565" s="133"/>
    </row>
    <row r="2566" spans="1:27" hidden="1" x14ac:dyDescent="0.25">
      <c r="A2566" s="133"/>
      <c r="B2566" s="128" t="str">
        <f t="shared" si="280"/>
        <v>POPT</v>
      </c>
      <c r="C2566" s="128" t="str">
        <f>+VLOOKUP(U2566,Ходим!A:B,2,0)</f>
        <v>50902005910032</v>
      </c>
      <c r="D2566" s="128" t="str">
        <f>IFERROR(VLOOKUP($B:$B,[20]свод!$A:$AB,3,0)," ")</f>
        <v>Поп тумани</v>
      </c>
      <c r="E2566" s="7" t="s">
        <v>3698</v>
      </c>
      <c r="F2566" s="7" t="s">
        <v>10065</v>
      </c>
      <c r="G2566" s="134" t="str">
        <f t="shared" si="277"/>
        <v/>
      </c>
      <c r="H2566" s="134">
        <f t="shared" si="278"/>
        <v>1</v>
      </c>
      <c r="I2566" s="7" t="s">
        <v>155</v>
      </c>
      <c r="J2566" s="7" t="s">
        <v>25</v>
      </c>
      <c r="K2566" s="7"/>
      <c r="L2566" s="7"/>
      <c r="M2566" s="7"/>
      <c r="N2566" s="7" t="s">
        <v>410</v>
      </c>
      <c r="O2566" s="7" t="s">
        <v>161</v>
      </c>
      <c r="P2566" s="7" t="s">
        <v>7131</v>
      </c>
      <c r="Q2566" s="129">
        <v>46199</v>
      </c>
      <c r="R2566" s="130">
        <f t="shared" si="276"/>
        <v>46209</v>
      </c>
      <c r="S2566" s="131">
        <f t="shared" si="281"/>
        <v>10</v>
      </c>
      <c r="T2566" s="7" t="s">
        <v>240</v>
      </c>
      <c r="U2566" s="7" t="s">
        <v>278</v>
      </c>
      <c r="V2566" s="7"/>
      <c r="W2566" s="7"/>
      <c r="X2566" s="132">
        <f t="shared" si="279"/>
        <v>10</v>
      </c>
      <c r="Y2566" s="133"/>
      <c r="Z2566" s="133"/>
      <c r="AA2566" s="133"/>
    </row>
    <row r="2567" spans="1:27" hidden="1" x14ac:dyDescent="0.25">
      <c r="A2567" s="133"/>
      <c r="B2567" s="128" t="str">
        <f t="shared" si="280"/>
        <v>NAMT</v>
      </c>
      <c r="C2567" s="128" t="str">
        <f>+VLOOKUP(U2567,Ходим!A:B,2,0)</f>
        <v>52012025880014</v>
      </c>
      <c r="D2567" s="128" t="str">
        <f>IFERROR(VLOOKUP($B:$B,[20]свод!$A:$AB,3,0)," ")</f>
        <v>Наманган тумани</v>
      </c>
      <c r="E2567" s="7" t="s">
        <v>3699</v>
      </c>
      <c r="F2567" s="7" t="s">
        <v>10066</v>
      </c>
      <c r="G2567" s="134">
        <f t="shared" si="277"/>
        <v>1</v>
      </c>
      <c r="H2567" s="134" t="str">
        <f t="shared" si="278"/>
        <v/>
      </c>
      <c r="I2567" s="7" t="s">
        <v>158</v>
      </c>
      <c r="J2567" s="7" t="s">
        <v>2</v>
      </c>
      <c r="K2567" s="7"/>
      <c r="L2567" s="7" t="s">
        <v>167</v>
      </c>
      <c r="M2567" s="7" t="s">
        <v>5912</v>
      </c>
      <c r="N2567" s="7" t="s">
        <v>170</v>
      </c>
      <c r="O2567" s="7" t="s">
        <v>162</v>
      </c>
      <c r="P2567" s="7" t="s">
        <v>7402</v>
      </c>
      <c r="Q2567" s="129">
        <v>46199</v>
      </c>
      <c r="R2567" s="130">
        <f t="shared" si="276"/>
        <v>46209</v>
      </c>
      <c r="S2567" s="131">
        <f t="shared" si="281"/>
        <v>10</v>
      </c>
      <c r="T2567" s="7" t="s">
        <v>193</v>
      </c>
      <c r="U2567" s="7" t="s">
        <v>216</v>
      </c>
      <c r="V2567" s="7"/>
      <c r="W2567" s="7">
        <v>89.94</v>
      </c>
      <c r="X2567" s="132">
        <f t="shared" si="279"/>
        <v>10</v>
      </c>
      <c r="Y2567" s="133"/>
      <c r="Z2567" s="133"/>
      <c r="AA2567" s="133"/>
    </row>
    <row r="2568" spans="1:27" hidden="1" x14ac:dyDescent="0.25">
      <c r="A2568" s="133"/>
      <c r="B2568" s="128" t="str">
        <f t="shared" si="280"/>
        <v>NAMT</v>
      </c>
      <c r="C2568" s="128" t="str">
        <f>+VLOOKUP(U2568,Ходим!A:B,2,0)</f>
        <v>31205812090050</v>
      </c>
      <c r="D2568" s="128" t="str">
        <f>IFERROR(VLOOKUP($B:$B,[20]свод!$A:$AB,3,0)," ")</f>
        <v>Наманган тумани</v>
      </c>
      <c r="E2568" s="7" t="s">
        <v>3700</v>
      </c>
      <c r="F2568" s="7" t="s">
        <v>10067</v>
      </c>
      <c r="G2568" s="134">
        <f t="shared" si="277"/>
        <v>1</v>
      </c>
      <c r="H2568" s="134" t="str">
        <f t="shared" si="278"/>
        <v/>
      </c>
      <c r="I2568" s="7" t="s">
        <v>156</v>
      </c>
      <c r="J2568" s="7" t="s">
        <v>25</v>
      </c>
      <c r="K2568" s="7"/>
      <c r="L2568" s="7"/>
      <c r="M2568" s="7"/>
      <c r="N2568" s="7" t="s">
        <v>170</v>
      </c>
      <c r="O2568" s="7" t="s">
        <v>162</v>
      </c>
      <c r="P2568" s="7" t="s">
        <v>7403</v>
      </c>
      <c r="Q2568" s="129">
        <v>46199</v>
      </c>
      <c r="R2568" s="130">
        <f t="shared" si="276"/>
        <v>46209</v>
      </c>
      <c r="S2568" s="131">
        <f t="shared" si="281"/>
        <v>10</v>
      </c>
      <c r="T2568" s="7" t="s">
        <v>193</v>
      </c>
      <c r="U2568" s="7" t="s">
        <v>346</v>
      </c>
      <c r="V2568" s="7"/>
      <c r="W2568" s="7"/>
      <c r="X2568" s="132">
        <f t="shared" si="279"/>
        <v>10</v>
      </c>
      <c r="Y2568" s="133"/>
      <c r="Z2568" s="133"/>
      <c r="AA2568" s="133"/>
    </row>
    <row r="2569" spans="1:27" hidden="1" x14ac:dyDescent="0.25">
      <c r="A2569" s="133"/>
      <c r="B2569" s="128" t="str">
        <f t="shared" si="280"/>
        <v>YGQT</v>
      </c>
      <c r="C2569" s="128" t="str">
        <f>+VLOOKUP(U2569,Ходим!A:B,2,0)</f>
        <v>31501762160017</v>
      </c>
      <c r="D2569" s="128" t="str">
        <f>IFERROR(VLOOKUP($B:$B,[20]свод!$A:$AB,3,0)," ")</f>
        <v>Янгиқўрғон тумани</v>
      </c>
      <c r="E2569" s="7" t="s">
        <v>3701</v>
      </c>
      <c r="F2569" s="7" t="s">
        <v>10068</v>
      </c>
      <c r="G2569" s="134">
        <f t="shared" si="277"/>
        <v>1</v>
      </c>
      <c r="H2569" s="134" t="str">
        <f t="shared" si="278"/>
        <v/>
      </c>
      <c r="I2569" s="7" t="s">
        <v>158</v>
      </c>
      <c r="J2569" s="7" t="s">
        <v>36</v>
      </c>
      <c r="K2569" s="7"/>
      <c r="L2569" s="7" t="s">
        <v>167</v>
      </c>
      <c r="M2569" s="7" t="s">
        <v>5913</v>
      </c>
      <c r="N2569" s="7" t="s">
        <v>170</v>
      </c>
      <c r="O2569" s="7" t="s">
        <v>162</v>
      </c>
      <c r="P2569" s="7" t="s">
        <v>7403</v>
      </c>
      <c r="Q2569" s="129">
        <v>46199</v>
      </c>
      <c r="R2569" s="130">
        <f t="shared" si="276"/>
        <v>46209</v>
      </c>
      <c r="S2569" s="131">
        <f t="shared" si="281"/>
        <v>10</v>
      </c>
      <c r="T2569" s="7" t="s">
        <v>255</v>
      </c>
      <c r="U2569" s="7" t="s">
        <v>275</v>
      </c>
      <c r="V2569" s="7"/>
      <c r="W2569" s="7">
        <v>250.49</v>
      </c>
      <c r="X2569" s="132">
        <f t="shared" si="279"/>
        <v>10</v>
      </c>
      <c r="Y2569" s="133"/>
      <c r="Z2569" s="133"/>
      <c r="AA2569" s="133"/>
    </row>
    <row r="2570" spans="1:27" hidden="1" x14ac:dyDescent="0.25">
      <c r="A2570" s="133"/>
      <c r="B2570" s="128" t="str">
        <f t="shared" si="280"/>
        <v>CHUT</v>
      </c>
      <c r="C2570" s="128" t="str">
        <f>+VLOOKUP(U2570,Ходим!A:B,2,0)</f>
        <v>31312912180061</v>
      </c>
      <c r="D2570" s="128" t="str">
        <f>IFERROR(VLOOKUP($B:$B,[20]свод!$A:$AB,3,0)," ")</f>
        <v>Чуст тумани</v>
      </c>
      <c r="E2570" s="7" t="s">
        <v>3702</v>
      </c>
      <c r="F2570" s="7" t="s">
        <v>10069</v>
      </c>
      <c r="G2570" s="134">
        <f t="shared" si="277"/>
        <v>1</v>
      </c>
      <c r="H2570" s="134" t="str">
        <f t="shared" si="278"/>
        <v/>
      </c>
      <c r="I2570" s="7" t="s">
        <v>156</v>
      </c>
      <c r="J2570" s="7" t="s">
        <v>25</v>
      </c>
      <c r="K2570" s="7"/>
      <c r="L2570" s="7" t="s">
        <v>167</v>
      </c>
      <c r="M2570" s="7" t="s">
        <v>5914</v>
      </c>
      <c r="N2570" s="7" t="s">
        <v>170</v>
      </c>
      <c r="O2570" s="7" t="s">
        <v>162</v>
      </c>
      <c r="P2570" s="7" t="s">
        <v>7274</v>
      </c>
      <c r="Q2570" s="129">
        <v>46199</v>
      </c>
      <c r="R2570" s="130">
        <f t="shared" si="276"/>
        <v>46209</v>
      </c>
      <c r="S2570" s="131">
        <f t="shared" si="281"/>
        <v>10</v>
      </c>
      <c r="T2570" s="7" t="s">
        <v>178</v>
      </c>
      <c r="U2570" s="7" t="s">
        <v>202</v>
      </c>
      <c r="V2570" s="7"/>
      <c r="W2570" s="7">
        <v>218.85</v>
      </c>
      <c r="X2570" s="132">
        <f t="shared" si="279"/>
        <v>10</v>
      </c>
      <c r="Y2570" s="133"/>
      <c r="Z2570" s="133"/>
      <c r="AA2570" s="133"/>
    </row>
    <row r="2571" spans="1:27" hidden="1" x14ac:dyDescent="0.25">
      <c r="A2571" s="133"/>
      <c r="B2571" s="128" t="str">
        <f t="shared" si="280"/>
        <v>UYCT</v>
      </c>
      <c r="C2571" s="128" t="str">
        <f>+VLOOKUP(U2571,Ходим!A:B,2,0)</f>
        <v>50304035930044</v>
      </c>
      <c r="D2571" s="128" t="str">
        <f>IFERROR(VLOOKUP($B:$B,[20]свод!$A:$AB,3,0)," ")</f>
        <v>Уйчи тумани</v>
      </c>
      <c r="E2571" s="7" t="s">
        <v>3703</v>
      </c>
      <c r="F2571" s="7" t="s">
        <v>10070</v>
      </c>
      <c r="G2571" s="134" t="str">
        <f t="shared" si="277"/>
        <v/>
      </c>
      <c r="H2571" s="134">
        <f t="shared" si="278"/>
        <v>1</v>
      </c>
      <c r="I2571" s="7" t="s">
        <v>155</v>
      </c>
      <c r="J2571" s="7" t="s">
        <v>25</v>
      </c>
      <c r="K2571" s="7"/>
      <c r="L2571" s="7" t="s">
        <v>166</v>
      </c>
      <c r="M2571" s="7" t="s">
        <v>5915</v>
      </c>
      <c r="N2571" s="7" t="s">
        <v>170</v>
      </c>
      <c r="O2571" s="7" t="s">
        <v>163</v>
      </c>
      <c r="P2571" s="7" t="s">
        <v>7274</v>
      </c>
      <c r="Q2571" s="129">
        <v>46199</v>
      </c>
      <c r="R2571" s="130">
        <f t="shared" si="276"/>
        <v>46218</v>
      </c>
      <c r="S2571" s="131">
        <f t="shared" si="281"/>
        <v>19</v>
      </c>
      <c r="T2571" s="7" t="s">
        <v>947</v>
      </c>
      <c r="U2571" s="7" t="s">
        <v>956</v>
      </c>
      <c r="V2571" s="7"/>
      <c r="W2571" s="7">
        <v>2360.85</v>
      </c>
      <c r="X2571" s="132">
        <f t="shared" si="279"/>
        <v>17</v>
      </c>
      <c r="Y2571" s="133"/>
      <c r="Z2571" s="133"/>
      <c r="AA2571" s="133"/>
    </row>
    <row r="2572" spans="1:27" hidden="1" x14ac:dyDescent="0.25">
      <c r="A2572" s="133"/>
      <c r="B2572" s="128" t="str">
        <f t="shared" si="280"/>
        <v>MINT</v>
      </c>
      <c r="C2572" s="128" t="e">
        <f>+VLOOKUP(U2572,Ходим!A:B,2,0)</f>
        <v>#N/A</v>
      </c>
      <c r="D2572" s="128" t="str">
        <f>IFERROR(VLOOKUP($B:$B,[20]свод!$A:$AB,3,0)," ")</f>
        <v>Мингбулоқ тумани</v>
      </c>
      <c r="E2572" s="7" t="s">
        <v>3704</v>
      </c>
      <c r="F2572" s="7" t="s">
        <v>10071</v>
      </c>
      <c r="G2572" s="134">
        <f t="shared" si="277"/>
        <v>1</v>
      </c>
      <c r="H2572" s="134" t="str">
        <f t="shared" si="278"/>
        <v/>
      </c>
      <c r="I2572" s="7" t="s">
        <v>159</v>
      </c>
      <c r="J2572" s="7" t="s">
        <v>137</v>
      </c>
      <c r="K2572" s="7"/>
      <c r="L2572" s="7"/>
      <c r="M2572" s="7"/>
      <c r="N2572" s="7" t="s">
        <v>170</v>
      </c>
      <c r="O2572" s="7" t="s">
        <v>163</v>
      </c>
      <c r="P2572" s="7" t="s">
        <v>7404</v>
      </c>
      <c r="Q2572" s="129">
        <v>46199</v>
      </c>
      <c r="R2572" s="130">
        <f t="shared" si="276"/>
        <v>46209</v>
      </c>
      <c r="S2572" s="131">
        <f t="shared" si="281"/>
        <v>10</v>
      </c>
      <c r="T2572" s="7"/>
      <c r="U2572" s="7"/>
      <c r="V2572" s="7"/>
      <c r="W2572" s="7"/>
      <c r="X2572" s="132">
        <f t="shared" si="279"/>
        <v>10</v>
      </c>
      <c r="Y2572" s="133"/>
      <c r="Z2572" s="133"/>
      <c r="AA2572" s="133"/>
    </row>
    <row r="2573" spans="1:27" hidden="1" x14ac:dyDescent="0.25">
      <c r="A2573" s="133"/>
      <c r="B2573" s="128" t="str">
        <f t="shared" si="280"/>
        <v>CHUT</v>
      </c>
      <c r="C2573" s="128" t="str">
        <f>+VLOOKUP(U2573,Ходим!A:B,2,0)</f>
        <v>50905015970078</v>
      </c>
      <c r="D2573" s="128" t="str">
        <f>IFERROR(VLOOKUP($B:$B,[20]свод!$A:$AB,3,0)," ")</f>
        <v>Чуст тумани</v>
      </c>
      <c r="E2573" s="7" t="s">
        <v>3705</v>
      </c>
      <c r="F2573" s="7" t="s">
        <v>10072</v>
      </c>
      <c r="G2573" s="134">
        <f t="shared" si="277"/>
        <v>1</v>
      </c>
      <c r="H2573" s="134" t="str">
        <f t="shared" si="278"/>
        <v/>
      </c>
      <c r="I2573" s="7" t="s">
        <v>158</v>
      </c>
      <c r="J2573" s="7" t="s">
        <v>172</v>
      </c>
      <c r="K2573" s="7"/>
      <c r="L2573" s="7" t="s">
        <v>167</v>
      </c>
      <c r="M2573" s="7" t="s">
        <v>5916</v>
      </c>
      <c r="N2573" s="7" t="s">
        <v>170</v>
      </c>
      <c r="O2573" s="7" t="s">
        <v>162</v>
      </c>
      <c r="P2573" s="7" t="s">
        <v>7404</v>
      </c>
      <c r="Q2573" s="129">
        <v>46199</v>
      </c>
      <c r="R2573" s="130">
        <f t="shared" si="276"/>
        <v>46209</v>
      </c>
      <c r="S2573" s="131">
        <f t="shared" si="281"/>
        <v>10</v>
      </c>
      <c r="T2573" s="7" t="s">
        <v>178</v>
      </c>
      <c r="U2573" s="7" t="s">
        <v>521</v>
      </c>
      <c r="V2573" s="7"/>
      <c r="W2573" s="7">
        <v>322.7</v>
      </c>
      <c r="X2573" s="132">
        <f t="shared" si="279"/>
        <v>10</v>
      </c>
      <c r="Y2573" s="133"/>
      <c r="Z2573" s="133"/>
      <c r="AA2573" s="133"/>
    </row>
    <row r="2574" spans="1:27" hidden="1" x14ac:dyDescent="0.25">
      <c r="A2574" s="133"/>
      <c r="B2574" s="128" t="str">
        <f t="shared" si="280"/>
        <v>UCQT</v>
      </c>
      <c r="C2574" s="128" t="str">
        <f>+VLOOKUP(U2574,Ходим!A:B,2,0)</f>
        <v>31402915940019</v>
      </c>
      <c r="D2574" s="128" t="str">
        <f>IFERROR(VLOOKUP($B:$B,[20]свод!$A:$AB,3,0)," ")</f>
        <v>Учқўрғон тумани</v>
      </c>
      <c r="E2574" s="7" t="s">
        <v>3706</v>
      </c>
      <c r="F2574" s="7" t="s">
        <v>10073</v>
      </c>
      <c r="G2574" s="134">
        <f t="shared" si="277"/>
        <v>1</v>
      </c>
      <c r="H2574" s="134" t="str">
        <f t="shared" si="278"/>
        <v/>
      </c>
      <c r="I2574" s="7" t="s">
        <v>158</v>
      </c>
      <c r="J2574" s="7" t="s">
        <v>2</v>
      </c>
      <c r="K2574" s="7"/>
      <c r="L2574" s="7" t="s">
        <v>167</v>
      </c>
      <c r="M2574" s="7" t="s">
        <v>5917</v>
      </c>
      <c r="N2574" s="7" t="s">
        <v>170</v>
      </c>
      <c r="O2574" s="7" t="s">
        <v>162</v>
      </c>
      <c r="P2574" s="7" t="s">
        <v>6541</v>
      </c>
      <c r="Q2574" s="129">
        <v>46199</v>
      </c>
      <c r="R2574" s="130">
        <f t="shared" si="276"/>
        <v>46205</v>
      </c>
      <c r="S2574" s="131">
        <f t="shared" si="281"/>
        <v>6</v>
      </c>
      <c r="T2574" s="7" t="s">
        <v>175</v>
      </c>
      <c r="U2574" s="7" t="s">
        <v>292</v>
      </c>
      <c r="V2574" s="7"/>
      <c r="W2574" s="7">
        <v>138.88</v>
      </c>
      <c r="X2574" s="132">
        <f t="shared" si="279"/>
        <v>10</v>
      </c>
      <c r="Y2574" s="133"/>
      <c r="Z2574" s="133"/>
      <c r="AA2574" s="133"/>
    </row>
    <row r="2575" spans="1:27" hidden="1" x14ac:dyDescent="0.25">
      <c r="A2575" s="133"/>
      <c r="B2575" s="128" t="str">
        <f t="shared" si="280"/>
        <v>NAMS</v>
      </c>
      <c r="C2575" s="128" t="str">
        <f>+VLOOKUP(U2575,Ходим!A:B,2,0)</f>
        <v>52601025870013</v>
      </c>
      <c r="D2575" s="128" t="str">
        <f>IFERROR(VLOOKUP($B:$B,[20]свод!$A:$AB,3,0)," ")</f>
        <v>Наманган шаҳар</v>
      </c>
      <c r="E2575" s="7" t="s">
        <v>3707</v>
      </c>
      <c r="F2575" s="7" t="s">
        <v>10074</v>
      </c>
      <c r="G2575" s="134">
        <f t="shared" si="277"/>
        <v>1</v>
      </c>
      <c r="H2575" s="134" t="str">
        <f t="shared" si="278"/>
        <v/>
      </c>
      <c r="I2575" s="7" t="s">
        <v>158</v>
      </c>
      <c r="J2575" s="7" t="s">
        <v>2</v>
      </c>
      <c r="K2575" s="7"/>
      <c r="L2575" s="7" t="s">
        <v>169</v>
      </c>
      <c r="M2575" s="7" t="s">
        <v>5918</v>
      </c>
      <c r="N2575" s="7" t="s">
        <v>170</v>
      </c>
      <c r="O2575" s="7" t="s">
        <v>162</v>
      </c>
      <c r="P2575" s="7" t="s">
        <v>7405</v>
      </c>
      <c r="Q2575" s="129">
        <v>46199</v>
      </c>
      <c r="R2575" s="130">
        <f t="shared" si="276"/>
        <v>46204</v>
      </c>
      <c r="S2575" s="131">
        <f t="shared" si="281"/>
        <v>5</v>
      </c>
      <c r="T2575" s="7" t="s">
        <v>185</v>
      </c>
      <c r="U2575" s="7" t="s">
        <v>405</v>
      </c>
      <c r="V2575" s="7"/>
      <c r="W2575" s="7">
        <v>0</v>
      </c>
      <c r="X2575" s="132">
        <f t="shared" si="279"/>
        <v>7</v>
      </c>
      <c r="Y2575" s="133"/>
      <c r="Z2575" s="133"/>
      <c r="AA2575" s="133"/>
    </row>
    <row r="2576" spans="1:27" hidden="1" x14ac:dyDescent="0.25">
      <c r="A2576" s="133"/>
      <c r="B2576" s="128" t="str">
        <f t="shared" si="280"/>
        <v>NAMS</v>
      </c>
      <c r="C2576" s="128" t="str">
        <f>+VLOOKUP(U2576,Ходим!A:B,2,0)</f>
        <v>31312985950011</v>
      </c>
      <c r="D2576" s="128" t="str">
        <f>IFERROR(VLOOKUP($B:$B,[20]свод!$A:$AB,3,0)," ")</f>
        <v>Наманган шаҳар</v>
      </c>
      <c r="E2576" s="7" t="s">
        <v>3708</v>
      </c>
      <c r="F2576" s="7" t="s">
        <v>10075</v>
      </c>
      <c r="G2576" s="134">
        <f t="shared" si="277"/>
        <v>1</v>
      </c>
      <c r="H2576" s="134" t="str">
        <f t="shared" si="278"/>
        <v/>
      </c>
      <c r="I2576" s="7" t="s">
        <v>158</v>
      </c>
      <c r="J2576" s="7" t="s">
        <v>36</v>
      </c>
      <c r="K2576" s="7"/>
      <c r="L2576" s="7" t="s">
        <v>167</v>
      </c>
      <c r="M2576" s="7" t="s">
        <v>5919</v>
      </c>
      <c r="N2576" s="7" t="s">
        <v>170</v>
      </c>
      <c r="O2576" s="7" t="s">
        <v>162</v>
      </c>
      <c r="P2576" s="7" t="s">
        <v>7405</v>
      </c>
      <c r="Q2576" s="129">
        <v>46199</v>
      </c>
      <c r="R2576" s="130">
        <f t="shared" si="276"/>
        <v>46209</v>
      </c>
      <c r="S2576" s="131">
        <f t="shared" si="281"/>
        <v>10</v>
      </c>
      <c r="T2576" s="7" t="s">
        <v>173</v>
      </c>
      <c r="U2576" s="7" t="s">
        <v>303</v>
      </c>
      <c r="V2576" s="7"/>
      <c r="W2576" s="7">
        <v>0</v>
      </c>
      <c r="X2576" s="132">
        <f t="shared" si="279"/>
        <v>10</v>
      </c>
      <c r="Y2576" s="133"/>
      <c r="Z2576" s="133"/>
      <c r="AA2576" s="133"/>
    </row>
    <row r="2577" spans="1:27" hidden="1" x14ac:dyDescent="0.25">
      <c r="A2577" s="133"/>
      <c r="B2577" s="128" t="str">
        <f t="shared" si="280"/>
        <v>CHOT</v>
      </c>
      <c r="C2577" s="128" t="str">
        <f>+VLOOKUP(U2577,Ходим!A:B,2,0)</f>
        <v>30608892100030</v>
      </c>
      <c r="D2577" s="128" t="str">
        <f>IFERROR(VLOOKUP($B:$B,[20]свод!$A:$AB,3,0)," ")</f>
        <v>Чортоқ тумани</v>
      </c>
      <c r="E2577" s="7" t="s">
        <v>3709</v>
      </c>
      <c r="F2577" s="7" t="s">
        <v>10076</v>
      </c>
      <c r="G2577" s="134">
        <f t="shared" si="277"/>
        <v>1</v>
      </c>
      <c r="H2577" s="134" t="str">
        <f t="shared" si="278"/>
        <v/>
      </c>
      <c r="I2577" s="7" t="s">
        <v>154</v>
      </c>
      <c r="J2577" s="7" t="s">
        <v>114</v>
      </c>
      <c r="K2577" s="7"/>
      <c r="L2577" s="7"/>
      <c r="M2577" s="7"/>
      <c r="N2577" s="7" t="s">
        <v>170</v>
      </c>
      <c r="O2577" s="7" t="s">
        <v>162</v>
      </c>
      <c r="P2577" s="7" t="s">
        <v>7406</v>
      </c>
      <c r="Q2577" s="129">
        <v>46199</v>
      </c>
      <c r="R2577" s="130">
        <f t="shared" si="276"/>
        <v>46209</v>
      </c>
      <c r="S2577" s="131">
        <f t="shared" si="281"/>
        <v>10</v>
      </c>
      <c r="T2577" s="7" t="s">
        <v>184</v>
      </c>
      <c r="U2577" s="7" t="s">
        <v>266</v>
      </c>
      <c r="V2577" s="7"/>
      <c r="W2577" s="7"/>
      <c r="X2577" s="132">
        <f t="shared" si="279"/>
        <v>10</v>
      </c>
      <c r="Y2577" s="133"/>
      <c r="Z2577" s="133"/>
      <c r="AA2577" s="133"/>
    </row>
    <row r="2578" spans="1:27" hidden="1" x14ac:dyDescent="0.25">
      <c r="A2578" s="133"/>
      <c r="B2578" s="128" t="str">
        <f t="shared" si="280"/>
        <v>UYCT</v>
      </c>
      <c r="C2578" s="128" t="str">
        <f>+VLOOKUP(U2578,Ходим!A:B,2,0)</f>
        <v>31007942140083</v>
      </c>
      <c r="D2578" s="128" t="str">
        <f>IFERROR(VLOOKUP($B:$B,[20]свод!$A:$AB,3,0)," ")</f>
        <v>Уйчи тумани</v>
      </c>
      <c r="E2578" s="7" t="s">
        <v>3710</v>
      </c>
      <c r="F2578" s="7" t="s">
        <v>10077</v>
      </c>
      <c r="G2578" s="134">
        <f t="shared" si="277"/>
        <v>1</v>
      </c>
      <c r="H2578" s="134" t="str">
        <f t="shared" si="278"/>
        <v/>
      </c>
      <c r="I2578" s="7" t="s">
        <v>158</v>
      </c>
      <c r="J2578" s="7" t="s">
        <v>2</v>
      </c>
      <c r="K2578" s="7"/>
      <c r="L2578" s="7" t="s">
        <v>167</v>
      </c>
      <c r="M2578" s="7" t="s">
        <v>1073</v>
      </c>
      <c r="N2578" s="7" t="s">
        <v>170</v>
      </c>
      <c r="O2578" s="7" t="s">
        <v>162</v>
      </c>
      <c r="P2578" s="7" t="s">
        <v>7406</v>
      </c>
      <c r="Q2578" s="129">
        <v>46199</v>
      </c>
      <c r="R2578" s="130">
        <f t="shared" si="276"/>
        <v>46209</v>
      </c>
      <c r="S2578" s="131">
        <f t="shared" si="281"/>
        <v>10</v>
      </c>
      <c r="T2578" s="7" t="s">
        <v>947</v>
      </c>
      <c r="U2578" s="7" t="s">
        <v>263</v>
      </c>
      <c r="V2578" s="7"/>
      <c r="W2578" s="7">
        <v>0</v>
      </c>
      <c r="X2578" s="132">
        <f t="shared" si="279"/>
        <v>10</v>
      </c>
      <c r="Y2578" s="133"/>
      <c r="Z2578" s="133"/>
      <c r="AA2578" s="133"/>
    </row>
    <row r="2579" spans="1:27" hidden="1" x14ac:dyDescent="0.25">
      <c r="A2579" s="133"/>
      <c r="B2579" s="128" t="str">
        <f t="shared" si="280"/>
        <v>TORT</v>
      </c>
      <c r="C2579" s="128" t="str">
        <f>+VLOOKUP(U2579,Ходим!A:B,2,0)</f>
        <v>31110892130070</v>
      </c>
      <c r="D2579" s="128" t="str">
        <f>IFERROR(VLOOKUP($B:$B,[20]свод!$A:$AB,3,0)," ")</f>
        <v>Тўрақўрғон тумани</v>
      </c>
      <c r="E2579" s="7" t="s">
        <v>3711</v>
      </c>
      <c r="F2579" s="7" t="s">
        <v>10078</v>
      </c>
      <c r="G2579" s="134">
        <f t="shared" si="277"/>
        <v>1</v>
      </c>
      <c r="H2579" s="134" t="str">
        <f t="shared" si="278"/>
        <v/>
      </c>
      <c r="I2579" s="7" t="s">
        <v>156</v>
      </c>
      <c r="J2579" s="7" t="s">
        <v>25</v>
      </c>
      <c r="K2579" s="7"/>
      <c r="L2579" s="7"/>
      <c r="M2579" s="7"/>
      <c r="N2579" s="7" t="s">
        <v>170</v>
      </c>
      <c r="O2579" s="7" t="s">
        <v>162</v>
      </c>
      <c r="P2579" s="7" t="s">
        <v>7406</v>
      </c>
      <c r="Q2579" s="129">
        <v>46199</v>
      </c>
      <c r="R2579" s="130">
        <f t="shared" si="276"/>
        <v>46209</v>
      </c>
      <c r="S2579" s="131">
        <f t="shared" si="281"/>
        <v>10</v>
      </c>
      <c r="T2579" s="7" t="s">
        <v>203</v>
      </c>
      <c r="U2579" s="7" t="s">
        <v>297</v>
      </c>
      <c r="V2579" s="7"/>
      <c r="W2579" s="7"/>
      <c r="X2579" s="132">
        <f t="shared" si="279"/>
        <v>10</v>
      </c>
      <c r="Y2579" s="133"/>
      <c r="Z2579" s="133"/>
      <c r="AA2579" s="133"/>
    </row>
    <row r="2580" spans="1:27" hidden="1" x14ac:dyDescent="0.25">
      <c r="A2580" s="133"/>
      <c r="B2580" s="128" t="str">
        <f t="shared" si="280"/>
        <v>YGQT</v>
      </c>
      <c r="C2580" s="128" t="str">
        <f>+VLOOKUP(U2580,Ходим!A:B,2,0)</f>
        <v>32105902160025</v>
      </c>
      <c r="D2580" s="128" t="str">
        <f>IFERROR(VLOOKUP($B:$B,[20]свод!$A:$AB,3,0)," ")</f>
        <v>Янгиқўрғон тумани</v>
      </c>
      <c r="E2580" s="7" t="s">
        <v>3712</v>
      </c>
      <c r="F2580" s="7" t="s">
        <v>10079</v>
      </c>
      <c r="G2580" s="134">
        <f t="shared" si="277"/>
        <v>1</v>
      </c>
      <c r="H2580" s="134" t="str">
        <f t="shared" si="278"/>
        <v/>
      </c>
      <c r="I2580" s="7" t="s">
        <v>158</v>
      </c>
      <c r="J2580" s="7" t="s">
        <v>2</v>
      </c>
      <c r="K2580" s="7"/>
      <c r="L2580" s="7"/>
      <c r="M2580" s="7"/>
      <c r="N2580" s="7" t="s">
        <v>170</v>
      </c>
      <c r="O2580" s="7" t="s">
        <v>162</v>
      </c>
      <c r="P2580" s="7" t="s">
        <v>7350</v>
      </c>
      <c r="Q2580" s="129">
        <v>46199</v>
      </c>
      <c r="R2580" s="130">
        <f t="shared" si="276"/>
        <v>46209</v>
      </c>
      <c r="S2580" s="131">
        <f t="shared" si="281"/>
        <v>10</v>
      </c>
      <c r="T2580" s="7" t="s">
        <v>255</v>
      </c>
      <c r="U2580" s="7" t="s">
        <v>308</v>
      </c>
      <c r="V2580" s="7"/>
      <c r="W2580" s="7"/>
      <c r="X2580" s="132">
        <f t="shared" si="279"/>
        <v>10</v>
      </c>
      <c r="Y2580" s="133"/>
      <c r="Z2580" s="133"/>
      <c r="AA2580" s="133"/>
    </row>
    <row r="2581" spans="1:27" hidden="1" x14ac:dyDescent="0.25">
      <c r="A2581" s="133"/>
      <c r="B2581" s="128" t="str">
        <f t="shared" si="280"/>
        <v>MINT</v>
      </c>
      <c r="C2581" s="128" t="e">
        <f>+VLOOKUP(U2581,Ходим!A:B,2,0)</f>
        <v>#N/A</v>
      </c>
      <c r="D2581" s="128" t="str">
        <f>IFERROR(VLOOKUP($B:$B,[20]свод!$A:$AB,3,0)," ")</f>
        <v>Мингбулоқ тумани</v>
      </c>
      <c r="E2581" s="7" t="s">
        <v>3713</v>
      </c>
      <c r="F2581" s="7" t="s">
        <v>10080</v>
      </c>
      <c r="G2581" s="134">
        <f t="shared" si="277"/>
        <v>1</v>
      </c>
      <c r="H2581" s="134" t="str">
        <f t="shared" si="278"/>
        <v/>
      </c>
      <c r="I2581" s="7" t="s">
        <v>156</v>
      </c>
      <c r="J2581" s="7" t="s">
        <v>11</v>
      </c>
      <c r="K2581" s="7"/>
      <c r="L2581" s="7"/>
      <c r="M2581" s="7"/>
      <c r="N2581" s="7" t="s">
        <v>170</v>
      </c>
      <c r="O2581" s="7" t="s">
        <v>162</v>
      </c>
      <c r="P2581" s="7" t="s">
        <v>6950</v>
      </c>
      <c r="Q2581" s="129">
        <v>46199</v>
      </c>
      <c r="R2581" s="130">
        <f t="shared" si="276"/>
        <v>46209</v>
      </c>
      <c r="S2581" s="131">
        <f t="shared" si="281"/>
        <v>10</v>
      </c>
      <c r="T2581" s="7"/>
      <c r="U2581" s="7"/>
      <c r="V2581" s="7"/>
      <c r="W2581" s="7"/>
      <c r="X2581" s="132">
        <f t="shared" si="279"/>
        <v>10</v>
      </c>
      <c r="Y2581" s="133"/>
      <c r="Z2581" s="133"/>
      <c r="AA2581" s="133"/>
    </row>
    <row r="2582" spans="1:27" hidden="1" x14ac:dyDescent="0.25">
      <c r="A2582" s="133"/>
      <c r="B2582" s="128" t="str">
        <f t="shared" si="280"/>
        <v>NAMS</v>
      </c>
      <c r="C2582" s="128" t="str">
        <f>+VLOOKUP(U2582,Ходим!A:B,2,0)</f>
        <v>30108932170088</v>
      </c>
      <c r="D2582" s="128" t="str">
        <f>IFERROR(VLOOKUP($B:$B,[20]свод!$A:$AB,3,0)," ")</f>
        <v>Наманган шаҳар</v>
      </c>
      <c r="E2582" s="7" t="s">
        <v>3714</v>
      </c>
      <c r="F2582" s="7" t="s">
        <v>10081</v>
      </c>
      <c r="G2582" s="134">
        <f t="shared" si="277"/>
        <v>1</v>
      </c>
      <c r="H2582" s="134" t="str">
        <f t="shared" si="278"/>
        <v/>
      </c>
      <c r="I2582" s="7" t="s">
        <v>156</v>
      </c>
      <c r="J2582" s="7" t="s">
        <v>22</v>
      </c>
      <c r="K2582" s="7"/>
      <c r="L2582" s="7"/>
      <c r="M2582" s="7"/>
      <c r="N2582" s="7" t="s">
        <v>170</v>
      </c>
      <c r="O2582" s="7" t="s">
        <v>162</v>
      </c>
      <c r="P2582" s="7" t="s">
        <v>6950</v>
      </c>
      <c r="Q2582" s="129">
        <v>46199</v>
      </c>
      <c r="R2582" s="130">
        <f t="shared" si="276"/>
        <v>46209</v>
      </c>
      <c r="S2582" s="131">
        <f t="shared" si="281"/>
        <v>10</v>
      </c>
      <c r="T2582" s="7" t="s">
        <v>173</v>
      </c>
      <c r="U2582" s="7" t="s">
        <v>329</v>
      </c>
      <c r="V2582" s="7"/>
      <c r="W2582" s="7"/>
      <c r="X2582" s="132">
        <f t="shared" si="279"/>
        <v>10</v>
      </c>
      <c r="Y2582" s="133"/>
      <c r="Z2582" s="133"/>
      <c r="AA2582" s="133"/>
    </row>
    <row r="2583" spans="1:27" hidden="1" x14ac:dyDescent="0.25">
      <c r="A2583" s="133"/>
      <c r="B2583" s="128" t="str">
        <f t="shared" si="280"/>
        <v>NAMS</v>
      </c>
      <c r="C2583" s="128" t="str">
        <f>+VLOOKUP(U2583,Ходим!A:B,2,0)</f>
        <v>51110025960044</v>
      </c>
      <c r="D2583" s="128" t="str">
        <f>IFERROR(VLOOKUP($B:$B,[20]свод!$A:$AB,3,0)," ")</f>
        <v>Наманган шаҳар</v>
      </c>
      <c r="E2583" s="7" t="s">
        <v>3715</v>
      </c>
      <c r="F2583" s="7" t="s">
        <v>10082</v>
      </c>
      <c r="G2583" s="134">
        <f t="shared" si="277"/>
        <v>1</v>
      </c>
      <c r="H2583" s="134" t="str">
        <f t="shared" si="278"/>
        <v/>
      </c>
      <c r="I2583" s="7" t="s">
        <v>154</v>
      </c>
      <c r="J2583" s="7" t="s">
        <v>100</v>
      </c>
      <c r="K2583" s="7"/>
      <c r="L2583" s="7" t="s">
        <v>167</v>
      </c>
      <c r="M2583" s="7" t="s">
        <v>5920</v>
      </c>
      <c r="N2583" s="7" t="s">
        <v>170</v>
      </c>
      <c r="O2583" s="7" t="s">
        <v>162</v>
      </c>
      <c r="P2583" s="7" t="s">
        <v>6950</v>
      </c>
      <c r="Q2583" s="129">
        <v>46199</v>
      </c>
      <c r="R2583" s="130">
        <f t="shared" si="276"/>
        <v>46209</v>
      </c>
      <c r="S2583" s="131">
        <f t="shared" si="281"/>
        <v>10</v>
      </c>
      <c r="T2583" s="7" t="s">
        <v>173</v>
      </c>
      <c r="U2583" s="7" t="s">
        <v>294</v>
      </c>
      <c r="V2583" s="7"/>
      <c r="W2583" s="7">
        <v>49.53</v>
      </c>
      <c r="X2583" s="132">
        <f t="shared" si="279"/>
        <v>10</v>
      </c>
      <c r="Y2583" s="133"/>
      <c r="Z2583" s="133"/>
      <c r="AA2583" s="133"/>
    </row>
    <row r="2584" spans="1:27" hidden="1" x14ac:dyDescent="0.25">
      <c r="A2584" s="133"/>
      <c r="B2584" s="128" t="str">
        <f t="shared" si="280"/>
        <v>NORT</v>
      </c>
      <c r="C2584" s="128" t="str">
        <f>+VLOOKUP(U2584,Ходим!A:B,2,0)</f>
        <v>51304005900090</v>
      </c>
      <c r="D2584" s="128" t="str">
        <f>IFERROR(VLOOKUP($B:$B,[20]свод!$A:$AB,3,0)," ")</f>
        <v>Норин тумани</v>
      </c>
      <c r="E2584" s="7" t="s">
        <v>3716</v>
      </c>
      <c r="F2584" s="7" t="s">
        <v>10083</v>
      </c>
      <c r="G2584" s="134" t="str">
        <f t="shared" si="277"/>
        <v/>
      </c>
      <c r="H2584" s="134">
        <f t="shared" si="278"/>
        <v>1</v>
      </c>
      <c r="I2584" s="7" t="s">
        <v>154</v>
      </c>
      <c r="J2584" s="7" t="s">
        <v>2</v>
      </c>
      <c r="K2584" s="7"/>
      <c r="L2584" s="7"/>
      <c r="M2584" s="7"/>
      <c r="N2584" s="7" t="s">
        <v>170</v>
      </c>
      <c r="O2584" s="7" t="s">
        <v>161</v>
      </c>
      <c r="P2584" s="7" t="s">
        <v>6950</v>
      </c>
      <c r="Q2584" s="129">
        <v>46199</v>
      </c>
      <c r="R2584" s="130">
        <f t="shared" si="276"/>
        <v>46209</v>
      </c>
      <c r="S2584" s="131">
        <f t="shared" si="281"/>
        <v>10</v>
      </c>
      <c r="T2584" s="7" t="s">
        <v>250</v>
      </c>
      <c r="U2584" s="7" t="s">
        <v>336</v>
      </c>
      <c r="V2584" s="7"/>
      <c r="W2584" s="7"/>
      <c r="X2584" s="132">
        <f t="shared" si="279"/>
        <v>10</v>
      </c>
      <c r="Y2584" s="133"/>
      <c r="Z2584" s="133"/>
      <c r="AA2584" s="133"/>
    </row>
    <row r="2585" spans="1:27" hidden="1" x14ac:dyDescent="0.25">
      <c r="A2585" s="133"/>
      <c r="B2585" s="128" t="str">
        <f t="shared" si="280"/>
        <v>POPT</v>
      </c>
      <c r="C2585" s="128" t="str">
        <f>+VLOOKUP(U2585,Ходим!A:B,2,0)</f>
        <v>32901912210017</v>
      </c>
      <c r="D2585" s="128" t="str">
        <f>IFERROR(VLOOKUP($B:$B,[20]свод!$A:$AB,3,0)," ")</f>
        <v>Поп тумани</v>
      </c>
      <c r="E2585" s="7" t="s">
        <v>3717</v>
      </c>
      <c r="F2585" s="7" t="s">
        <v>10084</v>
      </c>
      <c r="G2585" s="134" t="str">
        <f t="shared" si="277"/>
        <v/>
      </c>
      <c r="H2585" s="134">
        <f t="shared" si="278"/>
        <v>1</v>
      </c>
      <c r="I2585" s="7" t="s">
        <v>157</v>
      </c>
      <c r="J2585" s="7" t="s">
        <v>2</v>
      </c>
      <c r="K2585" s="7"/>
      <c r="L2585" s="7"/>
      <c r="M2585" s="7"/>
      <c r="N2585" s="7" t="s">
        <v>410</v>
      </c>
      <c r="O2585" s="7" t="s">
        <v>161</v>
      </c>
      <c r="P2585" s="7" t="s">
        <v>7407</v>
      </c>
      <c r="Q2585" s="129">
        <v>46199</v>
      </c>
      <c r="R2585" s="130">
        <f t="shared" si="276"/>
        <v>46209</v>
      </c>
      <c r="S2585" s="131">
        <f t="shared" si="281"/>
        <v>10</v>
      </c>
      <c r="T2585" s="7" t="s">
        <v>214</v>
      </c>
      <c r="U2585" s="7" t="s">
        <v>215</v>
      </c>
      <c r="V2585" s="7"/>
      <c r="W2585" s="7"/>
      <c r="X2585" s="132">
        <f t="shared" si="279"/>
        <v>10</v>
      </c>
      <c r="Y2585" s="133"/>
      <c r="Z2585" s="133"/>
      <c r="AA2585" s="133"/>
    </row>
    <row r="2586" spans="1:27" hidden="1" x14ac:dyDescent="0.25">
      <c r="A2586" s="133"/>
      <c r="B2586" s="128" t="str">
        <f t="shared" si="280"/>
        <v>MINT</v>
      </c>
      <c r="C2586" s="128" t="e">
        <f>+VLOOKUP(U2586,Ходим!A:B,2,0)</f>
        <v>#N/A</v>
      </c>
      <c r="D2586" s="128" t="str">
        <f>IFERROR(VLOOKUP($B:$B,[20]свод!$A:$AB,3,0)," ")</f>
        <v>Мингбулоқ тумани</v>
      </c>
      <c r="E2586" s="7" t="s">
        <v>3718</v>
      </c>
      <c r="F2586" s="7" t="s">
        <v>10085</v>
      </c>
      <c r="G2586" s="134">
        <f t="shared" si="277"/>
        <v>1</v>
      </c>
      <c r="H2586" s="134" t="str">
        <f t="shared" si="278"/>
        <v/>
      </c>
      <c r="I2586" s="7" t="s">
        <v>159</v>
      </c>
      <c r="J2586" s="7" t="s">
        <v>137</v>
      </c>
      <c r="K2586" s="7"/>
      <c r="L2586" s="7" t="s">
        <v>167</v>
      </c>
      <c r="M2586" s="7" t="s">
        <v>5921</v>
      </c>
      <c r="N2586" s="7" t="s">
        <v>170</v>
      </c>
      <c r="O2586" s="7" t="s">
        <v>163</v>
      </c>
      <c r="P2586" s="7" t="s">
        <v>7407</v>
      </c>
      <c r="Q2586" s="129">
        <v>46199</v>
      </c>
      <c r="R2586" s="130">
        <f t="shared" si="276"/>
        <v>46209</v>
      </c>
      <c r="S2586" s="131">
        <f t="shared" si="281"/>
        <v>10</v>
      </c>
      <c r="T2586" s="7"/>
      <c r="U2586" s="7"/>
      <c r="V2586" s="7"/>
      <c r="W2586" s="7">
        <v>132.32</v>
      </c>
      <c r="X2586" s="132">
        <f t="shared" si="279"/>
        <v>10</v>
      </c>
      <c r="Y2586" s="133"/>
      <c r="Z2586" s="133"/>
      <c r="AA2586" s="133"/>
    </row>
    <row r="2587" spans="1:27" hidden="1" x14ac:dyDescent="0.25">
      <c r="A2587" s="133"/>
      <c r="B2587" s="128" t="str">
        <f t="shared" si="280"/>
        <v>NAMS</v>
      </c>
      <c r="C2587" s="128" t="str">
        <f>+VLOOKUP(U2587,Ходим!A:B,2,0)</f>
        <v>51110025960044</v>
      </c>
      <c r="D2587" s="128" t="str">
        <f>IFERROR(VLOOKUP($B:$B,[20]свод!$A:$AB,3,0)," ")</f>
        <v>Наманган шаҳар</v>
      </c>
      <c r="E2587" s="7" t="s">
        <v>3719</v>
      </c>
      <c r="F2587" s="7" t="s">
        <v>10086</v>
      </c>
      <c r="G2587" s="134">
        <f t="shared" si="277"/>
        <v>1</v>
      </c>
      <c r="H2587" s="134" t="str">
        <f t="shared" si="278"/>
        <v/>
      </c>
      <c r="I2587" s="7" t="s">
        <v>158</v>
      </c>
      <c r="J2587" s="7" t="s">
        <v>2</v>
      </c>
      <c r="K2587" s="7"/>
      <c r="L2587" s="7" t="s">
        <v>167</v>
      </c>
      <c r="M2587" s="7" t="s">
        <v>5922</v>
      </c>
      <c r="N2587" s="7" t="s">
        <v>170</v>
      </c>
      <c r="O2587" s="7" t="s">
        <v>162</v>
      </c>
      <c r="P2587" s="7" t="s">
        <v>7407</v>
      </c>
      <c r="Q2587" s="129">
        <v>46199</v>
      </c>
      <c r="R2587" s="130">
        <f t="shared" si="276"/>
        <v>46209</v>
      </c>
      <c r="S2587" s="131">
        <f t="shared" si="281"/>
        <v>10</v>
      </c>
      <c r="T2587" s="7" t="s">
        <v>173</v>
      </c>
      <c r="U2587" s="7" t="s">
        <v>294</v>
      </c>
      <c r="V2587" s="7"/>
      <c r="W2587" s="7">
        <v>0</v>
      </c>
      <c r="X2587" s="132">
        <f t="shared" si="279"/>
        <v>10</v>
      </c>
      <c r="Y2587" s="133"/>
      <c r="Z2587" s="133"/>
      <c r="AA2587" s="133"/>
    </row>
    <row r="2588" spans="1:27" hidden="1" x14ac:dyDescent="0.25">
      <c r="A2588" s="133"/>
      <c r="B2588" s="128" t="str">
        <f t="shared" si="280"/>
        <v>UYCT</v>
      </c>
      <c r="C2588" s="128" t="str">
        <f>+VLOOKUP(U2588,Ходим!A:B,2,0)</f>
        <v>31101985930022</v>
      </c>
      <c r="D2588" s="128" t="str">
        <f>IFERROR(VLOOKUP($B:$B,[20]свод!$A:$AB,3,0)," ")</f>
        <v>Уйчи тумани</v>
      </c>
      <c r="E2588" s="7" t="s">
        <v>3720</v>
      </c>
      <c r="F2588" s="7" t="s">
        <v>10087</v>
      </c>
      <c r="G2588" s="134">
        <f t="shared" si="277"/>
        <v>1</v>
      </c>
      <c r="H2588" s="134" t="str">
        <f t="shared" si="278"/>
        <v/>
      </c>
      <c r="I2588" s="7" t="s">
        <v>158</v>
      </c>
      <c r="J2588" s="7" t="s">
        <v>2</v>
      </c>
      <c r="K2588" s="7"/>
      <c r="L2588" s="7" t="s">
        <v>167</v>
      </c>
      <c r="M2588" s="7" t="s">
        <v>5923</v>
      </c>
      <c r="N2588" s="7" t="s">
        <v>170</v>
      </c>
      <c r="O2588" s="7" t="s">
        <v>162</v>
      </c>
      <c r="P2588" s="7" t="s">
        <v>7407</v>
      </c>
      <c r="Q2588" s="129">
        <v>46199</v>
      </c>
      <c r="R2588" s="130">
        <f t="shared" si="276"/>
        <v>46209</v>
      </c>
      <c r="S2588" s="131">
        <f t="shared" si="281"/>
        <v>10</v>
      </c>
      <c r="T2588" s="7" t="s">
        <v>947</v>
      </c>
      <c r="U2588" s="7" t="s">
        <v>299</v>
      </c>
      <c r="V2588" s="7"/>
      <c r="W2588" s="7">
        <v>336.02</v>
      </c>
      <c r="X2588" s="132">
        <f t="shared" si="279"/>
        <v>10</v>
      </c>
      <c r="Y2588" s="133"/>
      <c r="Z2588" s="133"/>
      <c r="AA2588" s="133"/>
    </row>
    <row r="2589" spans="1:27" hidden="1" x14ac:dyDescent="0.25">
      <c r="A2589" s="133"/>
      <c r="B2589" s="128" t="str">
        <f t="shared" si="280"/>
        <v>NAMS</v>
      </c>
      <c r="C2589" s="128" t="str">
        <f>+VLOOKUP(U2589,Ходим!A:B,2,0)</f>
        <v>52503015960039</v>
      </c>
      <c r="D2589" s="128" t="str">
        <f>IFERROR(VLOOKUP($B:$B,[20]свод!$A:$AB,3,0)," ")</f>
        <v>Наманган шаҳар</v>
      </c>
      <c r="E2589" s="7" t="s">
        <v>3721</v>
      </c>
      <c r="F2589" s="7" t="s">
        <v>10088</v>
      </c>
      <c r="G2589" s="134">
        <f t="shared" si="277"/>
        <v>1</v>
      </c>
      <c r="H2589" s="134" t="str">
        <f t="shared" si="278"/>
        <v/>
      </c>
      <c r="I2589" s="7" t="s">
        <v>158</v>
      </c>
      <c r="J2589" s="7" t="s">
        <v>1</v>
      </c>
      <c r="K2589" s="7"/>
      <c r="L2589" s="7" t="s">
        <v>167</v>
      </c>
      <c r="M2589" s="7" t="s">
        <v>5924</v>
      </c>
      <c r="N2589" s="7" t="s">
        <v>410</v>
      </c>
      <c r="O2589" s="7" t="s">
        <v>162</v>
      </c>
      <c r="P2589" s="7" t="s">
        <v>7408</v>
      </c>
      <c r="Q2589" s="129">
        <v>46199</v>
      </c>
      <c r="R2589" s="130">
        <f t="shared" si="276"/>
        <v>46206</v>
      </c>
      <c r="S2589" s="131">
        <f t="shared" si="281"/>
        <v>7</v>
      </c>
      <c r="T2589" s="7" t="s">
        <v>185</v>
      </c>
      <c r="U2589" s="7" t="s">
        <v>246</v>
      </c>
      <c r="V2589" s="7"/>
      <c r="W2589" s="7">
        <v>179.05</v>
      </c>
      <c r="X2589" s="132">
        <f t="shared" si="279"/>
        <v>10</v>
      </c>
      <c r="Y2589" s="133"/>
      <c r="Z2589" s="133"/>
      <c r="AA2589" s="133"/>
    </row>
    <row r="2590" spans="1:27" hidden="1" x14ac:dyDescent="0.25">
      <c r="A2590" s="133"/>
      <c r="B2590" s="128" t="str">
        <f t="shared" si="280"/>
        <v>UYCT</v>
      </c>
      <c r="C2590" s="128" t="str">
        <f>+VLOOKUP(U2590,Ходим!A:B,2,0)</f>
        <v>31007942140083</v>
      </c>
      <c r="D2590" s="128" t="str">
        <f>IFERROR(VLOOKUP($B:$B,[20]свод!$A:$AB,3,0)," ")</f>
        <v>Уйчи тумани</v>
      </c>
      <c r="E2590" s="7" t="s">
        <v>3722</v>
      </c>
      <c r="F2590" s="7" t="s">
        <v>10089</v>
      </c>
      <c r="G2590" s="134">
        <f t="shared" si="277"/>
        <v>1</v>
      </c>
      <c r="H2590" s="134" t="str">
        <f t="shared" si="278"/>
        <v/>
      </c>
      <c r="I2590" s="7" t="s">
        <v>158</v>
      </c>
      <c r="J2590" s="7" t="s">
        <v>35</v>
      </c>
      <c r="K2590" s="7"/>
      <c r="L2590" s="7" t="s">
        <v>167</v>
      </c>
      <c r="M2590" s="7" t="s">
        <v>5925</v>
      </c>
      <c r="N2590" s="7" t="s">
        <v>170</v>
      </c>
      <c r="O2590" s="7" t="s">
        <v>162</v>
      </c>
      <c r="P2590" s="7" t="s">
        <v>6302</v>
      </c>
      <c r="Q2590" s="129">
        <v>46199</v>
      </c>
      <c r="R2590" s="130">
        <f t="shared" si="276"/>
        <v>46209</v>
      </c>
      <c r="S2590" s="131">
        <f t="shared" si="281"/>
        <v>10</v>
      </c>
      <c r="T2590" s="7" t="s">
        <v>379</v>
      </c>
      <c r="U2590" s="7" t="s">
        <v>263</v>
      </c>
      <c r="V2590" s="7"/>
      <c r="W2590" s="7">
        <v>128.66</v>
      </c>
      <c r="X2590" s="132">
        <f t="shared" si="279"/>
        <v>10</v>
      </c>
      <c r="Y2590" s="133"/>
      <c r="Z2590" s="133"/>
      <c r="AA2590" s="133"/>
    </row>
    <row r="2591" spans="1:27" hidden="1" x14ac:dyDescent="0.25">
      <c r="A2591" s="133"/>
      <c r="B2591" s="128" t="str">
        <f t="shared" si="280"/>
        <v>CHUT</v>
      </c>
      <c r="C2591" s="128" t="str">
        <f>+VLOOKUP(U2591,Ходим!A:B,2,0)</f>
        <v>30202885970013</v>
      </c>
      <c r="D2591" s="128" t="str">
        <f>IFERROR(VLOOKUP($B:$B,[20]свод!$A:$AB,3,0)," ")</f>
        <v>Чуст тумани</v>
      </c>
      <c r="E2591" s="7" t="s">
        <v>3723</v>
      </c>
      <c r="F2591" s="7" t="s">
        <v>10090</v>
      </c>
      <c r="G2591" s="134" t="str">
        <f t="shared" si="277"/>
        <v/>
      </c>
      <c r="H2591" s="134">
        <f t="shared" si="278"/>
        <v>1</v>
      </c>
      <c r="I2591" s="7" t="s">
        <v>157</v>
      </c>
      <c r="J2591" s="7" t="s">
        <v>2</v>
      </c>
      <c r="K2591" s="7"/>
      <c r="L2591" s="7"/>
      <c r="M2591" s="7"/>
      <c r="N2591" s="7" t="s">
        <v>170</v>
      </c>
      <c r="O2591" s="7" t="s">
        <v>161</v>
      </c>
      <c r="P2591" s="7" t="s">
        <v>6302</v>
      </c>
      <c r="Q2591" s="129">
        <v>46199</v>
      </c>
      <c r="R2591" s="130">
        <f t="shared" si="276"/>
        <v>46209</v>
      </c>
      <c r="S2591" s="131">
        <f t="shared" si="281"/>
        <v>10</v>
      </c>
      <c r="T2591" s="7" t="s">
        <v>178</v>
      </c>
      <c r="U2591" s="7" t="s">
        <v>289</v>
      </c>
      <c r="V2591" s="7"/>
      <c r="W2591" s="7"/>
      <c r="X2591" s="132">
        <f t="shared" si="279"/>
        <v>10</v>
      </c>
      <c r="Y2591" s="133"/>
      <c r="Z2591" s="133"/>
      <c r="AA2591" s="133"/>
    </row>
    <row r="2592" spans="1:27" hidden="1" x14ac:dyDescent="0.25">
      <c r="A2592" s="133"/>
      <c r="B2592" s="128" t="str">
        <f t="shared" si="280"/>
        <v>NAMS</v>
      </c>
      <c r="C2592" s="128" t="str">
        <f>+VLOOKUP(U2592,Ходим!A:B,2,0)</f>
        <v>30108932170088</v>
      </c>
      <c r="D2592" s="128" t="str">
        <f>IFERROR(VLOOKUP($B:$B,[20]свод!$A:$AB,3,0)," ")</f>
        <v>Наманган шаҳар</v>
      </c>
      <c r="E2592" s="7" t="s">
        <v>3724</v>
      </c>
      <c r="F2592" s="7" t="s">
        <v>10091</v>
      </c>
      <c r="G2592" s="134">
        <f t="shared" si="277"/>
        <v>1</v>
      </c>
      <c r="H2592" s="134" t="str">
        <f t="shared" si="278"/>
        <v/>
      </c>
      <c r="I2592" s="7" t="s">
        <v>156</v>
      </c>
      <c r="J2592" s="7" t="s">
        <v>22</v>
      </c>
      <c r="K2592" s="7"/>
      <c r="L2592" s="7"/>
      <c r="M2592" s="7"/>
      <c r="N2592" s="7" t="s">
        <v>170</v>
      </c>
      <c r="O2592" s="7" t="s">
        <v>162</v>
      </c>
      <c r="P2592" s="7" t="s">
        <v>6302</v>
      </c>
      <c r="Q2592" s="129">
        <v>46199</v>
      </c>
      <c r="R2592" s="130">
        <f t="shared" si="276"/>
        <v>46209</v>
      </c>
      <c r="S2592" s="131">
        <f t="shared" si="281"/>
        <v>10</v>
      </c>
      <c r="T2592" s="7" t="s">
        <v>173</v>
      </c>
      <c r="U2592" s="7" t="s">
        <v>329</v>
      </c>
      <c r="V2592" s="7"/>
      <c r="W2592" s="7"/>
      <c r="X2592" s="132">
        <f t="shared" si="279"/>
        <v>10</v>
      </c>
      <c r="Y2592" s="133"/>
      <c r="Z2592" s="133"/>
      <c r="AA2592" s="133"/>
    </row>
    <row r="2593" spans="1:27" hidden="1" x14ac:dyDescent="0.25">
      <c r="A2593" s="133"/>
      <c r="B2593" s="128" t="str">
        <f t="shared" si="280"/>
        <v>MINT</v>
      </c>
      <c r="C2593" s="128" t="e">
        <f>+VLOOKUP(U2593,Ходим!A:B,2,0)</f>
        <v>#N/A</v>
      </c>
      <c r="D2593" s="128" t="str">
        <f>IFERROR(VLOOKUP($B:$B,[20]свод!$A:$AB,3,0)," ")</f>
        <v>Мингбулоқ тумани</v>
      </c>
      <c r="E2593" s="7" t="s">
        <v>3725</v>
      </c>
      <c r="F2593" s="7" t="s">
        <v>10092</v>
      </c>
      <c r="G2593" s="134">
        <f t="shared" si="277"/>
        <v>1</v>
      </c>
      <c r="H2593" s="134" t="str">
        <f t="shared" si="278"/>
        <v/>
      </c>
      <c r="I2593" s="7" t="s">
        <v>159</v>
      </c>
      <c r="J2593" s="7" t="s">
        <v>137</v>
      </c>
      <c r="K2593" s="7"/>
      <c r="L2593" s="7" t="s">
        <v>167</v>
      </c>
      <c r="M2593" s="7" t="s">
        <v>5926</v>
      </c>
      <c r="N2593" s="7" t="s">
        <v>170</v>
      </c>
      <c r="O2593" s="7" t="s">
        <v>163</v>
      </c>
      <c r="P2593" s="7" t="s">
        <v>6302</v>
      </c>
      <c r="Q2593" s="129">
        <v>46199</v>
      </c>
      <c r="R2593" s="130">
        <f t="shared" si="276"/>
        <v>46209</v>
      </c>
      <c r="S2593" s="131">
        <f t="shared" si="281"/>
        <v>10</v>
      </c>
      <c r="T2593" s="7"/>
      <c r="U2593" s="7"/>
      <c r="V2593" s="7"/>
      <c r="W2593" s="7">
        <v>358.98</v>
      </c>
      <c r="X2593" s="132">
        <f t="shared" si="279"/>
        <v>10</v>
      </c>
      <c r="Y2593" s="133"/>
      <c r="Z2593" s="133"/>
      <c r="AA2593" s="133"/>
    </row>
    <row r="2594" spans="1:27" hidden="1" x14ac:dyDescent="0.25">
      <c r="A2594" s="133"/>
      <c r="B2594" s="128" t="str">
        <f t="shared" si="280"/>
        <v>NAMS</v>
      </c>
      <c r="C2594" s="128" t="str">
        <f>+VLOOKUP(U2594,Ходим!A:B,2,0)</f>
        <v>52710005960025</v>
      </c>
      <c r="D2594" s="128" t="str">
        <f>IFERROR(VLOOKUP($B:$B,[20]свод!$A:$AB,3,0)," ")</f>
        <v>Наманган шаҳар</v>
      </c>
      <c r="E2594" s="7" t="s">
        <v>3726</v>
      </c>
      <c r="F2594" s="7" t="s">
        <v>10093</v>
      </c>
      <c r="G2594" s="134">
        <f t="shared" si="277"/>
        <v>1</v>
      </c>
      <c r="H2594" s="134" t="str">
        <f t="shared" si="278"/>
        <v/>
      </c>
      <c r="I2594" s="7" t="s">
        <v>158</v>
      </c>
      <c r="J2594" s="7" t="s">
        <v>2</v>
      </c>
      <c r="K2594" s="7"/>
      <c r="L2594" s="7"/>
      <c r="M2594" s="7"/>
      <c r="N2594" s="7" t="s">
        <v>170</v>
      </c>
      <c r="O2594" s="7" t="s">
        <v>162</v>
      </c>
      <c r="P2594" s="7" t="s">
        <v>6302</v>
      </c>
      <c r="Q2594" s="129">
        <v>46199</v>
      </c>
      <c r="R2594" s="130">
        <f t="shared" si="276"/>
        <v>46209</v>
      </c>
      <c r="S2594" s="131">
        <f t="shared" si="281"/>
        <v>10</v>
      </c>
      <c r="T2594" s="7" t="s">
        <v>173</v>
      </c>
      <c r="U2594" s="7" t="s">
        <v>274</v>
      </c>
      <c r="V2594" s="7"/>
      <c r="W2594" s="7"/>
      <c r="X2594" s="132">
        <f t="shared" si="279"/>
        <v>10</v>
      </c>
      <c r="Y2594" s="133"/>
      <c r="Z2594" s="133"/>
      <c r="AA2594" s="133"/>
    </row>
    <row r="2595" spans="1:27" hidden="1" x14ac:dyDescent="0.25">
      <c r="A2595" s="133"/>
      <c r="B2595" s="128" t="str">
        <f t="shared" si="280"/>
        <v>UYCT</v>
      </c>
      <c r="C2595" s="128" t="str">
        <f>+VLOOKUP(U2595,Ходим!A:B,2,0)</f>
        <v>30510922140032</v>
      </c>
      <c r="D2595" s="128" t="str">
        <f>IFERROR(VLOOKUP($B:$B,[20]свод!$A:$AB,3,0)," ")</f>
        <v>Уйчи тумани</v>
      </c>
      <c r="E2595" s="7" t="s">
        <v>3727</v>
      </c>
      <c r="F2595" s="7" t="s">
        <v>10094</v>
      </c>
      <c r="G2595" s="134">
        <f t="shared" si="277"/>
        <v>1</v>
      </c>
      <c r="H2595" s="134" t="str">
        <f t="shared" si="278"/>
        <v/>
      </c>
      <c r="I2595" s="7" t="s">
        <v>158</v>
      </c>
      <c r="J2595" s="7" t="s">
        <v>2</v>
      </c>
      <c r="K2595" s="7"/>
      <c r="L2595" s="7" t="s">
        <v>167</v>
      </c>
      <c r="M2595" s="7" t="s">
        <v>5927</v>
      </c>
      <c r="N2595" s="7" t="s">
        <v>170</v>
      </c>
      <c r="O2595" s="7" t="s">
        <v>162</v>
      </c>
      <c r="P2595" s="7" t="s">
        <v>6302</v>
      </c>
      <c r="Q2595" s="129">
        <v>46199</v>
      </c>
      <c r="R2595" s="130">
        <f t="shared" si="276"/>
        <v>46209</v>
      </c>
      <c r="S2595" s="131">
        <f t="shared" si="281"/>
        <v>10</v>
      </c>
      <c r="T2595" s="7" t="s">
        <v>379</v>
      </c>
      <c r="U2595" s="7" t="s">
        <v>199</v>
      </c>
      <c r="V2595" s="7"/>
      <c r="W2595" s="7">
        <v>0</v>
      </c>
      <c r="X2595" s="132">
        <f t="shared" si="279"/>
        <v>10</v>
      </c>
      <c r="Y2595" s="133"/>
      <c r="Z2595" s="133"/>
      <c r="AA2595" s="133"/>
    </row>
    <row r="2596" spans="1:27" hidden="1" x14ac:dyDescent="0.25">
      <c r="A2596" s="133"/>
      <c r="B2596" s="128" t="str">
        <f t="shared" si="280"/>
        <v>CHUT</v>
      </c>
      <c r="C2596" s="128" t="str">
        <f>+VLOOKUP(U2596,Ходим!A:B,2,0)</f>
        <v>30901882180031</v>
      </c>
      <c r="D2596" s="128" t="str">
        <f>IFERROR(VLOOKUP($B:$B,[20]свод!$A:$AB,3,0)," ")</f>
        <v>Чуст тумани</v>
      </c>
      <c r="E2596" s="7" t="s">
        <v>3728</v>
      </c>
      <c r="F2596" s="7" t="s">
        <v>10095</v>
      </c>
      <c r="G2596" s="134" t="str">
        <f t="shared" si="277"/>
        <v/>
      </c>
      <c r="H2596" s="134">
        <f t="shared" si="278"/>
        <v>1</v>
      </c>
      <c r="I2596" s="7" t="s">
        <v>155</v>
      </c>
      <c r="J2596" s="7" t="s">
        <v>22</v>
      </c>
      <c r="K2596" s="7"/>
      <c r="L2596" s="7"/>
      <c r="M2596" s="7"/>
      <c r="N2596" s="7" t="s">
        <v>170</v>
      </c>
      <c r="O2596" s="7" t="s">
        <v>161</v>
      </c>
      <c r="P2596" s="7" t="s">
        <v>6302</v>
      </c>
      <c r="Q2596" s="129">
        <v>46199</v>
      </c>
      <c r="R2596" s="130">
        <f t="shared" ref="R2596:R2658" si="282">WORKDAY(P2596,X2596,$Y$1:$AA$1)</f>
        <v>46209</v>
      </c>
      <c r="S2596" s="131">
        <f t="shared" si="281"/>
        <v>10</v>
      </c>
      <c r="T2596" s="7" t="s">
        <v>178</v>
      </c>
      <c r="U2596" s="7" t="s">
        <v>238</v>
      </c>
      <c r="V2596" s="7"/>
      <c r="W2596" s="7"/>
      <c r="X2596" s="132">
        <f t="shared" si="279"/>
        <v>10</v>
      </c>
      <c r="Y2596" s="133"/>
      <c r="Z2596" s="133"/>
      <c r="AA2596" s="133"/>
    </row>
    <row r="2597" spans="1:27" hidden="1" x14ac:dyDescent="0.25">
      <c r="A2597" s="133"/>
      <c r="B2597" s="128" t="str">
        <f t="shared" si="280"/>
        <v>CHUT</v>
      </c>
      <c r="C2597" s="128" t="str">
        <f>+VLOOKUP(U2597,Ходим!A:B,2,0)</f>
        <v>32003822180063</v>
      </c>
      <c r="D2597" s="128" t="str">
        <f>IFERROR(VLOOKUP($B:$B,[20]свод!$A:$AB,3,0)," ")</f>
        <v>Чуст тумани</v>
      </c>
      <c r="E2597" s="7" t="s">
        <v>3729</v>
      </c>
      <c r="F2597" s="7" t="s">
        <v>10096</v>
      </c>
      <c r="G2597" s="134" t="str">
        <f t="shared" si="277"/>
        <v/>
      </c>
      <c r="H2597" s="134">
        <f t="shared" si="278"/>
        <v>1</v>
      </c>
      <c r="I2597" s="7" t="s">
        <v>157</v>
      </c>
      <c r="J2597" s="7" t="s">
        <v>2</v>
      </c>
      <c r="K2597" s="7"/>
      <c r="L2597" s="7" t="s">
        <v>168</v>
      </c>
      <c r="M2597" s="7" t="s">
        <v>1036</v>
      </c>
      <c r="N2597" s="7" t="s">
        <v>410</v>
      </c>
      <c r="O2597" s="7" t="s">
        <v>161</v>
      </c>
      <c r="P2597" s="7" t="s">
        <v>7409</v>
      </c>
      <c r="Q2597" s="129">
        <v>46199</v>
      </c>
      <c r="R2597" s="130">
        <f t="shared" si="282"/>
        <v>46203</v>
      </c>
      <c r="S2597" s="131">
        <f t="shared" si="281"/>
        <v>4</v>
      </c>
      <c r="T2597" s="7" t="s">
        <v>178</v>
      </c>
      <c r="U2597" s="7" t="s">
        <v>200</v>
      </c>
      <c r="V2597" s="7"/>
      <c r="W2597" s="7">
        <v>0</v>
      </c>
      <c r="X2597" s="132">
        <f t="shared" si="279"/>
        <v>7</v>
      </c>
      <c r="Y2597" s="133"/>
      <c r="Z2597" s="133"/>
      <c r="AA2597" s="133"/>
    </row>
    <row r="2598" spans="1:27" hidden="1" x14ac:dyDescent="0.25">
      <c r="A2598" s="133"/>
      <c r="B2598" s="128" t="str">
        <f t="shared" si="280"/>
        <v>NAMS</v>
      </c>
      <c r="C2598" s="128">
        <f>+VLOOKUP(U2598,Ходим!A:B,2,0)</f>
        <v>50510025960139</v>
      </c>
      <c r="D2598" s="128" t="str">
        <f>IFERROR(VLOOKUP($B:$B,[20]свод!$A:$AB,3,0)," ")</f>
        <v>Наманган шаҳар</v>
      </c>
      <c r="E2598" s="7" t="s">
        <v>3730</v>
      </c>
      <c r="F2598" s="7" t="s">
        <v>10097</v>
      </c>
      <c r="G2598" s="134">
        <f t="shared" si="277"/>
        <v>1</v>
      </c>
      <c r="H2598" s="134" t="str">
        <f t="shared" si="278"/>
        <v/>
      </c>
      <c r="I2598" s="7" t="s">
        <v>156</v>
      </c>
      <c r="J2598" s="7" t="s">
        <v>25</v>
      </c>
      <c r="K2598" s="7"/>
      <c r="L2598" s="7"/>
      <c r="M2598" s="7"/>
      <c r="N2598" s="7" t="s">
        <v>170</v>
      </c>
      <c r="O2598" s="7" t="s">
        <v>162</v>
      </c>
      <c r="P2598" s="7" t="s">
        <v>6536</v>
      </c>
      <c r="Q2598" s="129">
        <v>46199</v>
      </c>
      <c r="R2598" s="130">
        <f t="shared" si="282"/>
        <v>46209</v>
      </c>
      <c r="S2598" s="131">
        <f t="shared" si="281"/>
        <v>10</v>
      </c>
      <c r="T2598" s="7" t="s">
        <v>173</v>
      </c>
      <c r="U2598" s="7" t="s">
        <v>955</v>
      </c>
      <c r="V2598" s="7"/>
      <c r="W2598" s="7"/>
      <c r="X2598" s="132">
        <f t="shared" si="279"/>
        <v>10</v>
      </c>
      <c r="Y2598" s="133"/>
      <c r="Z2598" s="133"/>
      <c r="AA2598" s="133"/>
    </row>
    <row r="2599" spans="1:27" hidden="1" x14ac:dyDescent="0.25">
      <c r="A2599" s="133"/>
      <c r="B2599" s="128" t="str">
        <f t="shared" si="280"/>
        <v>MINT</v>
      </c>
      <c r="C2599" s="128" t="e">
        <f>+VLOOKUP(U2599,Ходим!A:B,2,0)</f>
        <v>#N/A</v>
      </c>
      <c r="D2599" s="128" t="str">
        <f>IFERROR(VLOOKUP($B:$B,[20]свод!$A:$AB,3,0)," ")</f>
        <v>Мингбулоқ тумани</v>
      </c>
      <c r="E2599" s="7" t="s">
        <v>3731</v>
      </c>
      <c r="F2599" s="7" t="s">
        <v>10098</v>
      </c>
      <c r="G2599" s="134">
        <f t="shared" si="277"/>
        <v>1</v>
      </c>
      <c r="H2599" s="134" t="str">
        <f t="shared" si="278"/>
        <v/>
      </c>
      <c r="I2599" s="7" t="s">
        <v>156</v>
      </c>
      <c r="J2599" s="7" t="s">
        <v>11</v>
      </c>
      <c r="K2599" s="7"/>
      <c r="L2599" s="7"/>
      <c r="M2599" s="7"/>
      <c r="N2599" s="7" t="s">
        <v>170</v>
      </c>
      <c r="O2599" s="7" t="s">
        <v>162</v>
      </c>
      <c r="P2599" s="7" t="s">
        <v>6536</v>
      </c>
      <c r="Q2599" s="129">
        <v>46199</v>
      </c>
      <c r="R2599" s="130">
        <f t="shared" si="282"/>
        <v>46209</v>
      </c>
      <c r="S2599" s="131">
        <f t="shared" si="281"/>
        <v>10</v>
      </c>
      <c r="T2599" s="7"/>
      <c r="U2599" s="7"/>
      <c r="V2599" s="7"/>
      <c r="W2599" s="7"/>
      <c r="X2599" s="132">
        <f t="shared" si="279"/>
        <v>10</v>
      </c>
      <c r="Y2599" s="133"/>
      <c r="Z2599" s="133"/>
      <c r="AA2599" s="133"/>
    </row>
    <row r="2600" spans="1:27" hidden="1" x14ac:dyDescent="0.25">
      <c r="A2600" s="133"/>
      <c r="B2600" s="128" t="str">
        <f t="shared" si="280"/>
        <v>TORT</v>
      </c>
      <c r="C2600" s="128" t="str">
        <f>+VLOOKUP(U2600,Ходим!A:B,2,0)</f>
        <v>31306842130078</v>
      </c>
      <c r="D2600" s="128" t="str">
        <f>IFERROR(VLOOKUP($B:$B,[20]свод!$A:$AB,3,0)," ")</f>
        <v>Тўрақўрғон тумани</v>
      </c>
      <c r="E2600" s="7" t="s">
        <v>3732</v>
      </c>
      <c r="F2600" s="7" t="s">
        <v>10099</v>
      </c>
      <c r="G2600" s="134">
        <f t="shared" ref="G2600:G2662" si="283">IF(OR(
I2600="Turar joy obyektning kadastr pasportini shakllantirish va davlat ro'yxatidan o'tkazish",
I2600="Turar kompozit"
),
1,
IF(OR(
I2600="Noturar kompozit",
I2600="Avtoyo'l va suv xo'jaligi obyektining kadastr pasportini shakllantirish va ro'yxatga olish",
I2600="Noturar obyektning kadastr pasportining kadastr pasportini shakllantirish va davlat ro'yxatidan o'tkazish"
),
"",
IF(OR(
I2600="Notarius uchun ma'lumotnoma (uz)",
I2600="Qurilishi tugallangan ko'chmas mulkni foydalanishga qabul qilish",
I2600="Umumiy foydalanishdagi ko'chmas mulk qismini yaratish",
I2600="Registratsiya (tashqi - UZKAD da bor)"
),
IF(OR(L2600="Turar yer maydoni",L2600="Yakka tartibdagi turar joy"),1,
IF(L2600="Noturar bino","",
IF(L2600="Noturar yer maydoni","",
IF(L2600="",IF(OR(O2600="Turar joy xizmati",O2600="Foydalanishga ruxsatnoma berish xizmati"),1,""),"")
))),
"")))</f>
        <v>1</v>
      </c>
      <c r="H2600" s="134" t="str">
        <f t="shared" ref="H2600:H2662" si="284">IF(OR(
I2600="Turar joy obyektning kadastr pasportini shakllantirish va davlat ro'yxatidan o'tkazish",
I2600="Turar kompozit"
),
"",
IF(OR(
I2600="Noturar kompozit",
I2600="Avtoyo'l va suv xo'jaligi obyektining kadastr pasportini shakllantirish va ro'yxatga olish",
I2600="Noturar obyektning kadastr pasportini shakllantirish va davlat ro'yxatidan o'tkazish"
),
1,
IF(OR(
I2600="Notarius uchun ma'lumotnoma (uz)",
I2600="Qurilishi tugallangan ko'chmas mulkni foydalanishga qabul qilish",
I2600="Umumiy foydalanishdagi ko'chmas mulk qismini yaratish",
I2600="Registratsiya (tashqi - UZKAD da bor)"
),
IF(OR(L2600="Turar yer maydoni",L2600="Yakka tartibdagi turar joy"),"",
IF(L2600="Noturar bino",1,
IF(L2600="Noturar yer maydoni",1,
IF(L2600="",IF(OR(O2600="Turar joy xizmati",O2600="Foydalanishga ruxsatnoma berish xizmati"),"",1),"")
))),
"")))</f>
        <v/>
      </c>
      <c r="I2600" s="7" t="s">
        <v>158</v>
      </c>
      <c r="J2600" s="7" t="s">
        <v>172</v>
      </c>
      <c r="K2600" s="7"/>
      <c r="L2600" s="7" t="s">
        <v>167</v>
      </c>
      <c r="M2600" s="7" t="s">
        <v>5928</v>
      </c>
      <c r="N2600" s="7" t="s">
        <v>170</v>
      </c>
      <c r="O2600" s="7" t="s">
        <v>162</v>
      </c>
      <c r="P2600" s="7" t="s">
        <v>6536</v>
      </c>
      <c r="Q2600" s="129">
        <v>46199</v>
      </c>
      <c r="R2600" s="130">
        <f t="shared" si="282"/>
        <v>46209</v>
      </c>
      <c r="S2600" s="131">
        <f t="shared" si="281"/>
        <v>10</v>
      </c>
      <c r="T2600" s="7" t="s">
        <v>203</v>
      </c>
      <c r="U2600" s="7" t="s">
        <v>219</v>
      </c>
      <c r="V2600" s="7"/>
      <c r="W2600" s="7">
        <v>45.64</v>
      </c>
      <c r="X2600" s="132">
        <f t="shared" si="279"/>
        <v>10</v>
      </c>
      <c r="Y2600" s="133"/>
      <c r="Z2600" s="133"/>
      <c r="AA2600" s="133"/>
    </row>
    <row r="2601" spans="1:27" hidden="1" x14ac:dyDescent="0.25">
      <c r="A2601" s="133"/>
      <c r="B2601" s="128" t="str">
        <f t="shared" si="280"/>
        <v>KSST</v>
      </c>
      <c r="C2601" s="128" t="str">
        <f>+VLOOKUP(U2601,Ходим!A:B,2,0)</f>
        <v>31611995980026</v>
      </c>
      <c r="D2601" s="128" t="str">
        <f>IFERROR(VLOOKUP($B:$B,[20]свод!$A:$AB,3,0)," ")</f>
        <v>Косонсой тумани</v>
      </c>
      <c r="E2601" s="7" t="s">
        <v>3733</v>
      </c>
      <c r="F2601" s="7" t="s">
        <v>10100</v>
      </c>
      <c r="G2601" s="134">
        <f t="shared" si="283"/>
        <v>1</v>
      </c>
      <c r="H2601" s="134" t="str">
        <f t="shared" si="284"/>
        <v/>
      </c>
      <c r="I2601" s="7" t="s">
        <v>158</v>
      </c>
      <c r="J2601" s="7" t="s">
        <v>2</v>
      </c>
      <c r="K2601" s="7"/>
      <c r="L2601" s="7" t="s">
        <v>167</v>
      </c>
      <c r="M2601" s="7" t="s">
        <v>5929</v>
      </c>
      <c r="N2601" s="7" t="s">
        <v>170</v>
      </c>
      <c r="O2601" s="7" t="s">
        <v>162</v>
      </c>
      <c r="P2601" s="7" t="s">
        <v>6536</v>
      </c>
      <c r="Q2601" s="129">
        <v>46199</v>
      </c>
      <c r="R2601" s="130">
        <f t="shared" si="282"/>
        <v>46209</v>
      </c>
      <c r="S2601" s="131">
        <f t="shared" si="281"/>
        <v>10</v>
      </c>
      <c r="T2601" s="7" t="s">
        <v>180</v>
      </c>
      <c r="U2601" s="7" t="s">
        <v>181</v>
      </c>
      <c r="V2601" s="7"/>
      <c r="W2601" s="7">
        <v>280.52999999999997</v>
      </c>
      <c r="X2601" s="132">
        <f t="shared" si="279"/>
        <v>10</v>
      </c>
      <c r="Y2601" s="133"/>
      <c r="Z2601" s="133"/>
      <c r="AA2601" s="133"/>
    </row>
    <row r="2602" spans="1:27" hidden="1" x14ac:dyDescent="0.25">
      <c r="A2602" s="133"/>
      <c r="B2602" s="128" t="str">
        <f t="shared" si="280"/>
        <v>POPT</v>
      </c>
      <c r="C2602" s="128" t="str">
        <f>+VLOOKUP(U2602,Ходим!A:B,2,0)</f>
        <v>50608025910024</v>
      </c>
      <c r="D2602" s="128" t="str">
        <f>IFERROR(VLOOKUP($B:$B,[20]свод!$A:$AB,3,0)," ")</f>
        <v>Поп тумани</v>
      </c>
      <c r="E2602" s="7" t="s">
        <v>3734</v>
      </c>
      <c r="F2602" s="7" t="s">
        <v>10101</v>
      </c>
      <c r="G2602" s="134">
        <f t="shared" si="283"/>
        <v>1</v>
      </c>
      <c r="H2602" s="134" t="str">
        <f t="shared" si="284"/>
        <v/>
      </c>
      <c r="I2602" s="7" t="s">
        <v>158</v>
      </c>
      <c r="J2602" s="7" t="s">
        <v>2</v>
      </c>
      <c r="K2602" s="7"/>
      <c r="L2602" s="7" t="s">
        <v>167</v>
      </c>
      <c r="M2602" s="7" t="s">
        <v>5930</v>
      </c>
      <c r="N2602" s="7" t="s">
        <v>170</v>
      </c>
      <c r="O2602" s="7" t="s">
        <v>162</v>
      </c>
      <c r="P2602" s="7" t="s">
        <v>7410</v>
      </c>
      <c r="Q2602" s="129">
        <v>46199</v>
      </c>
      <c r="R2602" s="130">
        <f t="shared" si="282"/>
        <v>46209</v>
      </c>
      <c r="S2602" s="131">
        <f t="shared" si="281"/>
        <v>10</v>
      </c>
      <c r="T2602" s="7" t="s">
        <v>240</v>
      </c>
      <c r="U2602" s="7" t="s">
        <v>283</v>
      </c>
      <c r="V2602" s="7"/>
      <c r="W2602" s="7">
        <v>0</v>
      </c>
      <c r="X2602" s="132">
        <f t="shared" si="279"/>
        <v>10</v>
      </c>
      <c r="Y2602" s="133"/>
      <c r="Z2602" s="133"/>
      <c r="AA2602" s="133"/>
    </row>
    <row r="2603" spans="1:27" hidden="1" x14ac:dyDescent="0.25">
      <c r="A2603" s="133"/>
      <c r="B2603" s="128" t="str">
        <f t="shared" si="280"/>
        <v>CHUT</v>
      </c>
      <c r="C2603" s="128" t="str">
        <f>+VLOOKUP(U2603,Ходим!A:B,2,0)</f>
        <v>32003822180063</v>
      </c>
      <c r="D2603" s="128" t="str">
        <f>IFERROR(VLOOKUP($B:$B,[20]свод!$A:$AB,3,0)," ")</f>
        <v>Чуст тумани</v>
      </c>
      <c r="E2603" s="7" t="s">
        <v>3735</v>
      </c>
      <c r="F2603" s="7" t="s">
        <v>10102</v>
      </c>
      <c r="G2603" s="134">
        <f t="shared" si="283"/>
        <v>1</v>
      </c>
      <c r="H2603" s="134" t="str">
        <f t="shared" si="284"/>
        <v/>
      </c>
      <c r="I2603" s="7" t="s">
        <v>158</v>
      </c>
      <c r="J2603" s="7" t="s">
        <v>2</v>
      </c>
      <c r="K2603" s="7"/>
      <c r="L2603" s="7"/>
      <c r="M2603" s="7"/>
      <c r="N2603" s="7" t="s">
        <v>170</v>
      </c>
      <c r="O2603" s="7" t="s">
        <v>162</v>
      </c>
      <c r="P2603" s="7" t="s">
        <v>7410</v>
      </c>
      <c r="Q2603" s="129">
        <v>46199</v>
      </c>
      <c r="R2603" s="130">
        <f t="shared" si="282"/>
        <v>46209</v>
      </c>
      <c r="S2603" s="131">
        <f t="shared" si="281"/>
        <v>10</v>
      </c>
      <c r="T2603" s="7" t="s">
        <v>178</v>
      </c>
      <c r="U2603" s="7" t="s">
        <v>200</v>
      </c>
      <c r="V2603" s="7"/>
      <c r="W2603" s="7"/>
      <c r="X2603" s="132">
        <f t="shared" si="279"/>
        <v>10</v>
      </c>
      <c r="Y2603" s="133"/>
      <c r="Z2603" s="133"/>
      <c r="AA2603" s="133"/>
    </row>
    <row r="2604" spans="1:27" hidden="1" x14ac:dyDescent="0.25">
      <c r="A2604" s="133"/>
      <c r="B2604" s="128" t="str">
        <f t="shared" si="280"/>
        <v>CHUT</v>
      </c>
      <c r="C2604" s="128" t="str">
        <f>+VLOOKUP(U2604,Ходим!A:B,2,0)</f>
        <v>32304995970021</v>
      </c>
      <c r="D2604" s="128" t="str">
        <f>IFERROR(VLOOKUP($B:$B,[20]свод!$A:$AB,3,0)," ")</f>
        <v>Чуст тумани</v>
      </c>
      <c r="E2604" s="7" t="s">
        <v>3736</v>
      </c>
      <c r="F2604" s="7" t="s">
        <v>10103</v>
      </c>
      <c r="G2604" s="134">
        <f t="shared" si="283"/>
        <v>1</v>
      </c>
      <c r="H2604" s="134" t="str">
        <f t="shared" si="284"/>
        <v/>
      </c>
      <c r="I2604" s="7" t="s">
        <v>158</v>
      </c>
      <c r="J2604" s="7" t="s">
        <v>2</v>
      </c>
      <c r="K2604" s="7"/>
      <c r="L2604" s="7" t="s">
        <v>167</v>
      </c>
      <c r="M2604" s="7" t="s">
        <v>5931</v>
      </c>
      <c r="N2604" s="7" t="s">
        <v>170</v>
      </c>
      <c r="O2604" s="7" t="s">
        <v>162</v>
      </c>
      <c r="P2604" s="7" t="s">
        <v>7410</v>
      </c>
      <c r="Q2604" s="129">
        <v>46199</v>
      </c>
      <c r="R2604" s="130">
        <f t="shared" si="282"/>
        <v>46209</v>
      </c>
      <c r="S2604" s="131">
        <f t="shared" si="281"/>
        <v>10</v>
      </c>
      <c r="T2604" s="7" t="s">
        <v>178</v>
      </c>
      <c r="U2604" s="7" t="s">
        <v>938</v>
      </c>
      <c r="V2604" s="7"/>
      <c r="W2604" s="7">
        <v>408.32</v>
      </c>
      <c r="X2604" s="132">
        <f t="shared" si="279"/>
        <v>10</v>
      </c>
      <c r="Y2604" s="133"/>
      <c r="Z2604" s="133"/>
      <c r="AA2604" s="133"/>
    </row>
    <row r="2605" spans="1:27" hidden="1" x14ac:dyDescent="0.25">
      <c r="A2605" s="133"/>
      <c r="B2605" s="128" t="str">
        <f t="shared" si="280"/>
        <v>POPT</v>
      </c>
      <c r="C2605" s="128" t="str">
        <f>+VLOOKUP(U2605,Ходим!A:B,2,0)</f>
        <v>32901912210017</v>
      </c>
      <c r="D2605" s="128" t="str">
        <f>IFERROR(VLOOKUP($B:$B,[20]свод!$A:$AB,3,0)," ")</f>
        <v>Поп тумани</v>
      </c>
      <c r="E2605" s="7" t="s">
        <v>3737</v>
      </c>
      <c r="F2605" s="7" t="s">
        <v>10104</v>
      </c>
      <c r="G2605" s="134">
        <f t="shared" si="283"/>
        <v>1</v>
      </c>
      <c r="H2605" s="134" t="str">
        <f t="shared" si="284"/>
        <v/>
      </c>
      <c r="I2605" s="7" t="s">
        <v>158</v>
      </c>
      <c r="J2605" s="7" t="s">
        <v>2</v>
      </c>
      <c r="K2605" s="7"/>
      <c r="L2605" s="7"/>
      <c r="M2605" s="7"/>
      <c r="N2605" s="7" t="s">
        <v>170</v>
      </c>
      <c r="O2605" s="7" t="s">
        <v>162</v>
      </c>
      <c r="P2605" s="7" t="s">
        <v>7410</v>
      </c>
      <c r="Q2605" s="129">
        <v>46199</v>
      </c>
      <c r="R2605" s="130">
        <f t="shared" si="282"/>
        <v>46209</v>
      </c>
      <c r="S2605" s="131">
        <f t="shared" si="281"/>
        <v>10</v>
      </c>
      <c r="T2605" s="7" t="s">
        <v>214</v>
      </c>
      <c r="U2605" s="7" t="s">
        <v>215</v>
      </c>
      <c r="V2605" s="7"/>
      <c r="W2605" s="7"/>
      <c r="X2605" s="132">
        <f t="shared" si="279"/>
        <v>10</v>
      </c>
      <c r="Y2605" s="133"/>
      <c r="Z2605" s="133"/>
      <c r="AA2605" s="133"/>
    </row>
    <row r="2606" spans="1:27" hidden="1" x14ac:dyDescent="0.25">
      <c r="A2606" s="133"/>
      <c r="B2606" s="128" t="str">
        <f t="shared" si="280"/>
        <v>NAMS</v>
      </c>
      <c r="C2606" s="128" t="str">
        <f>+VLOOKUP(U2606,Ходим!A:B,2,0)</f>
        <v>51705025890024</v>
      </c>
      <c r="D2606" s="128" t="str">
        <f>IFERROR(VLOOKUP($B:$B,[20]свод!$A:$AB,3,0)," ")</f>
        <v>Наманган шаҳар</v>
      </c>
      <c r="E2606" s="7" t="s">
        <v>3738</v>
      </c>
      <c r="F2606" s="7" t="s">
        <v>10105</v>
      </c>
      <c r="G2606" s="134">
        <f t="shared" si="283"/>
        <v>1</v>
      </c>
      <c r="H2606" s="134" t="str">
        <f t="shared" si="284"/>
        <v/>
      </c>
      <c r="I2606" s="7" t="s">
        <v>158</v>
      </c>
      <c r="J2606" s="7" t="s">
        <v>2</v>
      </c>
      <c r="K2606" s="7"/>
      <c r="L2606" s="7"/>
      <c r="M2606" s="7"/>
      <c r="N2606" s="7" t="s">
        <v>170</v>
      </c>
      <c r="O2606" s="7" t="s">
        <v>162</v>
      </c>
      <c r="P2606" s="7" t="s">
        <v>7410</v>
      </c>
      <c r="Q2606" s="129">
        <v>46199</v>
      </c>
      <c r="R2606" s="130">
        <f t="shared" si="282"/>
        <v>46209</v>
      </c>
      <c r="S2606" s="131">
        <f t="shared" si="281"/>
        <v>10</v>
      </c>
      <c r="T2606" s="7" t="s">
        <v>173</v>
      </c>
      <c r="U2606" s="7" t="s">
        <v>189</v>
      </c>
      <c r="V2606" s="7"/>
      <c r="W2606" s="7"/>
      <c r="X2606" s="132">
        <f t="shared" si="279"/>
        <v>10</v>
      </c>
      <c r="Y2606" s="133"/>
      <c r="Z2606" s="133"/>
      <c r="AA2606" s="133"/>
    </row>
    <row r="2607" spans="1:27" hidden="1" x14ac:dyDescent="0.25">
      <c r="A2607" s="133"/>
      <c r="B2607" s="128" t="str">
        <f t="shared" si="280"/>
        <v>CHUT</v>
      </c>
      <c r="C2607" s="128" t="str">
        <f>+VLOOKUP(U2607,Ходим!A:B,2,0)</f>
        <v>32003822180063</v>
      </c>
      <c r="D2607" s="128" t="str">
        <f>IFERROR(VLOOKUP($B:$B,[20]свод!$A:$AB,3,0)," ")</f>
        <v>Чуст тумани</v>
      </c>
      <c r="E2607" s="7" t="s">
        <v>3739</v>
      </c>
      <c r="F2607" s="7" t="s">
        <v>10106</v>
      </c>
      <c r="G2607" s="134">
        <f t="shared" si="283"/>
        <v>1</v>
      </c>
      <c r="H2607" s="134" t="str">
        <f t="shared" si="284"/>
        <v/>
      </c>
      <c r="I2607" s="7" t="s">
        <v>158</v>
      </c>
      <c r="J2607" s="7" t="s">
        <v>2</v>
      </c>
      <c r="K2607" s="7"/>
      <c r="L2607" s="7"/>
      <c r="M2607" s="7"/>
      <c r="N2607" s="7" t="s">
        <v>170</v>
      </c>
      <c r="O2607" s="7" t="s">
        <v>162</v>
      </c>
      <c r="P2607" s="7" t="s">
        <v>7410</v>
      </c>
      <c r="Q2607" s="129">
        <v>46199</v>
      </c>
      <c r="R2607" s="130">
        <f t="shared" si="282"/>
        <v>46209</v>
      </c>
      <c r="S2607" s="131">
        <f t="shared" si="281"/>
        <v>10</v>
      </c>
      <c r="T2607" s="7" t="s">
        <v>178</v>
      </c>
      <c r="U2607" s="7" t="s">
        <v>200</v>
      </c>
      <c r="V2607" s="7"/>
      <c r="W2607" s="7"/>
      <c r="X2607" s="132">
        <f t="shared" si="279"/>
        <v>10</v>
      </c>
      <c r="Y2607" s="133"/>
      <c r="Z2607" s="133"/>
      <c r="AA2607" s="133"/>
    </row>
    <row r="2608" spans="1:27" hidden="1" x14ac:dyDescent="0.25">
      <c r="A2608" s="133"/>
      <c r="B2608" s="128" t="str">
        <f t="shared" si="280"/>
        <v>TORT</v>
      </c>
      <c r="C2608" s="128" t="str">
        <f>+VLOOKUP(U2608,Ходим!A:B,2,0)</f>
        <v>30708792130017</v>
      </c>
      <c r="D2608" s="128" t="str">
        <f>IFERROR(VLOOKUP($B:$B,[20]свод!$A:$AB,3,0)," ")</f>
        <v>Тўрақўрғон тумани</v>
      </c>
      <c r="E2608" s="7" t="s">
        <v>3740</v>
      </c>
      <c r="F2608" s="7" t="s">
        <v>10107</v>
      </c>
      <c r="G2608" s="134">
        <f t="shared" si="283"/>
        <v>1</v>
      </c>
      <c r="H2608" s="134" t="str">
        <f t="shared" si="284"/>
        <v/>
      </c>
      <c r="I2608" s="7" t="s">
        <v>158</v>
      </c>
      <c r="J2608" s="7" t="s">
        <v>1</v>
      </c>
      <c r="K2608" s="7"/>
      <c r="L2608" s="7" t="s">
        <v>167</v>
      </c>
      <c r="M2608" s="7" t="s">
        <v>5932</v>
      </c>
      <c r="N2608" s="7" t="s">
        <v>170</v>
      </c>
      <c r="O2608" s="7" t="s">
        <v>162</v>
      </c>
      <c r="P2608" s="7" t="s">
        <v>6491</v>
      </c>
      <c r="Q2608" s="129">
        <v>46199</v>
      </c>
      <c r="R2608" s="130">
        <f t="shared" si="282"/>
        <v>46205</v>
      </c>
      <c r="S2608" s="131">
        <f t="shared" si="281"/>
        <v>6</v>
      </c>
      <c r="T2608" s="7" t="s">
        <v>203</v>
      </c>
      <c r="U2608" s="7" t="s">
        <v>204</v>
      </c>
      <c r="V2608" s="7"/>
      <c r="W2608" s="7">
        <v>181.26</v>
      </c>
      <c r="X2608" s="132">
        <f t="shared" si="279"/>
        <v>10</v>
      </c>
      <c r="Y2608" s="133"/>
      <c r="Z2608" s="133"/>
      <c r="AA2608" s="133"/>
    </row>
    <row r="2609" spans="1:27" hidden="1" x14ac:dyDescent="0.25">
      <c r="A2609" s="133"/>
      <c r="B2609" s="128" t="str">
        <f t="shared" si="280"/>
        <v>POPT</v>
      </c>
      <c r="C2609" s="128" t="str">
        <f>+VLOOKUP(U2609,Ходим!A:B,2,0)</f>
        <v>30809922120031</v>
      </c>
      <c r="D2609" s="128" t="str">
        <f>IFERROR(VLOOKUP($B:$B,[20]свод!$A:$AB,3,0)," ")</f>
        <v>Поп тумани</v>
      </c>
      <c r="E2609" s="7" t="s">
        <v>3741</v>
      </c>
      <c r="F2609" s="7" t="s">
        <v>10108</v>
      </c>
      <c r="G2609" s="134">
        <f t="shared" si="283"/>
        <v>1</v>
      </c>
      <c r="H2609" s="134" t="str">
        <f t="shared" si="284"/>
        <v/>
      </c>
      <c r="I2609" s="7" t="s">
        <v>158</v>
      </c>
      <c r="J2609" s="7" t="s">
        <v>1</v>
      </c>
      <c r="K2609" s="7"/>
      <c r="L2609" s="7" t="s">
        <v>167</v>
      </c>
      <c r="M2609" s="7" t="s">
        <v>5933</v>
      </c>
      <c r="N2609" s="7" t="s">
        <v>170</v>
      </c>
      <c r="O2609" s="7" t="s">
        <v>162</v>
      </c>
      <c r="P2609" s="7" t="s">
        <v>7017</v>
      </c>
      <c r="Q2609" s="129">
        <v>46199</v>
      </c>
      <c r="R2609" s="130">
        <f t="shared" si="282"/>
        <v>46202</v>
      </c>
      <c r="S2609" s="131">
        <f t="shared" si="281"/>
        <v>3</v>
      </c>
      <c r="T2609" s="7" t="s">
        <v>240</v>
      </c>
      <c r="U2609" s="7" t="s">
        <v>339</v>
      </c>
      <c r="V2609" s="7"/>
      <c r="W2609" s="7">
        <v>407.7</v>
      </c>
      <c r="X2609" s="132">
        <f t="shared" si="279"/>
        <v>10</v>
      </c>
      <c r="Y2609" s="133"/>
      <c r="Z2609" s="133"/>
      <c r="AA2609" s="133"/>
    </row>
    <row r="2610" spans="1:27" hidden="1" x14ac:dyDescent="0.25">
      <c r="A2610" s="133"/>
      <c r="B2610" s="128" t="str">
        <f t="shared" si="280"/>
        <v>KSST</v>
      </c>
      <c r="C2610" s="128" t="str">
        <f>+VLOOKUP(U2610,Ходим!A:B,2,0)</f>
        <v>31407932190092</v>
      </c>
      <c r="D2610" s="128" t="str">
        <f>IFERROR(VLOOKUP($B:$B,[20]свод!$A:$AB,3,0)," ")</f>
        <v>Косонсой тумани</v>
      </c>
      <c r="E2610" s="7" t="s">
        <v>3742</v>
      </c>
      <c r="F2610" s="7" t="s">
        <v>10109</v>
      </c>
      <c r="G2610" s="134" t="str">
        <f t="shared" si="283"/>
        <v/>
      </c>
      <c r="H2610" s="134">
        <f t="shared" si="284"/>
        <v>1</v>
      </c>
      <c r="I2610" s="7" t="s">
        <v>157</v>
      </c>
      <c r="J2610" s="7" t="s">
        <v>36</v>
      </c>
      <c r="K2610" s="7"/>
      <c r="L2610" s="7" t="s">
        <v>166</v>
      </c>
      <c r="M2610" s="7" t="s">
        <v>5934</v>
      </c>
      <c r="N2610" s="7" t="s">
        <v>170</v>
      </c>
      <c r="O2610" s="7" t="s">
        <v>161</v>
      </c>
      <c r="P2610" s="7" t="s">
        <v>6536</v>
      </c>
      <c r="Q2610" s="129">
        <v>46199</v>
      </c>
      <c r="R2610" s="130">
        <f t="shared" si="282"/>
        <v>46218</v>
      </c>
      <c r="S2610" s="131">
        <f t="shared" si="281"/>
        <v>19</v>
      </c>
      <c r="T2610" s="7" t="s">
        <v>180</v>
      </c>
      <c r="U2610" s="7" t="s">
        <v>188</v>
      </c>
      <c r="V2610" s="7"/>
      <c r="W2610" s="7">
        <v>2246.6999999999998</v>
      </c>
      <c r="X2610" s="132">
        <f t="shared" si="279"/>
        <v>17</v>
      </c>
      <c r="Y2610" s="133"/>
      <c r="Z2610" s="133"/>
      <c r="AA2610" s="133"/>
    </row>
    <row r="2611" spans="1:27" hidden="1" x14ac:dyDescent="0.25">
      <c r="A2611" s="133"/>
      <c r="B2611" s="128" t="str">
        <f t="shared" si="280"/>
        <v>CHOT</v>
      </c>
      <c r="C2611" s="128" t="str">
        <f>+VLOOKUP(U2611,Ходим!A:B,2,0)</f>
        <v>50310015890046</v>
      </c>
      <c r="D2611" s="128" t="str">
        <f>IFERROR(VLOOKUP($B:$B,[20]свод!$A:$AB,3,0)," ")</f>
        <v>Чортоқ тумани</v>
      </c>
      <c r="E2611" s="7" t="s">
        <v>3743</v>
      </c>
      <c r="F2611" s="7" t="s">
        <v>10110</v>
      </c>
      <c r="G2611" s="134">
        <f t="shared" si="283"/>
        <v>1</v>
      </c>
      <c r="H2611" s="134" t="str">
        <f t="shared" si="284"/>
        <v/>
      </c>
      <c r="I2611" s="7" t="s">
        <v>158</v>
      </c>
      <c r="J2611" s="7" t="s">
        <v>172</v>
      </c>
      <c r="K2611" s="7"/>
      <c r="L2611" s="7" t="s">
        <v>167</v>
      </c>
      <c r="M2611" s="7" t="s">
        <v>5935</v>
      </c>
      <c r="N2611" s="7" t="s">
        <v>170</v>
      </c>
      <c r="O2611" s="7" t="s">
        <v>162</v>
      </c>
      <c r="P2611" s="7" t="s">
        <v>7411</v>
      </c>
      <c r="Q2611" s="129">
        <v>46199</v>
      </c>
      <c r="R2611" s="130">
        <f t="shared" si="282"/>
        <v>46209</v>
      </c>
      <c r="S2611" s="131">
        <f t="shared" si="281"/>
        <v>10</v>
      </c>
      <c r="T2611" s="7" t="s">
        <v>10635</v>
      </c>
      <c r="U2611" s="7" t="s">
        <v>404</v>
      </c>
      <c r="V2611" s="7"/>
      <c r="W2611" s="7">
        <v>0</v>
      </c>
      <c r="X2611" s="132">
        <f t="shared" si="279"/>
        <v>10</v>
      </c>
      <c r="Y2611" s="133"/>
      <c r="Z2611" s="133"/>
      <c r="AA2611" s="133"/>
    </row>
    <row r="2612" spans="1:27" hidden="1" x14ac:dyDescent="0.25">
      <c r="A2612" s="133"/>
      <c r="B2612" s="128" t="str">
        <f t="shared" si="280"/>
        <v>UCQT</v>
      </c>
      <c r="C2612" s="128" t="e">
        <f>+VLOOKUP(U2612,Ходим!A:B,2,0)</f>
        <v>#N/A</v>
      </c>
      <c r="D2612" s="128" t="str">
        <f>IFERROR(VLOOKUP($B:$B,[20]свод!$A:$AB,3,0)," ")</f>
        <v>Учқўрғон тумани</v>
      </c>
      <c r="E2612" s="7" t="s">
        <v>3744</v>
      </c>
      <c r="F2612" s="7" t="s">
        <v>10111</v>
      </c>
      <c r="G2612" s="134">
        <f t="shared" si="283"/>
        <v>1</v>
      </c>
      <c r="H2612" s="134" t="str">
        <f t="shared" si="284"/>
        <v/>
      </c>
      <c r="I2612" s="7" t="s">
        <v>156</v>
      </c>
      <c r="J2612" s="7" t="s">
        <v>11</v>
      </c>
      <c r="K2612" s="7"/>
      <c r="L2612" s="7"/>
      <c r="M2612" s="7"/>
      <c r="N2612" s="7" t="s">
        <v>170</v>
      </c>
      <c r="O2612" s="7" t="s">
        <v>162</v>
      </c>
      <c r="P2612" s="7" t="s">
        <v>7411</v>
      </c>
      <c r="Q2612" s="129">
        <v>46199</v>
      </c>
      <c r="R2612" s="130">
        <f t="shared" si="282"/>
        <v>46209</v>
      </c>
      <c r="S2612" s="131">
        <f t="shared" si="281"/>
        <v>10</v>
      </c>
      <c r="T2612" s="7" t="s">
        <v>175</v>
      </c>
      <c r="U2612" s="7"/>
      <c r="V2612" s="7"/>
      <c r="W2612" s="7"/>
      <c r="X2612" s="132">
        <f t="shared" si="279"/>
        <v>10</v>
      </c>
      <c r="Y2612" s="133"/>
      <c r="Z2612" s="133"/>
      <c r="AA2612" s="133"/>
    </row>
    <row r="2613" spans="1:27" hidden="1" x14ac:dyDescent="0.25">
      <c r="A2613" s="133"/>
      <c r="B2613" s="128" t="str">
        <f t="shared" si="280"/>
        <v>UCQT</v>
      </c>
      <c r="C2613" s="128" t="e">
        <f>+VLOOKUP(U2613,Ходим!A:B,2,0)</f>
        <v>#N/A</v>
      </c>
      <c r="D2613" s="128" t="str">
        <f>IFERROR(VLOOKUP($B:$B,[20]свод!$A:$AB,3,0)," ")</f>
        <v>Учқўрғон тумани</v>
      </c>
      <c r="E2613" s="7" t="s">
        <v>3745</v>
      </c>
      <c r="F2613" s="7" t="s">
        <v>10112</v>
      </c>
      <c r="G2613" s="134">
        <f t="shared" si="283"/>
        <v>1</v>
      </c>
      <c r="H2613" s="134" t="str">
        <f t="shared" si="284"/>
        <v/>
      </c>
      <c r="I2613" s="7" t="s">
        <v>156</v>
      </c>
      <c r="J2613" s="7" t="s">
        <v>11</v>
      </c>
      <c r="K2613" s="7"/>
      <c r="L2613" s="7"/>
      <c r="M2613" s="7"/>
      <c r="N2613" s="7" t="s">
        <v>170</v>
      </c>
      <c r="O2613" s="7" t="s">
        <v>162</v>
      </c>
      <c r="P2613" s="7" t="s">
        <v>7412</v>
      </c>
      <c r="Q2613" s="129">
        <v>46199</v>
      </c>
      <c r="R2613" s="130">
        <f t="shared" si="282"/>
        <v>46209</v>
      </c>
      <c r="S2613" s="131">
        <f t="shared" si="281"/>
        <v>10</v>
      </c>
      <c r="T2613" s="7" t="s">
        <v>175</v>
      </c>
      <c r="U2613" s="7"/>
      <c r="V2613" s="7"/>
      <c r="W2613" s="7"/>
      <c r="X2613" s="132">
        <f t="shared" si="279"/>
        <v>10</v>
      </c>
      <c r="Y2613" s="133"/>
      <c r="Z2613" s="133"/>
      <c r="AA2613" s="133"/>
    </row>
    <row r="2614" spans="1:27" hidden="1" x14ac:dyDescent="0.25">
      <c r="A2614" s="133"/>
      <c r="B2614" s="128" t="str">
        <f t="shared" si="280"/>
        <v>NAMS</v>
      </c>
      <c r="C2614" s="128" t="str">
        <f>+VLOOKUP(U2614,Ходим!A:B,2,0)</f>
        <v>30108932170088</v>
      </c>
      <c r="D2614" s="128" t="str">
        <f>IFERROR(VLOOKUP($B:$B,[20]свод!$A:$AB,3,0)," ")</f>
        <v>Наманган шаҳар</v>
      </c>
      <c r="E2614" s="7" t="s">
        <v>3746</v>
      </c>
      <c r="F2614" s="7" t="s">
        <v>10113</v>
      </c>
      <c r="G2614" s="134">
        <f t="shared" si="283"/>
        <v>1</v>
      </c>
      <c r="H2614" s="134" t="str">
        <f t="shared" si="284"/>
        <v/>
      </c>
      <c r="I2614" s="7" t="s">
        <v>156</v>
      </c>
      <c r="J2614" s="7" t="s">
        <v>25</v>
      </c>
      <c r="K2614" s="7"/>
      <c r="L2614" s="7"/>
      <c r="M2614" s="7"/>
      <c r="N2614" s="7" t="s">
        <v>170</v>
      </c>
      <c r="O2614" s="7" t="s">
        <v>162</v>
      </c>
      <c r="P2614" s="7" t="s">
        <v>7412</v>
      </c>
      <c r="Q2614" s="129">
        <v>46199</v>
      </c>
      <c r="R2614" s="130">
        <f t="shared" si="282"/>
        <v>46209</v>
      </c>
      <c r="S2614" s="131">
        <f t="shared" si="281"/>
        <v>10</v>
      </c>
      <c r="T2614" s="7" t="s">
        <v>173</v>
      </c>
      <c r="U2614" s="7" t="s">
        <v>329</v>
      </c>
      <c r="V2614" s="7"/>
      <c r="W2614" s="7"/>
      <c r="X2614" s="132">
        <f t="shared" si="279"/>
        <v>10</v>
      </c>
      <c r="Y2614" s="133"/>
      <c r="Z2614" s="133"/>
      <c r="AA2614" s="133"/>
    </row>
    <row r="2615" spans="1:27" hidden="1" x14ac:dyDescent="0.25">
      <c r="A2615" s="133"/>
      <c r="B2615" s="128" t="str">
        <f t="shared" si="280"/>
        <v>YGQT</v>
      </c>
      <c r="C2615" s="128" t="str">
        <f>+VLOOKUP(U2615,Ходим!A:B,2,0)</f>
        <v>52802005950028</v>
      </c>
      <c r="D2615" s="128" t="str">
        <f>IFERROR(VLOOKUP($B:$B,[20]свод!$A:$AB,3,0)," ")</f>
        <v>Янгиқўрғон тумани</v>
      </c>
      <c r="E2615" s="7" t="s">
        <v>3747</v>
      </c>
      <c r="F2615" s="7" t="s">
        <v>10114</v>
      </c>
      <c r="G2615" s="134">
        <f t="shared" si="283"/>
        <v>1</v>
      </c>
      <c r="H2615" s="134" t="str">
        <f t="shared" si="284"/>
        <v/>
      </c>
      <c r="I2615" s="7" t="s">
        <v>158</v>
      </c>
      <c r="J2615" s="7" t="s">
        <v>2</v>
      </c>
      <c r="K2615" s="7"/>
      <c r="L2615" s="7"/>
      <c r="M2615" s="7"/>
      <c r="N2615" s="7" t="s">
        <v>410</v>
      </c>
      <c r="O2615" s="7" t="s">
        <v>162</v>
      </c>
      <c r="P2615" s="7" t="s">
        <v>7413</v>
      </c>
      <c r="Q2615" s="129">
        <v>46199</v>
      </c>
      <c r="R2615" s="130">
        <f t="shared" si="282"/>
        <v>46206</v>
      </c>
      <c r="S2615" s="131">
        <f t="shared" si="281"/>
        <v>7</v>
      </c>
      <c r="T2615" s="7" t="s">
        <v>255</v>
      </c>
      <c r="U2615" s="7" t="s">
        <v>281</v>
      </c>
      <c r="V2615" s="7"/>
      <c r="W2615" s="7"/>
      <c r="X2615" s="132">
        <f t="shared" si="279"/>
        <v>10</v>
      </c>
      <c r="Y2615" s="133"/>
      <c r="Z2615" s="133"/>
      <c r="AA2615" s="133"/>
    </row>
    <row r="2616" spans="1:27" x14ac:dyDescent="0.25">
      <c r="A2616" s="133"/>
      <c r="B2616" s="128" t="str">
        <f t="shared" si="280"/>
        <v>POPT</v>
      </c>
      <c r="C2616" s="128" t="str">
        <f>+VLOOKUP(U2616,Ходим!A:B,2,0)</f>
        <v>32209966000029</v>
      </c>
      <c r="D2616" s="128" t="str">
        <f>IFERROR(VLOOKUP($B:$B,[20]свод!$A:$AB,3,0)," ")</f>
        <v>Поп тумани</v>
      </c>
      <c r="E2616" s="7" t="s">
        <v>3748</v>
      </c>
      <c r="F2616" s="7" t="s">
        <v>10115</v>
      </c>
      <c r="G2616" s="134">
        <f t="shared" si="283"/>
        <v>1</v>
      </c>
      <c r="H2616" s="134" t="str">
        <f t="shared" si="284"/>
        <v/>
      </c>
      <c r="I2616" s="7" t="s">
        <v>158</v>
      </c>
      <c r="J2616" s="7" t="s">
        <v>16</v>
      </c>
      <c r="K2616" s="7"/>
      <c r="L2616" s="7" t="s">
        <v>169</v>
      </c>
      <c r="M2616" s="7" t="s">
        <v>5936</v>
      </c>
      <c r="N2616" s="7" t="s">
        <v>170</v>
      </c>
      <c r="O2616" s="7" t="s">
        <v>162</v>
      </c>
      <c r="P2616" s="7" t="s">
        <v>7393</v>
      </c>
      <c r="Q2616" s="129">
        <v>46199</v>
      </c>
      <c r="R2616" s="130">
        <f t="shared" si="282"/>
        <v>46199</v>
      </c>
      <c r="S2616" s="131">
        <f t="shared" si="281"/>
        <v>0</v>
      </c>
      <c r="T2616" s="7" t="s">
        <v>214</v>
      </c>
      <c r="U2616" s="7" t="s">
        <v>282</v>
      </c>
      <c r="V2616" s="7"/>
      <c r="W2616" s="7">
        <v>0</v>
      </c>
      <c r="X2616" s="132">
        <f t="shared" ref="X2616:X2679" si="285">IF(N2616="Kadastr muhandisi",3,
IF(N2616="UZKAD",5,
IF(V2616="FREE",5,
IF(I2616="Registratsiya (tashqi - UZKAD da bor)",1,
IF(I2616="Avtoyo'l va suv xo'jaligi obyektining kadastr pasportini shakllantirish va ro'yxatga olish",7,
IF(I2616="Notarius uchun ma'lumotnoma (uz)",1,
IF(I2616="Qurilishi tugallangan ko'chmas mulkni foydalanishga qabul qilish",10,
IF(OR(I2616="Turar joy obyektning kadastr pasportini shakllantirish va davlat ro'yxatidan o'tkazish",I2616="Turar kompozit"),
IF(L2616="Turar yer maydoni",7,10),
IF(OR(I2616="Noturar obyektning kadastr pasportini shakllantirish va davlat ro'yxatidan o'tkazish",I2616="Noturar kompozit"),
IF(O2616="Ko‘p yillik daraxtlar xizmati",15,
IF(OR(L2616="Noturar yer maydoni",L2616="Davlat tashkilotlaridan ijaraga olingan yer uchastkasi"),7,
IF(W2616&lt;100,10,IF(W2616&lt;=1000,12,IF(W2616&lt;=5000,17,IF(W2616&lt;=15000,22,IF(W2616&lt;=50000,28,37))))))),
IF(I2616="Umumiy foydalanishdagi ko'chmas mulk qismini yaratish",
IF(IF(TRIM(L2616)="",IF(OR(O2616="Turar joy xizmati",O2616="Yakka tartibdagi turar joy"),"Turar","Noturar"),IF(OR(L2616="Yakka tartibdagi turar joy",L2616="Turar joy xizmati"),"Turar","Noturar"))="Turar",
10,IF(W2616&lt;100,10,IF(W2616&lt;=1000,12,IF(W2616&lt;=5000,17,IF(W2616&lt;=15000,22,IF(W2616&lt;=50000,28,37)))))),
0))))))))))</f>
        <v>7</v>
      </c>
      <c r="Y2616" s="133"/>
      <c r="Z2616" s="133"/>
      <c r="AA2616" s="133"/>
    </row>
    <row r="2617" spans="1:27" hidden="1" x14ac:dyDescent="0.25">
      <c r="A2617" s="133"/>
      <c r="B2617" s="128" t="str">
        <f t="shared" ref="B2617:B2680" si="286">LEFT(E2617,4)</f>
        <v>NAMS</v>
      </c>
      <c r="C2617" s="128" t="str">
        <f>+VLOOKUP(U2617,Ходим!A:B,2,0)</f>
        <v>51705025890024</v>
      </c>
      <c r="D2617" s="128" t="str">
        <f>IFERROR(VLOOKUP($B:$B,[20]свод!$A:$AB,3,0)," ")</f>
        <v>Наманган шаҳар</v>
      </c>
      <c r="E2617" s="7" t="s">
        <v>3749</v>
      </c>
      <c r="F2617" s="7" t="s">
        <v>10116</v>
      </c>
      <c r="G2617" s="134">
        <f t="shared" si="283"/>
        <v>1</v>
      </c>
      <c r="H2617" s="134" t="str">
        <f t="shared" si="284"/>
        <v/>
      </c>
      <c r="I2617" s="7" t="s">
        <v>158</v>
      </c>
      <c r="J2617" s="7" t="s">
        <v>2</v>
      </c>
      <c r="K2617" s="7"/>
      <c r="L2617" s="7"/>
      <c r="M2617" s="7"/>
      <c r="N2617" s="7" t="s">
        <v>170</v>
      </c>
      <c r="O2617" s="7" t="s">
        <v>162</v>
      </c>
      <c r="P2617" s="7" t="s">
        <v>7414</v>
      </c>
      <c r="Q2617" s="129">
        <v>46199</v>
      </c>
      <c r="R2617" s="130">
        <f t="shared" si="282"/>
        <v>46204</v>
      </c>
      <c r="S2617" s="131">
        <f t="shared" ref="S2617:S2680" si="287">R2617-Q2617</f>
        <v>5</v>
      </c>
      <c r="T2617" s="7" t="s">
        <v>173</v>
      </c>
      <c r="U2617" s="7" t="s">
        <v>189</v>
      </c>
      <c r="V2617" s="7"/>
      <c r="W2617" s="7"/>
      <c r="X2617" s="132">
        <f t="shared" si="285"/>
        <v>10</v>
      </c>
      <c r="Y2617" s="133"/>
      <c r="Z2617" s="133"/>
      <c r="AA2617" s="133"/>
    </row>
    <row r="2618" spans="1:27" hidden="1" x14ac:dyDescent="0.25">
      <c r="A2618" s="133"/>
      <c r="B2618" s="128" t="str">
        <f t="shared" si="286"/>
        <v>UYCT</v>
      </c>
      <c r="C2618" s="128" t="str">
        <f>+VLOOKUP(U2618,Ходим!A:B,2,0)</f>
        <v>51501005930032</v>
      </c>
      <c r="D2618" s="128" t="str">
        <f>IFERROR(VLOOKUP($B:$B,[20]свод!$A:$AB,3,0)," ")</f>
        <v>Уйчи тумани</v>
      </c>
      <c r="E2618" s="7" t="s">
        <v>3750</v>
      </c>
      <c r="F2618" s="7" t="s">
        <v>10117</v>
      </c>
      <c r="G2618" s="134">
        <f t="shared" si="283"/>
        <v>1</v>
      </c>
      <c r="H2618" s="134" t="str">
        <f t="shared" si="284"/>
        <v/>
      </c>
      <c r="I2618" s="7" t="s">
        <v>158</v>
      </c>
      <c r="J2618" s="7" t="s">
        <v>2</v>
      </c>
      <c r="K2618" s="7"/>
      <c r="L2618" s="7" t="s">
        <v>167</v>
      </c>
      <c r="M2618" s="7" t="s">
        <v>5937</v>
      </c>
      <c r="N2618" s="7" t="s">
        <v>170</v>
      </c>
      <c r="O2618" s="7" t="s">
        <v>162</v>
      </c>
      <c r="P2618" s="7" t="s">
        <v>7415</v>
      </c>
      <c r="Q2618" s="129">
        <v>46199</v>
      </c>
      <c r="R2618" s="130">
        <f t="shared" si="282"/>
        <v>46209</v>
      </c>
      <c r="S2618" s="131">
        <f t="shared" si="287"/>
        <v>10</v>
      </c>
      <c r="T2618" s="7" t="s">
        <v>947</v>
      </c>
      <c r="U2618" s="7" t="s">
        <v>326</v>
      </c>
      <c r="V2618" s="7"/>
      <c r="W2618" s="7">
        <v>0</v>
      </c>
      <c r="X2618" s="132">
        <f t="shared" si="285"/>
        <v>10</v>
      </c>
      <c r="Y2618" s="133"/>
      <c r="Z2618" s="133"/>
      <c r="AA2618" s="133"/>
    </row>
    <row r="2619" spans="1:27" hidden="1" x14ac:dyDescent="0.25">
      <c r="A2619" s="133"/>
      <c r="B2619" s="128" t="str">
        <f t="shared" si="286"/>
        <v>NAMT</v>
      </c>
      <c r="C2619" s="128">
        <f>+VLOOKUP(U2619,Ходим!A:B,2,0)</f>
        <v>52908045880018</v>
      </c>
      <c r="D2619" s="128" t="str">
        <f>IFERROR(VLOOKUP($B:$B,[20]свод!$A:$AB,3,0)," ")</f>
        <v>Наманган тумани</v>
      </c>
      <c r="E2619" s="7" t="s">
        <v>3751</v>
      </c>
      <c r="F2619" s="7" t="s">
        <v>10118</v>
      </c>
      <c r="G2619" s="134">
        <f t="shared" si="283"/>
        <v>1</v>
      </c>
      <c r="H2619" s="134" t="str">
        <f t="shared" si="284"/>
        <v/>
      </c>
      <c r="I2619" s="7" t="s">
        <v>158</v>
      </c>
      <c r="J2619" s="7" t="s">
        <v>13</v>
      </c>
      <c r="K2619" s="7"/>
      <c r="L2619" s="7" t="s">
        <v>167</v>
      </c>
      <c r="M2619" s="7" t="s">
        <v>5938</v>
      </c>
      <c r="N2619" s="7" t="s">
        <v>170</v>
      </c>
      <c r="O2619" s="7" t="s">
        <v>162</v>
      </c>
      <c r="P2619" s="7" t="s">
        <v>7415</v>
      </c>
      <c r="Q2619" s="129">
        <v>46199</v>
      </c>
      <c r="R2619" s="130">
        <f t="shared" si="282"/>
        <v>46209</v>
      </c>
      <c r="S2619" s="131">
        <f t="shared" si="287"/>
        <v>10</v>
      </c>
      <c r="T2619" s="7" t="s">
        <v>193</v>
      </c>
      <c r="U2619" s="7" t="s">
        <v>982</v>
      </c>
      <c r="V2619" s="7"/>
      <c r="W2619" s="7">
        <v>265.41000000000003</v>
      </c>
      <c r="X2619" s="132">
        <f t="shared" si="285"/>
        <v>10</v>
      </c>
      <c r="Y2619" s="133"/>
      <c r="Z2619" s="133"/>
      <c r="AA2619" s="133"/>
    </row>
    <row r="2620" spans="1:27" x14ac:dyDescent="0.25">
      <c r="A2620" s="133"/>
      <c r="B2620" s="128" t="str">
        <f t="shared" si="286"/>
        <v>UYCT</v>
      </c>
      <c r="C2620" s="128" t="str">
        <f>+VLOOKUP(U2620,Ходим!A:B,2,0)</f>
        <v>31004952140036</v>
      </c>
      <c r="D2620" s="128" t="str">
        <f>IFERROR(VLOOKUP($B:$B,[20]свод!$A:$AB,3,0)," ")</f>
        <v>Уйчи тумани</v>
      </c>
      <c r="E2620" s="7" t="s">
        <v>3752</v>
      </c>
      <c r="F2620" s="7" t="s">
        <v>10119</v>
      </c>
      <c r="G2620" s="134" t="str">
        <f t="shared" si="283"/>
        <v/>
      </c>
      <c r="H2620" s="134">
        <f t="shared" si="284"/>
        <v>1</v>
      </c>
      <c r="I2620" s="7" t="s">
        <v>157</v>
      </c>
      <c r="J2620" s="7" t="s">
        <v>51</v>
      </c>
      <c r="K2620" s="7"/>
      <c r="L2620" s="7" t="s">
        <v>168</v>
      </c>
      <c r="M2620" s="7" t="s">
        <v>5939</v>
      </c>
      <c r="N2620" s="7" t="s">
        <v>170</v>
      </c>
      <c r="O2620" s="7" t="s">
        <v>161</v>
      </c>
      <c r="P2620" s="7" t="s">
        <v>7416</v>
      </c>
      <c r="Q2620" s="129">
        <v>46199</v>
      </c>
      <c r="R2620" s="130">
        <f t="shared" si="282"/>
        <v>46195</v>
      </c>
      <c r="S2620" s="131">
        <f t="shared" si="287"/>
        <v>-4</v>
      </c>
      <c r="T2620" s="7" t="s">
        <v>947</v>
      </c>
      <c r="U2620" s="7" t="s">
        <v>331</v>
      </c>
      <c r="V2620" s="7" t="s">
        <v>359</v>
      </c>
      <c r="W2620" s="7">
        <v>0</v>
      </c>
      <c r="X2620" s="132">
        <f t="shared" si="285"/>
        <v>7</v>
      </c>
      <c r="Y2620" s="133"/>
      <c r="Z2620" s="133"/>
      <c r="AA2620" s="133"/>
    </row>
    <row r="2621" spans="1:27" hidden="1" x14ac:dyDescent="0.25">
      <c r="A2621" s="133"/>
      <c r="B2621" s="128" t="str">
        <f t="shared" si="286"/>
        <v>NAMT</v>
      </c>
      <c r="C2621" s="128" t="str">
        <f>+VLOOKUP(U2621,Ходим!A:B,2,0)</f>
        <v>32204892090133</v>
      </c>
      <c r="D2621" s="128" t="str">
        <f>IFERROR(VLOOKUP($B:$B,[20]свод!$A:$AB,3,0)," ")</f>
        <v>Наманган тумани</v>
      </c>
      <c r="E2621" s="7" t="s">
        <v>3753</v>
      </c>
      <c r="F2621" s="7" t="s">
        <v>10120</v>
      </c>
      <c r="G2621" s="134">
        <f t="shared" si="283"/>
        <v>1</v>
      </c>
      <c r="H2621" s="134" t="str">
        <f t="shared" si="284"/>
        <v/>
      </c>
      <c r="I2621" s="7" t="s">
        <v>154</v>
      </c>
      <c r="J2621" s="7" t="s">
        <v>2</v>
      </c>
      <c r="K2621" s="7"/>
      <c r="L2621" s="7"/>
      <c r="M2621" s="7"/>
      <c r="N2621" s="7" t="s">
        <v>410</v>
      </c>
      <c r="O2621" s="7" t="s">
        <v>162</v>
      </c>
      <c r="P2621" s="7" t="s">
        <v>7417</v>
      </c>
      <c r="Q2621" s="129">
        <v>46199</v>
      </c>
      <c r="R2621" s="130">
        <f t="shared" si="282"/>
        <v>46209</v>
      </c>
      <c r="S2621" s="131">
        <f t="shared" si="287"/>
        <v>10</v>
      </c>
      <c r="T2621" s="7" t="s">
        <v>197</v>
      </c>
      <c r="U2621" s="7" t="s">
        <v>198</v>
      </c>
      <c r="V2621" s="7"/>
      <c r="W2621" s="7"/>
      <c r="X2621" s="132">
        <f t="shared" si="285"/>
        <v>10</v>
      </c>
      <c r="Y2621" s="133"/>
      <c r="Z2621" s="133"/>
      <c r="AA2621" s="133"/>
    </row>
    <row r="2622" spans="1:27" hidden="1" x14ac:dyDescent="0.25">
      <c r="A2622" s="133"/>
      <c r="B2622" s="128" t="str">
        <f t="shared" si="286"/>
        <v>MINT</v>
      </c>
      <c r="C2622" s="128" t="str">
        <f>+VLOOKUP(U2622,Ходим!A:B,2,0)</f>
        <v>51604025990014</v>
      </c>
      <c r="D2622" s="128" t="str">
        <f>IFERROR(VLOOKUP($B:$B,[20]свод!$A:$AB,3,0)," ")</f>
        <v>Мингбулоқ тумани</v>
      </c>
      <c r="E2622" s="7" t="s">
        <v>3754</v>
      </c>
      <c r="F2622" s="7" t="s">
        <v>10121</v>
      </c>
      <c r="G2622" s="134" t="str">
        <f t="shared" si="283"/>
        <v/>
      </c>
      <c r="H2622" s="134">
        <f t="shared" si="284"/>
        <v>1</v>
      </c>
      <c r="I2622" s="7" t="s">
        <v>157</v>
      </c>
      <c r="J2622" s="7" t="s">
        <v>12</v>
      </c>
      <c r="K2622" s="7"/>
      <c r="L2622" s="7" t="s">
        <v>168</v>
      </c>
      <c r="M2622" s="7" t="s">
        <v>5940</v>
      </c>
      <c r="N2622" s="7" t="s">
        <v>170</v>
      </c>
      <c r="O2622" s="7" t="s">
        <v>161</v>
      </c>
      <c r="P2622" s="7" t="s">
        <v>7346</v>
      </c>
      <c r="Q2622" s="129">
        <v>46199</v>
      </c>
      <c r="R2622" s="130">
        <f t="shared" si="282"/>
        <v>46204</v>
      </c>
      <c r="S2622" s="131">
        <f t="shared" si="287"/>
        <v>5</v>
      </c>
      <c r="T2622" s="7" t="s">
        <v>220</v>
      </c>
      <c r="U2622" s="7" t="s">
        <v>252</v>
      </c>
      <c r="V2622" s="7"/>
      <c r="W2622" s="7">
        <v>0</v>
      </c>
      <c r="X2622" s="132">
        <f t="shared" si="285"/>
        <v>7</v>
      </c>
      <c r="Y2622" s="133"/>
      <c r="Z2622" s="133"/>
      <c r="AA2622" s="133"/>
    </row>
    <row r="2623" spans="1:27" hidden="1" x14ac:dyDescent="0.25">
      <c r="A2623" s="133"/>
      <c r="B2623" s="128" t="str">
        <f t="shared" si="286"/>
        <v>KSST</v>
      </c>
      <c r="C2623" s="128" t="str">
        <f>+VLOOKUP(U2623,Ходим!A:B,2,0)</f>
        <v>52812015980061</v>
      </c>
      <c r="D2623" s="128" t="str">
        <f>IFERROR(VLOOKUP($B:$B,[20]свод!$A:$AB,3,0)," ")</f>
        <v>Косонсой тумани</v>
      </c>
      <c r="E2623" s="7" t="s">
        <v>3755</v>
      </c>
      <c r="F2623" s="7" t="s">
        <v>10122</v>
      </c>
      <c r="G2623" s="134" t="str">
        <f t="shared" si="283"/>
        <v/>
      </c>
      <c r="H2623" s="134">
        <f t="shared" si="284"/>
        <v>1</v>
      </c>
      <c r="I2623" s="7" t="s">
        <v>154</v>
      </c>
      <c r="J2623" s="7" t="s">
        <v>2</v>
      </c>
      <c r="K2623" s="7"/>
      <c r="L2623" s="7" t="s">
        <v>166</v>
      </c>
      <c r="M2623" s="7" t="s">
        <v>5941</v>
      </c>
      <c r="N2623" s="7" t="s">
        <v>170</v>
      </c>
      <c r="O2623" s="7" t="s">
        <v>161</v>
      </c>
      <c r="P2623" s="7" t="s">
        <v>6562</v>
      </c>
      <c r="Q2623" s="129">
        <v>46199</v>
      </c>
      <c r="R2623" s="130">
        <f t="shared" si="282"/>
        <v>46205</v>
      </c>
      <c r="S2623" s="131">
        <f t="shared" si="287"/>
        <v>6</v>
      </c>
      <c r="T2623" s="7" t="s">
        <v>180</v>
      </c>
      <c r="U2623" s="7" t="s">
        <v>307</v>
      </c>
      <c r="V2623" s="7"/>
      <c r="W2623" s="7">
        <v>0</v>
      </c>
      <c r="X2623" s="132">
        <f t="shared" si="285"/>
        <v>10</v>
      </c>
      <c r="Y2623" s="133"/>
      <c r="Z2623" s="133"/>
      <c r="AA2623" s="133"/>
    </row>
    <row r="2624" spans="1:27" hidden="1" x14ac:dyDescent="0.25">
      <c r="A2624" s="133"/>
      <c r="B2624" s="128" t="str">
        <f t="shared" si="286"/>
        <v>KSST</v>
      </c>
      <c r="C2624" s="128" t="str">
        <f>+VLOOKUP(U2624,Ходим!A:B,2,0)</f>
        <v>31611995980026</v>
      </c>
      <c r="D2624" s="128" t="str">
        <f>IFERROR(VLOOKUP($B:$B,[20]свод!$A:$AB,3,0)," ")</f>
        <v>Косонсой тумани</v>
      </c>
      <c r="E2624" s="7" t="s">
        <v>3756</v>
      </c>
      <c r="F2624" s="7" t="s">
        <v>10123</v>
      </c>
      <c r="G2624" s="134">
        <f t="shared" si="283"/>
        <v>1</v>
      </c>
      <c r="H2624" s="134" t="str">
        <f t="shared" si="284"/>
        <v/>
      </c>
      <c r="I2624" s="7" t="s">
        <v>158</v>
      </c>
      <c r="J2624" s="7" t="s">
        <v>2</v>
      </c>
      <c r="K2624" s="7"/>
      <c r="L2624" s="7" t="s">
        <v>167</v>
      </c>
      <c r="M2624" s="7" t="s">
        <v>5942</v>
      </c>
      <c r="N2624" s="7" t="s">
        <v>170</v>
      </c>
      <c r="O2624" s="7" t="s">
        <v>162</v>
      </c>
      <c r="P2624" s="7" t="s">
        <v>7418</v>
      </c>
      <c r="Q2624" s="129">
        <v>46199</v>
      </c>
      <c r="R2624" s="130">
        <f t="shared" si="282"/>
        <v>46209</v>
      </c>
      <c r="S2624" s="131">
        <f t="shared" si="287"/>
        <v>10</v>
      </c>
      <c r="T2624" s="7" t="s">
        <v>180</v>
      </c>
      <c r="U2624" s="7" t="s">
        <v>181</v>
      </c>
      <c r="V2624" s="7"/>
      <c r="W2624" s="7">
        <v>98.78</v>
      </c>
      <c r="X2624" s="132">
        <f t="shared" si="285"/>
        <v>10</v>
      </c>
      <c r="Y2624" s="133"/>
      <c r="Z2624" s="133"/>
      <c r="AA2624" s="133"/>
    </row>
    <row r="2625" spans="1:27" hidden="1" x14ac:dyDescent="0.25">
      <c r="A2625" s="133"/>
      <c r="B2625" s="128" t="str">
        <f t="shared" si="286"/>
        <v>UCQT</v>
      </c>
      <c r="C2625" s="128" t="str">
        <f>+VLOOKUP(U2625,Ходим!A:B,2,0)</f>
        <v>32911835940021</v>
      </c>
      <c r="D2625" s="128" t="str">
        <f>IFERROR(VLOOKUP($B:$B,[20]свод!$A:$AB,3,0)," ")</f>
        <v>Учқўрғон тумани</v>
      </c>
      <c r="E2625" s="7" t="s">
        <v>3757</v>
      </c>
      <c r="F2625" s="7" t="s">
        <v>10124</v>
      </c>
      <c r="G2625" s="134">
        <f t="shared" si="283"/>
        <v>1</v>
      </c>
      <c r="H2625" s="134" t="str">
        <f t="shared" si="284"/>
        <v/>
      </c>
      <c r="I2625" s="7" t="s">
        <v>158</v>
      </c>
      <c r="J2625" s="7" t="s">
        <v>2</v>
      </c>
      <c r="K2625" s="7"/>
      <c r="L2625" s="7"/>
      <c r="M2625" s="7"/>
      <c r="N2625" s="7" t="s">
        <v>410</v>
      </c>
      <c r="O2625" s="7" t="s">
        <v>162</v>
      </c>
      <c r="P2625" s="7" t="s">
        <v>7418</v>
      </c>
      <c r="Q2625" s="129">
        <v>46199</v>
      </c>
      <c r="R2625" s="130">
        <f t="shared" si="282"/>
        <v>46209</v>
      </c>
      <c r="S2625" s="131">
        <f t="shared" si="287"/>
        <v>10</v>
      </c>
      <c r="T2625" s="7" t="s">
        <v>175</v>
      </c>
      <c r="U2625" s="7" t="s">
        <v>321</v>
      </c>
      <c r="V2625" s="7"/>
      <c r="W2625" s="7"/>
      <c r="X2625" s="132">
        <f t="shared" si="285"/>
        <v>10</v>
      </c>
      <c r="Y2625" s="133"/>
      <c r="Z2625" s="133"/>
      <c r="AA2625" s="133"/>
    </row>
    <row r="2626" spans="1:27" hidden="1" x14ac:dyDescent="0.25">
      <c r="A2626" s="133"/>
      <c r="B2626" s="128" t="str">
        <f t="shared" si="286"/>
        <v>POPT</v>
      </c>
      <c r="C2626" s="128" t="str">
        <f>+VLOOKUP(U2626,Ходим!A:B,2,0)</f>
        <v>33107902120019</v>
      </c>
      <c r="D2626" s="128" t="str">
        <f>IFERROR(VLOOKUP($B:$B,[20]свод!$A:$AB,3,0)," ")</f>
        <v>Поп тумани</v>
      </c>
      <c r="E2626" s="7" t="s">
        <v>3758</v>
      </c>
      <c r="F2626" s="7" t="s">
        <v>10125</v>
      </c>
      <c r="G2626" s="134">
        <f t="shared" si="283"/>
        <v>1</v>
      </c>
      <c r="H2626" s="134" t="str">
        <f t="shared" si="284"/>
        <v/>
      </c>
      <c r="I2626" s="7" t="s">
        <v>156</v>
      </c>
      <c r="J2626" s="7" t="s">
        <v>25</v>
      </c>
      <c r="K2626" s="7"/>
      <c r="L2626" s="7" t="s">
        <v>167</v>
      </c>
      <c r="M2626" s="7" t="s">
        <v>5943</v>
      </c>
      <c r="N2626" s="7" t="s">
        <v>170</v>
      </c>
      <c r="O2626" s="7" t="s">
        <v>162</v>
      </c>
      <c r="P2626" s="7" t="s">
        <v>7418</v>
      </c>
      <c r="Q2626" s="129">
        <v>46199</v>
      </c>
      <c r="R2626" s="130">
        <f t="shared" si="282"/>
        <v>46209</v>
      </c>
      <c r="S2626" s="131">
        <f t="shared" si="287"/>
        <v>10</v>
      </c>
      <c r="T2626" s="7" t="s">
        <v>214</v>
      </c>
      <c r="U2626" s="7" t="s">
        <v>224</v>
      </c>
      <c r="V2626" s="7"/>
      <c r="W2626" s="7">
        <v>0</v>
      </c>
      <c r="X2626" s="132">
        <f t="shared" si="285"/>
        <v>10</v>
      </c>
      <c r="Y2626" s="133"/>
      <c r="Z2626" s="133"/>
      <c r="AA2626" s="133"/>
    </row>
    <row r="2627" spans="1:27" hidden="1" x14ac:dyDescent="0.25">
      <c r="A2627" s="133"/>
      <c r="B2627" s="128" t="str">
        <f t="shared" si="286"/>
        <v>UYCT</v>
      </c>
      <c r="C2627" s="128" t="str">
        <f>+VLOOKUP(U2627,Ходим!A:B,2,0)</f>
        <v>31703985930055</v>
      </c>
      <c r="D2627" s="128" t="str">
        <f>IFERROR(VLOOKUP($B:$B,[20]свод!$A:$AB,3,0)," ")</f>
        <v>Уйчи тумани</v>
      </c>
      <c r="E2627" s="7" t="s">
        <v>3759</v>
      </c>
      <c r="F2627" s="7" t="s">
        <v>10126</v>
      </c>
      <c r="G2627" s="134">
        <f t="shared" si="283"/>
        <v>1</v>
      </c>
      <c r="H2627" s="134" t="str">
        <f t="shared" si="284"/>
        <v/>
      </c>
      <c r="I2627" s="7" t="s">
        <v>158</v>
      </c>
      <c r="J2627" s="7" t="s">
        <v>2</v>
      </c>
      <c r="K2627" s="7"/>
      <c r="L2627" s="7" t="s">
        <v>167</v>
      </c>
      <c r="M2627" s="7" t="s">
        <v>5944</v>
      </c>
      <c r="N2627" s="7" t="s">
        <v>170</v>
      </c>
      <c r="O2627" s="7" t="s">
        <v>162</v>
      </c>
      <c r="P2627" s="7" t="s">
        <v>7418</v>
      </c>
      <c r="Q2627" s="129">
        <v>46199</v>
      </c>
      <c r="R2627" s="130">
        <f t="shared" si="282"/>
        <v>46209</v>
      </c>
      <c r="S2627" s="131">
        <f t="shared" si="287"/>
        <v>10</v>
      </c>
      <c r="T2627" s="7" t="s">
        <v>947</v>
      </c>
      <c r="U2627" s="7" t="s">
        <v>276</v>
      </c>
      <c r="V2627" s="7"/>
      <c r="W2627" s="7">
        <v>83.2</v>
      </c>
      <c r="X2627" s="132">
        <f t="shared" si="285"/>
        <v>10</v>
      </c>
      <c r="Y2627" s="133"/>
      <c r="Z2627" s="133"/>
      <c r="AA2627" s="133"/>
    </row>
    <row r="2628" spans="1:27" hidden="1" x14ac:dyDescent="0.25">
      <c r="A2628" s="133"/>
      <c r="B2628" s="128" t="str">
        <f t="shared" si="286"/>
        <v>NAMS</v>
      </c>
      <c r="C2628" s="128">
        <f>+VLOOKUP(U2628,Ходим!A:B,2,0)</f>
        <v>50510025960139</v>
      </c>
      <c r="D2628" s="128" t="str">
        <f>IFERROR(VLOOKUP($B:$B,[20]свод!$A:$AB,3,0)," ")</f>
        <v>Наманган шаҳар</v>
      </c>
      <c r="E2628" s="7" t="s">
        <v>3760</v>
      </c>
      <c r="F2628" s="7" t="s">
        <v>10127</v>
      </c>
      <c r="G2628" s="134">
        <f t="shared" si="283"/>
        <v>1</v>
      </c>
      <c r="H2628" s="134" t="str">
        <f t="shared" si="284"/>
        <v/>
      </c>
      <c r="I2628" s="7" t="s">
        <v>158</v>
      </c>
      <c r="J2628" s="7" t="s">
        <v>13</v>
      </c>
      <c r="K2628" s="7"/>
      <c r="L2628" s="7" t="s">
        <v>167</v>
      </c>
      <c r="M2628" s="7" t="s">
        <v>5945</v>
      </c>
      <c r="N2628" s="7" t="s">
        <v>170</v>
      </c>
      <c r="O2628" s="7" t="s">
        <v>162</v>
      </c>
      <c r="P2628" s="7" t="s">
        <v>7169</v>
      </c>
      <c r="Q2628" s="129">
        <v>46199</v>
      </c>
      <c r="R2628" s="130">
        <f t="shared" si="282"/>
        <v>46203</v>
      </c>
      <c r="S2628" s="131">
        <f t="shared" si="287"/>
        <v>4</v>
      </c>
      <c r="T2628" s="7" t="s">
        <v>173</v>
      </c>
      <c r="U2628" s="7" t="s">
        <v>955</v>
      </c>
      <c r="V2628" s="7"/>
      <c r="W2628" s="7">
        <v>206.4</v>
      </c>
      <c r="X2628" s="132">
        <f t="shared" si="285"/>
        <v>10</v>
      </c>
      <c r="Y2628" s="133"/>
      <c r="Z2628" s="133"/>
      <c r="AA2628" s="133"/>
    </row>
    <row r="2629" spans="1:27" hidden="1" x14ac:dyDescent="0.25">
      <c r="A2629" s="133"/>
      <c r="B2629" s="128" t="str">
        <f t="shared" si="286"/>
        <v>NAMS</v>
      </c>
      <c r="C2629" s="128">
        <f>+VLOOKUP(U2629,Ходим!A:B,2,0)</f>
        <v>52004005950071</v>
      </c>
      <c r="D2629" s="128" t="str">
        <f>IFERROR(VLOOKUP($B:$B,[20]свод!$A:$AB,3,0)," ")</f>
        <v>Наманган шаҳар</v>
      </c>
      <c r="E2629" s="7" t="s">
        <v>3761</v>
      </c>
      <c r="F2629" s="7" t="s">
        <v>10128</v>
      </c>
      <c r="G2629" s="134">
        <f t="shared" si="283"/>
        <v>1</v>
      </c>
      <c r="H2629" s="134" t="str">
        <f t="shared" si="284"/>
        <v/>
      </c>
      <c r="I2629" s="7" t="s">
        <v>158</v>
      </c>
      <c r="J2629" s="7" t="s">
        <v>2</v>
      </c>
      <c r="K2629" s="7"/>
      <c r="L2629" s="7" t="s">
        <v>167</v>
      </c>
      <c r="M2629" s="7" t="s">
        <v>5946</v>
      </c>
      <c r="N2629" s="7" t="s">
        <v>170</v>
      </c>
      <c r="O2629" s="7" t="s">
        <v>163</v>
      </c>
      <c r="P2629" s="7" t="s">
        <v>6485</v>
      </c>
      <c r="Q2629" s="129">
        <v>46199</v>
      </c>
      <c r="R2629" s="130">
        <f t="shared" si="282"/>
        <v>46205</v>
      </c>
      <c r="S2629" s="131">
        <f t="shared" si="287"/>
        <v>6</v>
      </c>
      <c r="T2629" s="7" t="s">
        <v>173</v>
      </c>
      <c r="U2629" s="7" t="s">
        <v>1015</v>
      </c>
      <c r="V2629" s="7"/>
      <c r="W2629" s="7">
        <v>195.79499999999999</v>
      </c>
      <c r="X2629" s="132">
        <f t="shared" si="285"/>
        <v>10</v>
      </c>
      <c r="Y2629" s="133"/>
      <c r="Z2629" s="133"/>
      <c r="AA2629" s="133"/>
    </row>
    <row r="2630" spans="1:27" hidden="1" x14ac:dyDescent="0.25">
      <c r="A2630" s="133"/>
      <c r="B2630" s="128" t="str">
        <f t="shared" si="286"/>
        <v>KSST</v>
      </c>
      <c r="C2630" s="128" t="str">
        <f>+VLOOKUP(U2630,Ходим!A:B,2,0)</f>
        <v>32503912190045</v>
      </c>
      <c r="D2630" s="128" t="str">
        <f>IFERROR(VLOOKUP($B:$B,[20]свод!$A:$AB,3,0)," ")</f>
        <v>Косонсой тумани</v>
      </c>
      <c r="E2630" s="7" t="s">
        <v>3762</v>
      </c>
      <c r="F2630" s="7" t="s">
        <v>10129</v>
      </c>
      <c r="G2630" s="134">
        <f t="shared" si="283"/>
        <v>1</v>
      </c>
      <c r="H2630" s="134" t="str">
        <f t="shared" si="284"/>
        <v/>
      </c>
      <c r="I2630" s="7" t="s">
        <v>158</v>
      </c>
      <c r="J2630" s="7" t="s">
        <v>1</v>
      </c>
      <c r="K2630" s="7"/>
      <c r="L2630" s="7" t="s">
        <v>167</v>
      </c>
      <c r="M2630" s="7" t="s">
        <v>5947</v>
      </c>
      <c r="N2630" s="7" t="s">
        <v>170</v>
      </c>
      <c r="O2630" s="7" t="s">
        <v>162</v>
      </c>
      <c r="P2630" s="7" t="s">
        <v>7419</v>
      </c>
      <c r="Q2630" s="129">
        <v>46199</v>
      </c>
      <c r="R2630" s="130">
        <f t="shared" si="282"/>
        <v>46209</v>
      </c>
      <c r="S2630" s="131">
        <f t="shared" si="287"/>
        <v>10</v>
      </c>
      <c r="T2630" s="7" t="s">
        <v>180</v>
      </c>
      <c r="U2630" s="7" t="s">
        <v>254</v>
      </c>
      <c r="V2630" s="7"/>
      <c r="W2630" s="7">
        <v>330.29</v>
      </c>
      <c r="X2630" s="132">
        <f t="shared" si="285"/>
        <v>10</v>
      </c>
      <c r="Y2630" s="133"/>
      <c r="Z2630" s="133"/>
      <c r="AA2630" s="133"/>
    </row>
    <row r="2631" spans="1:27" hidden="1" x14ac:dyDescent="0.25">
      <c r="A2631" s="133"/>
      <c r="B2631" s="128" t="str">
        <f t="shared" si="286"/>
        <v>UYCT</v>
      </c>
      <c r="C2631" s="128" t="str">
        <f>+VLOOKUP(U2631,Ходим!A:B,2,0)</f>
        <v>30510922140032</v>
      </c>
      <c r="D2631" s="128" t="str">
        <f>IFERROR(VLOOKUP($B:$B,[20]свод!$A:$AB,3,0)," ")</f>
        <v>Уйчи тумани</v>
      </c>
      <c r="E2631" s="7" t="s">
        <v>3763</v>
      </c>
      <c r="F2631" s="7" t="s">
        <v>10130</v>
      </c>
      <c r="G2631" s="134">
        <f t="shared" si="283"/>
        <v>1</v>
      </c>
      <c r="H2631" s="134" t="str">
        <f t="shared" si="284"/>
        <v/>
      </c>
      <c r="I2631" s="7" t="s">
        <v>158</v>
      </c>
      <c r="J2631" s="7" t="s">
        <v>2</v>
      </c>
      <c r="K2631" s="7"/>
      <c r="L2631" s="7" t="s">
        <v>167</v>
      </c>
      <c r="M2631" s="7" t="s">
        <v>5948</v>
      </c>
      <c r="N2631" s="7" t="s">
        <v>170</v>
      </c>
      <c r="O2631" s="7" t="s">
        <v>162</v>
      </c>
      <c r="P2631" s="7" t="s">
        <v>7419</v>
      </c>
      <c r="Q2631" s="129">
        <v>46199</v>
      </c>
      <c r="R2631" s="130">
        <f t="shared" si="282"/>
        <v>46209</v>
      </c>
      <c r="S2631" s="131">
        <f t="shared" si="287"/>
        <v>10</v>
      </c>
      <c r="T2631" s="7" t="s">
        <v>379</v>
      </c>
      <c r="U2631" s="7" t="s">
        <v>199</v>
      </c>
      <c r="V2631" s="7"/>
      <c r="W2631" s="7">
        <v>176.1</v>
      </c>
      <c r="X2631" s="132">
        <f t="shared" si="285"/>
        <v>10</v>
      </c>
      <c r="Y2631" s="133"/>
      <c r="Z2631" s="133"/>
      <c r="AA2631" s="133"/>
    </row>
    <row r="2632" spans="1:27" hidden="1" x14ac:dyDescent="0.25">
      <c r="A2632" s="133"/>
      <c r="B2632" s="128" t="str">
        <f t="shared" si="286"/>
        <v>KSST</v>
      </c>
      <c r="C2632" s="128" t="str">
        <f>+VLOOKUP(U2632,Ходим!A:B,2,0)</f>
        <v>32503912190045</v>
      </c>
      <c r="D2632" s="128" t="str">
        <f>IFERROR(VLOOKUP($B:$B,[20]свод!$A:$AB,3,0)," ")</f>
        <v>Косонсой тумани</v>
      </c>
      <c r="E2632" s="7" t="s">
        <v>3764</v>
      </c>
      <c r="F2632" s="7" t="s">
        <v>10131</v>
      </c>
      <c r="G2632" s="134">
        <f t="shared" si="283"/>
        <v>1</v>
      </c>
      <c r="H2632" s="134" t="str">
        <f t="shared" si="284"/>
        <v/>
      </c>
      <c r="I2632" s="7" t="s">
        <v>158</v>
      </c>
      <c r="J2632" s="7" t="s">
        <v>2</v>
      </c>
      <c r="K2632" s="7"/>
      <c r="L2632" s="7" t="s">
        <v>167</v>
      </c>
      <c r="M2632" s="7" t="s">
        <v>5949</v>
      </c>
      <c r="N2632" s="7" t="s">
        <v>170</v>
      </c>
      <c r="O2632" s="7" t="s">
        <v>162</v>
      </c>
      <c r="P2632" s="7" t="s">
        <v>7419</v>
      </c>
      <c r="Q2632" s="129">
        <v>46199</v>
      </c>
      <c r="R2632" s="130">
        <f t="shared" si="282"/>
        <v>46209</v>
      </c>
      <c r="S2632" s="131">
        <f t="shared" si="287"/>
        <v>10</v>
      </c>
      <c r="T2632" s="7" t="s">
        <v>180</v>
      </c>
      <c r="U2632" s="7" t="s">
        <v>254</v>
      </c>
      <c r="V2632" s="7"/>
      <c r="W2632" s="7">
        <v>559</v>
      </c>
      <c r="X2632" s="132">
        <f t="shared" si="285"/>
        <v>10</v>
      </c>
      <c r="Y2632" s="133"/>
      <c r="Z2632" s="133"/>
      <c r="AA2632" s="133"/>
    </row>
    <row r="2633" spans="1:27" hidden="1" x14ac:dyDescent="0.25">
      <c r="A2633" s="133"/>
      <c r="B2633" s="128" t="str">
        <f t="shared" si="286"/>
        <v>NAMS</v>
      </c>
      <c r="C2633" s="128">
        <f>+VLOOKUP(U2633,Ходим!A:B,2,0)</f>
        <v>52004005950071</v>
      </c>
      <c r="D2633" s="128" t="str">
        <f>IFERROR(VLOOKUP($B:$B,[20]свод!$A:$AB,3,0)," ")</f>
        <v>Наманган шаҳар</v>
      </c>
      <c r="E2633" s="7" t="s">
        <v>3765</v>
      </c>
      <c r="F2633" s="7" t="s">
        <v>10132</v>
      </c>
      <c r="G2633" s="134">
        <f t="shared" si="283"/>
        <v>1</v>
      </c>
      <c r="H2633" s="134" t="str">
        <f t="shared" si="284"/>
        <v/>
      </c>
      <c r="I2633" s="7" t="s">
        <v>158</v>
      </c>
      <c r="J2633" s="7" t="s">
        <v>2</v>
      </c>
      <c r="K2633" s="7"/>
      <c r="L2633" s="7"/>
      <c r="M2633" s="7"/>
      <c r="N2633" s="7" t="s">
        <v>170</v>
      </c>
      <c r="O2633" s="7" t="s">
        <v>162</v>
      </c>
      <c r="P2633" s="7" t="s">
        <v>7419</v>
      </c>
      <c r="Q2633" s="129">
        <v>46199</v>
      </c>
      <c r="R2633" s="130">
        <f t="shared" si="282"/>
        <v>46209</v>
      </c>
      <c r="S2633" s="131">
        <f t="shared" si="287"/>
        <v>10</v>
      </c>
      <c r="T2633" s="7" t="s">
        <v>173</v>
      </c>
      <c r="U2633" s="7" t="s">
        <v>1015</v>
      </c>
      <c r="V2633" s="7"/>
      <c r="W2633" s="7"/>
      <c r="X2633" s="132">
        <f t="shared" si="285"/>
        <v>10</v>
      </c>
      <c r="Y2633" s="133"/>
      <c r="Z2633" s="133"/>
      <c r="AA2633" s="133"/>
    </row>
    <row r="2634" spans="1:27" hidden="1" x14ac:dyDescent="0.25">
      <c r="A2634" s="133"/>
      <c r="B2634" s="128" t="str">
        <f t="shared" si="286"/>
        <v>TORT</v>
      </c>
      <c r="C2634" s="128" t="str">
        <f>+VLOOKUP(U2634,Ходим!A:B,2,0)</f>
        <v>31110892130070</v>
      </c>
      <c r="D2634" s="128" t="str">
        <f>IFERROR(VLOOKUP($B:$B,[20]свод!$A:$AB,3,0)," ")</f>
        <v>Тўрақўрғон тумани</v>
      </c>
      <c r="E2634" s="7" t="s">
        <v>3766</v>
      </c>
      <c r="F2634" s="7" t="s">
        <v>10133</v>
      </c>
      <c r="G2634" s="134">
        <f t="shared" si="283"/>
        <v>1</v>
      </c>
      <c r="H2634" s="134" t="str">
        <f t="shared" si="284"/>
        <v/>
      </c>
      <c r="I2634" s="7" t="s">
        <v>156</v>
      </c>
      <c r="J2634" s="7" t="s">
        <v>25</v>
      </c>
      <c r="K2634" s="7"/>
      <c r="L2634" s="7"/>
      <c r="M2634" s="7"/>
      <c r="N2634" s="7" t="s">
        <v>170</v>
      </c>
      <c r="O2634" s="7" t="s">
        <v>162</v>
      </c>
      <c r="P2634" s="7" t="s">
        <v>7419</v>
      </c>
      <c r="Q2634" s="129">
        <v>46199</v>
      </c>
      <c r="R2634" s="130">
        <f t="shared" si="282"/>
        <v>46209</v>
      </c>
      <c r="S2634" s="131">
        <f t="shared" si="287"/>
        <v>10</v>
      </c>
      <c r="T2634" s="7" t="s">
        <v>203</v>
      </c>
      <c r="U2634" s="7" t="s">
        <v>297</v>
      </c>
      <c r="V2634" s="7"/>
      <c r="W2634" s="7"/>
      <c r="X2634" s="132">
        <f t="shared" si="285"/>
        <v>10</v>
      </c>
      <c r="Y2634" s="133"/>
      <c r="Z2634" s="133"/>
      <c r="AA2634" s="133"/>
    </row>
    <row r="2635" spans="1:27" hidden="1" x14ac:dyDescent="0.25">
      <c r="A2635" s="133"/>
      <c r="B2635" s="128" t="str">
        <f t="shared" si="286"/>
        <v>UCQT</v>
      </c>
      <c r="C2635" s="128" t="str">
        <f>+VLOOKUP(U2635,Ходим!A:B,2,0)</f>
        <v>31402915940019</v>
      </c>
      <c r="D2635" s="128" t="str">
        <f>IFERROR(VLOOKUP($B:$B,[20]свод!$A:$AB,3,0)," ")</f>
        <v>Учқўрғон тумани</v>
      </c>
      <c r="E2635" s="7" t="s">
        <v>3767</v>
      </c>
      <c r="F2635" s="7" t="s">
        <v>10134</v>
      </c>
      <c r="G2635" s="134">
        <f t="shared" si="283"/>
        <v>1</v>
      </c>
      <c r="H2635" s="134" t="str">
        <f t="shared" si="284"/>
        <v/>
      </c>
      <c r="I2635" s="7" t="s">
        <v>158</v>
      </c>
      <c r="J2635" s="7" t="s">
        <v>2</v>
      </c>
      <c r="K2635" s="7"/>
      <c r="L2635" s="7" t="s">
        <v>167</v>
      </c>
      <c r="M2635" s="7" t="s">
        <v>5950</v>
      </c>
      <c r="N2635" s="7" t="s">
        <v>170</v>
      </c>
      <c r="O2635" s="7" t="s">
        <v>162</v>
      </c>
      <c r="P2635" s="7" t="s">
        <v>7419</v>
      </c>
      <c r="Q2635" s="129">
        <v>46199</v>
      </c>
      <c r="R2635" s="130">
        <f t="shared" si="282"/>
        <v>46209</v>
      </c>
      <c r="S2635" s="131">
        <f t="shared" si="287"/>
        <v>10</v>
      </c>
      <c r="T2635" s="7" t="s">
        <v>175</v>
      </c>
      <c r="U2635" s="7" t="s">
        <v>292</v>
      </c>
      <c r="V2635" s="7"/>
      <c r="W2635" s="7">
        <v>19.920000000000002</v>
      </c>
      <c r="X2635" s="132">
        <f t="shared" si="285"/>
        <v>10</v>
      </c>
      <c r="Y2635" s="133"/>
      <c r="Z2635" s="133"/>
      <c r="AA2635" s="133"/>
    </row>
    <row r="2636" spans="1:27" hidden="1" x14ac:dyDescent="0.25">
      <c r="A2636" s="133"/>
      <c r="B2636" s="128" t="str">
        <f t="shared" si="286"/>
        <v>CHUT</v>
      </c>
      <c r="C2636" s="128" t="str">
        <f>+VLOOKUP(U2636,Ходим!A:B,2,0)</f>
        <v>32304995970021</v>
      </c>
      <c r="D2636" s="128" t="str">
        <f>IFERROR(VLOOKUP($B:$B,[20]свод!$A:$AB,3,0)," ")</f>
        <v>Чуст тумани</v>
      </c>
      <c r="E2636" s="7" t="s">
        <v>3768</v>
      </c>
      <c r="F2636" s="7" t="s">
        <v>10135</v>
      </c>
      <c r="G2636" s="134">
        <f t="shared" si="283"/>
        <v>1</v>
      </c>
      <c r="H2636" s="134" t="str">
        <f t="shared" si="284"/>
        <v/>
      </c>
      <c r="I2636" s="7" t="s">
        <v>156</v>
      </c>
      <c r="J2636" s="7" t="s">
        <v>11</v>
      </c>
      <c r="K2636" s="7"/>
      <c r="L2636" s="7"/>
      <c r="M2636" s="7"/>
      <c r="N2636" s="7" t="s">
        <v>170</v>
      </c>
      <c r="O2636" s="7" t="s">
        <v>162</v>
      </c>
      <c r="P2636" s="7" t="s">
        <v>7420</v>
      </c>
      <c r="Q2636" s="129">
        <v>46199</v>
      </c>
      <c r="R2636" s="130">
        <f t="shared" si="282"/>
        <v>46209</v>
      </c>
      <c r="S2636" s="131">
        <f t="shared" si="287"/>
        <v>10</v>
      </c>
      <c r="T2636" s="7" t="s">
        <v>178</v>
      </c>
      <c r="U2636" s="7" t="s">
        <v>938</v>
      </c>
      <c r="V2636" s="7"/>
      <c r="W2636" s="7"/>
      <c r="X2636" s="132">
        <f t="shared" si="285"/>
        <v>10</v>
      </c>
      <c r="Y2636" s="133"/>
      <c r="Z2636" s="133"/>
      <c r="AA2636" s="133"/>
    </row>
    <row r="2637" spans="1:27" hidden="1" x14ac:dyDescent="0.25">
      <c r="A2637" s="133"/>
      <c r="B2637" s="128" t="str">
        <f t="shared" si="286"/>
        <v>POPT</v>
      </c>
      <c r="C2637" s="128" t="str">
        <f>+VLOOKUP(U2637,Ходим!A:B,2,0)</f>
        <v>33110905910015</v>
      </c>
      <c r="D2637" s="128" t="str">
        <f>IFERROR(VLOOKUP($B:$B,[20]свод!$A:$AB,3,0)," ")</f>
        <v>Поп тумани</v>
      </c>
      <c r="E2637" s="7" t="s">
        <v>3769</v>
      </c>
      <c r="F2637" s="7" t="s">
        <v>10136</v>
      </c>
      <c r="G2637" s="134" t="str">
        <f t="shared" si="283"/>
        <v/>
      </c>
      <c r="H2637" s="134">
        <f t="shared" si="284"/>
        <v>1</v>
      </c>
      <c r="I2637" s="7" t="s">
        <v>157</v>
      </c>
      <c r="J2637" s="7" t="s">
        <v>172</v>
      </c>
      <c r="K2637" s="7"/>
      <c r="L2637" s="7"/>
      <c r="M2637" s="7"/>
      <c r="N2637" s="7" t="s">
        <v>410</v>
      </c>
      <c r="O2637" s="7" t="s">
        <v>161</v>
      </c>
      <c r="P2637" s="7" t="s">
        <v>7420</v>
      </c>
      <c r="Q2637" s="129">
        <v>46199</v>
      </c>
      <c r="R2637" s="130">
        <f t="shared" si="282"/>
        <v>46209</v>
      </c>
      <c r="S2637" s="131">
        <f t="shared" si="287"/>
        <v>10</v>
      </c>
      <c r="T2637" s="7" t="s">
        <v>240</v>
      </c>
      <c r="U2637" s="7" t="s">
        <v>305</v>
      </c>
      <c r="V2637" s="7"/>
      <c r="W2637" s="7"/>
      <c r="X2637" s="132">
        <f t="shared" si="285"/>
        <v>10</v>
      </c>
      <c r="Y2637" s="133"/>
      <c r="Z2637" s="133"/>
      <c r="AA2637" s="133"/>
    </row>
    <row r="2638" spans="1:27" hidden="1" x14ac:dyDescent="0.25">
      <c r="A2638" s="133"/>
      <c r="B2638" s="128" t="str">
        <f t="shared" si="286"/>
        <v>KSST</v>
      </c>
      <c r="C2638" s="128" t="str">
        <f>+VLOOKUP(U2638,Ходим!A:B,2,0)</f>
        <v>30205975980020</v>
      </c>
      <c r="D2638" s="128" t="str">
        <f>IFERROR(VLOOKUP($B:$B,[20]свод!$A:$AB,3,0)," ")</f>
        <v>Косонсой тумани</v>
      </c>
      <c r="E2638" s="7" t="s">
        <v>3770</v>
      </c>
      <c r="F2638" s="7" t="s">
        <v>10137</v>
      </c>
      <c r="G2638" s="134">
        <f t="shared" si="283"/>
        <v>1</v>
      </c>
      <c r="H2638" s="134" t="str">
        <f t="shared" si="284"/>
        <v/>
      </c>
      <c r="I2638" s="7" t="s">
        <v>158</v>
      </c>
      <c r="J2638" s="7" t="s">
        <v>2</v>
      </c>
      <c r="K2638" s="7"/>
      <c r="L2638" s="7" t="s">
        <v>167</v>
      </c>
      <c r="M2638" s="7" t="s">
        <v>5951</v>
      </c>
      <c r="N2638" s="7" t="s">
        <v>170</v>
      </c>
      <c r="O2638" s="7" t="s">
        <v>162</v>
      </c>
      <c r="P2638" s="7" t="s">
        <v>6303</v>
      </c>
      <c r="Q2638" s="129">
        <v>46199</v>
      </c>
      <c r="R2638" s="130">
        <f t="shared" si="282"/>
        <v>46204</v>
      </c>
      <c r="S2638" s="131">
        <f t="shared" si="287"/>
        <v>5</v>
      </c>
      <c r="T2638" s="7" t="s">
        <v>180</v>
      </c>
      <c r="U2638" s="7" t="s">
        <v>370</v>
      </c>
      <c r="V2638" s="7"/>
      <c r="W2638" s="7">
        <v>114.9</v>
      </c>
      <c r="X2638" s="132">
        <f t="shared" si="285"/>
        <v>10</v>
      </c>
      <c r="Y2638" s="133"/>
      <c r="Z2638" s="133"/>
      <c r="AA2638" s="133"/>
    </row>
    <row r="2639" spans="1:27" hidden="1" x14ac:dyDescent="0.25">
      <c r="A2639" s="133"/>
      <c r="B2639" s="128" t="str">
        <f t="shared" si="286"/>
        <v>TORT</v>
      </c>
      <c r="C2639" s="128" t="str">
        <f>+VLOOKUP(U2639,Ходим!A:B,2,0)</f>
        <v>31306842130078</v>
      </c>
      <c r="D2639" s="128" t="str">
        <f>IFERROR(VLOOKUP($B:$B,[20]свод!$A:$AB,3,0)," ")</f>
        <v>Тўрақўрғон тумани</v>
      </c>
      <c r="E2639" s="7" t="s">
        <v>3771</v>
      </c>
      <c r="F2639" s="7" t="s">
        <v>10138</v>
      </c>
      <c r="G2639" s="134">
        <f t="shared" si="283"/>
        <v>1</v>
      </c>
      <c r="H2639" s="134" t="str">
        <f t="shared" si="284"/>
        <v/>
      </c>
      <c r="I2639" s="7" t="s">
        <v>158</v>
      </c>
      <c r="J2639" s="7" t="s">
        <v>172</v>
      </c>
      <c r="K2639" s="7"/>
      <c r="L2639" s="7" t="s">
        <v>167</v>
      </c>
      <c r="M2639" s="7" t="s">
        <v>5952</v>
      </c>
      <c r="N2639" s="7" t="s">
        <v>170</v>
      </c>
      <c r="O2639" s="7" t="s">
        <v>163</v>
      </c>
      <c r="P2639" s="7" t="s">
        <v>7421</v>
      </c>
      <c r="Q2639" s="129">
        <v>46199</v>
      </c>
      <c r="R2639" s="130">
        <f t="shared" si="282"/>
        <v>46209</v>
      </c>
      <c r="S2639" s="131">
        <f t="shared" si="287"/>
        <v>10</v>
      </c>
      <c r="T2639" s="7" t="s">
        <v>203</v>
      </c>
      <c r="U2639" s="7" t="s">
        <v>219</v>
      </c>
      <c r="V2639" s="7"/>
      <c r="W2639" s="7">
        <v>361.71</v>
      </c>
      <c r="X2639" s="132">
        <f t="shared" si="285"/>
        <v>10</v>
      </c>
      <c r="Y2639" s="133"/>
      <c r="Z2639" s="133"/>
      <c r="AA2639" s="133"/>
    </row>
    <row r="2640" spans="1:27" hidden="1" x14ac:dyDescent="0.25">
      <c r="A2640" s="133"/>
      <c r="B2640" s="128" t="str">
        <f t="shared" si="286"/>
        <v>NAMS</v>
      </c>
      <c r="C2640" s="128" t="str">
        <f>+VLOOKUP(U2640,Ходим!A:B,2,0)</f>
        <v>30302965960014</v>
      </c>
      <c r="D2640" s="128" t="str">
        <f>IFERROR(VLOOKUP($B:$B,[20]свод!$A:$AB,3,0)," ")</f>
        <v>Наманган шаҳар</v>
      </c>
      <c r="E2640" s="7" t="s">
        <v>3772</v>
      </c>
      <c r="F2640" s="7" t="s">
        <v>10139</v>
      </c>
      <c r="G2640" s="134">
        <f t="shared" si="283"/>
        <v>1</v>
      </c>
      <c r="H2640" s="134" t="str">
        <f t="shared" si="284"/>
        <v/>
      </c>
      <c r="I2640" s="7" t="s">
        <v>158</v>
      </c>
      <c r="J2640" s="7" t="s">
        <v>13</v>
      </c>
      <c r="K2640" s="7"/>
      <c r="L2640" s="7" t="s">
        <v>167</v>
      </c>
      <c r="M2640" s="7" t="s">
        <v>5953</v>
      </c>
      <c r="N2640" s="7" t="s">
        <v>170</v>
      </c>
      <c r="O2640" s="7" t="s">
        <v>162</v>
      </c>
      <c r="P2640" s="7" t="s">
        <v>7422</v>
      </c>
      <c r="Q2640" s="129">
        <v>46199</v>
      </c>
      <c r="R2640" s="130">
        <f t="shared" si="282"/>
        <v>46209</v>
      </c>
      <c r="S2640" s="131">
        <f t="shared" si="287"/>
        <v>10</v>
      </c>
      <c r="T2640" s="7" t="s">
        <v>173</v>
      </c>
      <c r="U2640" s="7" t="s">
        <v>304</v>
      </c>
      <c r="V2640" s="7"/>
      <c r="W2640" s="7">
        <v>39.56</v>
      </c>
      <c r="X2640" s="132">
        <f t="shared" si="285"/>
        <v>10</v>
      </c>
      <c r="Y2640" s="133"/>
      <c r="Z2640" s="133"/>
      <c r="AA2640" s="133"/>
    </row>
    <row r="2641" spans="1:27" hidden="1" x14ac:dyDescent="0.25">
      <c r="A2641" s="133"/>
      <c r="B2641" s="128" t="str">
        <f t="shared" si="286"/>
        <v>UCQT</v>
      </c>
      <c r="C2641" s="128" t="str">
        <f>+VLOOKUP(U2641,Ходим!A:B,2,0)</f>
        <v>31402915940019</v>
      </c>
      <c r="D2641" s="128" t="str">
        <f>IFERROR(VLOOKUP($B:$B,[20]свод!$A:$AB,3,0)," ")</f>
        <v>Учқўрғон тумани</v>
      </c>
      <c r="E2641" s="7" t="s">
        <v>3773</v>
      </c>
      <c r="F2641" s="7" t="s">
        <v>10140</v>
      </c>
      <c r="G2641" s="134">
        <f t="shared" si="283"/>
        <v>1</v>
      </c>
      <c r="H2641" s="134" t="str">
        <f t="shared" si="284"/>
        <v/>
      </c>
      <c r="I2641" s="7" t="s">
        <v>154</v>
      </c>
      <c r="J2641" s="7" t="s">
        <v>12</v>
      </c>
      <c r="K2641" s="7"/>
      <c r="L2641" s="7" t="s">
        <v>167</v>
      </c>
      <c r="M2641" s="7" t="s">
        <v>5954</v>
      </c>
      <c r="N2641" s="7" t="s">
        <v>170</v>
      </c>
      <c r="O2641" s="7" t="s">
        <v>162</v>
      </c>
      <c r="P2641" s="7" t="s">
        <v>7421</v>
      </c>
      <c r="Q2641" s="129">
        <v>46199</v>
      </c>
      <c r="R2641" s="130">
        <f t="shared" si="282"/>
        <v>46209</v>
      </c>
      <c r="S2641" s="131">
        <f t="shared" si="287"/>
        <v>10</v>
      </c>
      <c r="T2641" s="7" t="s">
        <v>175</v>
      </c>
      <c r="U2641" s="7" t="s">
        <v>292</v>
      </c>
      <c r="V2641" s="7"/>
      <c r="W2641" s="7">
        <v>191.73</v>
      </c>
      <c r="X2641" s="132">
        <f t="shared" si="285"/>
        <v>10</v>
      </c>
      <c r="Y2641" s="133"/>
      <c r="Z2641" s="133"/>
      <c r="AA2641" s="133"/>
    </row>
    <row r="2642" spans="1:27" hidden="1" x14ac:dyDescent="0.25">
      <c r="A2642" s="133"/>
      <c r="B2642" s="128" t="str">
        <f t="shared" si="286"/>
        <v>YGQT</v>
      </c>
      <c r="C2642" s="128" t="str">
        <f>+VLOOKUP(U2642,Ходим!A:B,2,0)</f>
        <v>33103892160125</v>
      </c>
      <c r="D2642" s="128" t="str">
        <f>IFERROR(VLOOKUP($B:$B,[20]свод!$A:$AB,3,0)," ")</f>
        <v>Янгиқўрғон тумани</v>
      </c>
      <c r="E2642" s="7" t="s">
        <v>3774</v>
      </c>
      <c r="F2642" s="7" t="s">
        <v>10141</v>
      </c>
      <c r="G2642" s="134" t="str">
        <f t="shared" si="283"/>
        <v/>
      </c>
      <c r="H2642" s="134">
        <f t="shared" si="284"/>
        <v>1</v>
      </c>
      <c r="I2642" s="7" t="s">
        <v>157</v>
      </c>
      <c r="J2642" s="7" t="s">
        <v>2</v>
      </c>
      <c r="K2642" s="7"/>
      <c r="L2642" s="7" t="s">
        <v>166</v>
      </c>
      <c r="M2642" s="7" t="s">
        <v>5955</v>
      </c>
      <c r="N2642" s="7" t="s">
        <v>170</v>
      </c>
      <c r="O2642" s="7" t="s">
        <v>161</v>
      </c>
      <c r="P2642" s="7" t="s">
        <v>7422</v>
      </c>
      <c r="Q2642" s="129">
        <v>46199</v>
      </c>
      <c r="R2642" s="130">
        <f t="shared" si="282"/>
        <v>46209</v>
      </c>
      <c r="S2642" s="131">
        <f t="shared" si="287"/>
        <v>10</v>
      </c>
      <c r="T2642" s="7" t="s">
        <v>255</v>
      </c>
      <c r="U2642" s="7" t="s">
        <v>183</v>
      </c>
      <c r="V2642" s="7"/>
      <c r="W2642" s="7">
        <v>0</v>
      </c>
      <c r="X2642" s="132">
        <f t="shared" si="285"/>
        <v>10</v>
      </c>
      <c r="Y2642" s="133"/>
      <c r="Z2642" s="133"/>
      <c r="AA2642" s="133"/>
    </row>
    <row r="2643" spans="1:27" hidden="1" x14ac:dyDescent="0.25">
      <c r="A2643" s="133"/>
      <c r="B2643" s="128" t="str">
        <f t="shared" si="286"/>
        <v>NORT</v>
      </c>
      <c r="C2643" s="128" t="str">
        <f>+VLOOKUP(U2643,Ходим!A:B,2,0)</f>
        <v>32103985900068</v>
      </c>
      <c r="D2643" s="128" t="str">
        <f>IFERROR(VLOOKUP($B:$B,[20]свод!$A:$AB,3,0)," ")</f>
        <v>Норин тумани</v>
      </c>
      <c r="E2643" s="7" t="s">
        <v>3775</v>
      </c>
      <c r="F2643" s="7" t="s">
        <v>10142</v>
      </c>
      <c r="G2643" s="134" t="str">
        <f t="shared" si="283"/>
        <v/>
      </c>
      <c r="H2643" s="134">
        <f t="shared" si="284"/>
        <v>1</v>
      </c>
      <c r="I2643" s="7" t="s">
        <v>157</v>
      </c>
      <c r="J2643" s="7" t="s">
        <v>172</v>
      </c>
      <c r="K2643" s="7"/>
      <c r="L2643" s="7"/>
      <c r="M2643" s="7"/>
      <c r="N2643" s="7" t="s">
        <v>170</v>
      </c>
      <c r="O2643" s="7" t="s">
        <v>161</v>
      </c>
      <c r="P2643" s="7" t="s">
        <v>7422</v>
      </c>
      <c r="Q2643" s="129">
        <v>46199</v>
      </c>
      <c r="R2643" s="130">
        <f t="shared" si="282"/>
        <v>46209</v>
      </c>
      <c r="S2643" s="131">
        <f t="shared" si="287"/>
        <v>10</v>
      </c>
      <c r="T2643" s="7" t="s">
        <v>250</v>
      </c>
      <c r="U2643" s="7" t="s">
        <v>327</v>
      </c>
      <c r="V2643" s="7"/>
      <c r="W2643" s="7"/>
      <c r="X2643" s="132">
        <f t="shared" si="285"/>
        <v>10</v>
      </c>
      <c r="Y2643" s="133"/>
      <c r="Z2643" s="133"/>
      <c r="AA2643" s="133"/>
    </row>
    <row r="2644" spans="1:27" hidden="1" x14ac:dyDescent="0.25">
      <c r="A2644" s="133"/>
      <c r="B2644" s="128" t="str">
        <f t="shared" si="286"/>
        <v>POPT</v>
      </c>
      <c r="C2644" s="128" t="str">
        <f>+VLOOKUP(U2644,Ходим!A:B,2,0)</f>
        <v>33110905910015</v>
      </c>
      <c r="D2644" s="128" t="str">
        <f>IFERROR(VLOOKUP($B:$B,[20]свод!$A:$AB,3,0)," ")</f>
        <v>Поп тумани</v>
      </c>
      <c r="E2644" s="7" t="s">
        <v>3776</v>
      </c>
      <c r="F2644" s="7" t="s">
        <v>10143</v>
      </c>
      <c r="G2644" s="134" t="str">
        <f t="shared" si="283"/>
        <v/>
      </c>
      <c r="H2644" s="134">
        <f t="shared" si="284"/>
        <v>1</v>
      </c>
      <c r="I2644" s="7" t="s">
        <v>157</v>
      </c>
      <c r="J2644" s="7" t="s">
        <v>172</v>
      </c>
      <c r="K2644" s="7"/>
      <c r="L2644" s="7"/>
      <c r="M2644" s="7"/>
      <c r="N2644" s="7" t="s">
        <v>410</v>
      </c>
      <c r="O2644" s="7" t="s">
        <v>161</v>
      </c>
      <c r="P2644" s="7" t="s">
        <v>7422</v>
      </c>
      <c r="Q2644" s="129">
        <v>46199</v>
      </c>
      <c r="R2644" s="130">
        <f t="shared" si="282"/>
        <v>46209</v>
      </c>
      <c r="S2644" s="131">
        <f t="shared" si="287"/>
        <v>10</v>
      </c>
      <c r="T2644" s="7" t="s">
        <v>240</v>
      </c>
      <c r="U2644" s="7" t="s">
        <v>305</v>
      </c>
      <c r="V2644" s="7"/>
      <c r="W2644" s="7"/>
      <c r="X2644" s="132">
        <f t="shared" si="285"/>
        <v>10</v>
      </c>
      <c r="Y2644" s="133"/>
      <c r="Z2644" s="133"/>
      <c r="AA2644" s="133"/>
    </row>
    <row r="2645" spans="1:27" hidden="1" x14ac:dyDescent="0.25">
      <c r="A2645" s="133"/>
      <c r="B2645" s="128" t="str">
        <f t="shared" si="286"/>
        <v>MINT</v>
      </c>
      <c r="C2645" s="128" t="str">
        <f>+VLOOKUP(U2645,Ходим!A:B,2,0)</f>
        <v>51604025990014</v>
      </c>
      <c r="D2645" s="128" t="str">
        <f>IFERROR(VLOOKUP($B:$B,[20]свод!$A:$AB,3,0)," ")</f>
        <v>Мингбулоқ тумани</v>
      </c>
      <c r="E2645" s="7" t="s">
        <v>3777</v>
      </c>
      <c r="F2645" s="7" t="s">
        <v>10144</v>
      </c>
      <c r="G2645" s="134">
        <f t="shared" si="283"/>
        <v>1</v>
      </c>
      <c r="H2645" s="134" t="str">
        <f t="shared" si="284"/>
        <v/>
      </c>
      <c r="I2645" s="7" t="s">
        <v>158</v>
      </c>
      <c r="J2645" s="7" t="s">
        <v>1</v>
      </c>
      <c r="K2645" s="7"/>
      <c r="L2645" s="7" t="s">
        <v>167</v>
      </c>
      <c r="M2645" s="7" t="s">
        <v>1042</v>
      </c>
      <c r="N2645" s="7" t="s">
        <v>410</v>
      </c>
      <c r="O2645" s="7" t="s">
        <v>162</v>
      </c>
      <c r="P2645" s="7" t="s">
        <v>7057</v>
      </c>
      <c r="Q2645" s="129">
        <v>46199</v>
      </c>
      <c r="R2645" s="130">
        <f t="shared" si="282"/>
        <v>46202</v>
      </c>
      <c r="S2645" s="131">
        <f t="shared" si="287"/>
        <v>3</v>
      </c>
      <c r="T2645" s="7" t="s">
        <v>220</v>
      </c>
      <c r="U2645" s="7" t="s">
        <v>252</v>
      </c>
      <c r="V2645" s="7"/>
      <c r="W2645" s="7">
        <v>232.62</v>
      </c>
      <c r="X2645" s="132">
        <f t="shared" si="285"/>
        <v>10</v>
      </c>
      <c r="Y2645" s="133"/>
      <c r="Z2645" s="133"/>
      <c r="AA2645" s="133"/>
    </row>
    <row r="2646" spans="1:27" x14ac:dyDescent="0.25">
      <c r="A2646" s="133"/>
      <c r="B2646" s="128" t="str">
        <f t="shared" si="286"/>
        <v>NAMS</v>
      </c>
      <c r="C2646" s="128">
        <f>+VLOOKUP(U2646,Ходим!A:B,2,0)</f>
        <v>51006025960068</v>
      </c>
      <c r="D2646" s="128" t="str">
        <f>IFERROR(VLOOKUP($B:$B,[20]свод!$A:$AB,3,0)," ")</f>
        <v>Наманган шаҳар</v>
      </c>
      <c r="E2646" s="7" t="s">
        <v>3778</v>
      </c>
      <c r="F2646" s="7" t="s">
        <v>10145</v>
      </c>
      <c r="G2646" s="134" t="str">
        <f t="shared" si="283"/>
        <v/>
      </c>
      <c r="H2646" s="134">
        <f t="shared" si="284"/>
        <v>1</v>
      </c>
      <c r="I2646" s="7" t="s">
        <v>154</v>
      </c>
      <c r="J2646" s="7" t="s">
        <v>12</v>
      </c>
      <c r="K2646" s="7"/>
      <c r="L2646" s="7" t="s">
        <v>166</v>
      </c>
      <c r="M2646" s="7" t="s">
        <v>5956</v>
      </c>
      <c r="N2646" s="7" t="s">
        <v>170</v>
      </c>
      <c r="O2646" s="7" t="s">
        <v>161</v>
      </c>
      <c r="P2646" s="7" t="s">
        <v>7423</v>
      </c>
      <c r="Q2646" s="129">
        <v>46199</v>
      </c>
      <c r="R2646" s="130">
        <f t="shared" si="282"/>
        <v>46199</v>
      </c>
      <c r="S2646" s="131">
        <f t="shared" si="287"/>
        <v>0</v>
      </c>
      <c r="T2646" s="7" t="s">
        <v>227</v>
      </c>
      <c r="U2646" s="7" t="s">
        <v>944</v>
      </c>
      <c r="V2646" s="7"/>
      <c r="W2646" s="7">
        <v>52.6</v>
      </c>
      <c r="X2646" s="132">
        <f t="shared" si="285"/>
        <v>10</v>
      </c>
      <c r="Y2646" s="133"/>
      <c r="Z2646" s="133"/>
      <c r="AA2646" s="133"/>
    </row>
    <row r="2647" spans="1:27" hidden="1" x14ac:dyDescent="0.25">
      <c r="A2647" s="133"/>
      <c r="B2647" s="128" t="str">
        <f t="shared" si="286"/>
        <v>NAMS</v>
      </c>
      <c r="C2647" s="128" t="str">
        <f>+VLOOKUP(U2647,Ходим!A:B,2,0)</f>
        <v>51911035960011</v>
      </c>
      <c r="D2647" s="128" t="str">
        <f>IFERROR(VLOOKUP($B:$B,[20]свод!$A:$AB,3,0)," ")</f>
        <v>Наманган шаҳар</v>
      </c>
      <c r="E2647" s="7" t="s">
        <v>3779</v>
      </c>
      <c r="F2647" s="7" t="s">
        <v>10146</v>
      </c>
      <c r="G2647" s="134">
        <f t="shared" si="283"/>
        <v>1</v>
      </c>
      <c r="H2647" s="134" t="str">
        <f t="shared" si="284"/>
        <v/>
      </c>
      <c r="I2647" s="7" t="s">
        <v>158</v>
      </c>
      <c r="J2647" s="7" t="s">
        <v>2</v>
      </c>
      <c r="K2647" s="7"/>
      <c r="L2647" s="7"/>
      <c r="M2647" s="7"/>
      <c r="N2647" s="7" t="s">
        <v>170</v>
      </c>
      <c r="O2647" s="7" t="s">
        <v>162</v>
      </c>
      <c r="P2647" s="7" t="s">
        <v>7424</v>
      </c>
      <c r="Q2647" s="129">
        <v>46199</v>
      </c>
      <c r="R2647" s="130">
        <f t="shared" si="282"/>
        <v>46209</v>
      </c>
      <c r="S2647" s="131">
        <f t="shared" si="287"/>
        <v>10</v>
      </c>
      <c r="T2647" s="7" t="s">
        <v>173</v>
      </c>
      <c r="U2647" s="7" t="s">
        <v>371</v>
      </c>
      <c r="V2647" s="7"/>
      <c r="W2647" s="7"/>
      <c r="X2647" s="132">
        <f t="shared" si="285"/>
        <v>10</v>
      </c>
      <c r="Y2647" s="133"/>
      <c r="Z2647" s="133"/>
      <c r="AA2647" s="133"/>
    </row>
    <row r="2648" spans="1:27" hidden="1" x14ac:dyDescent="0.25">
      <c r="A2648" s="133"/>
      <c r="B2648" s="128" t="str">
        <f t="shared" si="286"/>
        <v>KSST</v>
      </c>
      <c r="C2648" s="128" t="str">
        <f>+VLOOKUP(U2648,Ходим!A:B,2,0)</f>
        <v>31204985980041</v>
      </c>
      <c r="D2648" s="128" t="str">
        <f>IFERROR(VLOOKUP($B:$B,[20]свод!$A:$AB,3,0)," ")</f>
        <v>Косонсой тумани</v>
      </c>
      <c r="E2648" s="7" t="s">
        <v>3780</v>
      </c>
      <c r="F2648" s="7" t="s">
        <v>10147</v>
      </c>
      <c r="G2648" s="134">
        <f t="shared" si="283"/>
        <v>1</v>
      </c>
      <c r="H2648" s="134" t="str">
        <f t="shared" si="284"/>
        <v/>
      </c>
      <c r="I2648" s="7" t="s">
        <v>158</v>
      </c>
      <c r="J2648" s="7" t="s">
        <v>2</v>
      </c>
      <c r="K2648" s="7"/>
      <c r="L2648" s="7" t="s">
        <v>167</v>
      </c>
      <c r="M2648" s="7" t="s">
        <v>5957</v>
      </c>
      <c r="N2648" s="7" t="s">
        <v>170</v>
      </c>
      <c r="O2648" s="7" t="s">
        <v>162</v>
      </c>
      <c r="P2648" s="7" t="s">
        <v>7424</v>
      </c>
      <c r="Q2648" s="129">
        <v>46199</v>
      </c>
      <c r="R2648" s="130">
        <f t="shared" si="282"/>
        <v>46209</v>
      </c>
      <c r="S2648" s="131">
        <f t="shared" si="287"/>
        <v>10</v>
      </c>
      <c r="T2648" s="7" t="s">
        <v>180</v>
      </c>
      <c r="U2648" s="7" t="s">
        <v>236</v>
      </c>
      <c r="V2648" s="7"/>
      <c r="W2648" s="7">
        <v>161.1</v>
      </c>
      <c r="X2648" s="132">
        <f t="shared" si="285"/>
        <v>10</v>
      </c>
      <c r="Y2648" s="133"/>
      <c r="Z2648" s="133"/>
      <c r="AA2648" s="133"/>
    </row>
    <row r="2649" spans="1:27" hidden="1" x14ac:dyDescent="0.25">
      <c r="A2649" s="133"/>
      <c r="B2649" s="128" t="str">
        <f t="shared" si="286"/>
        <v>MINT</v>
      </c>
      <c r="C2649" s="128" t="str">
        <f>+VLOOKUP(U2649,Ходим!A:B,2,0)</f>
        <v>51604025990014</v>
      </c>
      <c r="D2649" s="128" t="str">
        <f>IFERROR(VLOOKUP($B:$B,[20]свод!$A:$AB,3,0)," ")</f>
        <v>Мингбулоқ тумани</v>
      </c>
      <c r="E2649" s="7" t="s">
        <v>3781</v>
      </c>
      <c r="F2649" s="7" t="s">
        <v>10148</v>
      </c>
      <c r="G2649" s="134">
        <f t="shared" si="283"/>
        <v>1</v>
      </c>
      <c r="H2649" s="134" t="str">
        <f t="shared" si="284"/>
        <v/>
      </c>
      <c r="I2649" s="7" t="s">
        <v>158</v>
      </c>
      <c r="J2649" s="7" t="s">
        <v>2</v>
      </c>
      <c r="K2649" s="7"/>
      <c r="L2649" s="7" t="s">
        <v>167</v>
      </c>
      <c r="M2649" s="7" t="s">
        <v>5958</v>
      </c>
      <c r="N2649" s="7" t="s">
        <v>170</v>
      </c>
      <c r="O2649" s="7" t="s">
        <v>162</v>
      </c>
      <c r="P2649" s="7" t="s">
        <v>7424</v>
      </c>
      <c r="Q2649" s="129">
        <v>46199</v>
      </c>
      <c r="R2649" s="130">
        <f t="shared" si="282"/>
        <v>46209</v>
      </c>
      <c r="S2649" s="131">
        <f t="shared" si="287"/>
        <v>10</v>
      </c>
      <c r="T2649" s="7" t="s">
        <v>220</v>
      </c>
      <c r="U2649" s="7" t="s">
        <v>252</v>
      </c>
      <c r="V2649" s="7"/>
      <c r="W2649" s="7">
        <v>216.1</v>
      </c>
      <c r="X2649" s="132">
        <f t="shared" si="285"/>
        <v>10</v>
      </c>
      <c r="Y2649" s="133"/>
      <c r="Z2649" s="133"/>
      <c r="AA2649" s="133"/>
    </row>
    <row r="2650" spans="1:27" hidden="1" x14ac:dyDescent="0.25">
      <c r="A2650" s="133"/>
      <c r="B2650" s="128" t="str">
        <f t="shared" si="286"/>
        <v>YGQT</v>
      </c>
      <c r="C2650" s="128" t="str">
        <f>+VLOOKUP(U2650,Ходим!A:B,2,0)</f>
        <v>52010015950028</v>
      </c>
      <c r="D2650" s="128" t="str">
        <f>IFERROR(VLOOKUP($B:$B,[20]свод!$A:$AB,3,0)," ")</f>
        <v>Янгиқўрғон тумани</v>
      </c>
      <c r="E2650" s="7" t="s">
        <v>3782</v>
      </c>
      <c r="F2650" s="7" t="s">
        <v>10149</v>
      </c>
      <c r="G2650" s="134">
        <f t="shared" si="283"/>
        <v>1</v>
      </c>
      <c r="H2650" s="134" t="str">
        <f t="shared" si="284"/>
        <v/>
      </c>
      <c r="I2650" s="7" t="s">
        <v>158</v>
      </c>
      <c r="J2650" s="7" t="s">
        <v>2</v>
      </c>
      <c r="K2650" s="7"/>
      <c r="L2650" s="7" t="s">
        <v>169</v>
      </c>
      <c r="M2650" s="7" t="s">
        <v>382</v>
      </c>
      <c r="N2650" s="7" t="s">
        <v>410</v>
      </c>
      <c r="O2650" s="7" t="s">
        <v>162</v>
      </c>
      <c r="P2650" s="7" t="s">
        <v>7424</v>
      </c>
      <c r="Q2650" s="129">
        <v>46199</v>
      </c>
      <c r="R2650" s="130">
        <f t="shared" si="282"/>
        <v>46204</v>
      </c>
      <c r="S2650" s="131">
        <f t="shared" si="287"/>
        <v>5</v>
      </c>
      <c r="T2650" s="7" t="s">
        <v>182</v>
      </c>
      <c r="U2650" s="7" t="s">
        <v>391</v>
      </c>
      <c r="V2650" s="7"/>
      <c r="W2650" s="7">
        <v>0</v>
      </c>
      <c r="X2650" s="132">
        <f t="shared" si="285"/>
        <v>7</v>
      </c>
      <c r="Y2650" s="133"/>
      <c r="Z2650" s="133"/>
      <c r="AA2650" s="133"/>
    </row>
    <row r="2651" spans="1:27" hidden="1" x14ac:dyDescent="0.25">
      <c r="A2651" s="133"/>
      <c r="B2651" s="128" t="str">
        <f t="shared" si="286"/>
        <v>NAMS</v>
      </c>
      <c r="C2651" s="128" t="str">
        <f>+VLOOKUP(U2651,Ходим!A:B,2,0)</f>
        <v>32602902170105</v>
      </c>
      <c r="D2651" s="128" t="str">
        <f>IFERROR(VLOOKUP($B:$B,[20]свод!$A:$AB,3,0)," ")</f>
        <v>Наманган шаҳар</v>
      </c>
      <c r="E2651" s="7" t="s">
        <v>3783</v>
      </c>
      <c r="F2651" s="7" t="s">
        <v>10150</v>
      </c>
      <c r="G2651" s="134">
        <f t="shared" si="283"/>
        <v>1</v>
      </c>
      <c r="H2651" s="134" t="str">
        <f t="shared" si="284"/>
        <v/>
      </c>
      <c r="I2651" s="7" t="s">
        <v>158</v>
      </c>
      <c r="J2651" s="7" t="s">
        <v>1</v>
      </c>
      <c r="K2651" s="7"/>
      <c r="L2651" s="7" t="s">
        <v>169</v>
      </c>
      <c r="M2651" s="7" t="s">
        <v>5959</v>
      </c>
      <c r="N2651" s="7" t="s">
        <v>410</v>
      </c>
      <c r="O2651" s="7" t="s">
        <v>162</v>
      </c>
      <c r="P2651" s="7" t="s">
        <v>7425</v>
      </c>
      <c r="Q2651" s="129">
        <v>46199</v>
      </c>
      <c r="R2651" s="130">
        <f t="shared" si="282"/>
        <v>46204</v>
      </c>
      <c r="S2651" s="131">
        <f t="shared" si="287"/>
        <v>5</v>
      </c>
      <c r="T2651" s="7" t="s">
        <v>185</v>
      </c>
      <c r="U2651" s="7" t="s">
        <v>247</v>
      </c>
      <c r="V2651" s="7"/>
      <c r="W2651" s="7">
        <v>0</v>
      </c>
      <c r="X2651" s="132">
        <f t="shared" si="285"/>
        <v>7</v>
      </c>
      <c r="Y2651" s="133"/>
      <c r="Z2651" s="133"/>
      <c r="AA2651" s="133"/>
    </row>
    <row r="2652" spans="1:27" hidden="1" x14ac:dyDescent="0.25">
      <c r="A2652" s="133"/>
      <c r="B2652" s="128" t="str">
        <f t="shared" si="286"/>
        <v>CHUT</v>
      </c>
      <c r="C2652" s="128" t="str">
        <f>+VLOOKUP(U2652,Ходим!A:B,2,0)</f>
        <v>30202885970013</v>
      </c>
      <c r="D2652" s="128" t="str">
        <f>IFERROR(VLOOKUP($B:$B,[20]свод!$A:$AB,3,0)," ")</f>
        <v>Чуст тумани</v>
      </c>
      <c r="E2652" s="7" t="s">
        <v>3784</v>
      </c>
      <c r="F2652" s="7" t="s">
        <v>10151</v>
      </c>
      <c r="G2652" s="134">
        <f t="shared" si="283"/>
        <v>1</v>
      </c>
      <c r="H2652" s="134" t="str">
        <f t="shared" si="284"/>
        <v/>
      </c>
      <c r="I2652" s="7" t="s">
        <v>158</v>
      </c>
      <c r="J2652" s="7" t="s">
        <v>172</v>
      </c>
      <c r="K2652" s="7"/>
      <c r="L2652" s="7"/>
      <c r="M2652" s="7"/>
      <c r="N2652" s="7" t="s">
        <v>170</v>
      </c>
      <c r="O2652" s="7" t="s">
        <v>162</v>
      </c>
      <c r="P2652" s="7" t="s">
        <v>7425</v>
      </c>
      <c r="Q2652" s="129">
        <v>46199</v>
      </c>
      <c r="R2652" s="130">
        <f t="shared" si="282"/>
        <v>46209</v>
      </c>
      <c r="S2652" s="131">
        <f t="shared" si="287"/>
        <v>10</v>
      </c>
      <c r="T2652" s="7" t="s">
        <v>178</v>
      </c>
      <c r="U2652" s="7" t="s">
        <v>289</v>
      </c>
      <c r="V2652" s="7"/>
      <c r="W2652" s="7"/>
      <c r="X2652" s="132">
        <f t="shared" si="285"/>
        <v>10</v>
      </c>
      <c r="Y2652" s="133"/>
      <c r="Z2652" s="133"/>
      <c r="AA2652" s="133"/>
    </row>
    <row r="2653" spans="1:27" hidden="1" x14ac:dyDescent="0.25">
      <c r="A2653" s="133"/>
      <c r="B2653" s="128" t="str">
        <f t="shared" si="286"/>
        <v>NAMS</v>
      </c>
      <c r="C2653" s="128" t="str">
        <f>+VLOOKUP(U2653,Ходим!A:B,2,0)</f>
        <v>41006772170195</v>
      </c>
      <c r="D2653" s="128" t="str">
        <f>IFERROR(VLOOKUP($B:$B,[20]свод!$A:$AB,3,0)," ")</f>
        <v>Наманган шаҳар</v>
      </c>
      <c r="E2653" s="7" t="s">
        <v>3785</v>
      </c>
      <c r="F2653" s="7" t="s">
        <v>10152</v>
      </c>
      <c r="G2653" s="134" t="str">
        <f t="shared" si="283"/>
        <v/>
      </c>
      <c r="H2653" s="134">
        <f t="shared" si="284"/>
        <v>1</v>
      </c>
      <c r="I2653" s="7" t="s">
        <v>157</v>
      </c>
      <c r="J2653" s="7" t="s">
        <v>172</v>
      </c>
      <c r="K2653" s="7"/>
      <c r="L2653" s="7" t="s">
        <v>166</v>
      </c>
      <c r="M2653" s="7" t="s">
        <v>5960</v>
      </c>
      <c r="N2653" s="7" t="s">
        <v>170</v>
      </c>
      <c r="O2653" s="7" t="s">
        <v>161</v>
      </c>
      <c r="P2653" s="7" t="s">
        <v>7426</v>
      </c>
      <c r="Q2653" s="129">
        <v>46199</v>
      </c>
      <c r="R2653" s="130">
        <f t="shared" si="282"/>
        <v>46218</v>
      </c>
      <c r="S2653" s="131">
        <f t="shared" si="287"/>
        <v>19</v>
      </c>
      <c r="T2653" s="7" t="s">
        <v>173</v>
      </c>
      <c r="U2653" s="7" t="s">
        <v>338</v>
      </c>
      <c r="V2653" s="7"/>
      <c r="W2653" s="7">
        <v>3779.26</v>
      </c>
      <c r="X2653" s="132">
        <f t="shared" si="285"/>
        <v>17</v>
      </c>
      <c r="Y2653" s="133"/>
      <c r="Z2653" s="133"/>
      <c r="AA2653" s="133"/>
    </row>
    <row r="2654" spans="1:27" hidden="1" x14ac:dyDescent="0.25">
      <c r="A2654" s="133"/>
      <c r="B2654" s="128" t="str">
        <f t="shared" si="286"/>
        <v>NAMS</v>
      </c>
      <c r="C2654" s="128" t="str">
        <f>+VLOOKUP(U2654,Ходим!A:B,2,0)</f>
        <v>31007955980023</v>
      </c>
      <c r="D2654" s="128" t="str">
        <f>IFERROR(VLOOKUP($B:$B,[20]свод!$A:$AB,3,0)," ")</f>
        <v>Наманган шаҳар</v>
      </c>
      <c r="E2654" s="7" t="s">
        <v>3786</v>
      </c>
      <c r="F2654" s="7" t="s">
        <v>10153</v>
      </c>
      <c r="G2654" s="134">
        <f t="shared" si="283"/>
        <v>1</v>
      </c>
      <c r="H2654" s="134" t="str">
        <f t="shared" si="284"/>
        <v/>
      </c>
      <c r="I2654" s="7" t="s">
        <v>156</v>
      </c>
      <c r="J2654" s="7" t="s">
        <v>25</v>
      </c>
      <c r="K2654" s="7"/>
      <c r="L2654" s="7"/>
      <c r="M2654" s="7"/>
      <c r="N2654" s="7" t="s">
        <v>170</v>
      </c>
      <c r="O2654" s="7" t="s">
        <v>162</v>
      </c>
      <c r="P2654" s="7" t="s">
        <v>7426</v>
      </c>
      <c r="Q2654" s="129">
        <v>46199</v>
      </c>
      <c r="R2654" s="130">
        <f t="shared" si="282"/>
        <v>46209</v>
      </c>
      <c r="S2654" s="131">
        <f t="shared" si="287"/>
        <v>10</v>
      </c>
      <c r="T2654" s="7" t="s">
        <v>173</v>
      </c>
      <c r="U2654" s="7" t="s">
        <v>207</v>
      </c>
      <c r="V2654" s="7"/>
      <c r="W2654" s="7"/>
      <c r="X2654" s="132">
        <f t="shared" si="285"/>
        <v>10</v>
      </c>
      <c r="Y2654" s="133"/>
      <c r="Z2654" s="133"/>
      <c r="AA2654" s="133"/>
    </row>
    <row r="2655" spans="1:27" hidden="1" x14ac:dyDescent="0.25">
      <c r="A2655" s="133"/>
      <c r="B2655" s="128" t="str">
        <f t="shared" si="286"/>
        <v>TORT</v>
      </c>
      <c r="C2655" s="128" t="str">
        <f>+VLOOKUP(U2655,Ходим!A:B,2,0)</f>
        <v>40302922130046</v>
      </c>
      <c r="D2655" s="128" t="str">
        <f>IFERROR(VLOOKUP($B:$B,[20]свод!$A:$AB,3,0)," ")</f>
        <v>Тўрақўрғон тумани</v>
      </c>
      <c r="E2655" s="7" t="s">
        <v>3787</v>
      </c>
      <c r="F2655" s="7" t="s">
        <v>10154</v>
      </c>
      <c r="G2655" s="134">
        <f t="shared" si="283"/>
        <v>1</v>
      </c>
      <c r="H2655" s="134" t="str">
        <f t="shared" si="284"/>
        <v/>
      </c>
      <c r="I2655" s="7" t="s">
        <v>158</v>
      </c>
      <c r="J2655" s="7" t="s">
        <v>2</v>
      </c>
      <c r="K2655" s="7"/>
      <c r="L2655" s="7" t="s">
        <v>167</v>
      </c>
      <c r="M2655" s="7" t="s">
        <v>5961</v>
      </c>
      <c r="N2655" s="7" t="s">
        <v>170</v>
      </c>
      <c r="O2655" s="7" t="s">
        <v>162</v>
      </c>
      <c r="P2655" s="7" t="s">
        <v>7425</v>
      </c>
      <c r="Q2655" s="129">
        <v>46199</v>
      </c>
      <c r="R2655" s="130">
        <f t="shared" si="282"/>
        <v>46209</v>
      </c>
      <c r="S2655" s="131">
        <f t="shared" si="287"/>
        <v>10</v>
      </c>
      <c r="T2655" s="7" t="s">
        <v>203</v>
      </c>
      <c r="U2655" s="7" t="s">
        <v>258</v>
      </c>
      <c r="V2655" s="7"/>
      <c r="W2655" s="7">
        <v>513.83000000000004</v>
      </c>
      <c r="X2655" s="132">
        <f t="shared" si="285"/>
        <v>10</v>
      </c>
      <c r="Y2655" s="133"/>
      <c r="Z2655" s="133"/>
      <c r="AA2655" s="133"/>
    </row>
    <row r="2656" spans="1:27" hidden="1" x14ac:dyDescent="0.25">
      <c r="A2656" s="133"/>
      <c r="B2656" s="128" t="str">
        <f t="shared" si="286"/>
        <v>YGQT</v>
      </c>
      <c r="C2656" s="128" t="str">
        <f>+VLOOKUP(U2656,Ходим!A:B,2,0)</f>
        <v>33103892160125</v>
      </c>
      <c r="D2656" s="128" t="str">
        <f>IFERROR(VLOOKUP($B:$B,[20]свод!$A:$AB,3,0)," ")</f>
        <v>Янгиқўрғон тумани</v>
      </c>
      <c r="E2656" s="7" t="s">
        <v>3788</v>
      </c>
      <c r="F2656" s="7" t="s">
        <v>10155</v>
      </c>
      <c r="G2656" s="134">
        <f t="shared" si="283"/>
        <v>1</v>
      </c>
      <c r="H2656" s="134" t="str">
        <f t="shared" si="284"/>
        <v/>
      </c>
      <c r="I2656" s="7" t="s">
        <v>158</v>
      </c>
      <c r="J2656" s="7" t="s">
        <v>2</v>
      </c>
      <c r="K2656" s="7"/>
      <c r="L2656" s="7" t="s">
        <v>167</v>
      </c>
      <c r="M2656" s="7" t="s">
        <v>5962</v>
      </c>
      <c r="N2656" s="7" t="s">
        <v>170</v>
      </c>
      <c r="O2656" s="7" t="s">
        <v>162</v>
      </c>
      <c r="P2656" s="7" t="s">
        <v>6409</v>
      </c>
      <c r="Q2656" s="129">
        <v>46199</v>
      </c>
      <c r="R2656" s="130">
        <f t="shared" si="282"/>
        <v>46204</v>
      </c>
      <c r="S2656" s="131">
        <f t="shared" si="287"/>
        <v>5</v>
      </c>
      <c r="T2656" s="7" t="s">
        <v>255</v>
      </c>
      <c r="U2656" s="7" t="s">
        <v>183</v>
      </c>
      <c r="V2656" s="7"/>
      <c r="W2656" s="7">
        <v>103.88</v>
      </c>
      <c r="X2656" s="132">
        <f t="shared" si="285"/>
        <v>10</v>
      </c>
      <c r="Y2656" s="133"/>
      <c r="Z2656" s="133"/>
      <c r="AA2656" s="133"/>
    </row>
    <row r="2657" spans="1:27" hidden="1" x14ac:dyDescent="0.25">
      <c r="A2657" s="133"/>
      <c r="B2657" s="128" t="str">
        <f t="shared" si="286"/>
        <v>KSST</v>
      </c>
      <c r="C2657" s="128" t="str">
        <f>+VLOOKUP(U2657,Ходим!A:B,2,0)</f>
        <v>52812015980061</v>
      </c>
      <c r="D2657" s="128" t="str">
        <f>IFERROR(VLOOKUP($B:$B,[20]свод!$A:$AB,3,0)," ")</f>
        <v>Косонсой тумани</v>
      </c>
      <c r="E2657" s="7" t="s">
        <v>3789</v>
      </c>
      <c r="F2657" s="7" t="s">
        <v>10156</v>
      </c>
      <c r="G2657" s="134">
        <f t="shared" si="283"/>
        <v>1</v>
      </c>
      <c r="H2657" s="134" t="str">
        <f t="shared" si="284"/>
        <v/>
      </c>
      <c r="I2657" s="7" t="s">
        <v>158</v>
      </c>
      <c r="J2657" s="7" t="s">
        <v>2</v>
      </c>
      <c r="K2657" s="7"/>
      <c r="L2657" s="7" t="s">
        <v>167</v>
      </c>
      <c r="M2657" s="7" t="s">
        <v>5963</v>
      </c>
      <c r="N2657" s="7" t="s">
        <v>170</v>
      </c>
      <c r="O2657" s="7" t="s">
        <v>162</v>
      </c>
      <c r="P2657" s="7" t="s">
        <v>7387</v>
      </c>
      <c r="Q2657" s="129">
        <v>46199</v>
      </c>
      <c r="R2657" s="130">
        <f t="shared" si="282"/>
        <v>46209</v>
      </c>
      <c r="S2657" s="131">
        <f t="shared" si="287"/>
        <v>10</v>
      </c>
      <c r="T2657" s="7" t="s">
        <v>180</v>
      </c>
      <c r="U2657" s="7" t="s">
        <v>307</v>
      </c>
      <c r="V2657" s="7"/>
      <c r="W2657" s="7">
        <v>172.4</v>
      </c>
      <c r="X2657" s="132">
        <f t="shared" si="285"/>
        <v>10</v>
      </c>
      <c r="Y2657" s="133"/>
      <c r="Z2657" s="133"/>
      <c r="AA2657" s="133"/>
    </row>
    <row r="2658" spans="1:27" hidden="1" x14ac:dyDescent="0.25">
      <c r="A2658" s="133"/>
      <c r="B2658" s="128" t="str">
        <f t="shared" si="286"/>
        <v>NAMS</v>
      </c>
      <c r="C2658" s="128" t="str">
        <f>+VLOOKUP(U2658,Ходим!A:B,2,0)</f>
        <v>31007955980023</v>
      </c>
      <c r="D2658" s="128" t="str">
        <f>IFERROR(VLOOKUP($B:$B,[20]свод!$A:$AB,3,0)," ")</f>
        <v>Наманган шаҳар</v>
      </c>
      <c r="E2658" s="7" t="s">
        <v>3790</v>
      </c>
      <c r="F2658" s="7" t="s">
        <v>10157</v>
      </c>
      <c r="G2658" s="134">
        <f t="shared" si="283"/>
        <v>1</v>
      </c>
      <c r="H2658" s="134" t="str">
        <f t="shared" si="284"/>
        <v/>
      </c>
      <c r="I2658" s="7" t="s">
        <v>156</v>
      </c>
      <c r="J2658" s="7" t="s">
        <v>25</v>
      </c>
      <c r="K2658" s="7"/>
      <c r="L2658" s="7"/>
      <c r="M2658" s="7"/>
      <c r="N2658" s="7" t="s">
        <v>170</v>
      </c>
      <c r="O2658" s="7" t="s">
        <v>162</v>
      </c>
      <c r="P2658" s="7" t="s">
        <v>7427</v>
      </c>
      <c r="Q2658" s="129">
        <v>46199</v>
      </c>
      <c r="R2658" s="130">
        <f t="shared" si="282"/>
        <v>46209</v>
      </c>
      <c r="S2658" s="131">
        <f t="shared" si="287"/>
        <v>10</v>
      </c>
      <c r="T2658" s="7" t="s">
        <v>173</v>
      </c>
      <c r="U2658" s="7" t="s">
        <v>207</v>
      </c>
      <c r="V2658" s="7"/>
      <c r="W2658" s="7"/>
      <c r="X2658" s="132">
        <f t="shared" si="285"/>
        <v>10</v>
      </c>
      <c r="Y2658" s="133"/>
      <c r="Z2658" s="133"/>
      <c r="AA2658" s="133"/>
    </row>
    <row r="2659" spans="1:27" hidden="1" x14ac:dyDescent="0.25">
      <c r="A2659" s="133"/>
      <c r="B2659" s="128" t="str">
        <f t="shared" si="286"/>
        <v>NAMT</v>
      </c>
      <c r="C2659" s="128" t="str">
        <f>+VLOOKUP(U2659,Ходим!A:B,2,0)</f>
        <v>31702942090041</v>
      </c>
      <c r="D2659" s="128" t="str">
        <f>IFERROR(VLOOKUP($B:$B,[20]свод!$A:$AB,3,0)," ")</f>
        <v>Наманган тумани</v>
      </c>
      <c r="E2659" s="7" t="s">
        <v>3791</v>
      </c>
      <c r="F2659" s="7" t="s">
        <v>10158</v>
      </c>
      <c r="G2659" s="134">
        <f t="shared" si="283"/>
        <v>1</v>
      </c>
      <c r="H2659" s="134" t="str">
        <f t="shared" si="284"/>
        <v/>
      </c>
      <c r="I2659" s="7" t="s">
        <v>158</v>
      </c>
      <c r="J2659" s="7" t="s">
        <v>2</v>
      </c>
      <c r="K2659" s="7"/>
      <c r="L2659" s="7" t="s">
        <v>167</v>
      </c>
      <c r="M2659" s="7" t="s">
        <v>5964</v>
      </c>
      <c r="N2659" s="7" t="s">
        <v>170</v>
      </c>
      <c r="O2659" s="7" t="s">
        <v>162</v>
      </c>
      <c r="P2659" s="7" t="s">
        <v>7427</v>
      </c>
      <c r="Q2659" s="129">
        <v>46199</v>
      </c>
      <c r="R2659" s="130">
        <f t="shared" ref="R2659:R2722" si="288">WORKDAY(P2659,X2659,$Y$1:$AA$1)</f>
        <v>46209</v>
      </c>
      <c r="S2659" s="131">
        <f t="shared" si="287"/>
        <v>10</v>
      </c>
      <c r="T2659" s="7" t="s">
        <v>193</v>
      </c>
      <c r="U2659" s="7" t="s">
        <v>194</v>
      </c>
      <c r="V2659" s="7"/>
      <c r="W2659" s="7">
        <v>327.62</v>
      </c>
      <c r="X2659" s="132">
        <f t="shared" si="285"/>
        <v>10</v>
      </c>
      <c r="Y2659" s="133"/>
      <c r="Z2659" s="133"/>
      <c r="AA2659" s="133"/>
    </row>
    <row r="2660" spans="1:27" hidden="1" x14ac:dyDescent="0.25">
      <c r="A2660" s="133"/>
      <c r="B2660" s="128" t="str">
        <f t="shared" si="286"/>
        <v>YGQT</v>
      </c>
      <c r="C2660" s="128" t="str">
        <f>+VLOOKUP(U2660,Ходим!A:B,2,0)</f>
        <v>30903902160122</v>
      </c>
      <c r="D2660" s="128" t="str">
        <f>IFERROR(VLOOKUP($B:$B,[20]свод!$A:$AB,3,0)," ")</f>
        <v>Янгиқўрғон тумани</v>
      </c>
      <c r="E2660" s="7" t="s">
        <v>3792</v>
      </c>
      <c r="F2660" s="7" t="s">
        <v>10159</v>
      </c>
      <c r="G2660" s="134" t="str">
        <f t="shared" si="283"/>
        <v/>
      </c>
      <c r="H2660" s="134">
        <f t="shared" si="284"/>
        <v>1</v>
      </c>
      <c r="I2660" s="7" t="s">
        <v>157</v>
      </c>
      <c r="J2660" s="7" t="s">
        <v>134</v>
      </c>
      <c r="K2660" s="7"/>
      <c r="L2660" s="7"/>
      <c r="M2660" s="7"/>
      <c r="N2660" s="7" t="s">
        <v>410</v>
      </c>
      <c r="O2660" s="7" t="s">
        <v>161</v>
      </c>
      <c r="P2660" s="7" t="s">
        <v>7425</v>
      </c>
      <c r="Q2660" s="129">
        <v>46199</v>
      </c>
      <c r="R2660" s="130">
        <f t="shared" si="288"/>
        <v>46209</v>
      </c>
      <c r="S2660" s="131">
        <f t="shared" si="287"/>
        <v>10</v>
      </c>
      <c r="T2660" s="7" t="s">
        <v>182</v>
      </c>
      <c r="U2660" s="7" t="s">
        <v>230</v>
      </c>
      <c r="V2660" s="7"/>
      <c r="W2660" s="7"/>
      <c r="X2660" s="132">
        <f t="shared" si="285"/>
        <v>10</v>
      </c>
      <c r="Y2660" s="133"/>
      <c r="Z2660" s="133"/>
      <c r="AA2660" s="133"/>
    </row>
    <row r="2661" spans="1:27" hidden="1" x14ac:dyDescent="0.25">
      <c r="A2661" s="133"/>
      <c r="B2661" s="128" t="str">
        <f t="shared" si="286"/>
        <v>NAMT</v>
      </c>
      <c r="C2661" s="128" t="str">
        <f>+VLOOKUP(U2661,Ходим!A:B,2,0)</f>
        <v>52012025880014</v>
      </c>
      <c r="D2661" s="128" t="str">
        <f>IFERROR(VLOOKUP($B:$B,[20]свод!$A:$AB,3,0)," ")</f>
        <v>Наманган тумани</v>
      </c>
      <c r="E2661" s="7" t="s">
        <v>3793</v>
      </c>
      <c r="F2661" s="7" t="s">
        <v>10160</v>
      </c>
      <c r="G2661" s="134">
        <f t="shared" si="283"/>
        <v>1</v>
      </c>
      <c r="H2661" s="134" t="str">
        <f t="shared" si="284"/>
        <v/>
      </c>
      <c r="I2661" s="7" t="s">
        <v>158</v>
      </c>
      <c r="J2661" s="7" t="s">
        <v>2</v>
      </c>
      <c r="K2661" s="7"/>
      <c r="L2661" s="7" t="s">
        <v>167</v>
      </c>
      <c r="M2661" s="7" t="s">
        <v>5965</v>
      </c>
      <c r="N2661" s="7" t="s">
        <v>170</v>
      </c>
      <c r="O2661" s="7" t="s">
        <v>162</v>
      </c>
      <c r="P2661" s="7" t="s">
        <v>7427</v>
      </c>
      <c r="Q2661" s="129">
        <v>46199</v>
      </c>
      <c r="R2661" s="130">
        <f t="shared" si="288"/>
        <v>46209</v>
      </c>
      <c r="S2661" s="131">
        <f t="shared" si="287"/>
        <v>10</v>
      </c>
      <c r="T2661" s="7" t="s">
        <v>193</v>
      </c>
      <c r="U2661" s="7" t="s">
        <v>216</v>
      </c>
      <c r="V2661" s="7"/>
      <c r="W2661" s="7">
        <v>503.34</v>
      </c>
      <c r="X2661" s="132">
        <f t="shared" si="285"/>
        <v>10</v>
      </c>
      <c r="Y2661" s="133"/>
      <c r="Z2661" s="133"/>
      <c r="AA2661" s="133"/>
    </row>
    <row r="2662" spans="1:27" hidden="1" x14ac:dyDescent="0.25">
      <c r="A2662" s="133"/>
      <c r="B2662" s="128" t="str">
        <f t="shared" si="286"/>
        <v>UCQT</v>
      </c>
      <c r="C2662" s="128" t="e">
        <f>+VLOOKUP(U2662,Ходим!A:B,2,0)</f>
        <v>#N/A</v>
      </c>
      <c r="D2662" s="128" t="str">
        <f>IFERROR(VLOOKUP($B:$B,[20]свод!$A:$AB,3,0)," ")</f>
        <v>Учқўрғон тумани</v>
      </c>
      <c r="E2662" s="7" t="s">
        <v>3794</v>
      </c>
      <c r="F2662" s="7" t="s">
        <v>10161</v>
      </c>
      <c r="G2662" s="134" t="str">
        <f t="shared" si="283"/>
        <v/>
      </c>
      <c r="H2662" s="134">
        <f t="shared" si="284"/>
        <v>1</v>
      </c>
      <c r="I2662" s="7" t="s">
        <v>155</v>
      </c>
      <c r="J2662" s="7" t="s">
        <v>11</v>
      </c>
      <c r="K2662" s="7"/>
      <c r="L2662" s="7"/>
      <c r="M2662" s="7"/>
      <c r="N2662" s="7" t="s">
        <v>410</v>
      </c>
      <c r="O2662" s="7" t="s">
        <v>161</v>
      </c>
      <c r="P2662" s="7" t="s">
        <v>7427</v>
      </c>
      <c r="Q2662" s="129">
        <v>46199</v>
      </c>
      <c r="R2662" s="130">
        <f t="shared" si="288"/>
        <v>46209</v>
      </c>
      <c r="S2662" s="131">
        <f t="shared" si="287"/>
        <v>10</v>
      </c>
      <c r="T2662" s="7"/>
      <c r="U2662" s="7"/>
      <c r="V2662" s="7"/>
      <c r="W2662" s="7"/>
      <c r="X2662" s="132">
        <f t="shared" si="285"/>
        <v>10</v>
      </c>
      <c r="Y2662" s="133"/>
      <c r="Z2662" s="133"/>
      <c r="AA2662" s="133"/>
    </row>
    <row r="2663" spans="1:27" hidden="1" x14ac:dyDescent="0.25">
      <c r="A2663" s="133"/>
      <c r="B2663" s="128" t="str">
        <f t="shared" si="286"/>
        <v>KSST</v>
      </c>
      <c r="C2663" s="128" t="str">
        <f>+VLOOKUP(U2663,Ходим!A:B,2,0)</f>
        <v>32910975980025</v>
      </c>
      <c r="D2663" s="128" t="str">
        <f>IFERROR(VLOOKUP($B:$B,[20]свод!$A:$AB,3,0)," ")</f>
        <v>Косонсой тумани</v>
      </c>
      <c r="E2663" s="7" t="s">
        <v>3795</v>
      </c>
      <c r="F2663" s="7" t="s">
        <v>10162</v>
      </c>
      <c r="G2663" s="134">
        <f t="shared" ref="G2663:G2726" si="289">IF(OR(
I2663="Turar joy obyektning kadastr pasportini shakllantirish va davlat ro'yxatidan o'tkazish",
I2663="Turar kompozit"
),
1,
IF(OR(
I2663="Noturar kompozit",
I2663="Avtoyo'l va suv xo'jaligi obyektining kadastr pasportini shakllantirish va ro'yxatga olish",
I2663="Noturar obyektning kadastr pasportining kadastr pasportini shakllantirish va davlat ro'yxatidan o'tkazish"
),
"",
IF(OR(
I2663="Notarius uchun ma'lumotnoma (uz)",
I2663="Qurilishi tugallangan ko'chmas mulkni foydalanishga qabul qilish",
I2663="Umumiy foydalanishdagi ko'chmas mulk qismini yaratish",
I2663="Registratsiya (tashqi - UZKAD da bor)"
),
IF(OR(L2663="Turar yer maydoni",L2663="Yakka tartibdagi turar joy"),1,
IF(L2663="Noturar bino","",
IF(L2663="Noturar yer maydoni","",
IF(L2663="",IF(OR(O2663="Turar joy xizmati",O2663="Foydalanishga ruxsatnoma berish xizmati"),1,""),"")
))),
"")))</f>
        <v>1</v>
      </c>
      <c r="H2663" s="134" t="str">
        <f t="shared" ref="H2663:H2726" si="290">IF(OR(
I2663="Turar joy obyektning kadastr pasportini shakllantirish va davlat ro'yxatidan o'tkazish",
I2663="Turar kompozit"
),
"",
IF(OR(
I2663="Noturar kompozit",
I2663="Avtoyo'l va suv xo'jaligi obyektining kadastr pasportini shakllantirish va ro'yxatga olish",
I2663="Noturar obyektning kadastr pasportini shakllantirish va davlat ro'yxatidan o'tkazish"
),
1,
IF(OR(
I2663="Notarius uchun ma'lumotnoma (uz)",
I2663="Qurilishi tugallangan ko'chmas mulkni foydalanishga qabul qilish",
I2663="Umumiy foydalanishdagi ko'chmas mulk qismini yaratish",
I2663="Registratsiya (tashqi - UZKAD da bor)"
),
IF(OR(L2663="Turar yer maydoni",L2663="Yakka tartibdagi turar joy"),"",
IF(L2663="Noturar bino",1,
IF(L2663="Noturar yer maydoni",1,
IF(L2663="",IF(OR(O2663="Turar joy xizmati",O2663="Foydalanishga ruxsatnoma berish xizmati"),"",1),"")
))),
"")))</f>
        <v/>
      </c>
      <c r="I2663" s="7" t="s">
        <v>158</v>
      </c>
      <c r="J2663" s="7" t="s">
        <v>2</v>
      </c>
      <c r="K2663" s="7"/>
      <c r="L2663" s="7" t="s">
        <v>167</v>
      </c>
      <c r="M2663" s="7" t="s">
        <v>5966</v>
      </c>
      <c r="N2663" s="7" t="s">
        <v>170</v>
      </c>
      <c r="O2663" s="7" t="s">
        <v>162</v>
      </c>
      <c r="P2663" s="7" t="s">
        <v>7425</v>
      </c>
      <c r="Q2663" s="129">
        <v>46199</v>
      </c>
      <c r="R2663" s="130">
        <f t="shared" si="288"/>
        <v>46209</v>
      </c>
      <c r="S2663" s="131">
        <f t="shared" si="287"/>
        <v>10</v>
      </c>
      <c r="T2663" s="7" t="s">
        <v>180</v>
      </c>
      <c r="U2663" s="7" t="s">
        <v>187</v>
      </c>
      <c r="V2663" s="7"/>
      <c r="W2663" s="7">
        <v>295.66000000000003</v>
      </c>
      <c r="X2663" s="132">
        <f t="shared" si="285"/>
        <v>10</v>
      </c>
      <c r="Y2663" s="133"/>
      <c r="Z2663" s="133"/>
      <c r="AA2663" s="133"/>
    </row>
    <row r="2664" spans="1:27" hidden="1" x14ac:dyDescent="0.25">
      <c r="A2664" s="133"/>
      <c r="B2664" s="128" t="str">
        <f t="shared" si="286"/>
        <v>NAMS</v>
      </c>
      <c r="C2664" s="128" t="str">
        <f>+VLOOKUP(U2664,Ходим!A:B,2,0)</f>
        <v>51705025890024</v>
      </c>
      <c r="D2664" s="128" t="str">
        <f>IFERROR(VLOOKUP($B:$B,[20]свод!$A:$AB,3,0)," ")</f>
        <v>Наманган шаҳар</v>
      </c>
      <c r="E2664" s="7" t="s">
        <v>3796</v>
      </c>
      <c r="F2664" s="7" t="s">
        <v>10163</v>
      </c>
      <c r="G2664" s="134">
        <f t="shared" si="289"/>
        <v>1</v>
      </c>
      <c r="H2664" s="134" t="str">
        <f t="shared" si="290"/>
        <v/>
      </c>
      <c r="I2664" s="7" t="s">
        <v>158</v>
      </c>
      <c r="J2664" s="7" t="s">
        <v>2</v>
      </c>
      <c r="K2664" s="7"/>
      <c r="L2664" s="7" t="s">
        <v>167</v>
      </c>
      <c r="M2664" s="7" t="s">
        <v>5967</v>
      </c>
      <c r="N2664" s="7" t="s">
        <v>170</v>
      </c>
      <c r="O2664" s="7" t="s">
        <v>162</v>
      </c>
      <c r="P2664" s="7" t="s">
        <v>7368</v>
      </c>
      <c r="Q2664" s="129">
        <v>46199</v>
      </c>
      <c r="R2664" s="130">
        <f t="shared" si="288"/>
        <v>46209</v>
      </c>
      <c r="S2664" s="131">
        <f t="shared" si="287"/>
        <v>10</v>
      </c>
      <c r="T2664" s="7" t="s">
        <v>185</v>
      </c>
      <c r="U2664" s="7" t="s">
        <v>189</v>
      </c>
      <c r="V2664" s="7"/>
      <c r="W2664" s="7">
        <v>0</v>
      </c>
      <c r="X2664" s="132">
        <f t="shared" si="285"/>
        <v>10</v>
      </c>
      <c r="Y2664" s="133"/>
      <c r="Z2664" s="133"/>
      <c r="AA2664" s="133"/>
    </row>
    <row r="2665" spans="1:27" hidden="1" x14ac:dyDescent="0.25">
      <c r="A2665" s="133"/>
      <c r="B2665" s="128" t="str">
        <f t="shared" si="286"/>
        <v>NORT</v>
      </c>
      <c r="C2665" s="128" t="str">
        <f>+VLOOKUP(U2665,Ходим!A:B,2,0)</f>
        <v>31709822110011</v>
      </c>
      <c r="D2665" s="128" t="str">
        <f>IFERROR(VLOOKUP($B:$B,[20]свод!$A:$AB,3,0)," ")</f>
        <v>Норин тумани</v>
      </c>
      <c r="E2665" s="7" t="s">
        <v>3797</v>
      </c>
      <c r="F2665" s="7" t="s">
        <v>10164</v>
      </c>
      <c r="G2665" s="134" t="str">
        <f t="shared" si="289"/>
        <v/>
      </c>
      <c r="H2665" s="134">
        <f t="shared" si="290"/>
        <v>1</v>
      </c>
      <c r="I2665" s="7" t="s">
        <v>157</v>
      </c>
      <c r="J2665" s="7" t="s">
        <v>16</v>
      </c>
      <c r="K2665" s="7"/>
      <c r="L2665" s="7" t="s">
        <v>166</v>
      </c>
      <c r="M2665" s="7" t="s">
        <v>5968</v>
      </c>
      <c r="N2665" s="7" t="s">
        <v>170</v>
      </c>
      <c r="O2665" s="7" t="s">
        <v>161</v>
      </c>
      <c r="P2665" s="7" t="s">
        <v>7383</v>
      </c>
      <c r="Q2665" s="129">
        <v>46199</v>
      </c>
      <c r="R2665" s="130">
        <f t="shared" si="288"/>
        <v>46211</v>
      </c>
      <c r="S2665" s="131">
        <f t="shared" si="287"/>
        <v>12</v>
      </c>
      <c r="T2665" s="7" t="s">
        <v>210</v>
      </c>
      <c r="U2665" s="7" t="s">
        <v>354</v>
      </c>
      <c r="V2665" s="7"/>
      <c r="W2665" s="7">
        <v>241.2</v>
      </c>
      <c r="X2665" s="132">
        <f t="shared" si="285"/>
        <v>12</v>
      </c>
      <c r="Y2665" s="133"/>
      <c r="Z2665" s="133"/>
      <c r="AA2665" s="133"/>
    </row>
    <row r="2666" spans="1:27" hidden="1" x14ac:dyDescent="0.25">
      <c r="A2666" s="133"/>
      <c r="B2666" s="128" t="str">
        <f t="shared" si="286"/>
        <v>KSST</v>
      </c>
      <c r="C2666" s="128" t="e">
        <f>+VLOOKUP(U2666,Ходим!A:B,2,0)</f>
        <v>#N/A</v>
      </c>
      <c r="D2666" s="128" t="str">
        <f>IFERROR(VLOOKUP($B:$B,[20]свод!$A:$AB,3,0)," ")</f>
        <v>Косонсой тумани</v>
      </c>
      <c r="E2666" s="7" t="s">
        <v>3798</v>
      </c>
      <c r="F2666" s="7" t="s">
        <v>10165</v>
      </c>
      <c r="G2666" s="134">
        <f t="shared" si="289"/>
        <v>1</v>
      </c>
      <c r="H2666" s="134" t="str">
        <f t="shared" si="290"/>
        <v/>
      </c>
      <c r="I2666" s="7" t="s">
        <v>156</v>
      </c>
      <c r="J2666" s="7" t="s">
        <v>22</v>
      </c>
      <c r="K2666" s="7"/>
      <c r="L2666" s="7" t="s">
        <v>167</v>
      </c>
      <c r="M2666" s="7" t="s">
        <v>5969</v>
      </c>
      <c r="N2666" s="7" t="s">
        <v>170</v>
      </c>
      <c r="O2666" s="7" t="s">
        <v>162</v>
      </c>
      <c r="P2666" s="7" t="s">
        <v>7417</v>
      </c>
      <c r="Q2666" s="129">
        <v>46199</v>
      </c>
      <c r="R2666" s="130">
        <f t="shared" si="288"/>
        <v>46209</v>
      </c>
      <c r="S2666" s="131">
        <f t="shared" si="287"/>
        <v>10</v>
      </c>
      <c r="T2666" s="7" t="s">
        <v>180</v>
      </c>
      <c r="U2666" s="7" t="s">
        <v>10636</v>
      </c>
      <c r="V2666" s="7"/>
      <c r="W2666" s="7">
        <v>95.4</v>
      </c>
      <c r="X2666" s="132">
        <f t="shared" si="285"/>
        <v>10</v>
      </c>
      <c r="Y2666" s="133"/>
      <c r="Z2666" s="133"/>
      <c r="AA2666" s="133"/>
    </row>
    <row r="2667" spans="1:27" hidden="1" x14ac:dyDescent="0.25">
      <c r="A2667" s="133"/>
      <c r="B2667" s="128" t="str">
        <f t="shared" si="286"/>
        <v>KSST</v>
      </c>
      <c r="C2667" s="128" t="str">
        <f>+VLOOKUP(U2667,Ходим!A:B,2,0)</f>
        <v>31407932190092</v>
      </c>
      <c r="D2667" s="128" t="str">
        <f>IFERROR(VLOOKUP($B:$B,[20]свод!$A:$AB,3,0)," ")</f>
        <v>Косонсой тумани</v>
      </c>
      <c r="E2667" s="7" t="s">
        <v>3799</v>
      </c>
      <c r="F2667" s="7" t="s">
        <v>10166</v>
      </c>
      <c r="G2667" s="134">
        <f t="shared" si="289"/>
        <v>1</v>
      </c>
      <c r="H2667" s="134" t="str">
        <f t="shared" si="290"/>
        <v/>
      </c>
      <c r="I2667" s="7" t="s">
        <v>158</v>
      </c>
      <c r="J2667" s="7" t="s">
        <v>2</v>
      </c>
      <c r="K2667" s="7"/>
      <c r="L2667" s="7" t="s">
        <v>167</v>
      </c>
      <c r="M2667" s="7" t="s">
        <v>5970</v>
      </c>
      <c r="N2667" s="7" t="s">
        <v>170</v>
      </c>
      <c r="O2667" s="7" t="s">
        <v>162</v>
      </c>
      <c r="P2667" s="7" t="s">
        <v>7411</v>
      </c>
      <c r="Q2667" s="129">
        <v>46199</v>
      </c>
      <c r="R2667" s="130">
        <f t="shared" si="288"/>
        <v>46209</v>
      </c>
      <c r="S2667" s="131">
        <f t="shared" si="287"/>
        <v>10</v>
      </c>
      <c r="T2667" s="7" t="s">
        <v>180</v>
      </c>
      <c r="U2667" s="7" t="s">
        <v>188</v>
      </c>
      <c r="V2667" s="7"/>
      <c r="W2667" s="7">
        <v>0</v>
      </c>
      <c r="X2667" s="132">
        <f t="shared" si="285"/>
        <v>10</v>
      </c>
      <c r="Y2667" s="133"/>
      <c r="Z2667" s="133"/>
      <c r="AA2667" s="133"/>
    </row>
    <row r="2668" spans="1:27" hidden="1" x14ac:dyDescent="0.25">
      <c r="A2668" s="133"/>
      <c r="B2668" s="128" t="str">
        <f t="shared" si="286"/>
        <v>KSST</v>
      </c>
      <c r="C2668" s="128" t="str">
        <f>+VLOOKUP(U2668,Ходим!A:B,2,0)</f>
        <v>31407932190092</v>
      </c>
      <c r="D2668" s="128" t="str">
        <f>IFERROR(VLOOKUP($B:$B,[20]свод!$A:$AB,3,0)," ")</f>
        <v>Косонсой тумани</v>
      </c>
      <c r="E2668" s="7" t="s">
        <v>3800</v>
      </c>
      <c r="F2668" s="7" t="s">
        <v>10167</v>
      </c>
      <c r="G2668" s="134">
        <f t="shared" si="289"/>
        <v>1</v>
      </c>
      <c r="H2668" s="134" t="str">
        <f t="shared" si="290"/>
        <v/>
      </c>
      <c r="I2668" s="7" t="s">
        <v>158</v>
      </c>
      <c r="J2668" s="7" t="s">
        <v>2</v>
      </c>
      <c r="K2668" s="7"/>
      <c r="L2668" s="7" t="s">
        <v>167</v>
      </c>
      <c r="M2668" s="7" t="s">
        <v>5971</v>
      </c>
      <c r="N2668" s="7" t="s">
        <v>410</v>
      </c>
      <c r="O2668" s="7" t="s">
        <v>162</v>
      </c>
      <c r="P2668" s="7" t="s">
        <v>7428</v>
      </c>
      <c r="Q2668" s="129">
        <v>46199</v>
      </c>
      <c r="R2668" s="130">
        <f t="shared" si="288"/>
        <v>46209</v>
      </c>
      <c r="S2668" s="131">
        <f t="shared" si="287"/>
        <v>10</v>
      </c>
      <c r="T2668" s="7" t="s">
        <v>180</v>
      </c>
      <c r="U2668" s="7" t="s">
        <v>188</v>
      </c>
      <c r="V2668" s="7"/>
      <c r="W2668" s="7">
        <v>41.3</v>
      </c>
      <c r="X2668" s="132">
        <f t="shared" si="285"/>
        <v>10</v>
      </c>
      <c r="Y2668" s="133"/>
      <c r="Z2668" s="133"/>
      <c r="AA2668" s="133"/>
    </row>
    <row r="2669" spans="1:27" hidden="1" x14ac:dyDescent="0.25">
      <c r="A2669" s="133"/>
      <c r="B2669" s="128" t="str">
        <f t="shared" si="286"/>
        <v>NAMS</v>
      </c>
      <c r="C2669" s="128" t="str">
        <f>+VLOOKUP(U2669,Ходим!A:B,2,0)</f>
        <v>31312985950011</v>
      </c>
      <c r="D2669" s="128" t="str">
        <f>IFERROR(VLOOKUP($B:$B,[20]свод!$A:$AB,3,0)," ")</f>
        <v>Наманган шаҳар</v>
      </c>
      <c r="E2669" s="7" t="s">
        <v>3801</v>
      </c>
      <c r="F2669" s="7" t="s">
        <v>10168</v>
      </c>
      <c r="G2669" s="134" t="str">
        <f t="shared" si="289"/>
        <v/>
      </c>
      <c r="H2669" s="134">
        <f t="shared" si="290"/>
        <v>1</v>
      </c>
      <c r="I2669" s="7" t="s">
        <v>154</v>
      </c>
      <c r="J2669" s="7" t="s">
        <v>2</v>
      </c>
      <c r="K2669" s="7"/>
      <c r="L2669" s="7" t="s">
        <v>166</v>
      </c>
      <c r="M2669" s="7" t="s">
        <v>5972</v>
      </c>
      <c r="N2669" s="7" t="s">
        <v>170</v>
      </c>
      <c r="O2669" s="7" t="s">
        <v>161</v>
      </c>
      <c r="P2669" s="7" t="s">
        <v>7429</v>
      </c>
      <c r="Q2669" s="129">
        <v>46199</v>
      </c>
      <c r="R2669" s="130">
        <f t="shared" si="288"/>
        <v>46209</v>
      </c>
      <c r="S2669" s="131">
        <f t="shared" si="287"/>
        <v>10</v>
      </c>
      <c r="T2669" s="7" t="s">
        <v>173</v>
      </c>
      <c r="U2669" s="7" t="s">
        <v>303</v>
      </c>
      <c r="V2669" s="7"/>
      <c r="W2669" s="7">
        <v>59.19</v>
      </c>
      <c r="X2669" s="132">
        <f t="shared" si="285"/>
        <v>10</v>
      </c>
      <c r="Y2669" s="133"/>
      <c r="Z2669" s="133"/>
      <c r="AA2669" s="133"/>
    </row>
    <row r="2670" spans="1:27" hidden="1" x14ac:dyDescent="0.25">
      <c r="A2670" s="133"/>
      <c r="B2670" s="128" t="str">
        <f t="shared" si="286"/>
        <v>YGQT</v>
      </c>
      <c r="C2670" s="128" t="str">
        <f>+VLOOKUP(U2670,Ходим!A:B,2,0)</f>
        <v>30502995950058</v>
      </c>
      <c r="D2670" s="128" t="str">
        <f>IFERROR(VLOOKUP($B:$B,[20]свод!$A:$AB,3,0)," ")</f>
        <v>Янгиқўрғон тумани</v>
      </c>
      <c r="E2670" s="7" t="s">
        <v>3802</v>
      </c>
      <c r="F2670" s="7" t="s">
        <v>10169</v>
      </c>
      <c r="G2670" s="134">
        <f t="shared" si="289"/>
        <v>1</v>
      </c>
      <c r="H2670" s="134" t="str">
        <f t="shared" si="290"/>
        <v/>
      </c>
      <c r="I2670" s="7" t="s">
        <v>156</v>
      </c>
      <c r="J2670" s="7" t="s">
        <v>25</v>
      </c>
      <c r="K2670" s="7"/>
      <c r="L2670" s="7" t="s">
        <v>167</v>
      </c>
      <c r="M2670" s="7" t="s">
        <v>5973</v>
      </c>
      <c r="N2670" s="7" t="s">
        <v>170</v>
      </c>
      <c r="O2670" s="7" t="s">
        <v>162</v>
      </c>
      <c r="P2670" s="7" t="s">
        <v>7429</v>
      </c>
      <c r="Q2670" s="129">
        <v>46199</v>
      </c>
      <c r="R2670" s="130">
        <f t="shared" si="288"/>
        <v>46209</v>
      </c>
      <c r="S2670" s="131">
        <f t="shared" si="287"/>
        <v>10</v>
      </c>
      <c r="T2670" s="7" t="s">
        <v>182</v>
      </c>
      <c r="U2670" s="7" t="s">
        <v>340</v>
      </c>
      <c r="V2670" s="7"/>
      <c r="W2670" s="7">
        <v>409.2</v>
      </c>
      <c r="X2670" s="132">
        <f t="shared" si="285"/>
        <v>10</v>
      </c>
      <c r="Y2670" s="133"/>
      <c r="Z2670" s="133"/>
      <c r="AA2670" s="133"/>
    </row>
    <row r="2671" spans="1:27" hidden="1" x14ac:dyDescent="0.25">
      <c r="A2671" s="133"/>
      <c r="B2671" s="128" t="str">
        <f t="shared" si="286"/>
        <v>TORT</v>
      </c>
      <c r="C2671" s="128" t="str">
        <f>+VLOOKUP(U2671,Ходим!A:B,2,0)</f>
        <v>32211772130034</v>
      </c>
      <c r="D2671" s="128" t="str">
        <f>IFERROR(VLOOKUP($B:$B,[20]свод!$A:$AB,3,0)," ")</f>
        <v>Тўрақўрғон тумани</v>
      </c>
      <c r="E2671" s="7" t="s">
        <v>3803</v>
      </c>
      <c r="F2671" s="7" t="s">
        <v>10170</v>
      </c>
      <c r="G2671" s="134">
        <f t="shared" si="289"/>
        <v>1</v>
      </c>
      <c r="H2671" s="134" t="str">
        <f t="shared" si="290"/>
        <v/>
      </c>
      <c r="I2671" s="7" t="s">
        <v>158</v>
      </c>
      <c r="J2671" s="7" t="s">
        <v>1</v>
      </c>
      <c r="K2671" s="7"/>
      <c r="L2671" s="7" t="s">
        <v>167</v>
      </c>
      <c r="M2671" s="7" t="s">
        <v>5974</v>
      </c>
      <c r="N2671" s="7" t="s">
        <v>170</v>
      </c>
      <c r="O2671" s="7" t="s">
        <v>163</v>
      </c>
      <c r="P2671" s="7" t="s">
        <v>6471</v>
      </c>
      <c r="Q2671" s="129">
        <v>46199</v>
      </c>
      <c r="R2671" s="130">
        <f t="shared" si="288"/>
        <v>46209</v>
      </c>
      <c r="S2671" s="131">
        <f t="shared" si="287"/>
        <v>10</v>
      </c>
      <c r="T2671" s="7" t="s">
        <v>203</v>
      </c>
      <c r="U2671" s="7" t="s">
        <v>270</v>
      </c>
      <c r="V2671" s="7"/>
      <c r="W2671" s="7">
        <v>293.11</v>
      </c>
      <c r="X2671" s="132">
        <f t="shared" si="285"/>
        <v>10</v>
      </c>
      <c r="Y2671" s="133"/>
      <c r="Z2671" s="133"/>
      <c r="AA2671" s="133"/>
    </row>
    <row r="2672" spans="1:27" hidden="1" x14ac:dyDescent="0.25">
      <c r="A2672" s="133"/>
      <c r="B2672" s="128" t="str">
        <f t="shared" si="286"/>
        <v>YGQT</v>
      </c>
      <c r="C2672" s="128" t="str">
        <f>+VLOOKUP(U2672,Ходим!A:B,2,0)</f>
        <v>30107965950010</v>
      </c>
      <c r="D2672" s="128" t="str">
        <f>IFERROR(VLOOKUP($B:$B,[20]свод!$A:$AB,3,0)," ")</f>
        <v>Янгиқўрғон тумани</v>
      </c>
      <c r="E2672" s="7" t="s">
        <v>3804</v>
      </c>
      <c r="F2672" s="7" t="s">
        <v>10171</v>
      </c>
      <c r="G2672" s="134" t="str">
        <f t="shared" si="289"/>
        <v/>
      </c>
      <c r="H2672" s="134">
        <f t="shared" si="290"/>
        <v>1</v>
      </c>
      <c r="I2672" s="7" t="s">
        <v>157</v>
      </c>
      <c r="J2672" s="7" t="s">
        <v>172</v>
      </c>
      <c r="K2672" s="7"/>
      <c r="L2672" s="7"/>
      <c r="M2672" s="7"/>
      <c r="N2672" s="7" t="s">
        <v>170</v>
      </c>
      <c r="O2672" s="7" t="s">
        <v>161</v>
      </c>
      <c r="P2672" s="7" t="s">
        <v>6471</v>
      </c>
      <c r="Q2672" s="129">
        <v>46199</v>
      </c>
      <c r="R2672" s="130">
        <f t="shared" si="288"/>
        <v>46209</v>
      </c>
      <c r="S2672" s="131">
        <f t="shared" si="287"/>
        <v>10</v>
      </c>
      <c r="T2672" s="7" t="s">
        <v>255</v>
      </c>
      <c r="U2672" s="7" t="s">
        <v>244</v>
      </c>
      <c r="V2672" s="7"/>
      <c r="W2672" s="7"/>
      <c r="X2672" s="132">
        <f t="shared" si="285"/>
        <v>10</v>
      </c>
      <c r="Y2672" s="133"/>
      <c r="Z2672" s="133"/>
      <c r="AA2672" s="133"/>
    </row>
    <row r="2673" spans="1:27" hidden="1" x14ac:dyDescent="0.25">
      <c r="A2673" s="133"/>
      <c r="B2673" s="128" t="str">
        <f t="shared" si="286"/>
        <v>UCQT</v>
      </c>
      <c r="C2673" s="128" t="e">
        <f>+VLOOKUP(U2673,Ходим!A:B,2,0)</f>
        <v>#N/A</v>
      </c>
      <c r="D2673" s="128" t="str">
        <f>IFERROR(VLOOKUP($B:$B,[20]свод!$A:$AB,3,0)," ")</f>
        <v>Учқўрғон тумани</v>
      </c>
      <c r="E2673" s="7" t="s">
        <v>3805</v>
      </c>
      <c r="F2673" s="7" t="s">
        <v>10172</v>
      </c>
      <c r="G2673" s="134">
        <f t="shared" si="289"/>
        <v>1</v>
      </c>
      <c r="H2673" s="134" t="str">
        <f t="shared" si="290"/>
        <v/>
      </c>
      <c r="I2673" s="7" t="s">
        <v>156</v>
      </c>
      <c r="J2673" s="7" t="s">
        <v>11</v>
      </c>
      <c r="K2673" s="7"/>
      <c r="L2673" s="7" t="s">
        <v>167</v>
      </c>
      <c r="M2673" s="7" t="s">
        <v>5975</v>
      </c>
      <c r="N2673" s="7" t="s">
        <v>170</v>
      </c>
      <c r="O2673" s="7" t="s">
        <v>162</v>
      </c>
      <c r="P2673" s="7" t="s">
        <v>6471</v>
      </c>
      <c r="Q2673" s="129">
        <v>46199</v>
      </c>
      <c r="R2673" s="130">
        <f t="shared" si="288"/>
        <v>46209</v>
      </c>
      <c r="S2673" s="131">
        <f t="shared" si="287"/>
        <v>10</v>
      </c>
      <c r="T2673" s="7" t="s">
        <v>175</v>
      </c>
      <c r="U2673" s="7"/>
      <c r="V2673" s="7"/>
      <c r="W2673" s="7">
        <v>321.89</v>
      </c>
      <c r="X2673" s="132">
        <f t="shared" si="285"/>
        <v>10</v>
      </c>
      <c r="Y2673" s="133"/>
      <c r="Z2673" s="133"/>
      <c r="AA2673" s="133"/>
    </row>
    <row r="2674" spans="1:27" hidden="1" x14ac:dyDescent="0.25">
      <c r="A2674" s="133"/>
      <c r="B2674" s="128" t="str">
        <f t="shared" si="286"/>
        <v>NAMS</v>
      </c>
      <c r="C2674" s="128" t="str">
        <f>+VLOOKUP(U2674,Ходим!A:B,2,0)</f>
        <v>32207925880019</v>
      </c>
      <c r="D2674" s="128" t="str">
        <f>IFERROR(VLOOKUP($B:$B,[20]свод!$A:$AB,3,0)," ")</f>
        <v>Наманган шаҳар</v>
      </c>
      <c r="E2674" s="7" t="s">
        <v>3806</v>
      </c>
      <c r="F2674" s="7" t="s">
        <v>10173</v>
      </c>
      <c r="G2674" s="134" t="str">
        <f t="shared" si="289"/>
        <v/>
      </c>
      <c r="H2674" s="134">
        <f t="shared" si="290"/>
        <v>1</v>
      </c>
      <c r="I2674" s="7" t="s">
        <v>157</v>
      </c>
      <c r="J2674" s="7" t="s">
        <v>1</v>
      </c>
      <c r="K2674" s="7"/>
      <c r="L2674" s="7" t="s">
        <v>166</v>
      </c>
      <c r="M2674" s="7" t="s">
        <v>5976</v>
      </c>
      <c r="N2674" s="7" t="s">
        <v>170</v>
      </c>
      <c r="O2674" s="7" t="s">
        <v>161</v>
      </c>
      <c r="P2674" s="7" t="s">
        <v>6353</v>
      </c>
      <c r="Q2674" s="129">
        <v>46199</v>
      </c>
      <c r="R2674" s="130">
        <f t="shared" si="288"/>
        <v>46206</v>
      </c>
      <c r="S2674" s="131">
        <f t="shared" si="287"/>
        <v>7</v>
      </c>
      <c r="T2674" s="7" t="s">
        <v>227</v>
      </c>
      <c r="U2674" s="7" t="s">
        <v>174</v>
      </c>
      <c r="V2674" s="7"/>
      <c r="W2674" s="7">
        <v>782.81</v>
      </c>
      <c r="X2674" s="132">
        <f t="shared" si="285"/>
        <v>12</v>
      </c>
      <c r="Y2674" s="133"/>
      <c r="Z2674" s="133"/>
      <c r="AA2674" s="133"/>
    </row>
    <row r="2675" spans="1:27" hidden="1" x14ac:dyDescent="0.25">
      <c r="A2675" s="133"/>
      <c r="B2675" s="128" t="str">
        <f t="shared" si="286"/>
        <v>UCQT</v>
      </c>
      <c r="C2675" s="128" t="e">
        <f>+VLOOKUP(U2675,Ходим!A:B,2,0)</f>
        <v>#N/A</v>
      </c>
      <c r="D2675" s="128" t="str">
        <f>IFERROR(VLOOKUP($B:$B,[20]свод!$A:$AB,3,0)," ")</f>
        <v>Учқўрғон тумани</v>
      </c>
      <c r="E2675" s="7" t="s">
        <v>3807</v>
      </c>
      <c r="F2675" s="7" t="s">
        <v>10174</v>
      </c>
      <c r="G2675" s="134">
        <f t="shared" si="289"/>
        <v>1</v>
      </c>
      <c r="H2675" s="134" t="str">
        <f t="shared" si="290"/>
        <v/>
      </c>
      <c r="I2675" s="7" t="s">
        <v>156</v>
      </c>
      <c r="J2675" s="7" t="s">
        <v>11</v>
      </c>
      <c r="K2675" s="7"/>
      <c r="L2675" s="7" t="s">
        <v>167</v>
      </c>
      <c r="M2675" s="7" t="s">
        <v>5977</v>
      </c>
      <c r="N2675" s="7" t="s">
        <v>170</v>
      </c>
      <c r="O2675" s="7" t="s">
        <v>162</v>
      </c>
      <c r="P2675" s="7" t="s">
        <v>6617</v>
      </c>
      <c r="Q2675" s="129">
        <v>46199</v>
      </c>
      <c r="R2675" s="130">
        <f t="shared" si="288"/>
        <v>46209</v>
      </c>
      <c r="S2675" s="131">
        <f t="shared" si="287"/>
        <v>10</v>
      </c>
      <c r="T2675" s="7" t="s">
        <v>175</v>
      </c>
      <c r="U2675" s="7"/>
      <c r="V2675" s="7"/>
      <c r="W2675" s="7">
        <v>89.2</v>
      </c>
      <c r="X2675" s="132">
        <f t="shared" si="285"/>
        <v>10</v>
      </c>
      <c r="Y2675" s="133"/>
      <c r="Z2675" s="133"/>
      <c r="AA2675" s="133"/>
    </row>
    <row r="2676" spans="1:27" hidden="1" x14ac:dyDescent="0.25">
      <c r="A2676" s="133"/>
      <c r="B2676" s="128" t="str">
        <f t="shared" si="286"/>
        <v>NAMS</v>
      </c>
      <c r="C2676" s="128" t="str">
        <f>+VLOOKUP(U2676,Ходим!A:B,2,0)</f>
        <v>51110025960044</v>
      </c>
      <c r="D2676" s="128" t="str">
        <f>IFERROR(VLOOKUP($B:$B,[20]свод!$A:$AB,3,0)," ")</f>
        <v>Наманган шаҳар</v>
      </c>
      <c r="E2676" s="7" t="s">
        <v>3808</v>
      </c>
      <c r="F2676" s="7" t="s">
        <v>10175</v>
      </c>
      <c r="G2676" s="134">
        <f t="shared" si="289"/>
        <v>1</v>
      </c>
      <c r="H2676" s="134" t="str">
        <f t="shared" si="290"/>
        <v/>
      </c>
      <c r="I2676" s="7" t="s">
        <v>158</v>
      </c>
      <c r="J2676" s="7" t="s">
        <v>2</v>
      </c>
      <c r="K2676" s="7"/>
      <c r="L2676" s="7"/>
      <c r="M2676" s="7"/>
      <c r="N2676" s="7" t="s">
        <v>170</v>
      </c>
      <c r="O2676" s="7" t="s">
        <v>162</v>
      </c>
      <c r="P2676" s="7" t="s">
        <v>6617</v>
      </c>
      <c r="Q2676" s="129">
        <v>46199</v>
      </c>
      <c r="R2676" s="130">
        <f t="shared" si="288"/>
        <v>46209</v>
      </c>
      <c r="S2676" s="131">
        <f t="shared" si="287"/>
        <v>10</v>
      </c>
      <c r="T2676" s="7" t="s">
        <v>173</v>
      </c>
      <c r="U2676" s="7" t="s">
        <v>294</v>
      </c>
      <c r="V2676" s="7"/>
      <c r="W2676" s="7"/>
      <c r="X2676" s="132">
        <f t="shared" si="285"/>
        <v>10</v>
      </c>
      <c r="Y2676" s="133"/>
      <c r="Z2676" s="133"/>
      <c r="AA2676" s="133"/>
    </row>
    <row r="2677" spans="1:27" hidden="1" x14ac:dyDescent="0.25">
      <c r="A2677" s="133"/>
      <c r="B2677" s="128" t="str">
        <f t="shared" si="286"/>
        <v>YGQT</v>
      </c>
      <c r="C2677" s="128" t="str">
        <f>+VLOOKUP(U2677,Ходим!A:B,2,0)</f>
        <v>52010015950028</v>
      </c>
      <c r="D2677" s="128" t="str">
        <f>IFERROR(VLOOKUP($B:$B,[20]свод!$A:$AB,3,0)," ")</f>
        <v>Янгиқўрғон тумани</v>
      </c>
      <c r="E2677" s="7" t="s">
        <v>3809</v>
      </c>
      <c r="F2677" s="7" t="s">
        <v>10176</v>
      </c>
      <c r="G2677" s="134">
        <f t="shared" si="289"/>
        <v>1</v>
      </c>
      <c r="H2677" s="134" t="str">
        <f t="shared" si="290"/>
        <v/>
      </c>
      <c r="I2677" s="7" t="s">
        <v>158</v>
      </c>
      <c r="J2677" s="7" t="s">
        <v>172</v>
      </c>
      <c r="K2677" s="7"/>
      <c r="L2677" s="7"/>
      <c r="M2677" s="7"/>
      <c r="N2677" s="7" t="s">
        <v>170</v>
      </c>
      <c r="O2677" s="7" t="s">
        <v>162</v>
      </c>
      <c r="P2677" s="7" t="s">
        <v>6617</v>
      </c>
      <c r="Q2677" s="129">
        <v>46199</v>
      </c>
      <c r="R2677" s="130">
        <f t="shared" si="288"/>
        <v>46209</v>
      </c>
      <c r="S2677" s="131">
        <f t="shared" si="287"/>
        <v>10</v>
      </c>
      <c r="T2677" s="7" t="s">
        <v>255</v>
      </c>
      <c r="U2677" s="7" t="s">
        <v>391</v>
      </c>
      <c r="V2677" s="7"/>
      <c r="W2677" s="7"/>
      <c r="X2677" s="132">
        <f t="shared" si="285"/>
        <v>10</v>
      </c>
      <c r="Y2677" s="133"/>
      <c r="Z2677" s="133"/>
      <c r="AA2677" s="133"/>
    </row>
    <row r="2678" spans="1:27" hidden="1" x14ac:dyDescent="0.25">
      <c r="A2678" s="133"/>
      <c r="B2678" s="128" t="str">
        <f t="shared" si="286"/>
        <v>NAMS</v>
      </c>
      <c r="C2678" s="128" t="str">
        <f>+VLOOKUP(U2678,Ходим!A:B,2,0)</f>
        <v>32602902170105</v>
      </c>
      <c r="D2678" s="128" t="str">
        <f>IFERROR(VLOOKUP($B:$B,[20]свод!$A:$AB,3,0)," ")</f>
        <v>Наманган шаҳар</v>
      </c>
      <c r="E2678" s="7" t="s">
        <v>3810</v>
      </c>
      <c r="F2678" s="7" t="s">
        <v>10177</v>
      </c>
      <c r="G2678" s="134">
        <f t="shared" si="289"/>
        <v>1</v>
      </c>
      <c r="H2678" s="134" t="str">
        <f t="shared" si="290"/>
        <v/>
      </c>
      <c r="I2678" s="7" t="s">
        <v>158</v>
      </c>
      <c r="J2678" s="7" t="s">
        <v>1</v>
      </c>
      <c r="K2678" s="7"/>
      <c r="L2678" s="7" t="s">
        <v>169</v>
      </c>
      <c r="M2678" s="7" t="s">
        <v>5978</v>
      </c>
      <c r="N2678" s="7" t="s">
        <v>410</v>
      </c>
      <c r="O2678" s="7" t="s">
        <v>162</v>
      </c>
      <c r="P2678" s="7" t="s">
        <v>6617</v>
      </c>
      <c r="Q2678" s="129">
        <v>46199</v>
      </c>
      <c r="R2678" s="130">
        <f t="shared" si="288"/>
        <v>46204</v>
      </c>
      <c r="S2678" s="131">
        <f t="shared" si="287"/>
        <v>5</v>
      </c>
      <c r="T2678" s="7" t="s">
        <v>185</v>
      </c>
      <c r="U2678" s="7" t="s">
        <v>247</v>
      </c>
      <c r="V2678" s="7"/>
      <c r="W2678" s="7">
        <v>0</v>
      </c>
      <c r="X2678" s="132">
        <f t="shared" si="285"/>
        <v>7</v>
      </c>
      <c r="Y2678" s="133"/>
      <c r="Z2678" s="133"/>
      <c r="AA2678" s="133"/>
    </row>
    <row r="2679" spans="1:27" hidden="1" x14ac:dyDescent="0.25">
      <c r="A2679" s="133"/>
      <c r="B2679" s="128" t="str">
        <f t="shared" si="286"/>
        <v>NORT</v>
      </c>
      <c r="C2679" s="128" t="str">
        <f>+VLOOKUP(U2679,Ходим!A:B,2,0)</f>
        <v>31709822110011</v>
      </c>
      <c r="D2679" s="128" t="str">
        <f>IFERROR(VLOOKUP($B:$B,[20]свод!$A:$AB,3,0)," ")</f>
        <v>Норин тумани</v>
      </c>
      <c r="E2679" s="7" t="s">
        <v>3811</v>
      </c>
      <c r="F2679" s="7" t="s">
        <v>10178</v>
      </c>
      <c r="G2679" s="134">
        <f t="shared" si="289"/>
        <v>1</v>
      </c>
      <c r="H2679" s="134" t="str">
        <f t="shared" si="290"/>
        <v/>
      </c>
      <c r="I2679" s="7" t="s">
        <v>158</v>
      </c>
      <c r="J2679" s="7" t="s">
        <v>84</v>
      </c>
      <c r="K2679" s="7"/>
      <c r="L2679" s="7" t="s">
        <v>167</v>
      </c>
      <c r="M2679" s="7" t="s">
        <v>5979</v>
      </c>
      <c r="N2679" s="7" t="s">
        <v>410</v>
      </c>
      <c r="O2679" s="7" t="s">
        <v>162</v>
      </c>
      <c r="P2679" s="7" t="s">
        <v>7430</v>
      </c>
      <c r="Q2679" s="129">
        <v>46199</v>
      </c>
      <c r="R2679" s="130">
        <f t="shared" si="288"/>
        <v>46209</v>
      </c>
      <c r="S2679" s="131">
        <f t="shared" si="287"/>
        <v>10</v>
      </c>
      <c r="T2679" s="7" t="s">
        <v>210</v>
      </c>
      <c r="U2679" s="7" t="s">
        <v>354</v>
      </c>
      <c r="V2679" s="7"/>
      <c r="W2679" s="7">
        <v>393.12</v>
      </c>
      <c r="X2679" s="132">
        <f t="shared" si="285"/>
        <v>10</v>
      </c>
      <c r="Y2679" s="133"/>
      <c r="Z2679" s="133"/>
      <c r="AA2679" s="133"/>
    </row>
    <row r="2680" spans="1:27" hidden="1" x14ac:dyDescent="0.25">
      <c r="A2680" s="133"/>
      <c r="B2680" s="128" t="str">
        <f t="shared" si="286"/>
        <v>CHOT</v>
      </c>
      <c r="C2680" s="128" t="str">
        <f>+VLOOKUP(U2680,Ходим!A:B,2,0)</f>
        <v>30608892100030</v>
      </c>
      <c r="D2680" s="128" t="str">
        <f>IFERROR(VLOOKUP($B:$B,[20]свод!$A:$AB,3,0)," ")</f>
        <v>Чортоқ тумани</v>
      </c>
      <c r="E2680" s="7" t="s">
        <v>3812</v>
      </c>
      <c r="F2680" s="7" t="s">
        <v>10179</v>
      </c>
      <c r="G2680" s="134">
        <f t="shared" si="289"/>
        <v>1</v>
      </c>
      <c r="H2680" s="134" t="str">
        <f t="shared" si="290"/>
        <v/>
      </c>
      <c r="I2680" s="7" t="s">
        <v>158</v>
      </c>
      <c r="J2680" s="7" t="s">
        <v>2</v>
      </c>
      <c r="K2680" s="7"/>
      <c r="L2680" s="7" t="s">
        <v>167</v>
      </c>
      <c r="M2680" s="7" t="s">
        <v>5980</v>
      </c>
      <c r="N2680" s="7" t="s">
        <v>170</v>
      </c>
      <c r="O2680" s="7" t="s">
        <v>162</v>
      </c>
      <c r="P2680" s="7" t="s">
        <v>7430</v>
      </c>
      <c r="Q2680" s="129">
        <v>46199</v>
      </c>
      <c r="R2680" s="130">
        <f t="shared" si="288"/>
        <v>46209</v>
      </c>
      <c r="S2680" s="131">
        <f t="shared" si="287"/>
        <v>10</v>
      </c>
      <c r="T2680" s="7" t="s">
        <v>184</v>
      </c>
      <c r="U2680" s="7" t="s">
        <v>266</v>
      </c>
      <c r="V2680" s="7"/>
      <c r="W2680" s="7">
        <v>0</v>
      </c>
      <c r="X2680" s="132">
        <f t="shared" ref="X2680:X2743" si="291">IF(N2680="Kadastr muhandisi",3,
IF(N2680="UZKAD",5,
IF(V2680="FREE",5,
IF(I2680="Registratsiya (tashqi - UZKAD da bor)",1,
IF(I2680="Avtoyo'l va suv xo'jaligi obyektining kadastr pasportini shakllantirish va ro'yxatga olish",7,
IF(I2680="Notarius uchun ma'lumotnoma (uz)",1,
IF(I2680="Qurilishi tugallangan ko'chmas mulkni foydalanishga qabul qilish",10,
IF(OR(I2680="Turar joy obyektning kadastr pasportini shakllantirish va davlat ro'yxatidan o'tkazish",I2680="Turar kompozit"),
IF(L2680="Turar yer maydoni",7,10),
IF(OR(I2680="Noturar obyektning kadastr pasportini shakllantirish va davlat ro'yxatidan o'tkazish",I2680="Noturar kompozit"),
IF(O2680="Ko‘p yillik daraxtlar xizmati",15,
IF(OR(L2680="Noturar yer maydoni",L2680="Davlat tashkilotlaridan ijaraga olingan yer uchastkasi"),7,
IF(W2680&lt;100,10,IF(W2680&lt;=1000,12,IF(W2680&lt;=5000,17,IF(W2680&lt;=15000,22,IF(W2680&lt;=50000,28,37))))))),
IF(I2680="Umumiy foydalanishdagi ko'chmas mulk qismini yaratish",
IF(IF(TRIM(L2680)="",IF(OR(O2680="Turar joy xizmati",O2680="Yakka tartibdagi turar joy"),"Turar","Noturar"),IF(OR(L2680="Yakka tartibdagi turar joy",L2680="Turar joy xizmati"),"Turar","Noturar"))="Turar",
10,IF(W2680&lt;100,10,IF(W2680&lt;=1000,12,IF(W2680&lt;=5000,17,IF(W2680&lt;=15000,22,IF(W2680&lt;=50000,28,37)))))),
0))))))))))</f>
        <v>10</v>
      </c>
      <c r="Y2680" s="133"/>
      <c r="Z2680" s="133"/>
      <c r="AA2680" s="133"/>
    </row>
    <row r="2681" spans="1:27" hidden="1" x14ac:dyDescent="0.25">
      <c r="A2681" s="133"/>
      <c r="B2681" s="128" t="str">
        <f t="shared" ref="B2681:B2744" si="292">LEFT(E2681,4)</f>
        <v>YGQT</v>
      </c>
      <c r="C2681" s="128" t="str">
        <f>+VLOOKUP(U2681,Ходим!A:B,2,0)</f>
        <v>52410005950025</v>
      </c>
      <c r="D2681" s="128" t="str">
        <f>IFERROR(VLOOKUP($B:$B,[20]свод!$A:$AB,3,0)," ")</f>
        <v>Янгиқўрғон тумани</v>
      </c>
      <c r="E2681" s="7" t="s">
        <v>3813</v>
      </c>
      <c r="F2681" s="7" t="s">
        <v>10180</v>
      </c>
      <c r="G2681" s="134">
        <f t="shared" si="289"/>
        <v>1</v>
      </c>
      <c r="H2681" s="134" t="str">
        <f t="shared" si="290"/>
        <v/>
      </c>
      <c r="I2681" s="7" t="s">
        <v>156</v>
      </c>
      <c r="J2681" s="7" t="s">
        <v>22</v>
      </c>
      <c r="K2681" s="7"/>
      <c r="L2681" s="7"/>
      <c r="M2681" s="7"/>
      <c r="N2681" s="7" t="s">
        <v>410</v>
      </c>
      <c r="O2681" s="7" t="s">
        <v>162</v>
      </c>
      <c r="P2681" s="7" t="s">
        <v>7430</v>
      </c>
      <c r="Q2681" s="129">
        <v>46199</v>
      </c>
      <c r="R2681" s="130">
        <f t="shared" si="288"/>
        <v>46209</v>
      </c>
      <c r="S2681" s="131">
        <f t="shared" ref="S2681:S2744" si="293">R2681-Q2681</f>
        <v>10</v>
      </c>
      <c r="T2681" s="7" t="s">
        <v>182</v>
      </c>
      <c r="U2681" s="7" t="s">
        <v>256</v>
      </c>
      <c r="V2681" s="7"/>
      <c r="W2681" s="7"/>
      <c r="X2681" s="132">
        <f t="shared" si="291"/>
        <v>10</v>
      </c>
      <c r="Y2681" s="133"/>
      <c r="Z2681" s="133"/>
      <c r="AA2681" s="133"/>
    </row>
    <row r="2682" spans="1:27" hidden="1" x14ac:dyDescent="0.25">
      <c r="A2682" s="133"/>
      <c r="B2682" s="128" t="str">
        <f t="shared" si="292"/>
        <v>KSST</v>
      </c>
      <c r="C2682" s="128" t="str">
        <f>+VLOOKUP(U2682,Ходим!A:B,2,0)</f>
        <v>30703792190108</v>
      </c>
      <c r="D2682" s="128" t="str">
        <f>IFERROR(VLOOKUP($B:$B,[20]свод!$A:$AB,3,0)," ")</f>
        <v>Косонсой тумани</v>
      </c>
      <c r="E2682" s="7" t="s">
        <v>3814</v>
      </c>
      <c r="F2682" s="7" t="s">
        <v>10181</v>
      </c>
      <c r="G2682" s="134">
        <f t="shared" si="289"/>
        <v>1</v>
      </c>
      <c r="H2682" s="134" t="str">
        <f t="shared" si="290"/>
        <v/>
      </c>
      <c r="I2682" s="7" t="s">
        <v>158</v>
      </c>
      <c r="J2682" s="7" t="s">
        <v>172</v>
      </c>
      <c r="K2682" s="7"/>
      <c r="L2682" s="7" t="s">
        <v>167</v>
      </c>
      <c r="M2682" s="7" t="s">
        <v>5981</v>
      </c>
      <c r="N2682" s="7" t="s">
        <v>170</v>
      </c>
      <c r="O2682" s="7" t="s">
        <v>162</v>
      </c>
      <c r="P2682" s="7" t="s">
        <v>7431</v>
      </c>
      <c r="Q2682" s="129">
        <v>46199</v>
      </c>
      <c r="R2682" s="130">
        <f t="shared" si="288"/>
        <v>46209</v>
      </c>
      <c r="S2682" s="131">
        <f t="shared" si="293"/>
        <v>10</v>
      </c>
      <c r="T2682" s="7" t="s">
        <v>180</v>
      </c>
      <c r="U2682" s="7" t="s">
        <v>231</v>
      </c>
      <c r="V2682" s="7"/>
      <c r="W2682" s="7">
        <v>255.88</v>
      </c>
      <c r="X2682" s="132">
        <f t="shared" si="291"/>
        <v>10</v>
      </c>
      <c r="Y2682" s="133"/>
      <c r="Z2682" s="133"/>
      <c r="AA2682" s="133"/>
    </row>
    <row r="2683" spans="1:27" hidden="1" x14ac:dyDescent="0.25">
      <c r="A2683" s="133"/>
      <c r="B2683" s="128" t="str">
        <f t="shared" si="292"/>
        <v>NORT</v>
      </c>
      <c r="C2683" s="128" t="str">
        <f>+VLOOKUP(U2683,Ходим!A:B,2,0)</f>
        <v>31609962110019</v>
      </c>
      <c r="D2683" s="128" t="str">
        <f>IFERROR(VLOOKUP($B:$B,[20]свод!$A:$AB,3,0)," ")</f>
        <v>Норин тумани</v>
      </c>
      <c r="E2683" s="7" t="s">
        <v>3815</v>
      </c>
      <c r="F2683" s="7" t="s">
        <v>10182</v>
      </c>
      <c r="G2683" s="134" t="str">
        <f t="shared" si="289"/>
        <v/>
      </c>
      <c r="H2683" s="134">
        <f t="shared" si="290"/>
        <v>1</v>
      </c>
      <c r="I2683" s="7" t="s">
        <v>157</v>
      </c>
      <c r="J2683" s="7" t="s">
        <v>172</v>
      </c>
      <c r="K2683" s="7" t="s">
        <v>10631</v>
      </c>
      <c r="L2683" s="7" t="s">
        <v>166</v>
      </c>
      <c r="M2683" s="7" t="s">
        <v>5982</v>
      </c>
      <c r="N2683" s="7" t="s">
        <v>171</v>
      </c>
      <c r="O2683" s="7" t="s">
        <v>164</v>
      </c>
      <c r="P2683" s="7" t="s">
        <v>6471</v>
      </c>
      <c r="Q2683" s="129">
        <v>46199</v>
      </c>
      <c r="R2683" s="130">
        <f t="shared" si="288"/>
        <v>46209</v>
      </c>
      <c r="S2683" s="131">
        <f t="shared" si="293"/>
        <v>10</v>
      </c>
      <c r="T2683" s="7" t="s">
        <v>210</v>
      </c>
      <c r="U2683" s="7" t="s">
        <v>355</v>
      </c>
      <c r="V2683" s="7"/>
      <c r="W2683" s="7">
        <v>0</v>
      </c>
      <c r="X2683" s="132">
        <f t="shared" si="291"/>
        <v>10</v>
      </c>
      <c r="Y2683" s="133"/>
      <c r="Z2683" s="133"/>
      <c r="AA2683" s="133"/>
    </row>
    <row r="2684" spans="1:27" hidden="1" x14ac:dyDescent="0.25">
      <c r="A2684" s="133"/>
      <c r="B2684" s="128" t="str">
        <f t="shared" si="292"/>
        <v>POPT</v>
      </c>
      <c r="C2684" s="128" t="str">
        <f>+VLOOKUP(U2684,Ходим!A:B,2,0)</f>
        <v>33107902120019</v>
      </c>
      <c r="D2684" s="128" t="str">
        <f>IFERROR(VLOOKUP($B:$B,[20]свод!$A:$AB,3,0)," ")</f>
        <v>Поп тумани</v>
      </c>
      <c r="E2684" s="7" t="s">
        <v>3816</v>
      </c>
      <c r="F2684" s="7" t="s">
        <v>10183</v>
      </c>
      <c r="G2684" s="134">
        <f t="shared" si="289"/>
        <v>1</v>
      </c>
      <c r="H2684" s="134" t="str">
        <f t="shared" si="290"/>
        <v/>
      </c>
      <c r="I2684" s="7" t="s">
        <v>158</v>
      </c>
      <c r="J2684" s="7" t="s">
        <v>2</v>
      </c>
      <c r="K2684" s="7"/>
      <c r="L2684" s="7"/>
      <c r="M2684" s="7"/>
      <c r="N2684" s="7" t="s">
        <v>410</v>
      </c>
      <c r="O2684" s="7" t="s">
        <v>162</v>
      </c>
      <c r="P2684" s="7" t="s">
        <v>7432</v>
      </c>
      <c r="Q2684" s="129">
        <v>46199</v>
      </c>
      <c r="R2684" s="130">
        <f t="shared" si="288"/>
        <v>46209</v>
      </c>
      <c r="S2684" s="131">
        <f t="shared" si="293"/>
        <v>10</v>
      </c>
      <c r="T2684" s="7" t="s">
        <v>240</v>
      </c>
      <c r="U2684" s="7" t="s">
        <v>224</v>
      </c>
      <c r="V2684" s="7"/>
      <c r="W2684" s="7"/>
      <c r="X2684" s="132">
        <f t="shared" si="291"/>
        <v>10</v>
      </c>
      <c r="Y2684" s="133"/>
      <c r="Z2684" s="133"/>
      <c r="AA2684" s="133"/>
    </row>
    <row r="2685" spans="1:27" hidden="1" x14ac:dyDescent="0.25">
      <c r="A2685" s="133"/>
      <c r="B2685" s="128" t="str">
        <f t="shared" si="292"/>
        <v>KSST</v>
      </c>
      <c r="C2685" s="128" t="str">
        <f>+VLOOKUP(U2685,Ходим!A:B,2,0)</f>
        <v>30507932190090</v>
      </c>
      <c r="D2685" s="128" t="str">
        <f>IFERROR(VLOOKUP($B:$B,[20]свод!$A:$AB,3,0)," ")</f>
        <v>Косонсой тумани</v>
      </c>
      <c r="E2685" s="7" t="s">
        <v>3817</v>
      </c>
      <c r="F2685" s="7" t="s">
        <v>10184</v>
      </c>
      <c r="G2685" s="134" t="str">
        <f t="shared" si="289"/>
        <v/>
      </c>
      <c r="H2685" s="134">
        <f t="shared" si="290"/>
        <v>1</v>
      </c>
      <c r="I2685" s="7" t="s">
        <v>157</v>
      </c>
      <c r="J2685" s="7" t="s">
        <v>2</v>
      </c>
      <c r="K2685" s="7"/>
      <c r="L2685" s="7" t="s">
        <v>166</v>
      </c>
      <c r="M2685" s="7" t="s">
        <v>5983</v>
      </c>
      <c r="N2685" s="7" t="s">
        <v>410</v>
      </c>
      <c r="O2685" s="7" t="s">
        <v>163</v>
      </c>
      <c r="P2685" s="7" t="s">
        <v>7432</v>
      </c>
      <c r="Q2685" s="129">
        <v>46199</v>
      </c>
      <c r="R2685" s="130">
        <f t="shared" si="288"/>
        <v>46209</v>
      </c>
      <c r="S2685" s="131">
        <f t="shared" si="293"/>
        <v>10</v>
      </c>
      <c r="T2685" s="7" t="s">
        <v>180</v>
      </c>
      <c r="U2685" s="7" t="s">
        <v>232</v>
      </c>
      <c r="V2685" s="7"/>
      <c r="W2685" s="7">
        <v>12.2</v>
      </c>
      <c r="X2685" s="132">
        <f t="shared" si="291"/>
        <v>10</v>
      </c>
      <c r="Y2685" s="133"/>
      <c r="Z2685" s="133"/>
      <c r="AA2685" s="133"/>
    </row>
    <row r="2686" spans="1:27" hidden="1" x14ac:dyDescent="0.25">
      <c r="A2686" s="133"/>
      <c r="B2686" s="128" t="str">
        <f t="shared" si="292"/>
        <v>YGQT</v>
      </c>
      <c r="C2686" s="128" t="str">
        <f>+VLOOKUP(U2686,Ходим!A:B,2,0)</f>
        <v>31108942160081</v>
      </c>
      <c r="D2686" s="128" t="str">
        <f>IFERROR(VLOOKUP($B:$B,[20]свод!$A:$AB,3,0)," ")</f>
        <v>Янгиқўрғон тумани</v>
      </c>
      <c r="E2686" s="7" t="s">
        <v>3818</v>
      </c>
      <c r="F2686" s="7" t="s">
        <v>10185</v>
      </c>
      <c r="G2686" s="134">
        <f t="shared" si="289"/>
        <v>1</v>
      </c>
      <c r="H2686" s="134" t="str">
        <f t="shared" si="290"/>
        <v/>
      </c>
      <c r="I2686" s="7" t="s">
        <v>158</v>
      </c>
      <c r="J2686" s="7" t="s">
        <v>2</v>
      </c>
      <c r="K2686" s="7"/>
      <c r="L2686" s="7" t="s">
        <v>167</v>
      </c>
      <c r="M2686" s="7" t="s">
        <v>5984</v>
      </c>
      <c r="N2686" s="7" t="s">
        <v>170</v>
      </c>
      <c r="O2686" s="7" t="s">
        <v>162</v>
      </c>
      <c r="P2686" s="7" t="s">
        <v>7432</v>
      </c>
      <c r="Q2686" s="129">
        <v>46199</v>
      </c>
      <c r="R2686" s="130">
        <f t="shared" si="288"/>
        <v>46209</v>
      </c>
      <c r="S2686" s="131">
        <f t="shared" si="293"/>
        <v>10</v>
      </c>
      <c r="T2686" s="7" t="s">
        <v>255</v>
      </c>
      <c r="U2686" s="7" t="s">
        <v>228</v>
      </c>
      <c r="V2686" s="7"/>
      <c r="W2686" s="7">
        <v>129.55000000000001</v>
      </c>
      <c r="X2686" s="132">
        <f t="shared" si="291"/>
        <v>10</v>
      </c>
      <c r="Y2686" s="133"/>
      <c r="Z2686" s="133"/>
      <c r="AA2686" s="133"/>
    </row>
    <row r="2687" spans="1:27" hidden="1" x14ac:dyDescent="0.25">
      <c r="A2687" s="133"/>
      <c r="B2687" s="128" t="str">
        <f t="shared" si="292"/>
        <v>YGQT</v>
      </c>
      <c r="C2687" s="128" t="str">
        <f>+VLOOKUP(U2687,Ходим!A:B,2,0)</f>
        <v>30602822170087</v>
      </c>
      <c r="D2687" s="128" t="str">
        <f>IFERROR(VLOOKUP($B:$B,[20]свод!$A:$AB,3,0)," ")</f>
        <v>Янгиқўрғон тумани</v>
      </c>
      <c r="E2687" s="7" t="s">
        <v>3819</v>
      </c>
      <c r="F2687" s="7" t="s">
        <v>10186</v>
      </c>
      <c r="G2687" s="134">
        <f t="shared" si="289"/>
        <v>1</v>
      </c>
      <c r="H2687" s="134" t="str">
        <f t="shared" si="290"/>
        <v/>
      </c>
      <c r="I2687" s="7" t="s">
        <v>158</v>
      </c>
      <c r="J2687" s="7" t="s">
        <v>36</v>
      </c>
      <c r="K2687" s="7"/>
      <c r="L2687" s="7" t="s">
        <v>167</v>
      </c>
      <c r="M2687" s="7" t="s">
        <v>5985</v>
      </c>
      <c r="N2687" s="7" t="s">
        <v>170</v>
      </c>
      <c r="O2687" s="7" t="s">
        <v>162</v>
      </c>
      <c r="P2687" s="7" t="s">
        <v>7432</v>
      </c>
      <c r="Q2687" s="129">
        <v>46199</v>
      </c>
      <c r="R2687" s="130">
        <f t="shared" si="288"/>
        <v>46209</v>
      </c>
      <c r="S2687" s="131">
        <f t="shared" si="293"/>
        <v>10</v>
      </c>
      <c r="T2687" s="7" t="s">
        <v>255</v>
      </c>
      <c r="U2687" s="7" t="s">
        <v>320</v>
      </c>
      <c r="V2687" s="7"/>
      <c r="W2687" s="7">
        <v>450.97</v>
      </c>
      <c r="X2687" s="132">
        <f t="shared" si="291"/>
        <v>10</v>
      </c>
      <c r="Y2687" s="133"/>
      <c r="Z2687" s="133"/>
      <c r="AA2687" s="133"/>
    </row>
    <row r="2688" spans="1:27" hidden="1" x14ac:dyDescent="0.25">
      <c r="A2688" s="133"/>
      <c r="B2688" s="128" t="str">
        <f t="shared" si="292"/>
        <v>NAMS</v>
      </c>
      <c r="C2688" s="128" t="str">
        <f>+VLOOKUP(U2688,Ходим!A:B,2,0)</f>
        <v>32602902170105</v>
      </c>
      <c r="D2688" s="128" t="str">
        <f>IFERROR(VLOOKUP($B:$B,[20]свод!$A:$AB,3,0)," ")</f>
        <v>Наманган шаҳар</v>
      </c>
      <c r="E2688" s="7" t="s">
        <v>3820</v>
      </c>
      <c r="F2688" s="7" t="s">
        <v>10187</v>
      </c>
      <c r="G2688" s="134">
        <f t="shared" si="289"/>
        <v>1</v>
      </c>
      <c r="H2688" s="134" t="str">
        <f t="shared" si="290"/>
        <v/>
      </c>
      <c r="I2688" s="7" t="s">
        <v>158</v>
      </c>
      <c r="J2688" s="7" t="s">
        <v>1</v>
      </c>
      <c r="K2688" s="7"/>
      <c r="L2688" s="7" t="s">
        <v>169</v>
      </c>
      <c r="M2688" s="7" t="s">
        <v>5986</v>
      </c>
      <c r="N2688" s="7" t="s">
        <v>410</v>
      </c>
      <c r="O2688" s="7" t="s">
        <v>162</v>
      </c>
      <c r="P2688" s="7" t="s">
        <v>7432</v>
      </c>
      <c r="Q2688" s="129">
        <v>46199</v>
      </c>
      <c r="R2688" s="130">
        <f t="shared" si="288"/>
        <v>46204</v>
      </c>
      <c r="S2688" s="131">
        <f t="shared" si="293"/>
        <v>5</v>
      </c>
      <c r="T2688" s="7" t="s">
        <v>185</v>
      </c>
      <c r="U2688" s="7" t="s">
        <v>247</v>
      </c>
      <c r="V2688" s="7"/>
      <c r="W2688" s="7">
        <v>0</v>
      </c>
      <c r="X2688" s="132">
        <f t="shared" si="291"/>
        <v>7</v>
      </c>
      <c r="Y2688" s="133"/>
      <c r="Z2688" s="133"/>
      <c r="AA2688" s="133"/>
    </row>
    <row r="2689" spans="1:27" hidden="1" x14ac:dyDescent="0.25">
      <c r="A2689" s="133"/>
      <c r="B2689" s="128" t="str">
        <f t="shared" si="292"/>
        <v>NAMS</v>
      </c>
      <c r="C2689" s="128" t="str">
        <f>+VLOOKUP(U2689,Ходим!A:B,2,0)</f>
        <v>30302965960014</v>
      </c>
      <c r="D2689" s="128" t="str">
        <f>IFERROR(VLOOKUP($B:$B,[20]свод!$A:$AB,3,0)," ")</f>
        <v>Наманган шаҳар</v>
      </c>
      <c r="E2689" s="7" t="s">
        <v>3821</v>
      </c>
      <c r="F2689" s="7" t="s">
        <v>10188</v>
      </c>
      <c r="G2689" s="134">
        <f t="shared" si="289"/>
        <v>1</v>
      </c>
      <c r="H2689" s="134" t="str">
        <f t="shared" si="290"/>
        <v/>
      </c>
      <c r="I2689" s="7" t="s">
        <v>158</v>
      </c>
      <c r="J2689" s="7" t="s">
        <v>10</v>
      </c>
      <c r="K2689" s="7"/>
      <c r="L2689" s="7" t="s">
        <v>167</v>
      </c>
      <c r="M2689" s="7" t="s">
        <v>5987</v>
      </c>
      <c r="N2689" s="7" t="s">
        <v>170</v>
      </c>
      <c r="O2689" s="7" t="s">
        <v>163</v>
      </c>
      <c r="P2689" s="7" t="s">
        <v>7068</v>
      </c>
      <c r="Q2689" s="129">
        <v>46199</v>
      </c>
      <c r="R2689" s="130">
        <f t="shared" si="288"/>
        <v>46206</v>
      </c>
      <c r="S2689" s="131">
        <f t="shared" si="293"/>
        <v>7</v>
      </c>
      <c r="T2689" s="7" t="s">
        <v>185</v>
      </c>
      <c r="U2689" s="7" t="s">
        <v>304</v>
      </c>
      <c r="V2689" s="7"/>
      <c r="W2689" s="7">
        <v>365.04</v>
      </c>
      <c r="X2689" s="132">
        <f t="shared" si="291"/>
        <v>10</v>
      </c>
      <c r="Y2689" s="133"/>
      <c r="Z2689" s="133"/>
      <c r="AA2689" s="133"/>
    </row>
    <row r="2690" spans="1:27" hidden="1" x14ac:dyDescent="0.25">
      <c r="A2690" s="133"/>
      <c r="B2690" s="128" t="str">
        <f t="shared" si="292"/>
        <v>NAMS</v>
      </c>
      <c r="C2690" s="128" t="str">
        <f>+VLOOKUP(U2690,Ходим!A:B,2,0)</f>
        <v>51911035960011</v>
      </c>
      <c r="D2690" s="128" t="str">
        <f>IFERROR(VLOOKUP($B:$B,[20]свод!$A:$AB,3,0)," ")</f>
        <v>Наманган шаҳар</v>
      </c>
      <c r="E2690" s="7" t="s">
        <v>3822</v>
      </c>
      <c r="F2690" s="7" t="s">
        <v>10189</v>
      </c>
      <c r="G2690" s="134">
        <f t="shared" si="289"/>
        <v>1</v>
      </c>
      <c r="H2690" s="134" t="str">
        <f t="shared" si="290"/>
        <v/>
      </c>
      <c r="I2690" s="7" t="s">
        <v>158</v>
      </c>
      <c r="J2690" s="7" t="s">
        <v>16</v>
      </c>
      <c r="K2690" s="7"/>
      <c r="L2690" s="7" t="s">
        <v>167</v>
      </c>
      <c r="M2690" s="7" t="s">
        <v>5988</v>
      </c>
      <c r="N2690" s="7" t="s">
        <v>170</v>
      </c>
      <c r="O2690" s="7" t="s">
        <v>162</v>
      </c>
      <c r="P2690" s="7" t="s">
        <v>6894</v>
      </c>
      <c r="Q2690" s="129">
        <v>46199</v>
      </c>
      <c r="R2690" s="130">
        <f t="shared" si="288"/>
        <v>46206</v>
      </c>
      <c r="S2690" s="131">
        <f t="shared" si="293"/>
        <v>7</v>
      </c>
      <c r="T2690" s="7" t="s">
        <v>227</v>
      </c>
      <c r="U2690" s="7" t="s">
        <v>371</v>
      </c>
      <c r="V2690" s="7"/>
      <c r="W2690" s="7">
        <v>388.82</v>
      </c>
      <c r="X2690" s="132">
        <f t="shared" si="291"/>
        <v>10</v>
      </c>
      <c r="Y2690" s="133"/>
      <c r="Z2690" s="133"/>
      <c r="AA2690" s="133"/>
    </row>
    <row r="2691" spans="1:27" hidden="1" x14ac:dyDescent="0.25">
      <c r="A2691" s="133"/>
      <c r="B2691" s="128" t="str">
        <f t="shared" si="292"/>
        <v>MINT</v>
      </c>
      <c r="C2691" s="128" t="e">
        <f>+VLOOKUP(U2691,Ходим!A:B,2,0)</f>
        <v>#N/A</v>
      </c>
      <c r="D2691" s="128" t="str">
        <f>IFERROR(VLOOKUP($B:$B,[20]свод!$A:$AB,3,0)," ")</f>
        <v>Мингбулоқ тумани</v>
      </c>
      <c r="E2691" s="7" t="s">
        <v>3823</v>
      </c>
      <c r="F2691" s="7" t="s">
        <v>10190</v>
      </c>
      <c r="G2691" s="134">
        <f t="shared" si="289"/>
        <v>1</v>
      </c>
      <c r="H2691" s="134" t="str">
        <f t="shared" si="290"/>
        <v/>
      </c>
      <c r="I2691" s="7" t="s">
        <v>156</v>
      </c>
      <c r="J2691" s="7" t="s">
        <v>11</v>
      </c>
      <c r="K2691" s="7"/>
      <c r="L2691" s="7" t="s">
        <v>167</v>
      </c>
      <c r="M2691" s="7" t="s">
        <v>5989</v>
      </c>
      <c r="N2691" s="7" t="s">
        <v>410</v>
      </c>
      <c r="O2691" s="7" t="s">
        <v>162</v>
      </c>
      <c r="P2691" s="7" t="s">
        <v>7433</v>
      </c>
      <c r="Q2691" s="129">
        <v>46199</v>
      </c>
      <c r="R2691" s="130">
        <f t="shared" si="288"/>
        <v>46209</v>
      </c>
      <c r="S2691" s="131">
        <f t="shared" si="293"/>
        <v>10</v>
      </c>
      <c r="T2691" s="7"/>
      <c r="U2691" s="7"/>
      <c r="V2691" s="7"/>
      <c r="W2691" s="7">
        <v>107.91</v>
      </c>
      <c r="X2691" s="132">
        <f t="shared" si="291"/>
        <v>10</v>
      </c>
      <c r="Y2691" s="133"/>
      <c r="Z2691" s="133"/>
      <c r="AA2691" s="133"/>
    </row>
    <row r="2692" spans="1:27" hidden="1" x14ac:dyDescent="0.25">
      <c r="A2692" s="133"/>
      <c r="B2692" s="128" t="str">
        <f t="shared" si="292"/>
        <v>KSST</v>
      </c>
      <c r="C2692" s="128" t="str">
        <f>+VLOOKUP(U2692,Ходим!A:B,2,0)</f>
        <v>31611995980026</v>
      </c>
      <c r="D2692" s="128" t="str">
        <f>IFERROR(VLOOKUP($B:$B,[20]свод!$A:$AB,3,0)," ")</f>
        <v>Косонсой тумани</v>
      </c>
      <c r="E2692" s="7" t="s">
        <v>3824</v>
      </c>
      <c r="F2692" s="7" t="s">
        <v>10191</v>
      </c>
      <c r="G2692" s="134">
        <f t="shared" si="289"/>
        <v>1</v>
      </c>
      <c r="H2692" s="134" t="str">
        <f t="shared" si="290"/>
        <v/>
      </c>
      <c r="I2692" s="7" t="s">
        <v>158</v>
      </c>
      <c r="J2692" s="7" t="s">
        <v>1</v>
      </c>
      <c r="K2692" s="7"/>
      <c r="L2692" s="7" t="s">
        <v>169</v>
      </c>
      <c r="M2692" s="7" t="s">
        <v>5990</v>
      </c>
      <c r="N2692" s="7" t="s">
        <v>170</v>
      </c>
      <c r="O2692" s="7" t="s">
        <v>162</v>
      </c>
      <c r="P2692" s="7" t="s">
        <v>7433</v>
      </c>
      <c r="Q2692" s="129">
        <v>46199</v>
      </c>
      <c r="R2692" s="130">
        <f t="shared" si="288"/>
        <v>46204</v>
      </c>
      <c r="S2692" s="131">
        <f t="shared" si="293"/>
        <v>5</v>
      </c>
      <c r="T2692" s="7" t="s">
        <v>180</v>
      </c>
      <c r="U2692" s="7" t="s">
        <v>181</v>
      </c>
      <c r="V2692" s="7"/>
      <c r="W2692" s="7">
        <v>0</v>
      </c>
      <c r="X2692" s="132">
        <f t="shared" si="291"/>
        <v>7</v>
      </c>
      <c r="Y2692" s="133"/>
      <c r="Z2692" s="133"/>
      <c r="AA2692" s="133"/>
    </row>
    <row r="2693" spans="1:27" hidden="1" x14ac:dyDescent="0.25">
      <c r="A2693" s="133"/>
      <c r="B2693" s="128" t="str">
        <f t="shared" si="292"/>
        <v>NAMT</v>
      </c>
      <c r="C2693" s="128" t="str">
        <f>+VLOOKUP(U2693,Ходим!A:B,2,0)</f>
        <v>40306812090034</v>
      </c>
      <c r="D2693" s="128" t="str">
        <f>IFERROR(VLOOKUP($B:$B,[20]свод!$A:$AB,3,0)," ")</f>
        <v>Наманган тумани</v>
      </c>
      <c r="E2693" s="7" t="s">
        <v>3825</v>
      </c>
      <c r="F2693" s="7" t="s">
        <v>10192</v>
      </c>
      <c r="G2693" s="134">
        <f t="shared" si="289"/>
        <v>1</v>
      </c>
      <c r="H2693" s="134" t="str">
        <f t="shared" si="290"/>
        <v/>
      </c>
      <c r="I2693" s="7" t="s">
        <v>158</v>
      </c>
      <c r="J2693" s="7" t="s">
        <v>2</v>
      </c>
      <c r="K2693" s="7"/>
      <c r="L2693" s="7" t="s">
        <v>167</v>
      </c>
      <c r="M2693" s="7" t="s">
        <v>5991</v>
      </c>
      <c r="N2693" s="7" t="s">
        <v>170</v>
      </c>
      <c r="O2693" s="7" t="s">
        <v>162</v>
      </c>
      <c r="P2693" s="7" t="s">
        <v>7177</v>
      </c>
      <c r="Q2693" s="129">
        <v>46199</v>
      </c>
      <c r="R2693" s="130">
        <f t="shared" si="288"/>
        <v>46209</v>
      </c>
      <c r="S2693" s="131">
        <f t="shared" si="293"/>
        <v>10</v>
      </c>
      <c r="T2693" s="7" t="s">
        <v>193</v>
      </c>
      <c r="U2693" s="7" t="s">
        <v>273</v>
      </c>
      <c r="V2693" s="7"/>
      <c r="W2693" s="7">
        <v>375.92</v>
      </c>
      <c r="X2693" s="132">
        <f t="shared" si="291"/>
        <v>10</v>
      </c>
      <c r="Y2693" s="133"/>
      <c r="Z2693" s="133"/>
      <c r="AA2693" s="133"/>
    </row>
    <row r="2694" spans="1:27" hidden="1" x14ac:dyDescent="0.25">
      <c r="A2694" s="133"/>
      <c r="B2694" s="128" t="str">
        <f t="shared" si="292"/>
        <v>NAMS</v>
      </c>
      <c r="C2694" s="128">
        <f>+VLOOKUP(U2694,Ходим!A:B,2,0)</f>
        <v>50510025960139</v>
      </c>
      <c r="D2694" s="128" t="str">
        <f>IFERROR(VLOOKUP($B:$B,[20]свод!$A:$AB,3,0)," ")</f>
        <v>Наманган шаҳар</v>
      </c>
      <c r="E2694" s="7" t="s">
        <v>3826</v>
      </c>
      <c r="F2694" s="7" t="s">
        <v>10193</v>
      </c>
      <c r="G2694" s="134">
        <f t="shared" si="289"/>
        <v>1</v>
      </c>
      <c r="H2694" s="134" t="str">
        <f t="shared" si="290"/>
        <v/>
      </c>
      <c r="I2694" s="7" t="s">
        <v>158</v>
      </c>
      <c r="J2694" s="7" t="s">
        <v>2</v>
      </c>
      <c r="K2694" s="7"/>
      <c r="L2694" s="7"/>
      <c r="M2694" s="7"/>
      <c r="N2694" s="7" t="s">
        <v>170</v>
      </c>
      <c r="O2694" s="7" t="s">
        <v>162</v>
      </c>
      <c r="P2694" s="7" t="s">
        <v>7031</v>
      </c>
      <c r="Q2694" s="129">
        <v>46199</v>
      </c>
      <c r="R2694" s="130">
        <f t="shared" si="288"/>
        <v>46206</v>
      </c>
      <c r="S2694" s="131">
        <f t="shared" si="293"/>
        <v>7</v>
      </c>
      <c r="T2694" s="7" t="s">
        <v>173</v>
      </c>
      <c r="U2694" s="7" t="s">
        <v>955</v>
      </c>
      <c r="V2694" s="7"/>
      <c r="W2694" s="7"/>
      <c r="X2694" s="132">
        <f t="shared" si="291"/>
        <v>10</v>
      </c>
      <c r="Y2694" s="133"/>
      <c r="Z2694" s="133"/>
      <c r="AA2694" s="133"/>
    </row>
    <row r="2695" spans="1:27" hidden="1" x14ac:dyDescent="0.25">
      <c r="A2695" s="133"/>
      <c r="B2695" s="128" t="str">
        <f t="shared" si="292"/>
        <v>UCQT</v>
      </c>
      <c r="C2695" s="128" t="str">
        <f>+VLOOKUP(U2695,Ходим!A:B,2,0)</f>
        <v>52405005940019</v>
      </c>
      <c r="D2695" s="128" t="str">
        <f>IFERROR(VLOOKUP($B:$B,[20]свод!$A:$AB,3,0)," ")</f>
        <v>Учқўрғон тумани</v>
      </c>
      <c r="E2695" s="7" t="s">
        <v>3827</v>
      </c>
      <c r="F2695" s="7" t="s">
        <v>10194</v>
      </c>
      <c r="G2695" s="134" t="str">
        <f t="shared" si="289"/>
        <v/>
      </c>
      <c r="H2695" s="134">
        <f t="shared" si="290"/>
        <v>1</v>
      </c>
      <c r="I2695" s="7" t="s">
        <v>157</v>
      </c>
      <c r="J2695" s="7" t="s">
        <v>12</v>
      </c>
      <c r="K2695" s="7"/>
      <c r="L2695" s="7" t="s">
        <v>168</v>
      </c>
      <c r="M2695" s="7" t="s">
        <v>5992</v>
      </c>
      <c r="N2695" s="7" t="s">
        <v>410</v>
      </c>
      <c r="O2695" s="7" t="s">
        <v>161</v>
      </c>
      <c r="P2695" s="7" t="s">
        <v>6291</v>
      </c>
      <c r="Q2695" s="129">
        <v>46199</v>
      </c>
      <c r="R2695" s="130">
        <f t="shared" si="288"/>
        <v>46202</v>
      </c>
      <c r="S2695" s="131">
        <f t="shared" si="293"/>
        <v>3</v>
      </c>
      <c r="T2695" s="7" t="s">
        <v>175</v>
      </c>
      <c r="U2695" s="7" t="s">
        <v>209</v>
      </c>
      <c r="V2695" s="7"/>
      <c r="W2695" s="7">
        <v>0</v>
      </c>
      <c r="X2695" s="132">
        <f t="shared" si="291"/>
        <v>7</v>
      </c>
      <c r="Y2695" s="133"/>
      <c r="Z2695" s="133"/>
      <c r="AA2695" s="133"/>
    </row>
    <row r="2696" spans="1:27" hidden="1" x14ac:dyDescent="0.25">
      <c r="A2696" s="133"/>
      <c r="B2696" s="128" t="str">
        <f t="shared" si="292"/>
        <v>NAMS</v>
      </c>
      <c r="C2696" s="128" t="str">
        <f>+VLOOKUP(U2696,Ходим!A:B,2,0)</f>
        <v>31608732170178</v>
      </c>
      <c r="D2696" s="128" t="str">
        <f>IFERROR(VLOOKUP($B:$B,[20]свод!$A:$AB,3,0)," ")</f>
        <v>Наманган шаҳар</v>
      </c>
      <c r="E2696" s="7" t="s">
        <v>3828</v>
      </c>
      <c r="F2696" s="7" t="s">
        <v>10195</v>
      </c>
      <c r="G2696" s="134">
        <f t="shared" si="289"/>
        <v>1</v>
      </c>
      <c r="H2696" s="134" t="str">
        <f t="shared" si="290"/>
        <v/>
      </c>
      <c r="I2696" s="7" t="s">
        <v>158</v>
      </c>
      <c r="J2696" s="7" t="s">
        <v>2</v>
      </c>
      <c r="K2696" s="7"/>
      <c r="L2696" s="7" t="s">
        <v>167</v>
      </c>
      <c r="M2696" s="7" t="s">
        <v>5993</v>
      </c>
      <c r="N2696" s="7" t="s">
        <v>170</v>
      </c>
      <c r="O2696" s="7" t="s">
        <v>162</v>
      </c>
      <c r="P2696" s="7" t="s">
        <v>7431</v>
      </c>
      <c r="Q2696" s="129">
        <v>46199</v>
      </c>
      <c r="R2696" s="130">
        <f t="shared" si="288"/>
        <v>46209</v>
      </c>
      <c r="S2696" s="131">
        <f t="shared" si="293"/>
        <v>10</v>
      </c>
      <c r="T2696" s="7" t="s">
        <v>173</v>
      </c>
      <c r="U2696" s="7" t="s">
        <v>267</v>
      </c>
      <c r="V2696" s="7"/>
      <c r="W2696" s="7">
        <v>427.29</v>
      </c>
      <c r="X2696" s="132">
        <f t="shared" si="291"/>
        <v>10</v>
      </c>
      <c r="Y2696" s="133"/>
      <c r="Z2696" s="133"/>
      <c r="AA2696" s="133"/>
    </row>
    <row r="2697" spans="1:27" hidden="1" x14ac:dyDescent="0.25">
      <c r="A2697" s="133"/>
      <c r="B2697" s="128" t="str">
        <f t="shared" si="292"/>
        <v>UYCT</v>
      </c>
      <c r="C2697" s="128" t="str">
        <f>+VLOOKUP(U2697,Ходим!A:B,2,0)</f>
        <v>53007005930024</v>
      </c>
      <c r="D2697" s="128" t="str">
        <f>IFERROR(VLOOKUP($B:$B,[20]свод!$A:$AB,3,0)," ")</f>
        <v>Уйчи тумани</v>
      </c>
      <c r="E2697" s="7" t="s">
        <v>3829</v>
      </c>
      <c r="F2697" s="7" t="s">
        <v>10196</v>
      </c>
      <c r="G2697" s="134">
        <f t="shared" si="289"/>
        <v>1</v>
      </c>
      <c r="H2697" s="134" t="str">
        <f t="shared" si="290"/>
        <v/>
      </c>
      <c r="I2697" s="7" t="s">
        <v>156</v>
      </c>
      <c r="J2697" s="7" t="s">
        <v>25</v>
      </c>
      <c r="K2697" s="7"/>
      <c r="L2697" s="7"/>
      <c r="M2697" s="7"/>
      <c r="N2697" s="7" t="s">
        <v>410</v>
      </c>
      <c r="O2697" s="7" t="s">
        <v>162</v>
      </c>
      <c r="P2697" s="7" t="s">
        <v>7434</v>
      </c>
      <c r="Q2697" s="129">
        <v>46199</v>
      </c>
      <c r="R2697" s="130">
        <f t="shared" si="288"/>
        <v>46209</v>
      </c>
      <c r="S2697" s="131">
        <f t="shared" si="293"/>
        <v>10</v>
      </c>
      <c r="T2697" s="7" t="s">
        <v>379</v>
      </c>
      <c r="U2697" s="7" t="s">
        <v>378</v>
      </c>
      <c r="V2697" s="7"/>
      <c r="W2697" s="7"/>
      <c r="X2697" s="132">
        <f t="shared" si="291"/>
        <v>10</v>
      </c>
      <c r="Y2697" s="133"/>
      <c r="Z2697" s="133"/>
      <c r="AA2697" s="133"/>
    </row>
    <row r="2698" spans="1:27" hidden="1" x14ac:dyDescent="0.25">
      <c r="A2698" s="133"/>
      <c r="B2698" s="128" t="str">
        <f t="shared" si="292"/>
        <v>NAMS</v>
      </c>
      <c r="C2698" s="128" t="str">
        <f>+VLOOKUP(U2698,Ходим!A:B,2,0)</f>
        <v>32602902170105</v>
      </c>
      <c r="D2698" s="128" t="str">
        <f>IFERROR(VLOOKUP($B:$B,[20]свод!$A:$AB,3,0)," ")</f>
        <v>Наманган шаҳар</v>
      </c>
      <c r="E2698" s="7" t="s">
        <v>3830</v>
      </c>
      <c r="F2698" s="7" t="s">
        <v>10197</v>
      </c>
      <c r="G2698" s="134">
        <f t="shared" si="289"/>
        <v>1</v>
      </c>
      <c r="H2698" s="134" t="str">
        <f t="shared" si="290"/>
        <v/>
      </c>
      <c r="I2698" s="7" t="s">
        <v>158</v>
      </c>
      <c r="J2698" s="7" t="s">
        <v>1</v>
      </c>
      <c r="K2698" s="7"/>
      <c r="L2698" s="7" t="s">
        <v>167</v>
      </c>
      <c r="M2698" s="7" t="s">
        <v>5994</v>
      </c>
      <c r="N2698" s="7" t="s">
        <v>410</v>
      </c>
      <c r="O2698" s="7" t="s">
        <v>162</v>
      </c>
      <c r="P2698" s="7" t="s">
        <v>7434</v>
      </c>
      <c r="Q2698" s="129">
        <v>46199</v>
      </c>
      <c r="R2698" s="130">
        <f t="shared" si="288"/>
        <v>46209</v>
      </c>
      <c r="S2698" s="131">
        <f t="shared" si="293"/>
        <v>10</v>
      </c>
      <c r="T2698" s="7" t="s">
        <v>185</v>
      </c>
      <c r="U2698" s="7" t="s">
        <v>247</v>
      </c>
      <c r="V2698" s="7"/>
      <c r="W2698" s="7">
        <v>502.08</v>
      </c>
      <c r="X2698" s="132">
        <f t="shared" si="291"/>
        <v>10</v>
      </c>
      <c r="Y2698" s="133"/>
      <c r="Z2698" s="133"/>
      <c r="AA2698" s="133"/>
    </row>
    <row r="2699" spans="1:27" hidden="1" x14ac:dyDescent="0.25">
      <c r="A2699" s="133"/>
      <c r="B2699" s="128" t="str">
        <f t="shared" si="292"/>
        <v>NAMS</v>
      </c>
      <c r="C2699" s="128" t="str">
        <f>+VLOOKUP(U2699,Ходим!A:B,2,0)</f>
        <v>33012942170121</v>
      </c>
      <c r="D2699" s="128" t="str">
        <f>IFERROR(VLOOKUP($B:$B,[20]свод!$A:$AB,3,0)," ")</f>
        <v>Наманган шаҳар</v>
      </c>
      <c r="E2699" s="7" t="s">
        <v>3831</v>
      </c>
      <c r="F2699" s="7" t="s">
        <v>10198</v>
      </c>
      <c r="G2699" s="134">
        <f t="shared" si="289"/>
        <v>1</v>
      </c>
      <c r="H2699" s="134" t="str">
        <f t="shared" si="290"/>
        <v/>
      </c>
      <c r="I2699" s="7" t="s">
        <v>158</v>
      </c>
      <c r="J2699" s="7" t="s">
        <v>2</v>
      </c>
      <c r="K2699" s="7"/>
      <c r="L2699" s="7" t="s">
        <v>167</v>
      </c>
      <c r="M2699" s="7" t="s">
        <v>5995</v>
      </c>
      <c r="N2699" s="7" t="s">
        <v>170</v>
      </c>
      <c r="O2699" s="7" t="s">
        <v>162</v>
      </c>
      <c r="P2699" s="7" t="s">
        <v>7434</v>
      </c>
      <c r="Q2699" s="129">
        <v>46199</v>
      </c>
      <c r="R2699" s="130">
        <f t="shared" si="288"/>
        <v>46209</v>
      </c>
      <c r="S2699" s="131">
        <f t="shared" si="293"/>
        <v>10</v>
      </c>
      <c r="T2699" s="7" t="s">
        <v>173</v>
      </c>
      <c r="U2699" s="7" t="s">
        <v>259</v>
      </c>
      <c r="V2699" s="7"/>
      <c r="W2699" s="7">
        <v>39.1</v>
      </c>
      <c r="X2699" s="132">
        <f t="shared" si="291"/>
        <v>10</v>
      </c>
      <c r="Y2699" s="133"/>
      <c r="Z2699" s="133"/>
      <c r="AA2699" s="133"/>
    </row>
    <row r="2700" spans="1:27" hidden="1" x14ac:dyDescent="0.25">
      <c r="A2700" s="133"/>
      <c r="B2700" s="128" t="str">
        <f t="shared" si="292"/>
        <v>MINT</v>
      </c>
      <c r="C2700" s="128" t="e">
        <f>+VLOOKUP(U2700,Ходим!A:B,2,0)</f>
        <v>#N/A</v>
      </c>
      <c r="D2700" s="128" t="str">
        <f>IFERROR(VLOOKUP($B:$B,[20]свод!$A:$AB,3,0)," ")</f>
        <v>Мингбулоқ тумани</v>
      </c>
      <c r="E2700" s="7" t="s">
        <v>3832</v>
      </c>
      <c r="F2700" s="7" t="s">
        <v>10199</v>
      </c>
      <c r="G2700" s="134">
        <f t="shared" si="289"/>
        <v>1</v>
      </c>
      <c r="H2700" s="134" t="str">
        <f t="shared" si="290"/>
        <v/>
      </c>
      <c r="I2700" s="7" t="s">
        <v>156</v>
      </c>
      <c r="J2700" s="7" t="s">
        <v>11</v>
      </c>
      <c r="K2700" s="7"/>
      <c r="L2700" s="7"/>
      <c r="M2700" s="7"/>
      <c r="N2700" s="7" t="s">
        <v>170</v>
      </c>
      <c r="O2700" s="7" t="s">
        <v>162</v>
      </c>
      <c r="P2700" s="7" t="s">
        <v>7434</v>
      </c>
      <c r="Q2700" s="129">
        <v>46199</v>
      </c>
      <c r="R2700" s="130">
        <f t="shared" si="288"/>
        <v>46209</v>
      </c>
      <c r="S2700" s="131">
        <f t="shared" si="293"/>
        <v>10</v>
      </c>
      <c r="T2700" s="7"/>
      <c r="U2700" s="7"/>
      <c r="V2700" s="7"/>
      <c r="W2700" s="7"/>
      <c r="X2700" s="132">
        <f t="shared" si="291"/>
        <v>10</v>
      </c>
      <c r="Y2700" s="133"/>
      <c r="Z2700" s="133"/>
      <c r="AA2700" s="133"/>
    </row>
    <row r="2701" spans="1:27" hidden="1" x14ac:dyDescent="0.25">
      <c r="A2701" s="133"/>
      <c r="B2701" s="128" t="str">
        <f t="shared" si="292"/>
        <v>TORT</v>
      </c>
      <c r="C2701" s="128" t="str">
        <f>+VLOOKUP(U2701,Ходим!A:B,2,0)</f>
        <v>50908015920034</v>
      </c>
      <c r="D2701" s="128" t="str">
        <f>IFERROR(VLOOKUP($B:$B,[20]свод!$A:$AB,3,0)," ")</f>
        <v>Тўрақўрғон тумани</v>
      </c>
      <c r="E2701" s="7" t="s">
        <v>3833</v>
      </c>
      <c r="F2701" s="7" t="s">
        <v>10200</v>
      </c>
      <c r="G2701" s="134">
        <f t="shared" si="289"/>
        <v>1</v>
      </c>
      <c r="H2701" s="134" t="str">
        <f t="shared" si="290"/>
        <v/>
      </c>
      <c r="I2701" s="7" t="s">
        <v>158</v>
      </c>
      <c r="J2701" s="7" t="s">
        <v>1</v>
      </c>
      <c r="K2701" s="7"/>
      <c r="L2701" s="7" t="s">
        <v>167</v>
      </c>
      <c r="M2701" s="7" t="s">
        <v>5996</v>
      </c>
      <c r="N2701" s="7" t="s">
        <v>170</v>
      </c>
      <c r="O2701" s="7" t="s">
        <v>162</v>
      </c>
      <c r="P2701" s="7" t="s">
        <v>6552</v>
      </c>
      <c r="Q2701" s="129">
        <v>46199</v>
      </c>
      <c r="R2701" s="130">
        <f t="shared" si="288"/>
        <v>46205</v>
      </c>
      <c r="S2701" s="131">
        <f t="shared" si="293"/>
        <v>6</v>
      </c>
      <c r="T2701" s="7" t="s">
        <v>203</v>
      </c>
      <c r="U2701" s="7" t="s">
        <v>205</v>
      </c>
      <c r="V2701" s="7"/>
      <c r="W2701" s="7">
        <v>357.8</v>
      </c>
      <c r="X2701" s="132">
        <f t="shared" si="291"/>
        <v>10</v>
      </c>
      <c r="Y2701" s="133"/>
      <c r="Z2701" s="133"/>
      <c r="AA2701" s="133"/>
    </row>
    <row r="2702" spans="1:27" hidden="1" x14ac:dyDescent="0.25">
      <c r="A2702" s="133"/>
      <c r="B2702" s="128" t="str">
        <f t="shared" si="292"/>
        <v>NAMT</v>
      </c>
      <c r="C2702" s="128" t="str">
        <f>+VLOOKUP(U2702,Ходим!A:B,2,0)</f>
        <v>32607902090019</v>
      </c>
      <c r="D2702" s="128" t="str">
        <f>IFERROR(VLOOKUP($B:$B,[20]свод!$A:$AB,3,0)," ")</f>
        <v>Наманган тумани</v>
      </c>
      <c r="E2702" s="7" t="s">
        <v>3834</v>
      </c>
      <c r="F2702" s="7" t="s">
        <v>10201</v>
      </c>
      <c r="G2702" s="134">
        <f t="shared" si="289"/>
        <v>1</v>
      </c>
      <c r="H2702" s="134" t="str">
        <f t="shared" si="290"/>
        <v/>
      </c>
      <c r="I2702" s="7" t="s">
        <v>158</v>
      </c>
      <c r="J2702" s="7" t="s">
        <v>2</v>
      </c>
      <c r="K2702" s="7"/>
      <c r="L2702" s="7"/>
      <c r="M2702" s="7"/>
      <c r="N2702" s="7" t="s">
        <v>170</v>
      </c>
      <c r="O2702" s="7" t="s">
        <v>162</v>
      </c>
      <c r="P2702" s="7" t="s">
        <v>7435</v>
      </c>
      <c r="Q2702" s="129">
        <v>46199</v>
      </c>
      <c r="R2702" s="130">
        <f t="shared" si="288"/>
        <v>46209</v>
      </c>
      <c r="S2702" s="131">
        <f t="shared" si="293"/>
        <v>10</v>
      </c>
      <c r="T2702" s="7" t="s">
        <v>193</v>
      </c>
      <c r="U2702" s="7" t="s">
        <v>243</v>
      </c>
      <c r="V2702" s="7"/>
      <c r="W2702" s="7"/>
      <c r="X2702" s="132">
        <f t="shared" si="291"/>
        <v>10</v>
      </c>
      <c r="Y2702" s="133"/>
      <c r="Z2702" s="133"/>
      <c r="AA2702" s="133"/>
    </row>
    <row r="2703" spans="1:27" hidden="1" x14ac:dyDescent="0.25">
      <c r="A2703" s="133"/>
      <c r="B2703" s="128" t="str">
        <f t="shared" si="292"/>
        <v>UYCT</v>
      </c>
      <c r="C2703" s="128" t="str">
        <f>+VLOOKUP(U2703,Ходим!A:B,2,0)</f>
        <v>32906985930035</v>
      </c>
      <c r="D2703" s="128" t="str">
        <f>IFERROR(VLOOKUP($B:$B,[20]свод!$A:$AB,3,0)," ")</f>
        <v>Уйчи тумани</v>
      </c>
      <c r="E2703" s="7" t="s">
        <v>3835</v>
      </c>
      <c r="F2703" s="7" t="s">
        <v>10202</v>
      </c>
      <c r="G2703" s="134">
        <f t="shared" si="289"/>
        <v>1</v>
      </c>
      <c r="H2703" s="134" t="str">
        <f t="shared" si="290"/>
        <v/>
      </c>
      <c r="I2703" s="7" t="s">
        <v>158</v>
      </c>
      <c r="J2703" s="7" t="s">
        <v>1</v>
      </c>
      <c r="K2703" s="7"/>
      <c r="L2703" s="7" t="s">
        <v>167</v>
      </c>
      <c r="M2703" s="7" t="s">
        <v>5997</v>
      </c>
      <c r="N2703" s="7" t="s">
        <v>410</v>
      </c>
      <c r="O2703" s="7" t="s">
        <v>162</v>
      </c>
      <c r="P2703" s="7" t="s">
        <v>6538</v>
      </c>
      <c r="Q2703" s="129">
        <v>46199</v>
      </c>
      <c r="R2703" s="130">
        <f t="shared" si="288"/>
        <v>46205</v>
      </c>
      <c r="S2703" s="131">
        <f t="shared" si="293"/>
        <v>6</v>
      </c>
      <c r="T2703" s="7" t="s">
        <v>379</v>
      </c>
      <c r="U2703" s="7" t="s">
        <v>257</v>
      </c>
      <c r="V2703" s="7"/>
      <c r="W2703" s="7">
        <v>286.36</v>
      </c>
      <c r="X2703" s="132">
        <f t="shared" si="291"/>
        <v>10</v>
      </c>
      <c r="Y2703" s="133"/>
      <c r="Z2703" s="133"/>
      <c r="AA2703" s="133"/>
    </row>
    <row r="2704" spans="1:27" hidden="1" x14ac:dyDescent="0.25">
      <c r="A2704" s="133"/>
      <c r="B2704" s="128" t="str">
        <f t="shared" si="292"/>
        <v>CHUT</v>
      </c>
      <c r="C2704" s="128" t="e">
        <f>+VLOOKUP(U2704,Ходим!A:B,2,0)</f>
        <v>#N/A</v>
      </c>
      <c r="D2704" s="128" t="str">
        <f>IFERROR(VLOOKUP($B:$B,[20]свод!$A:$AB,3,0)," ")</f>
        <v>Чуст тумани</v>
      </c>
      <c r="E2704" s="7" t="s">
        <v>3836</v>
      </c>
      <c r="F2704" s="7" t="s">
        <v>10203</v>
      </c>
      <c r="G2704" s="134">
        <f t="shared" si="289"/>
        <v>1</v>
      </c>
      <c r="H2704" s="134" t="str">
        <f t="shared" si="290"/>
        <v/>
      </c>
      <c r="I2704" s="7" t="s">
        <v>159</v>
      </c>
      <c r="J2704" s="7" t="s">
        <v>136</v>
      </c>
      <c r="K2704" s="7"/>
      <c r="L2704" s="7" t="s">
        <v>167</v>
      </c>
      <c r="M2704" s="7" t="s">
        <v>5998</v>
      </c>
      <c r="N2704" s="7" t="s">
        <v>170</v>
      </c>
      <c r="O2704" s="7" t="s">
        <v>163</v>
      </c>
      <c r="P2704" s="7" t="s">
        <v>7436</v>
      </c>
      <c r="Q2704" s="129">
        <v>46199</v>
      </c>
      <c r="R2704" s="130">
        <f t="shared" si="288"/>
        <v>46209</v>
      </c>
      <c r="S2704" s="131">
        <f t="shared" si="293"/>
        <v>10</v>
      </c>
      <c r="T2704" s="7" t="s">
        <v>178</v>
      </c>
      <c r="U2704" s="7"/>
      <c r="V2704" s="7"/>
      <c r="W2704" s="7">
        <v>126.21</v>
      </c>
      <c r="X2704" s="132">
        <f t="shared" si="291"/>
        <v>10</v>
      </c>
      <c r="Y2704" s="133"/>
      <c r="Z2704" s="133"/>
      <c r="AA2704" s="133"/>
    </row>
    <row r="2705" spans="1:27" hidden="1" x14ac:dyDescent="0.25">
      <c r="A2705" s="133"/>
      <c r="B2705" s="128" t="str">
        <f t="shared" si="292"/>
        <v>NAMT</v>
      </c>
      <c r="C2705" s="128" t="str">
        <f>+VLOOKUP(U2705,Ходим!A:B,2,0)</f>
        <v>31205812090050</v>
      </c>
      <c r="D2705" s="128" t="str">
        <f>IFERROR(VLOOKUP($B:$B,[20]свод!$A:$AB,3,0)," ")</f>
        <v>Наманган тумани</v>
      </c>
      <c r="E2705" s="7" t="s">
        <v>3837</v>
      </c>
      <c r="F2705" s="7" t="s">
        <v>10204</v>
      </c>
      <c r="G2705" s="134">
        <f t="shared" si="289"/>
        <v>1</v>
      </c>
      <c r="H2705" s="134" t="str">
        <f t="shared" si="290"/>
        <v/>
      </c>
      <c r="I2705" s="7" t="s">
        <v>156</v>
      </c>
      <c r="J2705" s="7" t="s">
        <v>25</v>
      </c>
      <c r="K2705" s="7"/>
      <c r="L2705" s="7"/>
      <c r="M2705" s="7"/>
      <c r="N2705" s="7" t="s">
        <v>170</v>
      </c>
      <c r="O2705" s="7" t="s">
        <v>162</v>
      </c>
      <c r="P2705" s="7" t="s">
        <v>7436</v>
      </c>
      <c r="Q2705" s="129">
        <v>46199</v>
      </c>
      <c r="R2705" s="130">
        <f t="shared" si="288"/>
        <v>46209</v>
      </c>
      <c r="S2705" s="131">
        <f t="shared" si="293"/>
        <v>10</v>
      </c>
      <c r="T2705" s="7" t="s">
        <v>197</v>
      </c>
      <c r="U2705" s="7" t="s">
        <v>346</v>
      </c>
      <c r="V2705" s="7"/>
      <c r="W2705" s="7"/>
      <c r="X2705" s="132">
        <f t="shared" si="291"/>
        <v>10</v>
      </c>
      <c r="Y2705" s="133"/>
      <c r="Z2705" s="133"/>
      <c r="AA2705" s="133"/>
    </row>
    <row r="2706" spans="1:27" hidden="1" x14ac:dyDescent="0.25">
      <c r="A2706" s="133"/>
      <c r="B2706" s="128" t="str">
        <f t="shared" si="292"/>
        <v>KSST</v>
      </c>
      <c r="C2706" s="128" t="str">
        <f>+VLOOKUP(U2706,Ходим!A:B,2,0)</f>
        <v>31407932190092</v>
      </c>
      <c r="D2706" s="128" t="str">
        <f>IFERROR(VLOOKUP($B:$B,[20]свод!$A:$AB,3,0)," ")</f>
        <v>Косонсой тумани</v>
      </c>
      <c r="E2706" s="7" t="s">
        <v>3838</v>
      </c>
      <c r="F2706" s="7" t="s">
        <v>10205</v>
      </c>
      <c r="G2706" s="134">
        <f t="shared" si="289"/>
        <v>1</v>
      </c>
      <c r="H2706" s="134" t="str">
        <f t="shared" si="290"/>
        <v/>
      </c>
      <c r="I2706" s="7" t="s">
        <v>158</v>
      </c>
      <c r="J2706" s="7" t="s">
        <v>1</v>
      </c>
      <c r="K2706" s="7"/>
      <c r="L2706" s="7" t="s">
        <v>167</v>
      </c>
      <c r="M2706" s="7" t="s">
        <v>5999</v>
      </c>
      <c r="N2706" s="7" t="s">
        <v>170</v>
      </c>
      <c r="O2706" s="7" t="s">
        <v>162</v>
      </c>
      <c r="P2706" s="7" t="s">
        <v>7351</v>
      </c>
      <c r="Q2706" s="129">
        <v>46199</v>
      </c>
      <c r="R2706" s="130">
        <f t="shared" si="288"/>
        <v>46209</v>
      </c>
      <c r="S2706" s="131">
        <f t="shared" si="293"/>
        <v>10</v>
      </c>
      <c r="T2706" s="7" t="s">
        <v>180</v>
      </c>
      <c r="U2706" s="7" t="s">
        <v>188</v>
      </c>
      <c r="V2706" s="7"/>
      <c r="W2706" s="7">
        <v>340.59</v>
      </c>
      <c r="X2706" s="132">
        <f t="shared" si="291"/>
        <v>10</v>
      </c>
      <c r="Y2706" s="133"/>
      <c r="Z2706" s="133"/>
      <c r="AA2706" s="133"/>
    </row>
    <row r="2707" spans="1:27" hidden="1" x14ac:dyDescent="0.25">
      <c r="A2707" s="133"/>
      <c r="B2707" s="128" t="str">
        <f t="shared" si="292"/>
        <v>KSST</v>
      </c>
      <c r="C2707" s="128" t="str">
        <f>+VLOOKUP(U2707,Ходим!A:B,2,0)</f>
        <v>31611995980026</v>
      </c>
      <c r="D2707" s="128" t="str">
        <f>IFERROR(VLOOKUP($B:$B,[20]свод!$A:$AB,3,0)," ")</f>
        <v>Косонсой тумани</v>
      </c>
      <c r="E2707" s="7" t="s">
        <v>3839</v>
      </c>
      <c r="F2707" s="7" t="s">
        <v>10206</v>
      </c>
      <c r="G2707" s="134">
        <f t="shared" si="289"/>
        <v>1</v>
      </c>
      <c r="H2707" s="134" t="str">
        <f t="shared" si="290"/>
        <v/>
      </c>
      <c r="I2707" s="7" t="s">
        <v>158</v>
      </c>
      <c r="J2707" s="7" t="s">
        <v>2</v>
      </c>
      <c r="K2707" s="7"/>
      <c r="L2707" s="7" t="s">
        <v>167</v>
      </c>
      <c r="M2707" s="7" t="s">
        <v>6000</v>
      </c>
      <c r="N2707" s="7" t="s">
        <v>170</v>
      </c>
      <c r="O2707" s="7" t="s">
        <v>162</v>
      </c>
      <c r="P2707" s="7" t="s">
        <v>7436</v>
      </c>
      <c r="Q2707" s="129">
        <v>46199</v>
      </c>
      <c r="R2707" s="130">
        <f t="shared" si="288"/>
        <v>46209</v>
      </c>
      <c r="S2707" s="131">
        <f t="shared" si="293"/>
        <v>10</v>
      </c>
      <c r="T2707" s="7" t="s">
        <v>180</v>
      </c>
      <c r="U2707" s="7" t="s">
        <v>181</v>
      </c>
      <c r="V2707" s="7"/>
      <c r="W2707" s="7">
        <v>88.23</v>
      </c>
      <c r="X2707" s="132">
        <f t="shared" si="291"/>
        <v>10</v>
      </c>
      <c r="Y2707" s="133"/>
      <c r="Z2707" s="133"/>
      <c r="AA2707" s="133"/>
    </row>
    <row r="2708" spans="1:27" hidden="1" x14ac:dyDescent="0.25">
      <c r="A2708" s="133"/>
      <c r="B2708" s="128" t="str">
        <f t="shared" si="292"/>
        <v>KSST</v>
      </c>
      <c r="C2708" s="128" t="str">
        <f>+VLOOKUP(U2708,Ходим!A:B,2,0)</f>
        <v>52812015980061</v>
      </c>
      <c r="D2708" s="128" t="str">
        <f>IFERROR(VLOOKUP($B:$B,[20]свод!$A:$AB,3,0)," ")</f>
        <v>Косонсой тумани</v>
      </c>
      <c r="E2708" s="7" t="s">
        <v>3840</v>
      </c>
      <c r="F2708" s="7" t="s">
        <v>10207</v>
      </c>
      <c r="G2708" s="134" t="str">
        <f t="shared" si="289"/>
        <v/>
      </c>
      <c r="H2708" s="134">
        <f t="shared" si="290"/>
        <v>1</v>
      </c>
      <c r="I2708" s="7" t="s">
        <v>157</v>
      </c>
      <c r="J2708" s="7" t="s">
        <v>1</v>
      </c>
      <c r="K2708" s="7"/>
      <c r="L2708" s="7" t="s">
        <v>166</v>
      </c>
      <c r="M2708" s="7" t="s">
        <v>6001</v>
      </c>
      <c r="N2708" s="7" t="s">
        <v>410</v>
      </c>
      <c r="O2708" s="7" t="s">
        <v>161</v>
      </c>
      <c r="P2708" s="7" t="s">
        <v>7436</v>
      </c>
      <c r="Q2708" s="129">
        <v>46199</v>
      </c>
      <c r="R2708" s="130">
        <f t="shared" si="288"/>
        <v>46211</v>
      </c>
      <c r="S2708" s="131">
        <f t="shared" si="293"/>
        <v>12</v>
      </c>
      <c r="T2708" s="7" t="s">
        <v>180</v>
      </c>
      <c r="U2708" s="7" t="s">
        <v>307</v>
      </c>
      <c r="V2708" s="7"/>
      <c r="W2708" s="7">
        <v>675.74</v>
      </c>
      <c r="X2708" s="132">
        <f t="shared" si="291"/>
        <v>12</v>
      </c>
      <c r="Y2708" s="133"/>
      <c r="Z2708" s="133"/>
      <c r="AA2708" s="133"/>
    </row>
    <row r="2709" spans="1:27" hidden="1" x14ac:dyDescent="0.25">
      <c r="A2709" s="133"/>
      <c r="B2709" s="128" t="str">
        <f t="shared" si="292"/>
        <v>NAMS</v>
      </c>
      <c r="C2709" s="128">
        <f>+VLOOKUP(U2709,Ходим!A:B,2,0)</f>
        <v>52004005950071</v>
      </c>
      <c r="D2709" s="128" t="str">
        <f>IFERROR(VLOOKUP($B:$B,[20]свод!$A:$AB,3,0)," ")</f>
        <v>Наманган шаҳар</v>
      </c>
      <c r="E2709" s="7" t="s">
        <v>3841</v>
      </c>
      <c r="F2709" s="7" t="s">
        <v>10208</v>
      </c>
      <c r="G2709" s="134">
        <f t="shared" si="289"/>
        <v>1</v>
      </c>
      <c r="H2709" s="134" t="str">
        <f t="shared" si="290"/>
        <v/>
      </c>
      <c r="I2709" s="7" t="s">
        <v>158</v>
      </c>
      <c r="J2709" s="7" t="s">
        <v>2</v>
      </c>
      <c r="K2709" s="7"/>
      <c r="L2709" s="7" t="s">
        <v>167</v>
      </c>
      <c r="M2709" s="7" t="s">
        <v>6002</v>
      </c>
      <c r="N2709" s="7" t="s">
        <v>170</v>
      </c>
      <c r="O2709" s="7" t="s">
        <v>162</v>
      </c>
      <c r="P2709" s="7" t="s">
        <v>7437</v>
      </c>
      <c r="Q2709" s="129">
        <v>46199</v>
      </c>
      <c r="R2709" s="130">
        <f t="shared" si="288"/>
        <v>46209</v>
      </c>
      <c r="S2709" s="131">
        <f t="shared" si="293"/>
        <v>10</v>
      </c>
      <c r="T2709" s="7" t="s">
        <v>173</v>
      </c>
      <c r="U2709" s="7" t="s">
        <v>1015</v>
      </c>
      <c r="V2709" s="7"/>
      <c r="W2709" s="7">
        <v>82.9</v>
      </c>
      <c r="X2709" s="132">
        <f t="shared" si="291"/>
        <v>10</v>
      </c>
      <c r="Y2709" s="133"/>
      <c r="Z2709" s="133"/>
      <c r="AA2709" s="133"/>
    </row>
    <row r="2710" spans="1:27" hidden="1" x14ac:dyDescent="0.25">
      <c r="A2710" s="133"/>
      <c r="B2710" s="128" t="str">
        <f t="shared" si="292"/>
        <v>UYCT</v>
      </c>
      <c r="C2710" s="128" t="str">
        <f>+VLOOKUP(U2710,Ходим!A:B,2,0)</f>
        <v>31004952140036</v>
      </c>
      <c r="D2710" s="128" t="str">
        <f>IFERROR(VLOOKUP($B:$B,[20]свод!$A:$AB,3,0)," ")</f>
        <v>Уйчи тумани</v>
      </c>
      <c r="E2710" s="7" t="s">
        <v>3842</v>
      </c>
      <c r="F2710" s="7" t="s">
        <v>10209</v>
      </c>
      <c r="G2710" s="134">
        <f t="shared" si="289"/>
        <v>1</v>
      </c>
      <c r="H2710" s="134" t="str">
        <f t="shared" si="290"/>
        <v/>
      </c>
      <c r="I2710" s="7" t="s">
        <v>158</v>
      </c>
      <c r="J2710" s="7" t="s">
        <v>2</v>
      </c>
      <c r="K2710" s="7"/>
      <c r="L2710" s="7" t="s">
        <v>167</v>
      </c>
      <c r="M2710" s="7" t="s">
        <v>6003</v>
      </c>
      <c r="N2710" s="7" t="s">
        <v>170</v>
      </c>
      <c r="O2710" s="7" t="s">
        <v>162</v>
      </c>
      <c r="P2710" s="7" t="s">
        <v>7437</v>
      </c>
      <c r="Q2710" s="129">
        <v>46199</v>
      </c>
      <c r="R2710" s="130">
        <f t="shared" si="288"/>
        <v>46209</v>
      </c>
      <c r="S2710" s="131">
        <f t="shared" si="293"/>
        <v>10</v>
      </c>
      <c r="T2710" s="7" t="s">
        <v>947</v>
      </c>
      <c r="U2710" s="7" t="s">
        <v>331</v>
      </c>
      <c r="V2710" s="7"/>
      <c r="W2710" s="7">
        <v>386.2</v>
      </c>
      <c r="X2710" s="132">
        <f t="shared" si="291"/>
        <v>10</v>
      </c>
      <c r="Y2710" s="133"/>
      <c r="Z2710" s="133"/>
      <c r="AA2710" s="133"/>
    </row>
    <row r="2711" spans="1:27" hidden="1" x14ac:dyDescent="0.25">
      <c r="A2711" s="133"/>
      <c r="B2711" s="128" t="str">
        <f t="shared" si="292"/>
        <v>NAMS</v>
      </c>
      <c r="C2711" s="128" t="str">
        <f>+VLOOKUP(U2711,Ходим!A:B,2,0)</f>
        <v>52601025870013</v>
      </c>
      <c r="D2711" s="128" t="str">
        <f>IFERROR(VLOOKUP($B:$B,[20]свод!$A:$AB,3,0)," ")</f>
        <v>Наманган шаҳар</v>
      </c>
      <c r="E2711" s="7" t="s">
        <v>3843</v>
      </c>
      <c r="F2711" s="7" t="s">
        <v>10210</v>
      </c>
      <c r="G2711" s="134">
        <f t="shared" si="289"/>
        <v>1</v>
      </c>
      <c r="H2711" s="134" t="str">
        <f t="shared" si="290"/>
        <v/>
      </c>
      <c r="I2711" s="7" t="s">
        <v>158</v>
      </c>
      <c r="J2711" s="7" t="s">
        <v>2</v>
      </c>
      <c r="K2711" s="7"/>
      <c r="L2711" s="7" t="s">
        <v>167</v>
      </c>
      <c r="M2711" s="7" t="s">
        <v>6004</v>
      </c>
      <c r="N2711" s="7" t="s">
        <v>170</v>
      </c>
      <c r="O2711" s="7" t="s">
        <v>162</v>
      </c>
      <c r="P2711" s="7" t="s">
        <v>7437</v>
      </c>
      <c r="Q2711" s="129">
        <v>46199</v>
      </c>
      <c r="R2711" s="130">
        <f t="shared" si="288"/>
        <v>46209</v>
      </c>
      <c r="S2711" s="131">
        <f t="shared" si="293"/>
        <v>10</v>
      </c>
      <c r="T2711" s="7" t="s">
        <v>173</v>
      </c>
      <c r="U2711" s="7" t="s">
        <v>405</v>
      </c>
      <c r="V2711" s="7"/>
      <c r="W2711" s="7">
        <v>0</v>
      </c>
      <c r="X2711" s="132">
        <f t="shared" si="291"/>
        <v>10</v>
      </c>
      <c r="Y2711" s="133"/>
      <c r="Z2711" s="133"/>
      <c r="AA2711" s="133"/>
    </row>
    <row r="2712" spans="1:27" hidden="1" x14ac:dyDescent="0.25">
      <c r="A2712" s="133"/>
      <c r="B2712" s="128" t="str">
        <f t="shared" si="292"/>
        <v>KSST</v>
      </c>
      <c r="C2712" s="128" t="e">
        <f>+VLOOKUP(U2712,Ходим!A:B,2,0)</f>
        <v>#N/A</v>
      </c>
      <c r="D2712" s="128" t="str">
        <f>IFERROR(VLOOKUP($B:$B,[20]свод!$A:$AB,3,0)," ")</f>
        <v>Косонсой тумани</v>
      </c>
      <c r="E2712" s="7" t="s">
        <v>3844</v>
      </c>
      <c r="F2712" s="7" t="s">
        <v>10211</v>
      </c>
      <c r="G2712" s="134">
        <f t="shared" si="289"/>
        <v>1</v>
      </c>
      <c r="H2712" s="134" t="str">
        <f t="shared" si="290"/>
        <v/>
      </c>
      <c r="I2712" s="7" t="s">
        <v>156</v>
      </c>
      <c r="J2712" s="7" t="s">
        <v>25</v>
      </c>
      <c r="K2712" s="7"/>
      <c r="L2712" s="7" t="s">
        <v>167</v>
      </c>
      <c r="M2712" s="7" t="s">
        <v>6005</v>
      </c>
      <c r="N2712" s="7" t="s">
        <v>170</v>
      </c>
      <c r="O2712" s="7" t="s">
        <v>163</v>
      </c>
      <c r="P2712" s="7" t="s">
        <v>7438</v>
      </c>
      <c r="Q2712" s="129">
        <v>46199</v>
      </c>
      <c r="R2712" s="130">
        <f t="shared" si="288"/>
        <v>46209</v>
      </c>
      <c r="S2712" s="131">
        <f t="shared" si="293"/>
        <v>10</v>
      </c>
      <c r="T2712" s="7" t="s">
        <v>180</v>
      </c>
      <c r="U2712" s="7" t="s">
        <v>10634</v>
      </c>
      <c r="V2712" s="7"/>
      <c r="W2712" s="7">
        <v>527.16</v>
      </c>
      <c r="X2712" s="132">
        <f t="shared" si="291"/>
        <v>10</v>
      </c>
      <c r="Y2712" s="133"/>
      <c r="Z2712" s="133"/>
      <c r="AA2712" s="133"/>
    </row>
    <row r="2713" spans="1:27" hidden="1" x14ac:dyDescent="0.25">
      <c r="A2713" s="133"/>
      <c r="B2713" s="128" t="str">
        <f t="shared" si="292"/>
        <v>YGQT</v>
      </c>
      <c r="C2713" s="128" t="str">
        <f>+VLOOKUP(U2713,Ходим!A:B,2,0)</f>
        <v>30101922100050</v>
      </c>
      <c r="D2713" s="128" t="str">
        <f>IFERROR(VLOOKUP($B:$B,[20]свод!$A:$AB,3,0)," ")</f>
        <v>Янгиқўрғон тумани</v>
      </c>
      <c r="E2713" s="7" t="s">
        <v>3845</v>
      </c>
      <c r="F2713" s="7" t="s">
        <v>10212</v>
      </c>
      <c r="G2713" s="134">
        <f t="shared" si="289"/>
        <v>1</v>
      </c>
      <c r="H2713" s="134" t="str">
        <f t="shared" si="290"/>
        <v/>
      </c>
      <c r="I2713" s="7" t="s">
        <v>158</v>
      </c>
      <c r="J2713" s="7" t="s">
        <v>2</v>
      </c>
      <c r="K2713" s="7"/>
      <c r="L2713" s="7" t="s">
        <v>167</v>
      </c>
      <c r="M2713" s="7" t="s">
        <v>6006</v>
      </c>
      <c r="N2713" s="7" t="s">
        <v>170</v>
      </c>
      <c r="O2713" s="7" t="s">
        <v>162</v>
      </c>
      <c r="P2713" s="7" t="s">
        <v>7438</v>
      </c>
      <c r="Q2713" s="129">
        <v>46199</v>
      </c>
      <c r="R2713" s="130">
        <f t="shared" si="288"/>
        <v>46209</v>
      </c>
      <c r="S2713" s="131">
        <f t="shared" si="293"/>
        <v>10</v>
      </c>
      <c r="T2713" s="7" t="s">
        <v>255</v>
      </c>
      <c r="U2713" s="7" t="s">
        <v>265</v>
      </c>
      <c r="V2713" s="7"/>
      <c r="W2713" s="7">
        <v>393.25</v>
      </c>
      <c r="X2713" s="132">
        <f t="shared" si="291"/>
        <v>10</v>
      </c>
      <c r="Y2713" s="133"/>
      <c r="Z2713" s="133"/>
      <c r="AA2713" s="133"/>
    </row>
    <row r="2714" spans="1:27" hidden="1" x14ac:dyDescent="0.25">
      <c r="A2714" s="133"/>
      <c r="B2714" s="128" t="str">
        <f t="shared" si="292"/>
        <v>NAMS</v>
      </c>
      <c r="C2714" s="128" t="str">
        <f>+VLOOKUP(U2714,Ходим!A:B,2,0)</f>
        <v>30108932170088</v>
      </c>
      <c r="D2714" s="128" t="str">
        <f>IFERROR(VLOOKUP($B:$B,[20]свод!$A:$AB,3,0)," ")</f>
        <v>Наманган шаҳар</v>
      </c>
      <c r="E2714" s="7" t="s">
        <v>3846</v>
      </c>
      <c r="F2714" s="7" t="s">
        <v>10213</v>
      </c>
      <c r="G2714" s="134">
        <f t="shared" si="289"/>
        <v>1</v>
      </c>
      <c r="H2714" s="134" t="str">
        <f t="shared" si="290"/>
        <v/>
      </c>
      <c r="I2714" s="7" t="s">
        <v>158</v>
      </c>
      <c r="J2714" s="7" t="s">
        <v>2</v>
      </c>
      <c r="K2714" s="7"/>
      <c r="L2714" s="7" t="s">
        <v>167</v>
      </c>
      <c r="M2714" s="7" t="s">
        <v>6007</v>
      </c>
      <c r="N2714" s="7" t="s">
        <v>170</v>
      </c>
      <c r="O2714" s="7" t="s">
        <v>162</v>
      </c>
      <c r="P2714" s="7" t="s">
        <v>7439</v>
      </c>
      <c r="Q2714" s="129">
        <v>46199</v>
      </c>
      <c r="R2714" s="130">
        <f t="shared" si="288"/>
        <v>46209</v>
      </c>
      <c r="S2714" s="131">
        <f t="shared" si="293"/>
        <v>10</v>
      </c>
      <c r="T2714" s="7" t="s">
        <v>173</v>
      </c>
      <c r="U2714" s="7" t="s">
        <v>329</v>
      </c>
      <c r="V2714" s="7"/>
      <c r="W2714" s="7">
        <v>0</v>
      </c>
      <c r="X2714" s="132">
        <f t="shared" si="291"/>
        <v>10</v>
      </c>
      <c r="Y2714" s="133"/>
      <c r="Z2714" s="133"/>
      <c r="AA2714" s="133"/>
    </row>
    <row r="2715" spans="1:27" x14ac:dyDescent="0.25">
      <c r="A2715" s="133"/>
      <c r="B2715" s="128" t="str">
        <f t="shared" si="292"/>
        <v>UYCT</v>
      </c>
      <c r="C2715" s="128" t="str">
        <f>+VLOOKUP(U2715,Ходим!A:B,2,0)</f>
        <v>31310995930032</v>
      </c>
      <c r="D2715" s="128" t="str">
        <f>IFERROR(VLOOKUP($B:$B,[20]свод!$A:$AB,3,0)," ")</f>
        <v>Уйчи тумани</v>
      </c>
      <c r="E2715" s="7" t="s">
        <v>3847</v>
      </c>
      <c r="F2715" s="7" t="s">
        <v>10214</v>
      </c>
      <c r="G2715" s="134" t="str">
        <f t="shared" si="289"/>
        <v/>
      </c>
      <c r="H2715" s="134">
        <f t="shared" si="290"/>
        <v>1</v>
      </c>
      <c r="I2715" s="7" t="s">
        <v>157</v>
      </c>
      <c r="J2715" s="7" t="s">
        <v>134</v>
      </c>
      <c r="K2715" s="7"/>
      <c r="L2715" s="7" t="s">
        <v>168</v>
      </c>
      <c r="M2715" s="7" t="s">
        <v>6008</v>
      </c>
      <c r="N2715" s="7" t="s">
        <v>410</v>
      </c>
      <c r="O2715" s="7" t="s">
        <v>161</v>
      </c>
      <c r="P2715" s="7" t="s">
        <v>7094</v>
      </c>
      <c r="Q2715" s="129">
        <v>46199</v>
      </c>
      <c r="R2715" s="130">
        <f t="shared" si="288"/>
        <v>46197</v>
      </c>
      <c r="S2715" s="131">
        <f t="shared" si="293"/>
        <v>-2</v>
      </c>
      <c r="T2715" s="7" t="s">
        <v>947</v>
      </c>
      <c r="U2715" s="7" t="s">
        <v>399</v>
      </c>
      <c r="V2715" s="7"/>
      <c r="W2715" s="7">
        <v>0</v>
      </c>
      <c r="X2715" s="132">
        <f t="shared" si="291"/>
        <v>7</v>
      </c>
      <c r="Y2715" s="133"/>
      <c r="Z2715" s="133"/>
      <c r="AA2715" s="133"/>
    </row>
    <row r="2716" spans="1:27" hidden="1" x14ac:dyDescent="0.25">
      <c r="A2716" s="133"/>
      <c r="B2716" s="128" t="str">
        <f t="shared" si="292"/>
        <v>YGQT</v>
      </c>
      <c r="C2716" s="128" t="str">
        <f>+VLOOKUP(U2716,Ходим!A:B,2,0)</f>
        <v>30502995950058</v>
      </c>
      <c r="D2716" s="128" t="str">
        <f>IFERROR(VLOOKUP($B:$B,[20]свод!$A:$AB,3,0)," ")</f>
        <v>Янгиқўрғон тумани</v>
      </c>
      <c r="E2716" s="7" t="s">
        <v>3848</v>
      </c>
      <c r="F2716" s="7" t="s">
        <v>10215</v>
      </c>
      <c r="G2716" s="134">
        <f t="shared" si="289"/>
        <v>1</v>
      </c>
      <c r="H2716" s="134" t="str">
        <f t="shared" si="290"/>
        <v/>
      </c>
      <c r="I2716" s="7" t="s">
        <v>156</v>
      </c>
      <c r="J2716" s="7" t="s">
        <v>25</v>
      </c>
      <c r="K2716" s="7"/>
      <c r="L2716" s="7" t="s">
        <v>167</v>
      </c>
      <c r="M2716" s="7" t="s">
        <v>6009</v>
      </c>
      <c r="N2716" s="7" t="s">
        <v>170</v>
      </c>
      <c r="O2716" s="7" t="s">
        <v>162</v>
      </c>
      <c r="P2716" s="7" t="s">
        <v>7439</v>
      </c>
      <c r="Q2716" s="129">
        <v>46199</v>
      </c>
      <c r="R2716" s="130">
        <f t="shared" si="288"/>
        <v>46209</v>
      </c>
      <c r="S2716" s="131">
        <f t="shared" si="293"/>
        <v>10</v>
      </c>
      <c r="T2716" s="7" t="s">
        <v>182</v>
      </c>
      <c r="U2716" s="7" t="s">
        <v>340</v>
      </c>
      <c r="V2716" s="7"/>
      <c r="W2716" s="7">
        <v>259.75</v>
      </c>
      <c r="X2716" s="132">
        <f t="shared" si="291"/>
        <v>10</v>
      </c>
      <c r="Y2716" s="133"/>
      <c r="Z2716" s="133"/>
      <c r="AA2716" s="133"/>
    </row>
    <row r="2717" spans="1:27" x14ac:dyDescent="0.25">
      <c r="A2717" s="133"/>
      <c r="B2717" s="128" t="str">
        <f t="shared" si="292"/>
        <v>POPT</v>
      </c>
      <c r="C2717" s="128" t="str">
        <f>+VLOOKUP(U2717,Ходим!A:B,2,0)</f>
        <v>32209966000029</v>
      </c>
      <c r="D2717" s="128" t="str">
        <f>IFERROR(VLOOKUP($B:$B,[20]свод!$A:$AB,3,0)," ")</f>
        <v>Поп тумани</v>
      </c>
      <c r="E2717" s="7" t="s">
        <v>3849</v>
      </c>
      <c r="F2717" s="7" t="s">
        <v>10216</v>
      </c>
      <c r="G2717" s="134">
        <f t="shared" si="289"/>
        <v>1</v>
      </c>
      <c r="H2717" s="134" t="str">
        <f t="shared" si="290"/>
        <v/>
      </c>
      <c r="I2717" s="7" t="s">
        <v>158</v>
      </c>
      <c r="J2717" s="7" t="s">
        <v>16</v>
      </c>
      <c r="K2717" s="7"/>
      <c r="L2717" s="7" t="s">
        <v>169</v>
      </c>
      <c r="M2717" s="7" t="s">
        <v>6010</v>
      </c>
      <c r="N2717" s="7" t="s">
        <v>170</v>
      </c>
      <c r="O2717" s="7" t="s">
        <v>162</v>
      </c>
      <c r="P2717" s="7" t="s">
        <v>7393</v>
      </c>
      <c r="Q2717" s="129">
        <v>46199</v>
      </c>
      <c r="R2717" s="130">
        <f t="shared" si="288"/>
        <v>46199</v>
      </c>
      <c r="S2717" s="131">
        <f t="shared" si="293"/>
        <v>0</v>
      </c>
      <c r="T2717" s="7" t="s">
        <v>214</v>
      </c>
      <c r="U2717" s="7" t="s">
        <v>282</v>
      </c>
      <c r="V2717" s="7"/>
      <c r="W2717" s="7">
        <v>0</v>
      </c>
      <c r="X2717" s="132">
        <f t="shared" si="291"/>
        <v>7</v>
      </c>
      <c r="Y2717" s="133"/>
      <c r="Z2717" s="133"/>
      <c r="AA2717" s="133"/>
    </row>
    <row r="2718" spans="1:27" hidden="1" x14ac:dyDescent="0.25">
      <c r="A2718" s="133"/>
      <c r="B2718" s="128" t="str">
        <f t="shared" si="292"/>
        <v>POPT</v>
      </c>
      <c r="C2718" s="128" t="str">
        <f>+VLOOKUP(U2718,Ходим!A:B,2,0)</f>
        <v>50902005910032</v>
      </c>
      <c r="D2718" s="128" t="str">
        <f>IFERROR(VLOOKUP($B:$B,[20]свод!$A:$AB,3,0)," ")</f>
        <v>Поп тумани</v>
      </c>
      <c r="E2718" s="7" t="s">
        <v>3850</v>
      </c>
      <c r="F2718" s="7" t="s">
        <v>10217</v>
      </c>
      <c r="G2718" s="134" t="str">
        <f t="shared" si="289"/>
        <v/>
      </c>
      <c r="H2718" s="134">
        <f t="shared" si="290"/>
        <v>1</v>
      </c>
      <c r="I2718" s="7" t="s">
        <v>157</v>
      </c>
      <c r="J2718" s="7" t="s">
        <v>1</v>
      </c>
      <c r="K2718" s="7"/>
      <c r="L2718" s="7" t="s">
        <v>168</v>
      </c>
      <c r="M2718" s="7" t="s">
        <v>6011</v>
      </c>
      <c r="N2718" s="7" t="s">
        <v>170</v>
      </c>
      <c r="O2718" s="7" t="s">
        <v>161</v>
      </c>
      <c r="P2718" s="7" t="s">
        <v>7439</v>
      </c>
      <c r="Q2718" s="129">
        <v>46199</v>
      </c>
      <c r="R2718" s="130">
        <f t="shared" si="288"/>
        <v>46204</v>
      </c>
      <c r="S2718" s="131">
        <f t="shared" si="293"/>
        <v>5</v>
      </c>
      <c r="T2718" s="7" t="s">
        <v>240</v>
      </c>
      <c r="U2718" s="7" t="s">
        <v>278</v>
      </c>
      <c r="V2718" s="7"/>
      <c r="W2718" s="7">
        <v>0</v>
      </c>
      <c r="X2718" s="132">
        <f t="shared" si="291"/>
        <v>7</v>
      </c>
      <c r="Y2718" s="133"/>
      <c r="Z2718" s="133"/>
      <c r="AA2718" s="133"/>
    </row>
    <row r="2719" spans="1:27" hidden="1" x14ac:dyDescent="0.25">
      <c r="A2719" s="133"/>
      <c r="B2719" s="128" t="str">
        <f t="shared" si="292"/>
        <v>UYCT</v>
      </c>
      <c r="C2719" s="128" t="str">
        <f>+VLOOKUP(U2719,Ходим!A:B,2,0)</f>
        <v>31101985930022</v>
      </c>
      <c r="D2719" s="128" t="str">
        <f>IFERROR(VLOOKUP($B:$B,[20]свод!$A:$AB,3,0)," ")</f>
        <v>Уйчи тумани</v>
      </c>
      <c r="E2719" s="7" t="s">
        <v>3851</v>
      </c>
      <c r="F2719" s="7" t="s">
        <v>10218</v>
      </c>
      <c r="G2719" s="134" t="str">
        <f t="shared" si="289"/>
        <v/>
      </c>
      <c r="H2719" s="134">
        <f t="shared" si="290"/>
        <v>1</v>
      </c>
      <c r="I2719" s="7" t="s">
        <v>155</v>
      </c>
      <c r="J2719" s="7" t="s">
        <v>25</v>
      </c>
      <c r="K2719" s="7"/>
      <c r="L2719" s="7"/>
      <c r="M2719" s="7"/>
      <c r="N2719" s="7" t="s">
        <v>410</v>
      </c>
      <c r="O2719" s="7" t="s">
        <v>161</v>
      </c>
      <c r="P2719" s="7" t="s">
        <v>7440</v>
      </c>
      <c r="Q2719" s="129">
        <v>46199</v>
      </c>
      <c r="R2719" s="130">
        <f t="shared" si="288"/>
        <v>46209</v>
      </c>
      <c r="S2719" s="131">
        <f t="shared" si="293"/>
        <v>10</v>
      </c>
      <c r="T2719" s="7" t="s">
        <v>947</v>
      </c>
      <c r="U2719" s="7" t="s">
        <v>299</v>
      </c>
      <c r="V2719" s="7"/>
      <c r="W2719" s="7"/>
      <c r="X2719" s="132">
        <f t="shared" si="291"/>
        <v>10</v>
      </c>
      <c r="Y2719" s="133"/>
      <c r="Z2719" s="133"/>
      <c r="AA2719" s="133"/>
    </row>
    <row r="2720" spans="1:27" hidden="1" x14ac:dyDescent="0.25">
      <c r="A2720" s="133"/>
      <c r="B2720" s="128" t="str">
        <f t="shared" si="292"/>
        <v>UYCT</v>
      </c>
      <c r="C2720" s="128" t="str">
        <f>+VLOOKUP(U2720,Ходим!A:B,2,0)</f>
        <v>31101985930022</v>
      </c>
      <c r="D2720" s="128" t="str">
        <f>IFERROR(VLOOKUP($B:$B,[20]свод!$A:$AB,3,0)," ")</f>
        <v>Уйчи тумани</v>
      </c>
      <c r="E2720" s="7" t="s">
        <v>3852</v>
      </c>
      <c r="F2720" s="7" t="s">
        <v>10219</v>
      </c>
      <c r="G2720" s="134">
        <f t="shared" si="289"/>
        <v>1</v>
      </c>
      <c r="H2720" s="134" t="str">
        <f t="shared" si="290"/>
        <v/>
      </c>
      <c r="I2720" s="7" t="s">
        <v>158</v>
      </c>
      <c r="J2720" s="7" t="s">
        <v>2</v>
      </c>
      <c r="K2720" s="7"/>
      <c r="L2720" s="7" t="s">
        <v>167</v>
      </c>
      <c r="M2720" s="7" t="s">
        <v>6012</v>
      </c>
      <c r="N2720" s="7" t="s">
        <v>410</v>
      </c>
      <c r="O2720" s="7" t="s">
        <v>162</v>
      </c>
      <c r="P2720" s="7" t="s">
        <v>6894</v>
      </c>
      <c r="Q2720" s="129">
        <v>46199</v>
      </c>
      <c r="R2720" s="130">
        <f t="shared" si="288"/>
        <v>46206</v>
      </c>
      <c r="S2720" s="131">
        <f t="shared" si="293"/>
        <v>7</v>
      </c>
      <c r="T2720" s="7" t="s">
        <v>947</v>
      </c>
      <c r="U2720" s="7" t="s">
        <v>299</v>
      </c>
      <c r="V2720" s="7"/>
      <c r="W2720" s="7">
        <v>58.21</v>
      </c>
      <c r="X2720" s="132">
        <f t="shared" si="291"/>
        <v>10</v>
      </c>
      <c r="Y2720" s="133"/>
      <c r="Z2720" s="133"/>
      <c r="AA2720" s="133"/>
    </row>
    <row r="2721" spans="1:27" hidden="1" x14ac:dyDescent="0.25">
      <c r="A2721" s="133"/>
      <c r="B2721" s="128" t="str">
        <f t="shared" si="292"/>
        <v>UYCT</v>
      </c>
      <c r="C2721" s="128" t="str">
        <f>+VLOOKUP(U2721,Ходим!A:B,2,0)</f>
        <v>32002975930037</v>
      </c>
      <c r="D2721" s="128" t="str">
        <f>IFERROR(VLOOKUP($B:$B,[20]свод!$A:$AB,3,0)," ")</f>
        <v>Уйчи тумани</v>
      </c>
      <c r="E2721" s="7" t="s">
        <v>3853</v>
      </c>
      <c r="F2721" s="7" t="s">
        <v>10220</v>
      </c>
      <c r="G2721" s="134">
        <f t="shared" si="289"/>
        <v>1</v>
      </c>
      <c r="H2721" s="134" t="str">
        <f t="shared" si="290"/>
        <v/>
      </c>
      <c r="I2721" s="7" t="s">
        <v>154</v>
      </c>
      <c r="J2721" s="7" t="s">
        <v>10</v>
      </c>
      <c r="K2721" s="7"/>
      <c r="L2721" s="7" t="s">
        <v>167</v>
      </c>
      <c r="M2721" s="7" t="s">
        <v>6013</v>
      </c>
      <c r="N2721" s="7" t="s">
        <v>170</v>
      </c>
      <c r="O2721" s="7" t="s">
        <v>162</v>
      </c>
      <c r="P2721" s="7" t="s">
        <v>7073</v>
      </c>
      <c r="Q2721" s="129">
        <v>46199</v>
      </c>
      <c r="R2721" s="130">
        <f t="shared" si="288"/>
        <v>46202</v>
      </c>
      <c r="S2721" s="131">
        <f t="shared" si="293"/>
        <v>3</v>
      </c>
      <c r="T2721" s="7" t="s">
        <v>947</v>
      </c>
      <c r="U2721" s="7" t="s">
        <v>260</v>
      </c>
      <c r="V2721" s="7"/>
      <c r="W2721" s="7">
        <v>106</v>
      </c>
      <c r="X2721" s="132">
        <f t="shared" si="291"/>
        <v>10</v>
      </c>
      <c r="Y2721" s="133"/>
      <c r="Z2721" s="133"/>
      <c r="AA2721" s="133"/>
    </row>
    <row r="2722" spans="1:27" hidden="1" x14ac:dyDescent="0.25">
      <c r="A2722" s="133"/>
      <c r="B2722" s="128" t="str">
        <f t="shared" si="292"/>
        <v>NAMS</v>
      </c>
      <c r="C2722" s="128" t="str">
        <f>+VLOOKUP(U2722,Ходим!A:B,2,0)</f>
        <v>31601642170089</v>
      </c>
      <c r="D2722" s="128" t="str">
        <f>IFERROR(VLOOKUP($B:$B,[20]свод!$A:$AB,3,0)," ")</f>
        <v>Наманган шаҳар</v>
      </c>
      <c r="E2722" s="7" t="s">
        <v>3854</v>
      </c>
      <c r="F2722" s="7" t="s">
        <v>10221</v>
      </c>
      <c r="G2722" s="134">
        <f t="shared" si="289"/>
        <v>1</v>
      </c>
      <c r="H2722" s="134" t="str">
        <f t="shared" si="290"/>
        <v/>
      </c>
      <c r="I2722" s="7" t="s">
        <v>158</v>
      </c>
      <c r="J2722" s="7" t="s">
        <v>2</v>
      </c>
      <c r="K2722" s="7"/>
      <c r="L2722" s="7" t="s">
        <v>167</v>
      </c>
      <c r="M2722" s="7" t="s">
        <v>6014</v>
      </c>
      <c r="N2722" s="7" t="s">
        <v>170</v>
      </c>
      <c r="O2722" s="7" t="s">
        <v>162</v>
      </c>
      <c r="P2722" s="7" t="s">
        <v>7411</v>
      </c>
      <c r="Q2722" s="129">
        <v>46199</v>
      </c>
      <c r="R2722" s="130">
        <f t="shared" si="288"/>
        <v>46209</v>
      </c>
      <c r="S2722" s="131">
        <f t="shared" si="293"/>
        <v>10</v>
      </c>
      <c r="T2722" s="7" t="s">
        <v>173</v>
      </c>
      <c r="U2722" s="7" t="s">
        <v>201</v>
      </c>
      <c r="V2722" s="7"/>
      <c r="W2722" s="7">
        <v>0</v>
      </c>
      <c r="X2722" s="132">
        <f t="shared" si="291"/>
        <v>10</v>
      </c>
      <c r="Y2722" s="133"/>
      <c r="Z2722" s="133"/>
      <c r="AA2722" s="133"/>
    </row>
    <row r="2723" spans="1:27" hidden="1" x14ac:dyDescent="0.25">
      <c r="A2723" s="133"/>
      <c r="B2723" s="128" t="str">
        <f t="shared" si="292"/>
        <v>NAMT</v>
      </c>
      <c r="C2723" s="128" t="str">
        <f>+VLOOKUP(U2723,Ходим!A:B,2,0)</f>
        <v>32610955880027</v>
      </c>
      <c r="D2723" s="128" t="str">
        <f>IFERROR(VLOOKUP($B:$B,[20]свод!$A:$AB,3,0)," ")</f>
        <v>Наманган тумани</v>
      </c>
      <c r="E2723" s="7" t="s">
        <v>3855</v>
      </c>
      <c r="F2723" s="7" t="s">
        <v>10222</v>
      </c>
      <c r="G2723" s="134">
        <f t="shared" si="289"/>
        <v>1</v>
      </c>
      <c r="H2723" s="134" t="str">
        <f t="shared" si="290"/>
        <v/>
      </c>
      <c r="I2723" s="7" t="s">
        <v>158</v>
      </c>
      <c r="J2723" s="7" t="s">
        <v>2</v>
      </c>
      <c r="K2723" s="7"/>
      <c r="L2723" s="7" t="s">
        <v>167</v>
      </c>
      <c r="M2723" s="7" t="s">
        <v>6015</v>
      </c>
      <c r="N2723" s="7" t="s">
        <v>170</v>
      </c>
      <c r="O2723" s="7" t="s">
        <v>162</v>
      </c>
      <c r="P2723" s="7" t="s">
        <v>7441</v>
      </c>
      <c r="Q2723" s="129">
        <v>46199</v>
      </c>
      <c r="R2723" s="130">
        <f t="shared" ref="R2723:R2778" si="294">WORKDAY(P2723,X2723,$Y$1:$AA$1)</f>
        <v>46209</v>
      </c>
      <c r="S2723" s="131">
        <f t="shared" si="293"/>
        <v>10</v>
      </c>
      <c r="T2723" s="7" t="s">
        <v>193</v>
      </c>
      <c r="U2723" s="7" t="s">
        <v>288</v>
      </c>
      <c r="V2723" s="7"/>
      <c r="W2723" s="7">
        <v>323.55</v>
      </c>
      <c r="X2723" s="132">
        <f t="shared" si="291"/>
        <v>10</v>
      </c>
      <c r="Y2723" s="133"/>
      <c r="Z2723" s="133"/>
      <c r="AA2723" s="133"/>
    </row>
    <row r="2724" spans="1:27" hidden="1" x14ac:dyDescent="0.25">
      <c r="A2724" s="133"/>
      <c r="B2724" s="128" t="str">
        <f t="shared" si="292"/>
        <v>NAMT</v>
      </c>
      <c r="C2724" s="128" t="str">
        <f>+VLOOKUP(U2724,Ходим!A:B,2,0)</f>
        <v>31205812090050</v>
      </c>
      <c r="D2724" s="128" t="str">
        <f>IFERROR(VLOOKUP($B:$B,[20]свод!$A:$AB,3,0)," ")</f>
        <v>Наманган тумани</v>
      </c>
      <c r="E2724" s="7" t="s">
        <v>3856</v>
      </c>
      <c r="F2724" s="7" t="s">
        <v>10223</v>
      </c>
      <c r="G2724" s="134">
        <f t="shared" si="289"/>
        <v>1</v>
      </c>
      <c r="H2724" s="134" t="str">
        <f t="shared" si="290"/>
        <v/>
      </c>
      <c r="I2724" s="7" t="s">
        <v>156</v>
      </c>
      <c r="J2724" s="7" t="s">
        <v>25</v>
      </c>
      <c r="K2724" s="7"/>
      <c r="L2724" s="7"/>
      <c r="M2724" s="7"/>
      <c r="N2724" s="7" t="s">
        <v>170</v>
      </c>
      <c r="O2724" s="7" t="s">
        <v>162</v>
      </c>
      <c r="P2724" s="7" t="s">
        <v>7442</v>
      </c>
      <c r="Q2724" s="129">
        <v>46199</v>
      </c>
      <c r="R2724" s="130">
        <f t="shared" si="294"/>
        <v>46209</v>
      </c>
      <c r="S2724" s="131">
        <f t="shared" si="293"/>
        <v>10</v>
      </c>
      <c r="T2724" s="7" t="s">
        <v>197</v>
      </c>
      <c r="U2724" s="7" t="s">
        <v>346</v>
      </c>
      <c r="V2724" s="7"/>
      <c r="W2724" s="7"/>
      <c r="X2724" s="132">
        <f t="shared" si="291"/>
        <v>10</v>
      </c>
      <c r="Y2724" s="133"/>
      <c r="Z2724" s="133"/>
      <c r="AA2724" s="133"/>
    </row>
    <row r="2725" spans="1:27" hidden="1" x14ac:dyDescent="0.25">
      <c r="A2725" s="133"/>
      <c r="B2725" s="128" t="str">
        <f t="shared" si="292"/>
        <v>NAMS</v>
      </c>
      <c r="C2725" s="128" t="str">
        <f>+VLOOKUP(U2725,Ходим!A:B,2,0)</f>
        <v>51911035960011</v>
      </c>
      <c r="D2725" s="128" t="str">
        <f>IFERROR(VLOOKUP($B:$B,[20]свод!$A:$AB,3,0)," ")</f>
        <v>Наманган шаҳар</v>
      </c>
      <c r="E2725" s="7" t="s">
        <v>3857</v>
      </c>
      <c r="F2725" s="7" t="s">
        <v>10224</v>
      </c>
      <c r="G2725" s="134">
        <f t="shared" si="289"/>
        <v>1</v>
      </c>
      <c r="H2725" s="134" t="str">
        <f t="shared" si="290"/>
        <v/>
      </c>
      <c r="I2725" s="7" t="s">
        <v>158</v>
      </c>
      <c r="J2725" s="7" t="s">
        <v>2</v>
      </c>
      <c r="K2725" s="7"/>
      <c r="L2725" s="7"/>
      <c r="M2725" s="7"/>
      <c r="N2725" s="7" t="s">
        <v>170</v>
      </c>
      <c r="O2725" s="7" t="s">
        <v>162</v>
      </c>
      <c r="P2725" s="7" t="s">
        <v>7442</v>
      </c>
      <c r="Q2725" s="129">
        <v>46199</v>
      </c>
      <c r="R2725" s="130">
        <f t="shared" si="294"/>
        <v>46209</v>
      </c>
      <c r="S2725" s="131">
        <f t="shared" si="293"/>
        <v>10</v>
      </c>
      <c r="T2725" s="7" t="s">
        <v>173</v>
      </c>
      <c r="U2725" s="7" t="s">
        <v>371</v>
      </c>
      <c r="V2725" s="7"/>
      <c r="W2725" s="7"/>
      <c r="X2725" s="132">
        <f t="shared" si="291"/>
        <v>10</v>
      </c>
      <c r="Y2725" s="133"/>
      <c r="Z2725" s="133"/>
      <c r="AA2725" s="133"/>
    </row>
    <row r="2726" spans="1:27" hidden="1" x14ac:dyDescent="0.25">
      <c r="A2726" s="133"/>
      <c r="B2726" s="128" t="str">
        <f t="shared" si="292"/>
        <v>CHOT</v>
      </c>
      <c r="C2726" s="128" t="str">
        <f>+VLOOKUP(U2726,Ходим!A:B,2,0)</f>
        <v>30510945890013</v>
      </c>
      <c r="D2726" s="128" t="str">
        <f>IFERROR(VLOOKUP($B:$B,[20]свод!$A:$AB,3,0)," ")</f>
        <v>Чортоқ тумани</v>
      </c>
      <c r="E2726" s="7" t="s">
        <v>3858</v>
      </c>
      <c r="F2726" s="7" t="s">
        <v>10225</v>
      </c>
      <c r="G2726" s="134" t="str">
        <f t="shared" si="289"/>
        <v/>
      </c>
      <c r="H2726" s="134">
        <f t="shared" si="290"/>
        <v>1</v>
      </c>
      <c r="I2726" s="7" t="s">
        <v>157</v>
      </c>
      <c r="J2726" s="7" t="s">
        <v>1</v>
      </c>
      <c r="K2726" s="7"/>
      <c r="L2726" s="7" t="s">
        <v>166</v>
      </c>
      <c r="M2726" s="7" t="s">
        <v>6016</v>
      </c>
      <c r="N2726" s="7" t="s">
        <v>170</v>
      </c>
      <c r="O2726" s="7" t="s">
        <v>161</v>
      </c>
      <c r="P2726" s="7" t="s">
        <v>6718</v>
      </c>
      <c r="Q2726" s="129">
        <v>46199</v>
      </c>
      <c r="R2726" s="130">
        <f t="shared" si="294"/>
        <v>46209</v>
      </c>
      <c r="S2726" s="131">
        <f t="shared" si="293"/>
        <v>10</v>
      </c>
      <c r="T2726" s="7" t="s">
        <v>10635</v>
      </c>
      <c r="U2726" s="7" t="s">
        <v>185</v>
      </c>
      <c r="V2726" s="7"/>
      <c r="W2726" s="7">
        <v>80</v>
      </c>
      <c r="X2726" s="132">
        <f t="shared" si="291"/>
        <v>10</v>
      </c>
      <c r="Y2726" s="133"/>
      <c r="Z2726" s="133"/>
      <c r="AA2726" s="133"/>
    </row>
    <row r="2727" spans="1:27" hidden="1" x14ac:dyDescent="0.25">
      <c r="A2727" s="133"/>
      <c r="B2727" s="128" t="str">
        <f t="shared" si="292"/>
        <v>NAMS</v>
      </c>
      <c r="C2727" s="128" t="str">
        <f>+VLOOKUP(U2727,Ходим!A:B,2,0)</f>
        <v>32602902170105</v>
      </c>
      <c r="D2727" s="128" t="str">
        <f>IFERROR(VLOOKUP($B:$B,[20]свод!$A:$AB,3,0)," ")</f>
        <v>Наманган шаҳар</v>
      </c>
      <c r="E2727" s="7" t="s">
        <v>3859</v>
      </c>
      <c r="F2727" s="7" t="s">
        <v>10226</v>
      </c>
      <c r="G2727" s="134">
        <f t="shared" ref="G2727:G2778" si="295">IF(OR(
I2727="Turar joy obyektning kadastr pasportini shakllantirish va davlat ro'yxatidan o'tkazish",
I2727="Turar kompozit"
),
1,
IF(OR(
I2727="Noturar kompozit",
I2727="Avtoyo'l va suv xo'jaligi obyektining kadastr pasportini shakllantirish va ro'yxatga olish",
I2727="Noturar obyektning kadastr pasportining kadastr pasportini shakllantirish va davlat ro'yxatidan o'tkazish"
),
"",
IF(OR(
I2727="Notarius uchun ma'lumotnoma (uz)",
I2727="Qurilishi tugallangan ko'chmas mulkni foydalanishga qabul qilish",
I2727="Umumiy foydalanishdagi ko'chmas mulk qismini yaratish",
I2727="Registratsiya (tashqi - UZKAD da bor)"
),
IF(OR(L2727="Turar yer maydoni",L2727="Yakka tartibdagi turar joy"),1,
IF(L2727="Noturar bino","",
IF(L2727="Noturar yer maydoni","",
IF(L2727="",IF(OR(O2727="Turar joy xizmati",O2727="Foydalanishga ruxsatnoma berish xizmati"),1,""),"")
))),
"")))</f>
        <v>1</v>
      </c>
      <c r="H2727" s="134" t="str">
        <f t="shared" ref="H2727:H2778" si="296">IF(OR(
I2727="Turar joy obyektning kadastr pasportini shakllantirish va davlat ro'yxatidan o'tkazish",
I2727="Turar kompozit"
),
"",
IF(OR(
I2727="Noturar kompozit",
I2727="Avtoyo'l va suv xo'jaligi obyektining kadastr pasportini shakllantirish va ro'yxatga olish",
I2727="Noturar obyektning kadastr pasportini shakllantirish va davlat ro'yxatidan o'tkazish"
),
1,
IF(OR(
I2727="Notarius uchun ma'lumotnoma (uz)",
I2727="Qurilishi tugallangan ko'chmas mulkni foydalanishga qabul qilish",
I2727="Umumiy foydalanishdagi ko'chmas mulk qismini yaratish",
I2727="Registratsiya (tashqi - UZKAD da bor)"
),
IF(OR(L2727="Turar yer maydoni",L2727="Yakka tartibdagi turar joy"),"",
IF(L2727="Noturar bino",1,
IF(L2727="Noturar yer maydoni",1,
IF(L2727="",IF(OR(O2727="Turar joy xizmati",O2727="Foydalanishga ruxsatnoma berish xizmati"),"",1),"")
))),
"")))</f>
        <v/>
      </c>
      <c r="I2727" s="7" t="s">
        <v>158</v>
      </c>
      <c r="J2727" s="7" t="s">
        <v>1</v>
      </c>
      <c r="K2727" s="7"/>
      <c r="L2727" s="7" t="s">
        <v>169</v>
      </c>
      <c r="M2727" s="7" t="s">
        <v>6017</v>
      </c>
      <c r="N2727" s="7" t="s">
        <v>410</v>
      </c>
      <c r="O2727" s="7" t="s">
        <v>162</v>
      </c>
      <c r="P2727" s="7" t="s">
        <v>7443</v>
      </c>
      <c r="Q2727" s="129">
        <v>46199</v>
      </c>
      <c r="R2727" s="130">
        <f t="shared" si="294"/>
        <v>46204</v>
      </c>
      <c r="S2727" s="131">
        <f t="shared" si="293"/>
        <v>5</v>
      </c>
      <c r="T2727" s="7" t="s">
        <v>185</v>
      </c>
      <c r="U2727" s="7" t="s">
        <v>247</v>
      </c>
      <c r="V2727" s="7"/>
      <c r="W2727" s="7">
        <v>0</v>
      </c>
      <c r="X2727" s="132">
        <f t="shared" si="291"/>
        <v>7</v>
      </c>
      <c r="Y2727" s="133"/>
      <c r="Z2727" s="133"/>
      <c r="AA2727" s="133"/>
    </row>
    <row r="2728" spans="1:27" hidden="1" x14ac:dyDescent="0.25">
      <c r="A2728" s="133"/>
      <c r="B2728" s="128" t="str">
        <f t="shared" si="292"/>
        <v>CHUT</v>
      </c>
      <c r="C2728" s="128" t="str">
        <f>+VLOOKUP(U2728,Ходим!A:B,2,0)</f>
        <v>32511965970037</v>
      </c>
      <c r="D2728" s="128" t="str">
        <f>IFERROR(VLOOKUP($B:$B,[20]свод!$A:$AB,3,0)," ")</f>
        <v>Чуст тумани</v>
      </c>
      <c r="E2728" s="7" t="s">
        <v>3860</v>
      </c>
      <c r="F2728" s="7" t="s">
        <v>10227</v>
      </c>
      <c r="G2728" s="134">
        <f t="shared" si="295"/>
        <v>1</v>
      </c>
      <c r="H2728" s="134" t="str">
        <f t="shared" si="296"/>
        <v/>
      </c>
      <c r="I2728" s="7" t="s">
        <v>156</v>
      </c>
      <c r="J2728" s="7" t="s">
        <v>22</v>
      </c>
      <c r="K2728" s="7"/>
      <c r="L2728" s="7" t="s">
        <v>167</v>
      </c>
      <c r="M2728" s="7" t="s">
        <v>6018</v>
      </c>
      <c r="N2728" s="7" t="s">
        <v>170</v>
      </c>
      <c r="O2728" s="7" t="s">
        <v>162</v>
      </c>
      <c r="P2728" s="7" t="s">
        <v>7443</v>
      </c>
      <c r="Q2728" s="129">
        <v>46199</v>
      </c>
      <c r="R2728" s="130">
        <f t="shared" si="294"/>
        <v>46209</v>
      </c>
      <c r="S2728" s="131">
        <f t="shared" si="293"/>
        <v>10</v>
      </c>
      <c r="T2728" s="7" t="s">
        <v>178</v>
      </c>
      <c r="U2728" s="7" t="s">
        <v>351</v>
      </c>
      <c r="V2728" s="7"/>
      <c r="W2728" s="7">
        <v>99.3</v>
      </c>
      <c r="X2728" s="132">
        <f t="shared" si="291"/>
        <v>10</v>
      </c>
      <c r="Y2728" s="133"/>
      <c r="Z2728" s="133"/>
      <c r="AA2728" s="133"/>
    </row>
    <row r="2729" spans="1:27" hidden="1" x14ac:dyDescent="0.25">
      <c r="A2729" s="133"/>
      <c r="B2729" s="128" t="str">
        <f t="shared" si="292"/>
        <v>MINT</v>
      </c>
      <c r="C2729" s="128" t="e">
        <f>+VLOOKUP(U2729,Ходим!A:B,2,0)</f>
        <v>#N/A</v>
      </c>
      <c r="D2729" s="128" t="str">
        <f>IFERROR(VLOOKUP($B:$B,[20]свод!$A:$AB,3,0)," ")</f>
        <v>Мингбулоқ тумани</v>
      </c>
      <c r="E2729" s="7" t="s">
        <v>3861</v>
      </c>
      <c r="F2729" s="7" t="s">
        <v>10228</v>
      </c>
      <c r="G2729" s="134">
        <f t="shared" si="295"/>
        <v>1</v>
      </c>
      <c r="H2729" s="134" t="str">
        <f t="shared" si="296"/>
        <v/>
      </c>
      <c r="I2729" s="7" t="s">
        <v>156</v>
      </c>
      <c r="J2729" s="7" t="s">
        <v>11</v>
      </c>
      <c r="K2729" s="7"/>
      <c r="L2729" s="7" t="s">
        <v>167</v>
      </c>
      <c r="M2729" s="7" t="s">
        <v>6019</v>
      </c>
      <c r="N2729" s="7" t="s">
        <v>410</v>
      </c>
      <c r="O2729" s="7" t="s">
        <v>162</v>
      </c>
      <c r="P2729" s="7" t="s">
        <v>7444</v>
      </c>
      <c r="Q2729" s="129">
        <v>46199</v>
      </c>
      <c r="R2729" s="130">
        <f t="shared" si="294"/>
        <v>46209</v>
      </c>
      <c r="S2729" s="131">
        <f t="shared" si="293"/>
        <v>10</v>
      </c>
      <c r="T2729" s="7"/>
      <c r="U2729" s="7"/>
      <c r="V2729" s="7"/>
      <c r="W2729" s="7">
        <v>362.05</v>
      </c>
      <c r="X2729" s="132">
        <f t="shared" si="291"/>
        <v>10</v>
      </c>
      <c r="Y2729" s="133"/>
      <c r="Z2729" s="133"/>
      <c r="AA2729" s="133"/>
    </row>
    <row r="2730" spans="1:27" hidden="1" x14ac:dyDescent="0.25">
      <c r="A2730" s="133"/>
      <c r="B2730" s="128" t="str">
        <f t="shared" si="292"/>
        <v>CHOT</v>
      </c>
      <c r="C2730" s="128" t="str">
        <f>+VLOOKUP(U2730,Ходим!A:B,2,0)</f>
        <v>30308922100022</v>
      </c>
      <c r="D2730" s="128" t="str">
        <f>IFERROR(VLOOKUP($B:$B,[20]свод!$A:$AB,3,0)," ")</f>
        <v>Чортоқ тумани</v>
      </c>
      <c r="E2730" s="7" t="s">
        <v>3862</v>
      </c>
      <c r="F2730" s="7" t="s">
        <v>10229</v>
      </c>
      <c r="G2730" s="134" t="str">
        <f t="shared" si="295"/>
        <v/>
      </c>
      <c r="H2730" s="134">
        <f t="shared" si="296"/>
        <v>1</v>
      </c>
      <c r="I2730" s="7" t="s">
        <v>157</v>
      </c>
      <c r="J2730" s="7" t="s">
        <v>84</v>
      </c>
      <c r="K2730" s="7"/>
      <c r="L2730" s="7" t="s">
        <v>168</v>
      </c>
      <c r="M2730" s="7" t="s">
        <v>6020</v>
      </c>
      <c r="N2730" s="7" t="s">
        <v>170</v>
      </c>
      <c r="O2730" s="7" t="s">
        <v>161</v>
      </c>
      <c r="P2730" s="7" t="s">
        <v>6761</v>
      </c>
      <c r="Q2730" s="129">
        <v>46199</v>
      </c>
      <c r="R2730" s="130">
        <f t="shared" si="294"/>
        <v>46203</v>
      </c>
      <c r="S2730" s="131">
        <f t="shared" si="293"/>
        <v>4</v>
      </c>
      <c r="T2730" s="7" t="s">
        <v>184</v>
      </c>
      <c r="U2730" s="7" t="s">
        <v>190</v>
      </c>
      <c r="V2730" s="7"/>
      <c r="W2730" s="7">
        <v>0</v>
      </c>
      <c r="X2730" s="132">
        <f t="shared" si="291"/>
        <v>7</v>
      </c>
      <c r="Y2730" s="133"/>
      <c r="Z2730" s="133"/>
      <c r="AA2730" s="133"/>
    </row>
    <row r="2731" spans="1:27" hidden="1" x14ac:dyDescent="0.25">
      <c r="A2731" s="133"/>
      <c r="B2731" s="128" t="str">
        <f t="shared" si="292"/>
        <v>POPT</v>
      </c>
      <c r="C2731" s="128" t="str">
        <f>+VLOOKUP(U2731,Ходим!A:B,2,0)</f>
        <v>50310025910024</v>
      </c>
      <c r="D2731" s="128" t="str">
        <f>IFERROR(VLOOKUP($B:$B,[20]свод!$A:$AB,3,0)," ")</f>
        <v>Поп тумани</v>
      </c>
      <c r="E2731" s="7" t="s">
        <v>3863</v>
      </c>
      <c r="F2731" s="7" t="s">
        <v>10230</v>
      </c>
      <c r="G2731" s="134" t="str">
        <f t="shared" si="295"/>
        <v/>
      </c>
      <c r="H2731" s="134">
        <f t="shared" si="296"/>
        <v>1</v>
      </c>
      <c r="I2731" s="7" t="s">
        <v>155</v>
      </c>
      <c r="J2731" s="7" t="s">
        <v>25</v>
      </c>
      <c r="K2731" s="7"/>
      <c r="L2731" s="7"/>
      <c r="M2731" s="7"/>
      <c r="N2731" s="7" t="s">
        <v>410</v>
      </c>
      <c r="O2731" s="7" t="s">
        <v>161</v>
      </c>
      <c r="P2731" s="7" t="s">
        <v>7445</v>
      </c>
      <c r="Q2731" s="129">
        <v>46199</v>
      </c>
      <c r="R2731" s="130">
        <f t="shared" si="294"/>
        <v>46209</v>
      </c>
      <c r="S2731" s="131">
        <f t="shared" si="293"/>
        <v>10</v>
      </c>
      <c r="T2731" s="7" t="s">
        <v>240</v>
      </c>
      <c r="U2731" s="7" t="s">
        <v>964</v>
      </c>
      <c r="V2731" s="7"/>
      <c r="W2731" s="7"/>
      <c r="X2731" s="132">
        <f t="shared" si="291"/>
        <v>10</v>
      </c>
      <c r="Y2731" s="133"/>
      <c r="Z2731" s="133"/>
      <c r="AA2731" s="133"/>
    </row>
    <row r="2732" spans="1:27" hidden="1" x14ac:dyDescent="0.25">
      <c r="A2732" s="133"/>
      <c r="B2732" s="128" t="str">
        <f t="shared" si="292"/>
        <v>NAMS</v>
      </c>
      <c r="C2732" s="128" t="str">
        <f>+VLOOKUP(U2732,Ходим!A:B,2,0)</f>
        <v>33012942170121</v>
      </c>
      <c r="D2732" s="128" t="str">
        <f>IFERROR(VLOOKUP($B:$B,[20]свод!$A:$AB,3,0)," ")</f>
        <v>Наманган шаҳар</v>
      </c>
      <c r="E2732" s="7" t="s">
        <v>3864</v>
      </c>
      <c r="F2732" s="7" t="s">
        <v>10231</v>
      </c>
      <c r="G2732" s="134">
        <f t="shared" si="295"/>
        <v>1</v>
      </c>
      <c r="H2732" s="134" t="str">
        <f t="shared" si="296"/>
        <v/>
      </c>
      <c r="I2732" s="7" t="s">
        <v>158</v>
      </c>
      <c r="J2732" s="7" t="s">
        <v>2</v>
      </c>
      <c r="K2732" s="7"/>
      <c r="L2732" s="7"/>
      <c r="M2732" s="7"/>
      <c r="N2732" s="7" t="s">
        <v>170</v>
      </c>
      <c r="O2732" s="7" t="s">
        <v>162</v>
      </c>
      <c r="P2732" s="7" t="s">
        <v>7445</v>
      </c>
      <c r="Q2732" s="129">
        <v>46199</v>
      </c>
      <c r="R2732" s="130">
        <f t="shared" si="294"/>
        <v>46209</v>
      </c>
      <c r="S2732" s="131">
        <f t="shared" si="293"/>
        <v>10</v>
      </c>
      <c r="T2732" s="7" t="s">
        <v>173</v>
      </c>
      <c r="U2732" s="7" t="s">
        <v>259</v>
      </c>
      <c r="V2732" s="7"/>
      <c r="W2732" s="7"/>
      <c r="X2732" s="132">
        <f t="shared" si="291"/>
        <v>10</v>
      </c>
      <c r="Y2732" s="133"/>
      <c r="Z2732" s="133"/>
      <c r="AA2732" s="133"/>
    </row>
    <row r="2733" spans="1:27" hidden="1" x14ac:dyDescent="0.25">
      <c r="A2733" s="133"/>
      <c r="B2733" s="128" t="str">
        <f t="shared" si="292"/>
        <v>NAMT</v>
      </c>
      <c r="C2733" s="128" t="str">
        <f>+VLOOKUP(U2733,Ходим!A:B,2,0)</f>
        <v>32204892090133</v>
      </c>
      <c r="D2733" s="128" t="str">
        <f>IFERROR(VLOOKUP($B:$B,[20]свод!$A:$AB,3,0)," ")</f>
        <v>Наманган тумани</v>
      </c>
      <c r="E2733" s="7" t="s">
        <v>3865</v>
      </c>
      <c r="F2733" s="7" t="s">
        <v>10232</v>
      </c>
      <c r="G2733" s="134">
        <f t="shared" si="295"/>
        <v>1</v>
      </c>
      <c r="H2733" s="134" t="str">
        <f t="shared" si="296"/>
        <v/>
      </c>
      <c r="I2733" s="7" t="s">
        <v>158</v>
      </c>
      <c r="J2733" s="7" t="s">
        <v>2</v>
      </c>
      <c r="K2733" s="7"/>
      <c r="L2733" s="7"/>
      <c r="M2733" s="7"/>
      <c r="N2733" s="7" t="s">
        <v>170</v>
      </c>
      <c r="O2733" s="7" t="s">
        <v>162</v>
      </c>
      <c r="P2733" s="7" t="s">
        <v>7445</v>
      </c>
      <c r="Q2733" s="129">
        <v>46199</v>
      </c>
      <c r="R2733" s="130">
        <f t="shared" si="294"/>
        <v>46209</v>
      </c>
      <c r="S2733" s="131">
        <f t="shared" si="293"/>
        <v>10</v>
      </c>
      <c r="T2733" s="7" t="s">
        <v>193</v>
      </c>
      <c r="U2733" s="7" t="s">
        <v>198</v>
      </c>
      <c r="V2733" s="7"/>
      <c r="W2733" s="7"/>
      <c r="X2733" s="132">
        <f t="shared" si="291"/>
        <v>10</v>
      </c>
      <c r="Y2733" s="133"/>
      <c r="Z2733" s="133"/>
      <c r="AA2733" s="133"/>
    </row>
    <row r="2734" spans="1:27" hidden="1" x14ac:dyDescent="0.25">
      <c r="A2734" s="133"/>
      <c r="B2734" s="128" t="str">
        <f t="shared" si="292"/>
        <v>UYCT</v>
      </c>
      <c r="C2734" s="128" t="str">
        <f>+VLOOKUP(U2734,Ходим!A:B,2,0)</f>
        <v>30309975930028</v>
      </c>
      <c r="D2734" s="128" t="str">
        <f>IFERROR(VLOOKUP($B:$B,[20]свод!$A:$AB,3,0)," ")</f>
        <v>Уйчи тумани</v>
      </c>
      <c r="E2734" s="7" t="s">
        <v>3866</v>
      </c>
      <c r="F2734" s="7" t="s">
        <v>10233</v>
      </c>
      <c r="G2734" s="134">
        <f t="shared" si="295"/>
        <v>1</v>
      </c>
      <c r="H2734" s="134" t="str">
        <f t="shared" si="296"/>
        <v/>
      </c>
      <c r="I2734" s="7" t="s">
        <v>158</v>
      </c>
      <c r="J2734" s="7" t="s">
        <v>2</v>
      </c>
      <c r="K2734" s="7"/>
      <c r="L2734" s="7" t="s">
        <v>167</v>
      </c>
      <c r="M2734" s="7" t="s">
        <v>6021</v>
      </c>
      <c r="N2734" s="7" t="s">
        <v>170</v>
      </c>
      <c r="O2734" s="7" t="s">
        <v>162</v>
      </c>
      <c r="P2734" s="7" t="s">
        <v>7446</v>
      </c>
      <c r="Q2734" s="129">
        <v>46199</v>
      </c>
      <c r="R2734" s="130">
        <f t="shared" si="294"/>
        <v>46209</v>
      </c>
      <c r="S2734" s="131">
        <f t="shared" si="293"/>
        <v>10</v>
      </c>
      <c r="T2734" s="7" t="s">
        <v>947</v>
      </c>
      <c r="U2734" s="7" t="s">
        <v>261</v>
      </c>
      <c r="V2734" s="7"/>
      <c r="W2734" s="7">
        <v>117.85</v>
      </c>
      <c r="X2734" s="132">
        <f t="shared" si="291"/>
        <v>10</v>
      </c>
      <c r="Y2734" s="133"/>
      <c r="Z2734" s="133"/>
      <c r="AA2734" s="133"/>
    </row>
    <row r="2735" spans="1:27" hidden="1" x14ac:dyDescent="0.25">
      <c r="A2735" s="133"/>
      <c r="B2735" s="128" t="str">
        <f t="shared" si="292"/>
        <v>NAMT</v>
      </c>
      <c r="C2735" s="128" t="str">
        <f>+VLOOKUP(U2735,Ходим!A:B,2,0)</f>
        <v>32204892090133</v>
      </c>
      <c r="D2735" s="128" t="str">
        <f>IFERROR(VLOOKUP($B:$B,[20]свод!$A:$AB,3,0)," ")</f>
        <v>Наманган тумани</v>
      </c>
      <c r="E2735" s="7" t="s">
        <v>3867</v>
      </c>
      <c r="F2735" s="7" t="s">
        <v>10234</v>
      </c>
      <c r="G2735" s="134">
        <f t="shared" si="295"/>
        <v>1</v>
      </c>
      <c r="H2735" s="134" t="str">
        <f t="shared" si="296"/>
        <v/>
      </c>
      <c r="I2735" s="7" t="s">
        <v>158</v>
      </c>
      <c r="J2735" s="7" t="s">
        <v>2</v>
      </c>
      <c r="K2735" s="7"/>
      <c r="L2735" s="7"/>
      <c r="M2735" s="7"/>
      <c r="N2735" s="7" t="s">
        <v>170</v>
      </c>
      <c r="O2735" s="7" t="s">
        <v>162</v>
      </c>
      <c r="P2735" s="7" t="s">
        <v>7446</v>
      </c>
      <c r="Q2735" s="129">
        <v>46199</v>
      </c>
      <c r="R2735" s="130">
        <f t="shared" si="294"/>
        <v>46209</v>
      </c>
      <c r="S2735" s="131">
        <f t="shared" si="293"/>
        <v>10</v>
      </c>
      <c r="T2735" s="7" t="s">
        <v>193</v>
      </c>
      <c r="U2735" s="7" t="s">
        <v>198</v>
      </c>
      <c r="V2735" s="7"/>
      <c r="W2735" s="7"/>
      <c r="X2735" s="132">
        <f t="shared" si="291"/>
        <v>10</v>
      </c>
      <c r="Y2735" s="133"/>
      <c r="Z2735" s="133"/>
      <c r="AA2735" s="133"/>
    </row>
    <row r="2736" spans="1:27" hidden="1" x14ac:dyDescent="0.25">
      <c r="A2736" s="133"/>
      <c r="B2736" s="128" t="str">
        <f t="shared" si="292"/>
        <v>UYCT</v>
      </c>
      <c r="C2736" s="128" t="str">
        <f>+VLOOKUP(U2736,Ходим!A:B,2,0)</f>
        <v>51501005930032</v>
      </c>
      <c r="D2736" s="128" t="str">
        <f>IFERROR(VLOOKUP($B:$B,[20]свод!$A:$AB,3,0)," ")</f>
        <v>Уйчи тумани</v>
      </c>
      <c r="E2736" s="7" t="s">
        <v>3868</v>
      </c>
      <c r="F2736" s="7" t="s">
        <v>10235</v>
      </c>
      <c r="G2736" s="134" t="str">
        <f t="shared" si="295"/>
        <v/>
      </c>
      <c r="H2736" s="134">
        <f t="shared" si="296"/>
        <v>1</v>
      </c>
      <c r="I2736" s="7" t="s">
        <v>157</v>
      </c>
      <c r="J2736" s="7" t="s">
        <v>36</v>
      </c>
      <c r="K2736" s="7"/>
      <c r="L2736" s="7" t="s">
        <v>166</v>
      </c>
      <c r="M2736" s="7" t="s">
        <v>6022</v>
      </c>
      <c r="N2736" s="7" t="s">
        <v>170</v>
      </c>
      <c r="O2736" s="7" t="s">
        <v>161</v>
      </c>
      <c r="P2736" s="7" t="s">
        <v>7238</v>
      </c>
      <c r="Q2736" s="129">
        <v>46199</v>
      </c>
      <c r="R2736" s="130">
        <f t="shared" si="294"/>
        <v>46205</v>
      </c>
      <c r="S2736" s="131">
        <f t="shared" si="293"/>
        <v>6</v>
      </c>
      <c r="T2736" s="7" t="s">
        <v>947</v>
      </c>
      <c r="U2736" s="7" t="s">
        <v>326</v>
      </c>
      <c r="V2736" s="7"/>
      <c r="W2736" s="7">
        <v>203.28</v>
      </c>
      <c r="X2736" s="132">
        <f t="shared" si="291"/>
        <v>12</v>
      </c>
      <c r="Y2736" s="133"/>
      <c r="Z2736" s="133"/>
      <c r="AA2736" s="133"/>
    </row>
    <row r="2737" spans="1:27" hidden="1" x14ac:dyDescent="0.25">
      <c r="A2737" s="133"/>
      <c r="B2737" s="128" t="str">
        <f t="shared" si="292"/>
        <v>NAMS</v>
      </c>
      <c r="C2737" s="128">
        <f>+VLOOKUP(U2737,Ходим!A:B,2,0)</f>
        <v>50510025960139</v>
      </c>
      <c r="D2737" s="128" t="str">
        <f>IFERROR(VLOOKUP($B:$B,[20]свод!$A:$AB,3,0)," ")</f>
        <v>Наманган шаҳар</v>
      </c>
      <c r="E2737" s="7" t="s">
        <v>3869</v>
      </c>
      <c r="F2737" s="7" t="s">
        <v>10236</v>
      </c>
      <c r="G2737" s="134">
        <f t="shared" si="295"/>
        <v>1</v>
      </c>
      <c r="H2737" s="134" t="str">
        <f t="shared" si="296"/>
        <v/>
      </c>
      <c r="I2737" s="7" t="s">
        <v>156</v>
      </c>
      <c r="J2737" s="7" t="s">
        <v>25</v>
      </c>
      <c r="K2737" s="7"/>
      <c r="L2737" s="7"/>
      <c r="M2737" s="7"/>
      <c r="N2737" s="7" t="s">
        <v>170</v>
      </c>
      <c r="O2737" s="7" t="s">
        <v>162</v>
      </c>
      <c r="P2737" s="7" t="s">
        <v>7447</v>
      </c>
      <c r="Q2737" s="129">
        <v>46199</v>
      </c>
      <c r="R2737" s="130">
        <f t="shared" si="294"/>
        <v>46209</v>
      </c>
      <c r="S2737" s="131">
        <f t="shared" si="293"/>
        <v>10</v>
      </c>
      <c r="T2737" s="7" t="s">
        <v>173</v>
      </c>
      <c r="U2737" s="7" t="s">
        <v>955</v>
      </c>
      <c r="V2737" s="7"/>
      <c r="W2737" s="7"/>
      <c r="X2737" s="132">
        <f t="shared" si="291"/>
        <v>10</v>
      </c>
      <c r="Y2737" s="133"/>
      <c r="Z2737" s="133"/>
      <c r="AA2737" s="133"/>
    </row>
    <row r="2738" spans="1:27" hidden="1" x14ac:dyDescent="0.25">
      <c r="A2738" s="133"/>
      <c r="B2738" s="128" t="str">
        <f t="shared" si="292"/>
        <v>CHOT</v>
      </c>
      <c r="C2738" s="128" t="str">
        <f>+VLOOKUP(U2738,Ходим!A:B,2,0)</f>
        <v>30308922100022</v>
      </c>
      <c r="D2738" s="128" t="str">
        <f>IFERROR(VLOOKUP($B:$B,[20]свод!$A:$AB,3,0)," ")</f>
        <v>Чортоқ тумани</v>
      </c>
      <c r="E2738" s="7" t="s">
        <v>3870</v>
      </c>
      <c r="F2738" s="7" t="s">
        <v>10237</v>
      </c>
      <c r="G2738" s="134" t="str">
        <f t="shared" si="295"/>
        <v/>
      </c>
      <c r="H2738" s="134">
        <f t="shared" si="296"/>
        <v>1</v>
      </c>
      <c r="I2738" s="7" t="s">
        <v>157</v>
      </c>
      <c r="J2738" s="7" t="s">
        <v>172</v>
      </c>
      <c r="K2738" s="7"/>
      <c r="L2738" s="7" t="s">
        <v>166</v>
      </c>
      <c r="M2738" s="7" t="s">
        <v>6023</v>
      </c>
      <c r="N2738" s="7" t="s">
        <v>410</v>
      </c>
      <c r="O2738" s="7" t="s">
        <v>161</v>
      </c>
      <c r="P2738" s="7" t="s">
        <v>7448</v>
      </c>
      <c r="Q2738" s="129">
        <v>46199</v>
      </c>
      <c r="R2738" s="130">
        <f t="shared" si="294"/>
        <v>46209</v>
      </c>
      <c r="S2738" s="131">
        <f t="shared" si="293"/>
        <v>10</v>
      </c>
      <c r="T2738" s="7" t="s">
        <v>184</v>
      </c>
      <c r="U2738" s="7" t="s">
        <v>190</v>
      </c>
      <c r="V2738" s="7"/>
      <c r="W2738" s="7">
        <v>0</v>
      </c>
      <c r="X2738" s="132">
        <f t="shared" si="291"/>
        <v>10</v>
      </c>
      <c r="Y2738" s="133"/>
      <c r="Z2738" s="133"/>
      <c r="AA2738" s="133"/>
    </row>
    <row r="2739" spans="1:27" hidden="1" x14ac:dyDescent="0.25">
      <c r="A2739" s="133"/>
      <c r="B2739" s="128" t="str">
        <f t="shared" si="292"/>
        <v>NAMS</v>
      </c>
      <c r="C2739" s="128" t="str">
        <f>+VLOOKUP(U2739,Ходим!A:B,2,0)</f>
        <v>52601025870013</v>
      </c>
      <c r="D2739" s="128" t="str">
        <f>IFERROR(VLOOKUP($B:$B,[20]свод!$A:$AB,3,0)," ")</f>
        <v>Наманган шаҳар</v>
      </c>
      <c r="E2739" s="7" t="s">
        <v>3871</v>
      </c>
      <c r="F2739" s="7" t="s">
        <v>10238</v>
      </c>
      <c r="G2739" s="134">
        <f t="shared" si="295"/>
        <v>1</v>
      </c>
      <c r="H2739" s="134" t="str">
        <f t="shared" si="296"/>
        <v/>
      </c>
      <c r="I2739" s="7" t="s">
        <v>158</v>
      </c>
      <c r="J2739" s="7" t="s">
        <v>2</v>
      </c>
      <c r="K2739" s="7"/>
      <c r="L2739" s="7"/>
      <c r="M2739" s="7"/>
      <c r="N2739" s="7" t="s">
        <v>170</v>
      </c>
      <c r="O2739" s="7" t="s">
        <v>162</v>
      </c>
      <c r="P2739" s="7" t="s">
        <v>7449</v>
      </c>
      <c r="Q2739" s="129">
        <v>46199</v>
      </c>
      <c r="R2739" s="130">
        <f t="shared" si="294"/>
        <v>46209</v>
      </c>
      <c r="S2739" s="131">
        <f t="shared" si="293"/>
        <v>10</v>
      </c>
      <c r="T2739" s="7" t="s">
        <v>173</v>
      </c>
      <c r="U2739" s="7" t="s">
        <v>405</v>
      </c>
      <c r="V2739" s="7"/>
      <c r="W2739" s="7"/>
      <c r="X2739" s="132">
        <f t="shared" si="291"/>
        <v>10</v>
      </c>
      <c r="Y2739" s="133"/>
      <c r="Z2739" s="133"/>
      <c r="AA2739" s="133"/>
    </row>
    <row r="2740" spans="1:27" hidden="1" x14ac:dyDescent="0.25">
      <c r="A2740" s="133"/>
      <c r="B2740" s="128" t="str">
        <f t="shared" si="292"/>
        <v>MINT</v>
      </c>
      <c r="C2740" s="128" t="str">
        <f>+VLOOKUP(U2740,Ходим!A:B,2,0)</f>
        <v>51604025990014</v>
      </c>
      <c r="D2740" s="128" t="str">
        <f>IFERROR(VLOOKUP($B:$B,[20]свод!$A:$AB,3,0)," ")</f>
        <v>Мингбулоқ тумани</v>
      </c>
      <c r="E2740" s="7" t="s">
        <v>3872</v>
      </c>
      <c r="F2740" s="7" t="s">
        <v>10239</v>
      </c>
      <c r="G2740" s="134" t="str">
        <f t="shared" si="295"/>
        <v/>
      </c>
      <c r="H2740" s="134">
        <f t="shared" si="296"/>
        <v>1</v>
      </c>
      <c r="I2740" s="7" t="s">
        <v>157</v>
      </c>
      <c r="J2740" s="7" t="s">
        <v>10</v>
      </c>
      <c r="K2740" s="7"/>
      <c r="L2740" s="7" t="s">
        <v>168</v>
      </c>
      <c r="M2740" s="7" t="s">
        <v>6024</v>
      </c>
      <c r="N2740" s="7" t="s">
        <v>170</v>
      </c>
      <c r="O2740" s="7" t="s">
        <v>161</v>
      </c>
      <c r="P2740" s="7" t="s">
        <v>6896</v>
      </c>
      <c r="Q2740" s="129">
        <v>46199</v>
      </c>
      <c r="R2740" s="130">
        <f t="shared" si="294"/>
        <v>46203</v>
      </c>
      <c r="S2740" s="131">
        <f t="shared" si="293"/>
        <v>4</v>
      </c>
      <c r="T2740" s="7" t="s">
        <v>220</v>
      </c>
      <c r="U2740" s="7" t="s">
        <v>252</v>
      </c>
      <c r="V2740" s="7"/>
      <c r="W2740" s="7">
        <v>0</v>
      </c>
      <c r="X2740" s="132">
        <f t="shared" si="291"/>
        <v>7</v>
      </c>
      <c r="Y2740" s="133"/>
      <c r="Z2740" s="133"/>
      <c r="AA2740" s="133"/>
    </row>
    <row r="2741" spans="1:27" hidden="1" x14ac:dyDescent="0.25">
      <c r="A2741" s="133"/>
      <c r="B2741" s="128" t="str">
        <f t="shared" si="292"/>
        <v>KSST</v>
      </c>
      <c r="C2741" s="128" t="str">
        <f>+VLOOKUP(U2741,Ходим!A:B,2,0)</f>
        <v>31407932190092</v>
      </c>
      <c r="D2741" s="128" t="str">
        <f>IFERROR(VLOOKUP($B:$B,[20]свод!$A:$AB,3,0)," ")</f>
        <v>Косонсой тумани</v>
      </c>
      <c r="E2741" s="7" t="s">
        <v>3873</v>
      </c>
      <c r="F2741" s="7" t="s">
        <v>10240</v>
      </c>
      <c r="G2741" s="134">
        <f t="shared" si="295"/>
        <v>1</v>
      </c>
      <c r="H2741" s="134" t="str">
        <f t="shared" si="296"/>
        <v/>
      </c>
      <c r="I2741" s="7" t="s">
        <v>158</v>
      </c>
      <c r="J2741" s="7" t="s">
        <v>172</v>
      </c>
      <c r="K2741" s="7"/>
      <c r="L2741" s="7" t="s">
        <v>167</v>
      </c>
      <c r="M2741" s="7" t="s">
        <v>6025</v>
      </c>
      <c r="N2741" s="7" t="s">
        <v>410</v>
      </c>
      <c r="O2741" s="7" t="s">
        <v>162</v>
      </c>
      <c r="P2741" s="7" t="s">
        <v>7449</v>
      </c>
      <c r="Q2741" s="129">
        <v>46199</v>
      </c>
      <c r="R2741" s="130">
        <f t="shared" si="294"/>
        <v>46209</v>
      </c>
      <c r="S2741" s="131">
        <f t="shared" si="293"/>
        <v>10</v>
      </c>
      <c r="T2741" s="7" t="s">
        <v>180</v>
      </c>
      <c r="U2741" s="7" t="s">
        <v>188</v>
      </c>
      <c r="V2741" s="7"/>
      <c r="W2741" s="7">
        <v>541.27</v>
      </c>
      <c r="X2741" s="132">
        <f t="shared" si="291"/>
        <v>10</v>
      </c>
      <c r="Y2741" s="133"/>
      <c r="Z2741" s="133"/>
      <c r="AA2741" s="133"/>
    </row>
    <row r="2742" spans="1:27" hidden="1" x14ac:dyDescent="0.25">
      <c r="A2742" s="133"/>
      <c r="B2742" s="128" t="str">
        <f t="shared" si="292"/>
        <v>CHOT</v>
      </c>
      <c r="C2742" s="128" t="str">
        <f>+VLOOKUP(U2742,Ходим!A:B,2,0)</f>
        <v>30308922100022</v>
      </c>
      <c r="D2742" s="128" t="str">
        <f>IFERROR(VLOOKUP($B:$B,[20]свод!$A:$AB,3,0)," ")</f>
        <v>Чортоқ тумани</v>
      </c>
      <c r="E2742" s="7" t="s">
        <v>3874</v>
      </c>
      <c r="F2742" s="7" t="s">
        <v>10241</v>
      </c>
      <c r="G2742" s="134">
        <f t="shared" si="295"/>
        <v>1</v>
      </c>
      <c r="H2742" s="134" t="str">
        <f t="shared" si="296"/>
        <v/>
      </c>
      <c r="I2742" s="7" t="s">
        <v>158</v>
      </c>
      <c r="J2742" s="7" t="s">
        <v>16</v>
      </c>
      <c r="K2742" s="7"/>
      <c r="L2742" s="7" t="s">
        <v>167</v>
      </c>
      <c r="M2742" s="7" t="s">
        <v>6026</v>
      </c>
      <c r="N2742" s="7" t="s">
        <v>170</v>
      </c>
      <c r="O2742" s="7" t="s">
        <v>162</v>
      </c>
      <c r="P2742" s="7" t="s">
        <v>6451</v>
      </c>
      <c r="Q2742" s="129">
        <v>46199</v>
      </c>
      <c r="R2742" s="130">
        <f t="shared" si="294"/>
        <v>46204</v>
      </c>
      <c r="S2742" s="131">
        <f t="shared" si="293"/>
        <v>5</v>
      </c>
      <c r="T2742" s="7" t="s">
        <v>10635</v>
      </c>
      <c r="U2742" s="7" t="s">
        <v>190</v>
      </c>
      <c r="V2742" s="7"/>
      <c r="W2742" s="7">
        <v>396.19</v>
      </c>
      <c r="X2742" s="132">
        <f t="shared" si="291"/>
        <v>10</v>
      </c>
      <c r="Y2742" s="133"/>
      <c r="Z2742" s="133"/>
      <c r="AA2742" s="133"/>
    </row>
    <row r="2743" spans="1:27" hidden="1" x14ac:dyDescent="0.25">
      <c r="A2743" s="133"/>
      <c r="B2743" s="128" t="str">
        <f t="shared" si="292"/>
        <v>NAMS</v>
      </c>
      <c r="C2743" s="128" t="str">
        <f>+VLOOKUP(U2743,Ходим!A:B,2,0)</f>
        <v>30202915960070</v>
      </c>
      <c r="D2743" s="128" t="str">
        <f>IFERROR(VLOOKUP($B:$B,[20]свод!$A:$AB,3,0)," ")</f>
        <v>Наманган шаҳар</v>
      </c>
      <c r="E2743" s="7" t="s">
        <v>3875</v>
      </c>
      <c r="F2743" s="7" t="s">
        <v>10242</v>
      </c>
      <c r="G2743" s="134" t="str">
        <f t="shared" si="295"/>
        <v/>
      </c>
      <c r="H2743" s="134">
        <f t="shared" si="296"/>
        <v>1</v>
      </c>
      <c r="I2743" s="7" t="s">
        <v>157</v>
      </c>
      <c r="J2743" s="7" t="s">
        <v>172</v>
      </c>
      <c r="K2743" s="7"/>
      <c r="L2743" s="7" t="s">
        <v>168</v>
      </c>
      <c r="M2743" s="7" t="s">
        <v>6027</v>
      </c>
      <c r="N2743" s="7" t="s">
        <v>410</v>
      </c>
      <c r="O2743" s="7" t="s">
        <v>161</v>
      </c>
      <c r="P2743" s="7" t="s">
        <v>7450</v>
      </c>
      <c r="Q2743" s="129">
        <v>46199</v>
      </c>
      <c r="R2743" s="130">
        <f t="shared" si="294"/>
        <v>46204</v>
      </c>
      <c r="S2743" s="131">
        <f t="shared" si="293"/>
        <v>5</v>
      </c>
      <c r="T2743" s="7" t="s">
        <v>185</v>
      </c>
      <c r="U2743" s="7" t="s">
        <v>177</v>
      </c>
      <c r="V2743" s="7"/>
      <c r="W2743" s="7">
        <v>0</v>
      </c>
      <c r="X2743" s="132">
        <f t="shared" si="291"/>
        <v>7</v>
      </c>
      <c r="Y2743" s="133"/>
      <c r="Z2743" s="133"/>
      <c r="AA2743" s="133"/>
    </row>
    <row r="2744" spans="1:27" hidden="1" x14ac:dyDescent="0.25">
      <c r="A2744" s="133"/>
      <c r="B2744" s="128" t="str">
        <f t="shared" si="292"/>
        <v>NAMS</v>
      </c>
      <c r="C2744" s="128" t="str">
        <f>+VLOOKUP(U2744,Ходим!A:B,2,0)</f>
        <v>52710005960025</v>
      </c>
      <c r="D2744" s="128" t="str">
        <f>IFERROR(VLOOKUP($B:$B,[20]свод!$A:$AB,3,0)," ")</f>
        <v>Наманган шаҳар</v>
      </c>
      <c r="E2744" s="7" t="s">
        <v>3876</v>
      </c>
      <c r="F2744" s="7" t="s">
        <v>10243</v>
      </c>
      <c r="G2744" s="134">
        <f t="shared" si="295"/>
        <v>1</v>
      </c>
      <c r="H2744" s="134" t="str">
        <f t="shared" si="296"/>
        <v/>
      </c>
      <c r="I2744" s="7" t="s">
        <v>158</v>
      </c>
      <c r="J2744" s="7" t="s">
        <v>2</v>
      </c>
      <c r="K2744" s="7"/>
      <c r="L2744" s="7" t="s">
        <v>169</v>
      </c>
      <c r="M2744" s="7" t="s">
        <v>381</v>
      </c>
      <c r="N2744" s="7" t="s">
        <v>170</v>
      </c>
      <c r="O2744" s="7" t="s">
        <v>162</v>
      </c>
      <c r="P2744" s="7" t="s">
        <v>6446</v>
      </c>
      <c r="Q2744" s="129">
        <v>46199</v>
      </c>
      <c r="R2744" s="130">
        <f t="shared" si="294"/>
        <v>46202</v>
      </c>
      <c r="S2744" s="131">
        <f t="shared" si="293"/>
        <v>3</v>
      </c>
      <c r="T2744" s="7" t="s">
        <v>173</v>
      </c>
      <c r="U2744" s="7" t="s">
        <v>274</v>
      </c>
      <c r="V2744" s="7"/>
      <c r="W2744" s="7">
        <v>0</v>
      </c>
      <c r="X2744" s="132">
        <f t="shared" ref="X2744:X2778" si="297">IF(N2744="Kadastr muhandisi",3,
IF(N2744="UZKAD",5,
IF(V2744="FREE",5,
IF(I2744="Registratsiya (tashqi - UZKAD da bor)",1,
IF(I2744="Avtoyo'l va suv xo'jaligi obyektining kadastr pasportini shakllantirish va ro'yxatga olish",7,
IF(I2744="Notarius uchun ma'lumotnoma (uz)",1,
IF(I2744="Qurilishi tugallangan ko'chmas mulkni foydalanishga qabul qilish",10,
IF(OR(I2744="Turar joy obyektning kadastr pasportini shakllantirish va davlat ro'yxatidan o'tkazish",I2744="Turar kompozit"),
IF(L2744="Turar yer maydoni",7,10),
IF(OR(I2744="Noturar obyektning kadastr pasportini shakllantirish va davlat ro'yxatidan o'tkazish",I2744="Noturar kompozit"),
IF(O2744="Ko‘p yillik daraxtlar xizmati",15,
IF(OR(L2744="Noturar yer maydoni",L2744="Davlat tashkilotlaridan ijaraga olingan yer uchastkasi"),7,
IF(W2744&lt;100,10,IF(W2744&lt;=1000,12,IF(W2744&lt;=5000,17,IF(W2744&lt;=15000,22,IF(W2744&lt;=50000,28,37))))))),
IF(I2744="Umumiy foydalanishdagi ko'chmas mulk qismini yaratish",
IF(IF(TRIM(L2744)="",IF(OR(O2744="Turar joy xizmati",O2744="Yakka tartibdagi turar joy"),"Turar","Noturar"),IF(OR(L2744="Yakka tartibdagi turar joy",L2744="Turar joy xizmati"),"Turar","Noturar"))="Turar",
10,IF(W2744&lt;100,10,IF(W2744&lt;=1000,12,IF(W2744&lt;=5000,17,IF(W2744&lt;=15000,22,IF(W2744&lt;=50000,28,37)))))),
0))))))))))</f>
        <v>7</v>
      </c>
      <c r="Y2744" s="133"/>
      <c r="Z2744" s="133"/>
      <c r="AA2744" s="133"/>
    </row>
    <row r="2745" spans="1:27" hidden="1" x14ac:dyDescent="0.25">
      <c r="A2745" s="133"/>
      <c r="B2745" s="128" t="str">
        <f t="shared" ref="B2745:B2778" si="298">LEFT(E2745,4)</f>
        <v>POPT</v>
      </c>
      <c r="C2745" s="128" t="str">
        <f>+VLOOKUP(U2745,Ходим!A:B,2,0)</f>
        <v>51605005910024</v>
      </c>
      <c r="D2745" s="128" t="str">
        <f>IFERROR(VLOOKUP($B:$B,[20]свод!$A:$AB,3,0)," ")</f>
        <v>Поп тумани</v>
      </c>
      <c r="E2745" s="7" t="s">
        <v>3877</v>
      </c>
      <c r="F2745" s="7" t="s">
        <v>10244</v>
      </c>
      <c r="G2745" s="134">
        <f t="shared" si="295"/>
        <v>1</v>
      </c>
      <c r="H2745" s="134" t="str">
        <f t="shared" si="296"/>
        <v/>
      </c>
      <c r="I2745" s="7" t="s">
        <v>158</v>
      </c>
      <c r="J2745" s="7" t="s">
        <v>1</v>
      </c>
      <c r="K2745" s="7"/>
      <c r="L2745" s="7" t="s">
        <v>167</v>
      </c>
      <c r="M2745" s="7" t="s">
        <v>6028</v>
      </c>
      <c r="N2745" s="7" t="s">
        <v>170</v>
      </c>
      <c r="O2745" s="7" t="s">
        <v>163</v>
      </c>
      <c r="P2745" s="7" t="s">
        <v>6870</v>
      </c>
      <c r="Q2745" s="129">
        <v>46199</v>
      </c>
      <c r="R2745" s="130">
        <f t="shared" si="294"/>
        <v>46206</v>
      </c>
      <c r="S2745" s="131">
        <f t="shared" ref="S2745:S2778" si="299">R2745-Q2745</f>
        <v>7</v>
      </c>
      <c r="T2745" s="7" t="s">
        <v>214</v>
      </c>
      <c r="U2745" s="7" t="s">
        <v>241</v>
      </c>
      <c r="V2745" s="7"/>
      <c r="W2745" s="7">
        <v>239.51</v>
      </c>
      <c r="X2745" s="132">
        <f t="shared" si="297"/>
        <v>10</v>
      </c>
      <c r="Y2745" s="133"/>
      <c r="Z2745" s="133"/>
      <c r="AA2745" s="133"/>
    </row>
    <row r="2746" spans="1:27" x14ac:dyDescent="0.25">
      <c r="A2746" s="133"/>
      <c r="B2746" s="128" t="str">
        <f t="shared" si="298"/>
        <v>KSST</v>
      </c>
      <c r="C2746" s="128" t="str">
        <f>+VLOOKUP(U2746,Ходим!A:B,2,0)</f>
        <v>32910975980025</v>
      </c>
      <c r="D2746" s="128" t="str">
        <f>IFERROR(VLOOKUP($B:$B,[20]свод!$A:$AB,3,0)," ")</f>
        <v>Косонсой тумани</v>
      </c>
      <c r="E2746" s="7" t="s">
        <v>3878</v>
      </c>
      <c r="F2746" s="7" t="s">
        <v>10245</v>
      </c>
      <c r="G2746" s="134" t="str">
        <f t="shared" si="295"/>
        <v/>
      </c>
      <c r="H2746" s="134">
        <f t="shared" si="296"/>
        <v>1</v>
      </c>
      <c r="I2746" s="7" t="s">
        <v>157</v>
      </c>
      <c r="J2746" s="7" t="s">
        <v>1</v>
      </c>
      <c r="K2746" s="7"/>
      <c r="L2746" s="7" t="s">
        <v>168</v>
      </c>
      <c r="M2746" s="7" t="s">
        <v>6029</v>
      </c>
      <c r="N2746" s="7" t="s">
        <v>170</v>
      </c>
      <c r="O2746" s="7" t="s">
        <v>161</v>
      </c>
      <c r="P2746" s="7" t="s">
        <v>6317</v>
      </c>
      <c r="Q2746" s="129">
        <v>46199</v>
      </c>
      <c r="R2746" s="130">
        <f t="shared" si="294"/>
        <v>46199</v>
      </c>
      <c r="S2746" s="131">
        <f t="shared" si="299"/>
        <v>0</v>
      </c>
      <c r="T2746" s="7" t="s">
        <v>180</v>
      </c>
      <c r="U2746" s="7" t="s">
        <v>187</v>
      </c>
      <c r="V2746" s="7"/>
      <c r="W2746" s="7">
        <v>0</v>
      </c>
      <c r="X2746" s="132">
        <f t="shared" si="297"/>
        <v>7</v>
      </c>
      <c r="Y2746" s="133"/>
      <c r="Z2746" s="133"/>
      <c r="AA2746" s="133"/>
    </row>
    <row r="2747" spans="1:27" hidden="1" x14ac:dyDescent="0.25">
      <c r="A2747" s="133"/>
      <c r="B2747" s="128" t="str">
        <f t="shared" si="298"/>
        <v>MINT</v>
      </c>
      <c r="C2747" s="128" t="str">
        <f>+VLOOKUP(U2747,Ходим!A:B,2,0)</f>
        <v>53110035990017</v>
      </c>
      <c r="D2747" s="128" t="str">
        <f>IFERROR(VLOOKUP($B:$B,[20]свод!$A:$AB,3,0)," ")</f>
        <v>Мингбулоқ тумани</v>
      </c>
      <c r="E2747" s="7" t="s">
        <v>3879</v>
      </c>
      <c r="F2747" s="7" t="s">
        <v>10246</v>
      </c>
      <c r="G2747" s="134">
        <f t="shared" si="295"/>
        <v>1</v>
      </c>
      <c r="H2747" s="134" t="str">
        <f t="shared" si="296"/>
        <v/>
      </c>
      <c r="I2747" s="7" t="s">
        <v>158</v>
      </c>
      <c r="J2747" s="7" t="s">
        <v>2</v>
      </c>
      <c r="K2747" s="7"/>
      <c r="L2747" s="7" t="s">
        <v>167</v>
      </c>
      <c r="M2747" s="7" t="s">
        <v>6030</v>
      </c>
      <c r="N2747" s="7" t="s">
        <v>410</v>
      </c>
      <c r="O2747" s="7" t="s">
        <v>162</v>
      </c>
      <c r="P2747" s="7" t="s">
        <v>7451</v>
      </c>
      <c r="Q2747" s="129">
        <v>46199</v>
      </c>
      <c r="R2747" s="130">
        <f t="shared" si="294"/>
        <v>46209</v>
      </c>
      <c r="S2747" s="131">
        <f t="shared" si="299"/>
        <v>10</v>
      </c>
      <c r="T2747" s="7" t="s">
        <v>220</v>
      </c>
      <c r="U2747" s="7" t="s">
        <v>372</v>
      </c>
      <c r="V2747" s="7"/>
      <c r="W2747" s="7">
        <v>67.099999999999994</v>
      </c>
      <c r="X2747" s="132">
        <f t="shared" si="297"/>
        <v>10</v>
      </c>
      <c r="Y2747" s="133"/>
      <c r="Z2747" s="133"/>
      <c r="AA2747" s="133"/>
    </row>
    <row r="2748" spans="1:27" hidden="1" x14ac:dyDescent="0.25">
      <c r="A2748" s="133"/>
      <c r="B2748" s="128" t="str">
        <f t="shared" si="298"/>
        <v>NAMT</v>
      </c>
      <c r="C2748" s="128" t="str">
        <f>+VLOOKUP(U2748,Ходим!A:B,2,0)</f>
        <v>32204892090133</v>
      </c>
      <c r="D2748" s="128" t="str">
        <f>IFERROR(VLOOKUP($B:$B,[20]свод!$A:$AB,3,0)," ")</f>
        <v>Наманган тумани</v>
      </c>
      <c r="E2748" s="7" t="s">
        <v>3880</v>
      </c>
      <c r="F2748" s="7" t="s">
        <v>10247</v>
      </c>
      <c r="G2748" s="134">
        <f t="shared" si="295"/>
        <v>1</v>
      </c>
      <c r="H2748" s="134" t="str">
        <f t="shared" si="296"/>
        <v/>
      </c>
      <c r="I2748" s="7" t="s">
        <v>158</v>
      </c>
      <c r="J2748" s="7" t="s">
        <v>2</v>
      </c>
      <c r="K2748" s="7"/>
      <c r="L2748" s="7"/>
      <c r="M2748" s="7"/>
      <c r="N2748" s="7" t="s">
        <v>410</v>
      </c>
      <c r="O2748" s="7" t="s">
        <v>162</v>
      </c>
      <c r="P2748" s="7" t="s">
        <v>6501</v>
      </c>
      <c r="Q2748" s="129">
        <v>46199</v>
      </c>
      <c r="R2748" s="130">
        <f t="shared" si="294"/>
        <v>46205</v>
      </c>
      <c r="S2748" s="131">
        <f t="shared" si="299"/>
        <v>6</v>
      </c>
      <c r="T2748" s="7" t="s">
        <v>193</v>
      </c>
      <c r="U2748" s="7" t="s">
        <v>198</v>
      </c>
      <c r="V2748" s="7"/>
      <c r="W2748" s="7"/>
      <c r="X2748" s="132">
        <f t="shared" si="297"/>
        <v>10</v>
      </c>
      <c r="Y2748" s="133"/>
      <c r="Z2748" s="133"/>
      <c r="AA2748" s="133"/>
    </row>
    <row r="2749" spans="1:27" hidden="1" x14ac:dyDescent="0.25">
      <c r="A2749" s="133"/>
      <c r="B2749" s="128" t="str">
        <f t="shared" si="298"/>
        <v>UYCT</v>
      </c>
      <c r="C2749" s="128" t="str">
        <f>+VLOOKUP(U2749,Ходим!A:B,2,0)</f>
        <v>30309975930028</v>
      </c>
      <c r="D2749" s="128" t="str">
        <f>IFERROR(VLOOKUP($B:$B,[20]свод!$A:$AB,3,0)," ")</f>
        <v>Уйчи тумани</v>
      </c>
      <c r="E2749" s="7" t="s">
        <v>3881</v>
      </c>
      <c r="F2749" s="7" t="s">
        <v>10248</v>
      </c>
      <c r="G2749" s="134" t="str">
        <f t="shared" si="295"/>
        <v/>
      </c>
      <c r="H2749" s="134">
        <f t="shared" si="296"/>
        <v>1</v>
      </c>
      <c r="I2749" s="7" t="s">
        <v>157</v>
      </c>
      <c r="J2749" s="7" t="s">
        <v>1</v>
      </c>
      <c r="K2749" s="7"/>
      <c r="L2749" s="7" t="s">
        <v>166</v>
      </c>
      <c r="M2749" s="7" t="s">
        <v>6031</v>
      </c>
      <c r="N2749" s="7" t="s">
        <v>170</v>
      </c>
      <c r="O2749" s="7" t="s">
        <v>161</v>
      </c>
      <c r="P2749" s="7" t="s">
        <v>7452</v>
      </c>
      <c r="Q2749" s="129">
        <v>46199</v>
      </c>
      <c r="R2749" s="130">
        <f t="shared" si="294"/>
        <v>46205</v>
      </c>
      <c r="S2749" s="131">
        <f t="shared" si="299"/>
        <v>6</v>
      </c>
      <c r="T2749" s="7" t="s">
        <v>947</v>
      </c>
      <c r="U2749" s="7" t="s">
        <v>261</v>
      </c>
      <c r="V2749" s="7"/>
      <c r="W2749" s="7">
        <v>1428.8</v>
      </c>
      <c r="X2749" s="132">
        <f t="shared" si="297"/>
        <v>17</v>
      </c>
      <c r="Y2749" s="133"/>
      <c r="Z2749" s="133"/>
      <c r="AA2749" s="133"/>
    </row>
    <row r="2750" spans="1:27" hidden="1" x14ac:dyDescent="0.25">
      <c r="A2750" s="133"/>
      <c r="B2750" s="128" t="str">
        <f t="shared" si="298"/>
        <v>YGQT</v>
      </c>
      <c r="C2750" s="128" t="str">
        <f>+VLOOKUP(U2750,Ходим!A:B,2,0)</f>
        <v>52009035950022</v>
      </c>
      <c r="D2750" s="128" t="str">
        <f>IFERROR(VLOOKUP($B:$B,[20]свод!$A:$AB,3,0)," ")</f>
        <v>Янгиқўрғон тумани</v>
      </c>
      <c r="E2750" s="7" t="s">
        <v>3882</v>
      </c>
      <c r="F2750" s="7" t="s">
        <v>10249</v>
      </c>
      <c r="G2750" s="134" t="str">
        <f t="shared" si="295"/>
        <v/>
      </c>
      <c r="H2750" s="134">
        <f t="shared" si="296"/>
        <v>1</v>
      </c>
      <c r="I2750" s="7" t="s">
        <v>157</v>
      </c>
      <c r="J2750" s="7" t="s">
        <v>134</v>
      </c>
      <c r="K2750" s="7"/>
      <c r="L2750" s="7" t="s">
        <v>166</v>
      </c>
      <c r="M2750" s="7" t="s">
        <v>6032</v>
      </c>
      <c r="N2750" s="7" t="s">
        <v>170</v>
      </c>
      <c r="O2750" s="7" t="s">
        <v>161</v>
      </c>
      <c r="P2750" s="7" t="s">
        <v>6325</v>
      </c>
      <c r="Q2750" s="129">
        <v>46199</v>
      </c>
      <c r="R2750" s="130">
        <f t="shared" si="294"/>
        <v>46204</v>
      </c>
      <c r="S2750" s="131">
        <f t="shared" si="299"/>
        <v>5</v>
      </c>
      <c r="T2750" s="7" t="s">
        <v>255</v>
      </c>
      <c r="U2750" s="7" t="s">
        <v>272</v>
      </c>
      <c r="V2750" s="7"/>
      <c r="W2750" s="7">
        <v>0</v>
      </c>
      <c r="X2750" s="132">
        <f t="shared" si="297"/>
        <v>10</v>
      </c>
      <c r="Y2750" s="133"/>
      <c r="Z2750" s="133"/>
      <c r="AA2750" s="133"/>
    </row>
    <row r="2751" spans="1:27" hidden="1" x14ac:dyDescent="0.25">
      <c r="A2751" s="133"/>
      <c r="B2751" s="128" t="str">
        <f t="shared" si="298"/>
        <v>YGQT</v>
      </c>
      <c r="C2751" s="128" t="str">
        <f>+VLOOKUP(U2751,Ходим!A:B,2,0)</f>
        <v>31108942160081</v>
      </c>
      <c r="D2751" s="128" t="str">
        <f>IFERROR(VLOOKUP($B:$B,[20]свод!$A:$AB,3,0)," ")</f>
        <v>Янгиқўрғон тумани</v>
      </c>
      <c r="E2751" s="7" t="s">
        <v>3883</v>
      </c>
      <c r="F2751" s="7" t="s">
        <v>10250</v>
      </c>
      <c r="G2751" s="134">
        <f t="shared" si="295"/>
        <v>1</v>
      </c>
      <c r="H2751" s="134" t="str">
        <f t="shared" si="296"/>
        <v/>
      </c>
      <c r="I2751" s="7" t="s">
        <v>158</v>
      </c>
      <c r="J2751" s="7" t="s">
        <v>2</v>
      </c>
      <c r="K2751" s="7"/>
      <c r="L2751" s="7"/>
      <c r="M2751" s="7"/>
      <c r="N2751" s="7" t="s">
        <v>410</v>
      </c>
      <c r="O2751" s="7" t="s">
        <v>162</v>
      </c>
      <c r="P2751" s="7" t="s">
        <v>7453</v>
      </c>
      <c r="Q2751" s="129">
        <v>46199</v>
      </c>
      <c r="R2751" s="130">
        <f t="shared" si="294"/>
        <v>46209</v>
      </c>
      <c r="S2751" s="131">
        <f t="shared" si="299"/>
        <v>10</v>
      </c>
      <c r="T2751" s="7" t="s">
        <v>182</v>
      </c>
      <c r="U2751" s="7" t="s">
        <v>228</v>
      </c>
      <c r="V2751" s="7"/>
      <c r="W2751" s="7"/>
      <c r="X2751" s="132">
        <f t="shared" si="297"/>
        <v>10</v>
      </c>
      <c r="Y2751" s="133"/>
      <c r="Z2751" s="133"/>
      <c r="AA2751" s="133"/>
    </row>
    <row r="2752" spans="1:27" hidden="1" x14ac:dyDescent="0.25">
      <c r="A2752" s="133"/>
      <c r="B2752" s="128" t="str">
        <f t="shared" si="298"/>
        <v>POPT</v>
      </c>
      <c r="C2752" s="128" t="str">
        <f>+VLOOKUP(U2752,Ходим!A:B,2,0)</f>
        <v>30609882120085</v>
      </c>
      <c r="D2752" s="128" t="str">
        <f>IFERROR(VLOOKUP($B:$B,[20]свод!$A:$AB,3,0)," ")</f>
        <v>Поп тумани</v>
      </c>
      <c r="E2752" s="7" t="s">
        <v>3884</v>
      </c>
      <c r="F2752" s="7" t="s">
        <v>10251</v>
      </c>
      <c r="G2752" s="134">
        <f t="shared" si="295"/>
        <v>1</v>
      </c>
      <c r="H2752" s="134" t="str">
        <f t="shared" si="296"/>
        <v/>
      </c>
      <c r="I2752" s="7" t="s">
        <v>158</v>
      </c>
      <c r="J2752" s="7" t="s">
        <v>172</v>
      </c>
      <c r="K2752" s="7"/>
      <c r="L2752" s="7" t="s">
        <v>167</v>
      </c>
      <c r="M2752" s="7" t="s">
        <v>6033</v>
      </c>
      <c r="N2752" s="7" t="s">
        <v>170</v>
      </c>
      <c r="O2752" s="7" t="s">
        <v>163</v>
      </c>
      <c r="P2752" s="7" t="s">
        <v>7454</v>
      </c>
      <c r="Q2752" s="129">
        <v>46199</v>
      </c>
      <c r="R2752" s="130">
        <f t="shared" si="294"/>
        <v>46209</v>
      </c>
      <c r="S2752" s="131">
        <f t="shared" si="299"/>
        <v>10</v>
      </c>
      <c r="T2752" s="7" t="s">
        <v>214</v>
      </c>
      <c r="U2752" s="7" t="s">
        <v>248</v>
      </c>
      <c r="V2752" s="7"/>
      <c r="W2752" s="7">
        <v>68.5</v>
      </c>
      <c r="X2752" s="132">
        <f t="shared" si="297"/>
        <v>10</v>
      </c>
      <c r="Y2752" s="133"/>
      <c r="Z2752" s="133"/>
      <c r="AA2752" s="133"/>
    </row>
    <row r="2753" spans="1:27" hidden="1" x14ac:dyDescent="0.25">
      <c r="A2753" s="133"/>
      <c r="B2753" s="128" t="str">
        <f t="shared" si="298"/>
        <v>UCQT</v>
      </c>
      <c r="C2753" s="128" t="str">
        <f>+VLOOKUP(U2753,Ходим!A:B,2,0)</f>
        <v>32911835940021</v>
      </c>
      <c r="D2753" s="128" t="str">
        <f>IFERROR(VLOOKUP($B:$B,[20]свод!$A:$AB,3,0)," ")</f>
        <v>Учқўрғон тумани</v>
      </c>
      <c r="E2753" s="7" t="s">
        <v>3885</v>
      </c>
      <c r="F2753" s="7" t="s">
        <v>10252</v>
      </c>
      <c r="G2753" s="134" t="str">
        <f t="shared" si="295"/>
        <v/>
      </c>
      <c r="H2753" s="134">
        <f t="shared" si="296"/>
        <v>1</v>
      </c>
      <c r="I2753" s="7" t="s">
        <v>154</v>
      </c>
      <c r="J2753" s="7" t="s">
        <v>2</v>
      </c>
      <c r="K2753" s="7"/>
      <c r="L2753" s="7" t="s">
        <v>166</v>
      </c>
      <c r="M2753" s="7" t="s">
        <v>1091</v>
      </c>
      <c r="N2753" s="7" t="s">
        <v>170</v>
      </c>
      <c r="O2753" s="7" t="s">
        <v>161</v>
      </c>
      <c r="P2753" s="7" t="s">
        <v>7382</v>
      </c>
      <c r="Q2753" s="129">
        <v>46199</v>
      </c>
      <c r="R2753" s="130">
        <f t="shared" si="294"/>
        <v>46211</v>
      </c>
      <c r="S2753" s="131">
        <f t="shared" si="299"/>
        <v>12</v>
      </c>
      <c r="T2753" s="7" t="s">
        <v>175</v>
      </c>
      <c r="U2753" s="7" t="s">
        <v>321</v>
      </c>
      <c r="V2753" s="7"/>
      <c r="W2753" s="7">
        <v>351.74</v>
      </c>
      <c r="X2753" s="132">
        <f t="shared" si="297"/>
        <v>12</v>
      </c>
      <c r="Y2753" s="133"/>
      <c r="Z2753" s="133"/>
      <c r="AA2753" s="133"/>
    </row>
    <row r="2754" spans="1:27" hidden="1" x14ac:dyDescent="0.25">
      <c r="A2754" s="133"/>
      <c r="B2754" s="128" t="str">
        <f t="shared" si="298"/>
        <v>YGQT</v>
      </c>
      <c r="C2754" s="128" t="str">
        <f>+VLOOKUP(U2754,Ходим!A:B,2,0)</f>
        <v>52802005950028</v>
      </c>
      <c r="D2754" s="128" t="str">
        <f>IFERROR(VLOOKUP($B:$B,[20]свод!$A:$AB,3,0)," ")</f>
        <v>Янгиқўрғон тумани</v>
      </c>
      <c r="E2754" s="7" t="s">
        <v>3886</v>
      </c>
      <c r="F2754" s="7" t="s">
        <v>10253</v>
      </c>
      <c r="G2754" s="134">
        <f t="shared" si="295"/>
        <v>1</v>
      </c>
      <c r="H2754" s="134" t="str">
        <f t="shared" si="296"/>
        <v/>
      </c>
      <c r="I2754" s="7" t="s">
        <v>158</v>
      </c>
      <c r="J2754" s="7" t="s">
        <v>172</v>
      </c>
      <c r="K2754" s="7"/>
      <c r="L2754" s="7"/>
      <c r="M2754" s="7"/>
      <c r="N2754" s="7" t="s">
        <v>410</v>
      </c>
      <c r="O2754" s="7" t="s">
        <v>162</v>
      </c>
      <c r="P2754" s="7" t="s">
        <v>7455</v>
      </c>
      <c r="Q2754" s="129">
        <v>46199</v>
      </c>
      <c r="R2754" s="130">
        <f t="shared" si="294"/>
        <v>46209</v>
      </c>
      <c r="S2754" s="131">
        <f t="shared" si="299"/>
        <v>10</v>
      </c>
      <c r="T2754" s="7" t="s">
        <v>182</v>
      </c>
      <c r="U2754" s="7" t="s">
        <v>281</v>
      </c>
      <c r="V2754" s="7"/>
      <c r="W2754" s="7"/>
      <c r="X2754" s="132">
        <f t="shared" si="297"/>
        <v>10</v>
      </c>
      <c r="Y2754" s="133"/>
      <c r="Z2754" s="133"/>
      <c r="AA2754" s="133"/>
    </row>
    <row r="2755" spans="1:27" hidden="1" x14ac:dyDescent="0.25">
      <c r="A2755" s="133"/>
      <c r="B2755" s="128" t="str">
        <f t="shared" si="298"/>
        <v>YGQT</v>
      </c>
      <c r="C2755" s="128" t="str">
        <f>+VLOOKUP(U2755,Ходим!A:B,2,0)</f>
        <v>30602822170087</v>
      </c>
      <c r="D2755" s="128" t="str">
        <f>IFERROR(VLOOKUP($B:$B,[20]свод!$A:$AB,3,0)," ")</f>
        <v>Янгиқўрғон тумани</v>
      </c>
      <c r="E2755" s="7" t="s">
        <v>3887</v>
      </c>
      <c r="F2755" s="7" t="s">
        <v>10254</v>
      </c>
      <c r="G2755" s="134">
        <f t="shared" si="295"/>
        <v>1</v>
      </c>
      <c r="H2755" s="134" t="str">
        <f t="shared" si="296"/>
        <v/>
      </c>
      <c r="I2755" s="7" t="s">
        <v>158</v>
      </c>
      <c r="J2755" s="7" t="s">
        <v>55</v>
      </c>
      <c r="K2755" s="7"/>
      <c r="L2755" s="7" t="s">
        <v>167</v>
      </c>
      <c r="M2755" s="7" t="s">
        <v>6034</v>
      </c>
      <c r="N2755" s="7" t="s">
        <v>170</v>
      </c>
      <c r="O2755" s="7" t="s">
        <v>162</v>
      </c>
      <c r="P2755" s="7" t="s">
        <v>6569</v>
      </c>
      <c r="Q2755" s="129">
        <v>46199</v>
      </c>
      <c r="R2755" s="130">
        <f t="shared" si="294"/>
        <v>46205</v>
      </c>
      <c r="S2755" s="131">
        <f t="shared" si="299"/>
        <v>6</v>
      </c>
      <c r="T2755" s="7" t="s">
        <v>255</v>
      </c>
      <c r="U2755" s="7" t="s">
        <v>320</v>
      </c>
      <c r="V2755" s="7" t="s">
        <v>359</v>
      </c>
      <c r="W2755" s="7">
        <v>724.96</v>
      </c>
      <c r="X2755" s="132">
        <f t="shared" si="297"/>
        <v>10</v>
      </c>
      <c r="Y2755" s="133"/>
      <c r="Z2755" s="133"/>
      <c r="AA2755" s="133"/>
    </row>
    <row r="2756" spans="1:27" x14ac:dyDescent="0.25">
      <c r="A2756" s="133"/>
      <c r="B2756" s="128" t="str">
        <f t="shared" si="298"/>
        <v>UYCT</v>
      </c>
      <c r="C2756" s="128" t="str">
        <f>+VLOOKUP(U2756,Ходим!A:B,2,0)</f>
        <v>32906985930035</v>
      </c>
      <c r="D2756" s="128" t="str">
        <f>IFERROR(VLOOKUP($B:$B,[20]свод!$A:$AB,3,0)," ")</f>
        <v>Уйчи тумани</v>
      </c>
      <c r="E2756" s="7" t="s">
        <v>3888</v>
      </c>
      <c r="F2756" s="7" t="s">
        <v>10255</v>
      </c>
      <c r="G2756" s="134" t="str">
        <f t="shared" si="295"/>
        <v/>
      </c>
      <c r="H2756" s="134">
        <f t="shared" si="296"/>
        <v>1</v>
      </c>
      <c r="I2756" s="7" t="s">
        <v>157</v>
      </c>
      <c r="J2756" s="7" t="s">
        <v>16</v>
      </c>
      <c r="K2756" s="7"/>
      <c r="L2756" s="7" t="s">
        <v>166</v>
      </c>
      <c r="M2756" s="7" t="s">
        <v>6035</v>
      </c>
      <c r="N2756" s="7" t="s">
        <v>410</v>
      </c>
      <c r="O2756" s="7" t="s">
        <v>161</v>
      </c>
      <c r="P2756" s="7" t="s">
        <v>7272</v>
      </c>
      <c r="Q2756" s="129">
        <v>46199</v>
      </c>
      <c r="R2756" s="130">
        <f t="shared" si="294"/>
        <v>46197</v>
      </c>
      <c r="S2756" s="131">
        <f t="shared" si="299"/>
        <v>-2</v>
      </c>
      <c r="T2756" s="7" t="s">
        <v>947</v>
      </c>
      <c r="U2756" s="7" t="s">
        <v>257</v>
      </c>
      <c r="V2756" s="7"/>
      <c r="W2756" s="7">
        <v>0</v>
      </c>
      <c r="X2756" s="132">
        <f t="shared" si="297"/>
        <v>10</v>
      </c>
      <c r="Y2756" s="133"/>
      <c r="Z2756" s="133"/>
      <c r="AA2756" s="133"/>
    </row>
    <row r="2757" spans="1:27" hidden="1" x14ac:dyDescent="0.25">
      <c r="A2757" s="133"/>
      <c r="B2757" s="128" t="str">
        <f t="shared" si="298"/>
        <v>NAMT</v>
      </c>
      <c r="C2757" s="128">
        <f>+VLOOKUP(U2757,Ходим!A:B,2,0)</f>
        <v>52908045880018</v>
      </c>
      <c r="D2757" s="128" t="str">
        <f>IFERROR(VLOOKUP($B:$B,[20]свод!$A:$AB,3,0)," ")</f>
        <v>Наманган тумани</v>
      </c>
      <c r="E2757" s="7" t="s">
        <v>3889</v>
      </c>
      <c r="F2757" s="7" t="s">
        <v>10256</v>
      </c>
      <c r="G2757" s="134">
        <f t="shared" si="295"/>
        <v>1</v>
      </c>
      <c r="H2757" s="134" t="str">
        <f t="shared" si="296"/>
        <v/>
      </c>
      <c r="I2757" s="7" t="s">
        <v>158</v>
      </c>
      <c r="J2757" s="7" t="s">
        <v>2</v>
      </c>
      <c r="K2757" s="7"/>
      <c r="L2757" s="7"/>
      <c r="M2757" s="7"/>
      <c r="N2757" s="7" t="s">
        <v>170</v>
      </c>
      <c r="O2757" s="7" t="s">
        <v>162</v>
      </c>
      <c r="P2757" s="7" t="s">
        <v>7268</v>
      </c>
      <c r="Q2757" s="129">
        <v>46199</v>
      </c>
      <c r="R2757" s="130">
        <f t="shared" si="294"/>
        <v>46206</v>
      </c>
      <c r="S2757" s="131">
        <f t="shared" si="299"/>
        <v>7</v>
      </c>
      <c r="T2757" s="7" t="s">
        <v>193</v>
      </c>
      <c r="U2757" s="7" t="s">
        <v>982</v>
      </c>
      <c r="V2757" s="7"/>
      <c r="W2757" s="7"/>
      <c r="X2757" s="132">
        <f t="shared" si="297"/>
        <v>10</v>
      </c>
      <c r="Y2757" s="133"/>
      <c r="Z2757" s="133"/>
      <c r="AA2757" s="133"/>
    </row>
    <row r="2758" spans="1:27" hidden="1" x14ac:dyDescent="0.25">
      <c r="A2758" s="133"/>
      <c r="B2758" s="128" t="str">
        <f t="shared" si="298"/>
        <v>NAMT</v>
      </c>
      <c r="C2758" s="128" t="str">
        <f>+VLOOKUP(U2758,Ходим!A:B,2,0)</f>
        <v>32607902090019</v>
      </c>
      <c r="D2758" s="128" t="str">
        <f>IFERROR(VLOOKUP($B:$B,[20]свод!$A:$AB,3,0)," ")</f>
        <v>Наманган тумани</v>
      </c>
      <c r="E2758" s="7" t="s">
        <v>3890</v>
      </c>
      <c r="F2758" s="7" t="s">
        <v>10257</v>
      </c>
      <c r="G2758" s="134">
        <f t="shared" si="295"/>
        <v>1</v>
      </c>
      <c r="H2758" s="134" t="str">
        <f t="shared" si="296"/>
        <v/>
      </c>
      <c r="I2758" s="7" t="s">
        <v>158</v>
      </c>
      <c r="J2758" s="7" t="s">
        <v>2</v>
      </c>
      <c r="K2758" s="7"/>
      <c r="L2758" s="7" t="s">
        <v>167</v>
      </c>
      <c r="M2758" s="7" t="s">
        <v>6036</v>
      </c>
      <c r="N2758" s="7" t="s">
        <v>410</v>
      </c>
      <c r="O2758" s="7" t="s">
        <v>163</v>
      </c>
      <c r="P2758" s="7" t="s">
        <v>7368</v>
      </c>
      <c r="Q2758" s="129">
        <v>46199</v>
      </c>
      <c r="R2758" s="130">
        <f t="shared" si="294"/>
        <v>46209</v>
      </c>
      <c r="S2758" s="131">
        <f t="shared" si="299"/>
        <v>10</v>
      </c>
      <c r="T2758" s="7" t="s">
        <v>193</v>
      </c>
      <c r="U2758" s="7" t="s">
        <v>243</v>
      </c>
      <c r="V2758" s="7"/>
      <c r="W2758" s="7">
        <v>223.4</v>
      </c>
      <c r="X2758" s="132">
        <f t="shared" si="297"/>
        <v>10</v>
      </c>
      <c r="Y2758" s="133"/>
      <c r="Z2758" s="133"/>
      <c r="AA2758" s="133"/>
    </row>
    <row r="2759" spans="1:27" hidden="1" x14ac:dyDescent="0.25">
      <c r="A2759" s="133"/>
      <c r="B2759" s="128" t="str">
        <f t="shared" si="298"/>
        <v>POPT</v>
      </c>
      <c r="C2759" s="128" t="str">
        <f>+VLOOKUP(U2759,Ходим!A:B,2,0)</f>
        <v>33107902120019</v>
      </c>
      <c r="D2759" s="128" t="str">
        <f>IFERROR(VLOOKUP($B:$B,[20]свод!$A:$AB,3,0)," ")</f>
        <v>Поп тумани</v>
      </c>
      <c r="E2759" s="7" t="s">
        <v>3891</v>
      </c>
      <c r="F2759" s="7" t="s">
        <v>10258</v>
      </c>
      <c r="G2759" s="134">
        <f t="shared" si="295"/>
        <v>1</v>
      </c>
      <c r="H2759" s="134" t="str">
        <f t="shared" si="296"/>
        <v/>
      </c>
      <c r="I2759" s="7" t="s">
        <v>158</v>
      </c>
      <c r="J2759" s="7" t="s">
        <v>2</v>
      </c>
      <c r="K2759" s="7"/>
      <c r="L2759" s="7" t="s">
        <v>167</v>
      </c>
      <c r="M2759" s="7" t="s">
        <v>6037</v>
      </c>
      <c r="N2759" s="7" t="s">
        <v>410</v>
      </c>
      <c r="O2759" s="7" t="s">
        <v>162</v>
      </c>
      <c r="P2759" s="7" t="s">
        <v>7456</v>
      </c>
      <c r="Q2759" s="129">
        <v>46199</v>
      </c>
      <c r="R2759" s="130">
        <f t="shared" si="294"/>
        <v>46209</v>
      </c>
      <c r="S2759" s="131">
        <f t="shared" si="299"/>
        <v>10</v>
      </c>
      <c r="T2759" s="7" t="s">
        <v>240</v>
      </c>
      <c r="U2759" s="7" t="s">
        <v>224</v>
      </c>
      <c r="V2759" s="7"/>
      <c r="W2759" s="7">
        <v>0</v>
      </c>
      <c r="X2759" s="132">
        <f t="shared" si="297"/>
        <v>10</v>
      </c>
      <c r="Y2759" s="133"/>
      <c r="Z2759" s="133"/>
      <c r="AA2759" s="133"/>
    </row>
    <row r="2760" spans="1:27" hidden="1" x14ac:dyDescent="0.25">
      <c r="A2760" s="133"/>
      <c r="B2760" s="128" t="str">
        <f t="shared" si="298"/>
        <v>NAMT</v>
      </c>
      <c r="C2760" s="128" t="str">
        <f>+VLOOKUP(U2760,Ходим!A:B,2,0)</f>
        <v>52012025880014</v>
      </c>
      <c r="D2760" s="128" t="str">
        <f>IFERROR(VLOOKUP($B:$B,[20]свод!$A:$AB,3,0)," ")</f>
        <v>Наманган тумани</v>
      </c>
      <c r="E2760" s="7" t="s">
        <v>3892</v>
      </c>
      <c r="F2760" s="7" t="s">
        <v>10259</v>
      </c>
      <c r="G2760" s="134">
        <f t="shared" si="295"/>
        <v>1</v>
      </c>
      <c r="H2760" s="134" t="str">
        <f t="shared" si="296"/>
        <v/>
      </c>
      <c r="I2760" s="7" t="s">
        <v>158</v>
      </c>
      <c r="J2760" s="7" t="s">
        <v>2</v>
      </c>
      <c r="K2760" s="7"/>
      <c r="L2760" s="7" t="s">
        <v>167</v>
      </c>
      <c r="M2760" s="7" t="s">
        <v>6038</v>
      </c>
      <c r="N2760" s="7" t="s">
        <v>170</v>
      </c>
      <c r="O2760" s="7" t="s">
        <v>162</v>
      </c>
      <c r="P2760" s="7" t="s">
        <v>7446</v>
      </c>
      <c r="Q2760" s="129">
        <v>46199</v>
      </c>
      <c r="R2760" s="130">
        <f t="shared" si="294"/>
        <v>46209</v>
      </c>
      <c r="S2760" s="131">
        <f t="shared" si="299"/>
        <v>10</v>
      </c>
      <c r="T2760" s="7" t="s">
        <v>197</v>
      </c>
      <c r="U2760" s="7" t="s">
        <v>216</v>
      </c>
      <c r="V2760" s="7"/>
      <c r="W2760" s="7">
        <v>371.1</v>
      </c>
      <c r="X2760" s="132">
        <f t="shared" si="297"/>
        <v>10</v>
      </c>
      <c r="Y2760" s="133"/>
      <c r="Z2760" s="133"/>
      <c r="AA2760" s="133"/>
    </row>
    <row r="2761" spans="1:27" hidden="1" x14ac:dyDescent="0.25">
      <c r="A2761" s="133"/>
      <c r="B2761" s="128" t="str">
        <f t="shared" si="298"/>
        <v>MINT</v>
      </c>
      <c r="C2761" s="128" t="e">
        <f>+VLOOKUP(U2761,Ходим!A:B,2,0)</f>
        <v>#N/A</v>
      </c>
      <c r="D2761" s="128" t="str">
        <f>IFERROR(VLOOKUP($B:$B,[20]свод!$A:$AB,3,0)," ")</f>
        <v>Мингбулоқ тумани</v>
      </c>
      <c r="E2761" s="7" t="s">
        <v>3893</v>
      </c>
      <c r="F2761" s="7" t="s">
        <v>10260</v>
      </c>
      <c r="G2761" s="134">
        <f t="shared" si="295"/>
        <v>1</v>
      </c>
      <c r="H2761" s="134" t="str">
        <f t="shared" si="296"/>
        <v/>
      </c>
      <c r="I2761" s="7" t="s">
        <v>156</v>
      </c>
      <c r="J2761" s="7" t="s">
        <v>11</v>
      </c>
      <c r="K2761" s="7"/>
      <c r="L2761" s="7" t="s">
        <v>167</v>
      </c>
      <c r="M2761" s="7" t="s">
        <v>6039</v>
      </c>
      <c r="N2761" s="7" t="s">
        <v>410</v>
      </c>
      <c r="O2761" s="7" t="s">
        <v>162</v>
      </c>
      <c r="P2761" s="7" t="s">
        <v>7457</v>
      </c>
      <c r="Q2761" s="129">
        <v>46199</v>
      </c>
      <c r="R2761" s="130">
        <f t="shared" si="294"/>
        <v>46209</v>
      </c>
      <c r="S2761" s="131">
        <f t="shared" si="299"/>
        <v>10</v>
      </c>
      <c r="T2761" s="7"/>
      <c r="U2761" s="7"/>
      <c r="V2761" s="7"/>
      <c r="W2761" s="7">
        <v>131.6</v>
      </c>
      <c r="X2761" s="132">
        <f t="shared" si="297"/>
        <v>10</v>
      </c>
      <c r="Y2761" s="133"/>
      <c r="Z2761" s="133"/>
      <c r="AA2761" s="133"/>
    </row>
    <row r="2762" spans="1:27" hidden="1" x14ac:dyDescent="0.25">
      <c r="A2762" s="133"/>
      <c r="B2762" s="128" t="str">
        <f t="shared" si="298"/>
        <v>CHUT</v>
      </c>
      <c r="C2762" s="128" t="str">
        <f>+VLOOKUP(U2762,Ходим!A:B,2,0)</f>
        <v>50905015970078</v>
      </c>
      <c r="D2762" s="128" t="str">
        <f>IFERROR(VLOOKUP($B:$B,[20]свод!$A:$AB,3,0)," ")</f>
        <v>Чуст тумани</v>
      </c>
      <c r="E2762" s="7" t="s">
        <v>3894</v>
      </c>
      <c r="F2762" s="7" t="s">
        <v>10261</v>
      </c>
      <c r="G2762" s="134">
        <f t="shared" si="295"/>
        <v>1</v>
      </c>
      <c r="H2762" s="134" t="str">
        <f t="shared" si="296"/>
        <v/>
      </c>
      <c r="I2762" s="7" t="s">
        <v>158</v>
      </c>
      <c r="J2762" s="7" t="s">
        <v>1</v>
      </c>
      <c r="K2762" s="7"/>
      <c r="L2762" s="7" t="s">
        <v>167</v>
      </c>
      <c r="M2762" s="7" t="s">
        <v>6040</v>
      </c>
      <c r="N2762" s="7" t="s">
        <v>170</v>
      </c>
      <c r="O2762" s="7" t="s">
        <v>162</v>
      </c>
      <c r="P2762" s="7" t="s">
        <v>7221</v>
      </c>
      <c r="Q2762" s="129">
        <v>46199</v>
      </c>
      <c r="R2762" s="130">
        <f t="shared" si="294"/>
        <v>46203</v>
      </c>
      <c r="S2762" s="131">
        <f t="shared" si="299"/>
        <v>4</v>
      </c>
      <c r="T2762" s="7" t="s">
        <v>178</v>
      </c>
      <c r="U2762" s="7" t="s">
        <v>521</v>
      </c>
      <c r="V2762" s="7"/>
      <c r="W2762" s="7">
        <v>382.72</v>
      </c>
      <c r="X2762" s="132">
        <f t="shared" si="297"/>
        <v>10</v>
      </c>
      <c r="Y2762" s="133"/>
      <c r="Z2762" s="133"/>
      <c r="AA2762" s="133"/>
    </row>
    <row r="2763" spans="1:27" hidden="1" x14ac:dyDescent="0.25">
      <c r="A2763" s="133"/>
      <c r="B2763" s="128" t="str">
        <f t="shared" si="298"/>
        <v>TORT</v>
      </c>
      <c r="C2763" s="128" t="str">
        <f>+VLOOKUP(U2763,Ходим!A:B,2,0)</f>
        <v>31609912130025</v>
      </c>
      <c r="D2763" s="128" t="str">
        <f>IFERROR(VLOOKUP($B:$B,[20]свод!$A:$AB,3,0)," ")</f>
        <v>Тўрақўрғон тумани</v>
      </c>
      <c r="E2763" s="7" t="s">
        <v>3895</v>
      </c>
      <c r="F2763" s="7" t="s">
        <v>10262</v>
      </c>
      <c r="G2763" s="134">
        <f t="shared" si="295"/>
        <v>1</v>
      </c>
      <c r="H2763" s="134" t="str">
        <f t="shared" si="296"/>
        <v/>
      </c>
      <c r="I2763" s="7" t="s">
        <v>158</v>
      </c>
      <c r="J2763" s="7" t="s">
        <v>2</v>
      </c>
      <c r="K2763" s="7"/>
      <c r="L2763" s="7" t="s">
        <v>167</v>
      </c>
      <c r="M2763" s="7" t="s">
        <v>6041</v>
      </c>
      <c r="N2763" s="7" t="s">
        <v>170</v>
      </c>
      <c r="O2763" s="7" t="s">
        <v>163</v>
      </c>
      <c r="P2763" s="7" t="s">
        <v>7447</v>
      </c>
      <c r="Q2763" s="129">
        <v>46199</v>
      </c>
      <c r="R2763" s="130">
        <f t="shared" si="294"/>
        <v>46209</v>
      </c>
      <c r="S2763" s="131">
        <f t="shared" si="299"/>
        <v>10</v>
      </c>
      <c r="T2763" s="7" t="s">
        <v>203</v>
      </c>
      <c r="U2763" s="7" t="s">
        <v>280</v>
      </c>
      <c r="V2763" s="7"/>
      <c r="W2763" s="7">
        <v>353.9</v>
      </c>
      <c r="X2763" s="132">
        <f t="shared" si="297"/>
        <v>10</v>
      </c>
      <c r="Y2763" s="133"/>
      <c r="Z2763" s="133"/>
      <c r="AA2763" s="133"/>
    </row>
    <row r="2764" spans="1:27" hidden="1" x14ac:dyDescent="0.25">
      <c r="A2764" s="133"/>
      <c r="B2764" s="128" t="str">
        <f t="shared" si="298"/>
        <v>NAMS</v>
      </c>
      <c r="C2764" s="128" t="str">
        <f>+VLOOKUP(U2764,Ходим!A:B,2,0)</f>
        <v>33012942170121</v>
      </c>
      <c r="D2764" s="128" t="str">
        <f>IFERROR(VLOOKUP($B:$B,[20]свод!$A:$AB,3,0)," ")</f>
        <v>Наманган шаҳар</v>
      </c>
      <c r="E2764" s="7" t="s">
        <v>3896</v>
      </c>
      <c r="F2764" s="7" t="s">
        <v>10263</v>
      </c>
      <c r="G2764" s="134">
        <f t="shared" si="295"/>
        <v>1</v>
      </c>
      <c r="H2764" s="134" t="str">
        <f t="shared" si="296"/>
        <v/>
      </c>
      <c r="I2764" s="7" t="s">
        <v>154</v>
      </c>
      <c r="J2764" s="7" t="s">
        <v>1</v>
      </c>
      <c r="K2764" s="7"/>
      <c r="L2764" s="7" t="s">
        <v>167</v>
      </c>
      <c r="M2764" s="7" t="s">
        <v>6042</v>
      </c>
      <c r="N2764" s="7" t="s">
        <v>170</v>
      </c>
      <c r="O2764" s="7" t="s">
        <v>162</v>
      </c>
      <c r="P2764" s="7" t="s">
        <v>6376</v>
      </c>
      <c r="Q2764" s="129">
        <v>46199</v>
      </c>
      <c r="R2764" s="130">
        <f t="shared" si="294"/>
        <v>46204</v>
      </c>
      <c r="S2764" s="131">
        <f t="shared" si="299"/>
        <v>5</v>
      </c>
      <c r="T2764" s="7" t="s">
        <v>185</v>
      </c>
      <c r="U2764" s="7" t="s">
        <v>259</v>
      </c>
      <c r="V2764" s="7"/>
      <c r="W2764" s="7">
        <v>28.06</v>
      </c>
      <c r="X2764" s="132">
        <f t="shared" si="297"/>
        <v>10</v>
      </c>
      <c r="Y2764" s="133"/>
      <c r="Z2764" s="133"/>
      <c r="AA2764" s="133"/>
    </row>
    <row r="2765" spans="1:27" hidden="1" x14ac:dyDescent="0.25">
      <c r="A2765" s="133"/>
      <c r="B2765" s="128" t="str">
        <f t="shared" si="298"/>
        <v>TORT</v>
      </c>
      <c r="C2765" s="128" t="str">
        <f>+VLOOKUP(U2765,Ходим!A:B,2,0)</f>
        <v>31704782130035</v>
      </c>
      <c r="D2765" s="128" t="str">
        <f>IFERROR(VLOOKUP($B:$B,[20]свод!$A:$AB,3,0)," ")</f>
        <v>Тўрақўрғон тумани</v>
      </c>
      <c r="E2765" s="7" t="s">
        <v>3897</v>
      </c>
      <c r="F2765" s="7" t="s">
        <v>10264</v>
      </c>
      <c r="G2765" s="134">
        <f t="shared" si="295"/>
        <v>1</v>
      </c>
      <c r="H2765" s="134" t="str">
        <f t="shared" si="296"/>
        <v/>
      </c>
      <c r="I2765" s="7" t="s">
        <v>156</v>
      </c>
      <c r="J2765" s="7" t="s">
        <v>25</v>
      </c>
      <c r="K2765" s="7"/>
      <c r="L2765" s="7" t="s">
        <v>167</v>
      </c>
      <c r="M2765" s="7" t="s">
        <v>6043</v>
      </c>
      <c r="N2765" s="7" t="s">
        <v>410</v>
      </c>
      <c r="O2765" s="7" t="s">
        <v>162</v>
      </c>
      <c r="P2765" s="7" t="s">
        <v>7458</v>
      </c>
      <c r="Q2765" s="129">
        <v>46199</v>
      </c>
      <c r="R2765" s="130">
        <f t="shared" si="294"/>
        <v>46209</v>
      </c>
      <c r="S2765" s="131">
        <f t="shared" si="299"/>
        <v>10</v>
      </c>
      <c r="T2765" s="7" t="s">
        <v>203</v>
      </c>
      <c r="U2765" s="7" t="s">
        <v>344</v>
      </c>
      <c r="V2765" s="7"/>
      <c r="W2765" s="7">
        <v>0</v>
      </c>
      <c r="X2765" s="132">
        <f t="shared" si="297"/>
        <v>10</v>
      </c>
      <c r="Y2765" s="133"/>
      <c r="Z2765" s="133"/>
      <c r="AA2765" s="133"/>
    </row>
    <row r="2766" spans="1:27" hidden="1" x14ac:dyDescent="0.25">
      <c r="A2766" s="133"/>
      <c r="B2766" s="128" t="str">
        <f t="shared" si="298"/>
        <v>NAMS</v>
      </c>
      <c r="C2766" s="128" t="str">
        <f>+VLOOKUP(U2766,Ходим!A:B,2,0)</f>
        <v>52107015960107</v>
      </c>
      <c r="D2766" s="128" t="str">
        <f>IFERROR(VLOOKUP($B:$B,[20]свод!$A:$AB,3,0)," ")</f>
        <v>Наманган шаҳар</v>
      </c>
      <c r="E2766" s="7" t="s">
        <v>3898</v>
      </c>
      <c r="F2766" s="7" t="s">
        <v>10265</v>
      </c>
      <c r="G2766" s="134" t="str">
        <f t="shared" si="295"/>
        <v/>
      </c>
      <c r="H2766" s="134">
        <f t="shared" si="296"/>
        <v>1</v>
      </c>
      <c r="I2766" s="7" t="s">
        <v>154</v>
      </c>
      <c r="J2766" s="7" t="s">
        <v>2</v>
      </c>
      <c r="K2766" s="7"/>
      <c r="L2766" s="7" t="s">
        <v>166</v>
      </c>
      <c r="M2766" s="7" t="s">
        <v>1087</v>
      </c>
      <c r="N2766" s="7" t="s">
        <v>410</v>
      </c>
      <c r="O2766" s="7" t="s">
        <v>161</v>
      </c>
      <c r="P2766" s="7" t="s">
        <v>7459</v>
      </c>
      <c r="Q2766" s="129">
        <v>46199</v>
      </c>
      <c r="R2766" s="130">
        <f t="shared" si="294"/>
        <v>46209</v>
      </c>
      <c r="S2766" s="131">
        <f t="shared" si="299"/>
        <v>10</v>
      </c>
      <c r="T2766" s="7" t="s">
        <v>173</v>
      </c>
      <c r="U2766" s="7" t="s">
        <v>348</v>
      </c>
      <c r="V2766" s="7"/>
      <c r="W2766" s="7">
        <v>0</v>
      </c>
      <c r="X2766" s="132">
        <f t="shared" si="297"/>
        <v>10</v>
      </c>
      <c r="Y2766" s="133"/>
      <c r="Z2766" s="133"/>
      <c r="AA2766" s="133"/>
    </row>
    <row r="2767" spans="1:27" hidden="1" x14ac:dyDescent="0.25">
      <c r="A2767" s="133"/>
      <c r="B2767" s="128" t="str">
        <f t="shared" si="298"/>
        <v>TORT</v>
      </c>
      <c r="C2767" s="128" t="str">
        <f>+VLOOKUP(U2767,Ходим!A:B,2,0)</f>
        <v>30702995920011</v>
      </c>
      <c r="D2767" s="128" t="str">
        <f>IFERROR(VLOOKUP($B:$B,[20]свод!$A:$AB,3,0)," ")</f>
        <v>Тўрақўрғон тумани</v>
      </c>
      <c r="E2767" s="7" t="s">
        <v>3899</v>
      </c>
      <c r="F2767" s="7" t="s">
        <v>10266</v>
      </c>
      <c r="G2767" s="134">
        <f t="shared" si="295"/>
        <v>1</v>
      </c>
      <c r="H2767" s="134" t="str">
        <f t="shared" si="296"/>
        <v/>
      </c>
      <c r="I2767" s="7" t="s">
        <v>158</v>
      </c>
      <c r="J2767" s="7" t="s">
        <v>2</v>
      </c>
      <c r="K2767" s="7"/>
      <c r="L2767" s="7" t="s">
        <v>167</v>
      </c>
      <c r="M2767" s="7" t="s">
        <v>6044</v>
      </c>
      <c r="N2767" s="7" t="s">
        <v>170</v>
      </c>
      <c r="O2767" s="7" t="s">
        <v>162</v>
      </c>
      <c r="P2767" s="7" t="s">
        <v>7431</v>
      </c>
      <c r="Q2767" s="129">
        <v>46199</v>
      </c>
      <c r="R2767" s="130">
        <f t="shared" si="294"/>
        <v>46209</v>
      </c>
      <c r="S2767" s="131">
        <f t="shared" si="299"/>
        <v>10</v>
      </c>
      <c r="T2767" s="7" t="s">
        <v>203</v>
      </c>
      <c r="U2767" s="7" t="s">
        <v>341</v>
      </c>
      <c r="V2767" s="7"/>
      <c r="W2767" s="7">
        <v>496.16</v>
      </c>
      <c r="X2767" s="132">
        <f t="shared" si="297"/>
        <v>10</v>
      </c>
      <c r="Y2767" s="133"/>
      <c r="Z2767" s="133"/>
      <c r="AA2767" s="133"/>
    </row>
    <row r="2768" spans="1:27" hidden="1" x14ac:dyDescent="0.25">
      <c r="A2768" s="133"/>
      <c r="B2768" s="128" t="str">
        <f t="shared" si="298"/>
        <v>POPT</v>
      </c>
      <c r="C2768" s="128" t="str">
        <f>+VLOOKUP(U2768,Ходим!A:B,2,0)</f>
        <v>50608025910024</v>
      </c>
      <c r="D2768" s="128" t="str">
        <f>IFERROR(VLOOKUP($B:$B,[20]свод!$A:$AB,3,0)," ")</f>
        <v>Поп тумани</v>
      </c>
      <c r="E2768" s="7" t="s">
        <v>3900</v>
      </c>
      <c r="F2768" s="7" t="s">
        <v>10267</v>
      </c>
      <c r="G2768" s="134">
        <f t="shared" si="295"/>
        <v>1</v>
      </c>
      <c r="H2768" s="134" t="str">
        <f t="shared" si="296"/>
        <v/>
      </c>
      <c r="I2768" s="7" t="s">
        <v>158</v>
      </c>
      <c r="J2768" s="7" t="s">
        <v>2</v>
      </c>
      <c r="K2768" s="7"/>
      <c r="L2768" s="7" t="s">
        <v>167</v>
      </c>
      <c r="M2768" s="7" t="s">
        <v>6045</v>
      </c>
      <c r="N2768" s="7" t="s">
        <v>170</v>
      </c>
      <c r="O2768" s="7" t="s">
        <v>162</v>
      </c>
      <c r="P2768" s="7" t="s">
        <v>7410</v>
      </c>
      <c r="Q2768" s="129">
        <v>46199</v>
      </c>
      <c r="R2768" s="130">
        <f t="shared" si="294"/>
        <v>46209</v>
      </c>
      <c r="S2768" s="131">
        <f t="shared" si="299"/>
        <v>10</v>
      </c>
      <c r="T2768" s="7" t="s">
        <v>240</v>
      </c>
      <c r="U2768" s="7" t="s">
        <v>283</v>
      </c>
      <c r="V2768" s="7"/>
      <c r="W2768" s="7">
        <v>0</v>
      </c>
      <c r="X2768" s="132">
        <f t="shared" si="297"/>
        <v>10</v>
      </c>
      <c r="Y2768" s="133"/>
      <c r="Z2768" s="133"/>
      <c r="AA2768" s="133"/>
    </row>
    <row r="2769" spans="1:27" x14ac:dyDescent="0.25">
      <c r="A2769" s="133"/>
      <c r="B2769" s="128" t="str">
        <f t="shared" si="298"/>
        <v>CHUT</v>
      </c>
      <c r="C2769" s="128" t="str">
        <f>+VLOOKUP(U2769,Ходим!A:B,2,0)</f>
        <v>52508015970048</v>
      </c>
      <c r="D2769" s="128" t="str">
        <f>IFERROR(VLOOKUP($B:$B,[20]свод!$A:$AB,3,0)," ")</f>
        <v>Чуст тумани</v>
      </c>
      <c r="E2769" s="7" t="s">
        <v>3901</v>
      </c>
      <c r="F2769" s="7" t="s">
        <v>10268</v>
      </c>
      <c r="G2769" s="134">
        <f t="shared" si="295"/>
        <v>1</v>
      </c>
      <c r="H2769" s="134" t="str">
        <f t="shared" si="296"/>
        <v/>
      </c>
      <c r="I2769" s="7" t="s">
        <v>158</v>
      </c>
      <c r="J2769" s="7" t="s">
        <v>55</v>
      </c>
      <c r="K2769" s="7"/>
      <c r="L2769" s="7" t="s">
        <v>167</v>
      </c>
      <c r="M2769" s="7" t="s">
        <v>6046</v>
      </c>
      <c r="N2769" s="7" t="s">
        <v>170</v>
      </c>
      <c r="O2769" s="7" t="s">
        <v>162</v>
      </c>
      <c r="P2769" s="7" t="s">
        <v>7460</v>
      </c>
      <c r="Q2769" s="129">
        <v>46199</v>
      </c>
      <c r="R2769" s="130">
        <f t="shared" si="294"/>
        <v>46190</v>
      </c>
      <c r="S2769" s="131">
        <f t="shared" si="299"/>
        <v>-9</v>
      </c>
      <c r="T2769" s="7" t="s">
        <v>178</v>
      </c>
      <c r="U2769" s="7" t="s">
        <v>350</v>
      </c>
      <c r="V2769" s="7" t="s">
        <v>965</v>
      </c>
      <c r="W2769" s="7">
        <v>412.56</v>
      </c>
      <c r="X2769" s="132">
        <f t="shared" si="297"/>
        <v>5</v>
      </c>
      <c r="Y2769" s="133"/>
      <c r="Z2769" s="133"/>
      <c r="AA2769" s="133"/>
    </row>
    <row r="2770" spans="1:27" hidden="1" x14ac:dyDescent="0.25">
      <c r="A2770" s="133"/>
      <c r="B2770" s="128" t="str">
        <f t="shared" si="298"/>
        <v>TORT</v>
      </c>
      <c r="C2770" s="128" t="str">
        <f>+VLOOKUP(U2770,Ходим!A:B,2,0)</f>
        <v>31701915920077</v>
      </c>
      <c r="D2770" s="128" t="str">
        <f>IFERROR(VLOOKUP($B:$B,[20]свод!$A:$AB,3,0)," ")</f>
        <v>Тўрақўрғон тумани</v>
      </c>
      <c r="E2770" s="7" t="s">
        <v>3902</v>
      </c>
      <c r="F2770" s="7" t="s">
        <v>10269</v>
      </c>
      <c r="G2770" s="134">
        <f t="shared" si="295"/>
        <v>1</v>
      </c>
      <c r="H2770" s="134" t="str">
        <f t="shared" si="296"/>
        <v/>
      </c>
      <c r="I2770" s="7" t="s">
        <v>158</v>
      </c>
      <c r="J2770" s="7" t="s">
        <v>1</v>
      </c>
      <c r="K2770" s="7"/>
      <c r="L2770" s="7" t="s">
        <v>167</v>
      </c>
      <c r="M2770" s="7" t="s">
        <v>6047</v>
      </c>
      <c r="N2770" s="7" t="s">
        <v>170</v>
      </c>
      <c r="O2770" s="7" t="s">
        <v>163</v>
      </c>
      <c r="P2770" s="7" t="s">
        <v>6349</v>
      </c>
      <c r="Q2770" s="129">
        <v>46199</v>
      </c>
      <c r="R2770" s="130">
        <f t="shared" si="294"/>
        <v>46204</v>
      </c>
      <c r="S2770" s="131">
        <f t="shared" si="299"/>
        <v>5</v>
      </c>
      <c r="T2770" s="7" t="s">
        <v>203</v>
      </c>
      <c r="U2770" s="7" t="s">
        <v>332</v>
      </c>
      <c r="V2770" s="7"/>
      <c r="W2770" s="7">
        <v>258.66000000000003</v>
      </c>
      <c r="X2770" s="132">
        <f t="shared" si="297"/>
        <v>10</v>
      </c>
      <c r="Y2770" s="133"/>
      <c r="Z2770" s="133"/>
      <c r="AA2770" s="133"/>
    </row>
    <row r="2771" spans="1:27" hidden="1" x14ac:dyDescent="0.25">
      <c r="A2771" s="133"/>
      <c r="B2771" s="128" t="str">
        <f t="shared" si="298"/>
        <v>TORT</v>
      </c>
      <c r="C2771" s="128" t="str">
        <f>+VLOOKUP(U2771,Ходим!A:B,2,0)</f>
        <v>31110892130070</v>
      </c>
      <c r="D2771" s="128" t="str">
        <f>IFERROR(VLOOKUP($B:$B,[20]свод!$A:$AB,3,0)," ")</f>
        <v>Тўрақўрғон тумани</v>
      </c>
      <c r="E2771" s="7" t="s">
        <v>3903</v>
      </c>
      <c r="F2771" s="7" t="s">
        <v>10270</v>
      </c>
      <c r="G2771" s="134">
        <f t="shared" si="295"/>
        <v>1</v>
      </c>
      <c r="H2771" s="134" t="str">
        <f t="shared" si="296"/>
        <v/>
      </c>
      <c r="I2771" s="7" t="s">
        <v>158</v>
      </c>
      <c r="J2771" s="7" t="s">
        <v>36</v>
      </c>
      <c r="K2771" s="7"/>
      <c r="L2771" s="7" t="s">
        <v>167</v>
      </c>
      <c r="M2771" s="7" t="s">
        <v>6048</v>
      </c>
      <c r="N2771" s="7" t="s">
        <v>170</v>
      </c>
      <c r="O2771" s="7" t="s">
        <v>162</v>
      </c>
      <c r="P2771" s="7" t="s">
        <v>6873</v>
      </c>
      <c r="Q2771" s="129">
        <v>46199</v>
      </c>
      <c r="R2771" s="130">
        <f t="shared" si="294"/>
        <v>46205</v>
      </c>
      <c r="S2771" s="131">
        <f t="shared" si="299"/>
        <v>6</v>
      </c>
      <c r="T2771" s="7" t="s">
        <v>203</v>
      </c>
      <c r="U2771" s="7" t="s">
        <v>297</v>
      </c>
      <c r="V2771" s="7"/>
      <c r="W2771" s="7">
        <v>524.19000000000005</v>
      </c>
      <c r="X2771" s="132">
        <f t="shared" si="297"/>
        <v>10</v>
      </c>
      <c r="Y2771" s="133"/>
      <c r="Z2771" s="133"/>
      <c r="AA2771" s="133"/>
    </row>
    <row r="2772" spans="1:27" hidden="1" x14ac:dyDescent="0.25">
      <c r="A2772" s="133"/>
      <c r="B2772" s="128" t="str">
        <f t="shared" si="298"/>
        <v>YGQT</v>
      </c>
      <c r="C2772" s="128" t="str">
        <f>+VLOOKUP(U2772,Ходим!A:B,2,0)</f>
        <v>30903902160122</v>
      </c>
      <c r="D2772" s="128" t="str">
        <f>IFERROR(VLOOKUP($B:$B,[20]свод!$A:$AB,3,0)," ")</f>
        <v>Янгиқўрғон тумани</v>
      </c>
      <c r="E2772" s="7" t="s">
        <v>3904</v>
      </c>
      <c r="F2772" s="7" t="s">
        <v>10271</v>
      </c>
      <c r="G2772" s="134">
        <f t="shared" si="295"/>
        <v>1</v>
      </c>
      <c r="H2772" s="134" t="str">
        <f t="shared" si="296"/>
        <v/>
      </c>
      <c r="I2772" s="7" t="s">
        <v>158</v>
      </c>
      <c r="J2772" s="7" t="s">
        <v>2</v>
      </c>
      <c r="K2772" s="7"/>
      <c r="L2772" s="7" t="s">
        <v>167</v>
      </c>
      <c r="M2772" s="7" t="s">
        <v>6049</v>
      </c>
      <c r="N2772" s="7" t="s">
        <v>170</v>
      </c>
      <c r="O2772" s="7" t="s">
        <v>162</v>
      </c>
      <c r="P2772" s="7" t="s">
        <v>7250</v>
      </c>
      <c r="Q2772" s="129">
        <v>46199</v>
      </c>
      <c r="R2772" s="130">
        <f t="shared" si="294"/>
        <v>46203</v>
      </c>
      <c r="S2772" s="131">
        <f t="shared" si="299"/>
        <v>4</v>
      </c>
      <c r="T2772" s="7" t="s">
        <v>182</v>
      </c>
      <c r="U2772" s="7" t="s">
        <v>230</v>
      </c>
      <c r="V2772" s="7"/>
      <c r="W2772" s="7">
        <v>21.89</v>
      </c>
      <c r="X2772" s="132">
        <f t="shared" si="297"/>
        <v>10</v>
      </c>
      <c r="Y2772" s="133"/>
      <c r="Z2772" s="133"/>
      <c r="AA2772" s="133"/>
    </row>
    <row r="2773" spans="1:27" hidden="1" x14ac:dyDescent="0.25">
      <c r="A2773" s="133"/>
      <c r="B2773" s="128" t="str">
        <f t="shared" si="298"/>
        <v>NAMS</v>
      </c>
      <c r="C2773" s="128" t="str">
        <f>+VLOOKUP(U2773,Ходим!A:B,2,0)</f>
        <v>31608732170178</v>
      </c>
      <c r="D2773" s="128" t="str">
        <f>IFERROR(VLOOKUP($B:$B,[20]свод!$A:$AB,3,0)," ")</f>
        <v>Наманган шаҳар</v>
      </c>
      <c r="E2773" s="7" t="s">
        <v>3905</v>
      </c>
      <c r="F2773" s="7" t="s">
        <v>10272</v>
      </c>
      <c r="G2773" s="134">
        <f t="shared" si="295"/>
        <v>1</v>
      </c>
      <c r="H2773" s="134" t="str">
        <f t="shared" si="296"/>
        <v/>
      </c>
      <c r="I2773" s="7" t="s">
        <v>156</v>
      </c>
      <c r="J2773" s="7" t="s">
        <v>25</v>
      </c>
      <c r="K2773" s="7"/>
      <c r="L2773" s="7"/>
      <c r="M2773" s="7"/>
      <c r="N2773" s="7" t="s">
        <v>170</v>
      </c>
      <c r="O2773" s="7" t="s">
        <v>162</v>
      </c>
      <c r="P2773" s="7" t="s">
        <v>7352</v>
      </c>
      <c r="Q2773" s="129">
        <v>46199</v>
      </c>
      <c r="R2773" s="130">
        <f t="shared" si="294"/>
        <v>46209</v>
      </c>
      <c r="S2773" s="131">
        <f t="shared" si="299"/>
        <v>10</v>
      </c>
      <c r="T2773" s="7" t="s">
        <v>173</v>
      </c>
      <c r="U2773" s="7" t="s">
        <v>267</v>
      </c>
      <c r="V2773" s="7"/>
      <c r="W2773" s="7"/>
      <c r="X2773" s="132">
        <f t="shared" si="297"/>
        <v>10</v>
      </c>
      <c r="Y2773" s="133"/>
      <c r="Z2773" s="133"/>
      <c r="AA2773" s="133"/>
    </row>
    <row r="2774" spans="1:27" hidden="1" x14ac:dyDescent="0.25">
      <c r="A2774" s="133"/>
      <c r="B2774" s="128" t="str">
        <f t="shared" si="298"/>
        <v>NAMS</v>
      </c>
      <c r="C2774" s="128" t="str">
        <f>+VLOOKUP(U2774,Ходим!A:B,2,0)</f>
        <v>32602902170105</v>
      </c>
      <c r="D2774" s="128" t="str">
        <f>IFERROR(VLOOKUP($B:$B,[20]свод!$A:$AB,3,0)," ")</f>
        <v>Наманган шаҳар</v>
      </c>
      <c r="E2774" s="7" t="s">
        <v>3906</v>
      </c>
      <c r="F2774" s="7" t="s">
        <v>10273</v>
      </c>
      <c r="G2774" s="134">
        <f t="shared" si="295"/>
        <v>1</v>
      </c>
      <c r="H2774" s="134" t="str">
        <f t="shared" si="296"/>
        <v/>
      </c>
      <c r="I2774" s="7" t="s">
        <v>158</v>
      </c>
      <c r="J2774" s="7" t="s">
        <v>1</v>
      </c>
      <c r="K2774" s="7"/>
      <c r="L2774" s="7" t="s">
        <v>167</v>
      </c>
      <c r="M2774" s="7" t="s">
        <v>6050</v>
      </c>
      <c r="N2774" s="7" t="s">
        <v>170</v>
      </c>
      <c r="O2774" s="7" t="s">
        <v>162</v>
      </c>
      <c r="P2774" s="7" t="s">
        <v>6442</v>
      </c>
      <c r="Q2774" s="129">
        <v>46199</v>
      </c>
      <c r="R2774" s="130">
        <f t="shared" si="294"/>
        <v>46205</v>
      </c>
      <c r="S2774" s="131">
        <f t="shared" si="299"/>
        <v>6</v>
      </c>
      <c r="T2774" s="7" t="s">
        <v>185</v>
      </c>
      <c r="U2774" s="7" t="s">
        <v>247</v>
      </c>
      <c r="V2774" s="7"/>
      <c r="W2774" s="7">
        <v>139.97999999999999</v>
      </c>
      <c r="X2774" s="132">
        <f t="shared" si="297"/>
        <v>10</v>
      </c>
      <c r="Y2774" s="133"/>
      <c r="Z2774" s="133"/>
      <c r="AA2774" s="133"/>
    </row>
    <row r="2775" spans="1:27" hidden="1" x14ac:dyDescent="0.25">
      <c r="A2775" s="133"/>
      <c r="B2775" s="128" t="str">
        <f t="shared" si="298"/>
        <v>NAMT</v>
      </c>
      <c r="C2775" s="128" t="str">
        <f>+VLOOKUP(U2775,Ходим!A:B,2,0)</f>
        <v>32204892090133</v>
      </c>
      <c r="D2775" s="128" t="str">
        <f>IFERROR(VLOOKUP($B:$B,[20]свод!$A:$AB,3,0)," ")</f>
        <v>Наманган тумани</v>
      </c>
      <c r="E2775" s="7" t="s">
        <v>3907</v>
      </c>
      <c r="F2775" s="7" t="s">
        <v>10274</v>
      </c>
      <c r="G2775" s="134">
        <f t="shared" si="295"/>
        <v>1</v>
      </c>
      <c r="H2775" s="134" t="str">
        <f t="shared" si="296"/>
        <v/>
      </c>
      <c r="I2775" s="7" t="s">
        <v>156</v>
      </c>
      <c r="J2775" s="7" t="s">
        <v>25</v>
      </c>
      <c r="K2775" s="7"/>
      <c r="L2775" s="7"/>
      <c r="M2775" s="7"/>
      <c r="N2775" s="7" t="s">
        <v>170</v>
      </c>
      <c r="O2775" s="7" t="s">
        <v>162</v>
      </c>
      <c r="P2775" s="7" t="s">
        <v>7286</v>
      </c>
      <c r="Q2775" s="129">
        <v>46199</v>
      </c>
      <c r="R2775" s="130">
        <f t="shared" si="294"/>
        <v>46210</v>
      </c>
      <c r="S2775" s="131">
        <f t="shared" si="299"/>
        <v>11</v>
      </c>
      <c r="T2775" s="7" t="s">
        <v>193</v>
      </c>
      <c r="U2775" s="7" t="s">
        <v>198</v>
      </c>
      <c r="V2775" s="7"/>
      <c r="W2775" s="7"/>
      <c r="X2775" s="132">
        <f t="shared" si="297"/>
        <v>10</v>
      </c>
      <c r="Y2775" s="133"/>
      <c r="Z2775" s="133"/>
      <c r="AA2775" s="133"/>
    </row>
    <row r="2776" spans="1:27" hidden="1" x14ac:dyDescent="0.25">
      <c r="A2776" s="133"/>
      <c r="B2776" s="128" t="str">
        <f t="shared" si="298"/>
        <v>NAMS</v>
      </c>
      <c r="C2776" s="128" t="str">
        <f>+VLOOKUP(U2776,Ходим!A:B,2,0)</f>
        <v>31408622170123</v>
      </c>
      <c r="D2776" s="128" t="str">
        <f>IFERROR(VLOOKUP($B:$B,[20]свод!$A:$AB,3,0)," ")</f>
        <v>Наманган шаҳар</v>
      </c>
      <c r="E2776" s="7" t="s">
        <v>3908</v>
      </c>
      <c r="F2776" s="7" t="s">
        <v>10275</v>
      </c>
      <c r="G2776" s="134">
        <f t="shared" si="295"/>
        <v>1</v>
      </c>
      <c r="H2776" s="134" t="str">
        <f t="shared" si="296"/>
        <v/>
      </c>
      <c r="I2776" s="7" t="s">
        <v>156</v>
      </c>
      <c r="J2776" s="7" t="s">
        <v>22</v>
      </c>
      <c r="K2776" s="7"/>
      <c r="L2776" s="7" t="s">
        <v>167</v>
      </c>
      <c r="M2776" s="7" t="s">
        <v>6051</v>
      </c>
      <c r="N2776" s="7" t="s">
        <v>170</v>
      </c>
      <c r="O2776" s="7" t="s">
        <v>162</v>
      </c>
      <c r="P2776" s="7" t="s">
        <v>7461</v>
      </c>
      <c r="Q2776" s="129">
        <v>46199</v>
      </c>
      <c r="R2776" s="130">
        <f t="shared" si="294"/>
        <v>46209</v>
      </c>
      <c r="S2776" s="131">
        <f t="shared" si="299"/>
        <v>10</v>
      </c>
      <c r="T2776" s="7" t="s">
        <v>173</v>
      </c>
      <c r="U2776" s="7" t="s">
        <v>402</v>
      </c>
      <c r="V2776" s="7"/>
      <c r="W2776" s="7">
        <v>806.29</v>
      </c>
      <c r="X2776" s="132">
        <f t="shared" si="297"/>
        <v>10</v>
      </c>
      <c r="Y2776" s="133"/>
      <c r="Z2776" s="133"/>
      <c r="AA2776" s="133"/>
    </row>
    <row r="2777" spans="1:27" hidden="1" x14ac:dyDescent="0.25">
      <c r="A2777" s="133"/>
      <c r="B2777" s="128" t="str">
        <f t="shared" si="298"/>
        <v>YGQT</v>
      </c>
      <c r="C2777" s="128" t="str">
        <f>+VLOOKUP(U2777,Ходим!A:B,2,0)</f>
        <v>52802005950028</v>
      </c>
      <c r="D2777" s="128" t="str">
        <f>IFERROR(VLOOKUP($B:$B,[20]свод!$A:$AB,3,0)," ")</f>
        <v>Янгиқўрғон тумани</v>
      </c>
      <c r="E2777" s="7" t="s">
        <v>3909</v>
      </c>
      <c r="F2777" s="7" t="s">
        <v>10276</v>
      </c>
      <c r="G2777" s="134">
        <f t="shared" si="295"/>
        <v>1</v>
      </c>
      <c r="H2777" s="134" t="str">
        <f t="shared" si="296"/>
        <v/>
      </c>
      <c r="I2777" s="7" t="s">
        <v>158</v>
      </c>
      <c r="J2777" s="7" t="s">
        <v>2</v>
      </c>
      <c r="K2777" s="7"/>
      <c r="L2777" s="7" t="s">
        <v>169</v>
      </c>
      <c r="M2777" s="7" t="s">
        <v>382</v>
      </c>
      <c r="N2777" s="7" t="s">
        <v>410</v>
      </c>
      <c r="O2777" s="7" t="s">
        <v>162</v>
      </c>
      <c r="P2777" s="7" t="s">
        <v>7461</v>
      </c>
      <c r="Q2777" s="129">
        <v>46199</v>
      </c>
      <c r="R2777" s="130">
        <f t="shared" si="294"/>
        <v>46204</v>
      </c>
      <c r="S2777" s="131">
        <f t="shared" si="299"/>
        <v>5</v>
      </c>
      <c r="T2777" s="7" t="s">
        <v>182</v>
      </c>
      <c r="U2777" s="7" t="s">
        <v>281</v>
      </c>
      <c r="V2777" s="7"/>
      <c r="W2777" s="7">
        <v>0</v>
      </c>
      <c r="X2777" s="132">
        <f t="shared" si="297"/>
        <v>7</v>
      </c>
      <c r="Y2777" s="133"/>
      <c r="Z2777" s="133"/>
      <c r="AA2777" s="133"/>
    </row>
    <row r="2778" spans="1:27" x14ac:dyDescent="0.25">
      <c r="A2778" s="133"/>
      <c r="B2778" s="128" t="str">
        <f t="shared" si="298"/>
        <v>NORT</v>
      </c>
      <c r="C2778" s="128" t="str">
        <f>+VLOOKUP(U2778,Ходим!A:B,2,0)</f>
        <v>32103985900068</v>
      </c>
      <c r="D2778" s="128" t="str">
        <f>IFERROR(VLOOKUP($B:$B,[20]свод!$A:$AB,3,0)," ")</f>
        <v>Норин тумани</v>
      </c>
      <c r="E2778" s="7" t="s">
        <v>3910</v>
      </c>
      <c r="F2778" s="7" t="s">
        <v>10277</v>
      </c>
      <c r="G2778" s="134">
        <f t="shared" si="295"/>
        <v>1</v>
      </c>
      <c r="H2778" s="134" t="str">
        <f t="shared" si="296"/>
        <v/>
      </c>
      <c r="I2778" s="7" t="s">
        <v>158</v>
      </c>
      <c r="J2778" s="7" t="s">
        <v>55</v>
      </c>
      <c r="K2778" s="7"/>
      <c r="L2778" s="7" t="s">
        <v>167</v>
      </c>
      <c r="M2778" s="7" t="s">
        <v>6052</v>
      </c>
      <c r="N2778" s="7" t="s">
        <v>410</v>
      </c>
      <c r="O2778" s="7" t="s">
        <v>162</v>
      </c>
      <c r="P2778" s="7" t="s">
        <v>7462</v>
      </c>
      <c r="Q2778" s="129">
        <v>46199</v>
      </c>
      <c r="R2778" s="130">
        <f t="shared" si="294"/>
        <v>46195</v>
      </c>
      <c r="S2778" s="131">
        <f t="shared" si="299"/>
        <v>-4</v>
      </c>
      <c r="T2778" s="7" t="s">
        <v>210</v>
      </c>
      <c r="U2778" s="7" t="s">
        <v>327</v>
      </c>
      <c r="V2778" s="7" t="s">
        <v>359</v>
      </c>
      <c r="W2778" s="7">
        <v>379.79</v>
      </c>
      <c r="X2778" s="132">
        <f t="shared" si="297"/>
        <v>10</v>
      </c>
      <c r="Y2778" s="133"/>
      <c r="Z2778" s="133"/>
      <c r="AA2778" s="133"/>
    </row>
    <row r="2779" spans="1:27" hidden="1" x14ac:dyDescent="0.25">
      <c r="A2779" s="133"/>
      <c r="B2779" s="128" t="str">
        <f t="shared" ref="B2779:B2842" si="300">LEFT(E2779,4)</f>
        <v>TORT</v>
      </c>
      <c r="C2779" s="128" t="str">
        <f>+VLOOKUP(U2779,Ходим!A:B,2,0)</f>
        <v>31704782130035</v>
      </c>
      <c r="D2779" s="128" t="str">
        <f>IFERROR(VLOOKUP($B:$B,[20]свод!$A:$AB,3,0)," ")</f>
        <v>Тўрақўрғон тумани</v>
      </c>
      <c r="E2779" s="7" t="s">
        <v>3911</v>
      </c>
      <c r="F2779" s="7" t="s">
        <v>10278</v>
      </c>
      <c r="G2779" s="134">
        <f t="shared" ref="G2779:G2842" si="301">IF(OR(
I2779="Turar joy obyektning kadastr pasportini shakllantirish va davlat ro'yxatidan o'tkazish",
I2779="Turar kompozit"
),
1,
IF(OR(
I2779="Noturar kompozit",
I2779="Avtoyo'l va suv xo'jaligi obyektining kadastr pasportini shakllantirish va ro'yxatga olish",
I2779="Noturar obyektning kadastr pasportining kadastr pasportini shakllantirish va davlat ro'yxatidan o'tkazish"
),
"",
IF(OR(
I2779="Notarius uchun ma'lumotnoma (uz)",
I2779="Qurilishi tugallangan ko'chmas mulkni foydalanishga qabul qilish",
I2779="Umumiy foydalanishdagi ko'chmas mulk qismini yaratish",
I2779="Registratsiya (tashqi - UZKAD da bor)"
),
IF(OR(L2779="Turar yer maydoni",L2779="Yakka tartibdagi turar joy"),1,
IF(L2779="Noturar bino","",
IF(L2779="Noturar yer maydoni","",
IF(L2779="",IF(OR(O2779="Turar joy xizmati",O2779="Foydalanishga ruxsatnoma berish xizmati"),1,""),"")
))),
"")))</f>
        <v>1</v>
      </c>
      <c r="H2779" s="134" t="str">
        <f t="shared" ref="H2779:H2842" si="302">IF(OR(
I2779="Turar joy obyektning kadastr pasportini shakllantirish va davlat ro'yxatidan o'tkazish",
I2779="Turar kompozit"
),
"",
IF(OR(
I2779="Noturar kompozit",
I2779="Avtoyo'l va suv xo'jaligi obyektining kadastr pasportini shakllantirish va ro'yxatga olish",
I2779="Noturar obyektning kadastr pasportini shakllantirish va davlat ro'yxatidan o'tkazish"
),
1,
IF(OR(
I2779="Notarius uchun ma'lumotnoma (uz)",
I2779="Qurilishi tugallangan ko'chmas mulkni foydalanishga qabul qilish",
I2779="Umumiy foydalanishdagi ko'chmas mulk qismini yaratish",
I2779="Registratsiya (tashqi - UZKAD da bor)"
),
IF(OR(L2779="Turar yer maydoni",L2779="Yakka tartibdagi turar joy"),"",
IF(L2779="Noturar bino",1,
IF(L2779="Noturar yer maydoni",1,
IF(L2779="",IF(OR(O2779="Turar joy xizmati",O2779="Foydalanishga ruxsatnoma berish xizmati"),"",1),"")
))),
"")))</f>
        <v/>
      </c>
      <c r="I2779" s="7" t="s">
        <v>158</v>
      </c>
      <c r="J2779" s="7" t="s">
        <v>1</v>
      </c>
      <c r="K2779" s="7"/>
      <c r="L2779" s="7" t="s">
        <v>167</v>
      </c>
      <c r="M2779" s="7" t="s">
        <v>6053</v>
      </c>
      <c r="N2779" s="7" t="s">
        <v>170</v>
      </c>
      <c r="O2779" s="7" t="s">
        <v>162</v>
      </c>
      <c r="P2779" s="7" t="s">
        <v>7198</v>
      </c>
      <c r="Q2779" s="129">
        <v>46199</v>
      </c>
      <c r="R2779" s="130">
        <f t="shared" ref="R2779:R2842" si="303">WORKDAY(P2779,X2779,$Y$1:$AA$1)</f>
        <v>46203</v>
      </c>
      <c r="S2779" s="131">
        <f t="shared" ref="S2779:S2842" si="304">R2779-Q2779</f>
        <v>4</v>
      </c>
      <c r="T2779" s="7" t="s">
        <v>203</v>
      </c>
      <c r="U2779" s="7" t="s">
        <v>344</v>
      </c>
      <c r="V2779" s="7"/>
      <c r="W2779" s="7">
        <v>118.28</v>
      </c>
      <c r="X2779" s="132">
        <f t="shared" ref="X2779:X2842" si="305">IF(N2779="Kadastr muhandisi",3,
IF(N2779="UZKAD",5,
IF(V2779="FREE",5,
IF(I2779="Registratsiya (tashqi - UZKAD da bor)",1,
IF(I2779="Avtoyo'l va suv xo'jaligi obyektining kadastr pasportini shakllantirish va ro'yxatga olish",7,
IF(I2779="Notarius uchun ma'lumotnoma (uz)",1,
IF(I2779="Qurilishi tugallangan ko'chmas mulkni foydalanishga qabul qilish",10,
IF(OR(I2779="Turar joy obyektning kadastr pasportini shakllantirish va davlat ro'yxatidan o'tkazish",I2779="Turar kompozit"),
IF(L2779="Turar yer maydoni",7,10),
IF(OR(I2779="Noturar obyektning kadastr pasportini shakllantirish va davlat ro'yxatidan o'tkazish",I2779="Noturar kompozit"),
IF(O2779="Ko‘p yillik daraxtlar xizmati",15,
IF(OR(L2779="Noturar yer maydoni",L2779="Davlat tashkilotlaridan ijaraga olingan yer uchastkasi"),7,
IF(W2779&lt;100,10,IF(W2779&lt;=1000,12,IF(W2779&lt;=5000,17,IF(W2779&lt;=15000,22,IF(W2779&lt;=50000,28,37))))))),
IF(I2779="Umumiy foydalanishdagi ko'chmas mulk qismini yaratish",
IF(IF(TRIM(L2779)="",IF(OR(O2779="Turar joy xizmati",O2779="Yakka tartibdagi turar joy"),"Turar","Noturar"),IF(OR(L2779="Yakka tartibdagi turar joy",L2779="Turar joy xizmati"),"Turar","Noturar"))="Turar",
10,IF(W2779&lt;100,10,IF(W2779&lt;=1000,12,IF(W2779&lt;=5000,17,IF(W2779&lt;=15000,22,IF(W2779&lt;=50000,28,37)))))),
0))))))))))</f>
        <v>10</v>
      </c>
      <c r="Y2779" s="133"/>
      <c r="Z2779" s="133"/>
      <c r="AA2779" s="133"/>
    </row>
    <row r="2780" spans="1:27" hidden="1" x14ac:dyDescent="0.25">
      <c r="A2780" s="133"/>
      <c r="B2780" s="128" t="str">
        <f t="shared" si="300"/>
        <v>TORT</v>
      </c>
      <c r="C2780" s="128" t="str">
        <f>+VLOOKUP(U2780,Ходим!A:B,2,0)</f>
        <v>31110892130070</v>
      </c>
      <c r="D2780" s="128" t="str">
        <f>IFERROR(VLOOKUP($B:$B,[20]свод!$A:$AB,3,0)," ")</f>
        <v>Тўрақўрғон тумани</v>
      </c>
      <c r="E2780" s="7" t="s">
        <v>3912</v>
      </c>
      <c r="F2780" s="7" t="s">
        <v>10279</v>
      </c>
      <c r="G2780" s="134">
        <f t="shared" si="301"/>
        <v>1</v>
      </c>
      <c r="H2780" s="134" t="str">
        <f t="shared" si="302"/>
        <v/>
      </c>
      <c r="I2780" s="7" t="s">
        <v>158</v>
      </c>
      <c r="J2780" s="7" t="s">
        <v>172</v>
      </c>
      <c r="K2780" s="7"/>
      <c r="L2780" s="7" t="s">
        <v>167</v>
      </c>
      <c r="M2780" s="7" t="s">
        <v>6054</v>
      </c>
      <c r="N2780" s="7" t="s">
        <v>170</v>
      </c>
      <c r="O2780" s="7" t="s">
        <v>162</v>
      </c>
      <c r="P2780" s="7" t="s">
        <v>6309</v>
      </c>
      <c r="Q2780" s="129">
        <v>46199</v>
      </c>
      <c r="R2780" s="130">
        <f t="shared" si="303"/>
        <v>46204</v>
      </c>
      <c r="S2780" s="131">
        <f t="shared" si="304"/>
        <v>5</v>
      </c>
      <c r="T2780" s="7" t="s">
        <v>203</v>
      </c>
      <c r="U2780" s="7" t="s">
        <v>297</v>
      </c>
      <c r="V2780" s="7"/>
      <c r="W2780" s="7">
        <v>682.52</v>
      </c>
      <c r="X2780" s="132">
        <f t="shared" si="305"/>
        <v>10</v>
      </c>
      <c r="Y2780" s="133"/>
      <c r="Z2780" s="133"/>
      <c r="AA2780" s="133"/>
    </row>
    <row r="2781" spans="1:27" hidden="1" x14ac:dyDescent="0.25">
      <c r="A2781" s="133"/>
      <c r="B2781" s="128" t="str">
        <f t="shared" si="300"/>
        <v>CHUT</v>
      </c>
      <c r="C2781" s="128" t="str">
        <f>+VLOOKUP(U2781,Ходим!A:B,2,0)</f>
        <v>31608922180118</v>
      </c>
      <c r="D2781" s="128" t="str">
        <f>IFERROR(VLOOKUP($B:$B,[20]свод!$A:$AB,3,0)," ")</f>
        <v>Чуст тумани</v>
      </c>
      <c r="E2781" s="7" t="s">
        <v>3913</v>
      </c>
      <c r="F2781" s="7" t="s">
        <v>10280</v>
      </c>
      <c r="G2781" s="134">
        <f t="shared" si="301"/>
        <v>1</v>
      </c>
      <c r="H2781" s="134" t="str">
        <f t="shared" si="302"/>
        <v/>
      </c>
      <c r="I2781" s="7" t="s">
        <v>158</v>
      </c>
      <c r="J2781" s="7" t="s">
        <v>12</v>
      </c>
      <c r="K2781" s="7"/>
      <c r="L2781" s="7" t="s">
        <v>167</v>
      </c>
      <c r="M2781" s="7" t="s">
        <v>6055</v>
      </c>
      <c r="N2781" s="7" t="s">
        <v>170</v>
      </c>
      <c r="O2781" s="7" t="s">
        <v>162</v>
      </c>
      <c r="P2781" s="7" t="s">
        <v>6998</v>
      </c>
      <c r="Q2781" s="129">
        <v>46199</v>
      </c>
      <c r="R2781" s="130">
        <f t="shared" si="303"/>
        <v>46202</v>
      </c>
      <c r="S2781" s="131">
        <f t="shared" si="304"/>
        <v>3</v>
      </c>
      <c r="T2781" s="7" t="s">
        <v>178</v>
      </c>
      <c r="U2781" s="7" t="s">
        <v>284</v>
      </c>
      <c r="V2781" s="7"/>
      <c r="W2781" s="7">
        <v>231.73</v>
      </c>
      <c r="X2781" s="132">
        <f t="shared" si="305"/>
        <v>10</v>
      </c>
      <c r="Y2781" s="133"/>
      <c r="Z2781" s="133"/>
      <c r="AA2781" s="133"/>
    </row>
    <row r="2782" spans="1:27" hidden="1" x14ac:dyDescent="0.25">
      <c r="A2782" s="133"/>
      <c r="B2782" s="128" t="str">
        <f t="shared" si="300"/>
        <v>KSST</v>
      </c>
      <c r="C2782" s="128" t="str">
        <f>+VLOOKUP(U2782,Ходим!A:B,2,0)</f>
        <v>32910975980025</v>
      </c>
      <c r="D2782" s="128" t="str">
        <f>IFERROR(VLOOKUP($B:$B,[20]свод!$A:$AB,3,0)," ")</f>
        <v>Косонсой тумани</v>
      </c>
      <c r="E2782" s="7" t="s">
        <v>3914</v>
      </c>
      <c r="F2782" s="7" t="s">
        <v>10281</v>
      </c>
      <c r="G2782" s="134">
        <f t="shared" si="301"/>
        <v>1</v>
      </c>
      <c r="H2782" s="134" t="str">
        <f t="shared" si="302"/>
        <v/>
      </c>
      <c r="I2782" s="7" t="s">
        <v>158</v>
      </c>
      <c r="J2782" s="7" t="s">
        <v>2</v>
      </c>
      <c r="K2782" s="7"/>
      <c r="L2782" s="7"/>
      <c r="M2782" s="7"/>
      <c r="N2782" s="7" t="s">
        <v>170</v>
      </c>
      <c r="O2782" s="7" t="s">
        <v>162</v>
      </c>
      <c r="P2782" s="7" t="s">
        <v>7463</v>
      </c>
      <c r="Q2782" s="129">
        <v>46199</v>
      </c>
      <c r="R2782" s="130">
        <f t="shared" si="303"/>
        <v>46210</v>
      </c>
      <c r="S2782" s="131">
        <f t="shared" si="304"/>
        <v>11</v>
      </c>
      <c r="T2782" s="7" t="s">
        <v>180</v>
      </c>
      <c r="U2782" s="7" t="s">
        <v>187</v>
      </c>
      <c r="V2782" s="7"/>
      <c r="W2782" s="7"/>
      <c r="X2782" s="132">
        <f t="shared" si="305"/>
        <v>10</v>
      </c>
      <c r="Y2782" s="133"/>
      <c r="Z2782" s="133"/>
      <c r="AA2782" s="133"/>
    </row>
    <row r="2783" spans="1:27" hidden="1" x14ac:dyDescent="0.25">
      <c r="A2783" s="133"/>
      <c r="B2783" s="128" t="str">
        <f t="shared" si="300"/>
        <v>TORT</v>
      </c>
      <c r="C2783" s="128" t="str">
        <f>+VLOOKUP(U2783,Ходим!A:B,2,0)</f>
        <v>40302922130046</v>
      </c>
      <c r="D2783" s="128" t="str">
        <f>IFERROR(VLOOKUP($B:$B,[20]свод!$A:$AB,3,0)," ")</f>
        <v>Тўрақўрғон тумани</v>
      </c>
      <c r="E2783" s="7" t="s">
        <v>3915</v>
      </c>
      <c r="F2783" s="7" t="s">
        <v>10282</v>
      </c>
      <c r="G2783" s="134">
        <f t="shared" si="301"/>
        <v>1</v>
      </c>
      <c r="H2783" s="134" t="str">
        <f t="shared" si="302"/>
        <v/>
      </c>
      <c r="I2783" s="7" t="s">
        <v>158</v>
      </c>
      <c r="J2783" s="7" t="s">
        <v>1</v>
      </c>
      <c r="K2783" s="7"/>
      <c r="L2783" s="7" t="s">
        <v>167</v>
      </c>
      <c r="M2783" s="7" t="s">
        <v>6056</v>
      </c>
      <c r="N2783" s="7" t="s">
        <v>170</v>
      </c>
      <c r="O2783" s="7" t="s">
        <v>162</v>
      </c>
      <c r="P2783" s="7" t="s">
        <v>6556</v>
      </c>
      <c r="Q2783" s="129">
        <v>46199</v>
      </c>
      <c r="R2783" s="130">
        <f t="shared" si="303"/>
        <v>46205</v>
      </c>
      <c r="S2783" s="131">
        <f t="shared" si="304"/>
        <v>6</v>
      </c>
      <c r="T2783" s="7" t="s">
        <v>203</v>
      </c>
      <c r="U2783" s="7" t="s">
        <v>258</v>
      </c>
      <c r="V2783" s="7"/>
      <c r="W2783" s="7">
        <v>59.86</v>
      </c>
      <c r="X2783" s="132">
        <f t="shared" si="305"/>
        <v>10</v>
      </c>
      <c r="Y2783" s="133"/>
      <c r="Z2783" s="133"/>
      <c r="AA2783" s="133"/>
    </row>
    <row r="2784" spans="1:27" hidden="1" x14ac:dyDescent="0.25">
      <c r="A2784" s="133"/>
      <c r="B2784" s="128" t="str">
        <f t="shared" si="300"/>
        <v>NAMS</v>
      </c>
      <c r="C2784" s="128" t="str">
        <f>+VLOOKUP(U2784,Ходим!A:B,2,0)</f>
        <v>30910985930021</v>
      </c>
      <c r="D2784" s="128" t="str">
        <f>IFERROR(VLOOKUP($B:$B,[20]свод!$A:$AB,3,0)," ")</f>
        <v>Наманган шаҳар</v>
      </c>
      <c r="E2784" s="7" t="s">
        <v>3916</v>
      </c>
      <c r="F2784" s="7" t="s">
        <v>10283</v>
      </c>
      <c r="G2784" s="134" t="str">
        <f t="shared" si="301"/>
        <v/>
      </c>
      <c r="H2784" s="134">
        <f t="shared" si="302"/>
        <v>1</v>
      </c>
      <c r="I2784" s="7" t="s">
        <v>157</v>
      </c>
      <c r="J2784" s="7" t="s">
        <v>13</v>
      </c>
      <c r="K2784" s="7"/>
      <c r="L2784" s="7" t="s">
        <v>166</v>
      </c>
      <c r="M2784" s="7" t="s">
        <v>6057</v>
      </c>
      <c r="N2784" s="7" t="s">
        <v>170</v>
      </c>
      <c r="O2784" s="7" t="s">
        <v>161</v>
      </c>
      <c r="P2784" s="7" t="s">
        <v>7386</v>
      </c>
      <c r="Q2784" s="129">
        <v>46199</v>
      </c>
      <c r="R2784" s="130">
        <f t="shared" si="303"/>
        <v>46209</v>
      </c>
      <c r="S2784" s="131">
        <f t="shared" si="304"/>
        <v>10</v>
      </c>
      <c r="T2784" s="7" t="s">
        <v>173</v>
      </c>
      <c r="U2784" s="7" t="s">
        <v>963</v>
      </c>
      <c r="V2784" s="7"/>
      <c r="W2784" s="7">
        <v>0</v>
      </c>
      <c r="X2784" s="132">
        <f t="shared" si="305"/>
        <v>10</v>
      </c>
      <c r="Y2784" s="133"/>
      <c r="Z2784" s="133"/>
      <c r="AA2784" s="133"/>
    </row>
    <row r="2785" spans="1:27" hidden="1" x14ac:dyDescent="0.25">
      <c r="A2785" s="133"/>
      <c r="B2785" s="128" t="str">
        <f t="shared" si="300"/>
        <v>UCQT</v>
      </c>
      <c r="C2785" s="128" t="e">
        <f>+VLOOKUP(U2785,Ходим!A:B,2,0)</f>
        <v>#N/A</v>
      </c>
      <c r="D2785" s="128" t="str">
        <f>IFERROR(VLOOKUP($B:$B,[20]свод!$A:$AB,3,0)," ")</f>
        <v>Учқўрғон тумани</v>
      </c>
      <c r="E2785" s="7" t="s">
        <v>3917</v>
      </c>
      <c r="F2785" s="7" t="s">
        <v>10284</v>
      </c>
      <c r="G2785" s="134">
        <f t="shared" si="301"/>
        <v>1</v>
      </c>
      <c r="H2785" s="134" t="str">
        <f t="shared" si="302"/>
        <v/>
      </c>
      <c r="I2785" s="7" t="s">
        <v>156</v>
      </c>
      <c r="J2785" s="7" t="s">
        <v>11</v>
      </c>
      <c r="K2785" s="7"/>
      <c r="L2785" s="7"/>
      <c r="M2785" s="7"/>
      <c r="N2785" s="7" t="s">
        <v>410</v>
      </c>
      <c r="O2785" s="7" t="s">
        <v>162</v>
      </c>
      <c r="P2785" s="7" t="s">
        <v>7464</v>
      </c>
      <c r="Q2785" s="129">
        <v>46199</v>
      </c>
      <c r="R2785" s="130">
        <f t="shared" si="303"/>
        <v>46209</v>
      </c>
      <c r="S2785" s="131">
        <f t="shared" si="304"/>
        <v>10</v>
      </c>
      <c r="T2785" s="7"/>
      <c r="U2785" s="7"/>
      <c r="V2785" s="7"/>
      <c r="W2785" s="7"/>
      <c r="X2785" s="132">
        <f t="shared" si="305"/>
        <v>10</v>
      </c>
      <c r="Y2785" s="133"/>
      <c r="Z2785" s="133"/>
      <c r="AA2785" s="133"/>
    </row>
    <row r="2786" spans="1:27" hidden="1" x14ac:dyDescent="0.25">
      <c r="A2786" s="133"/>
      <c r="B2786" s="128" t="str">
        <f t="shared" si="300"/>
        <v>NAMS</v>
      </c>
      <c r="C2786" s="128" t="str">
        <f>+VLOOKUP(U2786,Ходим!A:B,2,0)</f>
        <v>51110025960044</v>
      </c>
      <c r="D2786" s="128" t="str">
        <f>IFERROR(VLOOKUP($B:$B,[20]свод!$A:$AB,3,0)," ")</f>
        <v>Наманган шаҳар</v>
      </c>
      <c r="E2786" s="7" t="s">
        <v>3918</v>
      </c>
      <c r="F2786" s="7" t="s">
        <v>10285</v>
      </c>
      <c r="G2786" s="134">
        <f t="shared" si="301"/>
        <v>1</v>
      </c>
      <c r="H2786" s="134" t="str">
        <f t="shared" si="302"/>
        <v/>
      </c>
      <c r="I2786" s="7" t="s">
        <v>158</v>
      </c>
      <c r="J2786" s="7" t="s">
        <v>2</v>
      </c>
      <c r="K2786" s="7"/>
      <c r="L2786" s="7" t="s">
        <v>167</v>
      </c>
      <c r="M2786" s="7" t="s">
        <v>1145</v>
      </c>
      <c r="N2786" s="7" t="s">
        <v>170</v>
      </c>
      <c r="O2786" s="7" t="s">
        <v>162</v>
      </c>
      <c r="P2786" s="7" t="s">
        <v>7463</v>
      </c>
      <c r="Q2786" s="129">
        <v>46199</v>
      </c>
      <c r="R2786" s="130">
        <f t="shared" si="303"/>
        <v>46210</v>
      </c>
      <c r="S2786" s="131">
        <f t="shared" si="304"/>
        <v>11</v>
      </c>
      <c r="T2786" s="7" t="s">
        <v>185</v>
      </c>
      <c r="U2786" s="7" t="s">
        <v>294</v>
      </c>
      <c r="V2786" s="7"/>
      <c r="W2786" s="7">
        <v>193.82</v>
      </c>
      <c r="X2786" s="132">
        <f t="shared" si="305"/>
        <v>10</v>
      </c>
      <c r="Y2786" s="133"/>
      <c r="Z2786" s="133"/>
      <c r="AA2786" s="133"/>
    </row>
    <row r="2787" spans="1:27" hidden="1" x14ac:dyDescent="0.25">
      <c r="A2787" s="133"/>
      <c r="B2787" s="128" t="str">
        <f t="shared" si="300"/>
        <v>NAMS</v>
      </c>
      <c r="C2787" s="128" t="str">
        <f>+VLOOKUP(U2787,Ходим!A:B,2,0)</f>
        <v>31007955980023</v>
      </c>
      <c r="D2787" s="128" t="str">
        <f>IFERROR(VLOOKUP($B:$B,[20]свод!$A:$AB,3,0)," ")</f>
        <v>Наманган шаҳар</v>
      </c>
      <c r="E2787" s="7" t="s">
        <v>3919</v>
      </c>
      <c r="F2787" s="7" t="s">
        <v>10286</v>
      </c>
      <c r="G2787" s="134">
        <f t="shared" si="301"/>
        <v>1</v>
      </c>
      <c r="H2787" s="134" t="str">
        <f t="shared" si="302"/>
        <v/>
      </c>
      <c r="I2787" s="7" t="s">
        <v>158</v>
      </c>
      <c r="J2787" s="7" t="s">
        <v>2</v>
      </c>
      <c r="K2787" s="7"/>
      <c r="L2787" s="7" t="s">
        <v>167</v>
      </c>
      <c r="M2787" s="7" t="s">
        <v>6058</v>
      </c>
      <c r="N2787" s="7" t="s">
        <v>170</v>
      </c>
      <c r="O2787" s="7" t="s">
        <v>162</v>
      </c>
      <c r="P2787" s="7" t="s">
        <v>6347</v>
      </c>
      <c r="Q2787" s="129">
        <v>46199</v>
      </c>
      <c r="R2787" s="130">
        <f t="shared" si="303"/>
        <v>46204</v>
      </c>
      <c r="S2787" s="131">
        <f t="shared" si="304"/>
        <v>5</v>
      </c>
      <c r="T2787" s="7" t="s">
        <v>173</v>
      </c>
      <c r="U2787" s="7" t="s">
        <v>207</v>
      </c>
      <c r="V2787" s="7"/>
      <c r="W2787" s="7">
        <v>401.52</v>
      </c>
      <c r="X2787" s="132">
        <f t="shared" si="305"/>
        <v>10</v>
      </c>
      <c r="Y2787" s="133"/>
      <c r="Z2787" s="133"/>
      <c r="AA2787" s="133"/>
    </row>
    <row r="2788" spans="1:27" hidden="1" x14ac:dyDescent="0.25">
      <c r="A2788" s="133"/>
      <c r="B2788" s="128" t="str">
        <f t="shared" si="300"/>
        <v>TORT</v>
      </c>
      <c r="C2788" s="128" t="str">
        <f>+VLOOKUP(U2788,Ходим!A:B,2,0)</f>
        <v>31701915920077</v>
      </c>
      <c r="D2788" s="128" t="str">
        <f>IFERROR(VLOOKUP($B:$B,[20]свод!$A:$AB,3,0)," ")</f>
        <v>Тўрақўрғон тумани</v>
      </c>
      <c r="E2788" s="7" t="s">
        <v>3920</v>
      </c>
      <c r="F2788" s="7" t="s">
        <v>10287</v>
      </c>
      <c r="G2788" s="134">
        <f t="shared" si="301"/>
        <v>1</v>
      </c>
      <c r="H2788" s="134" t="str">
        <f t="shared" si="302"/>
        <v/>
      </c>
      <c r="I2788" s="7" t="s">
        <v>158</v>
      </c>
      <c r="J2788" s="7" t="s">
        <v>1</v>
      </c>
      <c r="K2788" s="7"/>
      <c r="L2788" s="7" t="s">
        <v>167</v>
      </c>
      <c r="M2788" s="7" t="s">
        <v>6059</v>
      </c>
      <c r="N2788" s="7" t="s">
        <v>170</v>
      </c>
      <c r="O2788" s="7" t="s">
        <v>163</v>
      </c>
      <c r="P2788" s="7" t="s">
        <v>7329</v>
      </c>
      <c r="Q2788" s="129">
        <v>46199</v>
      </c>
      <c r="R2788" s="130">
        <f t="shared" si="303"/>
        <v>46205</v>
      </c>
      <c r="S2788" s="131">
        <f t="shared" si="304"/>
        <v>6</v>
      </c>
      <c r="T2788" s="7" t="s">
        <v>203</v>
      </c>
      <c r="U2788" s="7" t="s">
        <v>332</v>
      </c>
      <c r="V2788" s="7"/>
      <c r="W2788" s="7">
        <v>285.83</v>
      </c>
      <c r="X2788" s="132">
        <f t="shared" si="305"/>
        <v>10</v>
      </c>
      <c r="Y2788" s="133"/>
      <c r="Z2788" s="133"/>
      <c r="AA2788" s="133"/>
    </row>
    <row r="2789" spans="1:27" hidden="1" x14ac:dyDescent="0.25">
      <c r="A2789" s="133"/>
      <c r="B2789" s="128" t="str">
        <f t="shared" si="300"/>
        <v>YGQT</v>
      </c>
      <c r="C2789" s="128" t="str">
        <f>+VLOOKUP(U2789,Ходим!A:B,2,0)</f>
        <v>30903902160122</v>
      </c>
      <c r="D2789" s="128" t="str">
        <f>IFERROR(VLOOKUP($B:$B,[20]свод!$A:$AB,3,0)," ")</f>
        <v>Янгиқўрғон тумани</v>
      </c>
      <c r="E2789" s="7" t="s">
        <v>3921</v>
      </c>
      <c r="F2789" s="7" t="s">
        <v>10288</v>
      </c>
      <c r="G2789" s="134">
        <f t="shared" si="301"/>
        <v>1</v>
      </c>
      <c r="H2789" s="134" t="str">
        <f t="shared" si="302"/>
        <v/>
      </c>
      <c r="I2789" s="7" t="s">
        <v>158</v>
      </c>
      <c r="J2789" s="7" t="s">
        <v>2</v>
      </c>
      <c r="K2789" s="7"/>
      <c r="L2789" s="7" t="s">
        <v>167</v>
      </c>
      <c r="M2789" s="7" t="s">
        <v>6060</v>
      </c>
      <c r="N2789" s="7" t="s">
        <v>410</v>
      </c>
      <c r="O2789" s="7" t="s">
        <v>162</v>
      </c>
      <c r="P2789" s="7" t="s">
        <v>6809</v>
      </c>
      <c r="Q2789" s="129">
        <v>46199</v>
      </c>
      <c r="R2789" s="130">
        <f t="shared" si="303"/>
        <v>46206</v>
      </c>
      <c r="S2789" s="131">
        <f t="shared" si="304"/>
        <v>7</v>
      </c>
      <c r="T2789" s="7" t="s">
        <v>255</v>
      </c>
      <c r="U2789" s="7" t="s">
        <v>230</v>
      </c>
      <c r="V2789" s="7"/>
      <c r="W2789" s="7">
        <v>188.95</v>
      </c>
      <c r="X2789" s="132">
        <f t="shared" si="305"/>
        <v>10</v>
      </c>
      <c r="Y2789" s="133"/>
      <c r="Z2789" s="133"/>
      <c r="AA2789" s="133"/>
    </row>
    <row r="2790" spans="1:27" hidden="1" x14ac:dyDescent="0.25">
      <c r="A2790" s="133"/>
      <c r="B2790" s="128" t="str">
        <f t="shared" si="300"/>
        <v>MINT</v>
      </c>
      <c r="C2790" s="128" t="str">
        <f>+VLOOKUP(U2790,Ходим!A:B,2,0)</f>
        <v>53110035990017</v>
      </c>
      <c r="D2790" s="128" t="str">
        <f>IFERROR(VLOOKUP($B:$B,[20]свод!$A:$AB,3,0)," ")</f>
        <v>Мингбулоқ тумани</v>
      </c>
      <c r="E2790" s="7" t="s">
        <v>3922</v>
      </c>
      <c r="F2790" s="7" t="s">
        <v>10289</v>
      </c>
      <c r="G2790" s="134">
        <f t="shared" si="301"/>
        <v>1</v>
      </c>
      <c r="H2790" s="134" t="str">
        <f t="shared" si="302"/>
        <v/>
      </c>
      <c r="I2790" s="7" t="s">
        <v>158</v>
      </c>
      <c r="J2790" s="7" t="s">
        <v>2</v>
      </c>
      <c r="K2790" s="7"/>
      <c r="L2790" s="7" t="s">
        <v>167</v>
      </c>
      <c r="M2790" s="7" t="s">
        <v>6061</v>
      </c>
      <c r="N2790" s="7" t="s">
        <v>170</v>
      </c>
      <c r="O2790" s="7" t="s">
        <v>162</v>
      </c>
      <c r="P2790" s="7" t="s">
        <v>6644</v>
      </c>
      <c r="Q2790" s="129">
        <v>46199</v>
      </c>
      <c r="R2790" s="130">
        <f t="shared" si="303"/>
        <v>46204</v>
      </c>
      <c r="S2790" s="131">
        <f t="shared" si="304"/>
        <v>5</v>
      </c>
      <c r="T2790" s="7" t="s">
        <v>220</v>
      </c>
      <c r="U2790" s="7" t="s">
        <v>372</v>
      </c>
      <c r="V2790" s="7"/>
      <c r="W2790" s="7">
        <v>305.10000000000002</v>
      </c>
      <c r="X2790" s="132">
        <f t="shared" si="305"/>
        <v>10</v>
      </c>
      <c r="Y2790" s="133"/>
      <c r="Z2790" s="133"/>
      <c r="AA2790" s="133"/>
    </row>
    <row r="2791" spans="1:27" hidden="1" x14ac:dyDescent="0.25">
      <c r="A2791" s="133"/>
      <c r="B2791" s="128" t="str">
        <f t="shared" si="300"/>
        <v>POPT</v>
      </c>
      <c r="C2791" s="128" t="str">
        <f>+VLOOKUP(U2791,Ходим!A:B,2,0)</f>
        <v>50902005910032</v>
      </c>
      <c r="D2791" s="128" t="str">
        <f>IFERROR(VLOOKUP($B:$B,[20]свод!$A:$AB,3,0)," ")</f>
        <v>Поп тумани</v>
      </c>
      <c r="E2791" s="7" t="s">
        <v>3923</v>
      </c>
      <c r="F2791" s="7" t="s">
        <v>10290</v>
      </c>
      <c r="G2791" s="134">
        <f t="shared" si="301"/>
        <v>1</v>
      </c>
      <c r="H2791" s="134" t="str">
        <f t="shared" si="302"/>
        <v/>
      </c>
      <c r="I2791" s="7" t="s">
        <v>156</v>
      </c>
      <c r="J2791" s="7" t="s">
        <v>25</v>
      </c>
      <c r="K2791" s="7"/>
      <c r="L2791" s="7" t="s">
        <v>167</v>
      </c>
      <c r="M2791" s="7" t="s">
        <v>6062</v>
      </c>
      <c r="N2791" s="7" t="s">
        <v>170</v>
      </c>
      <c r="O2791" s="7" t="s">
        <v>162</v>
      </c>
      <c r="P2791" s="7" t="s">
        <v>7383</v>
      </c>
      <c r="Q2791" s="129">
        <v>46199</v>
      </c>
      <c r="R2791" s="130">
        <f t="shared" si="303"/>
        <v>46209</v>
      </c>
      <c r="S2791" s="131">
        <f t="shared" si="304"/>
        <v>10</v>
      </c>
      <c r="T2791" s="7" t="s">
        <v>214</v>
      </c>
      <c r="U2791" s="7" t="s">
        <v>278</v>
      </c>
      <c r="V2791" s="7"/>
      <c r="W2791" s="7">
        <v>250.94</v>
      </c>
      <c r="X2791" s="132">
        <f t="shared" si="305"/>
        <v>10</v>
      </c>
      <c r="Y2791" s="133"/>
      <c r="Z2791" s="133"/>
      <c r="AA2791" s="133"/>
    </row>
    <row r="2792" spans="1:27" hidden="1" x14ac:dyDescent="0.25">
      <c r="A2792" s="133"/>
      <c r="B2792" s="128" t="str">
        <f t="shared" si="300"/>
        <v>UCQT</v>
      </c>
      <c r="C2792" s="128" t="e">
        <f>+VLOOKUP(U2792,Ходим!A:B,2,0)</f>
        <v>#N/A</v>
      </c>
      <c r="D2792" s="128" t="str">
        <f>IFERROR(VLOOKUP($B:$B,[20]свод!$A:$AB,3,0)," ")</f>
        <v>Учқўрғон тумани</v>
      </c>
      <c r="E2792" s="7" t="s">
        <v>3924</v>
      </c>
      <c r="F2792" s="7" t="s">
        <v>10291</v>
      </c>
      <c r="G2792" s="134">
        <f t="shared" si="301"/>
        <v>1</v>
      </c>
      <c r="H2792" s="134" t="str">
        <f t="shared" si="302"/>
        <v/>
      </c>
      <c r="I2792" s="7" t="s">
        <v>156</v>
      </c>
      <c r="J2792" s="7" t="s">
        <v>11</v>
      </c>
      <c r="K2792" s="7"/>
      <c r="L2792" s="7" t="s">
        <v>167</v>
      </c>
      <c r="M2792" s="7" t="s">
        <v>6063</v>
      </c>
      <c r="N2792" s="7" t="s">
        <v>410</v>
      </c>
      <c r="O2792" s="7" t="s">
        <v>162</v>
      </c>
      <c r="P2792" s="7" t="s">
        <v>7465</v>
      </c>
      <c r="Q2792" s="129">
        <v>46199</v>
      </c>
      <c r="R2792" s="130">
        <f t="shared" si="303"/>
        <v>46209</v>
      </c>
      <c r="S2792" s="131">
        <f t="shared" si="304"/>
        <v>10</v>
      </c>
      <c r="T2792" s="7"/>
      <c r="U2792" s="7"/>
      <c r="V2792" s="7"/>
      <c r="W2792" s="7">
        <v>404.71</v>
      </c>
      <c r="X2792" s="132">
        <f t="shared" si="305"/>
        <v>10</v>
      </c>
      <c r="Y2792" s="133"/>
      <c r="Z2792" s="133"/>
      <c r="AA2792" s="133"/>
    </row>
    <row r="2793" spans="1:27" hidden="1" x14ac:dyDescent="0.25">
      <c r="A2793" s="133"/>
      <c r="B2793" s="128" t="str">
        <f t="shared" si="300"/>
        <v>MINT</v>
      </c>
      <c r="C2793" s="128" t="str">
        <f>+VLOOKUP(U2793,Ходим!A:B,2,0)</f>
        <v>51604025990014</v>
      </c>
      <c r="D2793" s="128" t="str">
        <f>IFERROR(VLOOKUP($B:$B,[20]свод!$A:$AB,3,0)," ")</f>
        <v>Мингбулоқ тумани</v>
      </c>
      <c r="E2793" s="7" t="s">
        <v>3925</v>
      </c>
      <c r="F2793" s="7" t="s">
        <v>10292</v>
      </c>
      <c r="G2793" s="134" t="str">
        <f t="shared" si="301"/>
        <v/>
      </c>
      <c r="H2793" s="134">
        <f t="shared" si="302"/>
        <v>1</v>
      </c>
      <c r="I2793" s="7" t="s">
        <v>157</v>
      </c>
      <c r="J2793" s="7" t="s">
        <v>172</v>
      </c>
      <c r="K2793" s="7"/>
      <c r="L2793" s="7"/>
      <c r="M2793" s="7"/>
      <c r="N2793" s="7" t="s">
        <v>410</v>
      </c>
      <c r="O2793" s="7" t="s">
        <v>161</v>
      </c>
      <c r="P2793" s="7" t="s">
        <v>6453</v>
      </c>
      <c r="Q2793" s="129">
        <v>46199</v>
      </c>
      <c r="R2793" s="130">
        <f t="shared" si="303"/>
        <v>46205</v>
      </c>
      <c r="S2793" s="131">
        <f t="shared" si="304"/>
        <v>6</v>
      </c>
      <c r="T2793" s="7" t="s">
        <v>220</v>
      </c>
      <c r="U2793" s="7" t="s">
        <v>252</v>
      </c>
      <c r="V2793" s="7"/>
      <c r="W2793" s="7"/>
      <c r="X2793" s="132">
        <f t="shared" si="305"/>
        <v>10</v>
      </c>
      <c r="Y2793" s="133"/>
      <c r="Z2793" s="133"/>
      <c r="AA2793" s="133"/>
    </row>
    <row r="2794" spans="1:27" hidden="1" x14ac:dyDescent="0.25">
      <c r="A2794" s="133"/>
      <c r="B2794" s="128" t="str">
        <f t="shared" si="300"/>
        <v>YGQT</v>
      </c>
      <c r="C2794" s="128" t="str">
        <f>+VLOOKUP(U2794,Ходим!A:B,2,0)</f>
        <v>30809995950021</v>
      </c>
      <c r="D2794" s="128" t="str">
        <f>IFERROR(VLOOKUP($B:$B,[20]свод!$A:$AB,3,0)," ")</f>
        <v>Янгиқўрғон тумани</v>
      </c>
      <c r="E2794" s="7" t="s">
        <v>3926</v>
      </c>
      <c r="F2794" s="7" t="s">
        <v>10293</v>
      </c>
      <c r="G2794" s="134">
        <f t="shared" si="301"/>
        <v>1</v>
      </c>
      <c r="H2794" s="134" t="str">
        <f t="shared" si="302"/>
        <v/>
      </c>
      <c r="I2794" s="7" t="s">
        <v>158</v>
      </c>
      <c r="J2794" s="7" t="s">
        <v>36</v>
      </c>
      <c r="K2794" s="7"/>
      <c r="L2794" s="7" t="s">
        <v>167</v>
      </c>
      <c r="M2794" s="7" t="s">
        <v>6064</v>
      </c>
      <c r="N2794" s="7" t="s">
        <v>170</v>
      </c>
      <c r="O2794" s="7" t="s">
        <v>162</v>
      </c>
      <c r="P2794" s="7" t="s">
        <v>7466</v>
      </c>
      <c r="Q2794" s="129">
        <v>46199</v>
      </c>
      <c r="R2794" s="130">
        <f t="shared" si="303"/>
        <v>46203</v>
      </c>
      <c r="S2794" s="131">
        <f t="shared" si="304"/>
        <v>4</v>
      </c>
      <c r="T2794" s="7" t="s">
        <v>255</v>
      </c>
      <c r="U2794" s="7" t="s">
        <v>223</v>
      </c>
      <c r="V2794" s="7"/>
      <c r="W2794" s="7">
        <v>39.619999999999997</v>
      </c>
      <c r="X2794" s="132">
        <f t="shared" si="305"/>
        <v>10</v>
      </c>
      <c r="Y2794" s="133"/>
      <c r="Z2794" s="133"/>
      <c r="AA2794" s="133"/>
    </row>
    <row r="2795" spans="1:27" hidden="1" x14ac:dyDescent="0.25">
      <c r="A2795" s="133"/>
      <c r="B2795" s="128" t="str">
        <f t="shared" si="300"/>
        <v>UYCT</v>
      </c>
      <c r="C2795" s="128" t="str">
        <f>+VLOOKUP(U2795,Ходим!A:B,2,0)</f>
        <v>52811025930077</v>
      </c>
      <c r="D2795" s="128" t="str">
        <f>IFERROR(VLOOKUP($B:$B,[20]свод!$A:$AB,3,0)," ")</f>
        <v>Уйчи тумани</v>
      </c>
      <c r="E2795" s="7" t="s">
        <v>3927</v>
      </c>
      <c r="F2795" s="7" t="s">
        <v>10294</v>
      </c>
      <c r="G2795" s="134">
        <f t="shared" si="301"/>
        <v>1</v>
      </c>
      <c r="H2795" s="134" t="str">
        <f t="shared" si="302"/>
        <v/>
      </c>
      <c r="I2795" s="7" t="s">
        <v>158</v>
      </c>
      <c r="J2795" s="7" t="s">
        <v>2</v>
      </c>
      <c r="K2795" s="7"/>
      <c r="L2795" s="7" t="s">
        <v>167</v>
      </c>
      <c r="M2795" s="7" t="s">
        <v>6065</v>
      </c>
      <c r="N2795" s="7" t="s">
        <v>410</v>
      </c>
      <c r="O2795" s="7" t="s">
        <v>162</v>
      </c>
      <c r="P2795" s="7" t="s">
        <v>6647</v>
      </c>
      <c r="Q2795" s="129">
        <v>46199</v>
      </c>
      <c r="R2795" s="130">
        <f t="shared" si="303"/>
        <v>46205</v>
      </c>
      <c r="S2795" s="131">
        <f t="shared" si="304"/>
        <v>6</v>
      </c>
      <c r="T2795" s="7" t="s">
        <v>379</v>
      </c>
      <c r="U2795" s="7" t="s">
        <v>356</v>
      </c>
      <c r="V2795" s="7"/>
      <c r="W2795" s="7">
        <v>52.7</v>
      </c>
      <c r="X2795" s="132">
        <f t="shared" si="305"/>
        <v>10</v>
      </c>
      <c r="Y2795" s="133"/>
      <c r="Z2795" s="133"/>
      <c r="AA2795" s="133"/>
    </row>
    <row r="2796" spans="1:27" hidden="1" x14ac:dyDescent="0.25">
      <c r="A2796" s="133"/>
      <c r="B2796" s="128" t="str">
        <f t="shared" si="300"/>
        <v>UYCT</v>
      </c>
      <c r="C2796" s="128" t="str">
        <f>+VLOOKUP(U2796,Ходим!A:B,2,0)</f>
        <v>52811025930077</v>
      </c>
      <c r="D2796" s="128" t="str">
        <f>IFERROR(VLOOKUP($B:$B,[20]свод!$A:$AB,3,0)," ")</f>
        <v>Уйчи тумани</v>
      </c>
      <c r="E2796" s="7" t="s">
        <v>3928</v>
      </c>
      <c r="F2796" s="7" t="s">
        <v>10295</v>
      </c>
      <c r="G2796" s="134">
        <f t="shared" si="301"/>
        <v>1</v>
      </c>
      <c r="H2796" s="134" t="str">
        <f t="shared" si="302"/>
        <v/>
      </c>
      <c r="I2796" s="7" t="s">
        <v>158</v>
      </c>
      <c r="J2796" s="7" t="s">
        <v>35</v>
      </c>
      <c r="K2796" s="7"/>
      <c r="L2796" s="7" t="s">
        <v>167</v>
      </c>
      <c r="M2796" s="7" t="s">
        <v>6066</v>
      </c>
      <c r="N2796" s="7" t="s">
        <v>410</v>
      </c>
      <c r="O2796" s="7" t="s">
        <v>162</v>
      </c>
      <c r="P2796" s="7" t="s">
        <v>6480</v>
      </c>
      <c r="Q2796" s="129">
        <v>46199</v>
      </c>
      <c r="R2796" s="130">
        <f t="shared" si="303"/>
        <v>46205</v>
      </c>
      <c r="S2796" s="131">
        <f t="shared" si="304"/>
        <v>6</v>
      </c>
      <c r="T2796" s="7" t="s">
        <v>947</v>
      </c>
      <c r="U2796" s="7" t="s">
        <v>356</v>
      </c>
      <c r="V2796" s="7"/>
      <c r="W2796" s="7">
        <v>0</v>
      </c>
      <c r="X2796" s="132">
        <f t="shared" si="305"/>
        <v>10</v>
      </c>
      <c r="Y2796" s="133"/>
      <c r="Z2796" s="133"/>
      <c r="AA2796" s="133"/>
    </row>
    <row r="2797" spans="1:27" hidden="1" x14ac:dyDescent="0.25">
      <c r="A2797" s="133"/>
      <c r="B2797" s="128" t="str">
        <f t="shared" si="300"/>
        <v>MINT</v>
      </c>
      <c r="C2797" s="128" t="str">
        <f>+VLOOKUP(U2797,Ходим!A:B,2,0)</f>
        <v>31710662200035</v>
      </c>
      <c r="D2797" s="128" t="str">
        <f>IFERROR(VLOOKUP($B:$B,[20]свод!$A:$AB,3,0)," ")</f>
        <v>Мингбулоқ тумани</v>
      </c>
      <c r="E2797" s="7" t="s">
        <v>3929</v>
      </c>
      <c r="F2797" s="7" t="s">
        <v>10296</v>
      </c>
      <c r="G2797" s="134">
        <f t="shared" si="301"/>
        <v>1</v>
      </c>
      <c r="H2797" s="134" t="str">
        <f t="shared" si="302"/>
        <v/>
      </c>
      <c r="I2797" s="7" t="s">
        <v>158</v>
      </c>
      <c r="J2797" s="7" t="s">
        <v>2</v>
      </c>
      <c r="K2797" s="7"/>
      <c r="L2797" s="7" t="s">
        <v>167</v>
      </c>
      <c r="M2797" s="7" t="s">
        <v>6067</v>
      </c>
      <c r="N2797" s="7" t="s">
        <v>410</v>
      </c>
      <c r="O2797" s="7" t="s">
        <v>162</v>
      </c>
      <c r="P2797" s="7" t="s">
        <v>6820</v>
      </c>
      <c r="Q2797" s="129">
        <v>46199</v>
      </c>
      <c r="R2797" s="130">
        <f t="shared" si="303"/>
        <v>46206</v>
      </c>
      <c r="S2797" s="131">
        <f t="shared" si="304"/>
        <v>7</v>
      </c>
      <c r="T2797" s="7" t="s">
        <v>220</v>
      </c>
      <c r="U2797" s="7" t="s">
        <v>268</v>
      </c>
      <c r="V2797" s="7"/>
      <c r="W2797" s="7">
        <v>205.06</v>
      </c>
      <c r="X2797" s="132">
        <f t="shared" si="305"/>
        <v>10</v>
      </c>
      <c r="Y2797" s="133"/>
      <c r="Z2797" s="133"/>
      <c r="AA2797" s="133"/>
    </row>
    <row r="2798" spans="1:27" hidden="1" x14ac:dyDescent="0.25">
      <c r="A2798" s="133"/>
      <c r="B2798" s="128" t="str">
        <f t="shared" si="300"/>
        <v>MINT</v>
      </c>
      <c r="C2798" s="128" t="str">
        <f>+VLOOKUP(U2798,Ходим!A:B,2,0)</f>
        <v>30703975990033</v>
      </c>
      <c r="D2798" s="128" t="str">
        <f>IFERROR(VLOOKUP($B:$B,[20]свод!$A:$AB,3,0)," ")</f>
        <v>Мингбулоқ тумани</v>
      </c>
      <c r="E2798" s="7" t="s">
        <v>3930</v>
      </c>
      <c r="F2798" s="7" t="s">
        <v>10297</v>
      </c>
      <c r="G2798" s="134">
        <f t="shared" si="301"/>
        <v>1</v>
      </c>
      <c r="H2798" s="134" t="str">
        <f t="shared" si="302"/>
        <v/>
      </c>
      <c r="I2798" s="7" t="s">
        <v>158</v>
      </c>
      <c r="J2798" s="7" t="s">
        <v>2</v>
      </c>
      <c r="K2798" s="7"/>
      <c r="L2798" s="7" t="s">
        <v>167</v>
      </c>
      <c r="M2798" s="7" t="s">
        <v>6068</v>
      </c>
      <c r="N2798" s="7" t="s">
        <v>410</v>
      </c>
      <c r="O2798" s="7" t="s">
        <v>162</v>
      </c>
      <c r="P2798" s="7" t="s">
        <v>7467</v>
      </c>
      <c r="Q2798" s="129">
        <v>46199</v>
      </c>
      <c r="R2798" s="130">
        <f t="shared" si="303"/>
        <v>46206</v>
      </c>
      <c r="S2798" s="131">
        <f t="shared" si="304"/>
        <v>7</v>
      </c>
      <c r="T2798" s="7" t="s">
        <v>220</v>
      </c>
      <c r="U2798" s="7" t="s">
        <v>291</v>
      </c>
      <c r="V2798" s="7"/>
      <c r="W2798" s="7">
        <v>159.30000000000001</v>
      </c>
      <c r="X2798" s="132">
        <f t="shared" si="305"/>
        <v>10</v>
      </c>
      <c r="Y2798" s="133"/>
      <c r="Z2798" s="133"/>
      <c r="AA2798" s="133"/>
    </row>
    <row r="2799" spans="1:27" hidden="1" x14ac:dyDescent="0.25">
      <c r="A2799" s="133"/>
      <c r="B2799" s="128" t="str">
        <f t="shared" si="300"/>
        <v>TORT</v>
      </c>
      <c r="C2799" s="128" t="str">
        <f>+VLOOKUP(U2799,Ходим!A:B,2,0)</f>
        <v>40302922130046</v>
      </c>
      <c r="D2799" s="128" t="str">
        <f>IFERROR(VLOOKUP($B:$B,[20]свод!$A:$AB,3,0)," ")</f>
        <v>Тўрақўрғон тумани</v>
      </c>
      <c r="E2799" s="7" t="s">
        <v>3931</v>
      </c>
      <c r="F2799" s="7" t="s">
        <v>10298</v>
      </c>
      <c r="G2799" s="134">
        <f t="shared" si="301"/>
        <v>1</v>
      </c>
      <c r="H2799" s="134" t="str">
        <f t="shared" si="302"/>
        <v/>
      </c>
      <c r="I2799" s="7" t="s">
        <v>158</v>
      </c>
      <c r="J2799" s="7" t="s">
        <v>16</v>
      </c>
      <c r="K2799" s="7"/>
      <c r="L2799" s="7" t="s">
        <v>167</v>
      </c>
      <c r="M2799" s="7" t="s">
        <v>6069</v>
      </c>
      <c r="N2799" s="7" t="s">
        <v>170</v>
      </c>
      <c r="O2799" s="7" t="s">
        <v>162</v>
      </c>
      <c r="P2799" s="7" t="s">
        <v>7468</v>
      </c>
      <c r="Q2799" s="129">
        <v>46199</v>
      </c>
      <c r="R2799" s="130">
        <f t="shared" si="303"/>
        <v>46206</v>
      </c>
      <c r="S2799" s="131">
        <f t="shared" si="304"/>
        <v>7</v>
      </c>
      <c r="T2799" s="7" t="s">
        <v>203</v>
      </c>
      <c r="U2799" s="7" t="s">
        <v>258</v>
      </c>
      <c r="V2799" s="7"/>
      <c r="W2799" s="7">
        <v>724.9</v>
      </c>
      <c r="X2799" s="132">
        <f t="shared" si="305"/>
        <v>10</v>
      </c>
      <c r="Y2799" s="133"/>
      <c r="Z2799" s="133"/>
      <c r="AA2799" s="133"/>
    </row>
    <row r="2800" spans="1:27" hidden="1" x14ac:dyDescent="0.25">
      <c r="A2800" s="133"/>
      <c r="B2800" s="128" t="str">
        <f t="shared" si="300"/>
        <v>TORT</v>
      </c>
      <c r="C2800" s="128" t="str">
        <f>+VLOOKUP(U2800,Ходим!A:B,2,0)</f>
        <v>31306842130078</v>
      </c>
      <c r="D2800" s="128" t="str">
        <f>IFERROR(VLOOKUP($B:$B,[20]свод!$A:$AB,3,0)," ")</f>
        <v>Тўрақўрғон тумани</v>
      </c>
      <c r="E2800" s="7" t="s">
        <v>3932</v>
      </c>
      <c r="F2800" s="7" t="s">
        <v>10299</v>
      </c>
      <c r="G2800" s="134">
        <f t="shared" si="301"/>
        <v>1</v>
      </c>
      <c r="H2800" s="134" t="str">
        <f t="shared" si="302"/>
        <v/>
      </c>
      <c r="I2800" s="7" t="s">
        <v>158</v>
      </c>
      <c r="J2800" s="7" t="s">
        <v>172</v>
      </c>
      <c r="K2800" s="7"/>
      <c r="L2800" s="7" t="s">
        <v>167</v>
      </c>
      <c r="M2800" s="7" t="s">
        <v>6070</v>
      </c>
      <c r="N2800" s="7" t="s">
        <v>410</v>
      </c>
      <c r="O2800" s="7" t="s">
        <v>162</v>
      </c>
      <c r="P2800" s="7" t="s">
        <v>7399</v>
      </c>
      <c r="Q2800" s="129">
        <v>46199</v>
      </c>
      <c r="R2800" s="130">
        <f t="shared" si="303"/>
        <v>46209</v>
      </c>
      <c r="S2800" s="131">
        <f t="shared" si="304"/>
        <v>10</v>
      </c>
      <c r="T2800" s="7" t="s">
        <v>203</v>
      </c>
      <c r="U2800" s="7" t="s">
        <v>219</v>
      </c>
      <c r="V2800" s="7"/>
      <c r="W2800" s="7">
        <v>0</v>
      </c>
      <c r="X2800" s="132">
        <f t="shared" si="305"/>
        <v>10</v>
      </c>
      <c r="Y2800" s="133"/>
      <c r="Z2800" s="133"/>
      <c r="AA2800" s="133"/>
    </row>
    <row r="2801" spans="1:27" hidden="1" x14ac:dyDescent="0.25">
      <c r="A2801" s="133"/>
      <c r="B2801" s="128" t="str">
        <f t="shared" si="300"/>
        <v>NAMS</v>
      </c>
      <c r="C2801" s="128" t="str">
        <f>+VLOOKUP(U2801,Ходим!A:B,2,0)</f>
        <v>30302942170072</v>
      </c>
      <c r="D2801" s="128" t="str">
        <f>IFERROR(VLOOKUP($B:$B,[20]свод!$A:$AB,3,0)," ")</f>
        <v>Наманган шаҳар</v>
      </c>
      <c r="E2801" s="7" t="s">
        <v>3933</v>
      </c>
      <c r="F2801" s="7" t="s">
        <v>10300</v>
      </c>
      <c r="G2801" s="134" t="str">
        <f t="shared" si="301"/>
        <v/>
      </c>
      <c r="H2801" s="134">
        <f t="shared" si="302"/>
        <v>1</v>
      </c>
      <c r="I2801" s="7" t="s">
        <v>157</v>
      </c>
      <c r="J2801" s="7" t="s">
        <v>36</v>
      </c>
      <c r="K2801" s="7"/>
      <c r="L2801" s="7" t="s">
        <v>166</v>
      </c>
      <c r="M2801" s="7" t="s">
        <v>6071</v>
      </c>
      <c r="N2801" s="7" t="s">
        <v>410</v>
      </c>
      <c r="O2801" s="7" t="s">
        <v>161</v>
      </c>
      <c r="P2801" s="7" t="s">
        <v>6363</v>
      </c>
      <c r="Q2801" s="129">
        <v>46199</v>
      </c>
      <c r="R2801" s="130">
        <f t="shared" si="303"/>
        <v>46210</v>
      </c>
      <c r="S2801" s="131">
        <f t="shared" si="304"/>
        <v>11</v>
      </c>
      <c r="T2801" s="7" t="s">
        <v>173</v>
      </c>
      <c r="U2801" s="7" t="s">
        <v>325</v>
      </c>
      <c r="V2801" s="7"/>
      <c r="W2801" s="7">
        <v>0</v>
      </c>
      <c r="X2801" s="132">
        <f t="shared" si="305"/>
        <v>10</v>
      </c>
      <c r="Y2801" s="133"/>
      <c r="Z2801" s="133"/>
      <c r="AA2801" s="133"/>
    </row>
    <row r="2802" spans="1:27" hidden="1" x14ac:dyDescent="0.25">
      <c r="A2802" s="133"/>
      <c r="B2802" s="128" t="str">
        <f t="shared" si="300"/>
        <v>UCQT</v>
      </c>
      <c r="C2802" s="128" t="e">
        <f>+VLOOKUP(U2802,Ходим!A:B,2,0)</f>
        <v>#N/A</v>
      </c>
      <c r="D2802" s="128" t="str">
        <f>IFERROR(VLOOKUP($B:$B,[20]свод!$A:$AB,3,0)," ")</f>
        <v>Учқўрғон тумани</v>
      </c>
      <c r="E2802" s="7" t="s">
        <v>3934</v>
      </c>
      <c r="F2802" s="7" t="s">
        <v>10301</v>
      </c>
      <c r="G2802" s="134">
        <f t="shared" si="301"/>
        <v>1</v>
      </c>
      <c r="H2802" s="134" t="str">
        <f t="shared" si="302"/>
        <v/>
      </c>
      <c r="I2802" s="7" t="s">
        <v>156</v>
      </c>
      <c r="J2802" s="7" t="s">
        <v>11</v>
      </c>
      <c r="K2802" s="7"/>
      <c r="L2802" s="7"/>
      <c r="M2802" s="7"/>
      <c r="N2802" s="7" t="s">
        <v>410</v>
      </c>
      <c r="O2802" s="7" t="s">
        <v>162</v>
      </c>
      <c r="P2802" s="7" t="s">
        <v>7469</v>
      </c>
      <c r="Q2802" s="129">
        <v>46199</v>
      </c>
      <c r="R2802" s="130">
        <f t="shared" si="303"/>
        <v>46209</v>
      </c>
      <c r="S2802" s="131">
        <f t="shared" si="304"/>
        <v>10</v>
      </c>
      <c r="T2802" s="7"/>
      <c r="U2802" s="7"/>
      <c r="V2802" s="7"/>
      <c r="W2802" s="7"/>
      <c r="X2802" s="132">
        <f t="shared" si="305"/>
        <v>10</v>
      </c>
      <c r="Y2802" s="133"/>
      <c r="Z2802" s="133"/>
      <c r="AA2802" s="133"/>
    </row>
    <row r="2803" spans="1:27" hidden="1" x14ac:dyDescent="0.25">
      <c r="A2803" s="133"/>
      <c r="B2803" s="128" t="str">
        <f t="shared" si="300"/>
        <v>NAMS</v>
      </c>
      <c r="C2803" s="128" t="str">
        <f>+VLOOKUP(U2803,Ходим!A:B,2,0)</f>
        <v>52601025870013</v>
      </c>
      <c r="D2803" s="128" t="str">
        <f>IFERROR(VLOOKUP($B:$B,[20]свод!$A:$AB,3,0)," ")</f>
        <v>Наманган шаҳар</v>
      </c>
      <c r="E2803" s="7" t="s">
        <v>3935</v>
      </c>
      <c r="F2803" s="7" t="s">
        <v>10302</v>
      </c>
      <c r="G2803" s="134">
        <f t="shared" si="301"/>
        <v>1</v>
      </c>
      <c r="H2803" s="134" t="str">
        <f t="shared" si="302"/>
        <v/>
      </c>
      <c r="I2803" s="7" t="s">
        <v>158</v>
      </c>
      <c r="J2803" s="7" t="s">
        <v>2</v>
      </c>
      <c r="K2803" s="7"/>
      <c r="L2803" s="7"/>
      <c r="M2803" s="7"/>
      <c r="N2803" s="7" t="s">
        <v>170</v>
      </c>
      <c r="O2803" s="7" t="s">
        <v>162</v>
      </c>
      <c r="P2803" s="7" t="s">
        <v>6363</v>
      </c>
      <c r="Q2803" s="129">
        <v>46199</v>
      </c>
      <c r="R2803" s="130">
        <f t="shared" si="303"/>
        <v>46210</v>
      </c>
      <c r="S2803" s="131">
        <f t="shared" si="304"/>
        <v>11</v>
      </c>
      <c r="T2803" s="7" t="s">
        <v>173</v>
      </c>
      <c r="U2803" s="7" t="s">
        <v>405</v>
      </c>
      <c r="V2803" s="7"/>
      <c r="W2803" s="7"/>
      <c r="X2803" s="132">
        <f t="shared" si="305"/>
        <v>10</v>
      </c>
      <c r="Y2803" s="133"/>
      <c r="Z2803" s="133"/>
      <c r="AA2803" s="133"/>
    </row>
    <row r="2804" spans="1:27" hidden="1" x14ac:dyDescent="0.25">
      <c r="A2804" s="133"/>
      <c r="B2804" s="128" t="str">
        <f t="shared" si="300"/>
        <v>POPT</v>
      </c>
      <c r="C2804" s="128" t="str">
        <f>+VLOOKUP(U2804,Ходим!A:B,2,0)</f>
        <v>32209966000029</v>
      </c>
      <c r="D2804" s="128" t="str">
        <f>IFERROR(VLOOKUP($B:$B,[20]свод!$A:$AB,3,0)," ")</f>
        <v>Поп тумани</v>
      </c>
      <c r="E2804" s="7" t="s">
        <v>3936</v>
      </c>
      <c r="F2804" s="7" t="s">
        <v>10303</v>
      </c>
      <c r="G2804" s="134">
        <f t="shared" si="301"/>
        <v>1</v>
      </c>
      <c r="H2804" s="134" t="str">
        <f t="shared" si="302"/>
        <v/>
      </c>
      <c r="I2804" s="7" t="s">
        <v>158</v>
      </c>
      <c r="J2804" s="7" t="s">
        <v>2</v>
      </c>
      <c r="K2804" s="7"/>
      <c r="L2804" s="7" t="s">
        <v>167</v>
      </c>
      <c r="M2804" s="7" t="s">
        <v>6072</v>
      </c>
      <c r="N2804" s="7" t="s">
        <v>170</v>
      </c>
      <c r="O2804" s="7" t="s">
        <v>162</v>
      </c>
      <c r="P2804" s="7" t="s">
        <v>6363</v>
      </c>
      <c r="Q2804" s="129">
        <v>46199</v>
      </c>
      <c r="R2804" s="130">
        <f t="shared" si="303"/>
        <v>46210</v>
      </c>
      <c r="S2804" s="131">
        <f t="shared" si="304"/>
        <v>11</v>
      </c>
      <c r="T2804" s="7" t="s">
        <v>214</v>
      </c>
      <c r="U2804" s="7" t="s">
        <v>282</v>
      </c>
      <c r="V2804" s="7"/>
      <c r="W2804" s="7">
        <v>70.83</v>
      </c>
      <c r="X2804" s="132">
        <f t="shared" si="305"/>
        <v>10</v>
      </c>
      <c r="Y2804" s="133"/>
      <c r="Z2804" s="133"/>
      <c r="AA2804" s="133"/>
    </row>
    <row r="2805" spans="1:27" hidden="1" x14ac:dyDescent="0.25">
      <c r="A2805" s="133"/>
      <c r="B2805" s="128" t="str">
        <f t="shared" si="300"/>
        <v>CHUT</v>
      </c>
      <c r="C2805" s="128" t="str">
        <f>+VLOOKUP(U2805,Ходим!A:B,2,0)</f>
        <v>32006862180015</v>
      </c>
      <c r="D2805" s="128" t="str">
        <f>IFERROR(VLOOKUP($B:$B,[20]свод!$A:$AB,3,0)," ")</f>
        <v>Чуст тумани</v>
      </c>
      <c r="E2805" s="7" t="s">
        <v>3937</v>
      </c>
      <c r="F2805" s="7" t="s">
        <v>10304</v>
      </c>
      <c r="G2805" s="134">
        <f t="shared" si="301"/>
        <v>1</v>
      </c>
      <c r="H2805" s="134" t="str">
        <f t="shared" si="302"/>
        <v/>
      </c>
      <c r="I2805" s="7" t="s">
        <v>158</v>
      </c>
      <c r="J2805" s="7" t="s">
        <v>2</v>
      </c>
      <c r="K2805" s="7"/>
      <c r="L2805" s="7" t="s">
        <v>167</v>
      </c>
      <c r="M2805" s="7" t="s">
        <v>6073</v>
      </c>
      <c r="N2805" s="7" t="s">
        <v>170</v>
      </c>
      <c r="O2805" s="7" t="s">
        <v>162</v>
      </c>
      <c r="P2805" s="7" t="s">
        <v>6363</v>
      </c>
      <c r="Q2805" s="129">
        <v>46199</v>
      </c>
      <c r="R2805" s="130">
        <f t="shared" si="303"/>
        <v>46210</v>
      </c>
      <c r="S2805" s="131">
        <f t="shared" si="304"/>
        <v>11</v>
      </c>
      <c r="T2805" s="7" t="s">
        <v>178</v>
      </c>
      <c r="U2805" s="7" t="s">
        <v>347</v>
      </c>
      <c r="V2805" s="7"/>
      <c r="W2805" s="7">
        <v>568.4</v>
      </c>
      <c r="X2805" s="132">
        <f t="shared" si="305"/>
        <v>10</v>
      </c>
      <c r="Y2805" s="133"/>
      <c r="Z2805" s="133"/>
      <c r="AA2805" s="133"/>
    </row>
    <row r="2806" spans="1:27" hidden="1" x14ac:dyDescent="0.25">
      <c r="A2806" s="133"/>
      <c r="B2806" s="128" t="str">
        <f t="shared" si="300"/>
        <v>CHOT</v>
      </c>
      <c r="C2806" s="128" t="str">
        <f>+VLOOKUP(U2806,Ходим!A:B,2,0)</f>
        <v>30608892100030</v>
      </c>
      <c r="D2806" s="128" t="str">
        <f>IFERROR(VLOOKUP($B:$B,[20]свод!$A:$AB,3,0)," ")</f>
        <v>Чортоқ тумани</v>
      </c>
      <c r="E2806" s="7" t="s">
        <v>3938</v>
      </c>
      <c r="F2806" s="7" t="s">
        <v>10305</v>
      </c>
      <c r="G2806" s="134">
        <f t="shared" si="301"/>
        <v>1</v>
      </c>
      <c r="H2806" s="134" t="str">
        <f t="shared" si="302"/>
        <v/>
      </c>
      <c r="I2806" s="7" t="s">
        <v>158</v>
      </c>
      <c r="J2806" s="7" t="s">
        <v>2</v>
      </c>
      <c r="K2806" s="7"/>
      <c r="L2806" s="7" t="s">
        <v>167</v>
      </c>
      <c r="M2806" s="7" t="s">
        <v>6074</v>
      </c>
      <c r="N2806" s="7" t="s">
        <v>170</v>
      </c>
      <c r="O2806" s="7" t="s">
        <v>162</v>
      </c>
      <c r="P2806" s="7" t="s">
        <v>6363</v>
      </c>
      <c r="Q2806" s="129">
        <v>46199</v>
      </c>
      <c r="R2806" s="130">
        <f t="shared" si="303"/>
        <v>46210</v>
      </c>
      <c r="S2806" s="131">
        <f t="shared" si="304"/>
        <v>11</v>
      </c>
      <c r="T2806" s="7" t="s">
        <v>184</v>
      </c>
      <c r="U2806" s="7" t="s">
        <v>266</v>
      </c>
      <c r="V2806" s="7"/>
      <c r="W2806" s="7">
        <v>0</v>
      </c>
      <c r="X2806" s="132">
        <f t="shared" si="305"/>
        <v>10</v>
      </c>
      <c r="Y2806" s="133"/>
      <c r="Z2806" s="133"/>
      <c r="AA2806" s="133"/>
    </row>
    <row r="2807" spans="1:27" hidden="1" x14ac:dyDescent="0.25">
      <c r="A2807" s="133"/>
      <c r="B2807" s="128" t="str">
        <f t="shared" si="300"/>
        <v>NAMS</v>
      </c>
      <c r="C2807" s="128" t="str">
        <f>+VLOOKUP(U2807,Ходим!A:B,2,0)</f>
        <v>31007955980023</v>
      </c>
      <c r="D2807" s="128" t="str">
        <f>IFERROR(VLOOKUP($B:$B,[20]свод!$A:$AB,3,0)," ")</f>
        <v>Наманган шаҳар</v>
      </c>
      <c r="E2807" s="7" t="s">
        <v>3939</v>
      </c>
      <c r="F2807" s="7" t="s">
        <v>10306</v>
      </c>
      <c r="G2807" s="134">
        <f t="shared" si="301"/>
        <v>1</v>
      </c>
      <c r="H2807" s="134" t="str">
        <f t="shared" si="302"/>
        <v/>
      </c>
      <c r="I2807" s="7" t="s">
        <v>156</v>
      </c>
      <c r="J2807" s="7" t="s">
        <v>25</v>
      </c>
      <c r="K2807" s="7"/>
      <c r="L2807" s="7"/>
      <c r="M2807" s="7"/>
      <c r="N2807" s="7" t="s">
        <v>170</v>
      </c>
      <c r="O2807" s="7" t="s">
        <v>162</v>
      </c>
      <c r="P2807" s="7" t="s">
        <v>7470</v>
      </c>
      <c r="Q2807" s="129">
        <v>46199</v>
      </c>
      <c r="R2807" s="130">
        <f t="shared" si="303"/>
        <v>46209</v>
      </c>
      <c r="S2807" s="131">
        <f t="shared" si="304"/>
        <v>10</v>
      </c>
      <c r="T2807" s="7" t="s">
        <v>173</v>
      </c>
      <c r="U2807" s="7" t="s">
        <v>207</v>
      </c>
      <c r="V2807" s="7"/>
      <c r="W2807" s="7"/>
      <c r="X2807" s="132">
        <f t="shared" si="305"/>
        <v>10</v>
      </c>
      <c r="Y2807" s="133"/>
      <c r="Z2807" s="133"/>
      <c r="AA2807" s="133"/>
    </row>
    <row r="2808" spans="1:27" hidden="1" x14ac:dyDescent="0.25">
      <c r="A2808" s="133"/>
      <c r="B2808" s="128" t="str">
        <f t="shared" si="300"/>
        <v>UYCT</v>
      </c>
      <c r="C2808" s="128" t="str">
        <f>+VLOOKUP(U2808,Ходим!A:B,2,0)</f>
        <v>31101985930022</v>
      </c>
      <c r="D2808" s="128" t="str">
        <f>IFERROR(VLOOKUP($B:$B,[20]свод!$A:$AB,3,0)," ")</f>
        <v>Уйчи тумани</v>
      </c>
      <c r="E2808" s="7" t="s">
        <v>3940</v>
      </c>
      <c r="F2808" s="7" t="s">
        <v>10307</v>
      </c>
      <c r="G2808" s="134">
        <f t="shared" si="301"/>
        <v>1</v>
      </c>
      <c r="H2808" s="134" t="str">
        <f t="shared" si="302"/>
        <v/>
      </c>
      <c r="I2808" s="7" t="s">
        <v>158</v>
      </c>
      <c r="J2808" s="7" t="s">
        <v>2</v>
      </c>
      <c r="K2808" s="7"/>
      <c r="L2808" s="7"/>
      <c r="M2808" s="7"/>
      <c r="N2808" s="7" t="s">
        <v>170</v>
      </c>
      <c r="O2808" s="7" t="s">
        <v>162</v>
      </c>
      <c r="P2808" s="7" t="s">
        <v>6532</v>
      </c>
      <c r="Q2808" s="129">
        <v>46199</v>
      </c>
      <c r="R2808" s="130">
        <f t="shared" si="303"/>
        <v>46206</v>
      </c>
      <c r="S2808" s="131">
        <f t="shared" si="304"/>
        <v>7</v>
      </c>
      <c r="T2808" s="7" t="s">
        <v>379</v>
      </c>
      <c r="U2808" s="7" t="s">
        <v>299</v>
      </c>
      <c r="V2808" s="7"/>
      <c r="W2808" s="7"/>
      <c r="X2808" s="132">
        <f t="shared" si="305"/>
        <v>10</v>
      </c>
      <c r="Y2808" s="133"/>
      <c r="Z2808" s="133"/>
      <c r="AA2808" s="133"/>
    </row>
    <row r="2809" spans="1:27" hidden="1" x14ac:dyDescent="0.25">
      <c r="A2809" s="133"/>
      <c r="B2809" s="128" t="str">
        <f t="shared" si="300"/>
        <v>NAMS</v>
      </c>
      <c r="C2809" s="128">
        <f>+VLOOKUP(U2809,Ходим!A:B,2,0)</f>
        <v>51006025960068</v>
      </c>
      <c r="D2809" s="128" t="str">
        <f>IFERROR(VLOOKUP($B:$B,[20]свод!$A:$AB,3,0)," ")</f>
        <v>Наманган шаҳар</v>
      </c>
      <c r="E2809" s="7" t="s">
        <v>3941</v>
      </c>
      <c r="F2809" s="7" t="s">
        <v>10308</v>
      </c>
      <c r="G2809" s="134" t="str">
        <f t="shared" si="301"/>
        <v/>
      </c>
      <c r="H2809" s="134">
        <f t="shared" si="302"/>
        <v>1</v>
      </c>
      <c r="I2809" s="7" t="s">
        <v>157</v>
      </c>
      <c r="J2809" s="7" t="s">
        <v>172</v>
      </c>
      <c r="K2809" s="7"/>
      <c r="L2809" s="7" t="s">
        <v>166</v>
      </c>
      <c r="M2809" s="7" t="s">
        <v>6075</v>
      </c>
      <c r="N2809" s="7" t="s">
        <v>410</v>
      </c>
      <c r="O2809" s="7" t="s">
        <v>161</v>
      </c>
      <c r="P2809" s="7" t="s">
        <v>7471</v>
      </c>
      <c r="Q2809" s="129">
        <v>46199</v>
      </c>
      <c r="R2809" s="130">
        <f t="shared" si="303"/>
        <v>46217</v>
      </c>
      <c r="S2809" s="131">
        <f t="shared" si="304"/>
        <v>18</v>
      </c>
      <c r="T2809" s="7" t="s">
        <v>173</v>
      </c>
      <c r="U2809" s="7" t="s">
        <v>944</v>
      </c>
      <c r="V2809" s="7"/>
      <c r="W2809" s="7">
        <v>2655.78</v>
      </c>
      <c r="X2809" s="132">
        <f t="shared" si="305"/>
        <v>17</v>
      </c>
      <c r="Y2809" s="133"/>
      <c r="Z2809" s="133"/>
      <c r="AA2809" s="133"/>
    </row>
    <row r="2810" spans="1:27" hidden="1" x14ac:dyDescent="0.25">
      <c r="A2810" s="133"/>
      <c r="B2810" s="128" t="str">
        <f t="shared" si="300"/>
        <v>NAMS</v>
      </c>
      <c r="C2810" s="128" t="str">
        <f>+VLOOKUP(U2810,Ходим!A:B,2,0)</f>
        <v>31312985950011</v>
      </c>
      <c r="D2810" s="128" t="str">
        <f>IFERROR(VLOOKUP($B:$B,[20]свод!$A:$AB,3,0)," ")</f>
        <v>Наманган шаҳар</v>
      </c>
      <c r="E2810" s="7" t="s">
        <v>3942</v>
      </c>
      <c r="F2810" s="7" t="s">
        <v>10309</v>
      </c>
      <c r="G2810" s="134" t="str">
        <f t="shared" si="301"/>
        <v/>
      </c>
      <c r="H2810" s="134">
        <f t="shared" si="302"/>
        <v>1</v>
      </c>
      <c r="I2810" s="7" t="s">
        <v>157</v>
      </c>
      <c r="J2810" s="7" t="s">
        <v>2</v>
      </c>
      <c r="K2810" s="7"/>
      <c r="L2810" s="7" t="s">
        <v>166</v>
      </c>
      <c r="M2810" s="7" t="s">
        <v>1096</v>
      </c>
      <c r="N2810" s="7" t="s">
        <v>410</v>
      </c>
      <c r="O2810" s="7" t="s">
        <v>161</v>
      </c>
      <c r="P2810" s="7" t="s">
        <v>7472</v>
      </c>
      <c r="Q2810" s="129">
        <v>46199</v>
      </c>
      <c r="R2810" s="130">
        <f t="shared" si="303"/>
        <v>46209</v>
      </c>
      <c r="S2810" s="131">
        <f t="shared" si="304"/>
        <v>10</v>
      </c>
      <c r="T2810" s="7" t="s">
        <v>173</v>
      </c>
      <c r="U2810" s="7" t="s">
        <v>303</v>
      </c>
      <c r="V2810" s="7"/>
      <c r="W2810" s="7">
        <v>0</v>
      </c>
      <c r="X2810" s="132">
        <f t="shared" si="305"/>
        <v>10</v>
      </c>
      <c r="Y2810" s="133"/>
      <c r="Z2810" s="133"/>
      <c r="AA2810" s="133"/>
    </row>
    <row r="2811" spans="1:27" x14ac:dyDescent="0.25">
      <c r="A2811" s="133"/>
      <c r="B2811" s="128" t="str">
        <f t="shared" si="300"/>
        <v>UYCT</v>
      </c>
      <c r="C2811" s="128" t="str">
        <f>+VLOOKUP(U2811,Ходим!A:B,2,0)</f>
        <v>30309975930028</v>
      </c>
      <c r="D2811" s="128" t="str">
        <f>IFERROR(VLOOKUP($B:$B,[20]свод!$A:$AB,3,0)," ")</f>
        <v>Уйчи тумани</v>
      </c>
      <c r="E2811" s="7" t="s">
        <v>3943</v>
      </c>
      <c r="F2811" s="7" t="s">
        <v>10310</v>
      </c>
      <c r="G2811" s="134">
        <f t="shared" si="301"/>
        <v>1</v>
      </c>
      <c r="H2811" s="134" t="str">
        <f t="shared" si="302"/>
        <v/>
      </c>
      <c r="I2811" s="7" t="s">
        <v>154</v>
      </c>
      <c r="J2811" s="7" t="s">
        <v>100</v>
      </c>
      <c r="K2811" s="7"/>
      <c r="L2811" s="7" t="s">
        <v>167</v>
      </c>
      <c r="M2811" s="7" t="s">
        <v>6076</v>
      </c>
      <c r="N2811" s="7" t="s">
        <v>170</v>
      </c>
      <c r="O2811" s="7" t="s">
        <v>162</v>
      </c>
      <c r="P2811" s="7" t="s">
        <v>7473</v>
      </c>
      <c r="Q2811" s="129">
        <v>46199</v>
      </c>
      <c r="R2811" s="130">
        <f t="shared" si="303"/>
        <v>46198</v>
      </c>
      <c r="S2811" s="131">
        <f t="shared" si="304"/>
        <v>-1</v>
      </c>
      <c r="T2811" s="7" t="s">
        <v>947</v>
      </c>
      <c r="U2811" s="7" t="s">
        <v>261</v>
      </c>
      <c r="V2811" s="7"/>
      <c r="W2811" s="7">
        <v>319.97000000000003</v>
      </c>
      <c r="X2811" s="132">
        <f t="shared" si="305"/>
        <v>10</v>
      </c>
      <c r="Y2811" s="133"/>
      <c r="Z2811" s="133"/>
      <c r="AA2811" s="133"/>
    </row>
    <row r="2812" spans="1:27" hidden="1" x14ac:dyDescent="0.25">
      <c r="A2812" s="133"/>
      <c r="B2812" s="128" t="str">
        <f t="shared" si="300"/>
        <v>UYCT</v>
      </c>
      <c r="C2812" s="128" t="str">
        <f>+VLOOKUP(U2812,Ходим!A:B,2,0)</f>
        <v>30309975930028</v>
      </c>
      <c r="D2812" s="128" t="str">
        <f>IFERROR(VLOOKUP($B:$B,[20]свод!$A:$AB,3,0)," ")</f>
        <v>Уйчи тумани</v>
      </c>
      <c r="E2812" s="7" t="s">
        <v>3944</v>
      </c>
      <c r="F2812" s="7"/>
      <c r="G2812" s="134">
        <f t="shared" si="301"/>
        <v>1</v>
      </c>
      <c r="H2812" s="134" t="str">
        <f t="shared" si="302"/>
        <v/>
      </c>
      <c r="I2812" s="7" t="s">
        <v>154</v>
      </c>
      <c r="J2812" s="7" t="s">
        <v>1</v>
      </c>
      <c r="K2812" s="7"/>
      <c r="L2812" s="7" t="s">
        <v>167</v>
      </c>
      <c r="M2812" s="7" t="s">
        <v>6077</v>
      </c>
      <c r="N2812" s="7" t="s">
        <v>368</v>
      </c>
      <c r="O2812" s="7"/>
      <c r="P2812" s="7" t="s">
        <v>7474</v>
      </c>
      <c r="Q2812" s="129">
        <v>46199</v>
      </c>
      <c r="R2812" s="130">
        <f t="shared" si="303"/>
        <v>46203</v>
      </c>
      <c r="S2812" s="131">
        <f t="shared" si="304"/>
        <v>4</v>
      </c>
      <c r="T2812" s="7" t="s">
        <v>379</v>
      </c>
      <c r="U2812" s="7" t="s">
        <v>261</v>
      </c>
      <c r="V2812" s="7"/>
      <c r="W2812" s="7">
        <v>445.57</v>
      </c>
      <c r="X2812" s="132">
        <f t="shared" si="305"/>
        <v>5</v>
      </c>
      <c r="Y2812" s="133"/>
      <c r="Z2812" s="133"/>
      <c r="AA2812" s="133"/>
    </row>
    <row r="2813" spans="1:27" hidden="1" x14ac:dyDescent="0.25">
      <c r="A2813" s="133"/>
      <c r="B2813" s="128" t="str">
        <f t="shared" si="300"/>
        <v>KSST</v>
      </c>
      <c r="C2813" s="128" t="str">
        <f>+VLOOKUP(U2813,Ходим!A:B,2,0)</f>
        <v>31407932190092</v>
      </c>
      <c r="D2813" s="128" t="str">
        <f>IFERROR(VLOOKUP($B:$B,[20]свод!$A:$AB,3,0)," ")</f>
        <v>Косонсой тумани</v>
      </c>
      <c r="E2813" s="7" t="s">
        <v>3945</v>
      </c>
      <c r="F2813" s="7" t="s">
        <v>10311</v>
      </c>
      <c r="G2813" s="134">
        <f t="shared" si="301"/>
        <v>1</v>
      </c>
      <c r="H2813" s="134" t="str">
        <f t="shared" si="302"/>
        <v/>
      </c>
      <c r="I2813" s="7" t="s">
        <v>158</v>
      </c>
      <c r="J2813" s="7" t="s">
        <v>2</v>
      </c>
      <c r="K2813" s="7"/>
      <c r="L2813" s="7" t="s">
        <v>167</v>
      </c>
      <c r="M2813" s="7" t="s">
        <v>6078</v>
      </c>
      <c r="N2813" s="7" t="s">
        <v>170</v>
      </c>
      <c r="O2813" s="7" t="s">
        <v>162</v>
      </c>
      <c r="P2813" s="7" t="s">
        <v>7475</v>
      </c>
      <c r="Q2813" s="129">
        <v>46199</v>
      </c>
      <c r="R2813" s="130">
        <f t="shared" si="303"/>
        <v>46210</v>
      </c>
      <c r="S2813" s="131">
        <f t="shared" si="304"/>
        <v>11</v>
      </c>
      <c r="T2813" s="7" t="s">
        <v>180</v>
      </c>
      <c r="U2813" s="7" t="s">
        <v>188</v>
      </c>
      <c r="V2813" s="7"/>
      <c r="W2813" s="7">
        <v>93.4</v>
      </c>
      <c r="X2813" s="132">
        <f t="shared" si="305"/>
        <v>10</v>
      </c>
      <c r="Y2813" s="133"/>
      <c r="Z2813" s="133"/>
      <c r="AA2813" s="133"/>
    </row>
    <row r="2814" spans="1:27" hidden="1" x14ac:dyDescent="0.25">
      <c r="A2814" s="133"/>
      <c r="B2814" s="128" t="str">
        <f t="shared" si="300"/>
        <v>NAMS</v>
      </c>
      <c r="C2814" s="128" t="str">
        <f>+VLOOKUP(U2814,Ходим!A:B,2,0)</f>
        <v>31309942170160</v>
      </c>
      <c r="D2814" s="128" t="str">
        <f>IFERROR(VLOOKUP($B:$B,[20]свод!$A:$AB,3,0)," ")</f>
        <v>Наманган шаҳар</v>
      </c>
      <c r="E2814" s="7" t="s">
        <v>3946</v>
      </c>
      <c r="F2814" s="7" t="s">
        <v>10312</v>
      </c>
      <c r="G2814" s="134" t="str">
        <f t="shared" si="301"/>
        <v/>
      </c>
      <c r="H2814" s="134">
        <f t="shared" si="302"/>
        <v>1</v>
      </c>
      <c r="I2814" s="7" t="s">
        <v>154</v>
      </c>
      <c r="J2814" s="7" t="s">
        <v>2</v>
      </c>
      <c r="K2814" s="7"/>
      <c r="L2814" s="7"/>
      <c r="M2814" s="7"/>
      <c r="N2814" s="7" t="s">
        <v>410</v>
      </c>
      <c r="O2814" s="7" t="s">
        <v>161</v>
      </c>
      <c r="P2814" s="7" t="s">
        <v>7476</v>
      </c>
      <c r="Q2814" s="129">
        <v>46199</v>
      </c>
      <c r="R2814" s="130">
        <f t="shared" si="303"/>
        <v>46210</v>
      </c>
      <c r="S2814" s="131">
        <f t="shared" si="304"/>
        <v>11</v>
      </c>
      <c r="T2814" s="7" t="s">
        <v>227</v>
      </c>
      <c r="U2814" s="7" t="s">
        <v>333</v>
      </c>
      <c r="V2814" s="7"/>
      <c r="W2814" s="7"/>
      <c r="X2814" s="132">
        <f t="shared" si="305"/>
        <v>10</v>
      </c>
      <c r="Y2814" s="133"/>
      <c r="Z2814" s="133"/>
      <c r="AA2814" s="133"/>
    </row>
    <row r="2815" spans="1:27" hidden="1" x14ac:dyDescent="0.25">
      <c r="A2815" s="133"/>
      <c r="B2815" s="128" t="str">
        <f t="shared" si="300"/>
        <v>UCQT</v>
      </c>
      <c r="C2815" s="128" t="e">
        <f>+VLOOKUP(U2815,Ходим!A:B,2,0)</f>
        <v>#N/A</v>
      </c>
      <c r="D2815" s="128" t="str">
        <f>IFERROR(VLOOKUP($B:$B,[20]свод!$A:$AB,3,0)," ")</f>
        <v>Учқўрғон тумани</v>
      </c>
      <c r="E2815" s="7" t="s">
        <v>3947</v>
      </c>
      <c r="F2815" s="7" t="s">
        <v>10313</v>
      </c>
      <c r="G2815" s="134">
        <f t="shared" si="301"/>
        <v>1</v>
      </c>
      <c r="H2815" s="134" t="str">
        <f t="shared" si="302"/>
        <v/>
      </c>
      <c r="I2815" s="7" t="s">
        <v>156</v>
      </c>
      <c r="J2815" s="7" t="s">
        <v>11</v>
      </c>
      <c r="K2815" s="7"/>
      <c r="L2815" s="7"/>
      <c r="M2815" s="7"/>
      <c r="N2815" s="7" t="s">
        <v>170</v>
      </c>
      <c r="O2815" s="7" t="s">
        <v>162</v>
      </c>
      <c r="P2815" s="7" t="s">
        <v>7476</v>
      </c>
      <c r="Q2815" s="129">
        <v>46199</v>
      </c>
      <c r="R2815" s="130">
        <f t="shared" si="303"/>
        <v>46210</v>
      </c>
      <c r="S2815" s="131">
        <f t="shared" si="304"/>
        <v>11</v>
      </c>
      <c r="T2815" s="7" t="s">
        <v>175</v>
      </c>
      <c r="U2815" s="7"/>
      <c r="V2815" s="7"/>
      <c r="W2815" s="7"/>
      <c r="X2815" s="132">
        <f t="shared" si="305"/>
        <v>10</v>
      </c>
      <c r="Y2815" s="133"/>
      <c r="Z2815" s="133"/>
      <c r="AA2815" s="133"/>
    </row>
    <row r="2816" spans="1:27" hidden="1" x14ac:dyDescent="0.25">
      <c r="A2816" s="133"/>
      <c r="B2816" s="128" t="str">
        <f t="shared" si="300"/>
        <v>YGQT</v>
      </c>
      <c r="C2816" s="128" t="str">
        <f>+VLOOKUP(U2816,Ходим!A:B,2,0)</f>
        <v>30107965950010</v>
      </c>
      <c r="D2816" s="128" t="str">
        <f>IFERROR(VLOOKUP($B:$B,[20]свод!$A:$AB,3,0)," ")</f>
        <v>Янгиқўрғон тумани</v>
      </c>
      <c r="E2816" s="7" t="s">
        <v>3948</v>
      </c>
      <c r="F2816" s="7" t="s">
        <v>10314</v>
      </c>
      <c r="G2816" s="134">
        <f t="shared" si="301"/>
        <v>1</v>
      </c>
      <c r="H2816" s="134" t="str">
        <f t="shared" si="302"/>
        <v/>
      </c>
      <c r="I2816" s="7" t="s">
        <v>158</v>
      </c>
      <c r="J2816" s="7" t="s">
        <v>2</v>
      </c>
      <c r="K2816" s="7"/>
      <c r="L2816" s="7" t="s">
        <v>167</v>
      </c>
      <c r="M2816" s="7" t="s">
        <v>6079</v>
      </c>
      <c r="N2816" s="7" t="s">
        <v>170</v>
      </c>
      <c r="O2816" s="7" t="s">
        <v>162</v>
      </c>
      <c r="P2816" s="7" t="s">
        <v>7476</v>
      </c>
      <c r="Q2816" s="129">
        <v>46199</v>
      </c>
      <c r="R2816" s="130">
        <f t="shared" si="303"/>
        <v>46210</v>
      </c>
      <c r="S2816" s="131">
        <f t="shared" si="304"/>
        <v>11</v>
      </c>
      <c r="T2816" s="7" t="s">
        <v>182</v>
      </c>
      <c r="U2816" s="7" t="s">
        <v>244</v>
      </c>
      <c r="V2816" s="7"/>
      <c r="W2816" s="7">
        <v>357.83</v>
      </c>
      <c r="X2816" s="132">
        <f t="shared" si="305"/>
        <v>10</v>
      </c>
      <c r="Y2816" s="133"/>
      <c r="Z2816" s="133"/>
      <c r="AA2816" s="133"/>
    </row>
    <row r="2817" spans="1:27" hidden="1" x14ac:dyDescent="0.25">
      <c r="A2817" s="133"/>
      <c r="B2817" s="128" t="str">
        <f t="shared" si="300"/>
        <v>NAMT</v>
      </c>
      <c r="C2817" s="128" t="str">
        <f>+VLOOKUP(U2817,Ходим!A:B,2,0)</f>
        <v>31205812090050</v>
      </c>
      <c r="D2817" s="128" t="str">
        <f>IFERROR(VLOOKUP($B:$B,[20]свод!$A:$AB,3,0)," ")</f>
        <v>Наманган тумани</v>
      </c>
      <c r="E2817" s="7" t="s">
        <v>3949</v>
      </c>
      <c r="F2817" s="7" t="s">
        <v>10315</v>
      </c>
      <c r="G2817" s="134">
        <f t="shared" si="301"/>
        <v>1</v>
      </c>
      <c r="H2817" s="134" t="str">
        <f t="shared" si="302"/>
        <v/>
      </c>
      <c r="I2817" s="7" t="s">
        <v>156</v>
      </c>
      <c r="J2817" s="7" t="s">
        <v>25</v>
      </c>
      <c r="K2817" s="7"/>
      <c r="L2817" s="7" t="s">
        <v>167</v>
      </c>
      <c r="M2817" s="7" t="s">
        <v>1086</v>
      </c>
      <c r="N2817" s="7" t="s">
        <v>170</v>
      </c>
      <c r="O2817" s="7" t="s">
        <v>162</v>
      </c>
      <c r="P2817" s="7" t="s">
        <v>7477</v>
      </c>
      <c r="Q2817" s="129">
        <v>46199</v>
      </c>
      <c r="R2817" s="130">
        <f t="shared" si="303"/>
        <v>46210</v>
      </c>
      <c r="S2817" s="131">
        <f t="shared" si="304"/>
        <v>11</v>
      </c>
      <c r="T2817" s="7" t="s">
        <v>193</v>
      </c>
      <c r="U2817" s="7" t="s">
        <v>346</v>
      </c>
      <c r="V2817" s="7"/>
      <c r="W2817" s="7">
        <v>59.96</v>
      </c>
      <c r="X2817" s="132">
        <f t="shared" si="305"/>
        <v>10</v>
      </c>
      <c r="Y2817" s="133"/>
      <c r="Z2817" s="133"/>
      <c r="AA2817" s="133"/>
    </row>
    <row r="2818" spans="1:27" hidden="1" x14ac:dyDescent="0.25">
      <c r="A2818" s="133"/>
      <c r="B2818" s="128" t="str">
        <f t="shared" si="300"/>
        <v>NAMS</v>
      </c>
      <c r="C2818" s="128" t="str">
        <f>+VLOOKUP(U2818,Ходим!A:B,2,0)</f>
        <v>52503015960039</v>
      </c>
      <c r="D2818" s="128" t="str">
        <f>IFERROR(VLOOKUP($B:$B,[20]свод!$A:$AB,3,0)," ")</f>
        <v>Наманган шаҳар</v>
      </c>
      <c r="E2818" s="7" t="s">
        <v>3950</v>
      </c>
      <c r="F2818" s="7" t="s">
        <v>10316</v>
      </c>
      <c r="G2818" s="134">
        <f t="shared" si="301"/>
        <v>1</v>
      </c>
      <c r="H2818" s="134" t="str">
        <f t="shared" si="302"/>
        <v/>
      </c>
      <c r="I2818" s="7" t="s">
        <v>158</v>
      </c>
      <c r="J2818" s="7" t="s">
        <v>2</v>
      </c>
      <c r="K2818" s="7"/>
      <c r="L2818" s="7"/>
      <c r="M2818" s="7"/>
      <c r="N2818" s="7" t="s">
        <v>170</v>
      </c>
      <c r="O2818" s="7" t="s">
        <v>162</v>
      </c>
      <c r="P2818" s="7" t="s">
        <v>7478</v>
      </c>
      <c r="Q2818" s="129">
        <v>46199</v>
      </c>
      <c r="R2818" s="130">
        <f t="shared" si="303"/>
        <v>46210</v>
      </c>
      <c r="S2818" s="131">
        <f t="shared" si="304"/>
        <v>11</v>
      </c>
      <c r="T2818" s="7" t="s">
        <v>173</v>
      </c>
      <c r="U2818" s="7" t="s">
        <v>246</v>
      </c>
      <c r="V2818" s="7"/>
      <c r="W2818" s="7"/>
      <c r="X2818" s="132">
        <f t="shared" si="305"/>
        <v>10</v>
      </c>
      <c r="Y2818" s="133"/>
      <c r="Z2818" s="133"/>
      <c r="AA2818" s="133"/>
    </row>
    <row r="2819" spans="1:27" hidden="1" x14ac:dyDescent="0.25">
      <c r="A2819" s="133"/>
      <c r="B2819" s="128" t="str">
        <f t="shared" si="300"/>
        <v>MINT</v>
      </c>
      <c r="C2819" s="128" t="e">
        <f>+VLOOKUP(U2819,Ходим!A:B,2,0)</f>
        <v>#N/A</v>
      </c>
      <c r="D2819" s="128" t="str">
        <f>IFERROR(VLOOKUP($B:$B,[20]свод!$A:$AB,3,0)," ")</f>
        <v>Мингбулоқ тумани</v>
      </c>
      <c r="E2819" s="7" t="s">
        <v>3951</v>
      </c>
      <c r="F2819" s="7" t="s">
        <v>10317</v>
      </c>
      <c r="G2819" s="134">
        <f t="shared" si="301"/>
        <v>1</v>
      </c>
      <c r="H2819" s="134" t="str">
        <f t="shared" si="302"/>
        <v/>
      </c>
      <c r="I2819" s="7" t="s">
        <v>156</v>
      </c>
      <c r="J2819" s="7" t="s">
        <v>11</v>
      </c>
      <c r="K2819" s="7"/>
      <c r="L2819" s="7" t="s">
        <v>167</v>
      </c>
      <c r="M2819" s="7" t="s">
        <v>6080</v>
      </c>
      <c r="N2819" s="7" t="s">
        <v>170</v>
      </c>
      <c r="O2819" s="7" t="s">
        <v>162</v>
      </c>
      <c r="P2819" s="7" t="s">
        <v>7478</v>
      </c>
      <c r="Q2819" s="129">
        <v>46199</v>
      </c>
      <c r="R2819" s="130">
        <f t="shared" si="303"/>
        <v>46210</v>
      </c>
      <c r="S2819" s="131">
        <f t="shared" si="304"/>
        <v>11</v>
      </c>
      <c r="T2819" s="7"/>
      <c r="U2819" s="7"/>
      <c r="V2819" s="7"/>
      <c r="W2819" s="7">
        <v>791.73</v>
      </c>
      <c r="X2819" s="132">
        <f t="shared" si="305"/>
        <v>10</v>
      </c>
      <c r="Y2819" s="133"/>
      <c r="Z2819" s="133"/>
      <c r="AA2819" s="133"/>
    </row>
    <row r="2820" spans="1:27" hidden="1" x14ac:dyDescent="0.25">
      <c r="A2820" s="133"/>
      <c r="B2820" s="128" t="str">
        <f t="shared" si="300"/>
        <v>MINT</v>
      </c>
      <c r="C2820" s="128" t="e">
        <f>+VLOOKUP(U2820,Ходим!A:B,2,0)</f>
        <v>#N/A</v>
      </c>
      <c r="D2820" s="128" t="str">
        <f>IFERROR(VLOOKUP($B:$B,[20]свод!$A:$AB,3,0)," ")</f>
        <v>Мингбулоқ тумани</v>
      </c>
      <c r="E2820" s="7" t="s">
        <v>3952</v>
      </c>
      <c r="F2820" s="7" t="s">
        <v>10318</v>
      </c>
      <c r="G2820" s="134">
        <f t="shared" si="301"/>
        <v>1</v>
      </c>
      <c r="H2820" s="134" t="str">
        <f t="shared" si="302"/>
        <v/>
      </c>
      <c r="I2820" s="7" t="s">
        <v>159</v>
      </c>
      <c r="J2820" s="7" t="s">
        <v>137</v>
      </c>
      <c r="K2820" s="7"/>
      <c r="L2820" s="7" t="s">
        <v>167</v>
      </c>
      <c r="M2820" s="7" t="s">
        <v>1033</v>
      </c>
      <c r="N2820" s="7" t="s">
        <v>170</v>
      </c>
      <c r="O2820" s="7" t="s">
        <v>163</v>
      </c>
      <c r="P2820" s="7" t="s">
        <v>7477</v>
      </c>
      <c r="Q2820" s="129">
        <v>46199</v>
      </c>
      <c r="R2820" s="130">
        <f t="shared" si="303"/>
        <v>46210</v>
      </c>
      <c r="S2820" s="131">
        <f t="shared" si="304"/>
        <v>11</v>
      </c>
      <c r="T2820" s="7"/>
      <c r="U2820" s="7"/>
      <c r="V2820" s="7"/>
      <c r="W2820" s="7">
        <v>156.13</v>
      </c>
      <c r="X2820" s="132">
        <f t="shared" si="305"/>
        <v>10</v>
      </c>
      <c r="Y2820" s="133"/>
      <c r="Z2820" s="133"/>
      <c r="AA2820" s="133"/>
    </row>
    <row r="2821" spans="1:27" hidden="1" x14ac:dyDescent="0.25">
      <c r="A2821" s="133"/>
      <c r="B2821" s="128" t="str">
        <f t="shared" si="300"/>
        <v>TORT</v>
      </c>
      <c r="C2821" s="128" t="str">
        <f>+VLOOKUP(U2821,Ходим!A:B,2,0)</f>
        <v>30702995920011</v>
      </c>
      <c r="D2821" s="128" t="str">
        <f>IFERROR(VLOOKUP($B:$B,[20]свод!$A:$AB,3,0)," ")</f>
        <v>Тўрақўрғон тумани</v>
      </c>
      <c r="E2821" s="7" t="s">
        <v>3953</v>
      </c>
      <c r="F2821" s="7" t="s">
        <v>10319</v>
      </c>
      <c r="G2821" s="134">
        <f t="shared" si="301"/>
        <v>1</v>
      </c>
      <c r="H2821" s="134" t="str">
        <f t="shared" si="302"/>
        <v/>
      </c>
      <c r="I2821" s="7" t="s">
        <v>156</v>
      </c>
      <c r="J2821" s="7" t="s">
        <v>25</v>
      </c>
      <c r="K2821" s="7"/>
      <c r="L2821" s="7"/>
      <c r="M2821" s="7"/>
      <c r="N2821" s="7" t="s">
        <v>170</v>
      </c>
      <c r="O2821" s="7" t="s">
        <v>162</v>
      </c>
      <c r="P2821" s="7" t="s">
        <v>7479</v>
      </c>
      <c r="Q2821" s="129">
        <v>46199</v>
      </c>
      <c r="R2821" s="130">
        <f t="shared" si="303"/>
        <v>46210</v>
      </c>
      <c r="S2821" s="131">
        <f t="shared" si="304"/>
        <v>11</v>
      </c>
      <c r="T2821" s="7" t="s">
        <v>203</v>
      </c>
      <c r="U2821" s="7" t="s">
        <v>341</v>
      </c>
      <c r="V2821" s="7"/>
      <c r="W2821" s="7"/>
      <c r="X2821" s="132">
        <f t="shared" si="305"/>
        <v>10</v>
      </c>
      <c r="Y2821" s="133"/>
      <c r="Z2821" s="133"/>
      <c r="AA2821" s="133"/>
    </row>
    <row r="2822" spans="1:27" hidden="1" x14ac:dyDescent="0.25">
      <c r="A2822" s="133"/>
      <c r="B2822" s="128" t="str">
        <f t="shared" si="300"/>
        <v>KSST</v>
      </c>
      <c r="C2822" s="128" t="str">
        <f>+VLOOKUP(U2822,Ходим!A:B,2,0)</f>
        <v>32910975980025</v>
      </c>
      <c r="D2822" s="128" t="str">
        <f>IFERROR(VLOOKUP($B:$B,[20]свод!$A:$AB,3,0)," ")</f>
        <v>Косонсой тумани</v>
      </c>
      <c r="E2822" s="7" t="s">
        <v>3954</v>
      </c>
      <c r="F2822" s="7" t="s">
        <v>10320</v>
      </c>
      <c r="G2822" s="134">
        <f t="shared" si="301"/>
        <v>1</v>
      </c>
      <c r="H2822" s="134" t="str">
        <f t="shared" si="302"/>
        <v/>
      </c>
      <c r="I2822" s="7" t="s">
        <v>158</v>
      </c>
      <c r="J2822" s="7" t="s">
        <v>2</v>
      </c>
      <c r="K2822" s="7"/>
      <c r="L2822" s="7" t="s">
        <v>167</v>
      </c>
      <c r="M2822" s="7" t="s">
        <v>6081</v>
      </c>
      <c r="N2822" s="7" t="s">
        <v>170</v>
      </c>
      <c r="O2822" s="7" t="s">
        <v>163</v>
      </c>
      <c r="P2822" s="7" t="s">
        <v>7480</v>
      </c>
      <c r="Q2822" s="129">
        <v>46199</v>
      </c>
      <c r="R2822" s="130">
        <f t="shared" si="303"/>
        <v>46210</v>
      </c>
      <c r="S2822" s="131">
        <f t="shared" si="304"/>
        <v>11</v>
      </c>
      <c r="T2822" s="7" t="s">
        <v>180</v>
      </c>
      <c r="U2822" s="7" t="s">
        <v>187</v>
      </c>
      <c r="V2822" s="7"/>
      <c r="W2822" s="7">
        <v>252.14</v>
      </c>
      <c r="X2822" s="132">
        <f t="shared" si="305"/>
        <v>10</v>
      </c>
      <c r="Y2822" s="133"/>
      <c r="Z2822" s="133"/>
      <c r="AA2822" s="133"/>
    </row>
    <row r="2823" spans="1:27" hidden="1" x14ac:dyDescent="0.25">
      <c r="A2823" s="133"/>
      <c r="B2823" s="128" t="str">
        <f t="shared" si="300"/>
        <v>UCQT</v>
      </c>
      <c r="C2823" s="128" t="e">
        <f>+VLOOKUP(U2823,Ходим!A:B,2,0)</f>
        <v>#N/A</v>
      </c>
      <c r="D2823" s="128" t="str">
        <f>IFERROR(VLOOKUP($B:$B,[20]свод!$A:$AB,3,0)," ")</f>
        <v>Учқўрғон тумани</v>
      </c>
      <c r="E2823" s="7" t="s">
        <v>3955</v>
      </c>
      <c r="F2823" s="7" t="s">
        <v>10321</v>
      </c>
      <c r="G2823" s="134">
        <f t="shared" si="301"/>
        <v>1</v>
      </c>
      <c r="H2823" s="134" t="str">
        <f t="shared" si="302"/>
        <v/>
      </c>
      <c r="I2823" s="7" t="s">
        <v>156</v>
      </c>
      <c r="J2823" s="7" t="s">
        <v>11</v>
      </c>
      <c r="K2823" s="7"/>
      <c r="L2823" s="7"/>
      <c r="M2823" s="7"/>
      <c r="N2823" s="7" t="s">
        <v>170</v>
      </c>
      <c r="O2823" s="7" t="s">
        <v>162</v>
      </c>
      <c r="P2823" s="7" t="s">
        <v>7481</v>
      </c>
      <c r="Q2823" s="129">
        <v>46199</v>
      </c>
      <c r="R2823" s="130">
        <f t="shared" si="303"/>
        <v>46210</v>
      </c>
      <c r="S2823" s="131">
        <f t="shared" si="304"/>
        <v>11</v>
      </c>
      <c r="T2823" s="7" t="s">
        <v>175</v>
      </c>
      <c r="U2823" s="7"/>
      <c r="V2823" s="7"/>
      <c r="W2823" s="7"/>
      <c r="X2823" s="132">
        <f t="shared" si="305"/>
        <v>10</v>
      </c>
      <c r="Y2823" s="133"/>
      <c r="Z2823" s="133"/>
      <c r="AA2823" s="133"/>
    </row>
    <row r="2824" spans="1:27" hidden="1" x14ac:dyDescent="0.25">
      <c r="A2824" s="133"/>
      <c r="B2824" s="128" t="str">
        <f t="shared" si="300"/>
        <v>UCQT</v>
      </c>
      <c r="C2824" s="128" t="e">
        <f>+VLOOKUP(U2824,Ходим!A:B,2,0)</f>
        <v>#N/A</v>
      </c>
      <c r="D2824" s="128" t="str">
        <f>IFERROR(VLOOKUP($B:$B,[20]свод!$A:$AB,3,0)," ")</f>
        <v>Учқўрғон тумани</v>
      </c>
      <c r="E2824" s="7" t="s">
        <v>3956</v>
      </c>
      <c r="F2824" s="7" t="s">
        <v>10322</v>
      </c>
      <c r="G2824" s="134">
        <f t="shared" si="301"/>
        <v>1</v>
      </c>
      <c r="H2824" s="134" t="str">
        <f t="shared" si="302"/>
        <v/>
      </c>
      <c r="I2824" s="7" t="s">
        <v>156</v>
      </c>
      <c r="J2824" s="7" t="s">
        <v>11</v>
      </c>
      <c r="K2824" s="7"/>
      <c r="L2824" s="7"/>
      <c r="M2824" s="7"/>
      <c r="N2824" s="7" t="s">
        <v>170</v>
      </c>
      <c r="O2824" s="7" t="s">
        <v>162</v>
      </c>
      <c r="P2824" s="7" t="s">
        <v>7481</v>
      </c>
      <c r="Q2824" s="129">
        <v>46199</v>
      </c>
      <c r="R2824" s="130">
        <f t="shared" si="303"/>
        <v>46210</v>
      </c>
      <c r="S2824" s="131">
        <f t="shared" si="304"/>
        <v>11</v>
      </c>
      <c r="T2824" s="7" t="s">
        <v>175</v>
      </c>
      <c r="U2824" s="7"/>
      <c r="V2824" s="7"/>
      <c r="W2824" s="7"/>
      <c r="X2824" s="132">
        <f t="shared" si="305"/>
        <v>10</v>
      </c>
      <c r="Y2824" s="133"/>
      <c r="Z2824" s="133"/>
      <c r="AA2824" s="133"/>
    </row>
    <row r="2825" spans="1:27" hidden="1" x14ac:dyDescent="0.25">
      <c r="A2825" s="133"/>
      <c r="B2825" s="128" t="str">
        <f t="shared" si="300"/>
        <v>MINT</v>
      </c>
      <c r="C2825" s="128" t="e">
        <f>+VLOOKUP(U2825,Ходим!A:B,2,0)</f>
        <v>#N/A</v>
      </c>
      <c r="D2825" s="128" t="str">
        <f>IFERROR(VLOOKUP($B:$B,[20]свод!$A:$AB,3,0)," ")</f>
        <v>Мингбулоқ тумани</v>
      </c>
      <c r="E2825" s="7" t="s">
        <v>3957</v>
      </c>
      <c r="F2825" s="7" t="s">
        <v>10323</v>
      </c>
      <c r="G2825" s="134">
        <f t="shared" si="301"/>
        <v>1</v>
      </c>
      <c r="H2825" s="134" t="str">
        <f t="shared" si="302"/>
        <v/>
      </c>
      <c r="I2825" s="7" t="s">
        <v>156</v>
      </c>
      <c r="J2825" s="7" t="s">
        <v>11</v>
      </c>
      <c r="K2825" s="7"/>
      <c r="L2825" s="7" t="s">
        <v>167</v>
      </c>
      <c r="M2825" s="7" t="s">
        <v>6082</v>
      </c>
      <c r="N2825" s="7" t="s">
        <v>170</v>
      </c>
      <c r="O2825" s="7" t="s">
        <v>162</v>
      </c>
      <c r="P2825" s="7" t="s">
        <v>7482</v>
      </c>
      <c r="Q2825" s="129">
        <v>46199</v>
      </c>
      <c r="R2825" s="130">
        <f t="shared" si="303"/>
        <v>46210</v>
      </c>
      <c r="S2825" s="131">
        <f t="shared" si="304"/>
        <v>11</v>
      </c>
      <c r="T2825" s="7"/>
      <c r="U2825" s="7"/>
      <c r="V2825" s="7"/>
      <c r="W2825" s="7">
        <v>59.4</v>
      </c>
      <c r="X2825" s="132">
        <f t="shared" si="305"/>
        <v>10</v>
      </c>
      <c r="Y2825" s="133"/>
      <c r="Z2825" s="133"/>
      <c r="AA2825" s="133"/>
    </row>
    <row r="2826" spans="1:27" hidden="1" x14ac:dyDescent="0.25">
      <c r="A2826" s="133"/>
      <c r="B2826" s="128" t="str">
        <f t="shared" si="300"/>
        <v>YGQT</v>
      </c>
      <c r="C2826" s="128" t="str">
        <f>+VLOOKUP(U2826,Ходим!A:B,2,0)</f>
        <v>30809995950021</v>
      </c>
      <c r="D2826" s="128" t="str">
        <f>IFERROR(VLOOKUP($B:$B,[20]свод!$A:$AB,3,0)," ")</f>
        <v>Янгиқўрғон тумани</v>
      </c>
      <c r="E2826" s="7" t="s">
        <v>3958</v>
      </c>
      <c r="F2826" s="7" t="s">
        <v>10324</v>
      </c>
      <c r="G2826" s="134" t="str">
        <f t="shared" si="301"/>
        <v/>
      </c>
      <c r="H2826" s="134">
        <f t="shared" si="302"/>
        <v>1</v>
      </c>
      <c r="I2826" s="7" t="s">
        <v>157</v>
      </c>
      <c r="J2826" s="7" t="s">
        <v>2</v>
      </c>
      <c r="K2826" s="7"/>
      <c r="L2826" s="7"/>
      <c r="M2826" s="7"/>
      <c r="N2826" s="7" t="s">
        <v>170</v>
      </c>
      <c r="O2826" s="7" t="s">
        <v>161</v>
      </c>
      <c r="P2826" s="7" t="s">
        <v>7122</v>
      </c>
      <c r="Q2826" s="129">
        <v>46199</v>
      </c>
      <c r="R2826" s="130">
        <f t="shared" si="303"/>
        <v>46209</v>
      </c>
      <c r="S2826" s="131">
        <f t="shared" si="304"/>
        <v>10</v>
      </c>
      <c r="T2826" s="7" t="s">
        <v>255</v>
      </c>
      <c r="U2826" s="7" t="s">
        <v>223</v>
      </c>
      <c r="V2826" s="7"/>
      <c r="W2826" s="7"/>
      <c r="X2826" s="132">
        <f t="shared" si="305"/>
        <v>10</v>
      </c>
      <c r="Y2826" s="133"/>
      <c r="Z2826" s="133"/>
      <c r="AA2826" s="133"/>
    </row>
    <row r="2827" spans="1:27" hidden="1" x14ac:dyDescent="0.25">
      <c r="A2827" s="133"/>
      <c r="B2827" s="128" t="str">
        <f t="shared" si="300"/>
        <v>YGQT</v>
      </c>
      <c r="C2827" s="128" t="str">
        <f>+VLOOKUP(U2827,Ходим!A:B,2,0)</f>
        <v>52802005950028</v>
      </c>
      <c r="D2827" s="128" t="str">
        <f>IFERROR(VLOOKUP($B:$B,[20]свод!$A:$AB,3,0)," ")</f>
        <v>Янгиқўрғон тумани</v>
      </c>
      <c r="E2827" s="7" t="s">
        <v>3959</v>
      </c>
      <c r="F2827" s="7" t="s">
        <v>10325</v>
      </c>
      <c r="G2827" s="134">
        <f t="shared" si="301"/>
        <v>1</v>
      </c>
      <c r="H2827" s="134" t="str">
        <f t="shared" si="302"/>
        <v/>
      </c>
      <c r="I2827" s="7" t="s">
        <v>158</v>
      </c>
      <c r="J2827" s="7" t="s">
        <v>172</v>
      </c>
      <c r="K2827" s="7"/>
      <c r="L2827" s="7" t="s">
        <v>167</v>
      </c>
      <c r="M2827" s="7" t="s">
        <v>6083</v>
      </c>
      <c r="N2827" s="7" t="s">
        <v>170</v>
      </c>
      <c r="O2827" s="7" t="s">
        <v>162</v>
      </c>
      <c r="P2827" s="7" t="s">
        <v>7365</v>
      </c>
      <c r="Q2827" s="129">
        <v>46199</v>
      </c>
      <c r="R2827" s="130">
        <f t="shared" si="303"/>
        <v>46209</v>
      </c>
      <c r="S2827" s="131">
        <f t="shared" si="304"/>
        <v>10</v>
      </c>
      <c r="T2827" s="7" t="s">
        <v>255</v>
      </c>
      <c r="U2827" s="7" t="s">
        <v>281</v>
      </c>
      <c r="V2827" s="7"/>
      <c r="W2827" s="7">
        <v>115.08</v>
      </c>
      <c r="X2827" s="132">
        <f t="shared" si="305"/>
        <v>10</v>
      </c>
      <c r="Y2827" s="133"/>
      <c r="Z2827" s="133"/>
      <c r="AA2827" s="133"/>
    </row>
    <row r="2828" spans="1:27" hidden="1" x14ac:dyDescent="0.25">
      <c r="A2828" s="133"/>
      <c r="B2828" s="128" t="str">
        <f t="shared" si="300"/>
        <v>KSST</v>
      </c>
      <c r="C2828" s="128" t="str">
        <f>+VLOOKUP(U2828,Ходим!A:B,2,0)</f>
        <v>30703792190108</v>
      </c>
      <c r="D2828" s="128" t="str">
        <f>IFERROR(VLOOKUP($B:$B,[20]свод!$A:$AB,3,0)," ")</f>
        <v>Косонсой тумани</v>
      </c>
      <c r="E2828" s="7" t="s">
        <v>3960</v>
      </c>
      <c r="F2828" s="7" t="s">
        <v>10326</v>
      </c>
      <c r="G2828" s="134">
        <f t="shared" si="301"/>
        <v>1</v>
      </c>
      <c r="H2828" s="134" t="str">
        <f t="shared" si="302"/>
        <v/>
      </c>
      <c r="I2828" s="7" t="s">
        <v>156</v>
      </c>
      <c r="J2828" s="7" t="s">
        <v>25</v>
      </c>
      <c r="K2828" s="7"/>
      <c r="L2828" s="7"/>
      <c r="M2828" s="7"/>
      <c r="N2828" s="7" t="s">
        <v>170</v>
      </c>
      <c r="O2828" s="7" t="s">
        <v>162</v>
      </c>
      <c r="P2828" s="7" t="s">
        <v>7105</v>
      </c>
      <c r="Q2828" s="129">
        <v>46199</v>
      </c>
      <c r="R2828" s="130">
        <f t="shared" si="303"/>
        <v>46210</v>
      </c>
      <c r="S2828" s="131">
        <f t="shared" si="304"/>
        <v>11</v>
      </c>
      <c r="T2828" s="7" t="s">
        <v>180</v>
      </c>
      <c r="U2828" s="7" t="s">
        <v>231</v>
      </c>
      <c r="V2828" s="7"/>
      <c r="W2828" s="7"/>
      <c r="X2828" s="132">
        <f t="shared" si="305"/>
        <v>10</v>
      </c>
      <c r="Y2828" s="133"/>
      <c r="Z2828" s="133"/>
      <c r="AA2828" s="133"/>
    </row>
    <row r="2829" spans="1:27" hidden="1" x14ac:dyDescent="0.25">
      <c r="A2829" s="133"/>
      <c r="B2829" s="128" t="str">
        <f t="shared" si="300"/>
        <v>UCQT</v>
      </c>
      <c r="C2829" s="128" t="str">
        <f>+VLOOKUP(U2829,Ходим!A:B,2,0)</f>
        <v>42005872150022</v>
      </c>
      <c r="D2829" s="128" t="str">
        <f>IFERROR(VLOOKUP($B:$B,[20]свод!$A:$AB,3,0)," ")</f>
        <v>Учқўрғон тумани</v>
      </c>
      <c r="E2829" s="7" t="s">
        <v>3961</v>
      </c>
      <c r="F2829" s="7" t="s">
        <v>10327</v>
      </c>
      <c r="G2829" s="134">
        <f t="shared" si="301"/>
        <v>1</v>
      </c>
      <c r="H2829" s="134" t="str">
        <f t="shared" si="302"/>
        <v/>
      </c>
      <c r="I2829" s="7" t="s">
        <v>158</v>
      </c>
      <c r="J2829" s="7" t="s">
        <v>1137</v>
      </c>
      <c r="K2829" s="7"/>
      <c r="L2829" s="7" t="s">
        <v>167</v>
      </c>
      <c r="M2829" s="7" t="s">
        <v>6084</v>
      </c>
      <c r="N2829" s="7" t="s">
        <v>170</v>
      </c>
      <c r="O2829" s="7" t="s">
        <v>162</v>
      </c>
      <c r="P2829" s="7" t="s">
        <v>7148</v>
      </c>
      <c r="Q2829" s="129">
        <v>46199</v>
      </c>
      <c r="R2829" s="130">
        <f t="shared" si="303"/>
        <v>46203</v>
      </c>
      <c r="S2829" s="131">
        <f t="shared" si="304"/>
        <v>4</v>
      </c>
      <c r="T2829" s="7" t="s">
        <v>175</v>
      </c>
      <c r="U2829" s="7" t="s">
        <v>176</v>
      </c>
      <c r="V2829" s="7" t="s">
        <v>359</v>
      </c>
      <c r="W2829" s="7">
        <v>248.47</v>
      </c>
      <c r="X2829" s="132">
        <f t="shared" si="305"/>
        <v>10</v>
      </c>
      <c r="Y2829" s="133"/>
      <c r="Z2829" s="133"/>
      <c r="AA2829" s="133"/>
    </row>
    <row r="2830" spans="1:27" hidden="1" x14ac:dyDescent="0.25">
      <c r="A2830" s="133"/>
      <c r="B2830" s="128" t="str">
        <f t="shared" si="300"/>
        <v>MINT</v>
      </c>
      <c r="C2830" s="128" t="str">
        <f>+VLOOKUP(U2830,Ходим!A:B,2,0)</f>
        <v>31710662200035</v>
      </c>
      <c r="D2830" s="128" t="str">
        <f>IFERROR(VLOOKUP($B:$B,[20]свод!$A:$AB,3,0)," ")</f>
        <v>Мингбулоқ тумани</v>
      </c>
      <c r="E2830" s="7" t="s">
        <v>3962</v>
      </c>
      <c r="F2830" s="7" t="s">
        <v>10328</v>
      </c>
      <c r="G2830" s="134">
        <f t="shared" si="301"/>
        <v>1</v>
      </c>
      <c r="H2830" s="134" t="str">
        <f t="shared" si="302"/>
        <v/>
      </c>
      <c r="I2830" s="7" t="s">
        <v>158</v>
      </c>
      <c r="J2830" s="7" t="s">
        <v>1</v>
      </c>
      <c r="K2830" s="7"/>
      <c r="L2830" s="7" t="s">
        <v>167</v>
      </c>
      <c r="M2830" s="7" t="s">
        <v>6085</v>
      </c>
      <c r="N2830" s="7" t="s">
        <v>410</v>
      </c>
      <c r="O2830" s="7" t="s">
        <v>162</v>
      </c>
      <c r="P2830" s="7" t="s">
        <v>6284</v>
      </c>
      <c r="Q2830" s="129">
        <v>46199</v>
      </c>
      <c r="R2830" s="130">
        <f t="shared" si="303"/>
        <v>46204</v>
      </c>
      <c r="S2830" s="131">
        <f t="shared" si="304"/>
        <v>5</v>
      </c>
      <c r="T2830" s="7" t="s">
        <v>220</v>
      </c>
      <c r="U2830" s="7" t="s">
        <v>268</v>
      </c>
      <c r="V2830" s="7"/>
      <c r="W2830" s="7">
        <v>100.32</v>
      </c>
      <c r="X2830" s="132">
        <f t="shared" si="305"/>
        <v>10</v>
      </c>
      <c r="Y2830" s="133"/>
      <c r="Z2830" s="133"/>
      <c r="AA2830" s="133"/>
    </row>
    <row r="2831" spans="1:27" hidden="1" x14ac:dyDescent="0.25">
      <c r="A2831" s="133"/>
      <c r="B2831" s="128" t="str">
        <f t="shared" si="300"/>
        <v>MINT</v>
      </c>
      <c r="C2831" s="128" t="e">
        <f>+VLOOKUP(U2831,Ходим!A:B,2,0)</f>
        <v>#N/A</v>
      </c>
      <c r="D2831" s="128" t="str">
        <f>IFERROR(VLOOKUP($B:$B,[20]свод!$A:$AB,3,0)," ")</f>
        <v>Мингбулоқ тумани</v>
      </c>
      <c r="E2831" s="7" t="s">
        <v>3963</v>
      </c>
      <c r="F2831" s="7" t="s">
        <v>10329</v>
      </c>
      <c r="G2831" s="134">
        <f t="shared" si="301"/>
        <v>1</v>
      </c>
      <c r="H2831" s="134" t="str">
        <f t="shared" si="302"/>
        <v/>
      </c>
      <c r="I2831" s="7" t="s">
        <v>156</v>
      </c>
      <c r="J2831" s="7" t="s">
        <v>11</v>
      </c>
      <c r="K2831" s="7"/>
      <c r="L2831" s="7"/>
      <c r="M2831" s="7"/>
      <c r="N2831" s="7" t="s">
        <v>170</v>
      </c>
      <c r="O2831" s="7" t="s">
        <v>162</v>
      </c>
      <c r="P2831" s="7" t="s">
        <v>6768</v>
      </c>
      <c r="Q2831" s="129">
        <v>46199</v>
      </c>
      <c r="R2831" s="130">
        <f t="shared" si="303"/>
        <v>46210</v>
      </c>
      <c r="S2831" s="131">
        <f t="shared" si="304"/>
        <v>11</v>
      </c>
      <c r="T2831" s="7"/>
      <c r="U2831" s="7"/>
      <c r="V2831" s="7"/>
      <c r="W2831" s="7"/>
      <c r="X2831" s="132">
        <f t="shared" si="305"/>
        <v>10</v>
      </c>
      <c r="Y2831" s="133"/>
      <c r="Z2831" s="133"/>
      <c r="AA2831" s="133"/>
    </row>
    <row r="2832" spans="1:27" hidden="1" x14ac:dyDescent="0.25">
      <c r="A2832" s="133"/>
      <c r="B2832" s="128" t="str">
        <f t="shared" si="300"/>
        <v>UYCT</v>
      </c>
      <c r="C2832" s="128" t="str">
        <f>+VLOOKUP(U2832,Ходим!A:B,2,0)</f>
        <v>31007942140083</v>
      </c>
      <c r="D2832" s="128" t="str">
        <f>IFERROR(VLOOKUP($B:$B,[20]свод!$A:$AB,3,0)," ")</f>
        <v>Уйчи тумани</v>
      </c>
      <c r="E2832" s="7" t="s">
        <v>3964</v>
      </c>
      <c r="F2832" s="7" t="s">
        <v>10330</v>
      </c>
      <c r="G2832" s="134">
        <f t="shared" si="301"/>
        <v>1</v>
      </c>
      <c r="H2832" s="134" t="str">
        <f t="shared" si="302"/>
        <v/>
      </c>
      <c r="I2832" s="7" t="s">
        <v>158</v>
      </c>
      <c r="J2832" s="7" t="s">
        <v>2</v>
      </c>
      <c r="K2832" s="7"/>
      <c r="L2832" s="7" t="s">
        <v>167</v>
      </c>
      <c r="M2832" s="7" t="s">
        <v>6086</v>
      </c>
      <c r="N2832" s="7" t="s">
        <v>170</v>
      </c>
      <c r="O2832" s="7" t="s">
        <v>162</v>
      </c>
      <c r="P2832" s="7" t="s">
        <v>6768</v>
      </c>
      <c r="Q2832" s="129">
        <v>46199</v>
      </c>
      <c r="R2832" s="130">
        <f t="shared" si="303"/>
        <v>46210</v>
      </c>
      <c r="S2832" s="131">
        <f t="shared" si="304"/>
        <v>11</v>
      </c>
      <c r="T2832" s="7" t="s">
        <v>947</v>
      </c>
      <c r="U2832" s="7" t="s">
        <v>263</v>
      </c>
      <c r="V2832" s="7"/>
      <c r="W2832" s="7">
        <v>148.84</v>
      </c>
      <c r="X2832" s="132">
        <f t="shared" si="305"/>
        <v>10</v>
      </c>
      <c r="Y2832" s="133"/>
      <c r="Z2832" s="133"/>
      <c r="AA2832" s="133"/>
    </row>
    <row r="2833" spans="1:27" hidden="1" x14ac:dyDescent="0.25">
      <c r="A2833" s="133"/>
      <c r="B2833" s="128" t="str">
        <f t="shared" si="300"/>
        <v>YGQT</v>
      </c>
      <c r="C2833" s="128" t="str">
        <f>+VLOOKUP(U2833,Ходим!A:B,2,0)</f>
        <v>31108942160081</v>
      </c>
      <c r="D2833" s="128" t="str">
        <f>IFERROR(VLOOKUP($B:$B,[20]свод!$A:$AB,3,0)," ")</f>
        <v>Янгиқўрғон тумани</v>
      </c>
      <c r="E2833" s="7" t="s">
        <v>3965</v>
      </c>
      <c r="F2833" s="7" t="s">
        <v>10331</v>
      </c>
      <c r="G2833" s="134">
        <f t="shared" si="301"/>
        <v>1</v>
      </c>
      <c r="H2833" s="134" t="str">
        <f t="shared" si="302"/>
        <v/>
      </c>
      <c r="I2833" s="7" t="s">
        <v>158</v>
      </c>
      <c r="J2833" s="7" t="s">
        <v>172</v>
      </c>
      <c r="K2833" s="7"/>
      <c r="L2833" s="7" t="s">
        <v>167</v>
      </c>
      <c r="M2833" s="7" t="s">
        <v>6087</v>
      </c>
      <c r="N2833" s="7" t="s">
        <v>170</v>
      </c>
      <c r="O2833" s="7" t="s">
        <v>162</v>
      </c>
      <c r="P2833" s="7" t="s">
        <v>7483</v>
      </c>
      <c r="Q2833" s="129">
        <v>46199</v>
      </c>
      <c r="R2833" s="130">
        <f t="shared" si="303"/>
        <v>46210</v>
      </c>
      <c r="S2833" s="131">
        <f t="shared" si="304"/>
        <v>11</v>
      </c>
      <c r="T2833" s="7" t="s">
        <v>255</v>
      </c>
      <c r="U2833" s="7" t="s">
        <v>228</v>
      </c>
      <c r="V2833" s="7"/>
      <c r="W2833" s="7">
        <v>1020.49</v>
      </c>
      <c r="X2833" s="132">
        <f t="shared" si="305"/>
        <v>10</v>
      </c>
      <c r="Y2833" s="133"/>
      <c r="Z2833" s="133"/>
      <c r="AA2833" s="133"/>
    </row>
    <row r="2834" spans="1:27" x14ac:dyDescent="0.25">
      <c r="A2834" s="133"/>
      <c r="B2834" s="128" t="str">
        <f t="shared" si="300"/>
        <v>POPT</v>
      </c>
      <c r="C2834" s="128" t="str">
        <f>+VLOOKUP(U2834,Ходим!A:B,2,0)</f>
        <v>30608945910016</v>
      </c>
      <c r="D2834" s="128" t="str">
        <f>IFERROR(VLOOKUP($B:$B,[20]свод!$A:$AB,3,0)," ")</f>
        <v>Поп тумани</v>
      </c>
      <c r="E2834" s="7" t="s">
        <v>3966</v>
      </c>
      <c r="F2834" s="7"/>
      <c r="G2834" s="134">
        <f t="shared" si="301"/>
        <v>1</v>
      </c>
      <c r="H2834" s="134" t="str">
        <f t="shared" si="302"/>
        <v/>
      </c>
      <c r="I2834" s="7" t="s">
        <v>154</v>
      </c>
      <c r="J2834" s="7" t="s">
        <v>145</v>
      </c>
      <c r="K2834" s="7"/>
      <c r="L2834" s="7" t="s">
        <v>167</v>
      </c>
      <c r="M2834" s="7" t="s">
        <v>6088</v>
      </c>
      <c r="N2834" s="7" t="s">
        <v>368</v>
      </c>
      <c r="O2834" s="7"/>
      <c r="P2834" s="7" t="s">
        <v>7484</v>
      </c>
      <c r="Q2834" s="129">
        <v>46199</v>
      </c>
      <c r="R2834" s="130">
        <f t="shared" si="303"/>
        <v>46198</v>
      </c>
      <c r="S2834" s="131">
        <f t="shared" si="304"/>
        <v>-1</v>
      </c>
      <c r="T2834" s="7" t="s">
        <v>214</v>
      </c>
      <c r="U2834" s="7" t="s">
        <v>295</v>
      </c>
      <c r="V2834" s="7" t="s">
        <v>965</v>
      </c>
      <c r="W2834" s="7">
        <v>180.4</v>
      </c>
      <c r="X2834" s="132">
        <f t="shared" si="305"/>
        <v>5</v>
      </c>
      <c r="Y2834" s="133"/>
      <c r="Z2834" s="133"/>
      <c r="AA2834" s="133"/>
    </row>
    <row r="2835" spans="1:27" hidden="1" x14ac:dyDescent="0.25">
      <c r="A2835" s="133"/>
      <c r="B2835" s="128" t="str">
        <f t="shared" si="300"/>
        <v>MINT</v>
      </c>
      <c r="C2835" s="128" t="str">
        <f>+VLOOKUP(U2835,Ходим!A:B,2,0)</f>
        <v>30906922130016</v>
      </c>
      <c r="D2835" s="128" t="str">
        <f>IFERROR(VLOOKUP($B:$B,[20]свод!$A:$AB,3,0)," ")</f>
        <v>Мингбулоқ тумани</v>
      </c>
      <c r="E2835" s="7" t="s">
        <v>3967</v>
      </c>
      <c r="F2835" s="7" t="s">
        <v>10332</v>
      </c>
      <c r="G2835" s="134">
        <f t="shared" si="301"/>
        <v>1</v>
      </c>
      <c r="H2835" s="134" t="str">
        <f t="shared" si="302"/>
        <v/>
      </c>
      <c r="I2835" s="7" t="s">
        <v>158</v>
      </c>
      <c r="J2835" s="7" t="s">
        <v>2</v>
      </c>
      <c r="K2835" s="7"/>
      <c r="L2835" s="7" t="s">
        <v>167</v>
      </c>
      <c r="M2835" s="7" t="s">
        <v>6089</v>
      </c>
      <c r="N2835" s="7" t="s">
        <v>170</v>
      </c>
      <c r="O2835" s="7" t="s">
        <v>162</v>
      </c>
      <c r="P2835" s="7" t="s">
        <v>6358</v>
      </c>
      <c r="Q2835" s="129">
        <v>46199</v>
      </c>
      <c r="R2835" s="130">
        <f t="shared" si="303"/>
        <v>46204</v>
      </c>
      <c r="S2835" s="131">
        <f t="shared" si="304"/>
        <v>5</v>
      </c>
      <c r="T2835" s="7" t="s">
        <v>220</v>
      </c>
      <c r="U2835" s="7" t="s">
        <v>178</v>
      </c>
      <c r="V2835" s="7"/>
      <c r="W2835" s="7">
        <v>324.3</v>
      </c>
      <c r="X2835" s="132">
        <f t="shared" si="305"/>
        <v>10</v>
      </c>
      <c r="Y2835" s="133"/>
      <c r="Z2835" s="133"/>
      <c r="AA2835" s="133"/>
    </row>
    <row r="2836" spans="1:27" hidden="1" x14ac:dyDescent="0.25">
      <c r="A2836" s="133"/>
      <c r="B2836" s="128" t="str">
        <f t="shared" si="300"/>
        <v>MINT</v>
      </c>
      <c r="C2836" s="128" t="e">
        <f>+VLOOKUP(U2836,Ходим!A:B,2,0)</f>
        <v>#N/A</v>
      </c>
      <c r="D2836" s="128" t="str">
        <f>IFERROR(VLOOKUP($B:$B,[20]свод!$A:$AB,3,0)," ")</f>
        <v>Мингбулоқ тумани</v>
      </c>
      <c r="E2836" s="7" t="s">
        <v>3968</v>
      </c>
      <c r="F2836" s="7" t="s">
        <v>10333</v>
      </c>
      <c r="G2836" s="134">
        <f t="shared" si="301"/>
        <v>1</v>
      </c>
      <c r="H2836" s="134" t="str">
        <f t="shared" si="302"/>
        <v/>
      </c>
      <c r="I2836" s="7" t="s">
        <v>156</v>
      </c>
      <c r="J2836" s="7" t="s">
        <v>11</v>
      </c>
      <c r="K2836" s="7"/>
      <c r="L2836" s="7"/>
      <c r="M2836" s="7"/>
      <c r="N2836" s="7" t="s">
        <v>410</v>
      </c>
      <c r="O2836" s="7" t="s">
        <v>162</v>
      </c>
      <c r="P2836" s="7" t="s">
        <v>7485</v>
      </c>
      <c r="Q2836" s="129">
        <v>46199</v>
      </c>
      <c r="R2836" s="130">
        <f t="shared" si="303"/>
        <v>46210</v>
      </c>
      <c r="S2836" s="131">
        <f t="shared" si="304"/>
        <v>11</v>
      </c>
      <c r="T2836" s="7"/>
      <c r="U2836" s="7"/>
      <c r="V2836" s="7"/>
      <c r="W2836" s="7"/>
      <c r="X2836" s="132">
        <f t="shared" si="305"/>
        <v>10</v>
      </c>
      <c r="Y2836" s="133"/>
      <c r="Z2836" s="133"/>
      <c r="AA2836" s="133"/>
    </row>
    <row r="2837" spans="1:27" hidden="1" x14ac:dyDescent="0.25">
      <c r="A2837" s="133"/>
      <c r="B2837" s="128" t="str">
        <f t="shared" si="300"/>
        <v>NAMS</v>
      </c>
      <c r="C2837" s="128" t="str">
        <f>+VLOOKUP(U2837,Ходим!A:B,2,0)</f>
        <v>51110025960044</v>
      </c>
      <c r="D2837" s="128" t="str">
        <f>IFERROR(VLOOKUP($B:$B,[20]свод!$A:$AB,3,0)," ")</f>
        <v>Наманган шаҳар</v>
      </c>
      <c r="E2837" s="7" t="s">
        <v>3969</v>
      </c>
      <c r="F2837" s="7" t="s">
        <v>10334</v>
      </c>
      <c r="G2837" s="134">
        <f t="shared" si="301"/>
        <v>1</v>
      </c>
      <c r="H2837" s="134" t="str">
        <f t="shared" si="302"/>
        <v/>
      </c>
      <c r="I2837" s="7" t="s">
        <v>158</v>
      </c>
      <c r="J2837" s="7" t="s">
        <v>2</v>
      </c>
      <c r="K2837" s="7"/>
      <c r="L2837" s="7" t="s">
        <v>167</v>
      </c>
      <c r="M2837" s="7" t="s">
        <v>1044</v>
      </c>
      <c r="N2837" s="7" t="s">
        <v>170</v>
      </c>
      <c r="O2837" s="7" t="s">
        <v>162</v>
      </c>
      <c r="P2837" s="7" t="s">
        <v>7485</v>
      </c>
      <c r="Q2837" s="129">
        <v>46199</v>
      </c>
      <c r="R2837" s="130">
        <f t="shared" si="303"/>
        <v>46210</v>
      </c>
      <c r="S2837" s="131">
        <f t="shared" si="304"/>
        <v>11</v>
      </c>
      <c r="T2837" s="7" t="s">
        <v>173</v>
      </c>
      <c r="U2837" s="7" t="s">
        <v>294</v>
      </c>
      <c r="V2837" s="7"/>
      <c r="W2837" s="7">
        <v>0</v>
      </c>
      <c r="X2837" s="132">
        <f t="shared" si="305"/>
        <v>10</v>
      </c>
      <c r="Y2837" s="133"/>
      <c r="Z2837" s="133"/>
      <c r="AA2837" s="133"/>
    </row>
    <row r="2838" spans="1:27" hidden="1" x14ac:dyDescent="0.25">
      <c r="A2838" s="133"/>
      <c r="B2838" s="128" t="str">
        <f t="shared" si="300"/>
        <v>NAMS</v>
      </c>
      <c r="C2838" s="128">
        <f>+VLOOKUP(U2838,Ходим!A:B,2,0)</f>
        <v>52004005950071</v>
      </c>
      <c r="D2838" s="128" t="str">
        <f>IFERROR(VLOOKUP($B:$B,[20]свод!$A:$AB,3,0)," ")</f>
        <v>Наманган шаҳар</v>
      </c>
      <c r="E2838" s="7" t="s">
        <v>3970</v>
      </c>
      <c r="F2838" s="7" t="s">
        <v>10335</v>
      </c>
      <c r="G2838" s="134">
        <f t="shared" si="301"/>
        <v>1</v>
      </c>
      <c r="H2838" s="134" t="str">
        <f t="shared" si="302"/>
        <v/>
      </c>
      <c r="I2838" s="7" t="s">
        <v>158</v>
      </c>
      <c r="J2838" s="7" t="s">
        <v>36</v>
      </c>
      <c r="K2838" s="7"/>
      <c r="L2838" s="7" t="s">
        <v>167</v>
      </c>
      <c r="M2838" s="7" t="s">
        <v>6090</v>
      </c>
      <c r="N2838" s="7" t="s">
        <v>170</v>
      </c>
      <c r="O2838" s="7" t="s">
        <v>162</v>
      </c>
      <c r="P2838" s="7" t="s">
        <v>7485</v>
      </c>
      <c r="Q2838" s="129">
        <v>46199</v>
      </c>
      <c r="R2838" s="130">
        <f t="shared" si="303"/>
        <v>46210</v>
      </c>
      <c r="S2838" s="131">
        <f t="shared" si="304"/>
        <v>11</v>
      </c>
      <c r="T2838" s="7" t="s">
        <v>173</v>
      </c>
      <c r="U2838" s="7" t="s">
        <v>1015</v>
      </c>
      <c r="V2838" s="7"/>
      <c r="W2838" s="7">
        <v>0</v>
      </c>
      <c r="X2838" s="132">
        <f t="shared" si="305"/>
        <v>10</v>
      </c>
      <c r="Y2838" s="133"/>
      <c r="Z2838" s="133"/>
      <c r="AA2838" s="133"/>
    </row>
    <row r="2839" spans="1:27" hidden="1" x14ac:dyDescent="0.25">
      <c r="A2839" s="133"/>
      <c r="B2839" s="128" t="str">
        <f t="shared" si="300"/>
        <v>NAMT</v>
      </c>
      <c r="C2839" s="128" t="str">
        <f>+VLOOKUP(U2839,Ходим!A:B,2,0)</f>
        <v>32607902090019</v>
      </c>
      <c r="D2839" s="128" t="str">
        <f>IFERROR(VLOOKUP($B:$B,[20]свод!$A:$AB,3,0)," ")</f>
        <v>Наманган тумани</v>
      </c>
      <c r="E2839" s="7" t="s">
        <v>3971</v>
      </c>
      <c r="F2839" s="7" t="s">
        <v>10336</v>
      </c>
      <c r="G2839" s="134" t="str">
        <f t="shared" si="301"/>
        <v/>
      </c>
      <c r="H2839" s="134">
        <f t="shared" si="302"/>
        <v>1</v>
      </c>
      <c r="I2839" s="7" t="s">
        <v>157</v>
      </c>
      <c r="J2839" s="7" t="s">
        <v>172</v>
      </c>
      <c r="K2839" s="7"/>
      <c r="L2839" s="7" t="s">
        <v>166</v>
      </c>
      <c r="M2839" s="7" t="s">
        <v>6091</v>
      </c>
      <c r="N2839" s="7" t="s">
        <v>170</v>
      </c>
      <c r="O2839" s="7" t="s">
        <v>161</v>
      </c>
      <c r="P2839" s="7" t="s">
        <v>7105</v>
      </c>
      <c r="Q2839" s="129">
        <v>46199</v>
      </c>
      <c r="R2839" s="130">
        <f t="shared" si="303"/>
        <v>46210</v>
      </c>
      <c r="S2839" s="131">
        <f t="shared" si="304"/>
        <v>11</v>
      </c>
      <c r="T2839" s="7" t="s">
        <v>193</v>
      </c>
      <c r="U2839" s="7" t="s">
        <v>243</v>
      </c>
      <c r="V2839" s="7"/>
      <c r="W2839" s="7">
        <v>0</v>
      </c>
      <c r="X2839" s="132">
        <f t="shared" si="305"/>
        <v>10</v>
      </c>
      <c r="Y2839" s="133"/>
      <c r="Z2839" s="133"/>
      <c r="AA2839" s="133"/>
    </row>
    <row r="2840" spans="1:27" hidden="1" x14ac:dyDescent="0.25">
      <c r="A2840" s="133"/>
      <c r="B2840" s="128" t="str">
        <f t="shared" si="300"/>
        <v>NAMT</v>
      </c>
      <c r="C2840" s="128" t="str">
        <f>+VLOOKUP(U2840,Ходим!A:B,2,0)</f>
        <v>32204892090133</v>
      </c>
      <c r="D2840" s="128" t="str">
        <f>IFERROR(VLOOKUP($B:$B,[20]свод!$A:$AB,3,0)," ")</f>
        <v>Наманган тумани</v>
      </c>
      <c r="E2840" s="7" t="s">
        <v>3972</v>
      </c>
      <c r="F2840" s="7" t="s">
        <v>10337</v>
      </c>
      <c r="G2840" s="134">
        <f t="shared" si="301"/>
        <v>1</v>
      </c>
      <c r="H2840" s="134" t="str">
        <f t="shared" si="302"/>
        <v/>
      </c>
      <c r="I2840" s="7" t="s">
        <v>154</v>
      </c>
      <c r="J2840" s="7" t="s">
        <v>2</v>
      </c>
      <c r="K2840" s="7"/>
      <c r="L2840" s="7"/>
      <c r="M2840" s="7"/>
      <c r="N2840" s="7" t="s">
        <v>410</v>
      </c>
      <c r="O2840" s="7" t="s">
        <v>162</v>
      </c>
      <c r="P2840" s="7" t="s">
        <v>7486</v>
      </c>
      <c r="Q2840" s="129">
        <v>46199</v>
      </c>
      <c r="R2840" s="130">
        <f t="shared" si="303"/>
        <v>46210</v>
      </c>
      <c r="S2840" s="131">
        <f t="shared" si="304"/>
        <v>11</v>
      </c>
      <c r="T2840" s="7" t="s">
        <v>193</v>
      </c>
      <c r="U2840" s="7" t="s">
        <v>198</v>
      </c>
      <c r="V2840" s="7"/>
      <c r="W2840" s="7"/>
      <c r="X2840" s="132">
        <f t="shared" si="305"/>
        <v>10</v>
      </c>
      <c r="Y2840" s="133"/>
      <c r="Z2840" s="133"/>
      <c r="AA2840" s="133"/>
    </row>
    <row r="2841" spans="1:27" hidden="1" x14ac:dyDescent="0.25">
      <c r="A2841" s="133"/>
      <c r="B2841" s="128" t="str">
        <f t="shared" si="300"/>
        <v>CHUT</v>
      </c>
      <c r="C2841" s="128" t="str">
        <f>+VLOOKUP(U2841,Ходим!A:B,2,0)</f>
        <v>30901882180031</v>
      </c>
      <c r="D2841" s="128" t="str">
        <f>IFERROR(VLOOKUP($B:$B,[20]свод!$A:$AB,3,0)," ")</f>
        <v>Чуст тумани</v>
      </c>
      <c r="E2841" s="7" t="s">
        <v>3973</v>
      </c>
      <c r="F2841" s="7" t="s">
        <v>10338</v>
      </c>
      <c r="G2841" s="134">
        <f t="shared" si="301"/>
        <v>1</v>
      </c>
      <c r="H2841" s="134" t="str">
        <f t="shared" si="302"/>
        <v/>
      </c>
      <c r="I2841" s="7" t="s">
        <v>158</v>
      </c>
      <c r="J2841" s="7" t="s">
        <v>172</v>
      </c>
      <c r="K2841" s="7"/>
      <c r="L2841" s="7" t="s">
        <v>167</v>
      </c>
      <c r="M2841" s="7" t="s">
        <v>6092</v>
      </c>
      <c r="N2841" s="7" t="s">
        <v>170</v>
      </c>
      <c r="O2841" s="7" t="s">
        <v>162</v>
      </c>
      <c r="P2841" s="7" t="s">
        <v>7486</v>
      </c>
      <c r="Q2841" s="129">
        <v>46199</v>
      </c>
      <c r="R2841" s="130">
        <f t="shared" si="303"/>
        <v>46210</v>
      </c>
      <c r="S2841" s="131">
        <f t="shared" si="304"/>
        <v>11</v>
      </c>
      <c r="T2841" s="7" t="s">
        <v>178</v>
      </c>
      <c r="U2841" s="7" t="s">
        <v>238</v>
      </c>
      <c r="V2841" s="7"/>
      <c r="W2841" s="7">
        <v>88.7</v>
      </c>
      <c r="X2841" s="132">
        <f t="shared" si="305"/>
        <v>10</v>
      </c>
      <c r="Y2841" s="133"/>
      <c r="Z2841" s="133"/>
      <c r="AA2841" s="133"/>
    </row>
    <row r="2842" spans="1:27" hidden="1" x14ac:dyDescent="0.25">
      <c r="A2842" s="133"/>
      <c r="B2842" s="128" t="str">
        <f t="shared" si="300"/>
        <v>CHUT</v>
      </c>
      <c r="C2842" s="128" t="str">
        <f>+VLOOKUP(U2842,Ходим!A:B,2,0)</f>
        <v>30901882180031</v>
      </c>
      <c r="D2842" s="128" t="str">
        <f>IFERROR(VLOOKUP($B:$B,[20]свод!$A:$AB,3,0)," ")</f>
        <v>Чуст тумани</v>
      </c>
      <c r="E2842" s="7" t="s">
        <v>3974</v>
      </c>
      <c r="F2842" s="7" t="s">
        <v>10339</v>
      </c>
      <c r="G2842" s="134" t="str">
        <f t="shared" si="301"/>
        <v/>
      </c>
      <c r="H2842" s="134">
        <f t="shared" si="302"/>
        <v>1</v>
      </c>
      <c r="I2842" s="7" t="s">
        <v>155</v>
      </c>
      <c r="J2842" s="7" t="s">
        <v>22</v>
      </c>
      <c r="K2842" s="7"/>
      <c r="L2842" s="7" t="s">
        <v>166</v>
      </c>
      <c r="M2842" s="7" t="s">
        <v>6093</v>
      </c>
      <c r="N2842" s="7" t="s">
        <v>410</v>
      </c>
      <c r="O2842" s="7" t="s">
        <v>161</v>
      </c>
      <c r="P2842" s="7" t="s">
        <v>7486</v>
      </c>
      <c r="Q2842" s="129">
        <v>46199</v>
      </c>
      <c r="R2842" s="130">
        <f t="shared" si="303"/>
        <v>46212</v>
      </c>
      <c r="S2842" s="131">
        <f t="shared" si="304"/>
        <v>13</v>
      </c>
      <c r="T2842" s="7" t="s">
        <v>178</v>
      </c>
      <c r="U2842" s="7" t="s">
        <v>238</v>
      </c>
      <c r="V2842" s="7"/>
      <c r="W2842" s="7">
        <v>126.56</v>
      </c>
      <c r="X2842" s="132">
        <f t="shared" si="305"/>
        <v>12</v>
      </c>
      <c r="Y2842" s="133"/>
      <c r="Z2842" s="133"/>
      <c r="AA2842" s="133"/>
    </row>
    <row r="2843" spans="1:27" hidden="1" x14ac:dyDescent="0.25">
      <c r="A2843" s="133"/>
      <c r="B2843" s="128" t="str">
        <f t="shared" ref="B2843:B2906" si="306">LEFT(E2843,4)</f>
        <v>MINT</v>
      </c>
      <c r="C2843" s="128" t="e">
        <f>+VLOOKUP(U2843,Ходим!A:B,2,0)</f>
        <v>#N/A</v>
      </c>
      <c r="D2843" s="128" t="str">
        <f>IFERROR(VLOOKUP($B:$B,[20]свод!$A:$AB,3,0)," ")</f>
        <v>Мингбулоқ тумани</v>
      </c>
      <c r="E2843" s="7" t="s">
        <v>3975</v>
      </c>
      <c r="F2843" s="7" t="s">
        <v>10340</v>
      </c>
      <c r="G2843" s="134">
        <f t="shared" ref="G2843:G2906" si="307">IF(OR(
I2843="Turar joy obyektning kadastr pasportini shakllantirish va davlat ro'yxatidan o'tkazish",
I2843="Turar kompozit"
),
1,
IF(OR(
I2843="Noturar kompozit",
I2843="Avtoyo'l va suv xo'jaligi obyektining kadastr pasportini shakllantirish va ro'yxatga olish",
I2843="Noturar obyektning kadastr pasportining kadastr pasportini shakllantirish va davlat ro'yxatidan o'tkazish"
),
"",
IF(OR(
I2843="Notarius uchun ma'lumotnoma (uz)",
I2843="Qurilishi tugallangan ko'chmas mulkni foydalanishga qabul qilish",
I2843="Umumiy foydalanishdagi ko'chmas mulk qismini yaratish",
I2843="Registratsiya (tashqi - UZKAD da bor)"
),
IF(OR(L2843="Turar yer maydoni",L2843="Yakka tartibdagi turar joy"),1,
IF(L2843="Noturar bino","",
IF(L2843="Noturar yer maydoni","",
IF(L2843="",IF(OR(O2843="Turar joy xizmati",O2843="Foydalanishga ruxsatnoma berish xizmati"),1,""),"")
))),
"")))</f>
        <v>1</v>
      </c>
      <c r="H2843" s="134" t="str">
        <f t="shared" ref="H2843:H2906" si="308">IF(OR(
I2843="Turar joy obyektning kadastr pasportini shakllantirish va davlat ro'yxatidan o'tkazish",
I2843="Turar kompozit"
),
"",
IF(OR(
I2843="Noturar kompozit",
I2843="Avtoyo'l va suv xo'jaligi obyektining kadastr pasportini shakllantirish va ro'yxatga olish",
I2843="Noturar obyektning kadastr pasportini shakllantirish va davlat ro'yxatidan o'tkazish"
),
1,
IF(OR(
I2843="Notarius uchun ma'lumotnoma (uz)",
I2843="Qurilishi tugallangan ko'chmas mulkni foydalanishga qabul qilish",
I2843="Umumiy foydalanishdagi ko'chmas mulk qismini yaratish",
I2843="Registratsiya (tashqi - UZKAD da bor)"
),
IF(OR(L2843="Turar yer maydoni",L2843="Yakka tartibdagi turar joy"),"",
IF(L2843="Noturar bino",1,
IF(L2843="Noturar yer maydoni",1,
IF(L2843="",IF(OR(O2843="Turar joy xizmati",O2843="Foydalanishga ruxsatnoma berish xizmati"),"",1),"")
))),
"")))</f>
        <v/>
      </c>
      <c r="I2843" s="7" t="s">
        <v>156</v>
      </c>
      <c r="J2843" s="7" t="s">
        <v>11</v>
      </c>
      <c r="K2843" s="7"/>
      <c r="L2843" s="7"/>
      <c r="M2843" s="7"/>
      <c r="N2843" s="7" t="s">
        <v>170</v>
      </c>
      <c r="O2843" s="7" t="s">
        <v>162</v>
      </c>
      <c r="P2843" s="7" t="s">
        <v>7486</v>
      </c>
      <c r="Q2843" s="129">
        <v>46199</v>
      </c>
      <c r="R2843" s="130">
        <f t="shared" ref="R2843:R2906" si="309">WORKDAY(P2843,X2843,$Y$1:$AA$1)</f>
        <v>46210</v>
      </c>
      <c r="S2843" s="131">
        <f t="shared" ref="S2843:S2906" si="310">R2843-Q2843</f>
        <v>11</v>
      </c>
      <c r="T2843" s="7"/>
      <c r="U2843" s="7"/>
      <c r="V2843" s="7"/>
      <c r="W2843" s="7"/>
      <c r="X2843" s="132">
        <f t="shared" ref="X2843:X2906" si="311">IF(N2843="Kadastr muhandisi",3,
IF(N2843="UZKAD",5,
IF(V2843="FREE",5,
IF(I2843="Registratsiya (tashqi - UZKAD da bor)",1,
IF(I2843="Avtoyo'l va suv xo'jaligi obyektining kadastr pasportini shakllantirish va ro'yxatga olish",7,
IF(I2843="Notarius uchun ma'lumotnoma (uz)",1,
IF(I2843="Qurilishi tugallangan ko'chmas mulkni foydalanishga qabul qilish",10,
IF(OR(I2843="Turar joy obyektning kadastr pasportini shakllantirish va davlat ro'yxatidan o'tkazish",I2843="Turar kompozit"),
IF(L2843="Turar yer maydoni",7,10),
IF(OR(I2843="Noturar obyektning kadastr pasportini shakllantirish va davlat ro'yxatidan o'tkazish",I2843="Noturar kompozit"),
IF(O2843="Ko‘p yillik daraxtlar xizmati",15,
IF(OR(L2843="Noturar yer maydoni",L2843="Davlat tashkilotlaridan ijaraga olingan yer uchastkasi"),7,
IF(W2843&lt;100,10,IF(W2843&lt;=1000,12,IF(W2843&lt;=5000,17,IF(W2843&lt;=15000,22,IF(W2843&lt;=50000,28,37))))))),
IF(I2843="Umumiy foydalanishdagi ko'chmas mulk qismini yaratish",
IF(IF(TRIM(L2843)="",IF(OR(O2843="Turar joy xizmati",O2843="Yakka tartibdagi turar joy"),"Turar","Noturar"),IF(OR(L2843="Yakka tartibdagi turar joy",L2843="Turar joy xizmati"),"Turar","Noturar"))="Turar",
10,IF(W2843&lt;100,10,IF(W2843&lt;=1000,12,IF(W2843&lt;=5000,17,IF(W2843&lt;=15000,22,IF(W2843&lt;=50000,28,37)))))),
0))))))))))</f>
        <v>10</v>
      </c>
      <c r="Y2843" s="133"/>
      <c r="Z2843" s="133"/>
      <c r="AA2843" s="133"/>
    </row>
    <row r="2844" spans="1:27" hidden="1" x14ac:dyDescent="0.25">
      <c r="A2844" s="133"/>
      <c r="B2844" s="128" t="str">
        <f t="shared" si="306"/>
        <v>YGQT</v>
      </c>
      <c r="C2844" s="128" t="str">
        <f>+VLOOKUP(U2844,Ходим!A:B,2,0)</f>
        <v>52802005950028</v>
      </c>
      <c r="D2844" s="128" t="str">
        <f>IFERROR(VLOOKUP($B:$B,[20]свод!$A:$AB,3,0)," ")</f>
        <v>Янгиқўрғон тумани</v>
      </c>
      <c r="E2844" s="7" t="s">
        <v>3976</v>
      </c>
      <c r="F2844" s="7" t="s">
        <v>10341</v>
      </c>
      <c r="G2844" s="134">
        <f t="shared" si="307"/>
        <v>1</v>
      </c>
      <c r="H2844" s="134" t="str">
        <f t="shared" si="308"/>
        <v/>
      </c>
      <c r="I2844" s="7" t="s">
        <v>158</v>
      </c>
      <c r="J2844" s="7" t="s">
        <v>1</v>
      </c>
      <c r="K2844" s="7"/>
      <c r="L2844" s="7" t="s">
        <v>167</v>
      </c>
      <c r="M2844" s="7" t="s">
        <v>6094</v>
      </c>
      <c r="N2844" s="7" t="s">
        <v>170</v>
      </c>
      <c r="O2844" s="7" t="s">
        <v>162</v>
      </c>
      <c r="P2844" s="7" t="s">
        <v>6717</v>
      </c>
      <c r="Q2844" s="129">
        <v>46199</v>
      </c>
      <c r="R2844" s="130">
        <f t="shared" si="309"/>
        <v>46206</v>
      </c>
      <c r="S2844" s="131">
        <f t="shared" si="310"/>
        <v>7</v>
      </c>
      <c r="T2844" s="7" t="s">
        <v>255</v>
      </c>
      <c r="U2844" s="7" t="s">
        <v>281</v>
      </c>
      <c r="V2844" s="7"/>
      <c r="W2844" s="7">
        <v>378.36</v>
      </c>
      <c r="X2844" s="132">
        <f t="shared" si="311"/>
        <v>10</v>
      </c>
      <c r="Y2844" s="133"/>
      <c r="Z2844" s="133"/>
      <c r="AA2844" s="133"/>
    </row>
    <row r="2845" spans="1:27" hidden="1" x14ac:dyDescent="0.25">
      <c r="A2845" s="133"/>
      <c r="B2845" s="128" t="str">
        <f t="shared" si="306"/>
        <v>YGQT</v>
      </c>
      <c r="C2845" s="128" t="str">
        <f>+VLOOKUP(U2845,Ходим!A:B,2,0)</f>
        <v>31005985950058</v>
      </c>
      <c r="D2845" s="128" t="str">
        <f>IFERROR(VLOOKUP($B:$B,[20]свод!$A:$AB,3,0)," ")</f>
        <v>Янгиқўрғон тумани</v>
      </c>
      <c r="E2845" s="7" t="s">
        <v>3977</v>
      </c>
      <c r="F2845" s="7" t="s">
        <v>10342</v>
      </c>
      <c r="G2845" s="134">
        <f t="shared" si="307"/>
        <v>1</v>
      </c>
      <c r="H2845" s="134" t="str">
        <f t="shared" si="308"/>
        <v/>
      </c>
      <c r="I2845" s="7" t="s">
        <v>158</v>
      </c>
      <c r="J2845" s="7" t="s">
        <v>17</v>
      </c>
      <c r="K2845" s="7"/>
      <c r="L2845" s="7" t="s">
        <v>167</v>
      </c>
      <c r="M2845" s="7" t="s">
        <v>6095</v>
      </c>
      <c r="N2845" s="7" t="s">
        <v>170</v>
      </c>
      <c r="O2845" s="7" t="s">
        <v>162</v>
      </c>
      <c r="P2845" s="7" t="s">
        <v>6327</v>
      </c>
      <c r="Q2845" s="129">
        <v>46199</v>
      </c>
      <c r="R2845" s="130">
        <f t="shared" si="309"/>
        <v>46204</v>
      </c>
      <c r="S2845" s="131">
        <f t="shared" si="310"/>
        <v>5</v>
      </c>
      <c r="T2845" s="7" t="s">
        <v>182</v>
      </c>
      <c r="U2845" s="7" t="s">
        <v>311</v>
      </c>
      <c r="V2845" s="7"/>
      <c r="W2845" s="7">
        <v>267.39</v>
      </c>
      <c r="X2845" s="132">
        <f t="shared" si="311"/>
        <v>10</v>
      </c>
      <c r="Y2845" s="133"/>
      <c r="Z2845" s="133"/>
      <c r="AA2845" s="133"/>
    </row>
    <row r="2846" spans="1:27" hidden="1" x14ac:dyDescent="0.25">
      <c r="A2846" s="133"/>
      <c r="B2846" s="128" t="str">
        <f t="shared" si="306"/>
        <v>YGQT</v>
      </c>
      <c r="C2846" s="128" t="str">
        <f>+VLOOKUP(U2846,Ходим!A:B,2,0)</f>
        <v>33103892160125</v>
      </c>
      <c r="D2846" s="128" t="str">
        <f>IFERROR(VLOOKUP($B:$B,[20]свод!$A:$AB,3,0)," ")</f>
        <v>Янгиқўрғон тумани</v>
      </c>
      <c r="E2846" s="7" t="s">
        <v>3978</v>
      </c>
      <c r="F2846" s="7" t="s">
        <v>10343</v>
      </c>
      <c r="G2846" s="134">
        <f t="shared" si="307"/>
        <v>1</v>
      </c>
      <c r="H2846" s="134" t="str">
        <f t="shared" si="308"/>
        <v/>
      </c>
      <c r="I2846" s="7" t="s">
        <v>158</v>
      </c>
      <c r="J2846" s="7" t="s">
        <v>2</v>
      </c>
      <c r="K2846" s="7"/>
      <c r="L2846" s="7" t="s">
        <v>167</v>
      </c>
      <c r="M2846" s="7" t="s">
        <v>6096</v>
      </c>
      <c r="N2846" s="7" t="s">
        <v>170</v>
      </c>
      <c r="O2846" s="7" t="s">
        <v>162</v>
      </c>
      <c r="P2846" s="7" t="s">
        <v>7487</v>
      </c>
      <c r="Q2846" s="129">
        <v>46199</v>
      </c>
      <c r="R2846" s="130">
        <f t="shared" si="309"/>
        <v>46210</v>
      </c>
      <c r="S2846" s="131">
        <f t="shared" si="310"/>
        <v>11</v>
      </c>
      <c r="T2846" s="7" t="s">
        <v>182</v>
      </c>
      <c r="U2846" s="7" t="s">
        <v>183</v>
      </c>
      <c r="V2846" s="7"/>
      <c r="W2846" s="7">
        <v>489</v>
      </c>
      <c r="X2846" s="132">
        <f t="shared" si="311"/>
        <v>10</v>
      </c>
      <c r="Y2846" s="133"/>
      <c r="Z2846" s="133"/>
      <c r="AA2846" s="133"/>
    </row>
    <row r="2847" spans="1:27" hidden="1" x14ac:dyDescent="0.25">
      <c r="A2847" s="133"/>
      <c r="B2847" s="128" t="str">
        <f t="shared" si="306"/>
        <v>POPT</v>
      </c>
      <c r="C2847" s="128" t="str">
        <f>+VLOOKUP(U2847,Ходим!A:B,2,0)</f>
        <v>31707832120033</v>
      </c>
      <c r="D2847" s="128" t="str">
        <f>IFERROR(VLOOKUP($B:$B,[20]свод!$A:$AB,3,0)," ")</f>
        <v>Поп тумани</v>
      </c>
      <c r="E2847" s="7" t="s">
        <v>3979</v>
      </c>
      <c r="F2847" s="7" t="s">
        <v>10344</v>
      </c>
      <c r="G2847" s="134" t="str">
        <f t="shared" si="307"/>
        <v/>
      </c>
      <c r="H2847" s="134">
        <f t="shared" si="308"/>
        <v>1</v>
      </c>
      <c r="I2847" s="7" t="s">
        <v>155</v>
      </c>
      <c r="J2847" s="7" t="s">
        <v>25</v>
      </c>
      <c r="K2847" s="7"/>
      <c r="L2847" s="7"/>
      <c r="M2847" s="7"/>
      <c r="N2847" s="7" t="s">
        <v>170</v>
      </c>
      <c r="O2847" s="7" t="s">
        <v>161</v>
      </c>
      <c r="P2847" s="7" t="s">
        <v>7487</v>
      </c>
      <c r="Q2847" s="129">
        <v>46199</v>
      </c>
      <c r="R2847" s="130">
        <f t="shared" si="309"/>
        <v>46210</v>
      </c>
      <c r="S2847" s="131">
        <f t="shared" si="310"/>
        <v>11</v>
      </c>
      <c r="T2847" s="7" t="s">
        <v>214</v>
      </c>
      <c r="U2847" s="7" t="s">
        <v>313</v>
      </c>
      <c r="V2847" s="7"/>
      <c r="W2847" s="7"/>
      <c r="X2847" s="132">
        <f t="shared" si="311"/>
        <v>10</v>
      </c>
      <c r="Y2847" s="133"/>
      <c r="Z2847" s="133"/>
      <c r="AA2847" s="133"/>
    </row>
    <row r="2848" spans="1:27" hidden="1" x14ac:dyDescent="0.25">
      <c r="A2848" s="133"/>
      <c r="B2848" s="128" t="str">
        <f t="shared" si="306"/>
        <v>UCQT</v>
      </c>
      <c r="C2848" s="128" t="e">
        <f>+VLOOKUP(U2848,Ходим!A:B,2,0)</f>
        <v>#N/A</v>
      </c>
      <c r="D2848" s="128" t="str">
        <f>IFERROR(VLOOKUP($B:$B,[20]свод!$A:$AB,3,0)," ")</f>
        <v>Учқўрғон тумани</v>
      </c>
      <c r="E2848" s="7" t="s">
        <v>3980</v>
      </c>
      <c r="F2848" s="7" t="s">
        <v>10345</v>
      </c>
      <c r="G2848" s="134">
        <f t="shared" si="307"/>
        <v>1</v>
      </c>
      <c r="H2848" s="134" t="str">
        <f t="shared" si="308"/>
        <v/>
      </c>
      <c r="I2848" s="7" t="s">
        <v>156</v>
      </c>
      <c r="J2848" s="7" t="s">
        <v>11</v>
      </c>
      <c r="K2848" s="7"/>
      <c r="L2848" s="7"/>
      <c r="M2848" s="7"/>
      <c r="N2848" s="7" t="s">
        <v>170</v>
      </c>
      <c r="O2848" s="7" t="s">
        <v>162</v>
      </c>
      <c r="P2848" s="7" t="s">
        <v>7487</v>
      </c>
      <c r="Q2848" s="129">
        <v>46199</v>
      </c>
      <c r="R2848" s="130">
        <f t="shared" si="309"/>
        <v>46210</v>
      </c>
      <c r="S2848" s="131">
        <f t="shared" si="310"/>
        <v>11</v>
      </c>
      <c r="T2848" s="7" t="s">
        <v>175</v>
      </c>
      <c r="U2848" s="7"/>
      <c r="V2848" s="7"/>
      <c r="W2848" s="7"/>
      <c r="X2848" s="132">
        <f t="shared" si="311"/>
        <v>10</v>
      </c>
      <c r="Y2848" s="133"/>
      <c r="Z2848" s="133"/>
      <c r="AA2848" s="133"/>
    </row>
    <row r="2849" spans="1:27" hidden="1" x14ac:dyDescent="0.25">
      <c r="A2849" s="133"/>
      <c r="B2849" s="128" t="str">
        <f t="shared" si="306"/>
        <v>TORT</v>
      </c>
      <c r="C2849" s="128" t="str">
        <f>+VLOOKUP(U2849,Ходим!A:B,2,0)</f>
        <v>50908015920034</v>
      </c>
      <c r="D2849" s="128" t="str">
        <f>IFERROR(VLOOKUP($B:$B,[20]свод!$A:$AB,3,0)," ")</f>
        <v>Тўрақўрғон тумани</v>
      </c>
      <c r="E2849" s="7" t="s">
        <v>3981</v>
      </c>
      <c r="F2849" s="7" t="s">
        <v>10346</v>
      </c>
      <c r="G2849" s="134">
        <f t="shared" si="307"/>
        <v>1</v>
      </c>
      <c r="H2849" s="134" t="str">
        <f t="shared" si="308"/>
        <v/>
      </c>
      <c r="I2849" s="7" t="s">
        <v>158</v>
      </c>
      <c r="J2849" s="7" t="s">
        <v>36</v>
      </c>
      <c r="K2849" s="7"/>
      <c r="L2849" s="7" t="s">
        <v>167</v>
      </c>
      <c r="M2849" s="7" t="s">
        <v>6097</v>
      </c>
      <c r="N2849" s="7" t="s">
        <v>170</v>
      </c>
      <c r="O2849" s="7" t="s">
        <v>163</v>
      </c>
      <c r="P2849" s="7" t="s">
        <v>7487</v>
      </c>
      <c r="Q2849" s="129">
        <v>46199</v>
      </c>
      <c r="R2849" s="130">
        <f t="shared" si="309"/>
        <v>46210</v>
      </c>
      <c r="S2849" s="131">
        <f t="shared" si="310"/>
        <v>11</v>
      </c>
      <c r="T2849" s="7" t="s">
        <v>203</v>
      </c>
      <c r="U2849" s="7" t="s">
        <v>205</v>
      </c>
      <c r="V2849" s="7"/>
      <c r="W2849" s="7">
        <v>317.41000000000003</v>
      </c>
      <c r="X2849" s="132">
        <f t="shared" si="311"/>
        <v>10</v>
      </c>
      <c r="Y2849" s="133"/>
      <c r="Z2849" s="133"/>
      <c r="AA2849" s="133"/>
    </row>
    <row r="2850" spans="1:27" hidden="1" x14ac:dyDescent="0.25">
      <c r="A2850" s="133"/>
      <c r="B2850" s="128" t="str">
        <f t="shared" si="306"/>
        <v>NAMS</v>
      </c>
      <c r="C2850" s="128" t="str">
        <f>+VLOOKUP(U2850,Ходим!A:B,2,0)</f>
        <v>30910985930021</v>
      </c>
      <c r="D2850" s="128" t="str">
        <f>IFERROR(VLOOKUP($B:$B,[20]свод!$A:$AB,3,0)," ")</f>
        <v>Наманган шаҳар</v>
      </c>
      <c r="E2850" s="7" t="s">
        <v>3982</v>
      </c>
      <c r="F2850" s="7" t="s">
        <v>10347</v>
      </c>
      <c r="G2850" s="134">
        <f t="shared" si="307"/>
        <v>1</v>
      </c>
      <c r="H2850" s="134" t="str">
        <f t="shared" si="308"/>
        <v/>
      </c>
      <c r="I2850" s="7" t="s">
        <v>156</v>
      </c>
      <c r="J2850" s="7" t="s">
        <v>25</v>
      </c>
      <c r="K2850" s="7"/>
      <c r="L2850" s="7"/>
      <c r="M2850" s="7"/>
      <c r="N2850" s="7" t="s">
        <v>170</v>
      </c>
      <c r="O2850" s="7" t="s">
        <v>162</v>
      </c>
      <c r="P2850" s="7" t="s">
        <v>7487</v>
      </c>
      <c r="Q2850" s="129">
        <v>46199</v>
      </c>
      <c r="R2850" s="130">
        <f t="shared" si="309"/>
        <v>46210</v>
      </c>
      <c r="S2850" s="131">
        <f t="shared" si="310"/>
        <v>11</v>
      </c>
      <c r="T2850" s="7" t="s">
        <v>173</v>
      </c>
      <c r="U2850" s="7" t="s">
        <v>963</v>
      </c>
      <c r="V2850" s="7"/>
      <c r="W2850" s="7"/>
      <c r="X2850" s="132">
        <f t="shared" si="311"/>
        <v>10</v>
      </c>
      <c r="Y2850" s="133"/>
      <c r="Z2850" s="133"/>
      <c r="AA2850" s="133"/>
    </row>
    <row r="2851" spans="1:27" hidden="1" x14ac:dyDescent="0.25">
      <c r="A2851" s="133"/>
      <c r="B2851" s="128" t="str">
        <f t="shared" si="306"/>
        <v>POPT</v>
      </c>
      <c r="C2851" s="128" t="str">
        <f>+VLOOKUP(U2851,Ходим!A:B,2,0)</f>
        <v>33110905910015</v>
      </c>
      <c r="D2851" s="128" t="str">
        <f>IFERROR(VLOOKUP($B:$B,[20]свод!$A:$AB,3,0)," ")</f>
        <v>Поп тумани</v>
      </c>
      <c r="E2851" s="7" t="s">
        <v>3983</v>
      </c>
      <c r="F2851" s="7" t="s">
        <v>10348</v>
      </c>
      <c r="G2851" s="134">
        <f t="shared" si="307"/>
        <v>1</v>
      </c>
      <c r="H2851" s="134" t="str">
        <f t="shared" si="308"/>
        <v/>
      </c>
      <c r="I2851" s="7" t="s">
        <v>158</v>
      </c>
      <c r="J2851" s="7" t="s">
        <v>2</v>
      </c>
      <c r="K2851" s="7"/>
      <c r="L2851" s="7" t="s">
        <v>167</v>
      </c>
      <c r="M2851" s="7" t="s">
        <v>977</v>
      </c>
      <c r="N2851" s="7" t="s">
        <v>170</v>
      </c>
      <c r="O2851" s="7" t="s">
        <v>162</v>
      </c>
      <c r="P2851" s="7" t="s">
        <v>7487</v>
      </c>
      <c r="Q2851" s="129">
        <v>46199</v>
      </c>
      <c r="R2851" s="130">
        <f t="shared" si="309"/>
        <v>46210</v>
      </c>
      <c r="S2851" s="131">
        <f t="shared" si="310"/>
        <v>11</v>
      </c>
      <c r="T2851" s="7" t="s">
        <v>214</v>
      </c>
      <c r="U2851" s="7" t="s">
        <v>305</v>
      </c>
      <c r="V2851" s="7"/>
      <c r="W2851" s="7">
        <v>376</v>
      </c>
      <c r="X2851" s="132">
        <f t="shared" si="311"/>
        <v>10</v>
      </c>
      <c r="Y2851" s="133"/>
      <c r="Z2851" s="133"/>
      <c r="AA2851" s="133"/>
    </row>
    <row r="2852" spans="1:27" hidden="1" x14ac:dyDescent="0.25">
      <c r="A2852" s="133"/>
      <c r="B2852" s="128" t="str">
        <f t="shared" si="306"/>
        <v>KSST</v>
      </c>
      <c r="C2852" s="128" t="str">
        <f>+VLOOKUP(U2852,Ходим!A:B,2,0)</f>
        <v>31204985980041</v>
      </c>
      <c r="D2852" s="128" t="str">
        <f>IFERROR(VLOOKUP($B:$B,[20]свод!$A:$AB,3,0)," ")</f>
        <v>Косонсой тумани</v>
      </c>
      <c r="E2852" s="7" t="s">
        <v>3984</v>
      </c>
      <c r="F2852" s="7" t="s">
        <v>10349</v>
      </c>
      <c r="G2852" s="134">
        <f t="shared" si="307"/>
        <v>1</v>
      </c>
      <c r="H2852" s="134" t="str">
        <f t="shared" si="308"/>
        <v/>
      </c>
      <c r="I2852" s="7" t="s">
        <v>158</v>
      </c>
      <c r="J2852" s="7" t="s">
        <v>2</v>
      </c>
      <c r="K2852" s="7"/>
      <c r="L2852" s="7" t="s">
        <v>167</v>
      </c>
      <c r="M2852" s="7" t="s">
        <v>6098</v>
      </c>
      <c r="N2852" s="7" t="s">
        <v>170</v>
      </c>
      <c r="O2852" s="7" t="s">
        <v>162</v>
      </c>
      <c r="P2852" s="7" t="s">
        <v>7487</v>
      </c>
      <c r="Q2852" s="129">
        <v>46199</v>
      </c>
      <c r="R2852" s="130">
        <f t="shared" si="309"/>
        <v>46210</v>
      </c>
      <c r="S2852" s="131">
        <f t="shared" si="310"/>
        <v>11</v>
      </c>
      <c r="T2852" s="7" t="s">
        <v>180</v>
      </c>
      <c r="U2852" s="7" t="s">
        <v>236</v>
      </c>
      <c r="V2852" s="7"/>
      <c r="W2852" s="7">
        <v>59.3</v>
      </c>
      <c r="X2852" s="132">
        <f t="shared" si="311"/>
        <v>10</v>
      </c>
      <c r="Y2852" s="133"/>
      <c r="Z2852" s="133"/>
      <c r="AA2852" s="133"/>
    </row>
    <row r="2853" spans="1:27" hidden="1" x14ac:dyDescent="0.25">
      <c r="A2853" s="133"/>
      <c r="B2853" s="128" t="str">
        <f t="shared" si="306"/>
        <v>POPT</v>
      </c>
      <c r="C2853" s="128" t="str">
        <f>+VLOOKUP(U2853,Ходим!A:B,2,0)</f>
        <v>50608025910024</v>
      </c>
      <c r="D2853" s="128" t="str">
        <f>IFERROR(VLOOKUP($B:$B,[20]свод!$A:$AB,3,0)," ")</f>
        <v>Поп тумани</v>
      </c>
      <c r="E2853" s="7" t="s">
        <v>3985</v>
      </c>
      <c r="F2853" s="7" t="s">
        <v>10350</v>
      </c>
      <c r="G2853" s="134">
        <f t="shared" si="307"/>
        <v>1</v>
      </c>
      <c r="H2853" s="134" t="str">
        <f t="shared" si="308"/>
        <v/>
      </c>
      <c r="I2853" s="7" t="s">
        <v>156</v>
      </c>
      <c r="J2853" s="7" t="s">
        <v>25</v>
      </c>
      <c r="K2853" s="7"/>
      <c r="L2853" s="7"/>
      <c r="M2853" s="7"/>
      <c r="N2853" s="7" t="s">
        <v>410</v>
      </c>
      <c r="O2853" s="7" t="s">
        <v>162</v>
      </c>
      <c r="P2853" s="7" t="s">
        <v>7488</v>
      </c>
      <c r="Q2853" s="129">
        <v>46199</v>
      </c>
      <c r="R2853" s="130">
        <f t="shared" si="309"/>
        <v>46210</v>
      </c>
      <c r="S2853" s="131">
        <f t="shared" si="310"/>
        <v>11</v>
      </c>
      <c r="T2853" s="7" t="s">
        <v>240</v>
      </c>
      <c r="U2853" s="7" t="s">
        <v>283</v>
      </c>
      <c r="V2853" s="7"/>
      <c r="W2853" s="7"/>
      <c r="X2853" s="132">
        <f t="shared" si="311"/>
        <v>10</v>
      </c>
      <c r="Y2853" s="133"/>
      <c r="Z2853" s="133"/>
      <c r="AA2853" s="133"/>
    </row>
    <row r="2854" spans="1:27" hidden="1" x14ac:dyDescent="0.25">
      <c r="A2854" s="133"/>
      <c r="B2854" s="128" t="str">
        <f t="shared" si="306"/>
        <v>POPT</v>
      </c>
      <c r="C2854" s="128" t="str">
        <f>+VLOOKUP(U2854,Ходим!A:B,2,0)</f>
        <v>32307772120077</v>
      </c>
      <c r="D2854" s="128" t="str">
        <f>IFERROR(VLOOKUP($B:$B,[20]свод!$A:$AB,3,0)," ")</f>
        <v>Поп тумани</v>
      </c>
      <c r="E2854" s="7" t="s">
        <v>3986</v>
      </c>
      <c r="F2854" s="7" t="s">
        <v>10351</v>
      </c>
      <c r="G2854" s="134">
        <f t="shared" si="307"/>
        <v>1</v>
      </c>
      <c r="H2854" s="134" t="str">
        <f t="shared" si="308"/>
        <v/>
      </c>
      <c r="I2854" s="7" t="s">
        <v>158</v>
      </c>
      <c r="J2854" s="7" t="s">
        <v>12</v>
      </c>
      <c r="K2854" s="7"/>
      <c r="L2854" s="7" t="s">
        <v>167</v>
      </c>
      <c r="M2854" s="7" t="s">
        <v>6099</v>
      </c>
      <c r="N2854" s="7" t="s">
        <v>170</v>
      </c>
      <c r="O2854" s="7" t="s">
        <v>162</v>
      </c>
      <c r="P2854" s="7" t="s">
        <v>7488</v>
      </c>
      <c r="Q2854" s="129">
        <v>46199</v>
      </c>
      <c r="R2854" s="130">
        <f t="shared" si="309"/>
        <v>46210</v>
      </c>
      <c r="S2854" s="131">
        <f t="shared" si="310"/>
        <v>11</v>
      </c>
      <c r="T2854" s="7" t="s">
        <v>240</v>
      </c>
      <c r="U2854" s="7" t="s">
        <v>253</v>
      </c>
      <c r="V2854" s="7"/>
      <c r="W2854" s="7">
        <v>22.04</v>
      </c>
      <c r="X2854" s="132">
        <f t="shared" si="311"/>
        <v>10</v>
      </c>
      <c r="Y2854" s="133"/>
      <c r="Z2854" s="133"/>
      <c r="AA2854" s="133"/>
    </row>
    <row r="2855" spans="1:27" hidden="1" x14ac:dyDescent="0.25">
      <c r="A2855" s="133"/>
      <c r="B2855" s="128" t="str">
        <f t="shared" si="306"/>
        <v>NAMS</v>
      </c>
      <c r="C2855" s="128" t="str">
        <f>+VLOOKUP(U2855,Ходим!A:B,2,0)</f>
        <v>41006772170195</v>
      </c>
      <c r="D2855" s="128" t="str">
        <f>IFERROR(VLOOKUP($B:$B,[20]свод!$A:$AB,3,0)," ")</f>
        <v>Наманган шаҳар</v>
      </c>
      <c r="E2855" s="7" t="s">
        <v>3987</v>
      </c>
      <c r="F2855" s="7" t="s">
        <v>10352</v>
      </c>
      <c r="G2855" s="134" t="str">
        <f t="shared" si="307"/>
        <v/>
      </c>
      <c r="H2855" s="134">
        <f t="shared" si="308"/>
        <v>1</v>
      </c>
      <c r="I2855" s="7" t="s">
        <v>157</v>
      </c>
      <c r="J2855" s="7" t="s">
        <v>1</v>
      </c>
      <c r="K2855" s="7"/>
      <c r="L2855" s="7" t="s">
        <v>166</v>
      </c>
      <c r="M2855" s="7" t="s">
        <v>6100</v>
      </c>
      <c r="N2855" s="7" t="s">
        <v>170</v>
      </c>
      <c r="O2855" s="7" t="s">
        <v>161</v>
      </c>
      <c r="P2855" s="7" t="s">
        <v>6792</v>
      </c>
      <c r="Q2855" s="129">
        <v>46199</v>
      </c>
      <c r="R2855" s="130">
        <f t="shared" si="309"/>
        <v>46217</v>
      </c>
      <c r="S2855" s="131">
        <f t="shared" si="310"/>
        <v>18</v>
      </c>
      <c r="T2855" s="7" t="s">
        <v>227</v>
      </c>
      <c r="U2855" s="7" t="s">
        <v>338</v>
      </c>
      <c r="V2855" s="7"/>
      <c r="W2855" s="7">
        <v>2980.3</v>
      </c>
      <c r="X2855" s="132">
        <f t="shared" si="311"/>
        <v>17</v>
      </c>
      <c r="Y2855" s="133"/>
      <c r="Z2855" s="133"/>
      <c r="AA2855" s="133"/>
    </row>
    <row r="2856" spans="1:27" hidden="1" x14ac:dyDescent="0.25">
      <c r="A2856" s="133"/>
      <c r="B2856" s="128" t="str">
        <f t="shared" si="306"/>
        <v>NAMS</v>
      </c>
      <c r="C2856" s="128" t="str">
        <f>+VLOOKUP(U2856,Ходим!A:B,2,0)</f>
        <v>52107015960107</v>
      </c>
      <c r="D2856" s="128" t="str">
        <f>IFERROR(VLOOKUP($B:$B,[20]свод!$A:$AB,3,0)," ")</f>
        <v>Наманган шаҳар</v>
      </c>
      <c r="E2856" s="7" t="s">
        <v>3988</v>
      </c>
      <c r="F2856" s="7" t="s">
        <v>10353</v>
      </c>
      <c r="G2856" s="134" t="str">
        <f t="shared" si="307"/>
        <v/>
      </c>
      <c r="H2856" s="134">
        <f t="shared" si="308"/>
        <v>1</v>
      </c>
      <c r="I2856" s="7" t="s">
        <v>154</v>
      </c>
      <c r="J2856" s="7" t="s">
        <v>2</v>
      </c>
      <c r="K2856" s="7"/>
      <c r="L2856" s="7" t="s">
        <v>166</v>
      </c>
      <c r="M2856" s="7" t="s">
        <v>1076</v>
      </c>
      <c r="N2856" s="7" t="s">
        <v>170</v>
      </c>
      <c r="O2856" s="7" t="s">
        <v>161</v>
      </c>
      <c r="P2856" s="7" t="s">
        <v>6332</v>
      </c>
      <c r="Q2856" s="129">
        <v>46199</v>
      </c>
      <c r="R2856" s="130">
        <f t="shared" si="309"/>
        <v>46210</v>
      </c>
      <c r="S2856" s="131">
        <f t="shared" si="310"/>
        <v>11</v>
      </c>
      <c r="T2856" s="7" t="s">
        <v>185</v>
      </c>
      <c r="U2856" s="7" t="s">
        <v>348</v>
      </c>
      <c r="V2856" s="7"/>
      <c r="W2856" s="7">
        <v>0</v>
      </c>
      <c r="X2856" s="132">
        <f t="shared" si="311"/>
        <v>10</v>
      </c>
      <c r="Y2856" s="133"/>
      <c r="Z2856" s="133"/>
      <c r="AA2856" s="133"/>
    </row>
    <row r="2857" spans="1:27" hidden="1" x14ac:dyDescent="0.25">
      <c r="A2857" s="133"/>
      <c r="B2857" s="128" t="str">
        <f t="shared" si="306"/>
        <v>NORT</v>
      </c>
      <c r="C2857" s="128" t="str">
        <f>+VLOOKUP(U2857,Ходим!A:B,2,0)</f>
        <v>31609962110019</v>
      </c>
      <c r="D2857" s="128" t="str">
        <f>IFERROR(VLOOKUP($B:$B,[20]свод!$A:$AB,3,0)," ")</f>
        <v>Норин тумани</v>
      </c>
      <c r="E2857" s="7" t="s">
        <v>3989</v>
      </c>
      <c r="F2857" s="7" t="s">
        <v>10354</v>
      </c>
      <c r="G2857" s="134">
        <f t="shared" si="307"/>
        <v>1</v>
      </c>
      <c r="H2857" s="134" t="str">
        <f t="shared" si="308"/>
        <v/>
      </c>
      <c r="I2857" s="7" t="s">
        <v>158</v>
      </c>
      <c r="J2857" s="7" t="s">
        <v>36</v>
      </c>
      <c r="K2857" s="7"/>
      <c r="L2857" s="7" t="s">
        <v>167</v>
      </c>
      <c r="M2857" s="7" t="s">
        <v>6101</v>
      </c>
      <c r="N2857" s="7" t="s">
        <v>410</v>
      </c>
      <c r="O2857" s="7" t="s">
        <v>162</v>
      </c>
      <c r="P2857" s="7" t="s">
        <v>6332</v>
      </c>
      <c r="Q2857" s="129">
        <v>46199</v>
      </c>
      <c r="R2857" s="130">
        <f t="shared" si="309"/>
        <v>46210</v>
      </c>
      <c r="S2857" s="131">
        <f t="shared" si="310"/>
        <v>11</v>
      </c>
      <c r="T2857" s="7" t="s">
        <v>210</v>
      </c>
      <c r="U2857" s="7" t="s">
        <v>355</v>
      </c>
      <c r="V2857" s="7"/>
      <c r="W2857" s="7">
        <v>0</v>
      </c>
      <c r="X2857" s="132">
        <f t="shared" si="311"/>
        <v>10</v>
      </c>
      <c r="Y2857" s="133"/>
      <c r="Z2857" s="133"/>
      <c r="AA2857" s="133"/>
    </row>
    <row r="2858" spans="1:27" hidden="1" x14ac:dyDescent="0.25">
      <c r="A2858" s="133"/>
      <c r="B2858" s="128" t="str">
        <f t="shared" si="306"/>
        <v>NAMS</v>
      </c>
      <c r="C2858" s="128" t="str">
        <f>+VLOOKUP(U2858,Ходим!A:B,2,0)</f>
        <v>30304915960053</v>
      </c>
      <c r="D2858" s="128" t="str">
        <f>IFERROR(VLOOKUP($B:$B,[20]свод!$A:$AB,3,0)," ")</f>
        <v>Наманган шаҳар</v>
      </c>
      <c r="E2858" s="7" t="s">
        <v>3990</v>
      </c>
      <c r="F2858" s="7" t="s">
        <v>10355</v>
      </c>
      <c r="G2858" s="134">
        <f t="shared" si="307"/>
        <v>1</v>
      </c>
      <c r="H2858" s="134" t="str">
        <f t="shared" si="308"/>
        <v/>
      </c>
      <c r="I2858" s="7" t="s">
        <v>158</v>
      </c>
      <c r="J2858" s="7" t="s">
        <v>12</v>
      </c>
      <c r="K2858" s="7"/>
      <c r="L2858" s="7" t="s">
        <v>167</v>
      </c>
      <c r="M2858" s="7" t="s">
        <v>6102</v>
      </c>
      <c r="N2858" s="7" t="s">
        <v>170</v>
      </c>
      <c r="O2858" s="7" t="s">
        <v>162</v>
      </c>
      <c r="P2858" s="7" t="s">
        <v>6332</v>
      </c>
      <c r="Q2858" s="129">
        <v>46199</v>
      </c>
      <c r="R2858" s="130">
        <f t="shared" si="309"/>
        <v>46210</v>
      </c>
      <c r="S2858" s="131">
        <f t="shared" si="310"/>
        <v>11</v>
      </c>
      <c r="T2858" s="7" t="s">
        <v>173</v>
      </c>
      <c r="U2858" s="7" t="s">
        <v>314</v>
      </c>
      <c r="V2858" s="7"/>
      <c r="W2858" s="7">
        <v>344.46</v>
      </c>
      <c r="X2858" s="132">
        <f t="shared" si="311"/>
        <v>10</v>
      </c>
      <c r="Y2858" s="133"/>
      <c r="Z2858" s="133"/>
      <c r="AA2858" s="133"/>
    </row>
    <row r="2859" spans="1:27" hidden="1" x14ac:dyDescent="0.25">
      <c r="A2859" s="133"/>
      <c r="B2859" s="128" t="str">
        <f t="shared" si="306"/>
        <v>NAMS</v>
      </c>
      <c r="C2859" s="128" t="str">
        <f>+VLOOKUP(U2859,Ходим!A:B,2,0)</f>
        <v>52407055960122</v>
      </c>
      <c r="D2859" s="128" t="str">
        <f>IFERROR(VLOOKUP($B:$B,[20]свод!$A:$AB,3,0)," ")</f>
        <v>Наманган шаҳар</v>
      </c>
      <c r="E2859" s="7" t="s">
        <v>3991</v>
      </c>
      <c r="F2859" s="7" t="s">
        <v>10356</v>
      </c>
      <c r="G2859" s="134">
        <f t="shared" si="307"/>
        <v>1</v>
      </c>
      <c r="H2859" s="134" t="str">
        <f t="shared" si="308"/>
        <v/>
      </c>
      <c r="I2859" s="7" t="s">
        <v>158</v>
      </c>
      <c r="J2859" s="7" t="s">
        <v>36</v>
      </c>
      <c r="K2859" s="7"/>
      <c r="L2859" s="7" t="s">
        <v>167</v>
      </c>
      <c r="M2859" s="7" t="s">
        <v>6103</v>
      </c>
      <c r="N2859" s="7" t="s">
        <v>170</v>
      </c>
      <c r="O2859" s="7" t="s">
        <v>162</v>
      </c>
      <c r="P2859" s="7" t="s">
        <v>6968</v>
      </c>
      <c r="Q2859" s="129">
        <v>46199</v>
      </c>
      <c r="R2859" s="130">
        <f t="shared" si="309"/>
        <v>46210</v>
      </c>
      <c r="S2859" s="131">
        <f t="shared" si="310"/>
        <v>11</v>
      </c>
      <c r="T2859" s="7" t="s">
        <v>185</v>
      </c>
      <c r="U2859" s="7" t="s">
        <v>345</v>
      </c>
      <c r="V2859" s="7"/>
      <c r="W2859" s="7">
        <v>0</v>
      </c>
      <c r="X2859" s="132">
        <f t="shared" si="311"/>
        <v>10</v>
      </c>
      <c r="Y2859" s="133"/>
      <c r="Z2859" s="133"/>
      <c r="AA2859" s="133"/>
    </row>
    <row r="2860" spans="1:27" hidden="1" x14ac:dyDescent="0.25">
      <c r="A2860" s="133"/>
      <c r="B2860" s="128" t="str">
        <f t="shared" si="306"/>
        <v>CHUT</v>
      </c>
      <c r="C2860" s="128" t="str">
        <f>+VLOOKUP(U2860,Ходим!A:B,2,0)</f>
        <v>30202885970013</v>
      </c>
      <c r="D2860" s="128" t="str">
        <f>IFERROR(VLOOKUP($B:$B,[20]свод!$A:$AB,3,0)," ")</f>
        <v>Чуст тумани</v>
      </c>
      <c r="E2860" s="7" t="s">
        <v>3992</v>
      </c>
      <c r="F2860" s="7" t="s">
        <v>10357</v>
      </c>
      <c r="G2860" s="134">
        <f t="shared" si="307"/>
        <v>1</v>
      </c>
      <c r="H2860" s="134" t="str">
        <f t="shared" si="308"/>
        <v/>
      </c>
      <c r="I2860" s="7" t="s">
        <v>158</v>
      </c>
      <c r="J2860" s="7" t="s">
        <v>172</v>
      </c>
      <c r="K2860" s="7"/>
      <c r="L2860" s="7" t="s">
        <v>167</v>
      </c>
      <c r="M2860" s="7" t="s">
        <v>6104</v>
      </c>
      <c r="N2860" s="7" t="s">
        <v>170</v>
      </c>
      <c r="O2860" s="7" t="s">
        <v>162</v>
      </c>
      <c r="P2860" s="7" t="s">
        <v>6968</v>
      </c>
      <c r="Q2860" s="129">
        <v>46199</v>
      </c>
      <c r="R2860" s="130">
        <f t="shared" si="309"/>
        <v>46210</v>
      </c>
      <c r="S2860" s="131">
        <f t="shared" si="310"/>
        <v>11</v>
      </c>
      <c r="T2860" s="7" t="s">
        <v>178</v>
      </c>
      <c r="U2860" s="7" t="s">
        <v>289</v>
      </c>
      <c r="V2860" s="7"/>
      <c r="W2860" s="7">
        <v>290.25</v>
      </c>
      <c r="X2860" s="132">
        <f t="shared" si="311"/>
        <v>10</v>
      </c>
      <c r="Y2860" s="133"/>
      <c r="Z2860" s="133"/>
      <c r="AA2860" s="133"/>
    </row>
    <row r="2861" spans="1:27" hidden="1" x14ac:dyDescent="0.25">
      <c r="A2861" s="133"/>
      <c r="B2861" s="128" t="str">
        <f t="shared" si="306"/>
        <v>NAMS</v>
      </c>
      <c r="C2861" s="128" t="str">
        <f>+VLOOKUP(U2861,Ходим!A:B,2,0)</f>
        <v>30202915960070</v>
      </c>
      <c r="D2861" s="128" t="str">
        <f>IFERROR(VLOOKUP($B:$B,[20]свод!$A:$AB,3,0)," ")</f>
        <v>Наманган шаҳар</v>
      </c>
      <c r="E2861" s="7" t="s">
        <v>3993</v>
      </c>
      <c r="F2861" s="7" t="s">
        <v>10358</v>
      </c>
      <c r="G2861" s="134" t="str">
        <f t="shared" si="307"/>
        <v/>
      </c>
      <c r="H2861" s="134">
        <f t="shared" si="308"/>
        <v>1</v>
      </c>
      <c r="I2861" s="7" t="s">
        <v>157</v>
      </c>
      <c r="J2861" s="7" t="s">
        <v>13</v>
      </c>
      <c r="K2861" s="7"/>
      <c r="L2861" s="7" t="s">
        <v>166</v>
      </c>
      <c r="M2861" s="7" t="s">
        <v>6105</v>
      </c>
      <c r="N2861" s="7" t="s">
        <v>170</v>
      </c>
      <c r="O2861" s="7" t="s">
        <v>161</v>
      </c>
      <c r="P2861" s="7" t="s">
        <v>6968</v>
      </c>
      <c r="Q2861" s="129">
        <v>46199</v>
      </c>
      <c r="R2861" s="130">
        <f t="shared" si="309"/>
        <v>46210</v>
      </c>
      <c r="S2861" s="131">
        <f t="shared" si="310"/>
        <v>11</v>
      </c>
      <c r="T2861" s="7" t="s">
        <v>173</v>
      </c>
      <c r="U2861" s="7" t="s">
        <v>177</v>
      </c>
      <c r="V2861" s="7"/>
      <c r="W2861" s="7">
        <v>0</v>
      </c>
      <c r="X2861" s="132">
        <f t="shared" si="311"/>
        <v>10</v>
      </c>
      <c r="Y2861" s="133"/>
      <c r="Z2861" s="133"/>
      <c r="AA2861" s="133"/>
    </row>
    <row r="2862" spans="1:27" hidden="1" x14ac:dyDescent="0.25">
      <c r="A2862" s="133"/>
      <c r="B2862" s="128" t="str">
        <f t="shared" si="306"/>
        <v>UYCT</v>
      </c>
      <c r="C2862" s="128" t="str">
        <f>+VLOOKUP(U2862,Ходим!A:B,2,0)</f>
        <v>32906985930035</v>
      </c>
      <c r="D2862" s="128" t="str">
        <f>IFERROR(VLOOKUP($B:$B,[20]свод!$A:$AB,3,0)," ")</f>
        <v>Уйчи тумани</v>
      </c>
      <c r="E2862" s="7" t="s">
        <v>3994</v>
      </c>
      <c r="F2862" s="7" t="s">
        <v>10359</v>
      </c>
      <c r="G2862" s="134">
        <f t="shared" si="307"/>
        <v>1</v>
      </c>
      <c r="H2862" s="134" t="str">
        <f t="shared" si="308"/>
        <v/>
      </c>
      <c r="I2862" s="7" t="s">
        <v>156</v>
      </c>
      <c r="J2862" s="7" t="s">
        <v>11</v>
      </c>
      <c r="K2862" s="7"/>
      <c r="L2862" s="7"/>
      <c r="M2862" s="7"/>
      <c r="N2862" s="7" t="s">
        <v>170</v>
      </c>
      <c r="O2862" s="7" t="s">
        <v>162</v>
      </c>
      <c r="P2862" s="7" t="s">
        <v>6968</v>
      </c>
      <c r="Q2862" s="129">
        <v>46199</v>
      </c>
      <c r="R2862" s="130">
        <f t="shared" si="309"/>
        <v>46210</v>
      </c>
      <c r="S2862" s="131">
        <f t="shared" si="310"/>
        <v>11</v>
      </c>
      <c r="T2862" s="7" t="s">
        <v>947</v>
      </c>
      <c r="U2862" s="7" t="s">
        <v>257</v>
      </c>
      <c r="V2862" s="7"/>
      <c r="W2862" s="7"/>
      <c r="X2862" s="132">
        <f t="shared" si="311"/>
        <v>10</v>
      </c>
      <c r="Y2862" s="133"/>
      <c r="Z2862" s="133"/>
      <c r="AA2862" s="133"/>
    </row>
    <row r="2863" spans="1:27" hidden="1" x14ac:dyDescent="0.25">
      <c r="A2863" s="133"/>
      <c r="B2863" s="128" t="str">
        <f t="shared" si="306"/>
        <v>NAMS</v>
      </c>
      <c r="C2863" s="128" t="str">
        <f>+VLOOKUP(U2863,Ходим!A:B,2,0)</f>
        <v>50308015960081</v>
      </c>
      <c r="D2863" s="128" t="str">
        <f>IFERROR(VLOOKUP($B:$B,[20]свод!$A:$AB,3,0)," ")</f>
        <v>Наманган шаҳар</v>
      </c>
      <c r="E2863" s="7" t="s">
        <v>3995</v>
      </c>
      <c r="F2863" s="7" t="s">
        <v>10360</v>
      </c>
      <c r="G2863" s="134">
        <f t="shared" si="307"/>
        <v>1</v>
      </c>
      <c r="H2863" s="134" t="str">
        <f t="shared" si="308"/>
        <v/>
      </c>
      <c r="I2863" s="7" t="s">
        <v>156</v>
      </c>
      <c r="J2863" s="7" t="s">
        <v>25</v>
      </c>
      <c r="K2863" s="7"/>
      <c r="L2863" s="7" t="s">
        <v>167</v>
      </c>
      <c r="M2863" s="7" t="s">
        <v>6106</v>
      </c>
      <c r="N2863" s="7" t="s">
        <v>170</v>
      </c>
      <c r="O2863" s="7" t="s">
        <v>162</v>
      </c>
      <c r="P2863" s="7" t="s">
        <v>6968</v>
      </c>
      <c r="Q2863" s="129">
        <v>46199</v>
      </c>
      <c r="R2863" s="130">
        <f t="shared" si="309"/>
        <v>46210</v>
      </c>
      <c r="S2863" s="131">
        <f t="shared" si="310"/>
        <v>11</v>
      </c>
      <c r="T2863" s="7" t="s">
        <v>173</v>
      </c>
      <c r="U2863" s="7" t="s">
        <v>375</v>
      </c>
      <c r="V2863" s="7"/>
      <c r="W2863" s="7">
        <v>196.98</v>
      </c>
      <c r="X2863" s="132">
        <f t="shared" si="311"/>
        <v>10</v>
      </c>
      <c r="Y2863" s="133"/>
      <c r="Z2863" s="133"/>
      <c r="AA2863" s="133"/>
    </row>
    <row r="2864" spans="1:27" hidden="1" x14ac:dyDescent="0.25">
      <c r="A2864" s="133"/>
      <c r="B2864" s="128" t="str">
        <f t="shared" si="306"/>
        <v>NAMS</v>
      </c>
      <c r="C2864" s="128" t="str">
        <f>+VLOOKUP(U2864,Ходим!A:B,2,0)</f>
        <v>30302942170072</v>
      </c>
      <c r="D2864" s="128" t="str">
        <f>IFERROR(VLOOKUP($B:$B,[20]свод!$A:$AB,3,0)," ")</f>
        <v>Наманган шаҳар</v>
      </c>
      <c r="E2864" s="7" t="s">
        <v>3996</v>
      </c>
      <c r="F2864" s="7" t="s">
        <v>10361</v>
      </c>
      <c r="G2864" s="134">
        <f t="shared" si="307"/>
        <v>1</v>
      </c>
      <c r="H2864" s="134" t="str">
        <f t="shared" si="308"/>
        <v/>
      </c>
      <c r="I2864" s="7" t="s">
        <v>158</v>
      </c>
      <c r="J2864" s="7" t="s">
        <v>2</v>
      </c>
      <c r="K2864" s="7"/>
      <c r="L2864" s="7" t="s">
        <v>167</v>
      </c>
      <c r="M2864" s="7" t="s">
        <v>6107</v>
      </c>
      <c r="N2864" s="7" t="s">
        <v>170</v>
      </c>
      <c r="O2864" s="7" t="s">
        <v>162</v>
      </c>
      <c r="P2864" s="7" t="s">
        <v>7122</v>
      </c>
      <c r="Q2864" s="129">
        <v>46199</v>
      </c>
      <c r="R2864" s="130">
        <f t="shared" si="309"/>
        <v>46209</v>
      </c>
      <c r="S2864" s="131">
        <f t="shared" si="310"/>
        <v>10</v>
      </c>
      <c r="T2864" s="7" t="s">
        <v>173</v>
      </c>
      <c r="U2864" s="7" t="s">
        <v>325</v>
      </c>
      <c r="V2864" s="7"/>
      <c r="W2864" s="7">
        <v>363.35</v>
      </c>
      <c r="X2864" s="132">
        <f t="shared" si="311"/>
        <v>10</v>
      </c>
      <c r="Y2864" s="133"/>
      <c r="Z2864" s="133"/>
      <c r="AA2864" s="133"/>
    </row>
    <row r="2865" spans="1:27" hidden="1" x14ac:dyDescent="0.25">
      <c r="A2865" s="133"/>
      <c r="B2865" s="128" t="str">
        <f t="shared" si="306"/>
        <v>MINT</v>
      </c>
      <c r="C2865" s="128" t="e">
        <f>+VLOOKUP(U2865,Ходим!A:B,2,0)</f>
        <v>#N/A</v>
      </c>
      <c r="D2865" s="128" t="str">
        <f>IFERROR(VLOOKUP($B:$B,[20]свод!$A:$AB,3,0)," ")</f>
        <v>Мингбулоқ тумани</v>
      </c>
      <c r="E2865" s="7" t="s">
        <v>3997</v>
      </c>
      <c r="F2865" s="7" t="s">
        <v>10362</v>
      </c>
      <c r="G2865" s="134">
        <f t="shared" si="307"/>
        <v>1</v>
      </c>
      <c r="H2865" s="134" t="str">
        <f t="shared" si="308"/>
        <v/>
      </c>
      <c r="I2865" s="7" t="s">
        <v>156</v>
      </c>
      <c r="J2865" s="7" t="s">
        <v>11</v>
      </c>
      <c r="K2865" s="7"/>
      <c r="L2865" s="7"/>
      <c r="M2865" s="7"/>
      <c r="N2865" s="7" t="s">
        <v>170</v>
      </c>
      <c r="O2865" s="7" t="s">
        <v>162</v>
      </c>
      <c r="P2865" s="7" t="s">
        <v>6603</v>
      </c>
      <c r="Q2865" s="129">
        <v>46199</v>
      </c>
      <c r="R2865" s="130">
        <f t="shared" si="309"/>
        <v>46210</v>
      </c>
      <c r="S2865" s="131">
        <f t="shared" si="310"/>
        <v>11</v>
      </c>
      <c r="T2865" s="7"/>
      <c r="U2865" s="7"/>
      <c r="V2865" s="7"/>
      <c r="W2865" s="7"/>
      <c r="X2865" s="132">
        <f t="shared" si="311"/>
        <v>10</v>
      </c>
      <c r="Y2865" s="133"/>
      <c r="Z2865" s="133"/>
      <c r="AA2865" s="133"/>
    </row>
    <row r="2866" spans="1:27" hidden="1" x14ac:dyDescent="0.25">
      <c r="A2866" s="133"/>
      <c r="B2866" s="128" t="str">
        <f t="shared" si="306"/>
        <v>KSST</v>
      </c>
      <c r="C2866" s="128" t="str">
        <f>+VLOOKUP(U2866,Ходим!A:B,2,0)</f>
        <v>52812015980061</v>
      </c>
      <c r="D2866" s="128" t="str">
        <f>IFERROR(VLOOKUP($B:$B,[20]свод!$A:$AB,3,0)," ")</f>
        <v>Косонсой тумани</v>
      </c>
      <c r="E2866" s="7" t="s">
        <v>3998</v>
      </c>
      <c r="F2866" s="7" t="s">
        <v>10363</v>
      </c>
      <c r="G2866" s="134">
        <f t="shared" si="307"/>
        <v>1</v>
      </c>
      <c r="H2866" s="134" t="str">
        <f t="shared" si="308"/>
        <v/>
      </c>
      <c r="I2866" s="7" t="s">
        <v>158</v>
      </c>
      <c r="J2866" s="7" t="s">
        <v>2</v>
      </c>
      <c r="K2866" s="7"/>
      <c r="L2866" s="7" t="s">
        <v>167</v>
      </c>
      <c r="M2866" s="7" t="s">
        <v>6108</v>
      </c>
      <c r="N2866" s="7" t="s">
        <v>170</v>
      </c>
      <c r="O2866" s="7" t="s">
        <v>162</v>
      </c>
      <c r="P2866" s="7" t="s">
        <v>6603</v>
      </c>
      <c r="Q2866" s="129">
        <v>46199</v>
      </c>
      <c r="R2866" s="130">
        <f t="shared" si="309"/>
        <v>46210</v>
      </c>
      <c r="S2866" s="131">
        <f t="shared" si="310"/>
        <v>11</v>
      </c>
      <c r="T2866" s="7" t="s">
        <v>180</v>
      </c>
      <c r="U2866" s="7" t="s">
        <v>307</v>
      </c>
      <c r="V2866" s="7"/>
      <c r="W2866" s="7">
        <v>79.099999999999994</v>
      </c>
      <c r="X2866" s="132">
        <f t="shared" si="311"/>
        <v>10</v>
      </c>
      <c r="Y2866" s="133"/>
      <c r="Z2866" s="133"/>
      <c r="AA2866" s="133"/>
    </row>
    <row r="2867" spans="1:27" hidden="1" x14ac:dyDescent="0.25">
      <c r="A2867" s="133"/>
      <c r="B2867" s="128" t="str">
        <f t="shared" si="306"/>
        <v>POPT</v>
      </c>
      <c r="C2867" s="128" t="str">
        <f>+VLOOKUP(U2867,Ходим!A:B,2,0)</f>
        <v>50310025910024</v>
      </c>
      <c r="D2867" s="128" t="str">
        <f>IFERROR(VLOOKUP($B:$B,[20]свод!$A:$AB,3,0)," ")</f>
        <v>Поп тумани</v>
      </c>
      <c r="E2867" s="7" t="s">
        <v>3999</v>
      </c>
      <c r="F2867" s="7" t="s">
        <v>10364</v>
      </c>
      <c r="G2867" s="134">
        <f t="shared" si="307"/>
        <v>1</v>
      </c>
      <c r="H2867" s="134" t="str">
        <f t="shared" si="308"/>
        <v/>
      </c>
      <c r="I2867" s="7" t="s">
        <v>156</v>
      </c>
      <c r="J2867" s="7" t="s">
        <v>25</v>
      </c>
      <c r="K2867" s="7"/>
      <c r="L2867" s="7"/>
      <c r="M2867" s="7"/>
      <c r="N2867" s="7" t="s">
        <v>170</v>
      </c>
      <c r="O2867" s="7" t="s">
        <v>162</v>
      </c>
      <c r="P2867" s="7" t="s">
        <v>6603</v>
      </c>
      <c r="Q2867" s="129">
        <v>46199</v>
      </c>
      <c r="R2867" s="130">
        <f t="shared" si="309"/>
        <v>46210</v>
      </c>
      <c r="S2867" s="131">
        <f t="shared" si="310"/>
        <v>11</v>
      </c>
      <c r="T2867" s="7" t="s">
        <v>214</v>
      </c>
      <c r="U2867" s="7" t="s">
        <v>964</v>
      </c>
      <c r="V2867" s="7"/>
      <c r="W2867" s="7"/>
      <c r="X2867" s="132">
        <f t="shared" si="311"/>
        <v>10</v>
      </c>
      <c r="Y2867" s="133"/>
      <c r="Z2867" s="133"/>
      <c r="AA2867" s="133"/>
    </row>
    <row r="2868" spans="1:27" hidden="1" x14ac:dyDescent="0.25">
      <c r="A2868" s="133"/>
      <c r="B2868" s="128" t="str">
        <f t="shared" si="306"/>
        <v>NAMS</v>
      </c>
      <c r="C2868" s="128" t="str">
        <f>+VLOOKUP(U2868,Ходим!A:B,2,0)</f>
        <v>50308015960081</v>
      </c>
      <c r="D2868" s="128" t="str">
        <f>IFERROR(VLOOKUP($B:$B,[20]свод!$A:$AB,3,0)," ")</f>
        <v>Наманган шаҳар</v>
      </c>
      <c r="E2868" s="7" t="s">
        <v>4000</v>
      </c>
      <c r="F2868" s="7" t="s">
        <v>10365</v>
      </c>
      <c r="G2868" s="134">
        <f t="shared" si="307"/>
        <v>1</v>
      </c>
      <c r="H2868" s="134" t="str">
        <f t="shared" si="308"/>
        <v/>
      </c>
      <c r="I2868" s="7" t="s">
        <v>156</v>
      </c>
      <c r="J2868" s="7" t="s">
        <v>25</v>
      </c>
      <c r="K2868" s="7"/>
      <c r="L2868" s="7" t="s">
        <v>167</v>
      </c>
      <c r="M2868" s="7" t="s">
        <v>6109</v>
      </c>
      <c r="N2868" s="7" t="s">
        <v>170</v>
      </c>
      <c r="O2868" s="7" t="s">
        <v>162</v>
      </c>
      <c r="P2868" s="7" t="s">
        <v>6603</v>
      </c>
      <c r="Q2868" s="129">
        <v>46199</v>
      </c>
      <c r="R2868" s="130">
        <f t="shared" si="309"/>
        <v>46210</v>
      </c>
      <c r="S2868" s="131">
        <f t="shared" si="310"/>
        <v>11</v>
      </c>
      <c r="T2868" s="7" t="s">
        <v>173</v>
      </c>
      <c r="U2868" s="7" t="s">
        <v>375</v>
      </c>
      <c r="V2868" s="7"/>
      <c r="W2868" s="7">
        <v>0</v>
      </c>
      <c r="X2868" s="132">
        <f t="shared" si="311"/>
        <v>10</v>
      </c>
      <c r="Y2868" s="133"/>
      <c r="Z2868" s="133"/>
      <c r="AA2868" s="133"/>
    </row>
    <row r="2869" spans="1:27" hidden="1" x14ac:dyDescent="0.25">
      <c r="A2869" s="133"/>
      <c r="B2869" s="128" t="str">
        <f t="shared" si="306"/>
        <v>MINT</v>
      </c>
      <c r="C2869" s="128" t="e">
        <f>+VLOOKUP(U2869,Ходим!A:B,2,0)</f>
        <v>#N/A</v>
      </c>
      <c r="D2869" s="128" t="str">
        <f>IFERROR(VLOOKUP($B:$B,[20]свод!$A:$AB,3,0)," ")</f>
        <v>Мингбулоқ тумани</v>
      </c>
      <c r="E2869" s="7" t="s">
        <v>4001</v>
      </c>
      <c r="F2869" s="7" t="s">
        <v>10366</v>
      </c>
      <c r="G2869" s="134">
        <f t="shared" si="307"/>
        <v>1</v>
      </c>
      <c r="H2869" s="134" t="str">
        <f t="shared" si="308"/>
        <v/>
      </c>
      <c r="I2869" s="7" t="s">
        <v>156</v>
      </c>
      <c r="J2869" s="7" t="s">
        <v>11</v>
      </c>
      <c r="K2869" s="7"/>
      <c r="L2869" s="7"/>
      <c r="M2869" s="7"/>
      <c r="N2869" s="7" t="s">
        <v>170</v>
      </c>
      <c r="O2869" s="7" t="s">
        <v>162</v>
      </c>
      <c r="P2869" s="7" t="s">
        <v>6603</v>
      </c>
      <c r="Q2869" s="129">
        <v>46199</v>
      </c>
      <c r="R2869" s="130">
        <f t="shared" si="309"/>
        <v>46210</v>
      </c>
      <c r="S2869" s="131">
        <f t="shared" si="310"/>
        <v>11</v>
      </c>
      <c r="T2869" s="7"/>
      <c r="U2869" s="7"/>
      <c r="V2869" s="7"/>
      <c r="W2869" s="7"/>
      <c r="X2869" s="132">
        <f t="shared" si="311"/>
        <v>10</v>
      </c>
      <c r="Y2869" s="133"/>
      <c r="Z2869" s="133"/>
      <c r="AA2869" s="133"/>
    </row>
    <row r="2870" spans="1:27" hidden="1" x14ac:dyDescent="0.25">
      <c r="A2870" s="133"/>
      <c r="B2870" s="128" t="str">
        <f t="shared" si="306"/>
        <v>POPT</v>
      </c>
      <c r="C2870" s="128" t="str">
        <f>+VLOOKUP(U2870,Ходим!A:B,2,0)</f>
        <v>31710772120029</v>
      </c>
      <c r="D2870" s="128" t="str">
        <f>IFERROR(VLOOKUP($B:$B,[20]свод!$A:$AB,3,0)," ")</f>
        <v>Поп тумани</v>
      </c>
      <c r="E2870" s="7" t="s">
        <v>4002</v>
      </c>
      <c r="F2870" s="7" t="s">
        <v>10367</v>
      </c>
      <c r="G2870" s="134">
        <f t="shared" si="307"/>
        <v>1</v>
      </c>
      <c r="H2870" s="134" t="str">
        <f t="shared" si="308"/>
        <v/>
      </c>
      <c r="I2870" s="7" t="s">
        <v>156</v>
      </c>
      <c r="J2870" s="7" t="s">
        <v>25</v>
      </c>
      <c r="K2870" s="7"/>
      <c r="L2870" s="7" t="s">
        <v>167</v>
      </c>
      <c r="M2870" s="7" t="s">
        <v>6110</v>
      </c>
      <c r="N2870" s="7" t="s">
        <v>170</v>
      </c>
      <c r="O2870" s="7" t="s">
        <v>162</v>
      </c>
      <c r="P2870" s="7" t="s">
        <v>7489</v>
      </c>
      <c r="Q2870" s="129">
        <v>46199</v>
      </c>
      <c r="R2870" s="130">
        <f t="shared" si="309"/>
        <v>46210</v>
      </c>
      <c r="S2870" s="131">
        <f t="shared" si="310"/>
        <v>11</v>
      </c>
      <c r="T2870" s="7" t="s">
        <v>214</v>
      </c>
      <c r="U2870" s="7" t="s">
        <v>357</v>
      </c>
      <c r="V2870" s="7"/>
      <c r="W2870" s="7">
        <v>0</v>
      </c>
      <c r="X2870" s="132">
        <f t="shared" si="311"/>
        <v>10</v>
      </c>
      <c r="Y2870" s="133"/>
      <c r="Z2870" s="133"/>
      <c r="AA2870" s="133"/>
    </row>
    <row r="2871" spans="1:27" hidden="1" x14ac:dyDescent="0.25">
      <c r="A2871" s="133"/>
      <c r="B2871" s="128" t="str">
        <f t="shared" si="306"/>
        <v>NAMS</v>
      </c>
      <c r="C2871" s="128" t="str">
        <f>+VLOOKUP(U2871,Ходим!A:B,2,0)</f>
        <v>30302965960014</v>
      </c>
      <c r="D2871" s="128" t="str">
        <f>IFERROR(VLOOKUP($B:$B,[20]свод!$A:$AB,3,0)," ")</f>
        <v>Наманган шаҳар</v>
      </c>
      <c r="E2871" s="7" t="s">
        <v>4003</v>
      </c>
      <c r="F2871" s="7" t="s">
        <v>10368</v>
      </c>
      <c r="G2871" s="134">
        <f t="shared" si="307"/>
        <v>1</v>
      </c>
      <c r="H2871" s="134" t="str">
        <f t="shared" si="308"/>
        <v/>
      </c>
      <c r="I2871" s="7" t="s">
        <v>158</v>
      </c>
      <c r="J2871" s="7" t="s">
        <v>13</v>
      </c>
      <c r="K2871" s="7"/>
      <c r="L2871" s="7" t="s">
        <v>167</v>
      </c>
      <c r="M2871" s="7" t="s">
        <v>6111</v>
      </c>
      <c r="N2871" s="7" t="s">
        <v>170</v>
      </c>
      <c r="O2871" s="7" t="s">
        <v>162</v>
      </c>
      <c r="P2871" s="7" t="s">
        <v>7489</v>
      </c>
      <c r="Q2871" s="129">
        <v>46199</v>
      </c>
      <c r="R2871" s="130">
        <f t="shared" si="309"/>
        <v>46210</v>
      </c>
      <c r="S2871" s="131">
        <f t="shared" si="310"/>
        <v>11</v>
      </c>
      <c r="T2871" s="7" t="s">
        <v>173</v>
      </c>
      <c r="U2871" s="7" t="s">
        <v>304</v>
      </c>
      <c r="V2871" s="7"/>
      <c r="W2871" s="7">
        <v>29.1</v>
      </c>
      <c r="X2871" s="132">
        <f t="shared" si="311"/>
        <v>10</v>
      </c>
      <c r="Y2871" s="133"/>
      <c r="Z2871" s="133"/>
      <c r="AA2871" s="133"/>
    </row>
    <row r="2872" spans="1:27" hidden="1" x14ac:dyDescent="0.25">
      <c r="A2872" s="133"/>
      <c r="B2872" s="128" t="str">
        <f t="shared" si="306"/>
        <v>NAMS</v>
      </c>
      <c r="C2872" s="128" t="str">
        <f>+VLOOKUP(U2872,Ходим!A:B,2,0)</f>
        <v>53008015960094</v>
      </c>
      <c r="D2872" s="128" t="str">
        <f>IFERROR(VLOOKUP($B:$B,[20]свод!$A:$AB,3,0)," ")</f>
        <v>Наманган шаҳар</v>
      </c>
      <c r="E2872" s="7" t="s">
        <v>4004</v>
      </c>
      <c r="F2872" s="7" t="s">
        <v>10369</v>
      </c>
      <c r="G2872" s="134">
        <f t="shared" si="307"/>
        <v>1</v>
      </c>
      <c r="H2872" s="134" t="str">
        <f t="shared" si="308"/>
        <v/>
      </c>
      <c r="I2872" s="7" t="s">
        <v>156</v>
      </c>
      <c r="J2872" s="7" t="s">
        <v>25</v>
      </c>
      <c r="K2872" s="7"/>
      <c r="L2872" s="7" t="s">
        <v>167</v>
      </c>
      <c r="M2872" s="7" t="s">
        <v>6112</v>
      </c>
      <c r="N2872" s="7" t="s">
        <v>170</v>
      </c>
      <c r="O2872" s="7" t="s">
        <v>162</v>
      </c>
      <c r="P2872" s="7" t="s">
        <v>7489</v>
      </c>
      <c r="Q2872" s="129">
        <v>46199</v>
      </c>
      <c r="R2872" s="130">
        <f t="shared" si="309"/>
        <v>46210</v>
      </c>
      <c r="S2872" s="131">
        <f t="shared" si="310"/>
        <v>11</v>
      </c>
      <c r="T2872" s="7" t="s">
        <v>173</v>
      </c>
      <c r="U2872" s="7" t="s">
        <v>403</v>
      </c>
      <c r="V2872" s="7"/>
      <c r="W2872" s="7">
        <v>332.23</v>
      </c>
      <c r="X2872" s="132">
        <f t="shared" si="311"/>
        <v>10</v>
      </c>
      <c r="Y2872" s="133"/>
      <c r="Z2872" s="133"/>
      <c r="AA2872" s="133"/>
    </row>
    <row r="2873" spans="1:27" hidden="1" x14ac:dyDescent="0.25">
      <c r="A2873" s="133"/>
      <c r="B2873" s="128" t="str">
        <f t="shared" si="306"/>
        <v>NAMS</v>
      </c>
      <c r="C2873" s="128" t="str">
        <f>+VLOOKUP(U2873,Ходим!A:B,2,0)</f>
        <v>31608732170178</v>
      </c>
      <c r="D2873" s="128" t="str">
        <f>IFERROR(VLOOKUP($B:$B,[20]свод!$A:$AB,3,0)," ")</f>
        <v>Наманган шаҳар</v>
      </c>
      <c r="E2873" s="7" t="s">
        <v>4005</v>
      </c>
      <c r="F2873" s="7" t="s">
        <v>10370</v>
      </c>
      <c r="G2873" s="134">
        <f t="shared" si="307"/>
        <v>1</v>
      </c>
      <c r="H2873" s="134" t="str">
        <f t="shared" si="308"/>
        <v/>
      </c>
      <c r="I2873" s="7" t="s">
        <v>156</v>
      </c>
      <c r="J2873" s="7" t="s">
        <v>25</v>
      </c>
      <c r="K2873" s="7"/>
      <c r="L2873" s="7"/>
      <c r="M2873" s="7"/>
      <c r="N2873" s="7" t="s">
        <v>170</v>
      </c>
      <c r="O2873" s="7" t="s">
        <v>162</v>
      </c>
      <c r="P2873" s="7" t="s">
        <v>7489</v>
      </c>
      <c r="Q2873" s="129">
        <v>46199</v>
      </c>
      <c r="R2873" s="130">
        <f t="shared" si="309"/>
        <v>46210</v>
      </c>
      <c r="S2873" s="131">
        <f t="shared" si="310"/>
        <v>11</v>
      </c>
      <c r="T2873" s="7" t="s">
        <v>173</v>
      </c>
      <c r="U2873" s="7" t="s">
        <v>267</v>
      </c>
      <c r="V2873" s="7"/>
      <c r="W2873" s="7"/>
      <c r="X2873" s="132">
        <f t="shared" si="311"/>
        <v>10</v>
      </c>
      <c r="Y2873" s="133"/>
      <c r="Z2873" s="133"/>
      <c r="AA2873" s="133"/>
    </row>
    <row r="2874" spans="1:27" hidden="1" x14ac:dyDescent="0.25">
      <c r="A2874" s="133"/>
      <c r="B2874" s="128" t="str">
        <f t="shared" si="306"/>
        <v>NORT</v>
      </c>
      <c r="C2874" s="128" t="e">
        <f>+VLOOKUP(U2874,Ходим!A:B,2,0)</f>
        <v>#N/A</v>
      </c>
      <c r="D2874" s="128" t="str">
        <f>IFERROR(VLOOKUP($B:$B,[20]свод!$A:$AB,3,0)," ")</f>
        <v>Норин тумани</v>
      </c>
      <c r="E2874" s="7" t="s">
        <v>4006</v>
      </c>
      <c r="F2874" s="7" t="s">
        <v>10371</v>
      </c>
      <c r="G2874" s="134">
        <f t="shared" si="307"/>
        <v>1</v>
      </c>
      <c r="H2874" s="134" t="str">
        <f t="shared" si="308"/>
        <v/>
      </c>
      <c r="I2874" s="7" t="s">
        <v>156</v>
      </c>
      <c r="J2874" s="7" t="s">
        <v>25</v>
      </c>
      <c r="K2874" s="7" t="s">
        <v>10632</v>
      </c>
      <c r="L2874" s="7" t="s">
        <v>167</v>
      </c>
      <c r="M2874" s="7" t="s">
        <v>6113</v>
      </c>
      <c r="N2874" s="7" t="s">
        <v>171</v>
      </c>
      <c r="O2874" s="7" t="s">
        <v>164</v>
      </c>
      <c r="P2874" s="7" t="s">
        <v>7489</v>
      </c>
      <c r="Q2874" s="129">
        <v>46199</v>
      </c>
      <c r="R2874" s="130">
        <f t="shared" si="309"/>
        <v>46210</v>
      </c>
      <c r="S2874" s="131">
        <f t="shared" si="310"/>
        <v>11</v>
      </c>
      <c r="T2874" s="7" t="s">
        <v>210</v>
      </c>
      <c r="U2874" s="7" t="s">
        <v>10637</v>
      </c>
      <c r="V2874" s="7"/>
      <c r="W2874" s="7">
        <v>0</v>
      </c>
      <c r="X2874" s="132">
        <f t="shared" si="311"/>
        <v>10</v>
      </c>
      <c r="Y2874" s="133"/>
      <c r="Z2874" s="133"/>
      <c r="AA2874" s="133"/>
    </row>
    <row r="2875" spans="1:27" hidden="1" x14ac:dyDescent="0.25">
      <c r="A2875" s="133"/>
      <c r="B2875" s="128" t="str">
        <f t="shared" si="306"/>
        <v>NAMS</v>
      </c>
      <c r="C2875" s="128" t="str">
        <f>+VLOOKUP(U2875,Ходим!A:B,2,0)</f>
        <v>52107015960107</v>
      </c>
      <c r="D2875" s="128" t="str">
        <f>IFERROR(VLOOKUP($B:$B,[20]свод!$A:$AB,3,0)," ")</f>
        <v>Наманган шаҳар</v>
      </c>
      <c r="E2875" s="7" t="s">
        <v>4007</v>
      </c>
      <c r="F2875" s="7" t="s">
        <v>10372</v>
      </c>
      <c r="G2875" s="134">
        <f t="shared" si="307"/>
        <v>1</v>
      </c>
      <c r="H2875" s="134" t="str">
        <f t="shared" si="308"/>
        <v/>
      </c>
      <c r="I2875" s="7" t="s">
        <v>156</v>
      </c>
      <c r="J2875" s="7" t="s">
        <v>25</v>
      </c>
      <c r="K2875" s="7"/>
      <c r="L2875" s="7" t="s">
        <v>167</v>
      </c>
      <c r="M2875" s="7" t="s">
        <v>6114</v>
      </c>
      <c r="N2875" s="7" t="s">
        <v>170</v>
      </c>
      <c r="O2875" s="7" t="s">
        <v>162</v>
      </c>
      <c r="P2875" s="7" t="s">
        <v>7489</v>
      </c>
      <c r="Q2875" s="129">
        <v>46199</v>
      </c>
      <c r="R2875" s="130">
        <f t="shared" si="309"/>
        <v>46210</v>
      </c>
      <c r="S2875" s="131">
        <f t="shared" si="310"/>
        <v>11</v>
      </c>
      <c r="T2875" s="7" t="s">
        <v>173</v>
      </c>
      <c r="U2875" s="7" t="s">
        <v>348</v>
      </c>
      <c r="V2875" s="7"/>
      <c r="W2875" s="7">
        <v>0</v>
      </c>
      <c r="X2875" s="132">
        <f t="shared" si="311"/>
        <v>10</v>
      </c>
      <c r="Y2875" s="133"/>
      <c r="Z2875" s="133"/>
      <c r="AA2875" s="133"/>
    </row>
    <row r="2876" spans="1:27" hidden="1" x14ac:dyDescent="0.25">
      <c r="A2876" s="133"/>
      <c r="B2876" s="128" t="str">
        <f t="shared" si="306"/>
        <v>YGQT</v>
      </c>
      <c r="C2876" s="128" t="str">
        <f>+VLOOKUP(U2876,Ходим!A:B,2,0)</f>
        <v>30903902160122</v>
      </c>
      <c r="D2876" s="128" t="str">
        <f>IFERROR(VLOOKUP($B:$B,[20]свод!$A:$AB,3,0)," ")</f>
        <v>Янгиқўрғон тумани</v>
      </c>
      <c r="E2876" s="7" t="s">
        <v>4008</v>
      </c>
      <c r="F2876" s="7" t="s">
        <v>10373</v>
      </c>
      <c r="G2876" s="134" t="str">
        <f t="shared" si="307"/>
        <v/>
      </c>
      <c r="H2876" s="134">
        <f t="shared" si="308"/>
        <v>1</v>
      </c>
      <c r="I2876" s="7" t="s">
        <v>157</v>
      </c>
      <c r="J2876" s="7" t="s">
        <v>2</v>
      </c>
      <c r="K2876" s="7"/>
      <c r="L2876" s="7" t="s">
        <v>168</v>
      </c>
      <c r="M2876" s="7" t="s">
        <v>382</v>
      </c>
      <c r="N2876" s="7" t="s">
        <v>170</v>
      </c>
      <c r="O2876" s="7" t="s">
        <v>161</v>
      </c>
      <c r="P2876" s="7" t="s">
        <v>7490</v>
      </c>
      <c r="Q2876" s="129">
        <v>46199</v>
      </c>
      <c r="R2876" s="130">
        <f t="shared" si="309"/>
        <v>46205</v>
      </c>
      <c r="S2876" s="131">
        <f t="shared" si="310"/>
        <v>6</v>
      </c>
      <c r="T2876" s="7" t="s">
        <v>182</v>
      </c>
      <c r="U2876" s="7" t="s">
        <v>230</v>
      </c>
      <c r="V2876" s="7"/>
      <c r="W2876" s="7">
        <v>0</v>
      </c>
      <c r="X2876" s="132">
        <f t="shared" si="311"/>
        <v>7</v>
      </c>
      <c r="Y2876" s="133"/>
      <c r="Z2876" s="133"/>
      <c r="AA2876" s="133"/>
    </row>
    <row r="2877" spans="1:27" hidden="1" x14ac:dyDescent="0.25">
      <c r="A2877" s="133"/>
      <c r="B2877" s="128" t="str">
        <f t="shared" si="306"/>
        <v>UYCT</v>
      </c>
      <c r="C2877" s="128" t="str">
        <f>+VLOOKUP(U2877,Ходим!A:B,2,0)</f>
        <v>32002975930037</v>
      </c>
      <c r="D2877" s="128" t="str">
        <f>IFERROR(VLOOKUP($B:$B,[20]свод!$A:$AB,3,0)," ")</f>
        <v>Уйчи тумани</v>
      </c>
      <c r="E2877" s="7" t="s">
        <v>4009</v>
      </c>
      <c r="F2877" s="7" t="s">
        <v>10374</v>
      </c>
      <c r="G2877" s="134">
        <f t="shared" si="307"/>
        <v>1</v>
      </c>
      <c r="H2877" s="134" t="str">
        <f t="shared" si="308"/>
        <v/>
      </c>
      <c r="I2877" s="7" t="s">
        <v>158</v>
      </c>
      <c r="J2877" s="7" t="s">
        <v>2</v>
      </c>
      <c r="K2877" s="7"/>
      <c r="L2877" s="7" t="s">
        <v>167</v>
      </c>
      <c r="M2877" s="7" t="s">
        <v>6115</v>
      </c>
      <c r="N2877" s="7" t="s">
        <v>170</v>
      </c>
      <c r="O2877" s="7" t="s">
        <v>162</v>
      </c>
      <c r="P2877" s="7" t="s">
        <v>7490</v>
      </c>
      <c r="Q2877" s="129">
        <v>46199</v>
      </c>
      <c r="R2877" s="130">
        <f t="shared" si="309"/>
        <v>46210</v>
      </c>
      <c r="S2877" s="131">
        <f t="shared" si="310"/>
        <v>11</v>
      </c>
      <c r="T2877" s="7" t="s">
        <v>947</v>
      </c>
      <c r="U2877" s="7" t="s">
        <v>260</v>
      </c>
      <c r="V2877" s="7"/>
      <c r="W2877" s="7">
        <v>209.39</v>
      </c>
      <c r="X2877" s="132">
        <f t="shared" si="311"/>
        <v>10</v>
      </c>
      <c r="Y2877" s="133"/>
      <c r="Z2877" s="133"/>
      <c r="AA2877" s="133"/>
    </row>
    <row r="2878" spans="1:27" hidden="1" x14ac:dyDescent="0.25">
      <c r="A2878" s="133"/>
      <c r="B2878" s="128" t="str">
        <f t="shared" si="306"/>
        <v>NORT</v>
      </c>
      <c r="C2878" s="128" t="str">
        <f>+VLOOKUP(U2878,Ходим!A:B,2,0)</f>
        <v>32907985900051</v>
      </c>
      <c r="D2878" s="128" t="str">
        <f>IFERROR(VLOOKUP($B:$B,[20]свод!$A:$AB,3,0)," ")</f>
        <v>Норин тумани</v>
      </c>
      <c r="E2878" s="7" t="s">
        <v>4010</v>
      </c>
      <c r="F2878" s="7" t="s">
        <v>10375</v>
      </c>
      <c r="G2878" s="134">
        <f t="shared" si="307"/>
        <v>1</v>
      </c>
      <c r="H2878" s="134" t="str">
        <f t="shared" si="308"/>
        <v/>
      </c>
      <c r="I2878" s="7" t="s">
        <v>158</v>
      </c>
      <c r="J2878" s="7" t="s">
        <v>36</v>
      </c>
      <c r="K2878" s="7"/>
      <c r="L2878" s="7" t="s">
        <v>167</v>
      </c>
      <c r="M2878" s="7" t="s">
        <v>6116</v>
      </c>
      <c r="N2878" s="7" t="s">
        <v>170</v>
      </c>
      <c r="O2878" s="7" t="s">
        <v>162</v>
      </c>
      <c r="P2878" s="7" t="s">
        <v>7490</v>
      </c>
      <c r="Q2878" s="129">
        <v>46199</v>
      </c>
      <c r="R2878" s="130">
        <f t="shared" si="309"/>
        <v>46210</v>
      </c>
      <c r="S2878" s="131">
        <f t="shared" si="310"/>
        <v>11</v>
      </c>
      <c r="T2878" s="7" t="s">
        <v>210</v>
      </c>
      <c r="U2878" s="7" t="s">
        <v>293</v>
      </c>
      <c r="V2878" s="7"/>
      <c r="W2878" s="7">
        <v>529.61</v>
      </c>
      <c r="X2878" s="132">
        <f t="shared" si="311"/>
        <v>10</v>
      </c>
      <c r="Y2878" s="133"/>
      <c r="Z2878" s="133"/>
      <c r="AA2878" s="133"/>
    </row>
    <row r="2879" spans="1:27" hidden="1" x14ac:dyDescent="0.25">
      <c r="A2879" s="133"/>
      <c r="B2879" s="128" t="str">
        <f t="shared" si="306"/>
        <v>NORT</v>
      </c>
      <c r="C2879" s="128" t="str">
        <f>+VLOOKUP(U2879,Ходим!A:B,2,0)</f>
        <v>31709822110011</v>
      </c>
      <c r="D2879" s="128" t="str">
        <f>IFERROR(VLOOKUP($B:$B,[20]свод!$A:$AB,3,0)," ")</f>
        <v>Норин тумани</v>
      </c>
      <c r="E2879" s="7" t="s">
        <v>4011</v>
      </c>
      <c r="F2879" s="7" t="s">
        <v>10376</v>
      </c>
      <c r="G2879" s="134">
        <f t="shared" si="307"/>
        <v>1</v>
      </c>
      <c r="H2879" s="134" t="str">
        <f t="shared" si="308"/>
        <v/>
      </c>
      <c r="I2879" s="7" t="s">
        <v>158</v>
      </c>
      <c r="J2879" s="7" t="s">
        <v>1</v>
      </c>
      <c r="K2879" s="7"/>
      <c r="L2879" s="7" t="s">
        <v>167</v>
      </c>
      <c r="M2879" s="7" t="s">
        <v>6117</v>
      </c>
      <c r="N2879" s="7" t="s">
        <v>170</v>
      </c>
      <c r="O2879" s="7" t="s">
        <v>163</v>
      </c>
      <c r="P2879" s="7" t="s">
        <v>7490</v>
      </c>
      <c r="Q2879" s="129">
        <v>46199</v>
      </c>
      <c r="R2879" s="130">
        <f t="shared" si="309"/>
        <v>46210</v>
      </c>
      <c r="S2879" s="131">
        <f t="shared" si="310"/>
        <v>11</v>
      </c>
      <c r="T2879" s="7" t="s">
        <v>210</v>
      </c>
      <c r="U2879" s="7" t="s">
        <v>354</v>
      </c>
      <c r="V2879" s="7"/>
      <c r="W2879" s="7">
        <v>420.35</v>
      </c>
      <c r="X2879" s="132">
        <f t="shared" si="311"/>
        <v>10</v>
      </c>
      <c r="Y2879" s="133"/>
      <c r="Z2879" s="133"/>
      <c r="AA2879" s="133"/>
    </row>
    <row r="2880" spans="1:27" hidden="1" x14ac:dyDescent="0.25">
      <c r="A2880" s="133"/>
      <c r="B2880" s="128" t="str">
        <f t="shared" si="306"/>
        <v>NORT</v>
      </c>
      <c r="C2880" s="128" t="str">
        <f>+VLOOKUP(U2880,Ходим!A:B,2,0)</f>
        <v>30110922110044</v>
      </c>
      <c r="D2880" s="128" t="str">
        <f>IFERROR(VLOOKUP($B:$B,[20]свод!$A:$AB,3,0)," ")</f>
        <v>Норин тумани</v>
      </c>
      <c r="E2880" s="7" t="s">
        <v>4012</v>
      </c>
      <c r="F2880" s="7" t="s">
        <v>10377</v>
      </c>
      <c r="G2880" s="134">
        <f t="shared" si="307"/>
        <v>1</v>
      </c>
      <c r="H2880" s="134" t="str">
        <f t="shared" si="308"/>
        <v/>
      </c>
      <c r="I2880" s="7" t="s">
        <v>156</v>
      </c>
      <c r="J2880" s="7" t="s">
        <v>25</v>
      </c>
      <c r="K2880" s="7" t="s">
        <v>10633</v>
      </c>
      <c r="L2880" s="7" t="s">
        <v>167</v>
      </c>
      <c r="M2880" s="7" t="s">
        <v>6118</v>
      </c>
      <c r="N2880" s="7" t="s">
        <v>171</v>
      </c>
      <c r="O2880" s="7" t="s">
        <v>164</v>
      </c>
      <c r="P2880" s="7" t="s">
        <v>7490</v>
      </c>
      <c r="Q2880" s="129">
        <v>46199</v>
      </c>
      <c r="R2880" s="130">
        <f t="shared" si="309"/>
        <v>46210</v>
      </c>
      <c r="S2880" s="131">
        <f t="shared" si="310"/>
        <v>11</v>
      </c>
      <c r="T2880" s="7" t="s">
        <v>210</v>
      </c>
      <c r="U2880" s="7" t="s">
        <v>239</v>
      </c>
      <c r="V2880" s="7"/>
      <c r="W2880" s="7">
        <v>0</v>
      </c>
      <c r="X2880" s="132">
        <f t="shared" si="311"/>
        <v>10</v>
      </c>
      <c r="Y2880" s="133"/>
      <c r="Z2880" s="133"/>
      <c r="AA2880" s="133"/>
    </row>
    <row r="2881" spans="1:27" hidden="1" x14ac:dyDescent="0.25">
      <c r="A2881" s="133"/>
      <c r="B2881" s="128" t="str">
        <f t="shared" si="306"/>
        <v>YGQT</v>
      </c>
      <c r="C2881" s="128" t="str">
        <f>+VLOOKUP(U2881,Ходим!A:B,2,0)</f>
        <v>30903902160122</v>
      </c>
      <c r="D2881" s="128" t="str">
        <f>IFERROR(VLOOKUP($B:$B,[20]свод!$A:$AB,3,0)," ")</f>
        <v>Янгиқўрғон тумани</v>
      </c>
      <c r="E2881" s="7" t="s">
        <v>4013</v>
      </c>
      <c r="F2881" s="7" t="s">
        <v>10378</v>
      </c>
      <c r="G2881" s="134" t="str">
        <f t="shared" si="307"/>
        <v/>
      </c>
      <c r="H2881" s="134">
        <f t="shared" si="308"/>
        <v>1</v>
      </c>
      <c r="I2881" s="7" t="s">
        <v>157</v>
      </c>
      <c r="J2881" s="7" t="s">
        <v>2</v>
      </c>
      <c r="K2881" s="7"/>
      <c r="L2881" s="7" t="s">
        <v>168</v>
      </c>
      <c r="M2881" s="7" t="s">
        <v>382</v>
      </c>
      <c r="N2881" s="7" t="s">
        <v>170</v>
      </c>
      <c r="O2881" s="7" t="s">
        <v>161</v>
      </c>
      <c r="P2881" s="7" t="s">
        <v>7490</v>
      </c>
      <c r="Q2881" s="129">
        <v>46199</v>
      </c>
      <c r="R2881" s="130">
        <f t="shared" si="309"/>
        <v>46205</v>
      </c>
      <c r="S2881" s="131">
        <f t="shared" si="310"/>
        <v>6</v>
      </c>
      <c r="T2881" s="7" t="s">
        <v>182</v>
      </c>
      <c r="U2881" s="7" t="s">
        <v>230</v>
      </c>
      <c r="V2881" s="7"/>
      <c r="W2881" s="7">
        <v>0</v>
      </c>
      <c r="X2881" s="132">
        <f t="shared" si="311"/>
        <v>7</v>
      </c>
      <c r="Y2881" s="133"/>
      <c r="Z2881" s="133"/>
      <c r="AA2881" s="133"/>
    </row>
    <row r="2882" spans="1:27" x14ac:dyDescent="0.25">
      <c r="A2882" s="133"/>
      <c r="B2882" s="128" t="str">
        <f t="shared" si="306"/>
        <v>YGQT</v>
      </c>
      <c r="C2882" s="128" t="str">
        <f>+VLOOKUP(U2882,Ходим!A:B,2,0)</f>
        <v>30602822170087</v>
      </c>
      <c r="D2882" s="128" t="str">
        <f>IFERROR(VLOOKUP($B:$B,[20]свод!$A:$AB,3,0)," ")</f>
        <v>Янгиқўрғон тумани</v>
      </c>
      <c r="E2882" s="7" t="s">
        <v>4014</v>
      </c>
      <c r="F2882" s="7" t="s">
        <v>10379</v>
      </c>
      <c r="G2882" s="134">
        <f t="shared" si="307"/>
        <v>1</v>
      </c>
      <c r="H2882" s="134" t="str">
        <f t="shared" si="308"/>
        <v/>
      </c>
      <c r="I2882" s="7" t="s">
        <v>158</v>
      </c>
      <c r="J2882" s="7" t="s">
        <v>55</v>
      </c>
      <c r="K2882" s="7"/>
      <c r="L2882" s="7" t="s">
        <v>167</v>
      </c>
      <c r="M2882" s="7" t="s">
        <v>6119</v>
      </c>
      <c r="N2882" s="7" t="s">
        <v>170</v>
      </c>
      <c r="O2882" s="7" t="s">
        <v>162</v>
      </c>
      <c r="P2882" s="7" t="s">
        <v>7491</v>
      </c>
      <c r="Q2882" s="129">
        <v>46199</v>
      </c>
      <c r="R2882" s="130">
        <f t="shared" si="309"/>
        <v>46197</v>
      </c>
      <c r="S2882" s="131">
        <f t="shared" si="310"/>
        <v>-2</v>
      </c>
      <c r="T2882" s="7" t="s">
        <v>182</v>
      </c>
      <c r="U2882" s="7" t="s">
        <v>320</v>
      </c>
      <c r="V2882" s="7" t="s">
        <v>359</v>
      </c>
      <c r="W2882" s="7">
        <v>515.53</v>
      </c>
      <c r="X2882" s="132">
        <f t="shared" si="311"/>
        <v>10</v>
      </c>
      <c r="Y2882" s="133"/>
      <c r="Z2882" s="133"/>
      <c r="AA2882" s="133"/>
    </row>
    <row r="2883" spans="1:27" hidden="1" x14ac:dyDescent="0.25">
      <c r="A2883" s="133"/>
      <c r="B2883" s="128" t="str">
        <f t="shared" si="306"/>
        <v>MINT</v>
      </c>
      <c r="C2883" s="128" t="e">
        <f>+VLOOKUP(U2883,Ходим!A:B,2,0)</f>
        <v>#N/A</v>
      </c>
      <c r="D2883" s="128" t="str">
        <f>IFERROR(VLOOKUP($B:$B,[20]свод!$A:$AB,3,0)," ")</f>
        <v>Мингбулоқ тумани</v>
      </c>
      <c r="E2883" s="7" t="s">
        <v>4015</v>
      </c>
      <c r="F2883" s="7" t="s">
        <v>10380</v>
      </c>
      <c r="G2883" s="134">
        <f t="shared" si="307"/>
        <v>1</v>
      </c>
      <c r="H2883" s="134" t="str">
        <f t="shared" si="308"/>
        <v/>
      </c>
      <c r="I2883" s="7" t="s">
        <v>156</v>
      </c>
      <c r="J2883" s="7" t="s">
        <v>11</v>
      </c>
      <c r="K2883" s="7"/>
      <c r="L2883" s="7" t="s">
        <v>167</v>
      </c>
      <c r="M2883" s="7" t="s">
        <v>6120</v>
      </c>
      <c r="N2883" s="7" t="s">
        <v>410</v>
      </c>
      <c r="O2883" s="7" t="s">
        <v>162</v>
      </c>
      <c r="P2883" s="7" t="s">
        <v>7492</v>
      </c>
      <c r="Q2883" s="129">
        <v>46199</v>
      </c>
      <c r="R2883" s="130">
        <f t="shared" si="309"/>
        <v>46210</v>
      </c>
      <c r="S2883" s="131">
        <f t="shared" si="310"/>
        <v>11</v>
      </c>
      <c r="T2883" s="7"/>
      <c r="U2883" s="7"/>
      <c r="V2883" s="7"/>
      <c r="W2883" s="7">
        <v>159.75</v>
      </c>
      <c r="X2883" s="132">
        <f t="shared" si="311"/>
        <v>10</v>
      </c>
      <c r="Y2883" s="133"/>
      <c r="Z2883" s="133"/>
      <c r="AA2883" s="133"/>
    </row>
    <row r="2884" spans="1:27" hidden="1" x14ac:dyDescent="0.25">
      <c r="A2884" s="133"/>
      <c r="B2884" s="128" t="str">
        <f t="shared" si="306"/>
        <v>YGQT</v>
      </c>
      <c r="C2884" s="128" t="str">
        <f>+VLOOKUP(U2884,Ходим!A:B,2,0)</f>
        <v>30903902160122</v>
      </c>
      <c r="D2884" s="128" t="str">
        <f>IFERROR(VLOOKUP($B:$B,[20]свод!$A:$AB,3,0)," ")</f>
        <v>Янгиқўрғон тумани</v>
      </c>
      <c r="E2884" s="7" t="s">
        <v>4016</v>
      </c>
      <c r="F2884" s="7" t="s">
        <v>10381</v>
      </c>
      <c r="G2884" s="134">
        <f t="shared" si="307"/>
        <v>1</v>
      </c>
      <c r="H2884" s="134" t="str">
        <f t="shared" si="308"/>
        <v/>
      </c>
      <c r="I2884" s="7" t="s">
        <v>158</v>
      </c>
      <c r="J2884" s="7" t="s">
        <v>2</v>
      </c>
      <c r="K2884" s="7"/>
      <c r="L2884" s="7" t="s">
        <v>167</v>
      </c>
      <c r="M2884" s="7" t="s">
        <v>1046</v>
      </c>
      <c r="N2884" s="7" t="s">
        <v>170</v>
      </c>
      <c r="O2884" s="7" t="s">
        <v>162</v>
      </c>
      <c r="P2884" s="7" t="s">
        <v>7492</v>
      </c>
      <c r="Q2884" s="129">
        <v>46199</v>
      </c>
      <c r="R2884" s="130">
        <f t="shared" si="309"/>
        <v>46210</v>
      </c>
      <c r="S2884" s="131">
        <f t="shared" si="310"/>
        <v>11</v>
      </c>
      <c r="T2884" s="7" t="s">
        <v>182</v>
      </c>
      <c r="U2884" s="7" t="s">
        <v>230</v>
      </c>
      <c r="V2884" s="7"/>
      <c r="W2884" s="7">
        <v>218.45</v>
      </c>
      <c r="X2884" s="132">
        <f t="shared" si="311"/>
        <v>10</v>
      </c>
      <c r="Y2884" s="133"/>
      <c r="Z2884" s="133"/>
      <c r="AA2884" s="133"/>
    </row>
    <row r="2885" spans="1:27" hidden="1" x14ac:dyDescent="0.25">
      <c r="A2885" s="133"/>
      <c r="B2885" s="128" t="str">
        <f t="shared" si="306"/>
        <v>POPT</v>
      </c>
      <c r="C2885" s="128" t="str">
        <f>+VLOOKUP(U2885,Ходим!A:B,2,0)</f>
        <v>50310025910024</v>
      </c>
      <c r="D2885" s="128" t="str">
        <f>IFERROR(VLOOKUP($B:$B,[20]свод!$A:$AB,3,0)," ")</f>
        <v>Поп тумани</v>
      </c>
      <c r="E2885" s="7" t="s">
        <v>4017</v>
      </c>
      <c r="F2885" s="7" t="s">
        <v>10382</v>
      </c>
      <c r="G2885" s="134">
        <f t="shared" si="307"/>
        <v>1</v>
      </c>
      <c r="H2885" s="134" t="str">
        <f t="shared" si="308"/>
        <v/>
      </c>
      <c r="I2885" s="7" t="s">
        <v>158</v>
      </c>
      <c r="J2885" s="7" t="s">
        <v>1</v>
      </c>
      <c r="K2885" s="7"/>
      <c r="L2885" s="7" t="s">
        <v>167</v>
      </c>
      <c r="M2885" s="7" t="s">
        <v>6121</v>
      </c>
      <c r="N2885" s="7" t="s">
        <v>170</v>
      </c>
      <c r="O2885" s="7" t="s">
        <v>162</v>
      </c>
      <c r="P2885" s="7" t="s">
        <v>7492</v>
      </c>
      <c r="Q2885" s="129">
        <v>46199</v>
      </c>
      <c r="R2885" s="130">
        <f t="shared" si="309"/>
        <v>46210</v>
      </c>
      <c r="S2885" s="131">
        <f t="shared" si="310"/>
        <v>11</v>
      </c>
      <c r="T2885" s="7" t="s">
        <v>214</v>
      </c>
      <c r="U2885" s="7" t="s">
        <v>964</v>
      </c>
      <c r="V2885" s="7"/>
      <c r="W2885" s="7">
        <v>216.28</v>
      </c>
      <c r="X2885" s="132">
        <f t="shared" si="311"/>
        <v>10</v>
      </c>
      <c r="Y2885" s="133"/>
      <c r="Z2885" s="133"/>
      <c r="AA2885" s="133"/>
    </row>
    <row r="2886" spans="1:27" hidden="1" x14ac:dyDescent="0.25">
      <c r="A2886" s="133"/>
      <c r="B2886" s="128" t="str">
        <f t="shared" si="306"/>
        <v>KSST</v>
      </c>
      <c r="C2886" s="128" t="str">
        <f>+VLOOKUP(U2886,Ходим!A:B,2,0)</f>
        <v>30703792190108</v>
      </c>
      <c r="D2886" s="128" t="str">
        <f>IFERROR(VLOOKUP($B:$B,[20]свод!$A:$AB,3,0)," ")</f>
        <v>Косонсой тумани</v>
      </c>
      <c r="E2886" s="7" t="s">
        <v>4018</v>
      </c>
      <c r="F2886" s="7" t="s">
        <v>10383</v>
      </c>
      <c r="G2886" s="134" t="str">
        <f t="shared" si="307"/>
        <v/>
      </c>
      <c r="H2886" s="134">
        <f t="shared" si="308"/>
        <v>1</v>
      </c>
      <c r="I2886" s="7" t="s">
        <v>155</v>
      </c>
      <c r="J2886" s="7" t="s">
        <v>25</v>
      </c>
      <c r="K2886" s="7"/>
      <c r="L2886" s="7"/>
      <c r="M2886" s="7"/>
      <c r="N2886" s="7" t="s">
        <v>170</v>
      </c>
      <c r="O2886" s="7" t="s">
        <v>161</v>
      </c>
      <c r="P2886" s="7" t="s">
        <v>7492</v>
      </c>
      <c r="Q2886" s="129">
        <v>46199</v>
      </c>
      <c r="R2886" s="130">
        <f t="shared" si="309"/>
        <v>46210</v>
      </c>
      <c r="S2886" s="131">
        <f t="shared" si="310"/>
        <v>11</v>
      </c>
      <c r="T2886" s="7" t="s">
        <v>180</v>
      </c>
      <c r="U2886" s="7" t="s">
        <v>231</v>
      </c>
      <c r="V2886" s="7"/>
      <c r="W2886" s="7"/>
      <c r="X2886" s="132">
        <f t="shared" si="311"/>
        <v>10</v>
      </c>
      <c r="Y2886" s="133"/>
      <c r="Z2886" s="133"/>
      <c r="AA2886" s="133"/>
    </row>
    <row r="2887" spans="1:27" hidden="1" x14ac:dyDescent="0.25">
      <c r="A2887" s="133"/>
      <c r="B2887" s="128" t="str">
        <f t="shared" si="306"/>
        <v>CHUT</v>
      </c>
      <c r="C2887" s="128" t="str">
        <f>+VLOOKUP(U2887,Ходим!A:B,2,0)</f>
        <v>31608922180118</v>
      </c>
      <c r="D2887" s="128" t="str">
        <f>IFERROR(VLOOKUP($B:$B,[20]свод!$A:$AB,3,0)," ")</f>
        <v>Чуст тумани</v>
      </c>
      <c r="E2887" s="7" t="s">
        <v>4019</v>
      </c>
      <c r="F2887" s="7" t="s">
        <v>10384</v>
      </c>
      <c r="G2887" s="134" t="str">
        <f t="shared" si="307"/>
        <v/>
      </c>
      <c r="H2887" s="134">
        <f t="shared" si="308"/>
        <v>1</v>
      </c>
      <c r="I2887" s="7" t="s">
        <v>157</v>
      </c>
      <c r="J2887" s="7" t="s">
        <v>172</v>
      </c>
      <c r="K2887" s="7"/>
      <c r="L2887" s="7" t="s">
        <v>168</v>
      </c>
      <c r="M2887" s="7" t="s">
        <v>6122</v>
      </c>
      <c r="N2887" s="7" t="s">
        <v>410</v>
      </c>
      <c r="O2887" s="7" t="s">
        <v>161</v>
      </c>
      <c r="P2887" s="7" t="s">
        <v>7492</v>
      </c>
      <c r="Q2887" s="129">
        <v>46199</v>
      </c>
      <c r="R2887" s="130">
        <f t="shared" si="309"/>
        <v>46205</v>
      </c>
      <c r="S2887" s="131">
        <f t="shared" si="310"/>
        <v>6</v>
      </c>
      <c r="T2887" s="7" t="s">
        <v>178</v>
      </c>
      <c r="U2887" s="7" t="s">
        <v>284</v>
      </c>
      <c r="V2887" s="7"/>
      <c r="W2887" s="7">
        <v>0</v>
      </c>
      <c r="X2887" s="132">
        <f t="shared" si="311"/>
        <v>7</v>
      </c>
      <c r="Y2887" s="133"/>
      <c r="Z2887" s="133"/>
      <c r="AA2887" s="133"/>
    </row>
    <row r="2888" spans="1:27" hidden="1" x14ac:dyDescent="0.25">
      <c r="A2888" s="133"/>
      <c r="B2888" s="128" t="str">
        <f t="shared" si="306"/>
        <v>UCQT</v>
      </c>
      <c r="C2888" s="128" t="e">
        <f>+VLOOKUP(U2888,Ходим!A:B,2,0)</f>
        <v>#N/A</v>
      </c>
      <c r="D2888" s="128" t="str">
        <f>IFERROR(VLOOKUP($B:$B,[20]свод!$A:$AB,3,0)," ")</f>
        <v>Учқўрғон тумани</v>
      </c>
      <c r="E2888" s="7" t="s">
        <v>4020</v>
      </c>
      <c r="F2888" s="7" t="s">
        <v>10385</v>
      </c>
      <c r="G2888" s="134">
        <f t="shared" si="307"/>
        <v>1</v>
      </c>
      <c r="H2888" s="134" t="str">
        <f t="shared" si="308"/>
        <v/>
      </c>
      <c r="I2888" s="7" t="s">
        <v>156</v>
      </c>
      <c r="J2888" s="7" t="s">
        <v>11</v>
      </c>
      <c r="K2888" s="7"/>
      <c r="L2888" s="7"/>
      <c r="M2888" s="7"/>
      <c r="N2888" s="7" t="s">
        <v>170</v>
      </c>
      <c r="O2888" s="7" t="s">
        <v>162</v>
      </c>
      <c r="P2888" s="7" t="s">
        <v>7492</v>
      </c>
      <c r="Q2888" s="129">
        <v>46199</v>
      </c>
      <c r="R2888" s="130">
        <f t="shared" si="309"/>
        <v>46210</v>
      </c>
      <c r="S2888" s="131">
        <f t="shared" si="310"/>
        <v>11</v>
      </c>
      <c r="T2888" s="7" t="s">
        <v>175</v>
      </c>
      <c r="U2888" s="7"/>
      <c r="V2888" s="7"/>
      <c r="W2888" s="7"/>
      <c r="X2888" s="132">
        <f t="shared" si="311"/>
        <v>10</v>
      </c>
      <c r="Y2888" s="133"/>
      <c r="Z2888" s="133"/>
      <c r="AA2888" s="133"/>
    </row>
    <row r="2889" spans="1:27" hidden="1" x14ac:dyDescent="0.25">
      <c r="A2889" s="133"/>
      <c r="B2889" s="128" t="str">
        <f t="shared" si="306"/>
        <v>NAMS</v>
      </c>
      <c r="C2889" s="128" t="str">
        <f>+VLOOKUP(U2889,Ходим!A:B,2,0)</f>
        <v>33012942170121</v>
      </c>
      <c r="D2889" s="128" t="str">
        <f>IFERROR(VLOOKUP($B:$B,[20]свод!$A:$AB,3,0)," ")</f>
        <v>Наманган шаҳар</v>
      </c>
      <c r="E2889" s="7" t="s">
        <v>4021</v>
      </c>
      <c r="F2889" s="7" t="s">
        <v>10386</v>
      </c>
      <c r="G2889" s="134">
        <f t="shared" si="307"/>
        <v>1</v>
      </c>
      <c r="H2889" s="134" t="str">
        <f t="shared" si="308"/>
        <v/>
      </c>
      <c r="I2889" s="7" t="s">
        <v>156</v>
      </c>
      <c r="J2889" s="7" t="s">
        <v>25</v>
      </c>
      <c r="K2889" s="7"/>
      <c r="L2889" s="7"/>
      <c r="M2889" s="7"/>
      <c r="N2889" s="7" t="s">
        <v>170</v>
      </c>
      <c r="O2889" s="7" t="s">
        <v>163</v>
      </c>
      <c r="P2889" s="7" t="s">
        <v>7492</v>
      </c>
      <c r="Q2889" s="129">
        <v>46199</v>
      </c>
      <c r="R2889" s="130">
        <f t="shared" si="309"/>
        <v>46210</v>
      </c>
      <c r="S2889" s="131">
        <f t="shared" si="310"/>
        <v>11</v>
      </c>
      <c r="T2889" s="7" t="s">
        <v>173</v>
      </c>
      <c r="U2889" s="7" t="s">
        <v>259</v>
      </c>
      <c r="V2889" s="7"/>
      <c r="W2889" s="7"/>
      <c r="X2889" s="132">
        <f t="shared" si="311"/>
        <v>10</v>
      </c>
      <c r="Y2889" s="133"/>
      <c r="Z2889" s="133"/>
      <c r="AA2889" s="133"/>
    </row>
    <row r="2890" spans="1:27" hidden="1" x14ac:dyDescent="0.25">
      <c r="A2890" s="133"/>
      <c r="B2890" s="128" t="str">
        <f t="shared" si="306"/>
        <v>TORT</v>
      </c>
      <c r="C2890" s="128" t="str">
        <f>+VLOOKUP(U2890,Ходим!A:B,2,0)</f>
        <v>30708792130017</v>
      </c>
      <c r="D2890" s="128" t="str">
        <f>IFERROR(VLOOKUP($B:$B,[20]свод!$A:$AB,3,0)," ")</f>
        <v>Тўрақўрғон тумани</v>
      </c>
      <c r="E2890" s="7" t="s">
        <v>4022</v>
      </c>
      <c r="F2890" s="7" t="s">
        <v>10387</v>
      </c>
      <c r="G2890" s="134">
        <f t="shared" si="307"/>
        <v>1</v>
      </c>
      <c r="H2890" s="134" t="str">
        <f t="shared" si="308"/>
        <v/>
      </c>
      <c r="I2890" s="7" t="s">
        <v>158</v>
      </c>
      <c r="J2890" s="7" t="s">
        <v>13</v>
      </c>
      <c r="K2890" s="7"/>
      <c r="L2890" s="7" t="s">
        <v>167</v>
      </c>
      <c r="M2890" s="7" t="s">
        <v>6123</v>
      </c>
      <c r="N2890" s="7" t="s">
        <v>170</v>
      </c>
      <c r="O2890" s="7" t="s">
        <v>162</v>
      </c>
      <c r="P2890" s="7" t="s">
        <v>6506</v>
      </c>
      <c r="Q2890" s="129">
        <v>46199</v>
      </c>
      <c r="R2890" s="130">
        <f t="shared" si="309"/>
        <v>46210</v>
      </c>
      <c r="S2890" s="131">
        <f t="shared" si="310"/>
        <v>11</v>
      </c>
      <c r="T2890" s="7" t="s">
        <v>203</v>
      </c>
      <c r="U2890" s="7" t="s">
        <v>204</v>
      </c>
      <c r="V2890" s="7"/>
      <c r="W2890" s="7">
        <v>458.69</v>
      </c>
      <c r="X2890" s="132">
        <f t="shared" si="311"/>
        <v>10</v>
      </c>
      <c r="Y2890" s="133"/>
      <c r="Z2890" s="133"/>
      <c r="AA2890" s="133"/>
    </row>
    <row r="2891" spans="1:27" hidden="1" x14ac:dyDescent="0.25">
      <c r="A2891" s="133"/>
      <c r="B2891" s="128" t="str">
        <f t="shared" si="306"/>
        <v>MINT</v>
      </c>
      <c r="C2891" s="128" t="e">
        <f>+VLOOKUP(U2891,Ходим!A:B,2,0)</f>
        <v>#N/A</v>
      </c>
      <c r="D2891" s="128" t="str">
        <f>IFERROR(VLOOKUP($B:$B,[20]свод!$A:$AB,3,0)," ")</f>
        <v>Мингбулоқ тумани</v>
      </c>
      <c r="E2891" s="7" t="s">
        <v>4023</v>
      </c>
      <c r="F2891" s="7" t="s">
        <v>10388</v>
      </c>
      <c r="G2891" s="134">
        <f t="shared" si="307"/>
        <v>1</v>
      </c>
      <c r="H2891" s="134" t="str">
        <f t="shared" si="308"/>
        <v/>
      </c>
      <c r="I2891" s="7" t="s">
        <v>156</v>
      </c>
      <c r="J2891" s="7" t="s">
        <v>11</v>
      </c>
      <c r="K2891" s="7"/>
      <c r="L2891" s="7"/>
      <c r="M2891" s="7"/>
      <c r="N2891" s="7" t="s">
        <v>410</v>
      </c>
      <c r="O2891" s="7" t="s">
        <v>162</v>
      </c>
      <c r="P2891" s="7" t="s">
        <v>6506</v>
      </c>
      <c r="Q2891" s="129">
        <v>46199</v>
      </c>
      <c r="R2891" s="130">
        <f t="shared" si="309"/>
        <v>46210</v>
      </c>
      <c r="S2891" s="131">
        <f t="shared" si="310"/>
        <v>11</v>
      </c>
      <c r="T2891" s="7"/>
      <c r="U2891" s="7"/>
      <c r="V2891" s="7"/>
      <c r="W2891" s="7"/>
      <c r="X2891" s="132">
        <f t="shared" si="311"/>
        <v>10</v>
      </c>
      <c r="Y2891" s="133"/>
      <c r="Z2891" s="133"/>
      <c r="AA2891" s="133"/>
    </row>
    <row r="2892" spans="1:27" hidden="1" x14ac:dyDescent="0.25">
      <c r="A2892" s="133"/>
      <c r="B2892" s="128" t="str">
        <f t="shared" si="306"/>
        <v>UCQT</v>
      </c>
      <c r="C2892" s="128" t="e">
        <f>+VLOOKUP(U2892,Ходим!A:B,2,0)</f>
        <v>#N/A</v>
      </c>
      <c r="D2892" s="128" t="str">
        <f>IFERROR(VLOOKUP($B:$B,[20]свод!$A:$AB,3,0)," ")</f>
        <v>Учқўрғон тумани</v>
      </c>
      <c r="E2892" s="7" t="s">
        <v>4024</v>
      </c>
      <c r="F2892" s="7" t="s">
        <v>10389</v>
      </c>
      <c r="G2892" s="134">
        <f t="shared" si="307"/>
        <v>1</v>
      </c>
      <c r="H2892" s="134" t="str">
        <f t="shared" si="308"/>
        <v/>
      </c>
      <c r="I2892" s="7" t="s">
        <v>156</v>
      </c>
      <c r="J2892" s="7" t="s">
        <v>11</v>
      </c>
      <c r="K2892" s="7"/>
      <c r="L2892" s="7" t="s">
        <v>167</v>
      </c>
      <c r="M2892" s="7" t="s">
        <v>994</v>
      </c>
      <c r="N2892" s="7" t="s">
        <v>410</v>
      </c>
      <c r="O2892" s="7" t="s">
        <v>162</v>
      </c>
      <c r="P2892" s="7" t="s">
        <v>6506</v>
      </c>
      <c r="Q2892" s="129">
        <v>46199</v>
      </c>
      <c r="R2892" s="130">
        <f t="shared" si="309"/>
        <v>46210</v>
      </c>
      <c r="S2892" s="131">
        <f t="shared" si="310"/>
        <v>11</v>
      </c>
      <c r="T2892" s="7"/>
      <c r="U2892" s="7"/>
      <c r="V2892" s="7"/>
      <c r="W2892" s="7">
        <v>175.33</v>
      </c>
      <c r="X2892" s="132">
        <f t="shared" si="311"/>
        <v>10</v>
      </c>
      <c r="Y2892" s="133"/>
      <c r="Z2892" s="133"/>
      <c r="AA2892" s="133"/>
    </row>
    <row r="2893" spans="1:27" hidden="1" x14ac:dyDescent="0.25">
      <c r="A2893" s="133"/>
      <c r="B2893" s="128" t="str">
        <f t="shared" si="306"/>
        <v>CHUT</v>
      </c>
      <c r="C2893" s="128" t="str">
        <f>+VLOOKUP(U2893,Ходим!A:B,2,0)</f>
        <v>31608922180118</v>
      </c>
      <c r="D2893" s="128" t="str">
        <f>IFERROR(VLOOKUP($B:$B,[20]свод!$A:$AB,3,0)," ")</f>
        <v>Чуст тумани</v>
      </c>
      <c r="E2893" s="7" t="s">
        <v>4025</v>
      </c>
      <c r="F2893" s="7" t="s">
        <v>10390</v>
      </c>
      <c r="G2893" s="134" t="str">
        <f t="shared" si="307"/>
        <v/>
      </c>
      <c r="H2893" s="134">
        <f t="shared" si="308"/>
        <v>1</v>
      </c>
      <c r="I2893" s="7" t="s">
        <v>157</v>
      </c>
      <c r="J2893" s="7" t="s">
        <v>172</v>
      </c>
      <c r="K2893" s="7"/>
      <c r="L2893" s="7" t="s">
        <v>168</v>
      </c>
      <c r="M2893" s="7" t="s">
        <v>6124</v>
      </c>
      <c r="N2893" s="7" t="s">
        <v>410</v>
      </c>
      <c r="O2893" s="7" t="s">
        <v>161</v>
      </c>
      <c r="P2893" s="7" t="s">
        <v>6506</v>
      </c>
      <c r="Q2893" s="129">
        <v>46199</v>
      </c>
      <c r="R2893" s="130">
        <f t="shared" si="309"/>
        <v>46205</v>
      </c>
      <c r="S2893" s="131">
        <f t="shared" si="310"/>
        <v>6</v>
      </c>
      <c r="T2893" s="7" t="s">
        <v>178</v>
      </c>
      <c r="U2893" s="7" t="s">
        <v>284</v>
      </c>
      <c r="V2893" s="7"/>
      <c r="W2893" s="7">
        <v>0</v>
      </c>
      <c r="X2893" s="132">
        <f t="shared" si="311"/>
        <v>7</v>
      </c>
      <c r="Y2893" s="133"/>
      <c r="Z2893" s="133"/>
      <c r="AA2893" s="133"/>
    </row>
    <row r="2894" spans="1:27" hidden="1" x14ac:dyDescent="0.25">
      <c r="A2894" s="133"/>
      <c r="B2894" s="128" t="str">
        <f t="shared" si="306"/>
        <v>NAMS</v>
      </c>
      <c r="C2894" s="128" t="str">
        <f>+VLOOKUP(U2894,Ходим!A:B,2,0)</f>
        <v>51911035960011</v>
      </c>
      <c r="D2894" s="128" t="str">
        <f>IFERROR(VLOOKUP($B:$B,[20]свод!$A:$AB,3,0)," ")</f>
        <v>Наманган шаҳар</v>
      </c>
      <c r="E2894" s="7" t="s">
        <v>4026</v>
      </c>
      <c r="F2894" s="7" t="s">
        <v>10391</v>
      </c>
      <c r="G2894" s="134">
        <f t="shared" si="307"/>
        <v>1</v>
      </c>
      <c r="H2894" s="134" t="str">
        <f t="shared" si="308"/>
        <v/>
      </c>
      <c r="I2894" s="7" t="s">
        <v>158</v>
      </c>
      <c r="J2894" s="7" t="s">
        <v>13</v>
      </c>
      <c r="K2894" s="7"/>
      <c r="L2894" s="7" t="s">
        <v>167</v>
      </c>
      <c r="M2894" s="7" t="s">
        <v>6125</v>
      </c>
      <c r="N2894" s="7" t="s">
        <v>170</v>
      </c>
      <c r="O2894" s="7" t="s">
        <v>162</v>
      </c>
      <c r="P2894" s="7" t="s">
        <v>7493</v>
      </c>
      <c r="Q2894" s="129">
        <v>46199</v>
      </c>
      <c r="R2894" s="130">
        <f t="shared" si="309"/>
        <v>46210</v>
      </c>
      <c r="S2894" s="131">
        <f t="shared" si="310"/>
        <v>11</v>
      </c>
      <c r="T2894" s="7" t="s">
        <v>173</v>
      </c>
      <c r="U2894" s="7" t="s">
        <v>371</v>
      </c>
      <c r="V2894" s="7"/>
      <c r="W2894" s="7">
        <v>0</v>
      </c>
      <c r="X2894" s="132">
        <f t="shared" si="311"/>
        <v>10</v>
      </c>
      <c r="Y2894" s="133"/>
      <c r="Z2894" s="133"/>
      <c r="AA2894" s="133"/>
    </row>
    <row r="2895" spans="1:27" hidden="1" x14ac:dyDescent="0.25">
      <c r="A2895" s="133"/>
      <c r="B2895" s="128" t="str">
        <f t="shared" si="306"/>
        <v>NORT</v>
      </c>
      <c r="C2895" s="128" t="str">
        <f>+VLOOKUP(U2895,Ходим!A:B,2,0)</f>
        <v>40601902150077</v>
      </c>
      <c r="D2895" s="128" t="str">
        <f>IFERROR(VLOOKUP($B:$B,[20]свод!$A:$AB,3,0)," ")</f>
        <v>Норин тумани</v>
      </c>
      <c r="E2895" s="7" t="s">
        <v>4027</v>
      </c>
      <c r="F2895" s="7" t="s">
        <v>10392</v>
      </c>
      <c r="G2895" s="134">
        <f t="shared" si="307"/>
        <v>1</v>
      </c>
      <c r="H2895" s="134" t="str">
        <f t="shared" si="308"/>
        <v/>
      </c>
      <c r="I2895" s="7" t="s">
        <v>158</v>
      </c>
      <c r="J2895" s="7" t="s">
        <v>1</v>
      </c>
      <c r="K2895" s="7"/>
      <c r="L2895" s="7" t="s">
        <v>167</v>
      </c>
      <c r="M2895" s="7" t="s">
        <v>6126</v>
      </c>
      <c r="N2895" s="7" t="s">
        <v>170</v>
      </c>
      <c r="O2895" s="7" t="s">
        <v>162</v>
      </c>
      <c r="P2895" s="7" t="s">
        <v>7340</v>
      </c>
      <c r="Q2895" s="129">
        <v>46199</v>
      </c>
      <c r="R2895" s="130">
        <f t="shared" si="309"/>
        <v>46209</v>
      </c>
      <c r="S2895" s="131">
        <f t="shared" si="310"/>
        <v>10</v>
      </c>
      <c r="T2895" s="7" t="s">
        <v>210</v>
      </c>
      <c r="U2895" s="7" t="s">
        <v>249</v>
      </c>
      <c r="V2895" s="7"/>
      <c r="W2895" s="7">
        <v>104.13</v>
      </c>
      <c r="X2895" s="132">
        <f t="shared" si="311"/>
        <v>10</v>
      </c>
      <c r="Y2895" s="133"/>
      <c r="Z2895" s="133"/>
      <c r="AA2895" s="133"/>
    </row>
    <row r="2896" spans="1:27" hidden="1" x14ac:dyDescent="0.25">
      <c r="A2896" s="133"/>
      <c r="B2896" s="128" t="str">
        <f t="shared" si="306"/>
        <v>MINT</v>
      </c>
      <c r="C2896" s="128" t="e">
        <f>+VLOOKUP(U2896,Ходим!A:B,2,0)</f>
        <v>#N/A</v>
      </c>
      <c r="D2896" s="128" t="str">
        <f>IFERROR(VLOOKUP($B:$B,[20]свод!$A:$AB,3,0)," ")</f>
        <v>Мингбулоқ тумани</v>
      </c>
      <c r="E2896" s="7" t="s">
        <v>4028</v>
      </c>
      <c r="F2896" s="7" t="s">
        <v>10393</v>
      </c>
      <c r="G2896" s="134">
        <f t="shared" si="307"/>
        <v>1</v>
      </c>
      <c r="H2896" s="134" t="str">
        <f t="shared" si="308"/>
        <v/>
      </c>
      <c r="I2896" s="7" t="s">
        <v>156</v>
      </c>
      <c r="J2896" s="7" t="s">
        <v>11</v>
      </c>
      <c r="K2896" s="7"/>
      <c r="L2896" s="7"/>
      <c r="M2896" s="7"/>
      <c r="N2896" s="7" t="s">
        <v>410</v>
      </c>
      <c r="O2896" s="7" t="s">
        <v>162</v>
      </c>
      <c r="P2896" s="7" t="s">
        <v>7493</v>
      </c>
      <c r="Q2896" s="129">
        <v>46199</v>
      </c>
      <c r="R2896" s="130">
        <f t="shared" si="309"/>
        <v>46210</v>
      </c>
      <c r="S2896" s="131">
        <f t="shared" si="310"/>
        <v>11</v>
      </c>
      <c r="T2896" s="7"/>
      <c r="U2896" s="7"/>
      <c r="V2896" s="7"/>
      <c r="W2896" s="7"/>
      <c r="X2896" s="132">
        <f t="shared" si="311"/>
        <v>10</v>
      </c>
      <c r="Y2896" s="133"/>
      <c r="Z2896" s="133"/>
      <c r="AA2896" s="133"/>
    </row>
    <row r="2897" spans="1:27" hidden="1" x14ac:dyDescent="0.25">
      <c r="A2897" s="133"/>
      <c r="B2897" s="128" t="str">
        <f t="shared" si="306"/>
        <v>MINT</v>
      </c>
      <c r="C2897" s="128" t="e">
        <f>+VLOOKUP(U2897,Ходим!A:B,2,0)</f>
        <v>#N/A</v>
      </c>
      <c r="D2897" s="128" t="str">
        <f>IFERROR(VLOOKUP($B:$B,[20]свод!$A:$AB,3,0)," ")</f>
        <v>Мингбулоқ тумани</v>
      </c>
      <c r="E2897" s="7" t="s">
        <v>4029</v>
      </c>
      <c r="F2897" s="7" t="s">
        <v>10394</v>
      </c>
      <c r="G2897" s="134">
        <f t="shared" si="307"/>
        <v>1</v>
      </c>
      <c r="H2897" s="134" t="str">
        <f t="shared" si="308"/>
        <v/>
      </c>
      <c r="I2897" s="7" t="s">
        <v>156</v>
      </c>
      <c r="J2897" s="7" t="s">
        <v>11</v>
      </c>
      <c r="K2897" s="7"/>
      <c r="L2897" s="7" t="s">
        <v>167</v>
      </c>
      <c r="M2897" s="7" t="s">
        <v>6127</v>
      </c>
      <c r="N2897" s="7" t="s">
        <v>170</v>
      </c>
      <c r="O2897" s="7" t="s">
        <v>162</v>
      </c>
      <c r="P2897" s="7" t="s">
        <v>7493</v>
      </c>
      <c r="Q2897" s="129">
        <v>46199</v>
      </c>
      <c r="R2897" s="130">
        <f t="shared" si="309"/>
        <v>46210</v>
      </c>
      <c r="S2897" s="131">
        <f t="shared" si="310"/>
        <v>11</v>
      </c>
      <c r="T2897" s="7"/>
      <c r="U2897" s="7"/>
      <c r="V2897" s="7"/>
      <c r="W2897" s="7">
        <v>140.72999999999999</v>
      </c>
      <c r="X2897" s="132">
        <f t="shared" si="311"/>
        <v>10</v>
      </c>
      <c r="Y2897" s="133"/>
      <c r="Z2897" s="133"/>
      <c r="AA2897" s="133"/>
    </row>
    <row r="2898" spans="1:27" hidden="1" x14ac:dyDescent="0.25">
      <c r="A2898" s="133"/>
      <c r="B2898" s="128" t="str">
        <f t="shared" si="306"/>
        <v>CHUT</v>
      </c>
      <c r="C2898" s="128" t="str">
        <f>+VLOOKUP(U2898,Ходим!A:B,2,0)</f>
        <v>31608922180118</v>
      </c>
      <c r="D2898" s="128" t="str">
        <f>IFERROR(VLOOKUP($B:$B,[20]свод!$A:$AB,3,0)," ")</f>
        <v>Чуст тумани</v>
      </c>
      <c r="E2898" s="7" t="s">
        <v>4030</v>
      </c>
      <c r="F2898" s="7" t="s">
        <v>10395</v>
      </c>
      <c r="G2898" s="134" t="str">
        <f t="shared" si="307"/>
        <v/>
      </c>
      <c r="H2898" s="134">
        <f t="shared" si="308"/>
        <v>1</v>
      </c>
      <c r="I2898" s="7" t="s">
        <v>157</v>
      </c>
      <c r="J2898" s="7" t="s">
        <v>172</v>
      </c>
      <c r="K2898" s="7"/>
      <c r="L2898" s="7" t="s">
        <v>168</v>
      </c>
      <c r="M2898" s="7" t="s">
        <v>6128</v>
      </c>
      <c r="N2898" s="7" t="s">
        <v>410</v>
      </c>
      <c r="O2898" s="7" t="s">
        <v>161</v>
      </c>
      <c r="P2898" s="7" t="s">
        <v>7493</v>
      </c>
      <c r="Q2898" s="129">
        <v>46199</v>
      </c>
      <c r="R2898" s="130">
        <f t="shared" si="309"/>
        <v>46205</v>
      </c>
      <c r="S2898" s="131">
        <f t="shared" si="310"/>
        <v>6</v>
      </c>
      <c r="T2898" s="7" t="s">
        <v>178</v>
      </c>
      <c r="U2898" s="7" t="s">
        <v>284</v>
      </c>
      <c r="V2898" s="7"/>
      <c r="W2898" s="7">
        <v>0</v>
      </c>
      <c r="X2898" s="132">
        <f t="shared" si="311"/>
        <v>7</v>
      </c>
      <c r="Y2898" s="133"/>
      <c r="Z2898" s="133"/>
      <c r="AA2898" s="133"/>
    </row>
    <row r="2899" spans="1:27" hidden="1" x14ac:dyDescent="0.25">
      <c r="A2899" s="133"/>
      <c r="B2899" s="128" t="str">
        <f t="shared" si="306"/>
        <v>MINT</v>
      </c>
      <c r="C2899" s="128" t="e">
        <f>+VLOOKUP(U2899,Ходим!A:B,2,0)</f>
        <v>#N/A</v>
      </c>
      <c r="D2899" s="128" t="str">
        <f>IFERROR(VLOOKUP($B:$B,[20]свод!$A:$AB,3,0)," ")</f>
        <v>Мингбулоқ тумани</v>
      </c>
      <c r="E2899" s="7" t="s">
        <v>4031</v>
      </c>
      <c r="F2899" s="7" t="s">
        <v>10396</v>
      </c>
      <c r="G2899" s="134">
        <f t="shared" si="307"/>
        <v>1</v>
      </c>
      <c r="H2899" s="134" t="str">
        <f t="shared" si="308"/>
        <v/>
      </c>
      <c r="I2899" s="7" t="s">
        <v>156</v>
      </c>
      <c r="J2899" s="7" t="s">
        <v>11</v>
      </c>
      <c r="K2899" s="7"/>
      <c r="L2899" s="7" t="s">
        <v>167</v>
      </c>
      <c r="M2899" s="7" t="s">
        <v>6129</v>
      </c>
      <c r="N2899" s="7" t="s">
        <v>170</v>
      </c>
      <c r="O2899" s="7" t="s">
        <v>162</v>
      </c>
      <c r="P2899" s="7" t="s">
        <v>7493</v>
      </c>
      <c r="Q2899" s="129">
        <v>46199</v>
      </c>
      <c r="R2899" s="130">
        <f t="shared" si="309"/>
        <v>46210</v>
      </c>
      <c r="S2899" s="131">
        <f t="shared" si="310"/>
        <v>11</v>
      </c>
      <c r="T2899" s="7"/>
      <c r="U2899" s="7"/>
      <c r="V2899" s="7"/>
      <c r="W2899" s="7">
        <v>554.82000000000005</v>
      </c>
      <c r="X2899" s="132">
        <f t="shared" si="311"/>
        <v>10</v>
      </c>
      <c r="Y2899" s="133"/>
      <c r="Z2899" s="133"/>
      <c r="AA2899" s="133"/>
    </row>
    <row r="2900" spans="1:27" hidden="1" x14ac:dyDescent="0.25">
      <c r="A2900" s="133"/>
      <c r="B2900" s="128" t="str">
        <f t="shared" si="306"/>
        <v>POPT</v>
      </c>
      <c r="C2900" s="128" t="str">
        <f>+VLOOKUP(U2900,Ходим!A:B,2,0)</f>
        <v>51605005910024</v>
      </c>
      <c r="D2900" s="128" t="str">
        <f>IFERROR(VLOOKUP($B:$B,[20]свод!$A:$AB,3,0)," ")</f>
        <v>Поп тумани</v>
      </c>
      <c r="E2900" s="7" t="s">
        <v>4032</v>
      </c>
      <c r="F2900" s="7" t="s">
        <v>10397</v>
      </c>
      <c r="G2900" s="134">
        <f t="shared" si="307"/>
        <v>1</v>
      </c>
      <c r="H2900" s="134" t="str">
        <f t="shared" si="308"/>
        <v/>
      </c>
      <c r="I2900" s="7" t="s">
        <v>156</v>
      </c>
      <c r="J2900" s="7" t="s">
        <v>25</v>
      </c>
      <c r="K2900" s="7"/>
      <c r="L2900" s="7"/>
      <c r="M2900" s="7"/>
      <c r="N2900" s="7" t="s">
        <v>170</v>
      </c>
      <c r="O2900" s="7" t="s">
        <v>163</v>
      </c>
      <c r="P2900" s="7" t="s">
        <v>7493</v>
      </c>
      <c r="Q2900" s="129">
        <v>46199</v>
      </c>
      <c r="R2900" s="130">
        <f t="shared" si="309"/>
        <v>46210</v>
      </c>
      <c r="S2900" s="131">
        <f t="shared" si="310"/>
        <v>11</v>
      </c>
      <c r="T2900" s="7" t="s">
        <v>214</v>
      </c>
      <c r="U2900" s="7" t="s">
        <v>241</v>
      </c>
      <c r="V2900" s="7"/>
      <c r="W2900" s="7"/>
      <c r="X2900" s="132">
        <f t="shared" si="311"/>
        <v>10</v>
      </c>
      <c r="Y2900" s="133"/>
      <c r="Z2900" s="133"/>
      <c r="AA2900" s="133"/>
    </row>
    <row r="2901" spans="1:27" hidden="1" x14ac:dyDescent="0.25">
      <c r="A2901" s="133"/>
      <c r="B2901" s="128" t="str">
        <f t="shared" si="306"/>
        <v>CHUT</v>
      </c>
      <c r="C2901" s="128" t="str">
        <f>+VLOOKUP(U2901,Ходим!A:B,2,0)</f>
        <v>31608922180118</v>
      </c>
      <c r="D2901" s="128" t="str">
        <f>IFERROR(VLOOKUP($B:$B,[20]свод!$A:$AB,3,0)," ")</f>
        <v>Чуст тумани</v>
      </c>
      <c r="E2901" s="7" t="s">
        <v>4033</v>
      </c>
      <c r="F2901" s="7" t="s">
        <v>10398</v>
      </c>
      <c r="G2901" s="134" t="str">
        <f t="shared" si="307"/>
        <v/>
      </c>
      <c r="H2901" s="134">
        <f t="shared" si="308"/>
        <v>1</v>
      </c>
      <c r="I2901" s="7" t="s">
        <v>157</v>
      </c>
      <c r="J2901" s="7" t="s">
        <v>172</v>
      </c>
      <c r="K2901" s="7"/>
      <c r="L2901" s="7" t="s">
        <v>168</v>
      </c>
      <c r="M2901" s="7" t="s">
        <v>6130</v>
      </c>
      <c r="N2901" s="7" t="s">
        <v>410</v>
      </c>
      <c r="O2901" s="7" t="s">
        <v>161</v>
      </c>
      <c r="P2901" s="7" t="s">
        <v>7493</v>
      </c>
      <c r="Q2901" s="129">
        <v>46199</v>
      </c>
      <c r="R2901" s="130">
        <f t="shared" si="309"/>
        <v>46205</v>
      </c>
      <c r="S2901" s="131">
        <f t="shared" si="310"/>
        <v>6</v>
      </c>
      <c r="T2901" s="7" t="s">
        <v>178</v>
      </c>
      <c r="U2901" s="7" t="s">
        <v>284</v>
      </c>
      <c r="V2901" s="7"/>
      <c r="W2901" s="7">
        <v>0</v>
      </c>
      <c r="X2901" s="132">
        <f t="shared" si="311"/>
        <v>7</v>
      </c>
      <c r="Y2901" s="133"/>
      <c r="Z2901" s="133"/>
      <c r="AA2901" s="133"/>
    </row>
    <row r="2902" spans="1:27" hidden="1" x14ac:dyDescent="0.25">
      <c r="A2902" s="133"/>
      <c r="B2902" s="128" t="str">
        <f t="shared" si="306"/>
        <v>UYCT</v>
      </c>
      <c r="C2902" s="128" t="str">
        <f>+VLOOKUP(U2902,Ходим!A:B,2,0)</f>
        <v>32906985930035</v>
      </c>
      <c r="D2902" s="128" t="str">
        <f>IFERROR(VLOOKUP($B:$B,[20]свод!$A:$AB,3,0)," ")</f>
        <v>Уйчи тумани</v>
      </c>
      <c r="E2902" s="7" t="s">
        <v>4034</v>
      </c>
      <c r="F2902" s="7" t="s">
        <v>10399</v>
      </c>
      <c r="G2902" s="134">
        <f t="shared" si="307"/>
        <v>1</v>
      </c>
      <c r="H2902" s="134" t="str">
        <f t="shared" si="308"/>
        <v/>
      </c>
      <c r="I2902" s="7" t="s">
        <v>158</v>
      </c>
      <c r="J2902" s="7" t="s">
        <v>35</v>
      </c>
      <c r="K2902" s="7"/>
      <c r="L2902" s="7" t="s">
        <v>167</v>
      </c>
      <c r="M2902" s="7" t="s">
        <v>1052</v>
      </c>
      <c r="N2902" s="7" t="s">
        <v>170</v>
      </c>
      <c r="O2902" s="7" t="s">
        <v>163</v>
      </c>
      <c r="P2902" s="7" t="s">
        <v>7369</v>
      </c>
      <c r="Q2902" s="129">
        <v>46199</v>
      </c>
      <c r="R2902" s="130">
        <f t="shared" si="309"/>
        <v>46209</v>
      </c>
      <c r="S2902" s="131">
        <f t="shared" si="310"/>
        <v>10</v>
      </c>
      <c r="T2902" s="7" t="s">
        <v>947</v>
      </c>
      <c r="U2902" s="7" t="s">
        <v>257</v>
      </c>
      <c r="V2902" s="7"/>
      <c r="W2902" s="7">
        <v>241.36</v>
      </c>
      <c r="X2902" s="132">
        <f t="shared" si="311"/>
        <v>10</v>
      </c>
      <c r="Y2902" s="133"/>
      <c r="Z2902" s="133"/>
      <c r="AA2902" s="133"/>
    </row>
    <row r="2903" spans="1:27" hidden="1" x14ac:dyDescent="0.25">
      <c r="A2903" s="133"/>
      <c r="B2903" s="128" t="str">
        <f t="shared" si="306"/>
        <v>TORT</v>
      </c>
      <c r="C2903" s="128">
        <f>+VLOOKUP(U2903,Ходим!A:B,2,0)</f>
        <v>30603862130011</v>
      </c>
      <c r="D2903" s="128" t="str">
        <f>IFERROR(VLOOKUP($B:$B,[20]свод!$A:$AB,3,0)," ")</f>
        <v>Тўрақўрғон тумани</v>
      </c>
      <c r="E2903" s="7" t="s">
        <v>4035</v>
      </c>
      <c r="F2903" s="7" t="s">
        <v>10400</v>
      </c>
      <c r="G2903" s="134" t="str">
        <f t="shared" si="307"/>
        <v/>
      </c>
      <c r="H2903" s="134">
        <f t="shared" si="308"/>
        <v>1</v>
      </c>
      <c r="I2903" s="7" t="s">
        <v>155</v>
      </c>
      <c r="J2903" s="7" t="s">
        <v>25</v>
      </c>
      <c r="K2903" s="7"/>
      <c r="L2903" s="7" t="s">
        <v>166</v>
      </c>
      <c r="M2903" s="7" t="s">
        <v>6131</v>
      </c>
      <c r="N2903" s="7" t="s">
        <v>170</v>
      </c>
      <c r="O2903" s="7" t="s">
        <v>161</v>
      </c>
      <c r="P2903" s="7" t="s">
        <v>7494</v>
      </c>
      <c r="Q2903" s="129">
        <v>46199</v>
      </c>
      <c r="R2903" s="130">
        <f t="shared" si="309"/>
        <v>46212</v>
      </c>
      <c r="S2903" s="131">
        <f t="shared" si="310"/>
        <v>13</v>
      </c>
      <c r="T2903" s="7" t="s">
        <v>203</v>
      </c>
      <c r="U2903" s="7" t="s">
        <v>950</v>
      </c>
      <c r="V2903" s="7"/>
      <c r="W2903" s="7">
        <v>354.2</v>
      </c>
      <c r="X2903" s="132">
        <f t="shared" si="311"/>
        <v>12</v>
      </c>
      <c r="Y2903" s="133"/>
      <c r="Z2903" s="133"/>
      <c r="AA2903" s="133"/>
    </row>
    <row r="2904" spans="1:27" hidden="1" x14ac:dyDescent="0.25">
      <c r="A2904" s="133"/>
      <c r="B2904" s="128" t="str">
        <f t="shared" si="306"/>
        <v>TORT</v>
      </c>
      <c r="C2904" s="128" t="str">
        <f>+VLOOKUP(U2904,Ходим!A:B,2,0)</f>
        <v>50908015920034</v>
      </c>
      <c r="D2904" s="128" t="str">
        <f>IFERROR(VLOOKUP($B:$B,[20]свод!$A:$AB,3,0)," ")</f>
        <v>Тўрақўрғон тумани</v>
      </c>
      <c r="E2904" s="7" t="s">
        <v>4036</v>
      </c>
      <c r="F2904" s="7" t="s">
        <v>10401</v>
      </c>
      <c r="G2904" s="134">
        <f t="shared" si="307"/>
        <v>1</v>
      </c>
      <c r="H2904" s="134" t="str">
        <f t="shared" si="308"/>
        <v/>
      </c>
      <c r="I2904" s="7" t="s">
        <v>158</v>
      </c>
      <c r="J2904" s="7" t="s">
        <v>2</v>
      </c>
      <c r="K2904" s="7"/>
      <c r="L2904" s="7"/>
      <c r="M2904" s="7"/>
      <c r="N2904" s="7" t="s">
        <v>170</v>
      </c>
      <c r="O2904" s="7" t="s">
        <v>162</v>
      </c>
      <c r="P2904" s="7" t="s">
        <v>7494</v>
      </c>
      <c r="Q2904" s="129">
        <v>46199</v>
      </c>
      <c r="R2904" s="130">
        <f t="shared" si="309"/>
        <v>46210</v>
      </c>
      <c r="S2904" s="131">
        <f t="shared" si="310"/>
        <v>11</v>
      </c>
      <c r="T2904" s="7" t="s">
        <v>203</v>
      </c>
      <c r="U2904" s="7" t="s">
        <v>205</v>
      </c>
      <c r="V2904" s="7"/>
      <c r="W2904" s="7"/>
      <c r="X2904" s="132">
        <f t="shared" si="311"/>
        <v>10</v>
      </c>
      <c r="Y2904" s="133"/>
      <c r="Z2904" s="133"/>
      <c r="AA2904" s="133"/>
    </row>
    <row r="2905" spans="1:27" hidden="1" x14ac:dyDescent="0.25">
      <c r="A2905" s="133"/>
      <c r="B2905" s="128" t="str">
        <f t="shared" si="306"/>
        <v>CHUT</v>
      </c>
      <c r="C2905" s="128" t="str">
        <f>+VLOOKUP(U2905,Ходим!A:B,2,0)</f>
        <v>32304995970021</v>
      </c>
      <c r="D2905" s="128" t="str">
        <f>IFERROR(VLOOKUP($B:$B,[20]свод!$A:$AB,3,0)," ")</f>
        <v>Чуст тумани</v>
      </c>
      <c r="E2905" s="7" t="s">
        <v>4037</v>
      </c>
      <c r="F2905" s="7" t="s">
        <v>10402</v>
      </c>
      <c r="G2905" s="134">
        <f t="shared" si="307"/>
        <v>1</v>
      </c>
      <c r="H2905" s="134" t="str">
        <f t="shared" si="308"/>
        <v/>
      </c>
      <c r="I2905" s="7" t="s">
        <v>158</v>
      </c>
      <c r="J2905" s="7" t="s">
        <v>2</v>
      </c>
      <c r="K2905" s="7"/>
      <c r="L2905" s="7" t="s">
        <v>167</v>
      </c>
      <c r="M2905" s="7" t="s">
        <v>6132</v>
      </c>
      <c r="N2905" s="7" t="s">
        <v>170</v>
      </c>
      <c r="O2905" s="7" t="s">
        <v>162</v>
      </c>
      <c r="P2905" s="7" t="s">
        <v>7494</v>
      </c>
      <c r="Q2905" s="129">
        <v>46199</v>
      </c>
      <c r="R2905" s="130">
        <f t="shared" si="309"/>
        <v>46210</v>
      </c>
      <c r="S2905" s="131">
        <f t="shared" si="310"/>
        <v>11</v>
      </c>
      <c r="T2905" s="7" t="s">
        <v>178</v>
      </c>
      <c r="U2905" s="7" t="s">
        <v>938</v>
      </c>
      <c r="V2905" s="7"/>
      <c r="W2905" s="7">
        <v>462.8</v>
      </c>
      <c r="X2905" s="132">
        <f t="shared" si="311"/>
        <v>10</v>
      </c>
      <c r="Y2905" s="133"/>
      <c r="Z2905" s="133"/>
      <c r="AA2905" s="133"/>
    </row>
    <row r="2906" spans="1:27" hidden="1" x14ac:dyDescent="0.25">
      <c r="A2906" s="133"/>
      <c r="B2906" s="128" t="str">
        <f t="shared" si="306"/>
        <v>UCQT</v>
      </c>
      <c r="C2906" s="128" t="str">
        <f>+VLOOKUP(U2906,Ходим!A:B,2,0)</f>
        <v>31206892150069</v>
      </c>
      <c r="D2906" s="128" t="str">
        <f>IFERROR(VLOOKUP($B:$B,[20]свод!$A:$AB,3,0)," ")</f>
        <v>Учқўрғон тумани</v>
      </c>
      <c r="E2906" s="7" t="s">
        <v>4038</v>
      </c>
      <c r="F2906" s="7" t="s">
        <v>10403</v>
      </c>
      <c r="G2906" s="134" t="str">
        <f t="shared" si="307"/>
        <v/>
      </c>
      <c r="H2906" s="134">
        <f t="shared" si="308"/>
        <v>1</v>
      </c>
      <c r="I2906" s="7" t="s">
        <v>155</v>
      </c>
      <c r="J2906" s="7" t="s">
        <v>25</v>
      </c>
      <c r="K2906" s="7"/>
      <c r="L2906" s="7"/>
      <c r="M2906" s="7"/>
      <c r="N2906" s="7" t="s">
        <v>170</v>
      </c>
      <c r="O2906" s="7" t="s">
        <v>161</v>
      </c>
      <c r="P2906" s="7" t="s">
        <v>6586</v>
      </c>
      <c r="Q2906" s="129">
        <v>46199</v>
      </c>
      <c r="R2906" s="130">
        <f t="shared" si="309"/>
        <v>46210</v>
      </c>
      <c r="S2906" s="131">
        <f t="shared" si="310"/>
        <v>11</v>
      </c>
      <c r="T2906" s="7" t="s">
        <v>175</v>
      </c>
      <c r="U2906" s="7" t="s">
        <v>318</v>
      </c>
      <c r="V2906" s="7"/>
      <c r="W2906" s="7"/>
      <c r="X2906" s="132">
        <f t="shared" si="311"/>
        <v>10</v>
      </c>
      <c r="Y2906" s="133"/>
      <c r="Z2906" s="133"/>
      <c r="AA2906" s="133"/>
    </row>
    <row r="2907" spans="1:27" hidden="1" x14ac:dyDescent="0.25">
      <c r="A2907" s="133"/>
      <c r="B2907" s="128" t="str">
        <f t="shared" ref="B2907:B2970" si="312">LEFT(E2907,4)</f>
        <v>TORT</v>
      </c>
      <c r="C2907" s="128">
        <f>+VLOOKUP(U2907,Ходим!A:B,2,0)</f>
        <v>30603862130011</v>
      </c>
      <c r="D2907" s="128" t="str">
        <f>IFERROR(VLOOKUP($B:$B,[20]свод!$A:$AB,3,0)," ")</f>
        <v>Тўрақўрғон тумани</v>
      </c>
      <c r="E2907" s="7" t="s">
        <v>4039</v>
      </c>
      <c r="F2907" s="7" t="s">
        <v>10404</v>
      </c>
      <c r="G2907" s="134">
        <f t="shared" ref="G2907:G2970" si="313">IF(OR(
I2907="Turar joy obyektning kadastr pasportini shakllantirish va davlat ro'yxatidan o'tkazish",
I2907="Turar kompozit"
),
1,
IF(OR(
I2907="Noturar kompozit",
I2907="Avtoyo'l va suv xo'jaligi obyektining kadastr pasportini shakllantirish va ro'yxatga olish",
I2907="Noturar obyektning kadastr pasportining kadastr pasportini shakllantirish va davlat ro'yxatidan o'tkazish"
),
"",
IF(OR(
I2907="Notarius uchun ma'lumotnoma (uz)",
I2907="Qurilishi tugallangan ko'chmas mulkni foydalanishga qabul qilish",
I2907="Umumiy foydalanishdagi ko'chmas mulk qismini yaratish",
I2907="Registratsiya (tashqi - UZKAD da bor)"
),
IF(OR(L2907="Turar yer maydoni",L2907="Yakka tartibdagi turar joy"),1,
IF(L2907="Noturar bino","",
IF(L2907="Noturar yer maydoni","",
IF(L2907="",IF(OR(O2907="Turar joy xizmati",O2907="Foydalanishga ruxsatnoma berish xizmati"),1,""),"")
))),
"")))</f>
        <v>1</v>
      </c>
      <c r="H2907" s="134" t="str">
        <f t="shared" ref="H2907:H2970" si="314">IF(OR(
I2907="Turar joy obyektning kadastr pasportini shakllantirish va davlat ro'yxatidan o'tkazish",
I2907="Turar kompozit"
),
"",
IF(OR(
I2907="Noturar kompozit",
I2907="Avtoyo'l va suv xo'jaligi obyektining kadastr pasportini shakllantirish va ro'yxatga olish",
I2907="Noturar obyektning kadastr pasportini shakllantirish va davlat ro'yxatidan o'tkazish"
),
1,
IF(OR(
I2907="Notarius uchun ma'lumotnoma (uz)",
I2907="Qurilishi tugallangan ko'chmas mulkni foydalanishga qabul qilish",
I2907="Umumiy foydalanishdagi ko'chmas mulk qismini yaratish",
I2907="Registratsiya (tashqi - UZKAD da bor)"
),
IF(OR(L2907="Turar yer maydoni",L2907="Yakka tartibdagi turar joy"),"",
IF(L2907="Noturar bino",1,
IF(L2907="Noturar yer maydoni",1,
IF(L2907="",IF(OR(O2907="Turar joy xizmati",O2907="Foydalanishga ruxsatnoma berish xizmati"),"",1),"")
))),
"")))</f>
        <v/>
      </c>
      <c r="I2907" s="7" t="s">
        <v>158</v>
      </c>
      <c r="J2907" s="7" t="s">
        <v>1</v>
      </c>
      <c r="K2907" s="7"/>
      <c r="L2907" s="7" t="s">
        <v>167</v>
      </c>
      <c r="M2907" s="7" t="s">
        <v>6133</v>
      </c>
      <c r="N2907" s="7" t="s">
        <v>170</v>
      </c>
      <c r="O2907" s="7" t="s">
        <v>162</v>
      </c>
      <c r="P2907" s="7" t="s">
        <v>6968</v>
      </c>
      <c r="Q2907" s="129">
        <v>46199</v>
      </c>
      <c r="R2907" s="130">
        <f t="shared" ref="R2907:R2970" si="315">WORKDAY(P2907,X2907,$Y$1:$AA$1)</f>
        <v>46210</v>
      </c>
      <c r="S2907" s="131">
        <f t="shared" ref="S2907:S2970" si="316">R2907-Q2907</f>
        <v>11</v>
      </c>
      <c r="T2907" s="7" t="s">
        <v>203</v>
      </c>
      <c r="U2907" s="7" t="s">
        <v>950</v>
      </c>
      <c r="V2907" s="7"/>
      <c r="W2907" s="7">
        <v>478.33</v>
      </c>
      <c r="X2907" s="132">
        <f t="shared" ref="X2907:X2970" si="317">IF(N2907="Kadastr muhandisi",3,
IF(N2907="UZKAD",5,
IF(V2907="FREE",5,
IF(I2907="Registratsiya (tashqi - UZKAD da bor)",1,
IF(I2907="Avtoyo'l va suv xo'jaligi obyektining kadastr pasportini shakllantirish va ro'yxatga olish",7,
IF(I2907="Notarius uchun ma'lumotnoma (uz)",1,
IF(I2907="Qurilishi tugallangan ko'chmas mulkni foydalanishga qabul qilish",10,
IF(OR(I2907="Turar joy obyektning kadastr pasportini shakllantirish va davlat ro'yxatidan o'tkazish",I2907="Turar kompozit"),
IF(L2907="Turar yer maydoni",7,10),
IF(OR(I2907="Noturar obyektning kadastr pasportini shakllantirish va davlat ro'yxatidan o'tkazish",I2907="Noturar kompozit"),
IF(O2907="Ko‘p yillik daraxtlar xizmati",15,
IF(OR(L2907="Noturar yer maydoni",L2907="Davlat tashkilotlaridan ijaraga olingan yer uchastkasi"),7,
IF(W2907&lt;100,10,IF(W2907&lt;=1000,12,IF(W2907&lt;=5000,17,IF(W2907&lt;=15000,22,IF(W2907&lt;=50000,28,37))))))),
IF(I2907="Umumiy foydalanishdagi ko'chmas mulk qismini yaratish",
IF(IF(TRIM(L2907)="",IF(OR(O2907="Turar joy xizmati",O2907="Yakka tartibdagi turar joy"),"Turar","Noturar"),IF(OR(L2907="Yakka tartibdagi turar joy",L2907="Turar joy xizmati"),"Turar","Noturar"))="Turar",
10,IF(W2907&lt;100,10,IF(W2907&lt;=1000,12,IF(W2907&lt;=5000,17,IF(W2907&lt;=15000,22,IF(W2907&lt;=50000,28,37)))))),
0))))))))))</f>
        <v>10</v>
      </c>
      <c r="Y2907" s="133"/>
      <c r="Z2907" s="133"/>
      <c r="AA2907" s="133"/>
    </row>
    <row r="2908" spans="1:27" x14ac:dyDescent="0.25">
      <c r="A2908" s="133"/>
      <c r="B2908" s="128" t="str">
        <f t="shared" si="312"/>
        <v>NAMS</v>
      </c>
      <c r="C2908" s="128" t="str">
        <f>+VLOOKUP(U2908,Ходим!A:B,2,0)</f>
        <v>30809892160183</v>
      </c>
      <c r="D2908" s="128" t="str">
        <f>IFERROR(VLOOKUP($B:$B,[20]свод!$A:$AB,3,0)," ")</f>
        <v>Наманган шаҳар</v>
      </c>
      <c r="E2908" s="7" t="s">
        <v>4040</v>
      </c>
      <c r="F2908" s="7" t="s">
        <v>10405</v>
      </c>
      <c r="G2908" s="134" t="str">
        <f t="shared" si="313"/>
        <v/>
      </c>
      <c r="H2908" s="134">
        <f t="shared" si="314"/>
        <v>1</v>
      </c>
      <c r="I2908" s="7" t="s">
        <v>154</v>
      </c>
      <c r="J2908" s="7" t="s">
        <v>1137</v>
      </c>
      <c r="K2908" s="7"/>
      <c r="L2908" s="7" t="s">
        <v>166</v>
      </c>
      <c r="M2908" s="7" t="s">
        <v>6134</v>
      </c>
      <c r="N2908" s="7" t="s">
        <v>170</v>
      </c>
      <c r="O2908" s="7" t="s">
        <v>161</v>
      </c>
      <c r="P2908" s="7" t="s">
        <v>7495</v>
      </c>
      <c r="Q2908" s="129">
        <v>46199</v>
      </c>
      <c r="R2908" s="130">
        <f t="shared" si="315"/>
        <v>46198</v>
      </c>
      <c r="S2908" s="131">
        <f t="shared" si="316"/>
        <v>-1</v>
      </c>
      <c r="T2908" s="7" t="s">
        <v>185</v>
      </c>
      <c r="U2908" s="7" t="s">
        <v>192</v>
      </c>
      <c r="V2908" s="7" t="s">
        <v>359</v>
      </c>
      <c r="W2908" s="7">
        <v>71.790000000000006</v>
      </c>
      <c r="X2908" s="132">
        <f t="shared" si="317"/>
        <v>10</v>
      </c>
      <c r="Y2908" s="133"/>
      <c r="Z2908" s="133"/>
      <c r="AA2908" s="133"/>
    </row>
    <row r="2909" spans="1:27" hidden="1" x14ac:dyDescent="0.25">
      <c r="A2909" s="133"/>
      <c r="B2909" s="128" t="str">
        <f t="shared" si="312"/>
        <v>POPT</v>
      </c>
      <c r="C2909" s="128" t="str">
        <f>+VLOOKUP(U2909,Ходим!A:B,2,0)</f>
        <v>31503892210028</v>
      </c>
      <c r="D2909" s="128" t="str">
        <f>IFERROR(VLOOKUP($B:$B,[20]свод!$A:$AB,3,0)," ")</f>
        <v>Поп тумани</v>
      </c>
      <c r="E2909" s="7" t="s">
        <v>4041</v>
      </c>
      <c r="F2909" s="7" t="s">
        <v>10406</v>
      </c>
      <c r="G2909" s="134">
        <f t="shared" si="313"/>
        <v>1</v>
      </c>
      <c r="H2909" s="134" t="str">
        <f t="shared" si="314"/>
        <v/>
      </c>
      <c r="I2909" s="7" t="s">
        <v>156</v>
      </c>
      <c r="J2909" s="7" t="s">
        <v>25</v>
      </c>
      <c r="K2909" s="7"/>
      <c r="L2909" s="7"/>
      <c r="M2909" s="7"/>
      <c r="N2909" s="7" t="s">
        <v>170</v>
      </c>
      <c r="O2909" s="7" t="s">
        <v>162</v>
      </c>
      <c r="P2909" s="7" t="s">
        <v>6402</v>
      </c>
      <c r="Q2909" s="129">
        <v>46199</v>
      </c>
      <c r="R2909" s="130">
        <f t="shared" si="315"/>
        <v>46210</v>
      </c>
      <c r="S2909" s="131">
        <f t="shared" si="316"/>
        <v>11</v>
      </c>
      <c r="T2909" s="7" t="s">
        <v>214</v>
      </c>
      <c r="U2909" s="7" t="s">
        <v>285</v>
      </c>
      <c r="V2909" s="7"/>
      <c r="W2909" s="7"/>
      <c r="X2909" s="132">
        <f t="shared" si="317"/>
        <v>10</v>
      </c>
      <c r="Y2909" s="133"/>
      <c r="Z2909" s="133"/>
      <c r="AA2909" s="133"/>
    </row>
    <row r="2910" spans="1:27" hidden="1" x14ac:dyDescent="0.25">
      <c r="A2910" s="133"/>
      <c r="B2910" s="128" t="str">
        <f t="shared" si="312"/>
        <v>UYCT</v>
      </c>
      <c r="C2910" s="128" t="str">
        <f>+VLOOKUP(U2910,Ходим!A:B,2,0)</f>
        <v>30510922140032</v>
      </c>
      <c r="D2910" s="128" t="str">
        <f>IFERROR(VLOOKUP($B:$B,[20]свод!$A:$AB,3,0)," ")</f>
        <v>Уйчи тумани</v>
      </c>
      <c r="E2910" s="7" t="s">
        <v>4042</v>
      </c>
      <c r="F2910" s="7" t="s">
        <v>10407</v>
      </c>
      <c r="G2910" s="134">
        <f t="shared" si="313"/>
        <v>1</v>
      </c>
      <c r="H2910" s="134" t="str">
        <f t="shared" si="314"/>
        <v/>
      </c>
      <c r="I2910" s="7" t="s">
        <v>156</v>
      </c>
      <c r="J2910" s="7" t="s">
        <v>22</v>
      </c>
      <c r="K2910" s="7"/>
      <c r="L2910" s="7" t="s">
        <v>167</v>
      </c>
      <c r="M2910" s="7" t="s">
        <v>6135</v>
      </c>
      <c r="N2910" s="7" t="s">
        <v>170</v>
      </c>
      <c r="O2910" s="7" t="s">
        <v>162</v>
      </c>
      <c r="P2910" s="7" t="s">
        <v>6402</v>
      </c>
      <c r="Q2910" s="129">
        <v>46199</v>
      </c>
      <c r="R2910" s="130">
        <f t="shared" si="315"/>
        <v>46210</v>
      </c>
      <c r="S2910" s="131">
        <f t="shared" si="316"/>
        <v>11</v>
      </c>
      <c r="T2910" s="7" t="s">
        <v>947</v>
      </c>
      <c r="U2910" s="7" t="s">
        <v>199</v>
      </c>
      <c r="V2910" s="7"/>
      <c r="W2910" s="7">
        <v>182.01</v>
      </c>
      <c r="X2910" s="132">
        <f t="shared" si="317"/>
        <v>10</v>
      </c>
      <c r="Y2910" s="133"/>
      <c r="Z2910" s="133"/>
      <c r="AA2910" s="133"/>
    </row>
    <row r="2911" spans="1:27" hidden="1" x14ac:dyDescent="0.25">
      <c r="A2911" s="133"/>
      <c r="B2911" s="128" t="str">
        <f t="shared" si="312"/>
        <v>POPT</v>
      </c>
      <c r="C2911" s="128" t="str">
        <f>+VLOOKUP(U2911,Ходим!A:B,2,0)</f>
        <v>50902005910032</v>
      </c>
      <c r="D2911" s="128" t="str">
        <f>IFERROR(VLOOKUP($B:$B,[20]свод!$A:$AB,3,0)," ")</f>
        <v>Поп тумани</v>
      </c>
      <c r="E2911" s="7" t="s">
        <v>4043</v>
      </c>
      <c r="F2911" s="7" t="s">
        <v>10408</v>
      </c>
      <c r="G2911" s="134" t="str">
        <f t="shared" si="313"/>
        <v/>
      </c>
      <c r="H2911" s="134">
        <f t="shared" si="314"/>
        <v>1</v>
      </c>
      <c r="I2911" s="7" t="s">
        <v>155</v>
      </c>
      <c r="J2911" s="7" t="s">
        <v>11</v>
      </c>
      <c r="K2911" s="7"/>
      <c r="L2911" s="7" t="s">
        <v>166</v>
      </c>
      <c r="M2911" s="7" t="s">
        <v>6136</v>
      </c>
      <c r="N2911" s="7" t="s">
        <v>410</v>
      </c>
      <c r="O2911" s="7" t="s">
        <v>161</v>
      </c>
      <c r="P2911" s="7" t="s">
        <v>6402</v>
      </c>
      <c r="Q2911" s="129">
        <v>46199</v>
      </c>
      <c r="R2911" s="130">
        <f t="shared" si="315"/>
        <v>46210</v>
      </c>
      <c r="S2911" s="131">
        <f t="shared" si="316"/>
        <v>11</v>
      </c>
      <c r="T2911" s="7" t="s">
        <v>240</v>
      </c>
      <c r="U2911" s="7" t="s">
        <v>278</v>
      </c>
      <c r="V2911" s="7"/>
      <c r="W2911" s="7">
        <v>0</v>
      </c>
      <c r="X2911" s="132">
        <f t="shared" si="317"/>
        <v>10</v>
      </c>
      <c r="Y2911" s="133"/>
      <c r="Z2911" s="133"/>
      <c r="AA2911" s="133"/>
    </row>
    <row r="2912" spans="1:27" hidden="1" x14ac:dyDescent="0.25">
      <c r="A2912" s="133"/>
      <c r="B2912" s="128" t="str">
        <f t="shared" si="312"/>
        <v>KSST</v>
      </c>
      <c r="C2912" s="128" t="e">
        <f>+VLOOKUP(U2912,Ходим!A:B,2,0)</f>
        <v>#N/A</v>
      </c>
      <c r="D2912" s="128" t="str">
        <f>IFERROR(VLOOKUP($B:$B,[20]свод!$A:$AB,3,0)," ")</f>
        <v>Косонсой тумани</v>
      </c>
      <c r="E2912" s="7" t="s">
        <v>4044</v>
      </c>
      <c r="F2912" s="7" t="s">
        <v>10409</v>
      </c>
      <c r="G2912" s="134" t="str">
        <f t="shared" si="313"/>
        <v/>
      </c>
      <c r="H2912" s="134">
        <f t="shared" si="314"/>
        <v>1</v>
      </c>
      <c r="I2912" s="7" t="s">
        <v>157</v>
      </c>
      <c r="J2912" s="7" t="s">
        <v>172</v>
      </c>
      <c r="K2912" s="7"/>
      <c r="L2912" s="7" t="s">
        <v>166</v>
      </c>
      <c r="M2912" s="7" t="s">
        <v>6137</v>
      </c>
      <c r="N2912" s="7" t="s">
        <v>170</v>
      </c>
      <c r="O2912" s="7" t="s">
        <v>161</v>
      </c>
      <c r="P2912" s="7" t="s">
        <v>6506</v>
      </c>
      <c r="Q2912" s="129">
        <v>46199</v>
      </c>
      <c r="R2912" s="130">
        <f t="shared" si="315"/>
        <v>46210</v>
      </c>
      <c r="S2912" s="131">
        <f t="shared" si="316"/>
        <v>11</v>
      </c>
      <c r="T2912" s="7" t="s">
        <v>180</v>
      </c>
      <c r="U2912" s="7" t="s">
        <v>10636</v>
      </c>
      <c r="V2912" s="7"/>
      <c r="W2912" s="7">
        <v>0</v>
      </c>
      <c r="X2912" s="132">
        <f t="shared" si="317"/>
        <v>10</v>
      </c>
      <c r="Y2912" s="133"/>
      <c r="Z2912" s="133"/>
      <c r="AA2912" s="133"/>
    </row>
    <row r="2913" spans="1:27" hidden="1" x14ac:dyDescent="0.25">
      <c r="A2913" s="133"/>
      <c r="B2913" s="128" t="str">
        <f t="shared" si="312"/>
        <v>YGQT</v>
      </c>
      <c r="C2913" s="128" t="str">
        <f>+VLOOKUP(U2913,Ходим!A:B,2,0)</f>
        <v>52010015950028</v>
      </c>
      <c r="D2913" s="128" t="str">
        <f>IFERROR(VLOOKUP($B:$B,[20]свод!$A:$AB,3,0)," ")</f>
        <v>Янгиқўрғон тумани</v>
      </c>
      <c r="E2913" s="7" t="s">
        <v>4045</v>
      </c>
      <c r="F2913" s="7" t="s">
        <v>10410</v>
      </c>
      <c r="G2913" s="134">
        <f t="shared" si="313"/>
        <v>1</v>
      </c>
      <c r="H2913" s="134" t="str">
        <f t="shared" si="314"/>
        <v/>
      </c>
      <c r="I2913" s="7" t="s">
        <v>158</v>
      </c>
      <c r="J2913" s="7" t="s">
        <v>134</v>
      </c>
      <c r="K2913" s="7"/>
      <c r="L2913" s="7"/>
      <c r="M2913" s="7"/>
      <c r="N2913" s="7" t="s">
        <v>170</v>
      </c>
      <c r="O2913" s="7" t="s">
        <v>162</v>
      </c>
      <c r="P2913" s="7" t="s">
        <v>7376</v>
      </c>
      <c r="Q2913" s="129">
        <v>46199</v>
      </c>
      <c r="R2913" s="130">
        <f t="shared" si="315"/>
        <v>46209</v>
      </c>
      <c r="S2913" s="131">
        <f t="shared" si="316"/>
        <v>10</v>
      </c>
      <c r="T2913" s="7" t="s">
        <v>182</v>
      </c>
      <c r="U2913" s="7" t="s">
        <v>391</v>
      </c>
      <c r="V2913" s="7"/>
      <c r="W2913" s="7"/>
      <c r="X2913" s="132">
        <f t="shared" si="317"/>
        <v>10</v>
      </c>
      <c r="Y2913" s="133"/>
      <c r="Z2913" s="133"/>
      <c r="AA2913" s="133"/>
    </row>
    <row r="2914" spans="1:27" hidden="1" x14ac:dyDescent="0.25">
      <c r="A2914" s="133"/>
      <c r="B2914" s="128" t="str">
        <f t="shared" si="312"/>
        <v>NAMS</v>
      </c>
      <c r="C2914" s="128" t="str">
        <f>+VLOOKUP(U2914,Ходим!A:B,2,0)</f>
        <v>51406015960142</v>
      </c>
      <c r="D2914" s="128" t="str">
        <f>IFERROR(VLOOKUP($B:$B,[20]свод!$A:$AB,3,0)," ")</f>
        <v>Наманган шаҳар</v>
      </c>
      <c r="E2914" s="7" t="s">
        <v>4046</v>
      </c>
      <c r="F2914" s="7" t="s">
        <v>10411</v>
      </c>
      <c r="G2914" s="134">
        <f t="shared" si="313"/>
        <v>1</v>
      </c>
      <c r="H2914" s="134" t="str">
        <f t="shared" si="314"/>
        <v/>
      </c>
      <c r="I2914" s="7" t="s">
        <v>158</v>
      </c>
      <c r="J2914" s="7" t="s">
        <v>1</v>
      </c>
      <c r="K2914" s="7"/>
      <c r="L2914" s="7" t="s">
        <v>167</v>
      </c>
      <c r="M2914" s="7" t="s">
        <v>6138</v>
      </c>
      <c r="N2914" s="7" t="s">
        <v>170</v>
      </c>
      <c r="O2914" s="7" t="s">
        <v>162</v>
      </c>
      <c r="P2914" s="7" t="s">
        <v>7496</v>
      </c>
      <c r="Q2914" s="129">
        <v>46199</v>
      </c>
      <c r="R2914" s="130">
        <f t="shared" si="315"/>
        <v>46206</v>
      </c>
      <c r="S2914" s="131">
        <f t="shared" si="316"/>
        <v>7</v>
      </c>
      <c r="T2914" s="7" t="s">
        <v>185</v>
      </c>
      <c r="U2914" s="7" t="s">
        <v>349</v>
      </c>
      <c r="V2914" s="7"/>
      <c r="W2914" s="7">
        <v>1386.77</v>
      </c>
      <c r="X2914" s="132">
        <f t="shared" si="317"/>
        <v>10</v>
      </c>
      <c r="Y2914" s="133"/>
      <c r="Z2914" s="133"/>
      <c r="AA2914" s="133"/>
    </row>
    <row r="2915" spans="1:27" hidden="1" x14ac:dyDescent="0.25">
      <c r="A2915" s="133"/>
      <c r="B2915" s="128" t="str">
        <f t="shared" si="312"/>
        <v>NAMS</v>
      </c>
      <c r="C2915" s="128" t="str">
        <f>+VLOOKUP(U2915,Ходим!A:B,2,0)</f>
        <v>30302965960014</v>
      </c>
      <c r="D2915" s="128" t="str">
        <f>IFERROR(VLOOKUP($B:$B,[20]свод!$A:$AB,3,0)," ")</f>
        <v>Наманган шаҳар</v>
      </c>
      <c r="E2915" s="7" t="s">
        <v>4047</v>
      </c>
      <c r="F2915" s="7" t="s">
        <v>10412</v>
      </c>
      <c r="G2915" s="134">
        <f t="shared" si="313"/>
        <v>1</v>
      </c>
      <c r="H2915" s="134" t="str">
        <f t="shared" si="314"/>
        <v/>
      </c>
      <c r="I2915" s="7" t="s">
        <v>158</v>
      </c>
      <c r="J2915" s="7" t="s">
        <v>134</v>
      </c>
      <c r="K2915" s="7"/>
      <c r="L2915" s="7" t="s">
        <v>167</v>
      </c>
      <c r="M2915" s="7" t="s">
        <v>6139</v>
      </c>
      <c r="N2915" s="7" t="s">
        <v>410</v>
      </c>
      <c r="O2915" s="7" t="s">
        <v>162</v>
      </c>
      <c r="P2915" s="7" t="s">
        <v>7497</v>
      </c>
      <c r="Q2915" s="129">
        <v>46199</v>
      </c>
      <c r="R2915" s="130">
        <f t="shared" si="315"/>
        <v>46209</v>
      </c>
      <c r="S2915" s="131">
        <f t="shared" si="316"/>
        <v>10</v>
      </c>
      <c r="T2915" s="7" t="s">
        <v>173</v>
      </c>
      <c r="U2915" s="7" t="s">
        <v>304</v>
      </c>
      <c r="V2915" s="7"/>
      <c r="W2915" s="7">
        <v>403.82499999999999</v>
      </c>
      <c r="X2915" s="132">
        <f t="shared" si="317"/>
        <v>10</v>
      </c>
      <c r="Y2915" s="133"/>
      <c r="Z2915" s="133"/>
      <c r="AA2915" s="133"/>
    </row>
    <row r="2916" spans="1:27" hidden="1" x14ac:dyDescent="0.25">
      <c r="A2916" s="133"/>
      <c r="B2916" s="128" t="str">
        <f t="shared" si="312"/>
        <v>UYCT</v>
      </c>
      <c r="C2916" s="128" t="str">
        <f>+VLOOKUP(U2916,Ходим!A:B,2,0)</f>
        <v>53007005930024</v>
      </c>
      <c r="D2916" s="128" t="str">
        <f>IFERROR(VLOOKUP($B:$B,[20]свод!$A:$AB,3,0)," ")</f>
        <v>Уйчи тумани</v>
      </c>
      <c r="E2916" s="7" t="s">
        <v>4048</v>
      </c>
      <c r="F2916" s="7" t="s">
        <v>10413</v>
      </c>
      <c r="G2916" s="134" t="str">
        <f t="shared" si="313"/>
        <v/>
      </c>
      <c r="H2916" s="134">
        <f t="shared" si="314"/>
        <v>1</v>
      </c>
      <c r="I2916" s="7" t="s">
        <v>157</v>
      </c>
      <c r="J2916" s="7" t="s">
        <v>172</v>
      </c>
      <c r="K2916" s="7"/>
      <c r="L2916" s="7" t="s">
        <v>166</v>
      </c>
      <c r="M2916" s="7" t="s">
        <v>1118</v>
      </c>
      <c r="N2916" s="7" t="s">
        <v>170</v>
      </c>
      <c r="O2916" s="7" t="s">
        <v>161</v>
      </c>
      <c r="P2916" s="7" t="s">
        <v>6586</v>
      </c>
      <c r="Q2916" s="129">
        <v>46199</v>
      </c>
      <c r="R2916" s="130">
        <f t="shared" si="315"/>
        <v>46210</v>
      </c>
      <c r="S2916" s="131">
        <f t="shared" si="316"/>
        <v>11</v>
      </c>
      <c r="T2916" s="7" t="s">
        <v>947</v>
      </c>
      <c r="U2916" s="7" t="s">
        <v>378</v>
      </c>
      <c r="V2916" s="7"/>
      <c r="W2916" s="7">
        <v>0</v>
      </c>
      <c r="X2916" s="132">
        <f t="shared" si="317"/>
        <v>10</v>
      </c>
      <c r="Y2916" s="133"/>
      <c r="Z2916" s="133"/>
      <c r="AA2916" s="133"/>
    </row>
    <row r="2917" spans="1:27" hidden="1" x14ac:dyDescent="0.25">
      <c r="A2917" s="133"/>
      <c r="B2917" s="128" t="str">
        <f t="shared" si="312"/>
        <v>MINT</v>
      </c>
      <c r="C2917" s="128" t="e">
        <f>+VLOOKUP(U2917,Ходим!A:B,2,0)</f>
        <v>#N/A</v>
      </c>
      <c r="D2917" s="128" t="str">
        <f>IFERROR(VLOOKUP($B:$B,[20]свод!$A:$AB,3,0)," ")</f>
        <v>Мингбулоқ тумани</v>
      </c>
      <c r="E2917" s="7" t="s">
        <v>4049</v>
      </c>
      <c r="F2917" s="7" t="s">
        <v>10414</v>
      </c>
      <c r="G2917" s="134">
        <f t="shared" si="313"/>
        <v>1</v>
      </c>
      <c r="H2917" s="134" t="str">
        <f t="shared" si="314"/>
        <v/>
      </c>
      <c r="I2917" s="7" t="s">
        <v>156</v>
      </c>
      <c r="J2917" s="7" t="s">
        <v>11</v>
      </c>
      <c r="K2917" s="7"/>
      <c r="L2917" s="7"/>
      <c r="M2917" s="7"/>
      <c r="N2917" s="7" t="s">
        <v>170</v>
      </c>
      <c r="O2917" s="7" t="s">
        <v>162</v>
      </c>
      <c r="P2917" s="7" t="s">
        <v>6586</v>
      </c>
      <c r="Q2917" s="129">
        <v>46199</v>
      </c>
      <c r="R2917" s="130">
        <f t="shared" si="315"/>
        <v>46210</v>
      </c>
      <c r="S2917" s="131">
        <f t="shared" si="316"/>
        <v>11</v>
      </c>
      <c r="T2917" s="7"/>
      <c r="U2917" s="7"/>
      <c r="V2917" s="7"/>
      <c r="W2917" s="7"/>
      <c r="X2917" s="132">
        <f t="shared" si="317"/>
        <v>10</v>
      </c>
      <c r="Y2917" s="133"/>
      <c r="Z2917" s="133"/>
      <c r="AA2917" s="133"/>
    </row>
    <row r="2918" spans="1:27" hidden="1" x14ac:dyDescent="0.25">
      <c r="A2918" s="133"/>
      <c r="B2918" s="128" t="str">
        <f t="shared" si="312"/>
        <v>MINT</v>
      </c>
      <c r="C2918" s="128" t="e">
        <f>+VLOOKUP(U2918,Ходим!A:B,2,0)</f>
        <v>#N/A</v>
      </c>
      <c r="D2918" s="128" t="str">
        <f>IFERROR(VLOOKUP($B:$B,[20]свод!$A:$AB,3,0)," ")</f>
        <v>Мингбулоқ тумани</v>
      </c>
      <c r="E2918" s="7" t="s">
        <v>4050</v>
      </c>
      <c r="F2918" s="7" t="s">
        <v>10415</v>
      </c>
      <c r="G2918" s="134">
        <f t="shared" si="313"/>
        <v>1</v>
      </c>
      <c r="H2918" s="134" t="str">
        <f t="shared" si="314"/>
        <v/>
      </c>
      <c r="I2918" s="7" t="s">
        <v>156</v>
      </c>
      <c r="J2918" s="7" t="s">
        <v>11</v>
      </c>
      <c r="K2918" s="7"/>
      <c r="L2918" s="7" t="s">
        <v>167</v>
      </c>
      <c r="M2918" s="7" t="s">
        <v>6140</v>
      </c>
      <c r="N2918" s="7" t="s">
        <v>410</v>
      </c>
      <c r="O2918" s="7" t="s">
        <v>162</v>
      </c>
      <c r="P2918" s="7" t="s">
        <v>6586</v>
      </c>
      <c r="Q2918" s="129">
        <v>46199</v>
      </c>
      <c r="R2918" s="130">
        <f t="shared" si="315"/>
        <v>46210</v>
      </c>
      <c r="S2918" s="131">
        <f t="shared" si="316"/>
        <v>11</v>
      </c>
      <c r="T2918" s="7"/>
      <c r="U2918" s="7"/>
      <c r="V2918" s="7"/>
      <c r="W2918" s="7">
        <v>380.66</v>
      </c>
      <c r="X2918" s="132">
        <f t="shared" si="317"/>
        <v>10</v>
      </c>
      <c r="Y2918" s="133"/>
      <c r="Z2918" s="133"/>
      <c r="AA2918" s="133"/>
    </row>
    <row r="2919" spans="1:27" hidden="1" x14ac:dyDescent="0.25">
      <c r="A2919" s="133"/>
      <c r="B2919" s="128" t="str">
        <f t="shared" si="312"/>
        <v>NAMS</v>
      </c>
      <c r="C2919" s="128" t="str">
        <f>+VLOOKUP(U2919,Ходим!A:B,2,0)</f>
        <v>30302965960014</v>
      </c>
      <c r="D2919" s="128" t="str">
        <f>IFERROR(VLOOKUP($B:$B,[20]свод!$A:$AB,3,0)," ")</f>
        <v>Наманган шаҳар</v>
      </c>
      <c r="E2919" s="7" t="s">
        <v>4051</v>
      </c>
      <c r="F2919" s="7" t="s">
        <v>10416</v>
      </c>
      <c r="G2919" s="134">
        <f t="shared" si="313"/>
        <v>1</v>
      </c>
      <c r="H2919" s="134" t="str">
        <f t="shared" si="314"/>
        <v/>
      </c>
      <c r="I2919" s="7" t="s">
        <v>158</v>
      </c>
      <c r="J2919" s="7" t="s">
        <v>2</v>
      </c>
      <c r="K2919" s="7"/>
      <c r="L2919" s="7"/>
      <c r="M2919" s="7"/>
      <c r="N2919" s="7" t="s">
        <v>170</v>
      </c>
      <c r="O2919" s="7" t="s">
        <v>162</v>
      </c>
      <c r="P2919" s="7" t="s">
        <v>7498</v>
      </c>
      <c r="Q2919" s="129">
        <v>46199</v>
      </c>
      <c r="R2919" s="130">
        <f t="shared" si="315"/>
        <v>46210</v>
      </c>
      <c r="S2919" s="131">
        <f t="shared" si="316"/>
        <v>11</v>
      </c>
      <c r="T2919" s="7" t="s">
        <v>173</v>
      </c>
      <c r="U2919" s="7" t="s">
        <v>304</v>
      </c>
      <c r="V2919" s="7"/>
      <c r="W2919" s="7"/>
      <c r="X2919" s="132">
        <f t="shared" si="317"/>
        <v>10</v>
      </c>
      <c r="Y2919" s="133"/>
      <c r="Z2919" s="133"/>
      <c r="AA2919" s="133"/>
    </row>
    <row r="2920" spans="1:27" hidden="1" x14ac:dyDescent="0.25">
      <c r="A2920" s="133"/>
      <c r="B2920" s="128" t="str">
        <f t="shared" si="312"/>
        <v>NAMS</v>
      </c>
      <c r="C2920" s="128" t="str">
        <f>+VLOOKUP(U2920,Ходим!A:B,2,0)</f>
        <v>30302965960014</v>
      </c>
      <c r="D2920" s="128" t="str">
        <f>IFERROR(VLOOKUP($B:$B,[20]свод!$A:$AB,3,0)," ")</f>
        <v>Наманган шаҳар</v>
      </c>
      <c r="E2920" s="7" t="s">
        <v>4052</v>
      </c>
      <c r="F2920" s="7" t="s">
        <v>10417</v>
      </c>
      <c r="G2920" s="134">
        <f t="shared" si="313"/>
        <v>1</v>
      </c>
      <c r="H2920" s="134" t="str">
        <f t="shared" si="314"/>
        <v/>
      </c>
      <c r="I2920" s="7" t="s">
        <v>158</v>
      </c>
      <c r="J2920" s="7" t="s">
        <v>2</v>
      </c>
      <c r="K2920" s="7"/>
      <c r="L2920" s="7"/>
      <c r="M2920" s="7"/>
      <c r="N2920" s="7" t="s">
        <v>170</v>
      </c>
      <c r="O2920" s="7" t="s">
        <v>162</v>
      </c>
      <c r="P2920" s="7" t="s">
        <v>7498</v>
      </c>
      <c r="Q2920" s="129">
        <v>46199</v>
      </c>
      <c r="R2920" s="130">
        <f t="shared" si="315"/>
        <v>46210</v>
      </c>
      <c r="S2920" s="131">
        <f t="shared" si="316"/>
        <v>11</v>
      </c>
      <c r="T2920" s="7" t="s">
        <v>185</v>
      </c>
      <c r="U2920" s="7" t="s">
        <v>304</v>
      </c>
      <c r="V2920" s="7"/>
      <c r="W2920" s="7"/>
      <c r="X2920" s="132">
        <f t="shared" si="317"/>
        <v>10</v>
      </c>
      <c r="Y2920" s="133"/>
      <c r="Z2920" s="133"/>
      <c r="AA2920" s="133"/>
    </row>
    <row r="2921" spans="1:27" hidden="1" x14ac:dyDescent="0.25">
      <c r="A2921" s="133"/>
      <c r="B2921" s="128" t="str">
        <f t="shared" si="312"/>
        <v>KSST</v>
      </c>
      <c r="C2921" s="128" t="str">
        <f>+VLOOKUP(U2921,Ходим!A:B,2,0)</f>
        <v>32910975980025</v>
      </c>
      <c r="D2921" s="128" t="str">
        <f>IFERROR(VLOOKUP($B:$B,[20]свод!$A:$AB,3,0)," ")</f>
        <v>Косонсой тумани</v>
      </c>
      <c r="E2921" s="7" t="s">
        <v>4053</v>
      </c>
      <c r="F2921" s="7" t="s">
        <v>10418</v>
      </c>
      <c r="G2921" s="134">
        <f t="shared" si="313"/>
        <v>1</v>
      </c>
      <c r="H2921" s="134" t="str">
        <f t="shared" si="314"/>
        <v/>
      </c>
      <c r="I2921" s="7" t="s">
        <v>158</v>
      </c>
      <c r="J2921" s="7" t="s">
        <v>2</v>
      </c>
      <c r="K2921" s="7"/>
      <c r="L2921" s="7" t="s">
        <v>167</v>
      </c>
      <c r="M2921" s="7" t="s">
        <v>6141</v>
      </c>
      <c r="N2921" s="7" t="s">
        <v>170</v>
      </c>
      <c r="O2921" s="7" t="s">
        <v>162</v>
      </c>
      <c r="P2921" s="7" t="s">
        <v>7494</v>
      </c>
      <c r="Q2921" s="129">
        <v>46199</v>
      </c>
      <c r="R2921" s="130">
        <f t="shared" si="315"/>
        <v>46210</v>
      </c>
      <c r="S2921" s="131">
        <f t="shared" si="316"/>
        <v>11</v>
      </c>
      <c r="T2921" s="7" t="s">
        <v>180</v>
      </c>
      <c r="U2921" s="7" t="s">
        <v>187</v>
      </c>
      <c r="V2921" s="7"/>
      <c r="W2921" s="7">
        <v>260.72000000000003</v>
      </c>
      <c r="X2921" s="132">
        <f t="shared" si="317"/>
        <v>10</v>
      </c>
      <c r="Y2921" s="133"/>
      <c r="Z2921" s="133"/>
      <c r="AA2921" s="133"/>
    </row>
    <row r="2922" spans="1:27" hidden="1" x14ac:dyDescent="0.25">
      <c r="A2922" s="133"/>
      <c r="B2922" s="128" t="str">
        <f t="shared" si="312"/>
        <v>TORT</v>
      </c>
      <c r="C2922" s="128" t="str">
        <f>+VLOOKUP(U2922,Ходим!A:B,2,0)</f>
        <v>31110892130070</v>
      </c>
      <c r="D2922" s="128" t="str">
        <f>IFERROR(VLOOKUP($B:$B,[20]свод!$A:$AB,3,0)," ")</f>
        <v>Тўрақўрғон тумани</v>
      </c>
      <c r="E2922" s="7" t="s">
        <v>4054</v>
      </c>
      <c r="F2922" s="7" t="s">
        <v>10419</v>
      </c>
      <c r="G2922" s="134" t="str">
        <f t="shared" si="313"/>
        <v/>
      </c>
      <c r="H2922" s="134">
        <f t="shared" si="314"/>
        <v>1</v>
      </c>
      <c r="I2922" s="7" t="s">
        <v>155</v>
      </c>
      <c r="J2922" s="7" t="s">
        <v>25</v>
      </c>
      <c r="K2922" s="7"/>
      <c r="L2922" s="7" t="s">
        <v>166</v>
      </c>
      <c r="M2922" s="7" t="s">
        <v>6142</v>
      </c>
      <c r="N2922" s="7" t="s">
        <v>410</v>
      </c>
      <c r="O2922" s="7" t="s">
        <v>161</v>
      </c>
      <c r="P2922" s="7" t="s">
        <v>7498</v>
      </c>
      <c r="Q2922" s="129">
        <v>46199</v>
      </c>
      <c r="R2922" s="130">
        <f t="shared" si="315"/>
        <v>46210</v>
      </c>
      <c r="S2922" s="131">
        <f t="shared" si="316"/>
        <v>11</v>
      </c>
      <c r="T2922" s="7" t="s">
        <v>203</v>
      </c>
      <c r="U2922" s="7" t="s">
        <v>297</v>
      </c>
      <c r="V2922" s="7"/>
      <c r="W2922" s="7">
        <v>0</v>
      </c>
      <c r="X2922" s="132">
        <f t="shared" si="317"/>
        <v>10</v>
      </c>
      <c r="Y2922" s="133"/>
      <c r="Z2922" s="133"/>
      <c r="AA2922" s="133"/>
    </row>
    <row r="2923" spans="1:27" hidden="1" x14ac:dyDescent="0.25">
      <c r="A2923" s="133"/>
      <c r="B2923" s="128" t="str">
        <f t="shared" si="312"/>
        <v>YGQT</v>
      </c>
      <c r="C2923" s="128" t="str">
        <f>+VLOOKUP(U2923,Ходим!A:B,2,0)</f>
        <v>30502995950058</v>
      </c>
      <c r="D2923" s="128" t="str">
        <f>IFERROR(VLOOKUP($B:$B,[20]свод!$A:$AB,3,0)," ")</f>
        <v>Янгиқўрғон тумани</v>
      </c>
      <c r="E2923" s="7" t="s">
        <v>4055</v>
      </c>
      <c r="F2923" s="7" t="s">
        <v>10420</v>
      </c>
      <c r="G2923" s="134" t="str">
        <f t="shared" si="313"/>
        <v/>
      </c>
      <c r="H2923" s="134">
        <f t="shared" si="314"/>
        <v>1</v>
      </c>
      <c r="I2923" s="7" t="s">
        <v>155</v>
      </c>
      <c r="J2923" s="7" t="s">
        <v>25</v>
      </c>
      <c r="K2923" s="7"/>
      <c r="L2923" s="7" t="s">
        <v>166</v>
      </c>
      <c r="M2923" s="7" t="s">
        <v>6143</v>
      </c>
      <c r="N2923" s="7" t="s">
        <v>410</v>
      </c>
      <c r="O2923" s="7" t="s">
        <v>161</v>
      </c>
      <c r="P2923" s="7" t="s">
        <v>7498</v>
      </c>
      <c r="Q2923" s="129">
        <v>46199</v>
      </c>
      <c r="R2923" s="130">
        <f t="shared" si="315"/>
        <v>46210</v>
      </c>
      <c r="S2923" s="131">
        <f t="shared" si="316"/>
        <v>11</v>
      </c>
      <c r="T2923" s="7" t="s">
        <v>182</v>
      </c>
      <c r="U2923" s="7" t="s">
        <v>340</v>
      </c>
      <c r="V2923" s="7"/>
      <c r="W2923" s="7">
        <v>0</v>
      </c>
      <c r="X2923" s="132">
        <f t="shared" si="317"/>
        <v>10</v>
      </c>
      <c r="Y2923" s="133"/>
      <c r="Z2923" s="133"/>
      <c r="AA2923" s="133"/>
    </row>
    <row r="2924" spans="1:27" hidden="1" x14ac:dyDescent="0.25">
      <c r="A2924" s="133"/>
      <c r="B2924" s="128" t="str">
        <f t="shared" si="312"/>
        <v>UCQT</v>
      </c>
      <c r="C2924" s="128" t="e">
        <f>+VLOOKUP(U2924,Ходим!A:B,2,0)</f>
        <v>#N/A</v>
      </c>
      <c r="D2924" s="128" t="str">
        <f>IFERROR(VLOOKUP($B:$B,[20]свод!$A:$AB,3,0)," ")</f>
        <v>Учқўрғон тумани</v>
      </c>
      <c r="E2924" s="7" t="s">
        <v>4056</v>
      </c>
      <c r="F2924" s="7" t="s">
        <v>10421</v>
      </c>
      <c r="G2924" s="134">
        <f t="shared" si="313"/>
        <v>1</v>
      </c>
      <c r="H2924" s="134" t="str">
        <f t="shared" si="314"/>
        <v/>
      </c>
      <c r="I2924" s="7" t="s">
        <v>156</v>
      </c>
      <c r="J2924" s="7" t="s">
        <v>11</v>
      </c>
      <c r="K2924" s="7"/>
      <c r="L2924" s="7"/>
      <c r="M2924" s="7"/>
      <c r="N2924" s="7" t="s">
        <v>170</v>
      </c>
      <c r="O2924" s="7" t="s">
        <v>162</v>
      </c>
      <c r="P2924" s="7" t="s">
        <v>6280</v>
      </c>
      <c r="Q2924" s="129">
        <v>46199</v>
      </c>
      <c r="R2924" s="130">
        <f t="shared" si="315"/>
        <v>46210</v>
      </c>
      <c r="S2924" s="131">
        <f t="shared" si="316"/>
        <v>11</v>
      </c>
      <c r="T2924" s="7" t="s">
        <v>175</v>
      </c>
      <c r="U2924" s="7"/>
      <c r="V2924" s="7"/>
      <c r="W2924" s="7"/>
      <c r="X2924" s="132">
        <f t="shared" si="317"/>
        <v>10</v>
      </c>
      <c r="Y2924" s="133"/>
      <c r="Z2924" s="133"/>
      <c r="AA2924" s="133"/>
    </row>
    <row r="2925" spans="1:27" hidden="1" x14ac:dyDescent="0.25">
      <c r="A2925" s="133"/>
      <c r="B2925" s="128" t="str">
        <f t="shared" si="312"/>
        <v>TORT</v>
      </c>
      <c r="C2925" s="128" t="str">
        <f>+VLOOKUP(U2925,Ходим!A:B,2,0)</f>
        <v>31306842130078</v>
      </c>
      <c r="D2925" s="128" t="str">
        <f>IFERROR(VLOOKUP($B:$B,[20]свод!$A:$AB,3,0)," ")</f>
        <v>Тўрақўрғон тумани</v>
      </c>
      <c r="E2925" s="7" t="s">
        <v>4057</v>
      </c>
      <c r="F2925" s="7" t="s">
        <v>10422</v>
      </c>
      <c r="G2925" s="134">
        <f t="shared" si="313"/>
        <v>1</v>
      </c>
      <c r="H2925" s="134" t="str">
        <f t="shared" si="314"/>
        <v/>
      </c>
      <c r="I2925" s="7" t="s">
        <v>158</v>
      </c>
      <c r="J2925" s="7" t="s">
        <v>172</v>
      </c>
      <c r="K2925" s="7"/>
      <c r="L2925" s="7" t="s">
        <v>167</v>
      </c>
      <c r="M2925" s="7" t="s">
        <v>6144</v>
      </c>
      <c r="N2925" s="7" t="s">
        <v>170</v>
      </c>
      <c r="O2925" s="7" t="s">
        <v>162</v>
      </c>
      <c r="P2925" s="7" t="s">
        <v>6280</v>
      </c>
      <c r="Q2925" s="129">
        <v>46199</v>
      </c>
      <c r="R2925" s="130">
        <f t="shared" si="315"/>
        <v>46210</v>
      </c>
      <c r="S2925" s="131">
        <f t="shared" si="316"/>
        <v>11</v>
      </c>
      <c r="T2925" s="7" t="s">
        <v>203</v>
      </c>
      <c r="U2925" s="7" t="s">
        <v>219</v>
      </c>
      <c r="V2925" s="7"/>
      <c r="W2925" s="7">
        <v>457.78</v>
      </c>
      <c r="X2925" s="132">
        <f t="shared" si="317"/>
        <v>10</v>
      </c>
      <c r="Y2925" s="133"/>
      <c r="Z2925" s="133"/>
      <c r="AA2925" s="133"/>
    </row>
    <row r="2926" spans="1:27" hidden="1" x14ac:dyDescent="0.25">
      <c r="A2926" s="133"/>
      <c r="B2926" s="128" t="str">
        <f t="shared" si="312"/>
        <v>MINT</v>
      </c>
      <c r="C2926" s="128" t="e">
        <f>+VLOOKUP(U2926,Ходим!A:B,2,0)</f>
        <v>#N/A</v>
      </c>
      <c r="D2926" s="128" t="str">
        <f>IFERROR(VLOOKUP($B:$B,[20]свод!$A:$AB,3,0)," ")</f>
        <v>Мингбулоқ тумани</v>
      </c>
      <c r="E2926" s="7" t="s">
        <v>4058</v>
      </c>
      <c r="F2926" s="7" t="s">
        <v>10423</v>
      </c>
      <c r="G2926" s="134">
        <f t="shared" si="313"/>
        <v>1</v>
      </c>
      <c r="H2926" s="134" t="str">
        <f t="shared" si="314"/>
        <v/>
      </c>
      <c r="I2926" s="7" t="s">
        <v>156</v>
      </c>
      <c r="J2926" s="7" t="s">
        <v>11</v>
      </c>
      <c r="K2926" s="7"/>
      <c r="L2926" s="7" t="s">
        <v>167</v>
      </c>
      <c r="M2926" s="7" t="s">
        <v>6145</v>
      </c>
      <c r="N2926" s="7" t="s">
        <v>170</v>
      </c>
      <c r="O2926" s="7" t="s">
        <v>162</v>
      </c>
      <c r="P2926" s="7" t="s">
        <v>6280</v>
      </c>
      <c r="Q2926" s="129">
        <v>46199</v>
      </c>
      <c r="R2926" s="130">
        <f t="shared" si="315"/>
        <v>46210</v>
      </c>
      <c r="S2926" s="131">
        <f t="shared" si="316"/>
        <v>11</v>
      </c>
      <c r="T2926" s="7"/>
      <c r="U2926" s="7"/>
      <c r="V2926" s="7"/>
      <c r="W2926" s="7">
        <v>269.7</v>
      </c>
      <c r="X2926" s="132">
        <f t="shared" si="317"/>
        <v>10</v>
      </c>
      <c r="Y2926" s="133"/>
      <c r="Z2926" s="133"/>
      <c r="AA2926" s="133"/>
    </row>
    <row r="2927" spans="1:27" hidden="1" x14ac:dyDescent="0.25">
      <c r="A2927" s="133"/>
      <c r="B2927" s="128" t="str">
        <f t="shared" si="312"/>
        <v>CHUT</v>
      </c>
      <c r="C2927" s="128" t="str">
        <f>+VLOOKUP(U2927,Ходим!A:B,2,0)</f>
        <v>31910975970049</v>
      </c>
      <c r="D2927" s="128" t="str">
        <f>IFERROR(VLOOKUP($B:$B,[20]свод!$A:$AB,3,0)," ")</f>
        <v>Чуст тумани</v>
      </c>
      <c r="E2927" s="7" t="s">
        <v>4059</v>
      </c>
      <c r="F2927" s="7" t="s">
        <v>10424</v>
      </c>
      <c r="G2927" s="134" t="str">
        <f t="shared" si="313"/>
        <v/>
      </c>
      <c r="H2927" s="134">
        <f t="shared" si="314"/>
        <v>1</v>
      </c>
      <c r="I2927" s="7" t="s">
        <v>155</v>
      </c>
      <c r="J2927" s="7" t="s">
        <v>22</v>
      </c>
      <c r="K2927" s="7"/>
      <c r="L2927" s="7" t="s">
        <v>168</v>
      </c>
      <c r="M2927" s="7" t="s">
        <v>6146</v>
      </c>
      <c r="N2927" s="7" t="s">
        <v>410</v>
      </c>
      <c r="O2927" s="7" t="s">
        <v>161</v>
      </c>
      <c r="P2927" s="7" t="s">
        <v>6280</v>
      </c>
      <c r="Q2927" s="129">
        <v>46199</v>
      </c>
      <c r="R2927" s="130">
        <f t="shared" si="315"/>
        <v>46205</v>
      </c>
      <c r="S2927" s="131">
        <f t="shared" si="316"/>
        <v>6</v>
      </c>
      <c r="T2927" s="7" t="s">
        <v>178</v>
      </c>
      <c r="U2927" s="7" t="s">
        <v>352</v>
      </c>
      <c r="V2927" s="7"/>
      <c r="W2927" s="7">
        <v>0</v>
      </c>
      <c r="X2927" s="132">
        <f t="shared" si="317"/>
        <v>7</v>
      </c>
      <c r="Y2927" s="133"/>
      <c r="Z2927" s="133"/>
      <c r="AA2927" s="133"/>
    </row>
    <row r="2928" spans="1:27" hidden="1" x14ac:dyDescent="0.25">
      <c r="A2928" s="133"/>
      <c r="B2928" s="128" t="str">
        <f t="shared" si="312"/>
        <v>CHOT</v>
      </c>
      <c r="C2928" s="128" t="str">
        <f>+VLOOKUP(U2928,Ходим!A:B,2,0)</f>
        <v>30610995890040</v>
      </c>
      <c r="D2928" s="128" t="str">
        <f>IFERROR(VLOOKUP($B:$B,[20]свод!$A:$AB,3,0)," ")</f>
        <v>Чортоқ тумани</v>
      </c>
      <c r="E2928" s="7" t="s">
        <v>4060</v>
      </c>
      <c r="F2928" s="7" t="s">
        <v>10425</v>
      </c>
      <c r="G2928" s="134" t="str">
        <f t="shared" si="313"/>
        <v/>
      </c>
      <c r="H2928" s="134">
        <f t="shared" si="314"/>
        <v>1</v>
      </c>
      <c r="I2928" s="7" t="s">
        <v>157</v>
      </c>
      <c r="J2928" s="7" t="s">
        <v>172</v>
      </c>
      <c r="K2928" s="7"/>
      <c r="L2928" s="7"/>
      <c r="M2928" s="7"/>
      <c r="N2928" s="7" t="s">
        <v>170</v>
      </c>
      <c r="O2928" s="7" t="s">
        <v>161</v>
      </c>
      <c r="P2928" s="7" t="s">
        <v>6280</v>
      </c>
      <c r="Q2928" s="129">
        <v>46199</v>
      </c>
      <c r="R2928" s="130">
        <f t="shared" si="315"/>
        <v>46210</v>
      </c>
      <c r="S2928" s="131">
        <f t="shared" si="316"/>
        <v>11</v>
      </c>
      <c r="T2928" s="7" t="s">
        <v>184</v>
      </c>
      <c r="U2928" s="7" t="s">
        <v>322</v>
      </c>
      <c r="V2928" s="7"/>
      <c r="W2928" s="7"/>
      <c r="X2928" s="132">
        <f t="shared" si="317"/>
        <v>10</v>
      </c>
      <c r="Y2928" s="133"/>
      <c r="Z2928" s="133"/>
      <c r="AA2928" s="133"/>
    </row>
    <row r="2929" spans="1:27" hidden="1" x14ac:dyDescent="0.25">
      <c r="A2929" s="133"/>
      <c r="B2929" s="128" t="str">
        <f t="shared" si="312"/>
        <v>CHOT</v>
      </c>
      <c r="C2929" s="128" t="str">
        <f>+VLOOKUP(U2929,Ходим!A:B,2,0)</f>
        <v>50205015890036</v>
      </c>
      <c r="D2929" s="128" t="str">
        <f>IFERROR(VLOOKUP($B:$B,[20]свод!$A:$AB,3,0)," ")</f>
        <v>Чортоқ тумани</v>
      </c>
      <c r="E2929" s="7" t="s">
        <v>4061</v>
      </c>
      <c r="F2929" s="7" t="s">
        <v>10426</v>
      </c>
      <c r="G2929" s="134" t="str">
        <f t="shared" si="313"/>
        <v/>
      </c>
      <c r="H2929" s="134">
        <f t="shared" si="314"/>
        <v>1</v>
      </c>
      <c r="I2929" s="7" t="s">
        <v>157</v>
      </c>
      <c r="J2929" s="7" t="s">
        <v>2</v>
      </c>
      <c r="K2929" s="7"/>
      <c r="L2929" s="7" t="s">
        <v>166</v>
      </c>
      <c r="M2929" s="7" t="s">
        <v>6147</v>
      </c>
      <c r="N2929" s="7" t="s">
        <v>410</v>
      </c>
      <c r="O2929" s="7" t="s">
        <v>161</v>
      </c>
      <c r="P2929" s="7" t="s">
        <v>6280</v>
      </c>
      <c r="Q2929" s="129">
        <v>46199</v>
      </c>
      <c r="R2929" s="130">
        <f t="shared" si="315"/>
        <v>46210</v>
      </c>
      <c r="S2929" s="131">
        <f t="shared" si="316"/>
        <v>11</v>
      </c>
      <c r="T2929" s="7" t="s">
        <v>184</v>
      </c>
      <c r="U2929" s="7" t="s">
        <v>251</v>
      </c>
      <c r="V2929" s="7"/>
      <c r="W2929" s="7">
        <v>0</v>
      </c>
      <c r="X2929" s="132">
        <f t="shared" si="317"/>
        <v>10</v>
      </c>
      <c r="Y2929" s="133"/>
      <c r="Z2929" s="133"/>
      <c r="AA2929" s="133"/>
    </row>
    <row r="2930" spans="1:27" x14ac:dyDescent="0.25">
      <c r="A2930" s="133"/>
      <c r="B2930" s="128" t="str">
        <f t="shared" si="312"/>
        <v>YGQT</v>
      </c>
      <c r="C2930" s="128" t="str">
        <f>+VLOOKUP(U2930,Ходим!A:B,2,0)</f>
        <v>52010015950028</v>
      </c>
      <c r="D2930" s="128" t="str">
        <f>IFERROR(VLOOKUP($B:$B,[20]свод!$A:$AB,3,0)," ")</f>
        <v>Янгиқўрғон тумани</v>
      </c>
      <c r="E2930" s="7" t="s">
        <v>4062</v>
      </c>
      <c r="F2930" s="7" t="s">
        <v>10427</v>
      </c>
      <c r="G2930" s="134">
        <f t="shared" si="313"/>
        <v>1</v>
      </c>
      <c r="H2930" s="134" t="str">
        <f t="shared" si="314"/>
        <v/>
      </c>
      <c r="I2930" s="7" t="s">
        <v>158</v>
      </c>
      <c r="J2930" s="7" t="s">
        <v>55</v>
      </c>
      <c r="K2930" s="7"/>
      <c r="L2930" s="7" t="s">
        <v>167</v>
      </c>
      <c r="M2930" s="7" t="s">
        <v>6148</v>
      </c>
      <c r="N2930" s="7" t="s">
        <v>170</v>
      </c>
      <c r="O2930" s="7" t="s">
        <v>162</v>
      </c>
      <c r="P2930" s="7" t="s">
        <v>7499</v>
      </c>
      <c r="Q2930" s="129">
        <v>46199</v>
      </c>
      <c r="R2930" s="130">
        <f t="shared" si="315"/>
        <v>46198</v>
      </c>
      <c r="S2930" s="131">
        <f t="shared" si="316"/>
        <v>-1</v>
      </c>
      <c r="T2930" s="7" t="s">
        <v>182</v>
      </c>
      <c r="U2930" s="7" t="s">
        <v>391</v>
      </c>
      <c r="V2930" s="7" t="s">
        <v>965</v>
      </c>
      <c r="W2930" s="7">
        <v>213.47</v>
      </c>
      <c r="X2930" s="132">
        <f t="shared" si="317"/>
        <v>5</v>
      </c>
      <c r="Y2930" s="133"/>
      <c r="Z2930" s="133"/>
      <c r="AA2930" s="133"/>
    </row>
    <row r="2931" spans="1:27" hidden="1" x14ac:dyDescent="0.25">
      <c r="A2931" s="133"/>
      <c r="B2931" s="128" t="str">
        <f t="shared" si="312"/>
        <v>CHUT</v>
      </c>
      <c r="C2931" s="128" t="str">
        <f>+VLOOKUP(U2931,Ходим!A:B,2,0)</f>
        <v>31910975970049</v>
      </c>
      <c r="D2931" s="128" t="str">
        <f>IFERROR(VLOOKUP($B:$B,[20]свод!$A:$AB,3,0)," ")</f>
        <v>Чуст тумани</v>
      </c>
      <c r="E2931" s="7" t="s">
        <v>4063</v>
      </c>
      <c r="F2931" s="7" t="s">
        <v>10428</v>
      </c>
      <c r="G2931" s="134" t="str">
        <f t="shared" si="313"/>
        <v/>
      </c>
      <c r="H2931" s="134">
        <f t="shared" si="314"/>
        <v>1</v>
      </c>
      <c r="I2931" s="7" t="s">
        <v>155</v>
      </c>
      <c r="J2931" s="7" t="s">
        <v>22</v>
      </c>
      <c r="K2931" s="7"/>
      <c r="L2931" s="7" t="s">
        <v>168</v>
      </c>
      <c r="M2931" s="7" t="s">
        <v>6149</v>
      </c>
      <c r="N2931" s="7" t="s">
        <v>410</v>
      </c>
      <c r="O2931" s="7" t="s">
        <v>161</v>
      </c>
      <c r="P2931" s="7" t="s">
        <v>7500</v>
      </c>
      <c r="Q2931" s="129">
        <v>46199</v>
      </c>
      <c r="R2931" s="130">
        <f t="shared" si="315"/>
        <v>46205</v>
      </c>
      <c r="S2931" s="131">
        <f t="shared" si="316"/>
        <v>6</v>
      </c>
      <c r="T2931" s="7" t="s">
        <v>178</v>
      </c>
      <c r="U2931" s="7" t="s">
        <v>352</v>
      </c>
      <c r="V2931" s="7"/>
      <c r="W2931" s="7">
        <v>0</v>
      </c>
      <c r="X2931" s="132">
        <f t="shared" si="317"/>
        <v>7</v>
      </c>
      <c r="Y2931" s="133"/>
      <c r="Z2931" s="133"/>
      <c r="AA2931" s="133"/>
    </row>
    <row r="2932" spans="1:27" hidden="1" x14ac:dyDescent="0.25">
      <c r="A2932" s="133"/>
      <c r="B2932" s="128" t="str">
        <f t="shared" si="312"/>
        <v>NAMS</v>
      </c>
      <c r="C2932" s="128" t="str">
        <f>+VLOOKUP(U2932,Ходим!A:B,2,0)</f>
        <v>30108932170088</v>
      </c>
      <c r="D2932" s="128" t="str">
        <f>IFERROR(VLOOKUP($B:$B,[20]свод!$A:$AB,3,0)," ")</f>
        <v>Наманган шаҳар</v>
      </c>
      <c r="E2932" s="7" t="s">
        <v>4064</v>
      </c>
      <c r="F2932" s="7" t="s">
        <v>10429</v>
      </c>
      <c r="G2932" s="134">
        <f t="shared" si="313"/>
        <v>1</v>
      </c>
      <c r="H2932" s="134" t="str">
        <f t="shared" si="314"/>
        <v/>
      </c>
      <c r="I2932" s="7" t="s">
        <v>156</v>
      </c>
      <c r="J2932" s="7" t="s">
        <v>22</v>
      </c>
      <c r="K2932" s="7"/>
      <c r="L2932" s="7"/>
      <c r="M2932" s="7"/>
      <c r="N2932" s="7" t="s">
        <v>170</v>
      </c>
      <c r="O2932" s="7" t="s">
        <v>162</v>
      </c>
      <c r="P2932" s="7" t="s">
        <v>7500</v>
      </c>
      <c r="Q2932" s="129">
        <v>46199</v>
      </c>
      <c r="R2932" s="130">
        <f t="shared" si="315"/>
        <v>46210</v>
      </c>
      <c r="S2932" s="131">
        <f t="shared" si="316"/>
        <v>11</v>
      </c>
      <c r="T2932" s="7" t="s">
        <v>173</v>
      </c>
      <c r="U2932" s="7" t="s">
        <v>329</v>
      </c>
      <c r="V2932" s="7"/>
      <c r="W2932" s="7"/>
      <c r="X2932" s="132">
        <f t="shared" si="317"/>
        <v>10</v>
      </c>
      <c r="Y2932" s="133"/>
      <c r="Z2932" s="133"/>
      <c r="AA2932" s="133"/>
    </row>
    <row r="2933" spans="1:27" hidden="1" x14ac:dyDescent="0.25">
      <c r="A2933" s="133"/>
      <c r="B2933" s="128" t="str">
        <f t="shared" si="312"/>
        <v>NAMS</v>
      </c>
      <c r="C2933" s="128" t="str">
        <f>+VLOOKUP(U2933,Ходим!A:B,2,0)</f>
        <v>53008015960094</v>
      </c>
      <c r="D2933" s="128" t="str">
        <f>IFERROR(VLOOKUP($B:$B,[20]свод!$A:$AB,3,0)," ")</f>
        <v>Наманган шаҳар</v>
      </c>
      <c r="E2933" s="7" t="s">
        <v>4065</v>
      </c>
      <c r="F2933" s="7" t="s">
        <v>10430</v>
      </c>
      <c r="G2933" s="134">
        <f t="shared" si="313"/>
        <v>1</v>
      </c>
      <c r="H2933" s="134" t="str">
        <f t="shared" si="314"/>
        <v/>
      </c>
      <c r="I2933" s="7" t="s">
        <v>156</v>
      </c>
      <c r="J2933" s="7" t="s">
        <v>25</v>
      </c>
      <c r="K2933" s="7"/>
      <c r="L2933" s="7"/>
      <c r="M2933" s="7"/>
      <c r="N2933" s="7" t="s">
        <v>170</v>
      </c>
      <c r="O2933" s="7" t="s">
        <v>162</v>
      </c>
      <c r="P2933" s="7" t="s">
        <v>7500</v>
      </c>
      <c r="Q2933" s="129">
        <v>46199</v>
      </c>
      <c r="R2933" s="130">
        <f t="shared" si="315"/>
        <v>46210</v>
      </c>
      <c r="S2933" s="131">
        <f t="shared" si="316"/>
        <v>11</v>
      </c>
      <c r="T2933" s="7" t="s">
        <v>173</v>
      </c>
      <c r="U2933" s="7" t="s">
        <v>403</v>
      </c>
      <c r="V2933" s="7"/>
      <c r="W2933" s="7"/>
      <c r="X2933" s="132">
        <f t="shared" si="317"/>
        <v>10</v>
      </c>
      <c r="Y2933" s="133"/>
      <c r="Z2933" s="133"/>
      <c r="AA2933" s="133"/>
    </row>
    <row r="2934" spans="1:27" hidden="1" x14ac:dyDescent="0.25">
      <c r="A2934" s="133"/>
      <c r="B2934" s="128" t="str">
        <f t="shared" si="312"/>
        <v>KSST</v>
      </c>
      <c r="C2934" s="128" t="str">
        <f>+VLOOKUP(U2934,Ходим!A:B,2,0)</f>
        <v>32910975980025</v>
      </c>
      <c r="D2934" s="128" t="str">
        <f>IFERROR(VLOOKUP($B:$B,[20]свод!$A:$AB,3,0)," ")</f>
        <v>Косонсой тумани</v>
      </c>
      <c r="E2934" s="7" t="s">
        <v>4066</v>
      </c>
      <c r="F2934" s="7" t="s">
        <v>10431</v>
      </c>
      <c r="G2934" s="134">
        <f t="shared" si="313"/>
        <v>1</v>
      </c>
      <c r="H2934" s="134" t="str">
        <f t="shared" si="314"/>
        <v/>
      </c>
      <c r="I2934" s="7" t="s">
        <v>158</v>
      </c>
      <c r="J2934" s="7" t="s">
        <v>2</v>
      </c>
      <c r="K2934" s="7"/>
      <c r="L2934" s="7" t="s">
        <v>167</v>
      </c>
      <c r="M2934" s="7" t="s">
        <v>6150</v>
      </c>
      <c r="N2934" s="7" t="s">
        <v>170</v>
      </c>
      <c r="O2934" s="7" t="s">
        <v>162</v>
      </c>
      <c r="P2934" s="7" t="s">
        <v>7500</v>
      </c>
      <c r="Q2934" s="129">
        <v>46199</v>
      </c>
      <c r="R2934" s="130">
        <f t="shared" si="315"/>
        <v>46210</v>
      </c>
      <c r="S2934" s="131">
        <f t="shared" si="316"/>
        <v>11</v>
      </c>
      <c r="T2934" s="7" t="s">
        <v>180</v>
      </c>
      <c r="U2934" s="7" t="s">
        <v>187</v>
      </c>
      <c r="V2934" s="7"/>
      <c r="W2934" s="7">
        <v>244.59</v>
      </c>
      <c r="X2934" s="132">
        <f t="shared" si="317"/>
        <v>10</v>
      </c>
      <c r="Y2934" s="133"/>
      <c r="Z2934" s="133"/>
      <c r="AA2934" s="133"/>
    </row>
    <row r="2935" spans="1:27" hidden="1" x14ac:dyDescent="0.25">
      <c r="A2935" s="133"/>
      <c r="B2935" s="128" t="str">
        <f t="shared" si="312"/>
        <v>MINT</v>
      </c>
      <c r="C2935" s="128" t="e">
        <f>+VLOOKUP(U2935,Ходим!A:B,2,0)</f>
        <v>#N/A</v>
      </c>
      <c r="D2935" s="128" t="str">
        <f>IFERROR(VLOOKUP($B:$B,[20]свод!$A:$AB,3,0)," ")</f>
        <v>Мингбулоқ тумани</v>
      </c>
      <c r="E2935" s="7" t="s">
        <v>4067</v>
      </c>
      <c r="F2935" s="7" t="s">
        <v>10432</v>
      </c>
      <c r="G2935" s="134">
        <f t="shared" si="313"/>
        <v>1</v>
      </c>
      <c r="H2935" s="134" t="str">
        <f t="shared" si="314"/>
        <v/>
      </c>
      <c r="I2935" s="7" t="s">
        <v>156</v>
      </c>
      <c r="J2935" s="7" t="s">
        <v>11</v>
      </c>
      <c r="K2935" s="7"/>
      <c r="L2935" s="7" t="s">
        <v>167</v>
      </c>
      <c r="M2935" s="7" t="s">
        <v>1090</v>
      </c>
      <c r="N2935" s="7" t="s">
        <v>170</v>
      </c>
      <c r="O2935" s="7" t="s">
        <v>162</v>
      </c>
      <c r="P2935" s="7" t="s">
        <v>7501</v>
      </c>
      <c r="Q2935" s="129">
        <v>46199</v>
      </c>
      <c r="R2935" s="130">
        <f t="shared" si="315"/>
        <v>46210</v>
      </c>
      <c r="S2935" s="131">
        <f t="shared" si="316"/>
        <v>11</v>
      </c>
      <c r="T2935" s="7"/>
      <c r="U2935" s="7"/>
      <c r="V2935" s="7"/>
      <c r="W2935" s="7">
        <v>391.38</v>
      </c>
      <c r="X2935" s="132">
        <f t="shared" si="317"/>
        <v>10</v>
      </c>
      <c r="Y2935" s="133"/>
      <c r="Z2935" s="133"/>
      <c r="AA2935" s="133"/>
    </row>
    <row r="2936" spans="1:27" hidden="1" x14ac:dyDescent="0.25">
      <c r="A2936" s="133"/>
      <c r="B2936" s="128" t="str">
        <f t="shared" si="312"/>
        <v>NORT</v>
      </c>
      <c r="C2936" s="128" t="str">
        <f>+VLOOKUP(U2936,Ходим!A:B,2,0)</f>
        <v>32907985900051</v>
      </c>
      <c r="D2936" s="128" t="str">
        <f>IFERROR(VLOOKUP($B:$B,[20]свод!$A:$AB,3,0)," ")</f>
        <v>Норин тумани</v>
      </c>
      <c r="E2936" s="7" t="s">
        <v>4068</v>
      </c>
      <c r="F2936" s="7" t="s">
        <v>10433</v>
      </c>
      <c r="G2936" s="134">
        <f t="shared" si="313"/>
        <v>1</v>
      </c>
      <c r="H2936" s="134" t="str">
        <f t="shared" si="314"/>
        <v/>
      </c>
      <c r="I2936" s="7" t="s">
        <v>158</v>
      </c>
      <c r="J2936" s="7" t="s">
        <v>2</v>
      </c>
      <c r="K2936" s="7"/>
      <c r="L2936" s="7" t="s">
        <v>167</v>
      </c>
      <c r="M2936" s="7" t="s">
        <v>6151</v>
      </c>
      <c r="N2936" s="7" t="s">
        <v>170</v>
      </c>
      <c r="O2936" s="7" t="s">
        <v>162</v>
      </c>
      <c r="P2936" s="7" t="s">
        <v>7501</v>
      </c>
      <c r="Q2936" s="129">
        <v>46199</v>
      </c>
      <c r="R2936" s="130">
        <f t="shared" si="315"/>
        <v>46210</v>
      </c>
      <c r="S2936" s="131">
        <f t="shared" si="316"/>
        <v>11</v>
      </c>
      <c r="T2936" s="7" t="s">
        <v>210</v>
      </c>
      <c r="U2936" s="7" t="s">
        <v>293</v>
      </c>
      <c r="V2936" s="7"/>
      <c r="W2936" s="7">
        <v>173.91</v>
      </c>
      <c r="X2936" s="132">
        <f t="shared" si="317"/>
        <v>10</v>
      </c>
      <c r="Y2936" s="133"/>
      <c r="Z2936" s="133"/>
      <c r="AA2936" s="133"/>
    </row>
    <row r="2937" spans="1:27" hidden="1" x14ac:dyDescent="0.25">
      <c r="A2937" s="133"/>
      <c r="B2937" s="128" t="str">
        <f t="shared" si="312"/>
        <v>TORT</v>
      </c>
      <c r="C2937" s="128" t="str">
        <f>+VLOOKUP(U2937,Ходим!A:B,2,0)</f>
        <v>50908015920034</v>
      </c>
      <c r="D2937" s="128" t="str">
        <f>IFERROR(VLOOKUP($B:$B,[20]свод!$A:$AB,3,0)," ")</f>
        <v>Тўрақўрғон тумани</v>
      </c>
      <c r="E2937" s="7" t="s">
        <v>4069</v>
      </c>
      <c r="F2937" s="7" t="s">
        <v>10434</v>
      </c>
      <c r="G2937" s="134">
        <f t="shared" si="313"/>
        <v>1</v>
      </c>
      <c r="H2937" s="134" t="str">
        <f t="shared" si="314"/>
        <v/>
      </c>
      <c r="I2937" s="7" t="s">
        <v>158</v>
      </c>
      <c r="J2937" s="7" t="s">
        <v>2</v>
      </c>
      <c r="K2937" s="7"/>
      <c r="L2937" s="7" t="s">
        <v>167</v>
      </c>
      <c r="M2937" s="7" t="s">
        <v>6152</v>
      </c>
      <c r="N2937" s="7" t="s">
        <v>170</v>
      </c>
      <c r="O2937" s="7" t="s">
        <v>162</v>
      </c>
      <c r="P2937" s="7" t="s">
        <v>7501</v>
      </c>
      <c r="Q2937" s="129">
        <v>46199</v>
      </c>
      <c r="R2937" s="130">
        <f t="shared" si="315"/>
        <v>46210</v>
      </c>
      <c r="S2937" s="131">
        <f t="shared" si="316"/>
        <v>11</v>
      </c>
      <c r="T2937" s="7" t="s">
        <v>203</v>
      </c>
      <c r="U2937" s="7" t="s">
        <v>205</v>
      </c>
      <c r="V2937" s="7"/>
      <c r="W2937" s="7">
        <v>270.66000000000003</v>
      </c>
      <c r="X2937" s="132">
        <f t="shared" si="317"/>
        <v>10</v>
      </c>
      <c r="Y2937" s="133"/>
      <c r="Z2937" s="133"/>
      <c r="AA2937" s="133"/>
    </row>
    <row r="2938" spans="1:27" hidden="1" x14ac:dyDescent="0.25">
      <c r="A2938" s="133"/>
      <c r="B2938" s="128" t="str">
        <f t="shared" si="312"/>
        <v>NAMT</v>
      </c>
      <c r="C2938" s="128">
        <f>+VLOOKUP(U2938,Ходим!A:B,2,0)</f>
        <v>52908045880018</v>
      </c>
      <c r="D2938" s="128" t="str">
        <f>IFERROR(VLOOKUP($B:$B,[20]свод!$A:$AB,3,0)," ")</f>
        <v>Наманган тумани</v>
      </c>
      <c r="E2938" s="7" t="s">
        <v>4070</v>
      </c>
      <c r="F2938" s="7" t="s">
        <v>10435</v>
      </c>
      <c r="G2938" s="134">
        <f t="shared" si="313"/>
        <v>1</v>
      </c>
      <c r="H2938" s="134" t="str">
        <f t="shared" si="314"/>
        <v/>
      </c>
      <c r="I2938" s="7" t="s">
        <v>158</v>
      </c>
      <c r="J2938" s="7" t="s">
        <v>13</v>
      </c>
      <c r="K2938" s="7"/>
      <c r="L2938" s="7" t="s">
        <v>167</v>
      </c>
      <c r="M2938" s="7" t="s">
        <v>6153</v>
      </c>
      <c r="N2938" s="7" t="s">
        <v>170</v>
      </c>
      <c r="O2938" s="7" t="s">
        <v>162</v>
      </c>
      <c r="P2938" s="7" t="s">
        <v>7501</v>
      </c>
      <c r="Q2938" s="129">
        <v>46199</v>
      </c>
      <c r="R2938" s="130">
        <f t="shared" si="315"/>
        <v>46210</v>
      </c>
      <c r="S2938" s="131">
        <f t="shared" si="316"/>
        <v>11</v>
      </c>
      <c r="T2938" s="7" t="s">
        <v>193</v>
      </c>
      <c r="U2938" s="7" t="s">
        <v>982</v>
      </c>
      <c r="V2938" s="7"/>
      <c r="W2938" s="7">
        <v>270.17</v>
      </c>
      <c r="X2938" s="132">
        <f t="shared" si="317"/>
        <v>10</v>
      </c>
      <c r="Y2938" s="133"/>
      <c r="Z2938" s="133"/>
      <c r="AA2938" s="133"/>
    </row>
    <row r="2939" spans="1:27" hidden="1" x14ac:dyDescent="0.25">
      <c r="A2939" s="133"/>
      <c r="B2939" s="128" t="str">
        <f t="shared" si="312"/>
        <v>TORT</v>
      </c>
      <c r="C2939" s="128" t="str">
        <f>+VLOOKUP(U2939,Ходим!A:B,2,0)</f>
        <v>50908015920034</v>
      </c>
      <c r="D2939" s="128" t="str">
        <f>IFERROR(VLOOKUP($B:$B,[20]свод!$A:$AB,3,0)," ")</f>
        <v>Тўрақўрғон тумани</v>
      </c>
      <c r="E2939" s="7" t="s">
        <v>4071</v>
      </c>
      <c r="F2939" s="7" t="s">
        <v>10436</v>
      </c>
      <c r="G2939" s="134">
        <f t="shared" si="313"/>
        <v>1</v>
      </c>
      <c r="H2939" s="134" t="str">
        <f t="shared" si="314"/>
        <v/>
      </c>
      <c r="I2939" s="7" t="s">
        <v>158</v>
      </c>
      <c r="J2939" s="7" t="s">
        <v>172</v>
      </c>
      <c r="K2939" s="7"/>
      <c r="L2939" s="7" t="s">
        <v>167</v>
      </c>
      <c r="M2939" s="7" t="s">
        <v>6154</v>
      </c>
      <c r="N2939" s="7" t="s">
        <v>410</v>
      </c>
      <c r="O2939" s="7" t="s">
        <v>162</v>
      </c>
      <c r="P2939" s="7" t="s">
        <v>7501</v>
      </c>
      <c r="Q2939" s="129">
        <v>46199</v>
      </c>
      <c r="R2939" s="130">
        <f t="shared" si="315"/>
        <v>46210</v>
      </c>
      <c r="S2939" s="131">
        <f t="shared" si="316"/>
        <v>11</v>
      </c>
      <c r="T2939" s="7" t="s">
        <v>203</v>
      </c>
      <c r="U2939" s="7" t="s">
        <v>205</v>
      </c>
      <c r="V2939" s="7"/>
      <c r="W2939" s="7">
        <v>119.14</v>
      </c>
      <c r="X2939" s="132">
        <f t="shared" si="317"/>
        <v>10</v>
      </c>
      <c r="Y2939" s="133"/>
      <c r="Z2939" s="133"/>
      <c r="AA2939" s="133"/>
    </row>
    <row r="2940" spans="1:27" hidden="1" x14ac:dyDescent="0.25">
      <c r="A2940" s="133"/>
      <c r="B2940" s="128" t="str">
        <f t="shared" si="312"/>
        <v>NAMS</v>
      </c>
      <c r="C2940" s="128" t="str">
        <f>+VLOOKUP(U2940,Ходим!A:B,2,0)</f>
        <v>31608732170178</v>
      </c>
      <c r="D2940" s="128" t="str">
        <f>IFERROR(VLOOKUP($B:$B,[20]свод!$A:$AB,3,0)," ")</f>
        <v>Наманган шаҳар</v>
      </c>
      <c r="E2940" s="7" t="s">
        <v>4072</v>
      </c>
      <c r="F2940" s="7" t="s">
        <v>10437</v>
      </c>
      <c r="G2940" s="134">
        <f t="shared" si="313"/>
        <v>1</v>
      </c>
      <c r="H2940" s="134" t="str">
        <f t="shared" si="314"/>
        <v/>
      </c>
      <c r="I2940" s="7" t="s">
        <v>156</v>
      </c>
      <c r="J2940" s="7" t="s">
        <v>25</v>
      </c>
      <c r="K2940" s="7"/>
      <c r="L2940" s="7"/>
      <c r="M2940" s="7"/>
      <c r="N2940" s="7" t="s">
        <v>170</v>
      </c>
      <c r="O2940" s="7" t="s">
        <v>162</v>
      </c>
      <c r="P2940" s="7" t="s">
        <v>7501</v>
      </c>
      <c r="Q2940" s="129">
        <v>46199</v>
      </c>
      <c r="R2940" s="130">
        <f t="shared" si="315"/>
        <v>46210</v>
      </c>
      <c r="S2940" s="131">
        <f t="shared" si="316"/>
        <v>11</v>
      </c>
      <c r="T2940" s="7" t="s">
        <v>173</v>
      </c>
      <c r="U2940" s="7" t="s">
        <v>267</v>
      </c>
      <c r="V2940" s="7"/>
      <c r="W2940" s="7"/>
      <c r="X2940" s="132">
        <f t="shared" si="317"/>
        <v>10</v>
      </c>
      <c r="Y2940" s="133"/>
      <c r="Z2940" s="133"/>
      <c r="AA2940" s="133"/>
    </row>
    <row r="2941" spans="1:27" hidden="1" x14ac:dyDescent="0.25">
      <c r="A2941" s="133"/>
      <c r="B2941" s="128" t="str">
        <f t="shared" si="312"/>
        <v>NAMS</v>
      </c>
      <c r="C2941" s="128" t="str">
        <f>+VLOOKUP(U2941,Ходим!A:B,2,0)</f>
        <v>30302965960014</v>
      </c>
      <c r="D2941" s="128" t="str">
        <f>IFERROR(VLOOKUP($B:$B,[20]свод!$A:$AB,3,0)," ")</f>
        <v>Наманган шаҳар</v>
      </c>
      <c r="E2941" s="7" t="s">
        <v>4073</v>
      </c>
      <c r="F2941" s="7" t="s">
        <v>10438</v>
      </c>
      <c r="G2941" s="134">
        <f t="shared" si="313"/>
        <v>1</v>
      </c>
      <c r="H2941" s="134" t="str">
        <f t="shared" si="314"/>
        <v/>
      </c>
      <c r="I2941" s="7" t="s">
        <v>158</v>
      </c>
      <c r="J2941" s="7" t="s">
        <v>12</v>
      </c>
      <c r="K2941" s="7"/>
      <c r="L2941" s="7" t="s">
        <v>167</v>
      </c>
      <c r="M2941" s="7" t="s">
        <v>6155</v>
      </c>
      <c r="N2941" s="7" t="s">
        <v>170</v>
      </c>
      <c r="O2941" s="7" t="s">
        <v>162</v>
      </c>
      <c r="P2941" s="7" t="s">
        <v>7501</v>
      </c>
      <c r="Q2941" s="129">
        <v>46199</v>
      </c>
      <c r="R2941" s="130">
        <f t="shared" si="315"/>
        <v>46210</v>
      </c>
      <c r="S2941" s="131">
        <f t="shared" si="316"/>
        <v>11</v>
      </c>
      <c r="T2941" s="7" t="s">
        <v>185</v>
      </c>
      <c r="U2941" s="7" t="s">
        <v>304</v>
      </c>
      <c r="V2941" s="7"/>
      <c r="W2941" s="7">
        <v>698.21</v>
      </c>
      <c r="X2941" s="132">
        <f t="shared" si="317"/>
        <v>10</v>
      </c>
      <c r="Y2941" s="133"/>
      <c r="Z2941" s="133"/>
      <c r="AA2941" s="133"/>
    </row>
    <row r="2942" spans="1:27" hidden="1" x14ac:dyDescent="0.25">
      <c r="A2942" s="133"/>
      <c r="B2942" s="128" t="str">
        <f t="shared" si="312"/>
        <v>CHOT</v>
      </c>
      <c r="C2942" s="128" t="str">
        <f>+VLOOKUP(U2942,Ходим!A:B,2,0)</f>
        <v>32904975890057</v>
      </c>
      <c r="D2942" s="128" t="str">
        <f>IFERROR(VLOOKUP($B:$B,[20]свод!$A:$AB,3,0)," ")</f>
        <v>Чортоқ тумани</v>
      </c>
      <c r="E2942" s="7" t="s">
        <v>4074</v>
      </c>
      <c r="F2942" s="7" t="s">
        <v>10439</v>
      </c>
      <c r="G2942" s="134">
        <f t="shared" si="313"/>
        <v>1</v>
      </c>
      <c r="H2942" s="134" t="str">
        <f t="shared" si="314"/>
        <v/>
      </c>
      <c r="I2942" s="7" t="s">
        <v>158</v>
      </c>
      <c r="J2942" s="7" t="s">
        <v>2</v>
      </c>
      <c r="K2942" s="7"/>
      <c r="L2942" s="7" t="s">
        <v>167</v>
      </c>
      <c r="M2942" s="7" t="s">
        <v>6156</v>
      </c>
      <c r="N2942" s="7" t="s">
        <v>170</v>
      </c>
      <c r="O2942" s="7" t="s">
        <v>163</v>
      </c>
      <c r="P2942" s="7" t="s">
        <v>7489</v>
      </c>
      <c r="Q2942" s="129">
        <v>46199</v>
      </c>
      <c r="R2942" s="130">
        <f t="shared" si="315"/>
        <v>46210</v>
      </c>
      <c r="S2942" s="131">
        <f t="shared" si="316"/>
        <v>11</v>
      </c>
      <c r="T2942" s="7" t="s">
        <v>184</v>
      </c>
      <c r="U2942" s="7" t="s">
        <v>226</v>
      </c>
      <c r="V2942" s="7"/>
      <c r="W2942" s="7">
        <v>0</v>
      </c>
      <c r="X2942" s="132">
        <f t="shared" si="317"/>
        <v>10</v>
      </c>
      <c r="Y2942" s="133"/>
      <c r="Z2942" s="133"/>
      <c r="AA2942" s="133"/>
    </row>
    <row r="2943" spans="1:27" x14ac:dyDescent="0.25">
      <c r="A2943" s="133"/>
      <c r="B2943" s="128" t="str">
        <f t="shared" si="312"/>
        <v>YGQT</v>
      </c>
      <c r="C2943" s="128" t="str">
        <f>+VLOOKUP(U2943,Ходим!A:B,2,0)</f>
        <v>30903902160122</v>
      </c>
      <c r="D2943" s="128" t="str">
        <f>IFERROR(VLOOKUP($B:$B,[20]свод!$A:$AB,3,0)," ")</f>
        <v>Янгиқўрғон тумани</v>
      </c>
      <c r="E2943" s="7" t="s">
        <v>4075</v>
      </c>
      <c r="F2943" s="7" t="s">
        <v>10440</v>
      </c>
      <c r="G2943" s="134">
        <f t="shared" si="313"/>
        <v>1</v>
      </c>
      <c r="H2943" s="134" t="str">
        <f t="shared" si="314"/>
        <v/>
      </c>
      <c r="I2943" s="7" t="s">
        <v>158</v>
      </c>
      <c r="J2943" s="7" t="s">
        <v>36</v>
      </c>
      <c r="K2943" s="7"/>
      <c r="L2943" s="7" t="s">
        <v>167</v>
      </c>
      <c r="M2943" s="7" t="s">
        <v>6157</v>
      </c>
      <c r="N2943" s="7" t="s">
        <v>1081</v>
      </c>
      <c r="O2943" s="7" t="s">
        <v>1082</v>
      </c>
      <c r="P2943" s="7" t="s">
        <v>7502</v>
      </c>
      <c r="Q2943" s="129">
        <v>46199</v>
      </c>
      <c r="R2943" s="130">
        <f t="shared" si="315"/>
        <v>46199</v>
      </c>
      <c r="S2943" s="131">
        <f t="shared" si="316"/>
        <v>0</v>
      </c>
      <c r="T2943" s="7" t="s">
        <v>182</v>
      </c>
      <c r="U2943" s="7" t="s">
        <v>230</v>
      </c>
      <c r="V2943" s="7"/>
      <c r="W2943" s="7">
        <v>358.25</v>
      </c>
      <c r="X2943" s="132">
        <f t="shared" si="317"/>
        <v>3</v>
      </c>
      <c r="Y2943" s="133"/>
      <c r="Z2943" s="133"/>
      <c r="AA2943" s="133"/>
    </row>
    <row r="2944" spans="1:27" hidden="1" x14ac:dyDescent="0.25">
      <c r="A2944" s="133"/>
      <c r="B2944" s="128" t="str">
        <f t="shared" si="312"/>
        <v>NAMS</v>
      </c>
      <c r="C2944" s="128" t="str">
        <f>+VLOOKUP(U2944,Ходим!A:B,2,0)</f>
        <v>30108932170088</v>
      </c>
      <c r="D2944" s="128" t="str">
        <f>IFERROR(VLOOKUP($B:$B,[20]свод!$A:$AB,3,0)," ")</f>
        <v>Наманган шаҳар</v>
      </c>
      <c r="E2944" s="7" t="s">
        <v>4076</v>
      </c>
      <c r="F2944" s="7" t="s">
        <v>10441</v>
      </c>
      <c r="G2944" s="134">
        <f t="shared" si="313"/>
        <v>1</v>
      </c>
      <c r="H2944" s="134" t="str">
        <f t="shared" si="314"/>
        <v/>
      </c>
      <c r="I2944" s="7" t="s">
        <v>158</v>
      </c>
      <c r="J2944" s="7" t="s">
        <v>2</v>
      </c>
      <c r="K2944" s="7"/>
      <c r="L2944" s="7" t="s">
        <v>167</v>
      </c>
      <c r="M2944" s="7" t="s">
        <v>6158</v>
      </c>
      <c r="N2944" s="7" t="s">
        <v>170</v>
      </c>
      <c r="O2944" s="7" t="s">
        <v>162</v>
      </c>
      <c r="P2944" s="7" t="s">
        <v>7502</v>
      </c>
      <c r="Q2944" s="129">
        <v>46199</v>
      </c>
      <c r="R2944" s="130">
        <f t="shared" si="315"/>
        <v>46210</v>
      </c>
      <c r="S2944" s="131">
        <f t="shared" si="316"/>
        <v>11</v>
      </c>
      <c r="T2944" s="7" t="s">
        <v>173</v>
      </c>
      <c r="U2944" s="7" t="s">
        <v>329</v>
      </c>
      <c r="V2944" s="7"/>
      <c r="W2944" s="7">
        <v>127.93</v>
      </c>
      <c r="X2944" s="132">
        <f t="shared" si="317"/>
        <v>10</v>
      </c>
      <c r="Y2944" s="133"/>
      <c r="Z2944" s="133"/>
      <c r="AA2944" s="133"/>
    </row>
    <row r="2945" spans="1:27" hidden="1" x14ac:dyDescent="0.25">
      <c r="A2945" s="133"/>
      <c r="B2945" s="128" t="str">
        <f t="shared" si="312"/>
        <v>CHOT</v>
      </c>
      <c r="C2945" s="128" t="str">
        <f>+VLOOKUP(U2945,Ходим!A:B,2,0)</f>
        <v>50205015890036</v>
      </c>
      <c r="D2945" s="128" t="str">
        <f>IFERROR(VLOOKUP($B:$B,[20]свод!$A:$AB,3,0)," ")</f>
        <v>Чортоқ тумани</v>
      </c>
      <c r="E2945" s="7" t="s">
        <v>4077</v>
      </c>
      <c r="F2945" s="7" t="s">
        <v>10442</v>
      </c>
      <c r="G2945" s="134" t="str">
        <f t="shared" si="313"/>
        <v/>
      </c>
      <c r="H2945" s="134">
        <f t="shared" si="314"/>
        <v>1</v>
      </c>
      <c r="I2945" s="7" t="s">
        <v>157</v>
      </c>
      <c r="J2945" s="7" t="s">
        <v>16</v>
      </c>
      <c r="K2945" s="7"/>
      <c r="L2945" s="7" t="s">
        <v>166</v>
      </c>
      <c r="M2945" s="7" t="s">
        <v>6159</v>
      </c>
      <c r="N2945" s="7" t="s">
        <v>170</v>
      </c>
      <c r="O2945" s="7" t="s">
        <v>161</v>
      </c>
      <c r="P2945" s="7" t="s">
        <v>6310</v>
      </c>
      <c r="Q2945" s="129">
        <v>46199</v>
      </c>
      <c r="R2945" s="130">
        <f t="shared" si="315"/>
        <v>46206</v>
      </c>
      <c r="S2945" s="131">
        <f t="shared" si="316"/>
        <v>7</v>
      </c>
      <c r="T2945" s="7" t="s">
        <v>184</v>
      </c>
      <c r="U2945" s="7" t="s">
        <v>251</v>
      </c>
      <c r="V2945" s="7"/>
      <c r="W2945" s="7">
        <v>488.03</v>
      </c>
      <c r="X2945" s="132">
        <f t="shared" si="317"/>
        <v>12</v>
      </c>
      <c r="Y2945" s="133"/>
      <c r="Z2945" s="133"/>
      <c r="AA2945" s="133"/>
    </row>
    <row r="2946" spans="1:27" x14ac:dyDescent="0.25">
      <c r="A2946" s="133"/>
      <c r="B2946" s="128" t="str">
        <f t="shared" si="312"/>
        <v>UYCT</v>
      </c>
      <c r="C2946" s="128" t="str">
        <f>+VLOOKUP(U2946,Ходим!A:B,2,0)</f>
        <v>50304035930044</v>
      </c>
      <c r="D2946" s="128" t="str">
        <f>IFERROR(VLOOKUP($B:$B,[20]свод!$A:$AB,3,0)," ")</f>
        <v>Уйчи тумани</v>
      </c>
      <c r="E2946" s="7" t="s">
        <v>4078</v>
      </c>
      <c r="F2946" s="7" t="s">
        <v>10443</v>
      </c>
      <c r="G2946" s="134">
        <f t="shared" si="313"/>
        <v>1</v>
      </c>
      <c r="H2946" s="134" t="str">
        <f t="shared" si="314"/>
        <v/>
      </c>
      <c r="I2946" s="7" t="s">
        <v>158</v>
      </c>
      <c r="J2946" s="7" t="s">
        <v>35</v>
      </c>
      <c r="K2946" s="7"/>
      <c r="L2946" s="7" t="s">
        <v>167</v>
      </c>
      <c r="M2946" s="7" t="s">
        <v>6160</v>
      </c>
      <c r="N2946" s="7" t="s">
        <v>410</v>
      </c>
      <c r="O2946" s="7" t="s">
        <v>162</v>
      </c>
      <c r="P2946" s="7" t="s">
        <v>7503</v>
      </c>
      <c r="Q2946" s="129">
        <v>46199</v>
      </c>
      <c r="R2946" s="130">
        <f t="shared" si="315"/>
        <v>46197</v>
      </c>
      <c r="S2946" s="131">
        <f t="shared" si="316"/>
        <v>-2</v>
      </c>
      <c r="T2946" s="7" t="s">
        <v>947</v>
      </c>
      <c r="U2946" s="7" t="s">
        <v>956</v>
      </c>
      <c r="V2946" s="7"/>
      <c r="W2946" s="7">
        <v>169.3</v>
      </c>
      <c r="X2946" s="132">
        <f t="shared" si="317"/>
        <v>10</v>
      </c>
      <c r="Y2946" s="133"/>
      <c r="Z2946" s="133"/>
      <c r="AA2946" s="133"/>
    </row>
    <row r="2947" spans="1:27" hidden="1" x14ac:dyDescent="0.25">
      <c r="A2947" s="133"/>
      <c r="B2947" s="128" t="str">
        <f t="shared" si="312"/>
        <v>MINT</v>
      </c>
      <c r="C2947" s="128" t="e">
        <f>+VLOOKUP(U2947,Ходим!A:B,2,0)</f>
        <v>#N/A</v>
      </c>
      <c r="D2947" s="128" t="str">
        <f>IFERROR(VLOOKUP($B:$B,[20]свод!$A:$AB,3,0)," ")</f>
        <v>Мингбулоқ тумани</v>
      </c>
      <c r="E2947" s="7" t="s">
        <v>4079</v>
      </c>
      <c r="F2947" s="7" t="s">
        <v>10444</v>
      </c>
      <c r="G2947" s="134">
        <f t="shared" si="313"/>
        <v>1</v>
      </c>
      <c r="H2947" s="134" t="str">
        <f t="shared" si="314"/>
        <v/>
      </c>
      <c r="I2947" s="7" t="s">
        <v>156</v>
      </c>
      <c r="J2947" s="7" t="s">
        <v>11</v>
      </c>
      <c r="K2947" s="7"/>
      <c r="L2947" s="7" t="s">
        <v>167</v>
      </c>
      <c r="M2947" s="7" t="s">
        <v>6161</v>
      </c>
      <c r="N2947" s="7" t="s">
        <v>410</v>
      </c>
      <c r="O2947" s="7" t="s">
        <v>162</v>
      </c>
      <c r="P2947" s="7" t="s">
        <v>7502</v>
      </c>
      <c r="Q2947" s="129">
        <v>46199</v>
      </c>
      <c r="R2947" s="130">
        <f t="shared" si="315"/>
        <v>46210</v>
      </c>
      <c r="S2947" s="131">
        <f t="shared" si="316"/>
        <v>11</v>
      </c>
      <c r="T2947" s="7"/>
      <c r="U2947" s="7"/>
      <c r="V2947" s="7"/>
      <c r="W2947" s="7">
        <v>188.4</v>
      </c>
      <c r="X2947" s="132">
        <f t="shared" si="317"/>
        <v>10</v>
      </c>
      <c r="Y2947" s="133"/>
      <c r="Z2947" s="133"/>
      <c r="AA2947" s="133"/>
    </row>
    <row r="2948" spans="1:27" hidden="1" x14ac:dyDescent="0.25">
      <c r="A2948" s="133"/>
      <c r="B2948" s="128" t="str">
        <f t="shared" si="312"/>
        <v>YGQT</v>
      </c>
      <c r="C2948" s="128" t="str">
        <f>+VLOOKUP(U2948,Ходим!A:B,2,0)</f>
        <v>52010015950028</v>
      </c>
      <c r="D2948" s="128" t="str">
        <f>IFERROR(VLOOKUP($B:$B,[20]свод!$A:$AB,3,0)," ")</f>
        <v>Янгиқўрғон тумани</v>
      </c>
      <c r="E2948" s="7" t="s">
        <v>4080</v>
      </c>
      <c r="F2948" s="7" t="s">
        <v>10445</v>
      </c>
      <c r="G2948" s="134">
        <f t="shared" si="313"/>
        <v>1</v>
      </c>
      <c r="H2948" s="134" t="str">
        <f t="shared" si="314"/>
        <v/>
      </c>
      <c r="I2948" s="7" t="s">
        <v>158</v>
      </c>
      <c r="J2948" s="7" t="s">
        <v>134</v>
      </c>
      <c r="K2948" s="7"/>
      <c r="L2948" s="7"/>
      <c r="M2948" s="7"/>
      <c r="N2948" s="7" t="s">
        <v>170</v>
      </c>
      <c r="O2948" s="7" t="s">
        <v>162</v>
      </c>
      <c r="P2948" s="7" t="s">
        <v>7502</v>
      </c>
      <c r="Q2948" s="129">
        <v>46199</v>
      </c>
      <c r="R2948" s="130">
        <f t="shared" si="315"/>
        <v>46210</v>
      </c>
      <c r="S2948" s="131">
        <f t="shared" si="316"/>
        <v>11</v>
      </c>
      <c r="T2948" s="7" t="s">
        <v>182</v>
      </c>
      <c r="U2948" s="7" t="s">
        <v>391</v>
      </c>
      <c r="V2948" s="7"/>
      <c r="W2948" s="7"/>
      <c r="X2948" s="132">
        <f t="shared" si="317"/>
        <v>10</v>
      </c>
      <c r="Y2948" s="133"/>
      <c r="Z2948" s="133"/>
      <c r="AA2948" s="133"/>
    </row>
    <row r="2949" spans="1:27" hidden="1" x14ac:dyDescent="0.25">
      <c r="A2949" s="133"/>
      <c r="B2949" s="128" t="str">
        <f t="shared" si="312"/>
        <v>CHUT</v>
      </c>
      <c r="C2949" s="128" t="str">
        <f>+VLOOKUP(U2949,Ходим!A:B,2,0)</f>
        <v>50309005970046</v>
      </c>
      <c r="D2949" s="128" t="str">
        <f>IFERROR(VLOOKUP($B:$B,[20]свод!$A:$AB,3,0)," ")</f>
        <v>Чуст тумани</v>
      </c>
      <c r="E2949" s="7" t="s">
        <v>4081</v>
      </c>
      <c r="F2949" s="7" t="s">
        <v>10446</v>
      </c>
      <c r="G2949" s="134" t="str">
        <f t="shared" si="313"/>
        <v/>
      </c>
      <c r="H2949" s="134">
        <f t="shared" si="314"/>
        <v>1</v>
      </c>
      <c r="I2949" s="7" t="s">
        <v>157</v>
      </c>
      <c r="J2949" s="7" t="s">
        <v>172</v>
      </c>
      <c r="K2949" s="7"/>
      <c r="L2949" s="7" t="s">
        <v>168</v>
      </c>
      <c r="M2949" s="7" t="s">
        <v>6162</v>
      </c>
      <c r="N2949" s="7" t="s">
        <v>410</v>
      </c>
      <c r="O2949" s="7" t="s">
        <v>161</v>
      </c>
      <c r="P2949" s="7" t="s">
        <v>7502</v>
      </c>
      <c r="Q2949" s="129">
        <v>46199</v>
      </c>
      <c r="R2949" s="130">
        <f t="shared" si="315"/>
        <v>46205</v>
      </c>
      <c r="S2949" s="131">
        <f t="shared" si="316"/>
        <v>6</v>
      </c>
      <c r="T2949" s="7" t="s">
        <v>178</v>
      </c>
      <c r="U2949" s="7" t="s">
        <v>290</v>
      </c>
      <c r="V2949" s="7"/>
      <c r="W2949" s="7">
        <v>0</v>
      </c>
      <c r="X2949" s="132">
        <f t="shared" si="317"/>
        <v>7</v>
      </c>
      <c r="Y2949" s="133"/>
      <c r="Z2949" s="133"/>
      <c r="AA2949" s="133"/>
    </row>
    <row r="2950" spans="1:27" hidden="1" x14ac:dyDescent="0.25">
      <c r="A2950" s="133"/>
      <c r="B2950" s="128" t="str">
        <f t="shared" si="312"/>
        <v>CHOT</v>
      </c>
      <c r="C2950" s="128" t="str">
        <f>+VLOOKUP(U2950,Ходим!A:B,2,0)</f>
        <v>30608892100030</v>
      </c>
      <c r="D2950" s="128" t="str">
        <f>IFERROR(VLOOKUP($B:$B,[20]свод!$A:$AB,3,0)," ")</f>
        <v>Чортоқ тумани</v>
      </c>
      <c r="E2950" s="7" t="s">
        <v>4082</v>
      </c>
      <c r="F2950" s="7" t="s">
        <v>10447</v>
      </c>
      <c r="G2950" s="134">
        <f t="shared" si="313"/>
        <v>1</v>
      </c>
      <c r="H2950" s="134" t="str">
        <f t="shared" si="314"/>
        <v/>
      </c>
      <c r="I2950" s="7" t="s">
        <v>158</v>
      </c>
      <c r="J2950" s="7" t="s">
        <v>2</v>
      </c>
      <c r="K2950" s="7"/>
      <c r="L2950" s="7" t="s">
        <v>167</v>
      </c>
      <c r="M2950" s="7" t="s">
        <v>6163</v>
      </c>
      <c r="N2950" s="7" t="s">
        <v>410</v>
      </c>
      <c r="O2950" s="7" t="s">
        <v>163</v>
      </c>
      <c r="P2950" s="7" t="s">
        <v>7477</v>
      </c>
      <c r="Q2950" s="129">
        <v>46199</v>
      </c>
      <c r="R2950" s="130">
        <f t="shared" si="315"/>
        <v>46210</v>
      </c>
      <c r="S2950" s="131">
        <f t="shared" si="316"/>
        <v>11</v>
      </c>
      <c r="T2950" s="7" t="s">
        <v>184</v>
      </c>
      <c r="U2950" s="7" t="s">
        <v>266</v>
      </c>
      <c r="V2950" s="7"/>
      <c r="W2950" s="7">
        <v>0</v>
      </c>
      <c r="X2950" s="132">
        <f t="shared" si="317"/>
        <v>10</v>
      </c>
      <c r="Y2950" s="133"/>
      <c r="Z2950" s="133"/>
      <c r="AA2950" s="133"/>
    </row>
    <row r="2951" spans="1:27" hidden="1" x14ac:dyDescent="0.25">
      <c r="A2951" s="133"/>
      <c r="B2951" s="128" t="str">
        <f t="shared" si="312"/>
        <v>NAMS</v>
      </c>
      <c r="C2951" s="128" t="str">
        <f>+VLOOKUP(U2951,Ходим!A:B,2,0)</f>
        <v>32602902170105</v>
      </c>
      <c r="D2951" s="128" t="str">
        <f>IFERROR(VLOOKUP($B:$B,[20]свод!$A:$AB,3,0)," ")</f>
        <v>Наманган шаҳар</v>
      </c>
      <c r="E2951" s="7" t="s">
        <v>4083</v>
      </c>
      <c r="F2951" s="7" t="s">
        <v>10448</v>
      </c>
      <c r="G2951" s="134" t="str">
        <f t="shared" si="313"/>
        <v/>
      </c>
      <c r="H2951" s="134">
        <f t="shared" si="314"/>
        <v>1</v>
      </c>
      <c r="I2951" s="7" t="s">
        <v>157</v>
      </c>
      <c r="J2951" s="7" t="s">
        <v>1</v>
      </c>
      <c r="K2951" s="7"/>
      <c r="L2951" s="7" t="s">
        <v>168</v>
      </c>
      <c r="M2951" s="7" t="s">
        <v>6164</v>
      </c>
      <c r="N2951" s="7" t="s">
        <v>170</v>
      </c>
      <c r="O2951" s="7" t="s">
        <v>161</v>
      </c>
      <c r="P2951" s="7" t="s">
        <v>6870</v>
      </c>
      <c r="Q2951" s="129">
        <v>46199</v>
      </c>
      <c r="R2951" s="130">
        <f t="shared" si="315"/>
        <v>46203</v>
      </c>
      <c r="S2951" s="131">
        <f t="shared" si="316"/>
        <v>4</v>
      </c>
      <c r="T2951" s="7" t="s">
        <v>227</v>
      </c>
      <c r="U2951" s="7" t="s">
        <v>247</v>
      </c>
      <c r="V2951" s="7"/>
      <c r="W2951" s="7">
        <v>0</v>
      </c>
      <c r="X2951" s="132">
        <f t="shared" si="317"/>
        <v>7</v>
      </c>
      <c r="Y2951" s="133"/>
      <c r="Z2951" s="133"/>
      <c r="AA2951" s="133"/>
    </row>
    <row r="2952" spans="1:27" hidden="1" x14ac:dyDescent="0.25">
      <c r="A2952" s="133"/>
      <c r="B2952" s="128" t="str">
        <f t="shared" si="312"/>
        <v>YGQT</v>
      </c>
      <c r="C2952" s="128" t="str">
        <f>+VLOOKUP(U2952,Ходим!A:B,2,0)</f>
        <v>30107965950010</v>
      </c>
      <c r="D2952" s="128" t="str">
        <f>IFERROR(VLOOKUP($B:$B,[20]свод!$A:$AB,3,0)," ")</f>
        <v>Янгиқўрғон тумани</v>
      </c>
      <c r="E2952" s="7" t="s">
        <v>4084</v>
      </c>
      <c r="F2952" s="7" t="s">
        <v>10449</v>
      </c>
      <c r="G2952" s="134">
        <f t="shared" si="313"/>
        <v>1</v>
      </c>
      <c r="H2952" s="134" t="str">
        <f t="shared" si="314"/>
        <v/>
      </c>
      <c r="I2952" s="7" t="s">
        <v>158</v>
      </c>
      <c r="J2952" s="7" t="s">
        <v>2</v>
      </c>
      <c r="K2952" s="7"/>
      <c r="L2952" s="7" t="s">
        <v>167</v>
      </c>
      <c r="M2952" s="7" t="s">
        <v>991</v>
      </c>
      <c r="N2952" s="7" t="s">
        <v>170</v>
      </c>
      <c r="O2952" s="7" t="s">
        <v>162</v>
      </c>
      <c r="P2952" s="7" t="s">
        <v>6609</v>
      </c>
      <c r="Q2952" s="129">
        <v>46199</v>
      </c>
      <c r="R2952" s="130">
        <f t="shared" si="315"/>
        <v>46210</v>
      </c>
      <c r="S2952" s="131">
        <f t="shared" si="316"/>
        <v>11</v>
      </c>
      <c r="T2952" s="7" t="s">
        <v>182</v>
      </c>
      <c r="U2952" s="7" t="s">
        <v>244</v>
      </c>
      <c r="V2952" s="7"/>
      <c r="W2952" s="7">
        <v>0</v>
      </c>
      <c r="X2952" s="132">
        <f t="shared" si="317"/>
        <v>10</v>
      </c>
      <c r="Y2952" s="133"/>
      <c r="Z2952" s="133"/>
      <c r="AA2952" s="133"/>
    </row>
    <row r="2953" spans="1:27" hidden="1" x14ac:dyDescent="0.25">
      <c r="A2953" s="133"/>
      <c r="B2953" s="128" t="str">
        <f t="shared" si="312"/>
        <v>KSST</v>
      </c>
      <c r="C2953" s="128" t="str">
        <f>+VLOOKUP(U2953,Ходим!A:B,2,0)</f>
        <v>50709025980034</v>
      </c>
      <c r="D2953" s="128" t="str">
        <f>IFERROR(VLOOKUP($B:$B,[20]свод!$A:$AB,3,0)," ")</f>
        <v>Косонсой тумани</v>
      </c>
      <c r="E2953" s="7" t="s">
        <v>4085</v>
      </c>
      <c r="F2953" s="7" t="s">
        <v>10450</v>
      </c>
      <c r="G2953" s="134">
        <f t="shared" si="313"/>
        <v>1</v>
      </c>
      <c r="H2953" s="134" t="str">
        <f t="shared" si="314"/>
        <v/>
      </c>
      <c r="I2953" s="7" t="s">
        <v>158</v>
      </c>
      <c r="J2953" s="7" t="s">
        <v>2</v>
      </c>
      <c r="K2953" s="7"/>
      <c r="L2953" s="7"/>
      <c r="M2953" s="7"/>
      <c r="N2953" s="7" t="s">
        <v>170</v>
      </c>
      <c r="O2953" s="7" t="s">
        <v>162</v>
      </c>
      <c r="P2953" s="7" t="s">
        <v>6609</v>
      </c>
      <c r="Q2953" s="129">
        <v>46199</v>
      </c>
      <c r="R2953" s="130">
        <f t="shared" si="315"/>
        <v>46210</v>
      </c>
      <c r="S2953" s="131">
        <f t="shared" si="316"/>
        <v>11</v>
      </c>
      <c r="T2953" s="7" t="s">
        <v>180</v>
      </c>
      <c r="U2953" s="7" t="s">
        <v>286</v>
      </c>
      <c r="V2953" s="7"/>
      <c r="W2953" s="7"/>
      <c r="X2953" s="132">
        <f t="shared" si="317"/>
        <v>10</v>
      </c>
      <c r="Y2953" s="133"/>
      <c r="Z2953" s="133"/>
      <c r="AA2953" s="133"/>
    </row>
    <row r="2954" spans="1:27" hidden="1" x14ac:dyDescent="0.25">
      <c r="A2954" s="133"/>
      <c r="B2954" s="128" t="str">
        <f t="shared" si="312"/>
        <v>POPT</v>
      </c>
      <c r="C2954" s="128" t="str">
        <f>+VLOOKUP(U2954,Ходим!A:B,2,0)</f>
        <v>30609882120085</v>
      </c>
      <c r="D2954" s="128" t="str">
        <f>IFERROR(VLOOKUP($B:$B,[20]свод!$A:$AB,3,0)," ")</f>
        <v>Поп тумани</v>
      </c>
      <c r="E2954" s="7" t="s">
        <v>4086</v>
      </c>
      <c r="F2954" s="7" t="s">
        <v>10451</v>
      </c>
      <c r="G2954" s="134" t="str">
        <f t="shared" si="313"/>
        <v/>
      </c>
      <c r="H2954" s="134">
        <f t="shared" si="314"/>
        <v>1</v>
      </c>
      <c r="I2954" s="7" t="s">
        <v>157</v>
      </c>
      <c r="J2954" s="7" t="s">
        <v>1</v>
      </c>
      <c r="K2954" s="7"/>
      <c r="L2954" s="7" t="s">
        <v>168</v>
      </c>
      <c r="M2954" s="7" t="s">
        <v>6165</v>
      </c>
      <c r="N2954" s="7" t="s">
        <v>170</v>
      </c>
      <c r="O2954" s="7" t="s">
        <v>161</v>
      </c>
      <c r="P2954" s="7" t="s">
        <v>6609</v>
      </c>
      <c r="Q2954" s="129">
        <v>46199</v>
      </c>
      <c r="R2954" s="130">
        <f t="shared" si="315"/>
        <v>46205</v>
      </c>
      <c r="S2954" s="131">
        <f t="shared" si="316"/>
        <v>6</v>
      </c>
      <c r="T2954" s="7" t="s">
        <v>240</v>
      </c>
      <c r="U2954" s="7" t="s">
        <v>248</v>
      </c>
      <c r="V2954" s="7"/>
      <c r="W2954" s="7">
        <v>0</v>
      </c>
      <c r="X2954" s="132">
        <f t="shared" si="317"/>
        <v>7</v>
      </c>
      <c r="Y2954" s="133"/>
      <c r="Z2954" s="133"/>
      <c r="AA2954" s="133"/>
    </row>
    <row r="2955" spans="1:27" hidden="1" x14ac:dyDescent="0.25">
      <c r="A2955" s="133"/>
      <c r="B2955" s="128" t="str">
        <f t="shared" si="312"/>
        <v>NAMS</v>
      </c>
      <c r="C2955" s="128" t="str">
        <f>+VLOOKUP(U2955,Ходим!A:B,2,0)</f>
        <v>53008015960094</v>
      </c>
      <c r="D2955" s="128" t="str">
        <f>IFERROR(VLOOKUP($B:$B,[20]свод!$A:$AB,3,0)," ")</f>
        <v>Наманган шаҳар</v>
      </c>
      <c r="E2955" s="7" t="s">
        <v>4087</v>
      </c>
      <c r="F2955" s="7" t="s">
        <v>10452</v>
      </c>
      <c r="G2955" s="134">
        <f t="shared" si="313"/>
        <v>1</v>
      </c>
      <c r="H2955" s="134" t="str">
        <f t="shared" si="314"/>
        <v/>
      </c>
      <c r="I2955" s="7" t="s">
        <v>158</v>
      </c>
      <c r="J2955" s="7" t="s">
        <v>2</v>
      </c>
      <c r="K2955" s="7"/>
      <c r="L2955" s="7" t="s">
        <v>167</v>
      </c>
      <c r="M2955" s="7" t="s">
        <v>6166</v>
      </c>
      <c r="N2955" s="7" t="s">
        <v>170</v>
      </c>
      <c r="O2955" s="7" t="s">
        <v>162</v>
      </c>
      <c r="P2955" s="7" t="s">
        <v>6504</v>
      </c>
      <c r="Q2955" s="129">
        <v>46199</v>
      </c>
      <c r="R2955" s="130">
        <f t="shared" si="315"/>
        <v>46205</v>
      </c>
      <c r="S2955" s="131">
        <f t="shared" si="316"/>
        <v>6</v>
      </c>
      <c r="T2955" s="7" t="s">
        <v>173</v>
      </c>
      <c r="U2955" s="7" t="s">
        <v>403</v>
      </c>
      <c r="V2955" s="7"/>
      <c r="W2955" s="7">
        <v>129.46</v>
      </c>
      <c r="X2955" s="132">
        <f t="shared" si="317"/>
        <v>10</v>
      </c>
      <c r="Y2955" s="133"/>
      <c r="Z2955" s="133"/>
      <c r="AA2955" s="133"/>
    </row>
    <row r="2956" spans="1:27" hidden="1" x14ac:dyDescent="0.25">
      <c r="A2956" s="133"/>
      <c r="B2956" s="128" t="str">
        <f t="shared" si="312"/>
        <v>NAMS</v>
      </c>
      <c r="C2956" s="128" t="str">
        <f>+VLOOKUP(U2956,Ходим!A:B,2,0)</f>
        <v>33012942170121</v>
      </c>
      <c r="D2956" s="128" t="str">
        <f>IFERROR(VLOOKUP($B:$B,[20]свод!$A:$AB,3,0)," ")</f>
        <v>Наманган шаҳар</v>
      </c>
      <c r="E2956" s="7" t="s">
        <v>4088</v>
      </c>
      <c r="F2956" s="7" t="s">
        <v>10453</v>
      </c>
      <c r="G2956" s="134">
        <f t="shared" si="313"/>
        <v>1</v>
      </c>
      <c r="H2956" s="134" t="str">
        <f t="shared" si="314"/>
        <v/>
      </c>
      <c r="I2956" s="7" t="s">
        <v>156</v>
      </c>
      <c r="J2956" s="7" t="s">
        <v>25</v>
      </c>
      <c r="K2956" s="7"/>
      <c r="L2956" s="7"/>
      <c r="M2956" s="7"/>
      <c r="N2956" s="7" t="s">
        <v>410</v>
      </c>
      <c r="O2956" s="7" t="s">
        <v>162</v>
      </c>
      <c r="P2956" s="7" t="s">
        <v>6764</v>
      </c>
      <c r="Q2956" s="129">
        <v>46199</v>
      </c>
      <c r="R2956" s="130">
        <f t="shared" si="315"/>
        <v>46210</v>
      </c>
      <c r="S2956" s="131">
        <f t="shared" si="316"/>
        <v>11</v>
      </c>
      <c r="T2956" s="7" t="s">
        <v>173</v>
      </c>
      <c r="U2956" s="7" t="s">
        <v>259</v>
      </c>
      <c r="V2956" s="7"/>
      <c r="W2956" s="7"/>
      <c r="X2956" s="132">
        <f t="shared" si="317"/>
        <v>10</v>
      </c>
      <c r="Y2956" s="133"/>
      <c r="Z2956" s="133"/>
      <c r="AA2956" s="133"/>
    </row>
    <row r="2957" spans="1:27" hidden="1" x14ac:dyDescent="0.25">
      <c r="A2957" s="133"/>
      <c r="B2957" s="128" t="str">
        <f t="shared" si="312"/>
        <v>TORT</v>
      </c>
      <c r="C2957" s="128" t="str">
        <f>+VLOOKUP(U2957,Ходим!A:B,2,0)</f>
        <v>30708792130017</v>
      </c>
      <c r="D2957" s="128" t="str">
        <f>IFERROR(VLOOKUP($B:$B,[20]свод!$A:$AB,3,0)," ")</f>
        <v>Тўрақўрғон тумани</v>
      </c>
      <c r="E2957" s="7" t="s">
        <v>4089</v>
      </c>
      <c r="F2957" s="7" t="s">
        <v>10454</v>
      </c>
      <c r="G2957" s="134">
        <f t="shared" si="313"/>
        <v>1</v>
      </c>
      <c r="H2957" s="134" t="str">
        <f t="shared" si="314"/>
        <v/>
      </c>
      <c r="I2957" s="7" t="s">
        <v>158</v>
      </c>
      <c r="J2957" s="7" t="s">
        <v>2</v>
      </c>
      <c r="K2957" s="7"/>
      <c r="L2957" s="7" t="s">
        <v>167</v>
      </c>
      <c r="M2957" s="7" t="s">
        <v>6167</v>
      </c>
      <c r="N2957" s="7" t="s">
        <v>410</v>
      </c>
      <c r="O2957" s="7" t="s">
        <v>162</v>
      </c>
      <c r="P2957" s="7" t="s">
        <v>7426</v>
      </c>
      <c r="Q2957" s="129">
        <v>46199</v>
      </c>
      <c r="R2957" s="130">
        <f t="shared" si="315"/>
        <v>46209</v>
      </c>
      <c r="S2957" s="131">
        <f t="shared" si="316"/>
        <v>10</v>
      </c>
      <c r="T2957" s="7" t="s">
        <v>203</v>
      </c>
      <c r="U2957" s="7" t="s">
        <v>204</v>
      </c>
      <c r="V2957" s="7"/>
      <c r="W2957" s="7">
        <v>94.8</v>
      </c>
      <c r="X2957" s="132">
        <f t="shared" si="317"/>
        <v>10</v>
      </c>
      <c r="Y2957" s="133"/>
      <c r="Z2957" s="133"/>
      <c r="AA2957" s="133"/>
    </row>
    <row r="2958" spans="1:27" hidden="1" x14ac:dyDescent="0.25">
      <c r="A2958" s="133"/>
      <c r="B2958" s="128" t="str">
        <f t="shared" si="312"/>
        <v>KSST</v>
      </c>
      <c r="C2958" s="128" t="e">
        <f>+VLOOKUP(U2958,Ходим!A:B,2,0)</f>
        <v>#N/A</v>
      </c>
      <c r="D2958" s="128" t="str">
        <f>IFERROR(VLOOKUP($B:$B,[20]свод!$A:$AB,3,0)," ")</f>
        <v>Косонсой тумани</v>
      </c>
      <c r="E2958" s="7" t="s">
        <v>4090</v>
      </c>
      <c r="F2958" s="7" t="s">
        <v>10455</v>
      </c>
      <c r="G2958" s="134" t="str">
        <f t="shared" si="313"/>
        <v/>
      </c>
      <c r="H2958" s="134">
        <f t="shared" si="314"/>
        <v>1</v>
      </c>
      <c r="I2958" s="7" t="s">
        <v>157</v>
      </c>
      <c r="J2958" s="7" t="s">
        <v>1</v>
      </c>
      <c r="K2958" s="7"/>
      <c r="L2958" s="7" t="s">
        <v>166</v>
      </c>
      <c r="M2958" s="7" t="s">
        <v>6168</v>
      </c>
      <c r="N2958" s="7" t="s">
        <v>170</v>
      </c>
      <c r="O2958" s="7" t="s">
        <v>163</v>
      </c>
      <c r="P2958" s="7" t="s">
        <v>7504</v>
      </c>
      <c r="Q2958" s="129">
        <v>46199</v>
      </c>
      <c r="R2958" s="130">
        <f t="shared" si="315"/>
        <v>46212</v>
      </c>
      <c r="S2958" s="131">
        <f t="shared" si="316"/>
        <v>13</v>
      </c>
      <c r="T2958" s="7" t="s">
        <v>180</v>
      </c>
      <c r="U2958" s="7" t="s">
        <v>10636</v>
      </c>
      <c r="V2958" s="7"/>
      <c r="W2958" s="7">
        <v>180</v>
      </c>
      <c r="X2958" s="132">
        <f t="shared" si="317"/>
        <v>12</v>
      </c>
      <c r="Y2958" s="133"/>
      <c r="Z2958" s="133"/>
      <c r="AA2958" s="133"/>
    </row>
    <row r="2959" spans="1:27" hidden="1" x14ac:dyDescent="0.25">
      <c r="A2959" s="133"/>
      <c r="B2959" s="128" t="str">
        <f t="shared" si="312"/>
        <v>NAMS</v>
      </c>
      <c r="C2959" s="128" t="str">
        <f>+VLOOKUP(U2959,Ходим!A:B,2,0)</f>
        <v>52710005960025</v>
      </c>
      <c r="D2959" s="128" t="str">
        <f>IFERROR(VLOOKUP($B:$B,[20]свод!$A:$AB,3,0)," ")</f>
        <v>Наманган шаҳар</v>
      </c>
      <c r="E2959" s="7" t="s">
        <v>4091</v>
      </c>
      <c r="F2959" s="7" t="s">
        <v>10456</v>
      </c>
      <c r="G2959" s="134">
        <f t="shared" si="313"/>
        <v>1</v>
      </c>
      <c r="H2959" s="134" t="str">
        <f t="shared" si="314"/>
        <v/>
      </c>
      <c r="I2959" s="7" t="s">
        <v>158</v>
      </c>
      <c r="J2959" s="7" t="s">
        <v>2</v>
      </c>
      <c r="K2959" s="7"/>
      <c r="L2959" s="7" t="s">
        <v>167</v>
      </c>
      <c r="M2959" s="7" t="s">
        <v>6169</v>
      </c>
      <c r="N2959" s="7" t="s">
        <v>170</v>
      </c>
      <c r="O2959" s="7" t="s">
        <v>162</v>
      </c>
      <c r="P2959" s="7" t="s">
        <v>7504</v>
      </c>
      <c r="Q2959" s="129">
        <v>46199</v>
      </c>
      <c r="R2959" s="130">
        <f t="shared" si="315"/>
        <v>46210</v>
      </c>
      <c r="S2959" s="131">
        <f t="shared" si="316"/>
        <v>11</v>
      </c>
      <c r="T2959" s="7" t="s">
        <v>185</v>
      </c>
      <c r="U2959" s="7" t="s">
        <v>274</v>
      </c>
      <c r="V2959" s="7"/>
      <c r="W2959" s="7">
        <v>323.32</v>
      </c>
      <c r="X2959" s="132">
        <f t="shared" si="317"/>
        <v>10</v>
      </c>
      <c r="Y2959" s="133"/>
      <c r="Z2959" s="133"/>
      <c r="AA2959" s="133"/>
    </row>
    <row r="2960" spans="1:27" hidden="1" x14ac:dyDescent="0.25">
      <c r="A2960" s="133"/>
      <c r="B2960" s="128" t="str">
        <f t="shared" si="312"/>
        <v>CHOT</v>
      </c>
      <c r="C2960" s="128" t="str">
        <f>+VLOOKUP(U2960,Ходим!A:B,2,0)</f>
        <v>31904922100113</v>
      </c>
      <c r="D2960" s="128" t="str">
        <f>IFERROR(VLOOKUP($B:$B,[20]свод!$A:$AB,3,0)," ")</f>
        <v>Чортоқ тумани</v>
      </c>
      <c r="E2960" s="7" t="s">
        <v>4092</v>
      </c>
      <c r="F2960" s="7" t="s">
        <v>10457</v>
      </c>
      <c r="G2960" s="134">
        <f t="shared" si="313"/>
        <v>1</v>
      </c>
      <c r="H2960" s="134" t="str">
        <f t="shared" si="314"/>
        <v/>
      </c>
      <c r="I2960" s="7" t="s">
        <v>158</v>
      </c>
      <c r="J2960" s="7" t="s">
        <v>172</v>
      </c>
      <c r="K2960" s="7"/>
      <c r="L2960" s="7" t="s">
        <v>167</v>
      </c>
      <c r="M2960" s="7" t="s">
        <v>6170</v>
      </c>
      <c r="N2960" s="7" t="s">
        <v>170</v>
      </c>
      <c r="O2960" s="7" t="s">
        <v>162</v>
      </c>
      <c r="P2960" s="7" t="s">
        <v>7504</v>
      </c>
      <c r="Q2960" s="129">
        <v>46199</v>
      </c>
      <c r="R2960" s="130">
        <f t="shared" si="315"/>
        <v>46210</v>
      </c>
      <c r="S2960" s="131">
        <f t="shared" si="316"/>
        <v>11</v>
      </c>
      <c r="T2960" s="7" t="s">
        <v>184</v>
      </c>
      <c r="U2960" s="7" t="s">
        <v>310</v>
      </c>
      <c r="V2960" s="7"/>
      <c r="W2960" s="7">
        <v>0</v>
      </c>
      <c r="X2960" s="132">
        <f t="shared" si="317"/>
        <v>10</v>
      </c>
      <c r="Y2960" s="133"/>
      <c r="Z2960" s="133"/>
      <c r="AA2960" s="133"/>
    </row>
    <row r="2961" spans="1:27" hidden="1" x14ac:dyDescent="0.25">
      <c r="A2961" s="133"/>
      <c r="B2961" s="128" t="str">
        <f t="shared" si="312"/>
        <v>CHUT</v>
      </c>
      <c r="C2961" s="128" t="str">
        <f>+VLOOKUP(U2961,Ходим!A:B,2,0)</f>
        <v>31910975970049</v>
      </c>
      <c r="D2961" s="128" t="str">
        <f>IFERROR(VLOOKUP($B:$B,[20]свод!$A:$AB,3,0)," ")</f>
        <v>Чуст тумани</v>
      </c>
      <c r="E2961" s="7" t="s">
        <v>4093</v>
      </c>
      <c r="F2961" s="7" t="s">
        <v>10458</v>
      </c>
      <c r="G2961" s="134" t="str">
        <f t="shared" si="313"/>
        <v/>
      </c>
      <c r="H2961" s="134">
        <f t="shared" si="314"/>
        <v>1</v>
      </c>
      <c r="I2961" s="7" t="s">
        <v>155</v>
      </c>
      <c r="J2961" s="7" t="s">
        <v>22</v>
      </c>
      <c r="K2961" s="7"/>
      <c r="L2961" s="7" t="s">
        <v>168</v>
      </c>
      <c r="M2961" s="7" t="s">
        <v>6171</v>
      </c>
      <c r="N2961" s="7" t="s">
        <v>410</v>
      </c>
      <c r="O2961" s="7" t="s">
        <v>161</v>
      </c>
      <c r="P2961" s="7" t="s">
        <v>7504</v>
      </c>
      <c r="Q2961" s="129">
        <v>46199</v>
      </c>
      <c r="R2961" s="130">
        <f t="shared" si="315"/>
        <v>46205</v>
      </c>
      <c r="S2961" s="131">
        <f t="shared" si="316"/>
        <v>6</v>
      </c>
      <c r="T2961" s="7" t="s">
        <v>178</v>
      </c>
      <c r="U2961" s="7" t="s">
        <v>352</v>
      </c>
      <c r="V2961" s="7"/>
      <c r="W2961" s="7">
        <v>0</v>
      </c>
      <c r="X2961" s="132">
        <f t="shared" si="317"/>
        <v>7</v>
      </c>
      <c r="Y2961" s="133"/>
      <c r="Z2961" s="133"/>
      <c r="AA2961" s="133"/>
    </row>
    <row r="2962" spans="1:27" hidden="1" x14ac:dyDescent="0.25">
      <c r="A2962" s="133"/>
      <c r="B2962" s="128" t="str">
        <f t="shared" si="312"/>
        <v>CHUT</v>
      </c>
      <c r="C2962" s="128" t="str">
        <f>+VLOOKUP(U2962,Ходим!A:B,2,0)</f>
        <v>32304995970021</v>
      </c>
      <c r="D2962" s="128" t="str">
        <f>IFERROR(VLOOKUP($B:$B,[20]свод!$A:$AB,3,0)," ")</f>
        <v>Чуст тумани</v>
      </c>
      <c r="E2962" s="7" t="s">
        <v>4094</v>
      </c>
      <c r="F2962" s="7" t="s">
        <v>10459</v>
      </c>
      <c r="G2962" s="134">
        <f t="shared" si="313"/>
        <v>1</v>
      </c>
      <c r="H2962" s="134" t="str">
        <f t="shared" si="314"/>
        <v/>
      </c>
      <c r="I2962" s="7" t="s">
        <v>158</v>
      </c>
      <c r="J2962" s="7" t="s">
        <v>1</v>
      </c>
      <c r="K2962" s="7"/>
      <c r="L2962" s="7" t="s">
        <v>167</v>
      </c>
      <c r="M2962" s="7" t="s">
        <v>1043</v>
      </c>
      <c r="N2962" s="7" t="s">
        <v>170</v>
      </c>
      <c r="O2962" s="7" t="s">
        <v>163</v>
      </c>
      <c r="P2962" s="7" t="s">
        <v>7504</v>
      </c>
      <c r="Q2962" s="129">
        <v>46199</v>
      </c>
      <c r="R2962" s="130">
        <f t="shared" si="315"/>
        <v>46210</v>
      </c>
      <c r="S2962" s="131">
        <f t="shared" si="316"/>
        <v>11</v>
      </c>
      <c r="T2962" s="7" t="s">
        <v>178</v>
      </c>
      <c r="U2962" s="7" t="s">
        <v>938</v>
      </c>
      <c r="V2962" s="7"/>
      <c r="W2962" s="7">
        <v>416.05</v>
      </c>
      <c r="X2962" s="132">
        <f t="shared" si="317"/>
        <v>10</v>
      </c>
      <c r="Y2962" s="133"/>
      <c r="Z2962" s="133"/>
      <c r="AA2962" s="133"/>
    </row>
    <row r="2963" spans="1:27" hidden="1" x14ac:dyDescent="0.25">
      <c r="A2963" s="133"/>
      <c r="B2963" s="128" t="str">
        <f t="shared" si="312"/>
        <v>POPT</v>
      </c>
      <c r="C2963" s="128" t="str">
        <f>+VLOOKUP(U2963,Ходим!A:B,2,0)</f>
        <v>50608025910024</v>
      </c>
      <c r="D2963" s="128" t="str">
        <f>IFERROR(VLOOKUP($B:$B,[20]свод!$A:$AB,3,0)," ")</f>
        <v>Поп тумани</v>
      </c>
      <c r="E2963" s="7" t="s">
        <v>4095</v>
      </c>
      <c r="F2963" s="7" t="s">
        <v>10460</v>
      </c>
      <c r="G2963" s="134" t="str">
        <f t="shared" si="313"/>
        <v/>
      </c>
      <c r="H2963" s="134">
        <f t="shared" si="314"/>
        <v>1</v>
      </c>
      <c r="I2963" s="7" t="s">
        <v>155</v>
      </c>
      <c r="J2963" s="7" t="s">
        <v>25</v>
      </c>
      <c r="K2963" s="7"/>
      <c r="L2963" s="7" t="s">
        <v>1017</v>
      </c>
      <c r="M2963" s="7" t="s">
        <v>6172</v>
      </c>
      <c r="N2963" s="7" t="s">
        <v>410</v>
      </c>
      <c r="O2963" s="7" t="s">
        <v>161</v>
      </c>
      <c r="P2963" s="7" t="s">
        <v>7505</v>
      </c>
      <c r="Q2963" s="129">
        <v>46199</v>
      </c>
      <c r="R2963" s="130">
        <f t="shared" si="315"/>
        <v>46205</v>
      </c>
      <c r="S2963" s="131">
        <f t="shared" si="316"/>
        <v>6</v>
      </c>
      <c r="T2963" s="7" t="s">
        <v>214</v>
      </c>
      <c r="U2963" s="7" t="s">
        <v>283</v>
      </c>
      <c r="V2963" s="7"/>
      <c r="W2963" s="7">
        <v>0</v>
      </c>
      <c r="X2963" s="132">
        <f t="shared" si="317"/>
        <v>7</v>
      </c>
      <c r="Y2963" s="133"/>
      <c r="Z2963" s="133"/>
      <c r="AA2963" s="133"/>
    </row>
    <row r="2964" spans="1:27" hidden="1" x14ac:dyDescent="0.25">
      <c r="A2964" s="133"/>
      <c r="B2964" s="128" t="str">
        <f t="shared" si="312"/>
        <v>NAMS</v>
      </c>
      <c r="C2964" s="128" t="str">
        <f>+VLOOKUP(U2964,Ходим!A:B,2,0)</f>
        <v>30108932170088</v>
      </c>
      <c r="D2964" s="128" t="str">
        <f>IFERROR(VLOOKUP($B:$B,[20]свод!$A:$AB,3,0)," ")</f>
        <v>Наманган шаҳар</v>
      </c>
      <c r="E2964" s="7" t="s">
        <v>4096</v>
      </c>
      <c r="F2964" s="7" t="s">
        <v>10461</v>
      </c>
      <c r="G2964" s="134">
        <f t="shared" si="313"/>
        <v>1</v>
      </c>
      <c r="H2964" s="134" t="str">
        <f t="shared" si="314"/>
        <v/>
      </c>
      <c r="I2964" s="7" t="s">
        <v>156</v>
      </c>
      <c r="J2964" s="7" t="s">
        <v>22</v>
      </c>
      <c r="K2964" s="7"/>
      <c r="L2964" s="7"/>
      <c r="M2964" s="7"/>
      <c r="N2964" s="7" t="s">
        <v>170</v>
      </c>
      <c r="O2964" s="7" t="s">
        <v>162</v>
      </c>
      <c r="P2964" s="7" t="s">
        <v>7505</v>
      </c>
      <c r="Q2964" s="129">
        <v>46199</v>
      </c>
      <c r="R2964" s="130">
        <f t="shared" si="315"/>
        <v>46210</v>
      </c>
      <c r="S2964" s="131">
        <f t="shared" si="316"/>
        <v>11</v>
      </c>
      <c r="T2964" s="7" t="s">
        <v>173</v>
      </c>
      <c r="U2964" s="7" t="s">
        <v>329</v>
      </c>
      <c r="V2964" s="7"/>
      <c r="W2964" s="7"/>
      <c r="X2964" s="132">
        <f t="shared" si="317"/>
        <v>10</v>
      </c>
      <c r="Y2964" s="133"/>
      <c r="Z2964" s="133"/>
      <c r="AA2964" s="133"/>
    </row>
    <row r="2965" spans="1:27" hidden="1" x14ac:dyDescent="0.25">
      <c r="A2965" s="133"/>
      <c r="B2965" s="128" t="str">
        <f t="shared" si="312"/>
        <v>CHUT</v>
      </c>
      <c r="C2965" s="128" t="str">
        <f>+VLOOKUP(U2965,Ходим!A:B,2,0)</f>
        <v>30901882180031</v>
      </c>
      <c r="D2965" s="128" t="str">
        <f>IFERROR(VLOOKUP($B:$B,[20]свод!$A:$AB,3,0)," ")</f>
        <v>Чуст тумани</v>
      </c>
      <c r="E2965" s="7" t="s">
        <v>4097</v>
      </c>
      <c r="F2965" s="7" t="s">
        <v>10462</v>
      </c>
      <c r="G2965" s="134" t="str">
        <f t="shared" si="313"/>
        <v/>
      </c>
      <c r="H2965" s="134">
        <f t="shared" si="314"/>
        <v>1</v>
      </c>
      <c r="I2965" s="7" t="s">
        <v>155</v>
      </c>
      <c r="J2965" s="7" t="s">
        <v>11</v>
      </c>
      <c r="K2965" s="7"/>
      <c r="L2965" s="7" t="s">
        <v>168</v>
      </c>
      <c r="M2965" s="7" t="s">
        <v>6173</v>
      </c>
      <c r="N2965" s="7" t="s">
        <v>170</v>
      </c>
      <c r="O2965" s="7" t="s">
        <v>161</v>
      </c>
      <c r="P2965" s="7" t="s">
        <v>7505</v>
      </c>
      <c r="Q2965" s="129">
        <v>46199</v>
      </c>
      <c r="R2965" s="130">
        <f t="shared" si="315"/>
        <v>46205</v>
      </c>
      <c r="S2965" s="131">
        <f t="shared" si="316"/>
        <v>6</v>
      </c>
      <c r="T2965" s="7" t="s">
        <v>178</v>
      </c>
      <c r="U2965" s="7" t="s">
        <v>238</v>
      </c>
      <c r="V2965" s="7"/>
      <c r="W2965" s="7">
        <v>0</v>
      </c>
      <c r="X2965" s="132">
        <f t="shared" si="317"/>
        <v>7</v>
      </c>
      <c r="Y2965" s="133"/>
      <c r="Z2965" s="133"/>
      <c r="AA2965" s="133"/>
    </row>
    <row r="2966" spans="1:27" hidden="1" x14ac:dyDescent="0.25">
      <c r="A2966" s="133"/>
      <c r="B2966" s="128" t="str">
        <f t="shared" si="312"/>
        <v>MINT</v>
      </c>
      <c r="C2966" s="128" t="e">
        <f>+VLOOKUP(U2966,Ходим!A:B,2,0)</f>
        <v>#N/A</v>
      </c>
      <c r="D2966" s="128" t="str">
        <f>IFERROR(VLOOKUP($B:$B,[20]свод!$A:$AB,3,0)," ")</f>
        <v>Мингбулоқ тумани</v>
      </c>
      <c r="E2966" s="7" t="s">
        <v>4098</v>
      </c>
      <c r="F2966" s="7" t="s">
        <v>10463</v>
      </c>
      <c r="G2966" s="134">
        <f t="shared" si="313"/>
        <v>1</v>
      </c>
      <c r="H2966" s="134" t="str">
        <f t="shared" si="314"/>
        <v/>
      </c>
      <c r="I2966" s="7" t="s">
        <v>159</v>
      </c>
      <c r="J2966" s="7" t="s">
        <v>137</v>
      </c>
      <c r="K2966" s="7"/>
      <c r="L2966" s="7" t="s">
        <v>167</v>
      </c>
      <c r="M2966" s="7" t="s">
        <v>6174</v>
      </c>
      <c r="N2966" s="7" t="s">
        <v>410</v>
      </c>
      <c r="O2966" s="7" t="s">
        <v>163</v>
      </c>
      <c r="P2966" s="7" t="s">
        <v>7505</v>
      </c>
      <c r="Q2966" s="129">
        <v>46199</v>
      </c>
      <c r="R2966" s="130">
        <f t="shared" si="315"/>
        <v>46210</v>
      </c>
      <c r="S2966" s="131">
        <f t="shared" si="316"/>
        <v>11</v>
      </c>
      <c r="T2966" s="7"/>
      <c r="U2966" s="7"/>
      <c r="V2966" s="7"/>
      <c r="W2966" s="7">
        <v>308.60000000000002</v>
      </c>
      <c r="X2966" s="132">
        <f t="shared" si="317"/>
        <v>10</v>
      </c>
      <c r="Y2966" s="133"/>
      <c r="Z2966" s="133"/>
      <c r="AA2966" s="133"/>
    </row>
    <row r="2967" spans="1:27" hidden="1" x14ac:dyDescent="0.25">
      <c r="A2967" s="133"/>
      <c r="B2967" s="128" t="str">
        <f t="shared" si="312"/>
        <v>MINT</v>
      </c>
      <c r="C2967" s="128" t="str">
        <f>+VLOOKUP(U2967,Ходим!A:B,2,0)</f>
        <v>31005942200035</v>
      </c>
      <c r="D2967" s="128" t="str">
        <f>IFERROR(VLOOKUP($B:$B,[20]свод!$A:$AB,3,0)," ")</f>
        <v>Мингбулоқ тумани</v>
      </c>
      <c r="E2967" s="7" t="s">
        <v>4099</v>
      </c>
      <c r="F2967" s="7" t="s">
        <v>10464</v>
      </c>
      <c r="G2967" s="134">
        <f t="shared" si="313"/>
        <v>1</v>
      </c>
      <c r="H2967" s="134" t="str">
        <f t="shared" si="314"/>
        <v/>
      </c>
      <c r="I2967" s="7" t="s">
        <v>158</v>
      </c>
      <c r="J2967" s="7" t="s">
        <v>2</v>
      </c>
      <c r="K2967" s="7"/>
      <c r="L2967" s="7" t="s">
        <v>167</v>
      </c>
      <c r="M2967" s="7" t="s">
        <v>6175</v>
      </c>
      <c r="N2967" s="7" t="s">
        <v>170</v>
      </c>
      <c r="O2967" s="7" t="s">
        <v>162</v>
      </c>
      <c r="P2967" s="7" t="s">
        <v>6341</v>
      </c>
      <c r="Q2967" s="129">
        <v>46199</v>
      </c>
      <c r="R2967" s="130">
        <f t="shared" si="315"/>
        <v>46204</v>
      </c>
      <c r="S2967" s="131">
        <f t="shared" si="316"/>
        <v>5</v>
      </c>
      <c r="T2967" s="7" t="s">
        <v>220</v>
      </c>
      <c r="U2967" s="7" t="s">
        <v>222</v>
      </c>
      <c r="V2967" s="7"/>
      <c r="W2967" s="7">
        <v>127.72</v>
      </c>
      <c r="X2967" s="132">
        <f t="shared" si="317"/>
        <v>10</v>
      </c>
      <c r="Y2967" s="133"/>
      <c r="Z2967" s="133"/>
      <c r="AA2967" s="133"/>
    </row>
    <row r="2968" spans="1:27" hidden="1" x14ac:dyDescent="0.25">
      <c r="A2968" s="133"/>
      <c r="B2968" s="128" t="str">
        <f t="shared" si="312"/>
        <v>POPT</v>
      </c>
      <c r="C2968" s="128" t="str">
        <f>+VLOOKUP(U2968,Ходим!A:B,2,0)</f>
        <v>31103842180041</v>
      </c>
      <c r="D2968" s="128" t="str">
        <f>IFERROR(VLOOKUP($B:$B,[20]свод!$A:$AB,3,0)," ")</f>
        <v>Поп тумани</v>
      </c>
      <c r="E2968" s="7" t="s">
        <v>4100</v>
      </c>
      <c r="F2968" s="7" t="s">
        <v>10465</v>
      </c>
      <c r="G2968" s="134" t="str">
        <f t="shared" si="313"/>
        <v/>
      </c>
      <c r="H2968" s="134">
        <f t="shared" si="314"/>
        <v>1</v>
      </c>
      <c r="I2968" s="7" t="s">
        <v>157</v>
      </c>
      <c r="J2968" s="7" t="s">
        <v>36</v>
      </c>
      <c r="K2968" s="7"/>
      <c r="L2968" s="7" t="s">
        <v>166</v>
      </c>
      <c r="M2968" s="7" t="s">
        <v>6176</v>
      </c>
      <c r="N2968" s="7" t="s">
        <v>410</v>
      </c>
      <c r="O2968" s="7" t="s">
        <v>161</v>
      </c>
      <c r="P2968" s="7" t="s">
        <v>6497</v>
      </c>
      <c r="Q2968" s="129">
        <v>46199</v>
      </c>
      <c r="R2968" s="130">
        <f t="shared" si="315"/>
        <v>46216</v>
      </c>
      <c r="S2968" s="131">
        <f t="shared" si="316"/>
        <v>17</v>
      </c>
      <c r="T2968" s="7" t="s">
        <v>214</v>
      </c>
      <c r="U2968" s="7" t="s">
        <v>337</v>
      </c>
      <c r="V2968" s="7"/>
      <c r="W2968" s="7">
        <v>2582.6999999999998</v>
      </c>
      <c r="X2968" s="132">
        <f t="shared" si="317"/>
        <v>17</v>
      </c>
      <c r="Y2968" s="133"/>
      <c r="Z2968" s="133"/>
      <c r="AA2968" s="133"/>
    </row>
    <row r="2969" spans="1:27" hidden="1" x14ac:dyDescent="0.25">
      <c r="A2969" s="133"/>
      <c r="B2969" s="128" t="str">
        <f t="shared" si="312"/>
        <v>NAMS</v>
      </c>
      <c r="C2969" s="128" t="str">
        <f>+VLOOKUP(U2969,Ходим!A:B,2,0)</f>
        <v>52503015960039</v>
      </c>
      <c r="D2969" s="128" t="str">
        <f>IFERROR(VLOOKUP($B:$B,[20]свод!$A:$AB,3,0)," ")</f>
        <v>Наманган шаҳар</v>
      </c>
      <c r="E2969" s="7" t="s">
        <v>4101</v>
      </c>
      <c r="F2969" s="7" t="s">
        <v>10466</v>
      </c>
      <c r="G2969" s="134" t="str">
        <f t="shared" si="313"/>
        <v/>
      </c>
      <c r="H2969" s="134">
        <f t="shared" si="314"/>
        <v>1</v>
      </c>
      <c r="I2969" s="7" t="s">
        <v>157</v>
      </c>
      <c r="J2969" s="7" t="s">
        <v>2</v>
      </c>
      <c r="K2969" s="7"/>
      <c r="L2969" s="7" t="s">
        <v>166</v>
      </c>
      <c r="M2969" s="7" t="s">
        <v>6177</v>
      </c>
      <c r="N2969" s="7" t="s">
        <v>410</v>
      </c>
      <c r="O2969" s="7" t="s">
        <v>161</v>
      </c>
      <c r="P2969" s="7" t="s">
        <v>7506</v>
      </c>
      <c r="Q2969" s="129">
        <v>46199</v>
      </c>
      <c r="R2969" s="130">
        <f t="shared" si="315"/>
        <v>46210</v>
      </c>
      <c r="S2969" s="131">
        <f t="shared" si="316"/>
        <v>11</v>
      </c>
      <c r="T2969" s="7" t="s">
        <v>227</v>
      </c>
      <c r="U2969" s="7" t="s">
        <v>246</v>
      </c>
      <c r="V2969" s="7"/>
      <c r="W2969" s="7">
        <v>0</v>
      </c>
      <c r="X2969" s="132">
        <f t="shared" si="317"/>
        <v>10</v>
      </c>
      <c r="Y2969" s="133"/>
      <c r="Z2969" s="133"/>
      <c r="AA2969" s="133"/>
    </row>
    <row r="2970" spans="1:27" hidden="1" x14ac:dyDescent="0.25">
      <c r="A2970" s="133"/>
      <c r="B2970" s="128" t="str">
        <f t="shared" si="312"/>
        <v>NAMS</v>
      </c>
      <c r="C2970" s="128" t="str">
        <f>+VLOOKUP(U2970,Ходим!A:B,2,0)</f>
        <v>30809892160183</v>
      </c>
      <c r="D2970" s="128" t="str">
        <f>IFERROR(VLOOKUP($B:$B,[20]свод!$A:$AB,3,0)," ")</f>
        <v>Наманган шаҳар</v>
      </c>
      <c r="E2970" s="7" t="s">
        <v>4102</v>
      </c>
      <c r="F2970" s="7" t="s">
        <v>10467</v>
      </c>
      <c r="G2970" s="134" t="str">
        <f t="shared" si="313"/>
        <v/>
      </c>
      <c r="H2970" s="134">
        <f t="shared" si="314"/>
        <v>1</v>
      </c>
      <c r="I2970" s="7" t="s">
        <v>155</v>
      </c>
      <c r="J2970" s="7" t="s">
        <v>11</v>
      </c>
      <c r="K2970" s="7"/>
      <c r="L2970" s="7"/>
      <c r="M2970" s="7"/>
      <c r="N2970" s="7" t="s">
        <v>170</v>
      </c>
      <c r="O2970" s="7" t="s">
        <v>161</v>
      </c>
      <c r="P2970" s="7" t="s">
        <v>7506</v>
      </c>
      <c r="Q2970" s="129">
        <v>46199</v>
      </c>
      <c r="R2970" s="130">
        <f t="shared" si="315"/>
        <v>46210</v>
      </c>
      <c r="S2970" s="131">
        <f t="shared" si="316"/>
        <v>11</v>
      </c>
      <c r="T2970" s="7" t="s">
        <v>185</v>
      </c>
      <c r="U2970" s="7" t="s">
        <v>192</v>
      </c>
      <c r="V2970" s="7"/>
      <c r="W2970" s="7"/>
      <c r="X2970" s="132">
        <f t="shared" si="317"/>
        <v>10</v>
      </c>
      <c r="Y2970" s="133"/>
      <c r="Z2970" s="133"/>
      <c r="AA2970" s="133"/>
    </row>
    <row r="2971" spans="1:27" hidden="1" x14ac:dyDescent="0.25">
      <c r="A2971" s="133"/>
      <c r="B2971" s="128" t="str">
        <f t="shared" ref="B2971:B3034" si="318">LEFT(E2971,4)</f>
        <v>UCQT</v>
      </c>
      <c r="C2971" s="128" t="e">
        <f>+VLOOKUP(U2971,Ходим!A:B,2,0)</f>
        <v>#N/A</v>
      </c>
      <c r="D2971" s="128" t="str">
        <f>IFERROR(VLOOKUP($B:$B,[20]свод!$A:$AB,3,0)," ")</f>
        <v>Учқўрғон тумани</v>
      </c>
      <c r="E2971" s="7" t="s">
        <v>4103</v>
      </c>
      <c r="F2971" s="7" t="s">
        <v>10468</v>
      </c>
      <c r="G2971" s="134">
        <f t="shared" ref="G2971:G3034" si="319">IF(OR(
I2971="Turar joy obyektning kadastr pasportini shakllantirish va davlat ro'yxatidan o'tkazish",
I2971="Turar kompozit"
),
1,
IF(OR(
I2971="Noturar kompozit",
I2971="Avtoyo'l va suv xo'jaligi obyektining kadastr pasportini shakllantirish va ro'yxatga olish",
I2971="Noturar obyektning kadastr pasportining kadastr pasportini shakllantirish va davlat ro'yxatidan o'tkazish"
),
"",
IF(OR(
I2971="Notarius uchun ma'lumotnoma (uz)",
I2971="Qurilishi tugallangan ko'chmas mulkni foydalanishga qabul qilish",
I2971="Umumiy foydalanishdagi ko'chmas mulk qismini yaratish",
I2971="Registratsiya (tashqi - UZKAD da bor)"
),
IF(OR(L2971="Turar yer maydoni",L2971="Yakka tartibdagi turar joy"),1,
IF(L2971="Noturar bino","",
IF(L2971="Noturar yer maydoni","",
IF(L2971="",IF(OR(O2971="Turar joy xizmati",O2971="Foydalanishga ruxsatnoma berish xizmati"),1,""),"")
))),
"")))</f>
        <v>1</v>
      </c>
      <c r="H2971" s="134" t="str">
        <f t="shared" ref="H2971:H3034" si="320">IF(OR(
I2971="Turar joy obyektning kadastr pasportini shakllantirish va davlat ro'yxatidan o'tkazish",
I2971="Turar kompozit"
),
"",
IF(OR(
I2971="Noturar kompozit",
I2971="Avtoyo'l va suv xo'jaligi obyektining kadastr pasportini shakllantirish va ro'yxatga olish",
I2971="Noturar obyektning kadastr pasportini shakllantirish va davlat ro'yxatidan o'tkazish"
),
1,
IF(OR(
I2971="Notarius uchun ma'lumotnoma (uz)",
I2971="Qurilishi tugallangan ko'chmas mulkni foydalanishga qabul qilish",
I2971="Umumiy foydalanishdagi ko'chmas mulk qismini yaratish",
I2971="Registratsiya (tashqi - UZKAD da bor)"
),
IF(OR(L2971="Turar yer maydoni",L2971="Yakka tartibdagi turar joy"),"",
IF(L2971="Noturar bino",1,
IF(L2971="Noturar yer maydoni",1,
IF(L2971="",IF(OR(O2971="Turar joy xizmati",O2971="Foydalanishga ruxsatnoma berish xizmati"),"",1),"")
))),
"")))</f>
        <v/>
      </c>
      <c r="I2971" s="7" t="s">
        <v>156</v>
      </c>
      <c r="J2971" s="7" t="s">
        <v>11</v>
      </c>
      <c r="K2971" s="7"/>
      <c r="L2971" s="7"/>
      <c r="M2971" s="7"/>
      <c r="N2971" s="7" t="s">
        <v>170</v>
      </c>
      <c r="O2971" s="7" t="s">
        <v>162</v>
      </c>
      <c r="P2971" s="7" t="s">
        <v>7506</v>
      </c>
      <c r="Q2971" s="129">
        <v>46199</v>
      </c>
      <c r="R2971" s="130">
        <f t="shared" ref="R2971:R3034" si="321">WORKDAY(P2971,X2971,$Y$1:$AA$1)</f>
        <v>46210</v>
      </c>
      <c r="S2971" s="131">
        <f t="shared" ref="S2971:S3034" si="322">R2971-Q2971</f>
        <v>11</v>
      </c>
      <c r="T2971" s="7" t="s">
        <v>175</v>
      </c>
      <c r="U2971" s="7"/>
      <c r="V2971" s="7"/>
      <c r="W2971" s="7"/>
      <c r="X2971" s="132">
        <f t="shared" ref="X2971:X3034" si="323">IF(N2971="Kadastr muhandisi",3,
IF(N2971="UZKAD",5,
IF(V2971="FREE",5,
IF(I2971="Registratsiya (tashqi - UZKAD da bor)",1,
IF(I2971="Avtoyo'l va suv xo'jaligi obyektining kadastr pasportini shakllantirish va ro'yxatga olish",7,
IF(I2971="Notarius uchun ma'lumotnoma (uz)",1,
IF(I2971="Qurilishi tugallangan ko'chmas mulkni foydalanishga qabul qilish",10,
IF(OR(I2971="Turar joy obyektning kadastr pasportini shakllantirish va davlat ro'yxatidan o'tkazish",I2971="Turar kompozit"),
IF(L2971="Turar yer maydoni",7,10),
IF(OR(I2971="Noturar obyektning kadastr pasportini shakllantirish va davlat ro'yxatidan o'tkazish",I2971="Noturar kompozit"),
IF(O2971="Ko‘p yillik daraxtlar xizmati",15,
IF(OR(L2971="Noturar yer maydoni",L2971="Davlat tashkilotlaridan ijaraga olingan yer uchastkasi"),7,
IF(W2971&lt;100,10,IF(W2971&lt;=1000,12,IF(W2971&lt;=5000,17,IF(W2971&lt;=15000,22,IF(W2971&lt;=50000,28,37))))))),
IF(I2971="Umumiy foydalanishdagi ko'chmas mulk qismini yaratish",
IF(IF(TRIM(L2971)="",IF(OR(O2971="Turar joy xizmati",O2971="Yakka tartibdagi turar joy"),"Turar","Noturar"),IF(OR(L2971="Yakka tartibdagi turar joy",L2971="Turar joy xizmati"),"Turar","Noturar"))="Turar",
10,IF(W2971&lt;100,10,IF(W2971&lt;=1000,12,IF(W2971&lt;=5000,17,IF(W2971&lt;=15000,22,IF(W2971&lt;=50000,28,37)))))),
0))))))))))</f>
        <v>10</v>
      </c>
      <c r="Y2971" s="133"/>
      <c r="Z2971" s="133"/>
      <c r="AA2971" s="133"/>
    </row>
    <row r="2972" spans="1:27" hidden="1" x14ac:dyDescent="0.25">
      <c r="A2972" s="133"/>
      <c r="B2972" s="128" t="str">
        <f t="shared" si="318"/>
        <v>UYCT</v>
      </c>
      <c r="C2972" s="128" t="str">
        <f>+VLOOKUP(U2972,Ходим!A:B,2,0)</f>
        <v>50304035930044</v>
      </c>
      <c r="D2972" s="128" t="str">
        <f>IFERROR(VLOOKUP($B:$B,[20]свод!$A:$AB,3,0)," ")</f>
        <v>Уйчи тумани</v>
      </c>
      <c r="E2972" s="7" t="s">
        <v>4104</v>
      </c>
      <c r="F2972" s="7" t="s">
        <v>10469</v>
      </c>
      <c r="G2972" s="134" t="str">
        <f t="shared" si="319"/>
        <v/>
      </c>
      <c r="H2972" s="134">
        <f t="shared" si="320"/>
        <v>1</v>
      </c>
      <c r="I2972" s="7" t="s">
        <v>155</v>
      </c>
      <c r="J2972" s="7" t="s">
        <v>25</v>
      </c>
      <c r="K2972" s="7"/>
      <c r="L2972" s="7"/>
      <c r="M2972" s="7"/>
      <c r="N2972" s="7" t="s">
        <v>410</v>
      </c>
      <c r="O2972" s="7" t="s">
        <v>161</v>
      </c>
      <c r="P2972" s="7" t="s">
        <v>7506</v>
      </c>
      <c r="Q2972" s="129">
        <v>46199</v>
      </c>
      <c r="R2972" s="130">
        <f t="shared" si="321"/>
        <v>46210</v>
      </c>
      <c r="S2972" s="131">
        <f t="shared" si="322"/>
        <v>11</v>
      </c>
      <c r="T2972" s="7" t="s">
        <v>947</v>
      </c>
      <c r="U2972" s="7" t="s">
        <v>956</v>
      </c>
      <c r="V2972" s="7"/>
      <c r="W2972" s="7"/>
      <c r="X2972" s="132">
        <f t="shared" si="323"/>
        <v>10</v>
      </c>
      <c r="Y2972" s="133"/>
      <c r="Z2972" s="133"/>
      <c r="AA2972" s="133"/>
    </row>
    <row r="2973" spans="1:27" hidden="1" x14ac:dyDescent="0.25">
      <c r="A2973" s="133"/>
      <c r="B2973" s="128" t="str">
        <f t="shared" si="318"/>
        <v>TORT</v>
      </c>
      <c r="C2973" s="128" t="str">
        <f>+VLOOKUP(U2973,Ходим!A:B,2,0)</f>
        <v>40302922130046</v>
      </c>
      <c r="D2973" s="128" t="str">
        <f>IFERROR(VLOOKUP($B:$B,[20]свод!$A:$AB,3,0)," ")</f>
        <v>Тўрақўрғон тумани</v>
      </c>
      <c r="E2973" s="7" t="s">
        <v>4105</v>
      </c>
      <c r="F2973" s="7" t="s">
        <v>10470</v>
      </c>
      <c r="G2973" s="134">
        <f t="shared" si="319"/>
        <v>1</v>
      </c>
      <c r="H2973" s="134" t="str">
        <f t="shared" si="320"/>
        <v/>
      </c>
      <c r="I2973" s="7" t="s">
        <v>158</v>
      </c>
      <c r="J2973" s="7" t="s">
        <v>172</v>
      </c>
      <c r="K2973" s="7"/>
      <c r="L2973" s="7" t="s">
        <v>167</v>
      </c>
      <c r="M2973" s="7" t="s">
        <v>6178</v>
      </c>
      <c r="N2973" s="7" t="s">
        <v>170</v>
      </c>
      <c r="O2973" s="7" t="s">
        <v>162</v>
      </c>
      <c r="P2973" s="7" t="s">
        <v>7506</v>
      </c>
      <c r="Q2973" s="129">
        <v>46199</v>
      </c>
      <c r="R2973" s="130">
        <f t="shared" si="321"/>
        <v>46210</v>
      </c>
      <c r="S2973" s="131">
        <f t="shared" si="322"/>
        <v>11</v>
      </c>
      <c r="T2973" s="7" t="s">
        <v>203</v>
      </c>
      <c r="U2973" s="7" t="s">
        <v>258</v>
      </c>
      <c r="V2973" s="7"/>
      <c r="W2973" s="7">
        <v>260.02</v>
      </c>
      <c r="X2973" s="132">
        <f t="shared" si="323"/>
        <v>10</v>
      </c>
      <c r="Y2973" s="133"/>
      <c r="Z2973" s="133"/>
      <c r="AA2973" s="133"/>
    </row>
    <row r="2974" spans="1:27" hidden="1" x14ac:dyDescent="0.25">
      <c r="A2974" s="133"/>
      <c r="B2974" s="128" t="str">
        <f t="shared" si="318"/>
        <v>NAMS</v>
      </c>
      <c r="C2974" s="128" t="str">
        <f>+VLOOKUP(U2974,Ходим!A:B,2,0)</f>
        <v>52601025870013</v>
      </c>
      <c r="D2974" s="128" t="str">
        <f>IFERROR(VLOOKUP($B:$B,[20]свод!$A:$AB,3,0)," ")</f>
        <v>Наманган шаҳар</v>
      </c>
      <c r="E2974" s="7" t="s">
        <v>4106</v>
      </c>
      <c r="F2974" s="7" t="s">
        <v>10471</v>
      </c>
      <c r="G2974" s="134">
        <f t="shared" si="319"/>
        <v>1</v>
      </c>
      <c r="H2974" s="134" t="str">
        <f t="shared" si="320"/>
        <v/>
      </c>
      <c r="I2974" s="7" t="s">
        <v>158</v>
      </c>
      <c r="J2974" s="7" t="s">
        <v>2</v>
      </c>
      <c r="K2974" s="7"/>
      <c r="L2974" s="7" t="s">
        <v>167</v>
      </c>
      <c r="M2974" s="7" t="s">
        <v>6179</v>
      </c>
      <c r="N2974" s="7" t="s">
        <v>170</v>
      </c>
      <c r="O2974" s="7" t="s">
        <v>162</v>
      </c>
      <c r="P2974" s="7" t="s">
        <v>7506</v>
      </c>
      <c r="Q2974" s="129">
        <v>46199</v>
      </c>
      <c r="R2974" s="130">
        <f t="shared" si="321"/>
        <v>46210</v>
      </c>
      <c r="S2974" s="131">
        <f t="shared" si="322"/>
        <v>11</v>
      </c>
      <c r="T2974" s="7" t="s">
        <v>173</v>
      </c>
      <c r="U2974" s="7" t="s">
        <v>405</v>
      </c>
      <c r="V2974" s="7"/>
      <c r="W2974" s="7">
        <v>452.66</v>
      </c>
      <c r="X2974" s="132">
        <f t="shared" si="323"/>
        <v>10</v>
      </c>
      <c r="Y2974" s="133"/>
      <c r="Z2974" s="133"/>
      <c r="AA2974" s="133"/>
    </row>
    <row r="2975" spans="1:27" hidden="1" x14ac:dyDescent="0.25">
      <c r="A2975" s="133"/>
      <c r="B2975" s="128" t="str">
        <f t="shared" si="318"/>
        <v>POPT</v>
      </c>
      <c r="C2975" s="128" t="str">
        <f>+VLOOKUP(U2975,Ходим!A:B,2,0)</f>
        <v>33110905910015</v>
      </c>
      <c r="D2975" s="128" t="str">
        <f>IFERROR(VLOOKUP($B:$B,[20]свод!$A:$AB,3,0)," ")</f>
        <v>Поп тумани</v>
      </c>
      <c r="E2975" s="7" t="s">
        <v>4107</v>
      </c>
      <c r="F2975" s="7" t="s">
        <v>10472</v>
      </c>
      <c r="G2975" s="134">
        <f t="shared" si="319"/>
        <v>1</v>
      </c>
      <c r="H2975" s="134" t="str">
        <f t="shared" si="320"/>
        <v/>
      </c>
      <c r="I2975" s="7" t="s">
        <v>158</v>
      </c>
      <c r="J2975" s="7" t="s">
        <v>12</v>
      </c>
      <c r="K2975" s="7"/>
      <c r="L2975" s="7" t="s">
        <v>167</v>
      </c>
      <c r="M2975" s="7" t="s">
        <v>6180</v>
      </c>
      <c r="N2975" s="7" t="s">
        <v>170</v>
      </c>
      <c r="O2975" s="7" t="s">
        <v>163</v>
      </c>
      <c r="P2975" s="7" t="s">
        <v>6759</v>
      </c>
      <c r="Q2975" s="129">
        <v>46199</v>
      </c>
      <c r="R2975" s="130">
        <f t="shared" si="321"/>
        <v>46204</v>
      </c>
      <c r="S2975" s="131">
        <f t="shared" si="322"/>
        <v>5</v>
      </c>
      <c r="T2975" s="7" t="s">
        <v>214</v>
      </c>
      <c r="U2975" s="7" t="s">
        <v>305</v>
      </c>
      <c r="V2975" s="7"/>
      <c r="W2975" s="7">
        <v>225.24</v>
      </c>
      <c r="X2975" s="132">
        <f t="shared" si="323"/>
        <v>10</v>
      </c>
      <c r="Y2975" s="133"/>
      <c r="Z2975" s="133"/>
      <c r="AA2975" s="133"/>
    </row>
    <row r="2976" spans="1:27" hidden="1" x14ac:dyDescent="0.25">
      <c r="A2976" s="133"/>
      <c r="B2976" s="128" t="str">
        <f t="shared" si="318"/>
        <v>TORT</v>
      </c>
      <c r="C2976" s="128" t="str">
        <f>+VLOOKUP(U2976,Ходим!A:B,2,0)</f>
        <v>51305035920029</v>
      </c>
      <c r="D2976" s="128" t="str">
        <f>IFERROR(VLOOKUP($B:$B,[20]свод!$A:$AB,3,0)," ")</f>
        <v>Тўрақўрғон тумани</v>
      </c>
      <c r="E2976" s="7" t="s">
        <v>4108</v>
      </c>
      <c r="F2976" s="7" t="s">
        <v>10473</v>
      </c>
      <c r="G2976" s="134">
        <f t="shared" si="319"/>
        <v>1</v>
      </c>
      <c r="H2976" s="134" t="str">
        <f t="shared" si="320"/>
        <v/>
      </c>
      <c r="I2976" s="7" t="s">
        <v>158</v>
      </c>
      <c r="J2976" s="7" t="s">
        <v>36</v>
      </c>
      <c r="K2976" s="7"/>
      <c r="L2976" s="7" t="s">
        <v>167</v>
      </c>
      <c r="M2976" s="7" t="s">
        <v>6181</v>
      </c>
      <c r="N2976" s="7" t="s">
        <v>170</v>
      </c>
      <c r="O2976" s="7" t="s">
        <v>163</v>
      </c>
      <c r="P2976" s="7" t="s">
        <v>7507</v>
      </c>
      <c r="Q2976" s="129">
        <v>46199</v>
      </c>
      <c r="R2976" s="130">
        <f t="shared" si="321"/>
        <v>46210</v>
      </c>
      <c r="S2976" s="131">
        <f t="shared" si="322"/>
        <v>11</v>
      </c>
      <c r="T2976" s="7" t="s">
        <v>203</v>
      </c>
      <c r="U2976" s="7" t="s">
        <v>316</v>
      </c>
      <c r="V2976" s="7"/>
      <c r="W2976" s="7">
        <v>512.13</v>
      </c>
      <c r="X2976" s="132">
        <f t="shared" si="323"/>
        <v>10</v>
      </c>
      <c r="Y2976" s="133"/>
      <c r="Z2976" s="133"/>
      <c r="AA2976" s="133"/>
    </row>
    <row r="2977" spans="1:27" hidden="1" x14ac:dyDescent="0.25">
      <c r="A2977" s="133"/>
      <c r="B2977" s="128" t="str">
        <f t="shared" si="318"/>
        <v>TORT</v>
      </c>
      <c r="C2977" s="128" t="str">
        <f>+VLOOKUP(U2977,Ходим!A:B,2,0)</f>
        <v>31704782130035</v>
      </c>
      <c r="D2977" s="128" t="str">
        <f>IFERROR(VLOOKUP($B:$B,[20]свод!$A:$AB,3,0)," ")</f>
        <v>Тўрақўрғон тумани</v>
      </c>
      <c r="E2977" s="7" t="s">
        <v>4109</v>
      </c>
      <c r="F2977" s="7" t="s">
        <v>10474</v>
      </c>
      <c r="G2977" s="134">
        <f t="shared" si="319"/>
        <v>1</v>
      </c>
      <c r="H2977" s="134" t="str">
        <f t="shared" si="320"/>
        <v/>
      </c>
      <c r="I2977" s="7" t="s">
        <v>156</v>
      </c>
      <c r="J2977" s="7" t="s">
        <v>25</v>
      </c>
      <c r="K2977" s="7"/>
      <c r="L2977" s="7"/>
      <c r="M2977" s="7"/>
      <c r="N2977" s="7" t="s">
        <v>170</v>
      </c>
      <c r="O2977" s="7" t="s">
        <v>162</v>
      </c>
      <c r="P2977" s="7" t="s">
        <v>7507</v>
      </c>
      <c r="Q2977" s="129">
        <v>46199</v>
      </c>
      <c r="R2977" s="130">
        <f t="shared" si="321"/>
        <v>46210</v>
      </c>
      <c r="S2977" s="131">
        <f t="shared" si="322"/>
        <v>11</v>
      </c>
      <c r="T2977" s="7" t="s">
        <v>203</v>
      </c>
      <c r="U2977" s="7" t="s">
        <v>344</v>
      </c>
      <c r="V2977" s="7"/>
      <c r="W2977" s="7"/>
      <c r="X2977" s="132">
        <f t="shared" si="323"/>
        <v>10</v>
      </c>
      <c r="Y2977" s="133"/>
      <c r="Z2977" s="133"/>
      <c r="AA2977" s="133"/>
    </row>
    <row r="2978" spans="1:27" hidden="1" x14ac:dyDescent="0.25">
      <c r="A2978" s="133"/>
      <c r="B2978" s="128" t="str">
        <f t="shared" si="318"/>
        <v>CHUT</v>
      </c>
      <c r="C2978" s="128" t="str">
        <f>+VLOOKUP(U2978,Ходим!A:B,2,0)</f>
        <v>52801005970043</v>
      </c>
      <c r="D2978" s="128" t="str">
        <f>IFERROR(VLOOKUP($B:$B,[20]свод!$A:$AB,3,0)," ")</f>
        <v>Чуст тумани</v>
      </c>
      <c r="E2978" s="7" t="s">
        <v>4110</v>
      </c>
      <c r="F2978" s="7" t="s">
        <v>10475</v>
      </c>
      <c r="G2978" s="134" t="str">
        <f t="shared" si="319"/>
        <v/>
      </c>
      <c r="H2978" s="134">
        <f t="shared" si="320"/>
        <v>1</v>
      </c>
      <c r="I2978" s="7" t="s">
        <v>155</v>
      </c>
      <c r="J2978" s="7" t="s">
        <v>25</v>
      </c>
      <c r="K2978" s="7"/>
      <c r="L2978" s="7" t="s">
        <v>168</v>
      </c>
      <c r="M2978" s="7" t="s">
        <v>6182</v>
      </c>
      <c r="N2978" s="7" t="s">
        <v>410</v>
      </c>
      <c r="O2978" s="7" t="s">
        <v>161</v>
      </c>
      <c r="P2978" s="7" t="s">
        <v>7507</v>
      </c>
      <c r="Q2978" s="129">
        <v>46199</v>
      </c>
      <c r="R2978" s="130">
        <f t="shared" si="321"/>
        <v>46205</v>
      </c>
      <c r="S2978" s="131">
        <f t="shared" si="322"/>
        <v>6</v>
      </c>
      <c r="T2978" s="7" t="s">
        <v>178</v>
      </c>
      <c r="U2978" s="7" t="s">
        <v>387</v>
      </c>
      <c r="V2978" s="7"/>
      <c r="W2978" s="7">
        <v>0</v>
      </c>
      <c r="X2978" s="132">
        <f t="shared" si="323"/>
        <v>7</v>
      </c>
      <c r="Y2978" s="133"/>
      <c r="Z2978" s="133"/>
      <c r="AA2978" s="133"/>
    </row>
    <row r="2979" spans="1:27" hidden="1" x14ac:dyDescent="0.25">
      <c r="A2979" s="133"/>
      <c r="B2979" s="128" t="str">
        <f t="shared" si="318"/>
        <v>NAMT</v>
      </c>
      <c r="C2979" s="128">
        <f>+VLOOKUP(U2979,Ходим!A:B,2,0)</f>
        <v>52908045880018</v>
      </c>
      <c r="D2979" s="128" t="str">
        <f>IFERROR(VLOOKUP($B:$B,[20]свод!$A:$AB,3,0)," ")</f>
        <v>Наманган тумани</v>
      </c>
      <c r="E2979" s="7" t="s">
        <v>4111</v>
      </c>
      <c r="F2979" s="7" t="s">
        <v>10476</v>
      </c>
      <c r="G2979" s="134" t="str">
        <f t="shared" si="319"/>
        <v/>
      </c>
      <c r="H2979" s="134">
        <f t="shared" si="320"/>
        <v>1</v>
      </c>
      <c r="I2979" s="7" t="s">
        <v>154</v>
      </c>
      <c r="J2979" s="7" t="s">
        <v>1</v>
      </c>
      <c r="K2979" s="7"/>
      <c r="L2979" s="7" t="s">
        <v>166</v>
      </c>
      <c r="M2979" s="7" t="s">
        <v>6183</v>
      </c>
      <c r="N2979" s="7" t="s">
        <v>410</v>
      </c>
      <c r="O2979" s="7" t="s">
        <v>161</v>
      </c>
      <c r="P2979" s="7" t="s">
        <v>7384</v>
      </c>
      <c r="Q2979" s="129">
        <v>46199</v>
      </c>
      <c r="R2979" s="130">
        <f t="shared" si="321"/>
        <v>46211</v>
      </c>
      <c r="S2979" s="131">
        <f t="shared" si="322"/>
        <v>12</v>
      </c>
      <c r="T2979" s="7" t="s">
        <v>193</v>
      </c>
      <c r="U2979" s="7" t="s">
        <v>982</v>
      </c>
      <c r="V2979" s="7"/>
      <c r="W2979" s="7">
        <v>100.95</v>
      </c>
      <c r="X2979" s="132">
        <f t="shared" si="323"/>
        <v>12</v>
      </c>
      <c r="Y2979" s="133"/>
      <c r="Z2979" s="133"/>
      <c r="AA2979" s="133"/>
    </row>
    <row r="2980" spans="1:27" hidden="1" x14ac:dyDescent="0.25">
      <c r="A2980" s="133"/>
      <c r="B2980" s="128" t="str">
        <f t="shared" si="318"/>
        <v>POPT</v>
      </c>
      <c r="C2980" s="128" t="str">
        <f>+VLOOKUP(U2980,Ходим!A:B,2,0)</f>
        <v>30808922120014</v>
      </c>
      <c r="D2980" s="128" t="str">
        <f>IFERROR(VLOOKUP($B:$B,[20]свод!$A:$AB,3,0)," ")</f>
        <v>Поп тумани</v>
      </c>
      <c r="E2980" s="7" t="s">
        <v>4112</v>
      </c>
      <c r="F2980" s="7" t="s">
        <v>10477</v>
      </c>
      <c r="G2980" s="134" t="str">
        <f t="shared" si="319"/>
        <v/>
      </c>
      <c r="H2980" s="134">
        <f t="shared" si="320"/>
        <v>1</v>
      </c>
      <c r="I2980" s="7" t="s">
        <v>155</v>
      </c>
      <c r="J2980" s="7" t="s">
        <v>25</v>
      </c>
      <c r="K2980" s="7"/>
      <c r="L2980" s="7" t="s">
        <v>166</v>
      </c>
      <c r="M2980" s="7" t="s">
        <v>6184</v>
      </c>
      <c r="N2980" s="7" t="s">
        <v>170</v>
      </c>
      <c r="O2980" s="7" t="s">
        <v>161</v>
      </c>
      <c r="P2980" s="7" t="s">
        <v>7508</v>
      </c>
      <c r="Q2980" s="129">
        <v>46199</v>
      </c>
      <c r="R2980" s="130">
        <f t="shared" si="321"/>
        <v>46212</v>
      </c>
      <c r="S2980" s="131">
        <f t="shared" si="322"/>
        <v>13</v>
      </c>
      <c r="T2980" s="7" t="s">
        <v>214</v>
      </c>
      <c r="U2980" s="7" t="s">
        <v>242</v>
      </c>
      <c r="V2980" s="7"/>
      <c r="W2980" s="7">
        <v>111.8</v>
      </c>
      <c r="X2980" s="132">
        <f t="shared" si="323"/>
        <v>12</v>
      </c>
      <c r="Y2980" s="133"/>
      <c r="Z2980" s="133"/>
      <c r="AA2980" s="133"/>
    </row>
    <row r="2981" spans="1:27" hidden="1" x14ac:dyDescent="0.25">
      <c r="A2981" s="133"/>
      <c r="B2981" s="128" t="str">
        <f t="shared" si="318"/>
        <v>CHUT</v>
      </c>
      <c r="C2981" s="128" t="str">
        <f>+VLOOKUP(U2981,Ходим!A:B,2,0)</f>
        <v>32003822180063</v>
      </c>
      <c r="D2981" s="128" t="str">
        <f>IFERROR(VLOOKUP($B:$B,[20]свод!$A:$AB,3,0)," ")</f>
        <v>Чуст тумани</v>
      </c>
      <c r="E2981" s="7" t="s">
        <v>4113</v>
      </c>
      <c r="F2981" s="7" t="s">
        <v>10478</v>
      </c>
      <c r="G2981" s="134">
        <f t="shared" si="319"/>
        <v>1</v>
      </c>
      <c r="H2981" s="134" t="str">
        <f t="shared" si="320"/>
        <v/>
      </c>
      <c r="I2981" s="7" t="s">
        <v>158</v>
      </c>
      <c r="J2981" s="7" t="s">
        <v>2</v>
      </c>
      <c r="K2981" s="7"/>
      <c r="L2981" s="7" t="s">
        <v>167</v>
      </c>
      <c r="M2981" s="7" t="s">
        <v>6185</v>
      </c>
      <c r="N2981" s="7" t="s">
        <v>170</v>
      </c>
      <c r="O2981" s="7" t="s">
        <v>162</v>
      </c>
      <c r="P2981" s="7" t="s">
        <v>7508</v>
      </c>
      <c r="Q2981" s="129">
        <v>46199</v>
      </c>
      <c r="R2981" s="130">
        <f t="shared" si="321"/>
        <v>46210</v>
      </c>
      <c r="S2981" s="131">
        <f t="shared" si="322"/>
        <v>11</v>
      </c>
      <c r="T2981" s="7" t="s">
        <v>178</v>
      </c>
      <c r="U2981" s="7" t="s">
        <v>200</v>
      </c>
      <c r="V2981" s="7"/>
      <c r="W2981" s="7">
        <v>411.35</v>
      </c>
      <c r="X2981" s="132">
        <f t="shared" si="323"/>
        <v>10</v>
      </c>
      <c r="Y2981" s="133"/>
      <c r="Z2981" s="133"/>
      <c r="AA2981" s="133"/>
    </row>
    <row r="2982" spans="1:27" hidden="1" x14ac:dyDescent="0.25">
      <c r="A2982" s="133"/>
      <c r="B2982" s="128" t="str">
        <f t="shared" si="318"/>
        <v>NAMS</v>
      </c>
      <c r="C2982" s="128">
        <f>+VLOOKUP(U2982,Ходим!A:B,2,0)</f>
        <v>50510025960139</v>
      </c>
      <c r="D2982" s="128" t="str">
        <f>IFERROR(VLOOKUP($B:$B,[20]свод!$A:$AB,3,0)," ")</f>
        <v>Наманган шаҳар</v>
      </c>
      <c r="E2982" s="7" t="s">
        <v>4114</v>
      </c>
      <c r="F2982" s="7" t="s">
        <v>10479</v>
      </c>
      <c r="G2982" s="134">
        <f t="shared" si="319"/>
        <v>1</v>
      </c>
      <c r="H2982" s="134" t="str">
        <f t="shared" si="320"/>
        <v/>
      </c>
      <c r="I2982" s="7" t="s">
        <v>156</v>
      </c>
      <c r="J2982" s="7" t="s">
        <v>25</v>
      </c>
      <c r="K2982" s="7"/>
      <c r="L2982" s="7"/>
      <c r="M2982" s="7"/>
      <c r="N2982" s="7" t="s">
        <v>170</v>
      </c>
      <c r="O2982" s="7" t="s">
        <v>162</v>
      </c>
      <c r="P2982" s="7" t="s">
        <v>7508</v>
      </c>
      <c r="Q2982" s="129">
        <v>46199</v>
      </c>
      <c r="R2982" s="130">
        <f t="shared" si="321"/>
        <v>46210</v>
      </c>
      <c r="S2982" s="131">
        <f t="shared" si="322"/>
        <v>11</v>
      </c>
      <c r="T2982" s="7" t="s">
        <v>173</v>
      </c>
      <c r="U2982" s="7" t="s">
        <v>955</v>
      </c>
      <c r="V2982" s="7"/>
      <c r="W2982" s="7"/>
      <c r="X2982" s="132">
        <f t="shared" si="323"/>
        <v>10</v>
      </c>
      <c r="Y2982" s="133"/>
      <c r="Z2982" s="133"/>
      <c r="AA2982" s="133"/>
    </row>
    <row r="2983" spans="1:27" hidden="1" x14ac:dyDescent="0.25">
      <c r="A2983" s="133"/>
      <c r="B2983" s="128" t="str">
        <f t="shared" si="318"/>
        <v>UCQT</v>
      </c>
      <c r="C2983" s="128" t="e">
        <f>+VLOOKUP(U2983,Ходим!A:B,2,0)</f>
        <v>#N/A</v>
      </c>
      <c r="D2983" s="128" t="str">
        <f>IFERROR(VLOOKUP($B:$B,[20]свод!$A:$AB,3,0)," ")</f>
        <v>Учқўрғон тумани</v>
      </c>
      <c r="E2983" s="7" t="s">
        <v>4115</v>
      </c>
      <c r="F2983" s="7" t="s">
        <v>10480</v>
      </c>
      <c r="G2983" s="134">
        <f t="shared" si="319"/>
        <v>1</v>
      </c>
      <c r="H2983" s="134" t="str">
        <f t="shared" si="320"/>
        <v/>
      </c>
      <c r="I2983" s="7" t="s">
        <v>156</v>
      </c>
      <c r="J2983" s="7" t="s">
        <v>11</v>
      </c>
      <c r="K2983" s="7"/>
      <c r="L2983" s="7"/>
      <c r="M2983" s="7"/>
      <c r="N2983" s="7" t="s">
        <v>170</v>
      </c>
      <c r="O2983" s="7" t="s">
        <v>162</v>
      </c>
      <c r="P2983" s="7" t="s">
        <v>7508</v>
      </c>
      <c r="Q2983" s="129">
        <v>46199</v>
      </c>
      <c r="R2983" s="130">
        <f t="shared" si="321"/>
        <v>46210</v>
      </c>
      <c r="S2983" s="131">
        <f t="shared" si="322"/>
        <v>11</v>
      </c>
      <c r="T2983" s="7" t="s">
        <v>175</v>
      </c>
      <c r="U2983" s="7"/>
      <c r="V2983" s="7"/>
      <c r="W2983" s="7"/>
      <c r="X2983" s="132">
        <f t="shared" si="323"/>
        <v>10</v>
      </c>
      <c r="Y2983" s="133"/>
      <c r="Z2983" s="133"/>
      <c r="AA2983" s="133"/>
    </row>
    <row r="2984" spans="1:27" hidden="1" x14ac:dyDescent="0.25">
      <c r="A2984" s="133"/>
      <c r="B2984" s="128" t="str">
        <f t="shared" si="318"/>
        <v>CHUT</v>
      </c>
      <c r="C2984" s="128" t="str">
        <f>+VLOOKUP(U2984,Ходим!A:B,2,0)</f>
        <v>50309005970046</v>
      </c>
      <c r="D2984" s="128" t="str">
        <f>IFERROR(VLOOKUP($B:$B,[20]свод!$A:$AB,3,0)," ")</f>
        <v>Чуст тумани</v>
      </c>
      <c r="E2984" s="7" t="s">
        <v>4116</v>
      </c>
      <c r="F2984" s="7" t="s">
        <v>10481</v>
      </c>
      <c r="G2984" s="134">
        <f t="shared" si="319"/>
        <v>1</v>
      </c>
      <c r="H2984" s="134" t="str">
        <f t="shared" si="320"/>
        <v/>
      </c>
      <c r="I2984" s="7" t="s">
        <v>158</v>
      </c>
      <c r="J2984" s="7" t="s">
        <v>172</v>
      </c>
      <c r="K2984" s="7"/>
      <c r="L2984" s="7" t="s">
        <v>167</v>
      </c>
      <c r="M2984" s="7" t="s">
        <v>6186</v>
      </c>
      <c r="N2984" s="7" t="s">
        <v>170</v>
      </c>
      <c r="O2984" s="7" t="s">
        <v>162</v>
      </c>
      <c r="P2984" s="7" t="s">
        <v>7508</v>
      </c>
      <c r="Q2984" s="129">
        <v>46199</v>
      </c>
      <c r="R2984" s="130">
        <f t="shared" si="321"/>
        <v>46210</v>
      </c>
      <c r="S2984" s="131">
        <f t="shared" si="322"/>
        <v>11</v>
      </c>
      <c r="T2984" s="7" t="s">
        <v>178</v>
      </c>
      <c r="U2984" s="7" t="s">
        <v>290</v>
      </c>
      <c r="V2984" s="7"/>
      <c r="W2984" s="7">
        <v>392.6</v>
      </c>
      <c r="X2984" s="132">
        <f t="shared" si="323"/>
        <v>10</v>
      </c>
      <c r="Y2984" s="133"/>
      <c r="Z2984" s="133"/>
      <c r="AA2984" s="133"/>
    </row>
    <row r="2985" spans="1:27" hidden="1" x14ac:dyDescent="0.25">
      <c r="A2985" s="133"/>
      <c r="B2985" s="128" t="str">
        <f t="shared" si="318"/>
        <v>MINT</v>
      </c>
      <c r="C2985" s="128" t="str">
        <f>+VLOOKUP(U2985,Ходим!A:B,2,0)</f>
        <v>31205995920018</v>
      </c>
      <c r="D2985" s="128" t="str">
        <f>IFERROR(VLOOKUP($B:$B,[20]свод!$A:$AB,3,0)," ")</f>
        <v>Мингбулоқ тумани</v>
      </c>
      <c r="E2985" s="7" t="s">
        <v>4117</v>
      </c>
      <c r="F2985" s="7" t="s">
        <v>10482</v>
      </c>
      <c r="G2985" s="134">
        <f t="shared" si="319"/>
        <v>1</v>
      </c>
      <c r="H2985" s="134" t="str">
        <f t="shared" si="320"/>
        <v/>
      </c>
      <c r="I2985" s="7" t="s">
        <v>156</v>
      </c>
      <c r="J2985" s="7" t="s">
        <v>22</v>
      </c>
      <c r="K2985" s="7"/>
      <c r="L2985" s="7" t="s">
        <v>167</v>
      </c>
      <c r="M2985" s="7" t="s">
        <v>6187</v>
      </c>
      <c r="N2985" s="7" t="s">
        <v>170</v>
      </c>
      <c r="O2985" s="7" t="s">
        <v>162</v>
      </c>
      <c r="P2985" s="7" t="s">
        <v>7508</v>
      </c>
      <c r="Q2985" s="129">
        <v>46199</v>
      </c>
      <c r="R2985" s="130">
        <f t="shared" si="321"/>
        <v>46210</v>
      </c>
      <c r="S2985" s="131">
        <f t="shared" si="322"/>
        <v>11</v>
      </c>
      <c r="T2985" s="7" t="s">
        <v>1138</v>
      </c>
      <c r="U2985" s="7" t="s">
        <v>271</v>
      </c>
      <c r="V2985" s="7"/>
      <c r="W2985" s="7">
        <v>103.15</v>
      </c>
      <c r="X2985" s="132">
        <f t="shared" si="323"/>
        <v>10</v>
      </c>
      <c r="Y2985" s="133"/>
      <c r="Z2985" s="133"/>
      <c r="AA2985" s="133"/>
    </row>
    <row r="2986" spans="1:27" hidden="1" x14ac:dyDescent="0.25">
      <c r="A2986" s="133"/>
      <c r="B2986" s="128" t="str">
        <f t="shared" si="318"/>
        <v>NAMS</v>
      </c>
      <c r="C2986" s="128" t="str">
        <f>+VLOOKUP(U2986,Ходим!A:B,2,0)</f>
        <v>32207925880019</v>
      </c>
      <c r="D2986" s="128" t="str">
        <f>IFERROR(VLOOKUP($B:$B,[20]свод!$A:$AB,3,0)," ")</f>
        <v>Наманган шаҳар</v>
      </c>
      <c r="E2986" s="7" t="s">
        <v>4118</v>
      </c>
      <c r="F2986" s="7" t="s">
        <v>10483</v>
      </c>
      <c r="G2986" s="134">
        <f t="shared" si="319"/>
        <v>1</v>
      </c>
      <c r="H2986" s="134" t="str">
        <f t="shared" si="320"/>
        <v/>
      </c>
      <c r="I2986" s="7" t="s">
        <v>156</v>
      </c>
      <c r="J2986" s="7" t="s">
        <v>25</v>
      </c>
      <c r="K2986" s="7"/>
      <c r="L2986" s="7"/>
      <c r="M2986" s="7"/>
      <c r="N2986" s="7" t="s">
        <v>410</v>
      </c>
      <c r="O2986" s="7" t="s">
        <v>162</v>
      </c>
      <c r="P2986" s="7" t="s">
        <v>7508</v>
      </c>
      <c r="Q2986" s="129">
        <v>46199</v>
      </c>
      <c r="R2986" s="130">
        <f t="shared" si="321"/>
        <v>46210</v>
      </c>
      <c r="S2986" s="131">
        <f t="shared" si="322"/>
        <v>11</v>
      </c>
      <c r="T2986" s="7" t="s">
        <v>173</v>
      </c>
      <c r="U2986" s="7" t="s">
        <v>174</v>
      </c>
      <c r="V2986" s="7"/>
      <c r="W2986" s="7"/>
      <c r="X2986" s="132">
        <f t="shared" si="323"/>
        <v>10</v>
      </c>
      <c r="Y2986" s="133"/>
      <c r="Z2986" s="133"/>
      <c r="AA2986" s="133"/>
    </row>
    <row r="2987" spans="1:27" hidden="1" x14ac:dyDescent="0.25">
      <c r="A2987" s="133"/>
      <c r="B2987" s="128" t="str">
        <f t="shared" si="318"/>
        <v>YGQT</v>
      </c>
      <c r="C2987" s="128" t="str">
        <f>+VLOOKUP(U2987,Ходим!A:B,2,0)</f>
        <v>31501762160017</v>
      </c>
      <c r="D2987" s="128" t="str">
        <f>IFERROR(VLOOKUP($B:$B,[20]свод!$A:$AB,3,0)," ")</f>
        <v>Янгиқўрғон тумани</v>
      </c>
      <c r="E2987" s="7" t="s">
        <v>4119</v>
      </c>
      <c r="F2987" s="7" t="s">
        <v>10484</v>
      </c>
      <c r="G2987" s="134">
        <f t="shared" si="319"/>
        <v>1</v>
      </c>
      <c r="H2987" s="134" t="str">
        <f t="shared" si="320"/>
        <v/>
      </c>
      <c r="I2987" s="7" t="s">
        <v>158</v>
      </c>
      <c r="J2987" s="7" t="s">
        <v>2</v>
      </c>
      <c r="K2987" s="7"/>
      <c r="L2987" s="7" t="s">
        <v>167</v>
      </c>
      <c r="M2987" s="7" t="s">
        <v>6188</v>
      </c>
      <c r="N2987" s="7" t="s">
        <v>170</v>
      </c>
      <c r="O2987" s="7" t="s">
        <v>163</v>
      </c>
      <c r="P2987" s="7" t="s">
        <v>7508</v>
      </c>
      <c r="Q2987" s="129">
        <v>46199</v>
      </c>
      <c r="R2987" s="130">
        <f t="shared" si="321"/>
        <v>46210</v>
      </c>
      <c r="S2987" s="131">
        <f t="shared" si="322"/>
        <v>11</v>
      </c>
      <c r="T2987" s="7" t="s">
        <v>255</v>
      </c>
      <c r="U2987" s="7" t="s">
        <v>275</v>
      </c>
      <c r="V2987" s="7"/>
      <c r="W2987" s="7">
        <v>0</v>
      </c>
      <c r="X2987" s="132">
        <f t="shared" si="323"/>
        <v>10</v>
      </c>
      <c r="Y2987" s="133"/>
      <c r="Z2987" s="133"/>
      <c r="AA2987" s="133"/>
    </row>
    <row r="2988" spans="1:27" hidden="1" x14ac:dyDescent="0.25">
      <c r="A2988" s="133"/>
      <c r="B2988" s="128" t="str">
        <f t="shared" si="318"/>
        <v>NORT</v>
      </c>
      <c r="C2988" s="128" t="str">
        <f>+VLOOKUP(U2988,Ходим!A:B,2,0)</f>
        <v>30902932150046</v>
      </c>
      <c r="D2988" s="128" t="str">
        <f>IFERROR(VLOOKUP($B:$B,[20]свод!$A:$AB,3,0)," ")</f>
        <v>Норин тумани</v>
      </c>
      <c r="E2988" s="7" t="s">
        <v>4120</v>
      </c>
      <c r="F2988" s="7" t="s">
        <v>10485</v>
      </c>
      <c r="G2988" s="134">
        <f t="shared" si="319"/>
        <v>1</v>
      </c>
      <c r="H2988" s="134" t="str">
        <f t="shared" si="320"/>
        <v/>
      </c>
      <c r="I2988" s="7" t="s">
        <v>158</v>
      </c>
      <c r="J2988" s="7" t="s">
        <v>1</v>
      </c>
      <c r="K2988" s="7"/>
      <c r="L2988" s="7" t="s">
        <v>167</v>
      </c>
      <c r="M2988" s="7" t="s">
        <v>6189</v>
      </c>
      <c r="N2988" s="7" t="s">
        <v>170</v>
      </c>
      <c r="O2988" s="7" t="s">
        <v>162</v>
      </c>
      <c r="P2988" s="7" t="s">
        <v>6336</v>
      </c>
      <c r="Q2988" s="129">
        <v>46199</v>
      </c>
      <c r="R2988" s="130">
        <f t="shared" si="321"/>
        <v>46204</v>
      </c>
      <c r="S2988" s="131">
        <f t="shared" si="322"/>
        <v>5</v>
      </c>
      <c r="T2988" s="7" t="s">
        <v>210</v>
      </c>
      <c r="U2988" s="7" t="s">
        <v>245</v>
      </c>
      <c r="V2988" s="7"/>
      <c r="W2988" s="7">
        <v>302.89999999999998</v>
      </c>
      <c r="X2988" s="132">
        <f t="shared" si="323"/>
        <v>10</v>
      </c>
      <c r="Y2988" s="133"/>
      <c r="Z2988" s="133"/>
      <c r="AA2988" s="133"/>
    </row>
    <row r="2989" spans="1:27" hidden="1" x14ac:dyDescent="0.25">
      <c r="A2989" s="133"/>
      <c r="B2989" s="128" t="str">
        <f t="shared" si="318"/>
        <v>NAMS</v>
      </c>
      <c r="C2989" s="128" t="str">
        <f>+VLOOKUP(U2989,Ходим!A:B,2,0)</f>
        <v>32503832170037</v>
      </c>
      <c r="D2989" s="128" t="str">
        <f>IFERROR(VLOOKUP($B:$B,[20]свод!$A:$AB,3,0)," ")</f>
        <v>Наманган шаҳар</v>
      </c>
      <c r="E2989" s="7" t="s">
        <v>4121</v>
      </c>
      <c r="F2989" s="7" t="s">
        <v>10486</v>
      </c>
      <c r="G2989" s="134">
        <f t="shared" si="319"/>
        <v>1</v>
      </c>
      <c r="H2989" s="134" t="str">
        <f t="shared" si="320"/>
        <v/>
      </c>
      <c r="I2989" s="7" t="s">
        <v>158</v>
      </c>
      <c r="J2989" s="7" t="s">
        <v>13</v>
      </c>
      <c r="K2989" s="7"/>
      <c r="L2989" s="7" t="s">
        <v>167</v>
      </c>
      <c r="M2989" s="7" t="s">
        <v>6190</v>
      </c>
      <c r="N2989" s="7" t="s">
        <v>170</v>
      </c>
      <c r="O2989" s="7" t="s">
        <v>162</v>
      </c>
      <c r="P2989" s="7" t="s">
        <v>6888</v>
      </c>
      <c r="Q2989" s="129">
        <v>46199</v>
      </c>
      <c r="R2989" s="130">
        <f t="shared" si="321"/>
        <v>46210</v>
      </c>
      <c r="S2989" s="131">
        <f t="shared" si="322"/>
        <v>11</v>
      </c>
      <c r="T2989" s="7" t="s">
        <v>173</v>
      </c>
      <c r="U2989" s="7" t="s">
        <v>401</v>
      </c>
      <c r="V2989" s="7"/>
      <c r="W2989" s="7">
        <v>112.72499999999999</v>
      </c>
      <c r="X2989" s="132">
        <f t="shared" si="323"/>
        <v>10</v>
      </c>
      <c r="Y2989" s="133"/>
      <c r="Z2989" s="133"/>
      <c r="AA2989" s="133"/>
    </row>
    <row r="2990" spans="1:27" hidden="1" x14ac:dyDescent="0.25">
      <c r="A2990" s="133"/>
      <c r="B2990" s="128" t="str">
        <f t="shared" si="318"/>
        <v>CHUT</v>
      </c>
      <c r="C2990" s="128" t="str">
        <f>+VLOOKUP(U2990,Ходим!A:B,2,0)</f>
        <v>32304995970021</v>
      </c>
      <c r="D2990" s="128" t="str">
        <f>IFERROR(VLOOKUP($B:$B,[20]свод!$A:$AB,3,0)," ")</f>
        <v>Чуст тумани</v>
      </c>
      <c r="E2990" s="7" t="s">
        <v>4122</v>
      </c>
      <c r="F2990" s="7" t="s">
        <v>10487</v>
      </c>
      <c r="G2990" s="134" t="str">
        <f t="shared" si="319"/>
        <v/>
      </c>
      <c r="H2990" s="134">
        <f t="shared" si="320"/>
        <v>1</v>
      </c>
      <c r="I2990" s="7" t="s">
        <v>157</v>
      </c>
      <c r="J2990" s="7" t="s">
        <v>172</v>
      </c>
      <c r="K2990" s="7"/>
      <c r="L2990" s="7" t="s">
        <v>168</v>
      </c>
      <c r="M2990" s="7" t="s">
        <v>6191</v>
      </c>
      <c r="N2990" s="7" t="s">
        <v>410</v>
      </c>
      <c r="O2990" s="7" t="s">
        <v>161</v>
      </c>
      <c r="P2990" s="7" t="s">
        <v>6888</v>
      </c>
      <c r="Q2990" s="129">
        <v>46199</v>
      </c>
      <c r="R2990" s="130">
        <f t="shared" si="321"/>
        <v>46205</v>
      </c>
      <c r="S2990" s="131">
        <f t="shared" si="322"/>
        <v>6</v>
      </c>
      <c r="T2990" s="7" t="s">
        <v>178</v>
      </c>
      <c r="U2990" s="7" t="s">
        <v>938</v>
      </c>
      <c r="V2990" s="7"/>
      <c r="W2990" s="7">
        <v>0</v>
      </c>
      <c r="X2990" s="132">
        <f t="shared" si="323"/>
        <v>7</v>
      </c>
      <c r="Y2990" s="133"/>
      <c r="Z2990" s="133"/>
      <c r="AA2990" s="133"/>
    </row>
    <row r="2991" spans="1:27" hidden="1" x14ac:dyDescent="0.25">
      <c r="A2991" s="133"/>
      <c r="B2991" s="128" t="str">
        <f t="shared" si="318"/>
        <v>TORT</v>
      </c>
      <c r="C2991" s="128" t="str">
        <f>+VLOOKUP(U2991,Ходим!A:B,2,0)</f>
        <v>31701915920077</v>
      </c>
      <c r="D2991" s="128" t="str">
        <f>IFERROR(VLOOKUP($B:$B,[20]свод!$A:$AB,3,0)," ")</f>
        <v>Тўрақўрғон тумани</v>
      </c>
      <c r="E2991" s="7" t="s">
        <v>4123</v>
      </c>
      <c r="F2991" s="7" t="s">
        <v>10488</v>
      </c>
      <c r="G2991" s="134">
        <f t="shared" si="319"/>
        <v>1</v>
      </c>
      <c r="H2991" s="134" t="str">
        <f t="shared" si="320"/>
        <v/>
      </c>
      <c r="I2991" s="7" t="s">
        <v>158</v>
      </c>
      <c r="J2991" s="7" t="s">
        <v>172</v>
      </c>
      <c r="K2991" s="7"/>
      <c r="L2991" s="7" t="s">
        <v>167</v>
      </c>
      <c r="M2991" s="7" t="s">
        <v>6192</v>
      </c>
      <c r="N2991" s="7" t="s">
        <v>170</v>
      </c>
      <c r="O2991" s="7" t="s">
        <v>163</v>
      </c>
      <c r="P2991" s="7" t="s">
        <v>6888</v>
      </c>
      <c r="Q2991" s="129">
        <v>46199</v>
      </c>
      <c r="R2991" s="130">
        <f t="shared" si="321"/>
        <v>46210</v>
      </c>
      <c r="S2991" s="131">
        <f t="shared" si="322"/>
        <v>11</v>
      </c>
      <c r="T2991" s="7" t="s">
        <v>203</v>
      </c>
      <c r="U2991" s="7" t="s">
        <v>332</v>
      </c>
      <c r="V2991" s="7"/>
      <c r="W2991" s="7">
        <v>266.97000000000003</v>
      </c>
      <c r="X2991" s="132">
        <f t="shared" si="323"/>
        <v>10</v>
      </c>
      <c r="Y2991" s="133"/>
      <c r="Z2991" s="133"/>
      <c r="AA2991" s="133"/>
    </row>
    <row r="2992" spans="1:27" hidden="1" x14ac:dyDescent="0.25">
      <c r="A2992" s="133"/>
      <c r="B2992" s="128" t="str">
        <f t="shared" si="318"/>
        <v>NAMT</v>
      </c>
      <c r="C2992" s="128" t="str">
        <f>+VLOOKUP(U2992,Ходим!A:B,2,0)</f>
        <v>32607902090019</v>
      </c>
      <c r="D2992" s="128" t="str">
        <f>IFERROR(VLOOKUP($B:$B,[20]свод!$A:$AB,3,0)," ")</f>
        <v>Наманган тумани</v>
      </c>
      <c r="E2992" s="7" t="s">
        <v>4124</v>
      </c>
      <c r="F2992" s="7" t="s">
        <v>10489</v>
      </c>
      <c r="G2992" s="134">
        <f t="shared" si="319"/>
        <v>1</v>
      </c>
      <c r="H2992" s="134" t="str">
        <f t="shared" si="320"/>
        <v/>
      </c>
      <c r="I2992" s="7" t="s">
        <v>158</v>
      </c>
      <c r="J2992" s="7" t="s">
        <v>2</v>
      </c>
      <c r="K2992" s="7"/>
      <c r="L2992" s="7" t="s">
        <v>167</v>
      </c>
      <c r="M2992" s="7" t="s">
        <v>6193</v>
      </c>
      <c r="N2992" s="7" t="s">
        <v>170</v>
      </c>
      <c r="O2992" s="7" t="s">
        <v>162</v>
      </c>
      <c r="P2992" s="7" t="s">
        <v>6888</v>
      </c>
      <c r="Q2992" s="129">
        <v>46199</v>
      </c>
      <c r="R2992" s="130">
        <f t="shared" si="321"/>
        <v>46210</v>
      </c>
      <c r="S2992" s="131">
        <f t="shared" si="322"/>
        <v>11</v>
      </c>
      <c r="T2992" s="7" t="s">
        <v>193</v>
      </c>
      <c r="U2992" s="7" t="s">
        <v>243</v>
      </c>
      <c r="V2992" s="7"/>
      <c r="W2992" s="7">
        <v>94.98</v>
      </c>
      <c r="X2992" s="132">
        <f t="shared" si="323"/>
        <v>10</v>
      </c>
      <c r="Y2992" s="133"/>
      <c r="Z2992" s="133"/>
      <c r="AA2992" s="133"/>
    </row>
    <row r="2993" spans="1:27" hidden="1" x14ac:dyDescent="0.25">
      <c r="A2993" s="133"/>
      <c r="B2993" s="128" t="str">
        <f t="shared" si="318"/>
        <v>CHUT</v>
      </c>
      <c r="C2993" s="128" t="str">
        <f>+VLOOKUP(U2993,Ходим!A:B,2,0)</f>
        <v>31509882180058</v>
      </c>
      <c r="D2993" s="128" t="str">
        <f>IFERROR(VLOOKUP($B:$B,[20]свод!$A:$AB,3,0)," ")</f>
        <v>Чуст тумани</v>
      </c>
      <c r="E2993" s="7" t="s">
        <v>4125</v>
      </c>
      <c r="F2993" s="7" t="s">
        <v>10490</v>
      </c>
      <c r="G2993" s="134">
        <f t="shared" si="319"/>
        <v>1</v>
      </c>
      <c r="H2993" s="134" t="str">
        <f t="shared" si="320"/>
        <v/>
      </c>
      <c r="I2993" s="7" t="s">
        <v>156</v>
      </c>
      <c r="J2993" s="7" t="s">
        <v>25</v>
      </c>
      <c r="K2993" s="7"/>
      <c r="L2993" s="7" t="s">
        <v>167</v>
      </c>
      <c r="M2993" s="7" t="s">
        <v>6194</v>
      </c>
      <c r="N2993" s="7" t="s">
        <v>170</v>
      </c>
      <c r="O2993" s="7" t="s">
        <v>162</v>
      </c>
      <c r="P2993" s="7" t="s">
        <v>6888</v>
      </c>
      <c r="Q2993" s="129">
        <v>46199</v>
      </c>
      <c r="R2993" s="130">
        <f t="shared" si="321"/>
        <v>46210</v>
      </c>
      <c r="S2993" s="131">
        <f t="shared" si="322"/>
        <v>11</v>
      </c>
      <c r="T2993" s="7" t="s">
        <v>178</v>
      </c>
      <c r="U2993" s="7" t="s">
        <v>324</v>
      </c>
      <c r="V2993" s="7"/>
      <c r="W2993" s="7">
        <v>333.88</v>
      </c>
      <c r="X2993" s="132">
        <f t="shared" si="323"/>
        <v>10</v>
      </c>
      <c r="Y2993" s="133"/>
      <c r="Z2993" s="133"/>
      <c r="AA2993" s="133"/>
    </row>
    <row r="2994" spans="1:27" hidden="1" x14ac:dyDescent="0.25">
      <c r="A2994" s="133"/>
      <c r="B2994" s="128" t="str">
        <f t="shared" si="318"/>
        <v>UYCT</v>
      </c>
      <c r="C2994" s="128" t="str">
        <f>+VLOOKUP(U2994,Ходим!A:B,2,0)</f>
        <v>31004952140036</v>
      </c>
      <c r="D2994" s="128" t="str">
        <f>IFERROR(VLOOKUP($B:$B,[20]свод!$A:$AB,3,0)," ")</f>
        <v>Уйчи тумани</v>
      </c>
      <c r="E2994" s="7" t="s">
        <v>4126</v>
      </c>
      <c r="F2994" s="7" t="s">
        <v>10491</v>
      </c>
      <c r="G2994" s="134" t="str">
        <f t="shared" si="319"/>
        <v/>
      </c>
      <c r="H2994" s="134">
        <f t="shared" si="320"/>
        <v>1</v>
      </c>
      <c r="I2994" s="7" t="s">
        <v>155</v>
      </c>
      <c r="J2994" s="7" t="s">
        <v>25</v>
      </c>
      <c r="K2994" s="7"/>
      <c r="L2994" s="7" t="s">
        <v>168</v>
      </c>
      <c r="M2994" s="7" t="s">
        <v>6195</v>
      </c>
      <c r="N2994" s="7" t="s">
        <v>170</v>
      </c>
      <c r="O2994" s="7" t="s">
        <v>161</v>
      </c>
      <c r="P2994" s="7" t="s">
        <v>6888</v>
      </c>
      <c r="Q2994" s="129">
        <v>46199</v>
      </c>
      <c r="R2994" s="130">
        <f t="shared" si="321"/>
        <v>46205</v>
      </c>
      <c r="S2994" s="131">
        <f t="shared" si="322"/>
        <v>6</v>
      </c>
      <c r="T2994" s="7" t="s">
        <v>947</v>
      </c>
      <c r="U2994" s="7" t="s">
        <v>331</v>
      </c>
      <c r="V2994" s="7"/>
      <c r="W2994" s="7"/>
      <c r="X2994" s="132">
        <f t="shared" si="323"/>
        <v>7</v>
      </c>
      <c r="Y2994" s="133"/>
      <c r="Z2994" s="133"/>
      <c r="AA2994" s="133"/>
    </row>
    <row r="2995" spans="1:27" hidden="1" x14ac:dyDescent="0.25">
      <c r="A2995" s="133"/>
      <c r="B2995" s="128" t="str">
        <f t="shared" si="318"/>
        <v>CHUT</v>
      </c>
      <c r="C2995" s="128" t="str">
        <f>+VLOOKUP(U2995,Ходим!A:B,2,0)</f>
        <v>32304995970021</v>
      </c>
      <c r="D2995" s="128" t="str">
        <f>IFERROR(VLOOKUP($B:$B,[20]свод!$A:$AB,3,0)," ")</f>
        <v>Чуст тумани</v>
      </c>
      <c r="E2995" s="7" t="s">
        <v>4127</v>
      </c>
      <c r="F2995" s="7" t="s">
        <v>10492</v>
      </c>
      <c r="G2995" s="134" t="str">
        <f t="shared" si="319"/>
        <v/>
      </c>
      <c r="H2995" s="134">
        <f t="shared" si="320"/>
        <v>1</v>
      </c>
      <c r="I2995" s="7" t="s">
        <v>157</v>
      </c>
      <c r="J2995" s="7" t="s">
        <v>172</v>
      </c>
      <c r="K2995" s="7"/>
      <c r="L2995" s="7" t="s">
        <v>168</v>
      </c>
      <c r="M2995" s="7" t="s">
        <v>6196</v>
      </c>
      <c r="N2995" s="7" t="s">
        <v>410</v>
      </c>
      <c r="O2995" s="7" t="s">
        <v>161</v>
      </c>
      <c r="P2995" s="7" t="s">
        <v>6888</v>
      </c>
      <c r="Q2995" s="129">
        <v>46199</v>
      </c>
      <c r="R2995" s="130">
        <f t="shared" si="321"/>
        <v>46205</v>
      </c>
      <c r="S2995" s="131">
        <f t="shared" si="322"/>
        <v>6</v>
      </c>
      <c r="T2995" s="7" t="s">
        <v>178</v>
      </c>
      <c r="U2995" s="7" t="s">
        <v>938</v>
      </c>
      <c r="V2995" s="7"/>
      <c r="W2995" s="7">
        <v>0</v>
      </c>
      <c r="X2995" s="132">
        <f t="shared" si="323"/>
        <v>7</v>
      </c>
      <c r="Y2995" s="133"/>
      <c r="Z2995" s="133"/>
      <c r="AA2995" s="133"/>
    </row>
    <row r="2996" spans="1:27" hidden="1" x14ac:dyDescent="0.25">
      <c r="A2996" s="133"/>
      <c r="B2996" s="128" t="str">
        <f t="shared" si="318"/>
        <v>NAMS</v>
      </c>
      <c r="C2996" s="128" t="str">
        <f>+VLOOKUP(U2996,Ходим!A:B,2,0)</f>
        <v>30910985930021</v>
      </c>
      <c r="D2996" s="128" t="str">
        <f>IFERROR(VLOOKUP($B:$B,[20]свод!$A:$AB,3,0)," ")</f>
        <v>Наманган шаҳар</v>
      </c>
      <c r="E2996" s="7" t="s">
        <v>4128</v>
      </c>
      <c r="F2996" s="7" t="s">
        <v>10493</v>
      </c>
      <c r="G2996" s="134">
        <f t="shared" si="319"/>
        <v>1</v>
      </c>
      <c r="H2996" s="134" t="str">
        <f t="shared" si="320"/>
        <v/>
      </c>
      <c r="I2996" s="7" t="s">
        <v>156</v>
      </c>
      <c r="J2996" s="7" t="s">
        <v>22</v>
      </c>
      <c r="K2996" s="7"/>
      <c r="L2996" s="7"/>
      <c r="M2996" s="7"/>
      <c r="N2996" s="7" t="s">
        <v>170</v>
      </c>
      <c r="O2996" s="7" t="s">
        <v>162</v>
      </c>
      <c r="P2996" s="7" t="s">
        <v>7286</v>
      </c>
      <c r="Q2996" s="129">
        <v>46199</v>
      </c>
      <c r="R2996" s="130">
        <f t="shared" si="321"/>
        <v>46210</v>
      </c>
      <c r="S2996" s="131">
        <f t="shared" si="322"/>
        <v>11</v>
      </c>
      <c r="T2996" s="7" t="s">
        <v>173</v>
      </c>
      <c r="U2996" s="7" t="s">
        <v>963</v>
      </c>
      <c r="V2996" s="7"/>
      <c r="W2996" s="7"/>
      <c r="X2996" s="132">
        <f t="shared" si="323"/>
        <v>10</v>
      </c>
      <c r="Y2996" s="133"/>
      <c r="Z2996" s="133"/>
      <c r="AA2996" s="133"/>
    </row>
    <row r="2997" spans="1:27" hidden="1" x14ac:dyDescent="0.25">
      <c r="A2997" s="133"/>
      <c r="B2997" s="128" t="str">
        <f t="shared" si="318"/>
        <v>MINT</v>
      </c>
      <c r="C2997" s="128" t="e">
        <f>+VLOOKUP(U2997,Ходим!A:B,2,0)</f>
        <v>#N/A</v>
      </c>
      <c r="D2997" s="128" t="str">
        <f>IFERROR(VLOOKUP($B:$B,[20]свод!$A:$AB,3,0)," ")</f>
        <v>Мингбулоқ тумани</v>
      </c>
      <c r="E2997" s="7" t="s">
        <v>4129</v>
      </c>
      <c r="F2997" s="7" t="s">
        <v>10494</v>
      </c>
      <c r="G2997" s="134">
        <f t="shared" si="319"/>
        <v>1</v>
      </c>
      <c r="H2997" s="134" t="str">
        <f t="shared" si="320"/>
        <v/>
      </c>
      <c r="I2997" s="7" t="s">
        <v>159</v>
      </c>
      <c r="J2997" s="7" t="s">
        <v>137</v>
      </c>
      <c r="K2997" s="7"/>
      <c r="L2997" s="7"/>
      <c r="M2997" s="7"/>
      <c r="N2997" s="7" t="s">
        <v>410</v>
      </c>
      <c r="O2997" s="7" t="s">
        <v>163</v>
      </c>
      <c r="P2997" s="7" t="s">
        <v>6363</v>
      </c>
      <c r="Q2997" s="129">
        <v>46199</v>
      </c>
      <c r="R2997" s="130">
        <f t="shared" si="321"/>
        <v>46210</v>
      </c>
      <c r="S2997" s="131">
        <f t="shared" si="322"/>
        <v>11</v>
      </c>
      <c r="T2997" s="7" t="s">
        <v>220</v>
      </c>
      <c r="U2997" s="7"/>
      <c r="V2997" s="7"/>
      <c r="W2997" s="7"/>
      <c r="X2997" s="132">
        <f t="shared" si="323"/>
        <v>10</v>
      </c>
      <c r="Y2997" s="133"/>
      <c r="Z2997" s="133"/>
      <c r="AA2997" s="133"/>
    </row>
    <row r="2998" spans="1:27" hidden="1" x14ac:dyDescent="0.25">
      <c r="A2998" s="133"/>
      <c r="B2998" s="128" t="str">
        <f t="shared" si="318"/>
        <v>CHUT</v>
      </c>
      <c r="C2998" s="128" t="str">
        <f>+VLOOKUP(U2998,Ходим!A:B,2,0)</f>
        <v>50905015970078</v>
      </c>
      <c r="D2998" s="128" t="str">
        <f>IFERROR(VLOOKUP($B:$B,[20]свод!$A:$AB,3,0)," ")</f>
        <v>Чуст тумани</v>
      </c>
      <c r="E2998" s="7" t="s">
        <v>4130</v>
      </c>
      <c r="F2998" s="7" t="s">
        <v>10495</v>
      </c>
      <c r="G2998" s="134">
        <f t="shared" si="319"/>
        <v>1</v>
      </c>
      <c r="H2998" s="134" t="str">
        <f t="shared" si="320"/>
        <v/>
      </c>
      <c r="I2998" s="7" t="s">
        <v>158</v>
      </c>
      <c r="J2998" s="7" t="s">
        <v>1</v>
      </c>
      <c r="K2998" s="7"/>
      <c r="L2998" s="7" t="s">
        <v>167</v>
      </c>
      <c r="M2998" s="7" t="s">
        <v>6197</v>
      </c>
      <c r="N2998" s="7" t="s">
        <v>170</v>
      </c>
      <c r="O2998" s="7" t="s">
        <v>162</v>
      </c>
      <c r="P2998" s="7" t="s">
        <v>6363</v>
      </c>
      <c r="Q2998" s="129">
        <v>46199</v>
      </c>
      <c r="R2998" s="130">
        <f t="shared" si="321"/>
        <v>46210</v>
      </c>
      <c r="S2998" s="131">
        <f t="shared" si="322"/>
        <v>11</v>
      </c>
      <c r="T2998" s="7" t="s">
        <v>178</v>
      </c>
      <c r="U2998" s="7" t="s">
        <v>521</v>
      </c>
      <c r="V2998" s="7"/>
      <c r="W2998" s="7">
        <v>157.07</v>
      </c>
      <c r="X2998" s="132">
        <f t="shared" si="323"/>
        <v>10</v>
      </c>
      <c r="Y2998" s="133"/>
      <c r="Z2998" s="133"/>
      <c r="AA2998" s="133"/>
    </row>
    <row r="2999" spans="1:27" hidden="1" x14ac:dyDescent="0.25">
      <c r="A2999" s="133"/>
      <c r="B2999" s="128" t="str">
        <f t="shared" si="318"/>
        <v>UYCT</v>
      </c>
      <c r="C2999" s="128" t="str">
        <f>+VLOOKUP(U2999,Ходим!A:B,2,0)</f>
        <v>31004952140036</v>
      </c>
      <c r="D2999" s="128" t="str">
        <f>IFERROR(VLOOKUP($B:$B,[20]свод!$A:$AB,3,0)," ")</f>
        <v>Уйчи тумани</v>
      </c>
      <c r="E2999" s="7" t="s">
        <v>4131</v>
      </c>
      <c r="F2999" s="7" t="s">
        <v>10496</v>
      </c>
      <c r="G2999" s="134" t="str">
        <f t="shared" si="319"/>
        <v/>
      </c>
      <c r="H2999" s="134">
        <f t="shared" si="320"/>
        <v>1</v>
      </c>
      <c r="I2999" s="7" t="s">
        <v>157</v>
      </c>
      <c r="J2999" s="7" t="s">
        <v>2</v>
      </c>
      <c r="K2999" s="7"/>
      <c r="L2999" s="7"/>
      <c r="M2999" s="7"/>
      <c r="N2999" s="7" t="s">
        <v>170</v>
      </c>
      <c r="O2999" s="7" t="s">
        <v>161</v>
      </c>
      <c r="P2999" s="7" t="s">
        <v>7509</v>
      </c>
      <c r="Q2999" s="129">
        <v>46199</v>
      </c>
      <c r="R2999" s="130">
        <f t="shared" si="321"/>
        <v>46202</v>
      </c>
      <c r="S2999" s="131">
        <f t="shared" si="322"/>
        <v>3</v>
      </c>
      <c r="T2999" s="7" t="s">
        <v>947</v>
      </c>
      <c r="U2999" s="7" t="s">
        <v>331</v>
      </c>
      <c r="V2999" s="7"/>
      <c r="W2999" s="7"/>
      <c r="X2999" s="132">
        <f t="shared" si="323"/>
        <v>10</v>
      </c>
      <c r="Y2999" s="133"/>
      <c r="Z2999" s="133"/>
      <c r="AA2999" s="133"/>
    </row>
    <row r="3000" spans="1:27" hidden="1" x14ac:dyDescent="0.25">
      <c r="A3000" s="133"/>
      <c r="B3000" s="128" t="str">
        <f t="shared" si="318"/>
        <v>NAMS</v>
      </c>
      <c r="C3000" s="128" t="str">
        <f>+VLOOKUP(U3000,Ходим!A:B,2,0)</f>
        <v>52503015960039</v>
      </c>
      <c r="D3000" s="128" t="str">
        <f>IFERROR(VLOOKUP($B:$B,[20]свод!$A:$AB,3,0)," ")</f>
        <v>Наманган шаҳар</v>
      </c>
      <c r="E3000" s="7" t="s">
        <v>4132</v>
      </c>
      <c r="F3000" s="7" t="s">
        <v>10497</v>
      </c>
      <c r="G3000" s="134">
        <f t="shared" si="319"/>
        <v>1</v>
      </c>
      <c r="H3000" s="134" t="str">
        <f t="shared" si="320"/>
        <v/>
      </c>
      <c r="I3000" s="7" t="s">
        <v>156</v>
      </c>
      <c r="J3000" s="7" t="s">
        <v>25</v>
      </c>
      <c r="K3000" s="7"/>
      <c r="L3000" s="7"/>
      <c r="M3000" s="7"/>
      <c r="N3000" s="7" t="s">
        <v>170</v>
      </c>
      <c r="O3000" s="7" t="s">
        <v>162</v>
      </c>
      <c r="P3000" s="7" t="s">
        <v>6754</v>
      </c>
      <c r="Q3000" s="129">
        <v>46199</v>
      </c>
      <c r="R3000" s="130">
        <f t="shared" si="321"/>
        <v>46210</v>
      </c>
      <c r="S3000" s="131">
        <f t="shared" si="322"/>
        <v>11</v>
      </c>
      <c r="T3000" s="7" t="s">
        <v>185</v>
      </c>
      <c r="U3000" s="7" t="s">
        <v>246</v>
      </c>
      <c r="V3000" s="7"/>
      <c r="W3000" s="7"/>
      <c r="X3000" s="132">
        <f t="shared" si="323"/>
        <v>10</v>
      </c>
      <c r="Y3000" s="133"/>
      <c r="Z3000" s="133"/>
      <c r="AA3000" s="133"/>
    </row>
    <row r="3001" spans="1:27" hidden="1" x14ac:dyDescent="0.25">
      <c r="A3001" s="133"/>
      <c r="B3001" s="128" t="str">
        <f t="shared" si="318"/>
        <v>TORT</v>
      </c>
      <c r="C3001" s="128" t="str">
        <f>+VLOOKUP(U3001,Ходим!A:B,2,0)</f>
        <v>30708792130017</v>
      </c>
      <c r="D3001" s="128" t="str">
        <f>IFERROR(VLOOKUP($B:$B,[20]свод!$A:$AB,3,0)," ")</f>
        <v>Тўрақўрғон тумани</v>
      </c>
      <c r="E3001" s="7" t="s">
        <v>4133</v>
      </c>
      <c r="F3001" s="7" t="s">
        <v>10498</v>
      </c>
      <c r="G3001" s="134">
        <f t="shared" si="319"/>
        <v>1</v>
      </c>
      <c r="H3001" s="134" t="str">
        <f t="shared" si="320"/>
        <v/>
      </c>
      <c r="I3001" s="7" t="s">
        <v>158</v>
      </c>
      <c r="J3001" s="7" t="s">
        <v>172</v>
      </c>
      <c r="K3001" s="7"/>
      <c r="L3001" s="7" t="s">
        <v>167</v>
      </c>
      <c r="M3001" s="7" t="s">
        <v>1074</v>
      </c>
      <c r="N3001" s="7" t="s">
        <v>170</v>
      </c>
      <c r="O3001" s="7" t="s">
        <v>162</v>
      </c>
      <c r="P3001" s="7" t="s">
        <v>7349</v>
      </c>
      <c r="Q3001" s="129">
        <v>46199</v>
      </c>
      <c r="R3001" s="130">
        <f t="shared" si="321"/>
        <v>46209</v>
      </c>
      <c r="S3001" s="131">
        <f t="shared" si="322"/>
        <v>10</v>
      </c>
      <c r="T3001" s="7" t="s">
        <v>203</v>
      </c>
      <c r="U3001" s="7" t="s">
        <v>204</v>
      </c>
      <c r="V3001" s="7"/>
      <c r="W3001" s="7">
        <v>275.06</v>
      </c>
      <c r="X3001" s="132">
        <f t="shared" si="323"/>
        <v>10</v>
      </c>
      <c r="Y3001" s="133"/>
      <c r="Z3001" s="133"/>
      <c r="AA3001" s="133"/>
    </row>
    <row r="3002" spans="1:27" hidden="1" x14ac:dyDescent="0.25">
      <c r="A3002" s="133"/>
      <c r="B3002" s="128" t="str">
        <f t="shared" si="318"/>
        <v>NAMS</v>
      </c>
      <c r="C3002" s="128" t="str">
        <f>+VLOOKUP(U3002,Ходим!A:B,2,0)</f>
        <v>30507995950053</v>
      </c>
      <c r="D3002" s="128" t="str">
        <f>IFERROR(VLOOKUP($B:$B,[20]свод!$A:$AB,3,0)," ")</f>
        <v>Наманган шаҳар</v>
      </c>
      <c r="E3002" s="7" t="s">
        <v>4134</v>
      </c>
      <c r="F3002" s="7" t="s">
        <v>10499</v>
      </c>
      <c r="G3002" s="134">
        <f t="shared" si="319"/>
        <v>1</v>
      </c>
      <c r="H3002" s="134" t="str">
        <f t="shared" si="320"/>
        <v/>
      </c>
      <c r="I3002" s="7" t="s">
        <v>158</v>
      </c>
      <c r="J3002" s="7" t="s">
        <v>13</v>
      </c>
      <c r="K3002" s="7"/>
      <c r="L3002" s="7" t="s">
        <v>167</v>
      </c>
      <c r="M3002" s="7" t="s">
        <v>6198</v>
      </c>
      <c r="N3002" s="7" t="s">
        <v>170</v>
      </c>
      <c r="O3002" s="7" t="s">
        <v>162</v>
      </c>
      <c r="P3002" s="7" t="s">
        <v>6544</v>
      </c>
      <c r="Q3002" s="129">
        <v>46199</v>
      </c>
      <c r="R3002" s="130">
        <f t="shared" si="321"/>
        <v>46205</v>
      </c>
      <c r="S3002" s="131">
        <f t="shared" si="322"/>
        <v>6</v>
      </c>
      <c r="T3002" s="7" t="s">
        <v>173</v>
      </c>
      <c r="U3002" s="7" t="s">
        <v>195</v>
      </c>
      <c r="V3002" s="7"/>
      <c r="W3002" s="7">
        <v>278.05</v>
      </c>
      <c r="X3002" s="132">
        <f t="shared" si="323"/>
        <v>10</v>
      </c>
      <c r="Y3002" s="133"/>
      <c r="Z3002" s="133"/>
      <c r="AA3002" s="133"/>
    </row>
    <row r="3003" spans="1:27" hidden="1" x14ac:dyDescent="0.25">
      <c r="A3003" s="133"/>
      <c r="B3003" s="128" t="str">
        <f t="shared" si="318"/>
        <v>CHUT</v>
      </c>
      <c r="C3003" s="128" t="str">
        <f>+VLOOKUP(U3003,Ходим!A:B,2,0)</f>
        <v>31509882180058</v>
      </c>
      <c r="D3003" s="128" t="str">
        <f>IFERROR(VLOOKUP($B:$B,[20]свод!$A:$AB,3,0)," ")</f>
        <v>Чуст тумани</v>
      </c>
      <c r="E3003" s="7" t="s">
        <v>4135</v>
      </c>
      <c r="F3003" s="7" t="s">
        <v>10500</v>
      </c>
      <c r="G3003" s="134">
        <f t="shared" si="319"/>
        <v>1</v>
      </c>
      <c r="H3003" s="134" t="str">
        <f t="shared" si="320"/>
        <v/>
      </c>
      <c r="I3003" s="7" t="s">
        <v>158</v>
      </c>
      <c r="J3003" s="7" t="s">
        <v>1</v>
      </c>
      <c r="K3003" s="7"/>
      <c r="L3003" s="7" t="s">
        <v>167</v>
      </c>
      <c r="M3003" s="7" t="s">
        <v>6199</v>
      </c>
      <c r="N3003" s="7" t="s">
        <v>170</v>
      </c>
      <c r="O3003" s="7" t="s">
        <v>163</v>
      </c>
      <c r="P3003" s="7" t="s">
        <v>7286</v>
      </c>
      <c r="Q3003" s="129">
        <v>46199</v>
      </c>
      <c r="R3003" s="130">
        <f t="shared" si="321"/>
        <v>46210</v>
      </c>
      <c r="S3003" s="131">
        <f t="shared" si="322"/>
        <v>11</v>
      </c>
      <c r="T3003" s="7" t="s">
        <v>178</v>
      </c>
      <c r="U3003" s="7" t="s">
        <v>324</v>
      </c>
      <c r="V3003" s="7"/>
      <c r="W3003" s="7">
        <v>203.2</v>
      </c>
      <c r="X3003" s="132">
        <f t="shared" si="323"/>
        <v>10</v>
      </c>
      <c r="Y3003" s="133"/>
      <c r="Z3003" s="133"/>
      <c r="AA3003" s="133"/>
    </row>
    <row r="3004" spans="1:27" hidden="1" x14ac:dyDescent="0.25">
      <c r="A3004" s="133"/>
      <c r="B3004" s="128" t="str">
        <f t="shared" si="318"/>
        <v>NORT</v>
      </c>
      <c r="C3004" s="128" t="str">
        <f>+VLOOKUP(U3004,Ходим!A:B,2,0)</f>
        <v>31709822110011</v>
      </c>
      <c r="D3004" s="128" t="str">
        <f>IFERROR(VLOOKUP($B:$B,[20]свод!$A:$AB,3,0)," ")</f>
        <v>Норин тумани</v>
      </c>
      <c r="E3004" s="7" t="s">
        <v>4136</v>
      </c>
      <c r="F3004" s="7" t="s">
        <v>10501</v>
      </c>
      <c r="G3004" s="134" t="str">
        <f t="shared" si="319"/>
        <v/>
      </c>
      <c r="H3004" s="134">
        <f t="shared" si="320"/>
        <v>1</v>
      </c>
      <c r="I3004" s="7" t="s">
        <v>157</v>
      </c>
      <c r="J3004" s="7" t="s">
        <v>84</v>
      </c>
      <c r="K3004" s="7"/>
      <c r="L3004" s="7" t="s">
        <v>168</v>
      </c>
      <c r="M3004" s="7" t="s">
        <v>6200</v>
      </c>
      <c r="N3004" s="7" t="s">
        <v>170</v>
      </c>
      <c r="O3004" s="7" t="s">
        <v>161</v>
      </c>
      <c r="P3004" s="7" t="s">
        <v>7510</v>
      </c>
      <c r="Q3004" s="129">
        <v>46199</v>
      </c>
      <c r="R3004" s="130">
        <f t="shared" si="321"/>
        <v>46205</v>
      </c>
      <c r="S3004" s="131">
        <f t="shared" si="322"/>
        <v>6</v>
      </c>
      <c r="T3004" s="7" t="s">
        <v>210</v>
      </c>
      <c r="U3004" s="7" t="s">
        <v>354</v>
      </c>
      <c r="V3004" s="7"/>
      <c r="W3004" s="7">
        <v>0</v>
      </c>
      <c r="X3004" s="132">
        <f t="shared" si="323"/>
        <v>7</v>
      </c>
      <c r="Y3004" s="133"/>
      <c r="Z3004" s="133"/>
      <c r="AA3004" s="133"/>
    </row>
    <row r="3005" spans="1:27" hidden="1" x14ac:dyDescent="0.25">
      <c r="A3005" s="133"/>
      <c r="B3005" s="128" t="str">
        <f t="shared" si="318"/>
        <v>KSST</v>
      </c>
      <c r="C3005" s="128" t="str">
        <f>+VLOOKUP(U3005,Ходим!A:B,2,0)</f>
        <v>30703792190108</v>
      </c>
      <c r="D3005" s="128" t="str">
        <f>IFERROR(VLOOKUP($B:$B,[20]свод!$A:$AB,3,0)," ")</f>
        <v>Косонсой тумани</v>
      </c>
      <c r="E3005" s="7" t="s">
        <v>4137</v>
      </c>
      <c r="F3005" s="7" t="s">
        <v>10502</v>
      </c>
      <c r="G3005" s="134">
        <f t="shared" si="319"/>
        <v>1</v>
      </c>
      <c r="H3005" s="134" t="str">
        <f t="shared" si="320"/>
        <v/>
      </c>
      <c r="I3005" s="7" t="s">
        <v>156</v>
      </c>
      <c r="J3005" s="7" t="s">
        <v>25</v>
      </c>
      <c r="K3005" s="7"/>
      <c r="L3005" s="7"/>
      <c r="M3005" s="7"/>
      <c r="N3005" s="7" t="s">
        <v>410</v>
      </c>
      <c r="O3005" s="7" t="s">
        <v>162</v>
      </c>
      <c r="P3005" s="7" t="s">
        <v>7510</v>
      </c>
      <c r="Q3005" s="129">
        <v>46199</v>
      </c>
      <c r="R3005" s="130">
        <f t="shared" si="321"/>
        <v>46210</v>
      </c>
      <c r="S3005" s="131">
        <f t="shared" si="322"/>
        <v>11</v>
      </c>
      <c r="T3005" s="7" t="s">
        <v>180</v>
      </c>
      <c r="U3005" s="7" t="s">
        <v>231</v>
      </c>
      <c r="V3005" s="7"/>
      <c r="W3005" s="7"/>
      <c r="X3005" s="132">
        <f t="shared" si="323"/>
        <v>10</v>
      </c>
      <c r="Y3005" s="133"/>
      <c r="Z3005" s="133"/>
      <c r="AA3005" s="133"/>
    </row>
    <row r="3006" spans="1:27" hidden="1" x14ac:dyDescent="0.25">
      <c r="A3006" s="133"/>
      <c r="B3006" s="128" t="str">
        <f t="shared" si="318"/>
        <v>CHUT</v>
      </c>
      <c r="C3006" s="128" t="str">
        <f>+VLOOKUP(U3006,Ходим!A:B,2,0)</f>
        <v>31608922180118</v>
      </c>
      <c r="D3006" s="128" t="str">
        <f>IFERROR(VLOOKUP($B:$B,[20]свод!$A:$AB,3,0)," ")</f>
        <v>Чуст тумани</v>
      </c>
      <c r="E3006" s="7" t="s">
        <v>4138</v>
      </c>
      <c r="F3006" s="7" t="s">
        <v>10503</v>
      </c>
      <c r="G3006" s="134">
        <f t="shared" si="319"/>
        <v>1</v>
      </c>
      <c r="H3006" s="134" t="str">
        <f t="shared" si="320"/>
        <v/>
      </c>
      <c r="I3006" s="7" t="s">
        <v>158</v>
      </c>
      <c r="J3006" s="7" t="s">
        <v>172</v>
      </c>
      <c r="K3006" s="7"/>
      <c r="L3006" s="7" t="s">
        <v>167</v>
      </c>
      <c r="M3006" s="7" t="s">
        <v>6201</v>
      </c>
      <c r="N3006" s="7" t="s">
        <v>410</v>
      </c>
      <c r="O3006" s="7" t="s">
        <v>162</v>
      </c>
      <c r="P3006" s="7" t="s">
        <v>7510</v>
      </c>
      <c r="Q3006" s="129">
        <v>46199</v>
      </c>
      <c r="R3006" s="130">
        <f t="shared" si="321"/>
        <v>46210</v>
      </c>
      <c r="S3006" s="131">
        <f t="shared" si="322"/>
        <v>11</v>
      </c>
      <c r="T3006" s="7" t="s">
        <v>178</v>
      </c>
      <c r="U3006" s="7" t="s">
        <v>284</v>
      </c>
      <c r="V3006" s="7"/>
      <c r="W3006" s="7">
        <v>432.21</v>
      </c>
      <c r="X3006" s="132">
        <f t="shared" si="323"/>
        <v>10</v>
      </c>
      <c r="Y3006" s="133"/>
      <c r="Z3006" s="133"/>
      <c r="AA3006" s="133"/>
    </row>
    <row r="3007" spans="1:27" hidden="1" x14ac:dyDescent="0.25">
      <c r="A3007" s="133"/>
      <c r="B3007" s="128" t="str">
        <f t="shared" si="318"/>
        <v>NAMS</v>
      </c>
      <c r="C3007" s="128" t="str">
        <f>+VLOOKUP(U3007,Ходим!A:B,2,0)</f>
        <v>32207925880019</v>
      </c>
      <c r="D3007" s="128" t="str">
        <f>IFERROR(VLOOKUP($B:$B,[20]свод!$A:$AB,3,0)," ")</f>
        <v>Наманган шаҳар</v>
      </c>
      <c r="E3007" s="7" t="s">
        <v>4139</v>
      </c>
      <c r="F3007" s="7" t="s">
        <v>10504</v>
      </c>
      <c r="G3007" s="134">
        <f t="shared" si="319"/>
        <v>1</v>
      </c>
      <c r="H3007" s="134" t="str">
        <f t="shared" si="320"/>
        <v/>
      </c>
      <c r="I3007" s="7" t="s">
        <v>156</v>
      </c>
      <c r="J3007" s="7" t="s">
        <v>25</v>
      </c>
      <c r="K3007" s="7"/>
      <c r="L3007" s="7"/>
      <c r="M3007" s="7"/>
      <c r="N3007" s="7" t="s">
        <v>170</v>
      </c>
      <c r="O3007" s="7" t="s">
        <v>162</v>
      </c>
      <c r="P3007" s="7" t="s">
        <v>7510</v>
      </c>
      <c r="Q3007" s="129">
        <v>46199</v>
      </c>
      <c r="R3007" s="130">
        <f t="shared" si="321"/>
        <v>46210</v>
      </c>
      <c r="S3007" s="131">
        <f t="shared" si="322"/>
        <v>11</v>
      </c>
      <c r="T3007" s="7" t="s">
        <v>173</v>
      </c>
      <c r="U3007" s="7" t="s">
        <v>174</v>
      </c>
      <c r="V3007" s="7"/>
      <c r="W3007" s="7"/>
      <c r="X3007" s="132">
        <f t="shared" si="323"/>
        <v>10</v>
      </c>
      <c r="Y3007" s="133"/>
      <c r="Z3007" s="133"/>
      <c r="AA3007" s="133"/>
    </row>
    <row r="3008" spans="1:27" hidden="1" x14ac:dyDescent="0.25">
      <c r="A3008" s="133"/>
      <c r="B3008" s="128" t="str">
        <f t="shared" si="318"/>
        <v>UYCT</v>
      </c>
      <c r="C3008" s="128" t="str">
        <f>+VLOOKUP(U3008,Ходим!A:B,2,0)</f>
        <v>53007005930024</v>
      </c>
      <c r="D3008" s="128" t="str">
        <f>IFERROR(VLOOKUP($B:$B,[20]свод!$A:$AB,3,0)," ")</f>
        <v>Уйчи тумани</v>
      </c>
      <c r="E3008" s="7" t="s">
        <v>4140</v>
      </c>
      <c r="F3008" s="7" t="s">
        <v>10505</v>
      </c>
      <c r="G3008" s="134">
        <f t="shared" si="319"/>
        <v>1</v>
      </c>
      <c r="H3008" s="134" t="str">
        <f t="shared" si="320"/>
        <v/>
      </c>
      <c r="I3008" s="7" t="s">
        <v>156</v>
      </c>
      <c r="J3008" s="7" t="s">
        <v>22</v>
      </c>
      <c r="K3008" s="7"/>
      <c r="L3008" s="7" t="s">
        <v>167</v>
      </c>
      <c r="M3008" s="7" t="s">
        <v>6202</v>
      </c>
      <c r="N3008" s="7" t="s">
        <v>170</v>
      </c>
      <c r="O3008" s="7" t="s">
        <v>162</v>
      </c>
      <c r="P3008" s="7" t="s">
        <v>7510</v>
      </c>
      <c r="Q3008" s="129">
        <v>46199</v>
      </c>
      <c r="R3008" s="130">
        <f t="shared" si="321"/>
        <v>46210</v>
      </c>
      <c r="S3008" s="131">
        <f t="shared" si="322"/>
        <v>11</v>
      </c>
      <c r="T3008" s="7" t="s">
        <v>947</v>
      </c>
      <c r="U3008" s="7" t="s">
        <v>378</v>
      </c>
      <c r="V3008" s="7"/>
      <c r="W3008" s="7">
        <v>96.3</v>
      </c>
      <c r="X3008" s="132">
        <f t="shared" si="323"/>
        <v>10</v>
      </c>
      <c r="Y3008" s="133"/>
      <c r="Z3008" s="133"/>
      <c r="AA3008" s="133"/>
    </row>
    <row r="3009" spans="1:27" hidden="1" x14ac:dyDescent="0.25">
      <c r="A3009" s="133"/>
      <c r="B3009" s="128" t="str">
        <f t="shared" si="318"/>
        <v>POPT</v>
      </c>
      <c r="C3009" s="128" t="str">
        <f>+VLOOKUP(U3009,Ходим!A:B,2,0)</f>
        <v>50310025910024</v>
      </c>
      <c r="D3009" s="128" t="str">
        <f>IFERROR(VLOOKUP($B:$B,[20]свод!$A:$AB,3,0)," ")</f>
        <v>Поп тумани</v>
      </c>
      <c r="E3009" s="7" t="s">
        <v>4141</v>
      </c>
      <c r="F3009" s="7" t="s">
        <v>10506</v>
      </c>
      <c r="G3009" s="134">
        <f t="shared" si="319"/>
        <v>1</v>
      </c>
      <c r="H3009" s="134" t="str">
        <f t="shared" si="320"/>
        <v/>
      </c>
      <c r="I3009" s="7" t="s">
        <v>158</v>
      </c>
      <c r="J3009" s="7" t="s">
        <v>13</v>
      </c>
      <c r="K3009" s="7"/>
      <c r="L3009" s="7" t="s">
        <v>167</v>
      </c>
      <c r="M3009" s="7" t="s">
        <v>6203</v>
      </c>
      <c r="N3009" s="7" t="s">
        <v>170</v>
      </c>
      <c r="O3009" s="7" t="s">
        <v>162</v>
      </c>
      <c r="P3009" s="7" t="s">
        <v>7510</v>
      </c>
      <c r="Q3009" s="129">
        <v>46199</v>
      </c>
      <c r="R3009" s="130">
        <f t="shared" si="321"/>
        <v>46210</v>
      </c>
      <c r="S3009" s="131">
        <f t="shared" si="322"/>
        <v>11</v>
      </c>
      <c r="T3009" s="7" t="s">
        <v>240</v>
      </c>
      <c r="U3009" s="7" t="s">
        <v>964</v>
      </c>
      <c r="V3009" s="7"/>
      <c r="W3009" s="7">
        <v>311.60000000000002</v>
      </c>
      <c r="X3009" s="132">
        <f t="shared" si="323"/>
        <v>10</v>
      </c>
      <c r="Y3009" s="133"/>
      <c r="Z3009" s="133"/>
      <c r="AA3009" s="133"/>
    </row>
    <row r="3010" spans="1:27" hidden="1" x14ac:dyDescent="0.25">
      <c r="A3010" s="133"/>
      <c r="B3010" s="128" t="str">
        <f t="shared" si="318"/>
        <v>NAMS</v>
      </c>
      <c r="C3010" s="128" t="str">
        <f>+VLOOKUP(U3010,Ходим!A:B,2,0)</f>
        <v>52601025870013</v>
      </c>
      <c r="D3010" s="128" t="str">
        <f>IFERROR(VLOOKUP($B:$B,[20]свод!$A:$AB,3,0)," ")</f>
        <v>Наманган шаҳар</v>
      </c>
      <c r="E3010" s="7" t="s">
        <v>4142</v>
      </c>
      <c r="F3010" s="7" t="s">
        <v>10507</v>
      </c>
      <c r="G3010" s="134">
        <f t="shared" si="319"/>
        <v>1</v>
      </c>
      <c r="H3010" s="134" t="str">
        <f t="shared" si="320"/>
        <v/>
      </c>
      <c r="I3010" s="7" t="s">
        <v>156</v>
      </c>
      <c r="J3010" s="7" t="s">
        <v>25</v>
      </c>
      <c r="K3010" s="7"/>
      <c r="L3010" s="7"/>
      <c r="M3010" s="7"/>
      <c r="N3010" s="7" t="s">
        <v>170</v>
      </c>
      <c r="O3010" s="7" t="s">
        <v>162</v>
      </c>
      <c r="P3010" s="7" t="s">
        <v>7511</v>
      </c>
      <c r="Q3010" s="129">
        <v>46199</v>
      </c>
      <c r="R3010" s="130">
        <f t="shared" si="321"/>
        <v>46210</v>
      </c>
      <c r="S3010" s="131">
        <f t="shared" si="322"/>
        <v>11</v>
      </c>
      <c r="T3010" s="7" t="s">
        <v>173</v>
      </c>
      <c r="U3010" s="7" t="s">
        <v>405</v>
      </c>
      <c r="V3010" s="7"/>
      <c r="W3010" s="7"/>
      <c r="X3010" s="132">
        <f t="shared" si="323"/>
        <v>10</v>
      </c>
      <c r="Y3010" s="133"/>
      <c r="Z3010" s="133"/>
      <c r="AA3010" s="133"/>
    </row>
    <row r="3011" spans="1:27" hidden="1" x14ac:dyDescent="0.25">
      <c r="A3011" s="133"/>
      <c r="B3011" s="128" t="str">
        <f t="shared" si="318"/>
        <v>NAMS</v>
      </c>
      <c r="C3011" s="128" t="str">
        <f>+VLOOKUP(U3011,Ходим!A:B,2,0)</f>
        <v>51110025960044</v>
      </c>
      <c r="D3011" s="128" t="str">
        <f>IFERROR(VLOOKUP($B:$B,[20]свод!$A:$AB,3,0)," ")</f>
        <v>Наманган шаҳар</v>
      </c>
      <c r="E3011" s="7" t="s">
        <v>4143</v>
      </c>
      <c r="F3011" s="7" t="s">
        <v>10508</v>
      </c>
      <c r="G3011" s="134">
        <f t="shared" si="319"/>
        <v>1</v>
      </c>
      <c r="H3011" s="134" t="str">
        <f t="shared" si="320"/>
        <v/>
      </c>
      <c r="I3011" s="7" t="s">
        <v>156</v>
      </c>
      <c r="J3011" s="7" t="s">
        <v>25</v>
      </c>
      <c r="K3011" s="7"/>
      <c r="L3011" s="7"/>
      <c r="M3011" s="7"/>
      <c r="N3011" s="7" t="s">
        <v>170</v>
      </c>
      <c r="O3011" s="7" t="s">
        <v>162</v>
      </c>
      <c r="P3011" s="7" t="s">
        <v>7511</v>
      </c>
      <c r="Q3011" s="129">
        <v>46199</v>
      </c>
      <c r="R3011" s="130">
        <f t="shared" si="321"/>
        <v>46210</v>
      </c>
      <c r="S3011" s="131">
        <f t="shared" si="322"/>
        <v>11</v>
      </c>
      <c r="T3011" s="7" t="s">
        <v>173</v>
      </c>
      <c r="U3011" s="7" t="s">
        <v>294</v>
      </c>
      <c r="V3011" s="7"/>
      <c r="W3011" s="7"/>
      <c r="X3011" s="132">
        <f t="shared" si="323"/>
        <v>10</v>
      </c>
      <c r="Y3011" s="133"/>
      <c r="Z3011" s="133"/>
      <c r="AA3011" s="133"/>
    </row>
    <row r="3012" spans="1:27" hidden="1" x14ac:dyDescent="0.25">
      <c r="A3012" s="133"/>
      <c r="B3012" s="128" t="str">
        <f t="shared" si="318"/>
        <v>UYCT</v>
      </c>
      <c r="C3012" s="128" t="str">
        <f>+VLOOKUP(U3012,Ходим!A:B,2,0)</f>
        <v>53007005930024</v>
      </c>
      <c r="D3012" s="128" t="str">
        <f>IFERROR(VLOOKUP($B:$B,[20]свод!$A:$AB,3,0)," ")</f>
        <v>Уйчи тумани</v>
      </c>
      <c r="E3012" s="7" t="s">
        <v>4144</v>
      </c>
      <c r="F3012" s="7" t="s">
        <v>10509</v>
      </c>
      <c r="G3012" s="134">
        <f t="shared" si="319"/>
        <v>1</v>
      </c>
      <c r="H3012" s="134" t="str">
        <f t="shared" si="320"/>
        <v/>
      </c>
      <c r="I3012" s="7" t="s">
        <v>156</v>
      </c>
      <c r="J3012" s="7" t="s">
        <v>25</v>
      </c>
      <c r="K3012" s="7"/>
      <c r="L3012" s="7"/>
      <c r="M3012" s="7"/>
      <c r="N3012" s="7" t="s">
        <v>170</v>
      </c>
      <c r="O3012" s="7" t="s">
        <v>162</v>
      </c>
      <c r="P3012" s="7" t="s">
        <v>7511</v>
      </c>
      <c r="Q3012" s="129">
        <v>46199</v>
      </c>
      <c r="R3012" s="130">
        <f t="shared" si="321"/>
        <v>46210</v>
      </c>
      <c r="S3012" s="131">
        <f t="shared" si="322"/>
        <v>11</v>
      </c>
      <c r="T3012" s="7" t="s">
        <v>947</v>
      </c>
      <c r="U3012" s="7" t="s">
        <v>378</v>
      </c>
      <c r="V3012" s="7"/>
      <c r="W3012" s="7"/>
      <c r="X3012" s="132">
        <f t="shared" si="323"/>
        <v>10</v>
      </c>
      <c r="Y3012" s="133"/>
      <c r="Z3012" s="133"/>
      <c r="AA3012" s="133"/>
    </row>
    <row r="3013" spans="1:27" hidden="1" x14ac:dyDescent="0.25">
      <c r="A3013" s="133"/>
      <c r="B3013" s="128" t="str">
        <f t="shared" si="318"/>
        <v>TORT</v>
      </c>
      <c r="C3013" s="128" t="str">
        <f>+VLOOKUP(U3013,Ходим!A:B,2,0)</f>
        <v>31609912130025</v>
      </c>
      <c r="D3013" s="128" t="str">
        <f>IFERROR(VLOOKUP($B:$B,[20]свод!$A:$AB,3,0)," ")</f>
        <v>Тўрақўрғон тумани</v>
      </c>
      <c r="E3013" s="7" t="s">
        <v>4145</v>
      </c>
      <c r="F3013" s="7" t="s">
        <v>10510</v>
      </c>
      <c r="G3013" s="134">
        <f t="shared" si="319"/>
        <v>1</v>
      </c>
      <c r="H3013" s="134" t="str">
        <f t="shared" si="320"/>
        <v/>
      </c>
      <c r="I3013" s="7" t="s">
        <v>156</v>
      </c>
      <c r="J3013" s="7" t="s">
        <v>25</v>
      </c>
      <c r="K3013" s="7"/>
      <c r="L3013" s="7"/>
      <c r="M3013" s="7"/>
      <c r="N3013" s="7" t="s">
        <v>170</v>
      </c>
      <c r="O3013" s="7" t="s">
        <v>162</v>
      </c>
      <c r="P3013" s="7" t="s">
        <v>7511</v>
      </c>
      <c r="Q3013" s="129">
        <v>46199</v>
      </c>
      <c r="R3013" s="130">
        <f t="shared" si="321"/>
        <v>46210</v>
      </c>
      <c r="S3013" s="131">
        <f t="shared" si="322"/>
        <v>11</v>
      </c>
      <c r="T3013" s="7" t="s">
        <v>203</v>
      </c>
      <c r="U3013" s="7" t="s">
        <v>280</v>
      </c>
      <c r="V3013" s="7"/>
      <c r="W3013" s="7"/>
      <c r="X3013" s="132">
        <f t="shared" si="323"/>
        <v>10</v>
      </c>
      <c r="Y3013" s="133"/>
      <c r="Z3013" s="133"/>
      <c r="AA3013" s="133"/>
    </row>
    <row r="3014" spans="1:27" hidden="1" x14ac:dyDescent="0.25">
      <c r="A3014" s="133"/>
      <c r="B3014" s="128" t="str">
        <f t="shared" si="318"/>
        <v>KSST</v>
      </c>
      <c r="C3014" s="128" t="str">
        <f>+VLOOKUP(U3014,Ходим!A:B,2,0)</f>
        <v>32910975980025</v>
      </c>
      <c r="D3014" s="128" t="str">
        <f>IFERROR(VLOOKUP($B:$B,[20]свод!$A:$AB,3,0)," ")</f>
        <v>Косонсой тумани</v>
      </c>
      <c r="E3014" s="7" t="s">
        <v>4146</v>
      </c>
      <c r="F3014" s="7" t="s">
        <v>10511</v>
      </c>
      <c r="G3014" s="134">
        <f t="shared" si="319"/>
        <v>1</v>
      </c>
      <c r="H3014" s="134" t="str">
        <f t="shared" si="320"/>
        <v/>
      </c>
      <c r="I3014" s="7" t="s">
        <v>158</v>
      </c>
      <c r="J3014" s="7" t="s">
        <v>2</v>
      </c>
      <c r="K3014" s="7"/>
      <c r="L3014" s="7" t="s">
        <v>167</v>
      </c>
      <c r="M3014" s="7" t="s">
        <v>6204</v>
      </c>
      <c r="N3014" s="7" t="s">
        <v>170</v>
      </c>
      <c r="O3014" s="7" t="s">
        <v>162</v>
      </c>
      <c r="P3014" s="7" t="s">
        <v>7511</v>
      </c>
      <c r="Q3014" s="129">
        <v>46199</v>
      </c>
      <c r="R3014" s="130">
        <f t="shared" si="321"/>
        <v>46210</v>
      </c>
      <c r="S3014" s="131">
        <f t="shared" si="322"/>
        <v>11</v>
      </c>
      <c r="T3014" s="7" t="s">
        <v>180</v>
      </c>
      <c r="U3014" s="7" t="s">
        <v>187</v>
      </c>
      <c r="V3014" s="7"/>
      <c r="W3014" s="7">
        <v>66.599999999999994</v>
      </c>
      <c r="X3014" s="132">
        <f t="shared" si="323"/>
        <v>10</v>
      </c>
      <c r="Y3014" s="133"/>
      <c r="Z3014" s="133"/>
      <c r="AA3014" s="133"/>
    </row>
    <row r="3015" spans="1:27" hidden="1" x14ac:dyDescent="0.25">
      <c r="A3015" s="133"/>
      <c r="B3015" s="128" t="str">
        <f t="shared" si="318"/>
        <v>KSST</v>
      </c>
      <c r="C3015" s="128" t="str">
        <f>+VLOOKUP(U3015,Ходим!A:B,2,0)</f>
        <v>30703792190108</v>
      </c>
      <c r="D3015" s="128" t="str">
        <f>IFERROR(VLOOKUP($B:$B,[20]свод!$A:$AB,3,0)," ")</f>
        <v>Косонсой тумани</v>
      </c>
      <c r="E3015" s="7" t="s">
        <v>4147</v>
      </c>
      <c r="F3015" s="7" t="s">
        <v>10512</v>
      </c>
      <c r="G3015" s="134">
        <f t="shared" si="319"/>
        <v>1</v>
      </c>
      <c r="H3015" s="134" t="str">
        <f t="shared" si="320"/>
        <v/>
      </c>
      <c r="I3015" s="7" t="s">
        <v>156</v>
      </c>
      <c r="J3015" s="7" t="s">
        <v>25</v>
      </c>
      <c r="K3015" s="7"/>
      <c r="L3015" s="7" t="s">
        <v>167</v>
      </c>
      <c r="M3015" s="7" t="s">
        <v>6205</v>
      </c>
      <c r="N3015" s="7" t="s">
        <v>170</v>
      </c>
      <c r="O3015" s="7" t="s">
        <v>162</v>
      </c>
      <c r="P3015" s="7" t="s">
        <v>7511</v>
      </c>
      <c r="Q3015" s="129">
        <v>46199</v>
      </c>
      <c r="R3015" s="130">
        <f t="shared" si="321"/>
        <v>46210</v>
      </c>
      <c r="S3015" s="131">
        <f t="shared" si="322"/>
        <v>11</v>
      </c>
      <c r="T3015" s="7" t="s">
        <v>180</v>
      </c>
      <c r="U3015" s="7" t="s">
        <v>231</v>
      </c>
      <c r="V3015" s="7"/>
      <c r="W3015" s="7">
        <v>0</v>
      </c>
      <c r="X3015" s="132">
        <f t="shared" si="323"/>
        <v>10</v>
      </c>
      <c r="Y3015" s="133"/>
      <c r="Z3015" s="133"/>
      <c r="AA3015" s="133"/>
    </row>
    <row r="3016" spans="1:27" hidden="1" x14ac:dyDescent="0.25">
      <c r="A3016" s="133"/>
      <c r="B3016" s="128" t="str">
        <f t="shared" si="318"/>
        <v>UYCT</v>
      </c>
      <c r="C3016" s="128" t="str">
        <f>+VLOOKUP(U3016,Ходим!A:B,2,0)</f>
        <v>31004952140036</v>
      </c>
      <c r="D3016" s="128" t="str">
        <f>IFERROR(VLOOKUP($B:$B,[20]свод!$A:$AB,3,0)," ")</f>
        <v>Уйчи тумани</v>
      </c>
      <c r="E3016" s="7" t="s">
        <v>4148</v>
      </c>
      <c r="F3016" s="7" t="s">
        <v>10513</v>
      </c>
      <c r="G3016" s="134" t="str">
        <f t="shared" si="319"/>
        <v/>
      </c>
      <c r="H3016" s="134">
        <f t="shared" si="320"/>
        <v>1</v>
      </c>
      <c r="I3016" s="7" t="s">
        <v>157</v>
      </c>
      <c r="J3016" s="7" t="s">
        <v>35</v>
      </c>
      <c r="K3016" s="7"/>
      <c r="L3016" s="7" t="s">
        <v>166</v>
      </c>
      <c r="M3016" s="7" t="s">
        <v>6206</v>
      </c>
      <c r="N3016" s="7" t="s">
        <v>170</v>
      </c>
      <c r="O3016" s="7" t="s">
        <v>161</v>
      </c>
      <c r="P3016" s="7" t="s">
        <v>6322</v>
      </c>
      <c r="Q3016" s="129">
        <v>46199</v>
      </c>
      <c r="R3016" s="130">
        <f t="shared" si="321"/>
        <v>46204</v>
      </c>
      <c r="S3016" s="131">
        <f t="shared" si="322"/>
        <v>5</v>
      </c>
      <c r="T3016" s="7" t="s">
        <v>947</v>
      </c>
      <c r="U3016" s="7" t="s">
        <v>331</v>
      </c>
      <c r="V3016" s="7"/>
      <c r="W3016" s="7">
        <v>0</v>
      </c>
      <c r="X3016" s="132">
        <f t="shared" si="323"/>
        <v>10</v>
      </c>
      <c r="Y3016" s="133"/>
      <c r="Z3016" s="133"/>
      <c r="AA3016" s="133"/>
    </row>
    <row r="3017" spans="1:27" hidden="1" x14ac:dyDescent="0.25">
      <c r="A3017" s="133"/>
      <c r="B3017" s="128" t="str">
        <f t="shared" si="318"/>
        <v>NAMS</v>
      </c>
      <c r="C3017" s="128" t="str">
        <f>+VLOOKUP(U3017,Ходим!A:B,2,0)</f>
        <v>31309932190035</v>
      </c>
      <c r="D3017" s="128" t="str">
        <f>IFERROR(VLOOKUP($B:$B,[20]свод!$A:$AB,3,0)," ")</f>
        <v>Наманган шаҳар</v>
      </c>
      <c r="E3017" s="7" t="s">
        <v>4149</v>
      </c>
      <c r="F3017" s="7" t="s">
        <v>10514</v>
      </c>
      <c r="G3017" s="134">
        <f t="shared" si="319"/>
        <v>1</v>
      </c>
      <c r="H3017" s="134" t="str">
        <f t="shared" si="320"/>
        <v/>
      </c>
      <c r="I3017" s="7" t="s">
        <v>158</v>
      </c>
      <c r="J3017" s="7" t="s">
        <v>10</v>
      </c>
      <c r="K3017" s="7"/>
      <c r="L3017" s="7" t="s">
        <v>167</v>
      </c>
      <c r="M3017" s="7" t="s">
        <v>6207</v>
      </c>
      <c r="N3017" s="7" t="s">
        <v>170</v>
      </c>
      <c r="O3017" s="7" t="s">
        <v>162</v>
      </c>
      <c r="P3017" s="7" t="s">
        <v>7206</v>
      </c>
      <c r="Q3017" s="129">
        <v>46199</v>
      </c>
      <c r="R3017" s="130">
        <f t="shared" si="321"/>
        <v>46203</v>
      </c>
      <c r="S3017" s="131">
        <f t="shared" si="322"/>
        <v>4</v>
      </c>
      <c r="T3017" s="7" t="s">
        <v>185</v>
      </c>
      <c r="U3017" s="7" t="s">
        <v>237</v>
      </c>
      <c r="V3017" s="7"/>
      <c r="W3017" s="7">
        <v>277.93</v>
      </c>
      <c r="X3017" s="132">
        <f t="shared" si="323"/>
        <v>10</v>
      </c>
      <c r="Y3017" s="133"/>
      <c r="Z3017" s="133"/>
      <c r="AA3017" s="133"/>
    </row>
    <row r="3018" spans="1:27" hidden="1" x14ac:dyDescent="0.25">
      <c r="A3018" s="133"/>
      <c r="B3018" s="128" t="str">
        <f t="shared" si="318"/>
        <v>UYCT</v>
      </c>
      <c r="C3018" s="128" t="str">
        <f>+VLOOKUP(U3018,Ходим!A:B,2,0)</f>
        <v>52811025930077</v>
      </c>
      <c r="D3018" s="128" t="str">
        <f>IFERROR(VLOOKUP($B:$B,[20]свод!$A:$AB,3,0)," ")</f>
        <v>Уйчи тумани</v>
      </c>
      <c r="E3018" s="7" t="s">
        <v>4150</v>
      </c>
      <c r="F3018" s="7" t="s">
        <v>10515</v>
      </c>
      <c r="G3018" s="134" t="str">
        <f t="shared" si="319"/>
        <v/>
      </c>
      <c r="H3018" s="134">
        <f t="shared" si="320"/>
        <v>1</v>
      </c>
      <c r="I3018" s="7" t="s">
        <v>157</v>
      </c>
      <c r="J3018" s="7" t="s">
        <v>172</v>
      </c>
      <c r="K3018" s="7"/>
      <c r="L3018" s="7" t="s">
        <v>168</v>
      </c>
      <c r="M3018" s="7" t="s">
        <v>6208</v>
      </c>
      <c r="N3018" s="7" t="s">
        <v>170</v>
      </c>
      <c r="O3018" s="7" t="s">
        <v>161</v>
      </c>
      <c r="P3018" s="7" t="s">
        <v>7512</v>
      </c>
      <c r="Q3018" s="129">
        <v>46199</v>
      </c>
      <c r="R3018" s="130">
        <f t="shared" si="321"/>
        <v>46205</v>
      </c>
      <c r="S3018" s="131">
        <f t="shared" si="322"/>
        <v>6</v>
      </c>
      <c r="T3018" s="7" t="s">
        <v>947</v>
      </c>
      <c r="U3018" s="7" t="s">
        <v>356</v>
      </c>
      <c r="V3018" s="7"/>
      <c r="W3018" s="7">
        <v>0</v>
      </c>
      <c r="X3018" s="132">
        <f t="shared" si="323"/>
        <v>7</v>
      </c>
      <c r="Y3018" s="133"/>
      <c r="Z3018" s="133"/>
      <c r="AA3018" s="133"/>
    </row>
    <row r="3019" spans="1:27" hidden="1" x14ac:dyDescent="0.25">
      <c r="A3019" s="133"/>
      <c r="B3019" s="128" t="str">
        <f t="shared" si="318"/>
        <v>CHUT</v>
      </c>
      <c r="C3019" s="128" t="str">
        <f>+VLOOKUP(U3019,Ходим!A:B,2,0)</f>
        <v>33112995970023</v>
      </c>
      <c r="D3019" s="128" t="str">
        <f>IFERROR(VLOOKUP($B:$B,[20]свод!$A:$AB,3,0)," ")</f>
        <v>Чуст тумани</v>
      </c>
      <c r="E3019" s="7" t="s">
        <v>4151</v>
      </c>
      <c r="F3019" s="7" t="s">
        <v>10516</v>
      </c>
      <c r="G3019" s="134">
        <f t="shared" si="319"/>
        <v>1</v>
      </c>
      <c r="H3019" s="134" t="str">
        <f t="shared" si="320"/>
        <v/>
      </c>
      <c r="I3019" s="7" t="s">
        <v>156</v>
      </c>
      <c r="J3019" s="7" t="s">
        <v>23</v>
      </c>
      <c r="K3019" s="7"/>
      <c r="L3019" s="7"/>
      <c r="M3019" s="7"/>
      <c r="N3019" s="7" t="s">
        <v>170</v>
      </c>
      <c r="O3019" s="7" t="s">
        <v>162</v>
      </c>
      <c r="P3019" s="7" t="s">
        <v>7512</v>
      </c>
      <c r="Q3019" s="129">
        <v>46199</v>
      </c>
      <c r="R3019" s="130">
        <f t="shared" si="321"/>
        <v>46210</v>
      </c>
      <c r="S3019" s="131">
        <f t="shared" si="322"/>
        <v>11</v>
      </c>
      <c r="T3019" s="7" t="s">
        <v>178</v>
      </c>
      <c r="U3019" s="7" t="s">
        <v>179</v>
      </c>
      <c r="V3019" s="7"/>
      <c r="W3019" s="7"/>
      <c r="X3019" s="132">
        <f t="shared" si="323"/>
        <v>10</v>
      </c>
      <c r="Y3019" s="133"/>
      <c r="Z3019" s="133"/>
      <c r="AA3019" s="133"/>
    </row>
    <row r="3020" spans="1:27" hidden="1" x14ac:dyDescent="0.25">
      <c r="A3020" s="133"/>
      <c r="B3020" s="128" t="str">
        <f t="shared" si="318"/>
        <v>CHUT</v>
      </c>
      <c r="C3020" s="128" t="e">
        <f>+VLOOKUP(U3020,Ходим!A:B,2,0)</f>
        <v>#N/A</v>
      </c>
      <c r="D3020" s="128" t="str">
        <f>IFERROR(VLOOKUP($B:$B,[20]свод!$A:$AB,3,0)," ")</f>
        <v>Чуст тумани</v>
      </c>
      <c r="E3020" s="7" t="s">
        <v>4152</v>
      </c>
      <c r="F3020" s="7" t="s">
        <v>10517</v>
      </c>
      <c r="G3020" s="134">
        <f t="shared" si="319"/>
        <v>1</v>
      </c>
      <c r="H3020" s="134" t="str">
        <f t="shared" si="320"/>
        <v/>
      </c>
      <c r="I3020" s="7" t="s">
        <v>159</v>
      </c>
      <c r="J3020" s="7" t="s">
        <v>136</v>
      </c>
      <c r="K3020" s="7"/>
      <c r="L3020" s="7" t="s">
        <v>167</v>
      </c>
      <c r="M3020" s="7" t="s">
        <v>6209</v>
      </c>
      <c r="N3020" s="7" t="s">
        <v>170</v>
      </c>
      <c r="O3020" s="7" t="s">
        <v>163</v>
      </c>
      <c r="P3020" s="7" t="s">
        <v>7512</v>
      </c>
      <c r="Q3020" s="129">
        <v>46199</v>
      </c>
      <c r="R3020" s="130">
        <f t="shared" si="321"/>
        <v>46210</v>
      </c>
      <c r="S3020" s="131">
        <f t="shared" si="322"/>
        <v>11</v>
      </c>
      <c r="T3020" s="7" t="s">
        <v>178</v>
      </c>
      <c r="U3020" s="7"/>
      <c r="V3020" s="7"/>
      <c r="W3020" s="7">
        <v>657.49</v>
      </c>
      <c r="X3020" s="132">
        <f t="shared" si="323"/>
        <v>10</v>
      </c>
      <c r="Y3020" s="133"/>
      <c r="Z3020" s="133"/>
      <c r="AA3020" s="133"/>
    </row>
    <row r="3021" spans="1:27" hidden="1" x14ac:dyDescent="0.25">
      <c r="A3021" s="133"/>
      <c r="B3021" s="128" t="str">
        <f t="shared" si="318"/>
        <v>YGQT</v>
      </c>
      <c r="C3021" s="128" t="str">
        <f>+VLOOKUP(U3021,Ходим!A:B,2,0)</f>
        <v>30903902160122</v>
      </c>
      <c r="D3021" s="128" t="str">
        <f>IFERROR(VLOOKUP($B:$B,[20]свод!$A:$AB,3,0)," ")</f>
        <v>Янгиқўрғон тумани</v>
      </c>
      <c r="E3021" s="7" t="s">
        <v>4153</v>
      </c>
      <c r="F3021" s="7" t="s">
        <v>10518</v>
      </c>
      <c r="G3021" s="134" t="str">
        <f t="shared" si="319"/>
        <v/>
      </c>
      <c r="H3021" s="134">
        <f t="shared" si="320"/>
        <v>1</v>
      </c>
      <c r="I3021" s="7" t="s">
        <v>157</v>
      </c>
      <c r="J3021" s="7" t="s">
        <v>134</v>
      </c>
      <c r="K3021" s="7"/>
      <c r="L3021" s="7"/>
      <c r="M3021" s="7"/>
      <c r="N3021" s="7" t="s">
        <v>410</v>
      </c>
      <c r="O3021" s="7" t="s">
        <v>161</v>
      </c>
      <c r="P3021" s="7" t="s">
        <v>7512</v>
      </c>
      <c r="Q3021" s="129">
        <v>46199</v>
      </c>
      <c r="R3021" s="130">
        <f t="shared" si="321"/>
        <v>46210</v>
      </c>
      <c r="S3021" s="131">
        <f t="shared" si="322"/>
        <v>11</v>
      </c>
      <c r="T3021" s="7" t="s">
        <v>182</v>
      </c>
      <c r="U3021" s="7" t="s">
        <v>230</v>
      </c>
      <c r="V3021" s="7"/>
      <c r="W3021" s="7"/>
      <c r="X3021" s="132">
        <f t="shared" si="323"/>
        <v>10</v>
      </c>
      <c r="Y3021" s="133"/>
      <c r="Z3021" s="133"/>
      <c r="AA3021" s="133"/>
    </row>
    <row r="3022" spans="1:27" hidden="1" x14ac:dyDescent="0.25">
      <c r="A3022" s="133"/>
      <c r="B3022" s="128" t="str">
        <f t="shared" si="318"/>
        <v>NAMS</v>
      </c>
      <c r="C3022" s="128" t="str">
        <f>+VLOOKUP(U3022,Ходим!A:B,2,0)</f>
        <v>31007955980023</v>
      </c>
      <c r="D3022" s="128" t="str">
        <f>IFERROR(VLOOKUP($B:$B,[20]свод!$A:$AB,3,0)," ")</f>
        <v>Наманган шаҳар</v>
      </c>
      <c r="E3022" s="7" t="s">
        <v>4154</v>
      </c>
      <c r="F3022" s="7" t="s">
        <v>10519</v>
      </c>
      <c r="G3022" s="134">
        <f t="shared" si="319"/>
        <v>1</v>
      </c>
      <c r="H3022" s="134" t="str">
        <f t="shared" si="320"/>
        <v/>
      </c>
      <c r="I3022" s="7" t="s">
        <v>156</v>
      </c>
      <c r="J3022" s="7" t="s">
        <v>25</v>
      </c>
      <c r="K3022" s="7"/>
      <c r="L3022" s="7"/>
      <c r="M3022" s="7"/>
      <c r="N3022" s="7" t="s">
        <v>170</v>
      </c>
      <c r="O3022" s="7" t="s">
        <v>162</v>
      </c>
      <c r="P3022" s="7" t="s">
        <v>6529</v>
      </c>
      <c r="Q3022" s="129">
        <v>46199</v>
      </c>
      <c r="R3022" s="130">
        <f t="shared" si="321"/>
        <v>46210</v>
      </c>
      <c r="S3022" s="131">
        <f t="shared" si="322"/>
        <v>11</v>
      </c>
      <c r="T3022" s="7" t="s">
        <v>173</v>
      </c>
      <c r="U3022" s="7" t="s">
        <v>207</v>
      </c>
      <c r="V3022" s="7"/>
      <c r="W3022" s="7"/>
      <c r="X3022" s="132">
        <f t="shared" si="323"/>
        <v>10</v>
      </c>
      <c r="Y3022" s="133"/>
      <c r="Z3022" s="133"/>
      <c r="AA3022" s="133"/>
    </row>
    <row r="3023" spans="1:27" hidden="1" x14ac:dyDescent="0.25">
      <c r="A3023" s="133"/>
      <c r="B3023" s="128" t="str">
        <f t="shared" si="318"/>
        <v>KSST</v>
      </c>
      <c r="C3023" s="128" t="str">
        <f>+VLOOKUP(U3023,Ходим!A:B,2,0)</f>
        <v>30703792190108</v>
      </c>
      <c r="D3023" s="128" t="str">
        <f>IFERROR(VLOOKUP($B:$B,[20]свод!$A:$AB,3,0)," ")</f>
        <v>Косонсой тумани</v>
      </c>
      <c r="E3023" s="7" t="s">
        <v>4155</v>
      </c>
      <c r="F3023" s="7" t="s">
        <v>10520</v>
      </c>
      <c r="G3023" s="134">
        <f t="shared" si="319"/>
        <v>1</v>
      </c>
      <c r="H3023" s="134" t="str">
        <f t="shared" si="320"/>
        <v/>
      </c>
      <c r="I3023" s="7" t="s">
        <v>158</v>
      </c>
      <c r="J3023" s="7" t="s">
        <v>2</v>
      </c>
      <c r="K3023" s="7"/>
      <c r="L3023" s="7" t="s">
        <v>167</v>
      </c>
      <c r="M3023" s="7" t="s">
        <v>6210</v>
      </c>
      <c r="N3023" s="7" t="s">
        <v>170</v>
      </c>
      <c r="O3023" s="7" t="s">
        <v>162</v>
      </c>
      <c r="P3023" s="7" t="s">
        <v>6529</v>
      </c>
      <c r="Q3023" s="129">
        <v>46199</v>
      </c>
      <c r="R3023" s="130">
        <f t="shared" si="321"/>
        <v>46210</v>
      </c>
      <c r="S3023" s="131">
        <f t="shared" si="322"/>
        <v>11</v>
      </c>
      <c r="T3023" s="7" t="s">
        <v>180</v>
      </c>
      <c r="U3023" s="7" t="s">
        <v>231</v>
      </c>
      <c r="V3023" s="7"/>
      <c r="W3023" s="7">
        <v>242.47</v>
      </c>
      <c r="X3023" s="132">
        <f t="shared" si="323"/>
        <v>10</v>
      </c>
      <c r="Y3023" s="133"/>
      <c r="Z3023" s="133"/>
      <c r="AA3023" s="133"/>
    </row>
    <row r="3024" spans="1:27" hidden="1" x14ac:dyDescent="0.25">
      <c r="A3024" s="133"/>
      <c r="B3024" s="128" t="str">
        <f t="shared" si="318"/>
        <v>MINT</v>
      </c>
      <c r="C3024" s="128" t="e">
        <f>+VLOOKUP(U3024,Ходим!A:B,2,0)</f>
        <v>#N/A</v>
      </c>
      <c r="D3024" s="128" t="str">
        <f>IFERROR(VLOOKUP($B:$B,[20]свод!$A:$AB,3,0)," ")</f>
        <v>Мингбулоқ тумани</v>
      </c>
      <c r="E3024" s="7" t="s">
        <v>4156</v>
      </c>
      <c r="F3024" s="7" t="s">
        <v>10521</v>
      </c>
      <c r="G3024" s="134">
        <f t="shared" si="319"/>
        <v>1</v>
      </c>
      <c r="H3024" s="134" t="str">
        <f t="shared" si="320"/>
        <v/>
      </c>
      <c r="I3024" s="7" t="s">
        <v>159</v>
      </c>
      <c r="J3024" s="7" t="s">
        <v>137</v>
      </c>
      <c r="K3024" s="7"/>
      <c r="L3024" s="7" t="s">
        <v>167</v>
      </c>
      <c r="M3024" s="7" t="s">
        <v>6211</v>
      </c>
      <c r="N3024" s="7" t="s">
        <v>170</v>
      </c>
      <c r="O3024" s="7" t="s">
        <v>163</v>
      </c>
      <c r="P3024" s="7" t="s">
        <v>6275</v>
      </c>
      <c r="Q3024" s="129">
        <v>46199</v>
      </c>
      <c r="R3024" s="130">
        <f t="shared" si="321"/>
        <v>46210</v>
      </c>
      <c r="S3024" s="131">
        <f t="shared" si="322"/>
        <v>11</v>
      </c>
      <c r="T3024" s="7"/>
      <c r="U3024" s="7"/>
      <c r="V3024" s="7"/>
      <c r="W3024" s="7">
        <v>216.06</v>
      </c>
      <c r="X3024" s="132">
        <f t="shared" si="323"/>
        <v>10</v>
      </c>
      <c r="Y3024" s="133"/>
      <c r="Z3024" s="133"/>
      <c r="AA3024" s="133"/>
    </row>
    <row r="3025" spans="1:27" hidden="1" x14ac:dyDescent="0.25">
      <c r="A3025" s="133"/>
      <c r="B3025" s="128" t="str">
        <f t="shared" si="318"/>
        <v>NAMS</v>
      </c>
      <c r="C3025" s="128">
        <f>+VLOOKUP(U3025,Ходим!A:B,2,0)</f>
        <v>50510025960139</v>
      </c>
      <c r="D3025" s="128" t="str">
        <f>IFERROR(VLOOKUP($B:$B,[20]свод!$A:$AB,3,0)," ")</f>
        <v>Наманган шаҳар</v>
      </c>
      <c r="E3025" s="7" t="s">
        <v>4157</v>
      </c>
      <c r="F3025" s="7" t="s">
        <v>10522</v>
      </c>
      <c r="G3025" s="134">
        <f t="shared" si="319"/>
        <v>1</v>
      </c>
      <c r="H3025" s="134" t="str">
        <f t="shared" si="320"/>
        <v/>
      </c>
      <c r="I3025" s="7" t="s">
        <v>156</v>
      </c>
      <c r="J3025" s="7" t="s">
        <v>25</v>
      </c>
      <c r="K3025" s="7"/>
      <c r="L3025" s="7"/>
      <c r="M3025" s="7"/>
      <c r="N3025" s="7" t="s">
        <v>170</v>
      </c>
      <c r="O3025" s="7" t="s">
        <v>162</v>
      </c>
      <c r="P3025" s="7" t="s">
        <v>6275</v>
      </c>
      <c r="Q3025" s="129">
        <v>46199</v>
      </c>
      <c r="R3025" s="130">
        <f t="shared" si="321"/>
        <v>46210</v>
      </c>
      <c r="S3025" s="131">
        <f t="shared" si="322"/>
        <v>11</v>
      </c>
      <c r="T3025" s="7" t="s">
        <v>173</v>
      </c>
      <c r="U3025" s="7" t="s">
        <v>955</v>
      </c>
      <c r="V3025" s="7"/>
      <c r="W3025" s="7"/>
      <c r="X3025" s="132">
        <f t="shared" si="323"/>
        <v>10</v>
      </c>
      <c r="Y3025" s="133"/>
      <c r="Z3025" s="133"/>
      <c r="AA3025" s="133"/>
    </row>
    <row r="3026" spans="1:27" hidden="1" x14ac:dyDescent="0.25">
      <c r="A3026" s="133"/>
      <c r="B3026" s="128" t="str">
        <f t="shared" si="318"/>
        <v>NAMS</v>
      </c>
      <c r="C3026" s="128" t="str">
        <f>+VLOOKUP(U3026,Ходим!A:B,2,0)</f>
        <v>53008015960094</v>
      </c>
      <c r="D3026" s="128" t="str">
        <f>IFERROR(VLOOKUP($B:$B,[20]свод!$A:$AB,3,0)," ")</f>
        <v>Наманган шаҳар</v>
      </c>
      <c r="E3026" s="7" t="s">
        <v>4158</v>
      </c>
      <c r="F3026" s="7" t="s">
        <v>10523</v>
      </c>
      <c r="G3026" s="134">
        <f t="shared" si="319"/>
        <v>1</v>
      </c>
      <c r="H3026" s="134" t="str">
        <f t="shared" si="320"/>
        <v/>
      </c>
      <c r="I3026" s="7" t="s">
        <v>156</v>
      </c>
      <c r="J3026" s="7" t="s">
        <v>25</v>
      </c>
      <c r="K3026" s="7"/>
      <c r="L3026" s="7"/>
      <c r="M3026" s="7"/>
      <c r="N3026" s="7" t="s">
        <v>170</v>
      </c>
      <c r="O3026" s="7" t="s">
        <v>162</v>
      </c>
      <c r="P3026" s="7" t="s">
        <v>6275</v>
      </c>
      <c r="Q3026" s="129">
        <v>46199</v>
      </c>
      <c r="R3026" s="130">
        <f t="shared" si="321"/>
        <v>46210</v>
      </c>
      <c r="S3026" s="131">
        <f t="shared" si="322"/>
        <v>11</v>
      </c>
      <c r="T3026" s="7" t="s">
        <v>173</v>
      </c>
      <c r="U3026" s="7" t="s">
        <v>403</v>
      </c>
      <c r="V3026" s="7"/>
      <c r="W3026" s="7"/>
      <c r="X3026" s="132">
        <f t="shared" si="323"/>
        <v>10</v>
      </c>
      <c r="Y3026" s="133"/>
      <c r="Z3026" s="133"/>
      <c r="AA3026" s="133"/>
    </row>
    <row r="3027" spans="1:27" hidden="1" x14ac:dyDescent="0.25">
      <c r="A3027" s="133"/>
      <c r="B3027" s="128" t="str">
        <f t="shared" si="318"/>
        <v>KSST</v>
      </c>
      <c r="C3027" s="128" t="str">
        <f>+VLOOKUP(U3027,Ходим!A:B,2,0)</f>
        <v>30411985980017</v>
      </c>
      <c r="D3027" s="128" t="str">
        <f>IFERROR(VLOOKUP($B:$B,[20]свод!$A:$AB,3,0)," ")</f>
        <v>Косонсой тумани</v>
      </c>
      <c r="E3027" s="7" t="s">
        <v>4159</v>
      </c>
      <c r="F3027" s="7" t="s">
        <v>10524</v>
      </c>
      <c r="G3027" s="134">
        <f t="shared" si="319"/>
        <v>1</v>
      </c>
      <c r="H3027" s="134" t="str">
        <f t="shared" si="320"/>
        <v/>
      </c>
      <c r="I3027" s="7" t="s">
        <v>158</v>
      </c>
      <c r="J3027" s="7" t="s">
        <v>2</v>
      </c>
      <c r="K3027" s="7"/>
      <c r="L3027" s="7" t="s">
        <v>167</v>
      </c>
      <c r="M3027" s="7" t="s">
        <v>6212</v>
      </c>
      <c r="N3027" s="7" t="s">
        <v>170</v>
      </c>
      <c r="O3027" s="7" t="s">
        <v>162</v>
      </c>
      <c r="P3027" s="7" t="s">
        <v>7513</v>
      </c>
      <c r="Q3027" s="129">
        <v>46199</v>
      </c>
      <c r="R3027" s="130">
        <f t="shared" si="321"/>
        <v>46210</v>
      </c>
      <c r="S3027" s="131">
        <f t="shared" si="322"/>
        <v>11</v>
      </c>
      <c r="T3027" s="7" t="s">
        <v>180</v>
      </c>
      <c r="U3027" s="7" t="s">
        <v>360</v>
      </c>
      <c r="V3027" s="7"/>
      <c r="W3027" s="7">
        <v>948.88</v>
      </c>
      <c r="X3027" s="132">
        <f t="shared" si="323"/>
        <v>10</v>
      </c>
      <c r="Y3027" s="133"/>
      <c r="Z3027" s="133"/>
      <c r="AA3027" s="133"/>
    </row>
    <row r="3028" spans="1:27" hidden="1" x14ac:dyDescent="0.25">
      <c r="A3028" s="133"/>
      <c r="B3028" s="128" t="str">
        <f t="shared" si="318"/>
        <v>MINT</v>
      </c>
      <c r="C3028" s="128" t="e">
        <f>+VLOOKUP(U3028,Ходим!A:B,2,0)</f>
        <v>#N/A</v>
      </c>
      <c r="D3028" s="128" t="str">
        <f>IFERROR(VLOOKUP($B:$B,[20]свод!$A:$AB,3,0)," ")</f>
        <v>Мингбулоқ тумани</v>
      </c>
      <c r="E3028" s="7" t="s">
        <v>4160</v>
      </c>
      <c r="F3028" s="7" t="s">
        <v>10525</v>
      </c>
      <c r="G3028" s="134">
        <f t="shared" si="319"/>
        <v>1</v>
      </c>
      <c r="H3028" s="134" t="str">
        <f t="shared" si="320"/>
        <v/>
      </c>
      <c r="I3028" s="7" t="s">
        <v>156</v>
      </c>
      <c r="J3028" s="7" t="s">
        <v>11</v>
      </c>
      <c r="K3028" s="7"/>
      <c r="L3028" s="7"/>
      <c r="M3028" s="7"/>
      <c r="N3028" s="7" t="s">
        <v>170</v>
      </c>
      <c r="O3028" s="7" t="s">
        <v>162</v>
      </c>
      <c r="P3028" s="7" t="s">
        <v>7514</v>
      </c>
      <c r="Q3028" s="129">
        <v>46199</v>
      </c>
      <c r="R3028" s="130">
        <f t="shared" si="321"/>
        <v>46210</v>
      </c>
      <c r="S3028" s="131">
        <f t="shared" si="322"/>
        <v>11</v>
      </c>
      <c r="T3028" s="7"/>
      <c r="U3028" s="7"/>
      <c r="V3028" s="7"/>
      <c r="W3028" s="7"/>
      <c r="X3028" s="132">
        <f t="shared" si="323"/>
        <v>10</v>
      </c>
      <c r="Y3028" s="133"/>
      <c r="Z3028" s="133"/>
      <c r="AA3028" s="133"/>
    </row>
    <row r="3029" spans="1:27" hidden="1" x14ac:dyDescent="0.25">
      <c r="A3029" s="133"/>
      <c r="B3029" s="128" t="str">
        <f t="shared" si="318"/>
        <v>POPT</v>
      </c>
      <c r="C3029" s="128" t="str">
        <f>+VLOOKUP(U3029,Ходим!A:B,2,0)</f>
        <v>30201995910023</v>
      </c>
      <c r="D3029" s="128" t="str">
        <f>IFERROR(VLOOKUP($B:$B,[20]свод!$A:$AB,3,0)," ")</f>
        <v>Поп тумани</v>
      </c>
      <c r="E3029" s="7" t="s">
        <v>4161</v>
      </c>
      <c r="F3029" s="7" t="s">
        <v>10526</v>
      </c>
      <c r="G3029" s="134" t="str">
        <f t="shared" si="319"/>
        <v/>
      </c>
      <c r="H3029" s="134">
        <f t="shared" si="320"/>
        <v>1</v>
      </c>
      <c r="I3029" s="7" t="s">
        <v>155</v>
      </c>
      <c r="J3029" s="7" t="s">
        <v>25</v>
      </c>
      <c r="K3029" s="7"/>
      <c r="L3029" s="7" t="s">
        <v>166</v>
      </c>
      <c r="M3029" s="7" t="s">
        <v>1068</v>
      </c>
      <c r="N3029" s="7" t="s">
        <v>170</v>
      </c>
      <c r="O3029" s="7" t="s">
        <v>161</v>
      </c>
      <c r="P3029" s="7" t="s">
        <v>7514</v>
      </c>
      <c r="Q3029" s="129">
        <v>46199</v>
      </c>
      <c r="R3029" s="130">
        <f t="shared" si="321"/>
        <v>46212</v>
      </c>
      <c r="S3029" s="131">
        <f t="shared" si="322"/>
        <v>13</v>
      </c>
      <c r="T3029" s="7" t="s">
        <v>214</v>
      </c>
      <c r="U3029" s="7" t="s">
        <v>353</v>
      </c>
      <c r="V3029" s="7"/>
      <c r="W3029" s="7">
        <v>128</v>
      </c>
      <c r="X3029" s="132">
        <f t="shared" si="323"/>
        <v>12</v>
      </c>
      <c r="Y3029" s="133"/>
      <c r="Z3029" s="133"/>
      <c r="AA3029" s="133"/>
    </row>
    <row r="3030" spans="1:27" hidden="1" x14ac:dyDescent="0.25">
      <c r="A3030" s="133"/>
      <c r="B3030" s="128" t="str">
        <f t="shared" si="318"/>
        <v>CHUT</v>
      </c>
      <c r="C3030" s="128" t="str">
        <f>+VLOOKUP(U3030,Ходим!A:B,2,0)</f>
        <v>31608922180118</v>
      </c>
      <c r="D3030" s="128" t="str">
        <f>IFERROR(VLOOKUP($B:$B,[20]свод!$A:$AB,3,0)," ")</f>
        <v>Чуст тумани</v>
      </c>
      <c r="E3030" s="7" t="s">
        <v>4162</v>
      </c>
      <c r="F3030" s="7" t="s">
        <v>10527</v>
      </c>
      <c r="G3030" s="134">
        <f t="shared" si="319"/>
        <v>1</v>
      </c>
      <c r="H3030" s="134" t="str">
        <f t="shared" si="320"/>
        <v/>
      </c>
      <c r="I3030" s="7" t="s">
        <v>158</v>
      </c>
      <c r="J3030" s="7" t="s">
        <v>172</v>
      </c>
      <c r="K3030" s="7"/>
      <c r="L3030" s="7" t="s">
        <v>167</v>
      </c>
      <c r="M3030" s="7" t="s">
        <v>1057</v>
      </c>
      <c r="N3030" s="7" t="s">
        <v>170</v>
      </c>
      <c r="O3030" s="7" t="s">
        <v>162</v>
      </c>
      <c r="P3030" s="7" t="s">
        <v>7514</v>
      </c>
      <c r="Q3030" s="129">
        <v>46199</v>
      </c>
      <c r="R3030" s="130">
        <f t="shared" si="321"/>
        <v>46210</v>
      </c>
      <c r="S3030" s="131">
        <f t="shared" si="322"/>
        <v>11</v>
      </c>
      <c r="T3030" s="7" t="s">
        <v>178</v>
      </c>
      <c r="U3030" s="7" t="s">
        <v>284</v>
      </c>
      <c r="V3030" s="7"/>
      <c r="W3030" s="7">
        <v>521.88</v>
      </c>
      <c r="X3030" s="132">
        <f t="shared" si="323"/>
        <v>10</v>
      </c>
      <c r="Y3030" s="133"/>
      <c r="Z3030" s="133"/>
      <c r="AA3030" s="133"/>
    </row>
    <row r="3031" spans="1:27" hidden="1" x14ac:dyDescent="0.25">
      <c r="A3031" s="133"/>
      <c r="B3031" s="128" t="str">
        <f t="shared" si="318"/>
        <v>KSST</v>
      </c>
      <c r="C3031" s="128" t="str">
        <f>+VLOOKUP(U3031,Ходим!A:B,2,0)</f>
        <v>32910975980025</v>
      </c>
      <c r="D3031" s="128" t="str">
        <f>IFERROR(VLOOKUP($B:$B,[20]свод!$A:$AB,3,0)," ")</f>
        <v>Косонсой тумани</v>
      </c>
      <c r="E3031" s="7" t="s">
        <v>4163</v>
      </c>
      <c r="F3031" s="7" t="s">
        <v>10528</v>
      </c>
      <c r="G3031" s="134" t="str">
        <f t="shared" si="319"/>
        <v/>
      </c>
      <c r="H3031" s="134">
        <f t="shared" si="320"/>
        <v>1</v>
      </c>
      <c r="I3031" s="7" t="s">
        <v>155</v>
      </c>
      <c r="J3031" s="7" t="s">
        <v>25</v>
      </c>
      <c r="K3031" s="7"/>
      <c r="L3031" s="7" t="s">
        <v>166</v>
      </c>
      <c r="M3031" s="7" t="s">
        <v>6213</v>
      </c>
      <c r="N3031" s="7" t="s">
        <v>410</v>
      </c>
      <c r="O3031" s="7" t="s">
        <v>161</v>
      </c>
      <c r="P3031" s="7" t="s">
        <v>7494</v>
      </c>
      <c r="Q3031" s="129">
        <v>46199</v>
      </c>
      <c r="R3031" s="130">
        <f t="shared" si="321"/>
        <v>46210</v>
      </c>
      <c r="S3031" s="131">
        <f t="shared" si="322"/>
        <v>11</v>
      </c>
      <c r="T3031" s="7" t="s">
        <v>180</v>
      </c>
      <c r="U3031" s="7" t="s">
        <v>187</v>
      </c>
      <c r="V3031" s="7"/>
      <c r="W3031" s="7">
        <v>0</v>
      </c>
      <c r="X3031" s="132">
        <f t="shared" si="323"/>
        <v>10</v>
      </c>
      <c r="Y3031" s="133"/>
      <c r="Z3031" s="133"/>
      <c r="AA3031" s="133"/>
    </row>
    <row r="3032" spans="1:27" hidden="1" x14ac:dyDescent="0.25">
      <c r="A3032" s="133"/>
      <c r="B3032" s="128" t="str">
        <f t="shared" si="318"/>
        <v>NORT</v>
      </c>
      <c r="C3032" s="128" t="str">
        <f>+VLOOKUP(U3032,Ходим!A:B,2,0)</f>
        <v>40601902150077</v>
      </c>
      <c r="D3032" s="128" t="str">
        <f>IFERROR(VLOOKUP($B:$B,[20]свод!$A:$AB,3,0)," ")</f>
        <v>Норин тумани</v>
      </c>
      <c r="E3032" s="7" t="s">
        <v>4164</v>
      </c>
      <c r="F3032" s="7" t="s">
        <v>10529</v>
      </c>
      <c r="G3032" s="134">
        <f t="shared" si="319"/>
        <v>1</v>
      </c>
      <c r="H3032" s="134" t="str">
        <f t="shared" si="320"/>
        <v/>
      </c>
      <c r="I3032" s="7" t="s">
        <v>156</v>
      </c>
      <c r="J3032" s="7" t="s">
        <v>25</v>
      </c>
      <c r="K3032" s="7"/>
      <c r="L3032" s="7"/>
      <c r="M3032" s="7"/>
      <c r="N3032" s="7" t="s">
        <v>170</v>
      </c>
      <c r="O3032" s="7" t="s">
        <v>162</v>
      </c>
      <c r="P3032" s="7" t="s">
        <v>7515</v>
      </c>
      <c r="Q3032" s="129">
        <v>46199</v>
      </c>
      <c r="R3032" s="130">
        <f t="shared" si="321"/>
        <v>46210</v>
      </c>
      <c r="S3032" s="131">
        <f t="shared" si="322"/>
        <v>11</v>
      </c>
      <c r="T3032" s="7" t="s">
        <v>210</v>
      </c>
      <c r="U3032" s="7" t="s">
        <v>249</v>
      </c>
      <c r="V3032" s="7"/>
      <c r="W3032" s="7"/>
      <c r="X3032" s="132">
        <f t="shared" si="323"/>
        <v>10</v>
      </c>
      <c r="Y3032" s="133"/>
      <c r="Z3032" s="133"/>
      <c r="AA3032" s="133"/>
    </row>
    <row r="3033" spans="1:27" hidden="1" x14ac:dyDescent="0.25">
      <c r="A3033" s="133"/>
      <c r="B3033" s="128" t="str">
        <f t="shared" si="318"/>
        <v>POPT</v>
      </c>
      <c r="C3033" s="128" t="str">
        <f>+VLOOKUP(U3033,Ходим!A:B,2,0)</f>
        <v>30609882120085</v>
      </c>
      <c r="D3033" s="128" t="str">
        <f>IFERROR(VLOOKUP($B:$B,[20]свод!$A:$AB,3,0)," ")</f>
        <v>Поп тумани</v>
      </c>
      <c r="E3033" s="7" t="s">
        <v>4165</v>
      </c>
      <c r="F3033" s="7" t="s">
        <v>10530</v>
      </c>
      <c r="G3033" s="134" t="str">
        <f t="shared" si="319"/>
        <v/>
      </c>
      <c r="H3033" s="134">
        <f t="shared" si="320"/>
        <v>1</v>
      </c>
      <c r="I3033" s="7" t="s">
        <v>157</v>
      </c>
      <c r="J3033" s="7" t="s">
        <v>2</v>
      </c>
      <c r="K3033" s="7"/>
      <c r="L3033" s="7" t="s">
        <v>1017</v>
      </c>
      <c r="M3033" s="7" t="s">
        <v>6214</v>
      </c>
      <c r="N3033" s="7" t="s">
        <v>170</v>
      </c>
      <c r="O3033" s="7" t="s">
        <v>163</v>
      </c>
      <c r="P3033" s="7" t="s">
        <v>7515</v>
      </c>
      <c r="Q3033" s="129">
        <v>46199</v>
      </c>
      <c r="R3033" s="130">
        <f t="shared" si="321"/>
        <v>46205</v>
      </c>
      <c r="S3033" s="131">
        <f t="shared" si="322"/>
        <v>6</v>
      </c>
      <c r="T3033" s="7" t="s">
        <v>214</v>
      </c>
      <c r="U3033" s="7" t="s">
        <v>248</v>
      </c>
      <c r="V3033" s="7"/>
      <c r="W3033" s="7">
        <v>0</v>
      </c>
      <c r="X3033" s="132">
        <f t="shared" si="323"/>
        <v>7</v>
      </c>
      <c r="Y3033" s="133"/>
      <c r="Z3033" s="133"/>
      <c r="AA3033" s="133"/>
    </row>
    <row r="3034" spans="1:27" hidden="1" x14ac:dyDescent="0.25">
      <c r="A3034" s="133"/>
      <c r="B3034" s="128" t="str">
        <f t="shared" si="318"/>
        <v>KSST</v>
      </c>
      <c r="C3034" s="128" t="str">
        <f>+VLOOKUP(U3034,Ходим!A:B,2,0)</f>
        <v>30411985980017</v>
      </c>
      <c r="D3034" s="128" t="str">
        <f>IFERROR(VLOOKUP($B:$B,[20]свод!$A:$AB,3,0)," ")</f>
        <v>Косонсой тумани</v>
      </c>
      <c r="E3034" s="7" t="s">
        <v>4166</v>
      </c>
      <c r="F3034" s="7" t="s">
        <v>10531</v>
      </c>
      <c r="G3034" s="134">
        <f t="shared" si="319"/>
        <v>1</v>
      </c>
      <c r="H3034" s="134" t="str">
        <f t="shared" si="320"/>
        <v/>
      </c>
      <c r="I3034" s="7" t="s">
        <v>158</v>
      </c>
      <c r="J3034" s="7" t="s">
        <v>2</v>
      </c>
      <c r="K3034" s="7"/>
      <c r="L3034" s="7" t="s">
        <v>167</v>
      </c>
      <c r="M3034" s="7" t="s">
        <v>6215</v>
      </c>
      <c r="N3034" s="7" t="s">
        <v>170</v>
      </c>
      <c r="O3034" s="7" t="s">
        <v>162</v>
      </c>
      <c r="P3034" s="7" t="s">
        <v>7513</v>
      </c>
      <c r="Q3034" s="129">
        <v>46199</v>
      </c>
      <c r="R3034" s="130">
        <f t="shared" si="321"/>
        <v>46210</v>
      </c>
      <c r="S3034" s="131">
        <f t="shared" si="322"/>
        <v>11</v>
      </c>
      <c r="T3034" s="7" t="s">
        <v>180</v>
      </c>
      <c r="U3034" s="7" t="s">
        <v>360</v>
      </c>
      <c r="V3034" s="7"/>
      <c r="W3034" s="7">
        <v>145.30000000000001</v>
      </c>
      <c r="X3034" s="132">
        <f t="shared" si="323"/>
        <v>10</v>
      </c>
      <c r="Y3034" s="133"/>
      <c r="Z3034" s="133"/>
      <c r="AA3034" s="133"/>
    </row>
    <row r="3035" spans="1:27" hidden="1" x14ac:dyDescent="0.25">
      <c r="A3035" s="133"/>
      <c r="B3035" s="128" t="str">
        <f t="shared" ref="B3035:B3098" si="324">LEFT(E3035,4)</f>
        <v>KSST</v>
      </c>
      <c r="C3035" s="128" t="str">
        <f>+VLOOKUP(U3035,Ходим!A:B,2,0)</f>
        <v>30703792190108</v>
      </c>
      <c r="D3035" s="128" t="str">
        <f>IFERROR(VLOOKUP($B:$B,[20]свод!$A:$AB,3,0)," ")</f>
        <v>Косонсой тумани</v>
      </c>
      <c r="E3035" s="7" t="s">
        <v>4167</v>
      </c>
      <c r="F3035" s="7" t="s">
        <v>10532</v>
      </c>
      <c r="G3035" s="134">
        <f t="shared" ref="G3035:G3098" si="325">IF(OR(
I3035="Turar joy obyektning kadastr pasportini shakllantirish va davlat ro'yxatidan o'tkazish",
I3035="Turar kompozit"
),
1,
IF(OR(
I3035="Noturar kompozit",
I3035="Avtoyo'l va suv xo'jaligi obyektining kadastr pasportini shakllantirish va ro'yxatga olish",
I3035="Noturar obyektning kadastr pasportining kadastr pasportini shakllantirish va davlat ro'yxatidan o'tkazish"
),
"",
IF(OR(
I3035="Notarius uchun ma'lumotnoma (uz)",
I3035="Qurilishi tugallangan ko'chmas mulkni foydalanishga qabul qilish",
I3035="Umumiy foydalanishdagi ko'chmas mulk qismini yaratish",
I3035="Registratsiya (tashqi - UZKAD da bor)"
),
IF(OR(L3035="Turar yer maydoni",L3035="Yakka tartibdagi turar joy"),1,
IF(L3035="Noturar bino","",
IF(L3035="Noturar yer maydoni","",
IF(L3035="",IF(OR(O3035="Turar joy xizmati",O3035="Foydalanishga ruxsatnoma berish xizmati"),1,""),"")
))),
"")))</f>
        <v>1</v>
      </c>
      <c r="H3035" s="134" t="str">
        <f t="shared" ref="H3035:H3098" si="326">IF(OR(
I3035="Turar joy obyektning kadastr pasportini shakllantirish va davlat ro'yxatidan o'tkazish",
I3035="Turar kompozit"
),
"",
IF(OR(
I3035="Noturar kompozit",
I3035="Avtoyo'l va suv xo'jaligi obyektining kadastr pasportini shakllantirish va ro'yxatga olish",
I3035="Noturar obyektning kadastr pasportini shakllantirish va davlat ro'yxatidan o'tkazish"
),
1,
IF(OR(
I3035="Notarius uchun ma'lumotnoma (uz)",
I3035="Qurilishi tugallangan ko'chmas mulkni foydalanishga qabul qilish",
I3035="Umumiy foydalanishdagi ko'chmas mulk qismini yaratish",
I3035="Registratsiya (tashqi - UZKAD da bor)"
),
IF(OR(L3035="Turar yer maydoni",L3035="Yakka tartibdagi turar joy"),"",
IF(L3035="Noturar bino",1,
IF(L3035="Noturar yer maydoni",1,
IF(L3035="",IF(OR(O3035="Turar joy xizmati",O3035="Foydalanishga ruxsatnoma berish xizmati"),"",1),"")
))),
"")))</f>
        <v/>
      </c>
      <c r="I3035" s="7" t="s">
        <v>158</v>
      </c>
      <c r="J3035" s="7" t="s">
        <v>2</v>
      </c>
      <c r="K3035" s="7"/>
      <c r="L3035" s="7" t="s">
        <v>167</v>
      </c>
      <c r="M3035" s="7" t="s">
        <v>6216</v>
      </c>
      <c r="N3035" s="7" t="s">
        <v>170</v>
      </c>
      <c r="O3035" s="7" t="s">
        <v>162</v>
      </c>
      <c r="P3035" s="7" t="s">
        <v>6529</v>
      </c>
      <c r="Q3035" s="129">
        <v>46199</v>
      </c>
      <c r="R3035" s="130">
        <f t="shared" ref="R3035:R3098" si="327">WORKDAY(P3035,X3035,$Y$1:$AA$1)</f>
        <v>46210</v>
      </c>
      <c r="S3035" s="131">
        <f t="shared" ref="S3035:S3098" si="328">R3035-Q3035</f>
        <v>11</v>
      </c>
      <c r="T3035" s="7" t="s">
        <v>180</v>
      </c>
      <c r="U3035" s="7" t="s">
        <v>231</v>
      </c>
      <c r="V3035" s="7"/>
      <c r="W3035" s="7">
        <v>424.17</v>
      </c>
      <c r="X3035" s="132">
        <f t="shared" ref="X3035:X3098" si="329">IF(N3035="Kadastr muhandisi",3,
IF(N3035="UZKAD",5,
IF(V3035="FREE",5,
IF(I3035="Registratsiya (tashqi - UZKAD da bor)",1,
IF(I3035="Avtoyo'l va suv xo'jaligi obyektining kadastr pasportini shakllantirish va ro'yxatga olish",7,
IF(I3035="Notarius uchun ma'lumotnoma (uz)",1,
IF(I3035="Qurilishi tugallangan ko'chmas mulkni foydalanishga qabul qilish",10,
IF(OR(I3035="Turar joy obyektning kadastr pasportini shakllantirish va davlat ro'yxatidan o'tkazish",I3035="Turar kompozit"),
IF(L3035="Turar yer maydoni",7,10),
IF(OR(I3035="Noturar obyektning kadastr pasportini shakllantirish va davlat ro'yxatidan o'tkazish",I3035="Noturar kompozit"),
IF(O3035="Ko‘p yillik daraxtlar xizmati",15,
IF(OR(L3035="Noturar yer maydoni",L3035="Davlat tashkilotlaridan ijaraga olingan yer uchastkasi"),7,
IF(W3035&lt;100,10,IF(W3035&lt;=1000,12,IF(W3035&lt;=5000,17,IF(W3035&lt;=15000,22,IF(W3035&lt;=50000,28,37))))))),
IF(I3035="Umumiy foydalanishdagi ko'chmas mulk qismini yaratish",
IF(IF(TRIM(L3035)="",IF(OR(O3035="Turar joy xizmati",O3035="Yakka tartibdagi turar joy"),"Turar","Noturar"),IF(OR(L3035="Yakka tartibdagi turar joy",L3035="Turar joy xizmati"),"Turar","Noturar"))="Turar",
10,IF(W3035&lt;100,10,IF(W3035&lt;=1000,12,IF(W3035&lt;=5000,17,IF(W3035&lt;=15000,22,IF(W3035&lt;=50000,28,37)))))),
0))))))))))</f>
        <v>10</v>
      </c>
      <c r="Y3035" s="133"/>
      <c r="Z3035" s="133"/>
      <c r="AA3035" s="133"/>
    </row>
    <row r="3036" spans="1:27" hidden="1" x14ac:dyDescent="0.25">
      <c r="A3036" s="133"/>
      <c r="B3036" s="128" t="str">
        <f t="shared" si="324"/>
        <v>NAMT</v>
      </c>
      <c r="C3036" s="128" t="str">
        <f>+VLOOKUP(U3036,Ходим!A:B,2,0)</f>
        <v>32204892090133</v>
      </c>
      <c r="D3036" s="128" t="str">
        <f>IFERROR(VLOOKUP($B:$B,[20]свод!$A:$AB,3,0)," ")</f>
        <v>Наманган тумани</v>
      </c>
      <c r="E3036" s="7" t="s">
        <v>4168</v>
      </c>
      <c r="F3036" s="7" t="s">
        <v>10533</v>
      </c>
      <c r="G3036" s="134">
        <f t="shared" si="325"/>
        <v>1</v>
      </c>
      <c r="H3036" s="134" t="str">
        <f t="shared" si="326"/>
        <v/>
      </c>
      <c r="I3036" s="7" t="s">
        <v>156</v>
      </c>
      <c r="J3036" s="7" t="s">
        <v>25</v>
      </c>
      <c r="K3036" s="7"/>
      <c r="L3036" s="7"/>
      <c r="M3036" s="7"/>
      <c r="N3036" s="7" t="s">
        <v>170</v>
      </c>
      <c r="O3036" s="7" t="s">
        <v>162</v>
      </c>
      <c r="P3036" s="7" t="s">
        <v>7516</v>
      </c>
      <c r="Q3036" s="129">
        <v>46199</v>
      </c>
      <c r="R3036" s="130">
        <f t="shared" si="327"/>
        <v>46210</v>
      </c>
      <c r="S3036" s="131">
        <f t="shared" si="328"/>
        <v>11</v>
      </c>
      <c r="T3036" s="7" t="s">
        <v>193</v>
      </c>
      <c r="U3036" s="7" t="s">
        <v>198</v>
      </c>
      <c r="V3036" s="7"/>
      <c r="W3036" s="7"/>
      <c r="X3036" s="132">
        <f t="shared" si="329"/>
        <v>10</v>
      </c>
      <c r="Y3036" s="133"/>
      <c r="Z3036" s="133"/>
      <c r="AA3036" s="133"/>
    </row>
    <row r="3037" spans="1:27" hidden="1" x14ac:dyDescent="0.25">
      <c r="A3037" s="133"/>
      <c r="B3037" s="128" t="str">
        <f t="shared" si="324"/>
        <v>NAMT</v>
      </c>
      <c r="C3037" s="128" t="str">
        <f>+VLOOKUP(U3037,Ходим!A:B,2,0)</f>
        <v>32607902090019</v>
      </c>
      <c r="D3037" s="128" t="str">
        <f>IFERROR(VLOOKUP($B:$B,[20]свод!$A:$AB,3,0)," ")</f>
        <v>Наманган тумани</v>
      </c>
      <c r="E3037" s="7" t="s">
        <v>4169</v>
      </c>
      <c r="F3037" s="7" t="s">
        <v>10534</v>
      </c>
      <c r="G3037" s="134">
        <f t="shared" si="325"/>
        <v>1</v>
      </c>
      <c r="H3037" s="134" t="str">
        <f t="shared" si="326"/>
        <v/>
      </c>
      <c r="I3037" s="7" t="s">
        <v>158</v>
      </c>
      <c r="J3037" s="7" t="s">
        <v>2</v>
      </c>
      <c r="K3037" s="7"/>
      <c r="L3037" s="7" t="s">
        <v>167</v>
      </c>
      <c r="M3037" s="7" t="s">
        <v>6217</v>
      </c>
      <c r="N3037" s="7" t="s">
        <v>170</v>
      </c>
      <c r="O3037" s="7" t="s">
        <v>162</v>
      </c>
      <c r="P3037" s="7" t="s">
        <v>7516</v>
      </c>
      <c r="Q3037" s="129">
        <v>46199</v>
      </c>
      <c r="R3037" s="130">
        <f t="shared" si="327"/>
        <v>46210</v>
      </c>
      <c r="S3037" s="131">
        <f t="shared" si="328"/>
        <v>11</v>
      </c>
      <c r="T3037" s="7" t="s">
        <v>193</v>
      </c>
      <c r="U3037" s="7" t="s">
        <v>243</v>
      </c>
      <c r="V3037" s="7"/>
      <c r="W3037" s="7">
        <v>298.8</v>
      </c>
      <c r="X3037" s="132">
        <f t="shared" si="329"/>
        <v>10</v>
      </c>
      <c r="Y3037" s="133"/>
      <c r="Z3037" s="133"/>
      <c r="AA3037" s="133"/>
    </row>
    <row r="3038" spans="1:27" hidden="1" x14ac:dyDescent="0.25">
      <c r="A3038" s="133"/>
      <c r="B3038" s="128" t="str">
        <f t="shared" si="324"/>
        <v>KSST</v>
      </c>
      <c r="C3038" s="128" t="str">
        <f>+VLOOKUP(U3038,Ходим!A:B,2,0)</f>
        <v>52812015980061</v>
      </c>
      <c r="D3038" s="128" t="str">
        <f>IFERROR(VLOOKUP($B:$B,[20]свод!$A:$AB,3,0)," ")</f>
        <v>Косонсой тумани</v>
      </c>
      <c r="E3038" s="7" t="s">
        <v>4170</v>
      </c>
      <c r="F3038" s="7" t="s">
        <v>10535</v>
      </c>
      <c r="G3038" s="134">
        <f t="shared" si="325"/>
        <v>1</v>
      </c>
      <c r="H3038" s="134" t="str">
        <f t="shared" si="326"/>
        <v/>
      </c>
      <c r="I3038" s="7" t="s">
        <v>158</v>
      </c>
      <c r="J3038" s="7" t="s">
        <v>2</v>
      </c>
      <c r="K3038" s="7"/>
      <c r="L3038" s="7" t="s">
        <v>167</v>
      </c>
      <c r="M3038" s="7" t="s">
        <v>6218</v>
      </c>
      <c r="N3038" s="7" t="s">
        <v>410</v>
      </c>
      <c r="O3038" s="7" t="s">
        <v>162</v>
      </c>
      <c r="P3038" s="7" t="s">
        <v>6586</v>
      </c>
      <c r="Q3038" s="129">
        <v>46199</v>
      </c>
      <c r="R3038" s="130">
        <f t="shared" si="327"/>
        <v>46210</v>
      </c>
      <c r="S3038" s="131">
        <f t="shared" si="328"/>
        <v>11</v>
      </c>
      <c r="T3038" s="7" t="s">
        <v>180</v>
      </c>
      <c r="U3038" s="7" t="s">
        <v>307</v>
      </c>
      <c r="V3038" s="7"/>
      <c r="W3038" s="7">
        <v>227.54</v>
      </c>
      <c r="X3038" s="132">
        <f t="shared" si="329"/>
        <v>10</v>
      </c>
      <c r="Y3038" s="133"/>
      <c r="Z3038" s="133"/>
      <c r="AA3038" s="133"/>
    </row>
    <row r="3039" spans="1:27" hidden="1" x14ac:dyDescent="0.25">
      <c r="A3039" s="133"/>
      <c r="B3039" s="128" t="str">
        <f t="shared" si="324"/>
        <v>UCQT</v>
      </c>
      <c r="C3039" s="128" t="e">
        <f>+VLOOKUP(U3039,Ходим!A:B,2,0)</f>
        <v>#N/A</v>
      </c>
      <c r="D3039" s="128" t="str">
        <f>IFERROR(VLOOKUP($B:$B,[20]свод!$A:$AB,3,0)," ")</f>
        <v>Учқўрғон тумани</v>
      </c>
      <c r="E3039" s="7" t="s">
        <v>4171</v>
      </c>
      <c r="F3039" s="7" t="s">
        <v>10536</v>
      </c>
      <c r="G3039" s="134">
        <f t="shared" si="325"/>
        <v>1</v>
      </c>
      <c r="H3039" s="134" t="str">
        <f t="shared" si="326"/>
        <v/>
      </c>
      <c r="I3039" s="7" t="s">
        <v>156</v>
      </c>
      <c r="J3039" s="7" t="s">
        <v>11</v>
      </c>
      <c r="K3039" s="7"/>
      <c r="L3039" s="7"/>
      <c r="M3039" s="7"/>
      <c r="N3039" s="7" t="s">
        <v>170</v>
      </c>
      <c r="O3039" s="7" t="s">
        <v>162</v>
      </c>
      <c r="P3039" s="7" t="s">
        <v>7517</v>
      </c>
      <c r="Q3039" s="129">
        <v>46199</v>
      </c>
      <c r="R3039" s="130">
        <f t="shared" si="327"/>
        <v>46210</v>
      </c>
      <c r="S3039" s="131">
        <f t="shared" si="328"/>
        <v>11</v>
      </c>
      <c r="T3039" s="7" t="s">
        <v>175</v>
      </c>
      <c r="U3039" s="7"/>
      <c r="V3039" s="7"/>
      <c r="W3039" s="7"/>
      <c r="X3039" s="132">
        <f t="shared" si="329"/>
        <v>10</v>
      </c>
      <c r="Y3039" s="133"/>
      <c r="Z3039" s="133"/>
      <c r="AA3039" s="133"/>
    </row>
    <row r="3040" spans="1:27" hidden="1" x14ac:dyDescent="0.25">
      <c r="A3040" s="133"/>
      <c r="B3040" s="128" t="str">
        <f t="shared" si="324"/>
        <v>YGQT</v>
      </c>
      <c r="C3040" s="128" t="str">
        <f>+VLOOKUP(U3040,Ходим!A:B,2,0)</f>
        <v>31108942160081</v>
      </c>
      <c r="D3040" s="128" t="str">
        <f>IFERROR(VLOOKUP($B:$B,[20]свод!$A:$AB,3,0)," ")</f>
        <v>Янгиқўрғон тумани</v>
      </c>
      <c r="E3040" s="7" t="s">
        <v>4172</v>
      </c>
      <c r="F3040" s="7" t="s">
        <v>10537</v>
      </c>
      <c r="G3040" s="134" t="str">
        <f t="shared" si="325"/>
        <v/>
      </c>
      <c r="H3040" s="134">
        <f t="shared" si="326"/>
        <v>1</v>
      </c>
      <c r="I3040" s="7" t="s">
        <v>155</v>
      </c>
      <c r="J3040" s="7" t="s">
        <v>22</v>
      </c>
      <c r="K3040" s="7"/>
      <c r="L3040" s="7" t="s">
        <v>168</v>
      </c>
      <c r="M3040" s="7" t="s">
        <v>6219</v>
      </c>
      <c r="N3040" s="7" t="s">
        <v>170</v>
      </c>
      <c r="O3040" s="7" t="s">
        <v>165</v>
      </c>
      <c r="P3040" s="7" t="s">
        <v>7518</v>
      </c>
      <c r="Q3040" s="129">
        <v>46199</v>
      </c>
      <c r="R3040" s="130">
        <f t="shared" si="327"/>
        <v>46217</v>
      </c>
      <c r="S3040" s="131">
        <f t="shared" si="328"/>
        <v>18</v>
      </c>
      <c r="T3040" s="7" t="s">
        <v>182</v>
      </c>
      <c r="U3040" s="7" t="s">
        <v>228</v>
      </c>
      <c r="V3040" s="7"/>
      <c r="W3040" s="7"/>
      <c r="X3040" s="132">
        <f t="shared" si="329"/>
        <v>15</v>
      </c>
      <c r="Y3040" s="133"/>
      <c r="Z3040" s="133"/>
      <c r="AA3040" s="133"/>
    </row>
    <row r="3041" spans="1:27" hidden="1" x14ac:dyDescent="0.25">
      <c r="A3041" s="133"/>
      <c r="B3041" s="128" t="str">
        <f t="shared" si="324"/>
        <v>NAMS</v>
      </c>
      <c r="C3041" s="128" t="str">
        <f>+VLOOKUP(U3041,Ходим!A:B,2,0)</f>
        <v>30302965960014</v>
      </c>
      <c r="D3041" s="128" t="str">
        <f>IFERROR(VLOOKUP($B:$B,[20]свод!$A:$AB,3,0)," ")</f>
        <v>Наманган шаҳар</v>
      </c>
      <c r="E3041" s="7" t="s">
        <v>4173</v>
      </c>
      <c r="F3041" s="7" t="s">
        <v>10538</v>
      </c>
      <c r="G3041" s="134">
        <f t="shared" si="325"/>
        <v>1</v>
      </c>
      <c r="H3041" s="134" t="str">
        <f t="shared" si="326"/>
        <v/>
      </c>
      <c r="I3041" s="7" t="s">
        <v>158</v>
      </c>
      <c r="J3041" s="7" t="s">
        <v>2</v>
      </c>
      <c r="K3041" s="7"/>
      <c r="L3041" s="7" t="s">
        <v>167</v>
      </c>
      <c r="M3041" s="7" t="s">
        <v>6220</v>
      </c>
      <c r="N3041" s="7" t="s">
        <v>170</v>
      </c>
      <c r="O3041" s="7" t="s">
        <v>162</v>
      </c>
      <c r="P3041" s="7" t="s">
        <v>7518</v>
      </c>
      <c r="Q3041" s="129">
        <v>46199</v>
      </c>
      <c r="R3041" s="130">
        <f t="shared" si="327"/>
        <v>46210</v>
      </c>
      <c r="S3041" s="131">
        <f t="shared" si="328"/>
        <v>11</v>
      </c>
      <c r="T3041" s="7" t="s">
        <v>173</v>
      </c>
      <c r="U3041" s="7" t="s">
        <v>304</v>
      </c>
      <c r="V3041" s="7"/>
      <c r="W3041" s="7">
        <v>257.45999999999998</v>
      </c>
      <c r="X3041" s="132">
        <f t="shared" si="329"/>
        <v>10</v>
      </c>
      <c r="Y3041" s="133"/>
      <c r="Z3041" s="133"/>
      <c r="AA3041" s="133"/>
    </row>
    <row r="3042" spans="1:27" hidden="1" x14ac:dyDescent="0.25">
      <c r="A3042" s="133"/>
      <c r="B3042" s="128" t="str">
        <f t="shared" si="324"/>
        <v>CHUT</v>
      </c>
      <c r="C3042" s="128" t="str">
        <f>+VLOOKUP(U3042,Ходим!A:B,2,0)</f>
        <v>33112995970023</v>
      </c>
      <c r="D3042" s="128" t="str">
        <f>IFERROR(VLOOKUP($B:$B,[20]свод!$A:$AB,3,0)," ")</f>
        <v>Чуст тумани</v>
      </c>
      <c r="E3042" s="7" t="s">
        <v>4174</v>
      </c>
      <c r="F3042" s="7" t="s">
        <v>10539</v>
      </c>
      <c r="G3042" s="134">
        <f t="shared" si="325"/>
        <v>1</v>
      </c>
      <c r="H3042" s="134" t="str">
        <f t="shared" si="326"/>
        <v/>
      </c>
      <c r="I3042" s="7" t="s">
        <v>158</v>
      </c>
      <c r="J3042" s="7" t="s">
        <v>1</v>
      </c>
      <c r="K3042" s="7"/>
      <c r="L3042" s="7" t="s">
        <v>167</v>
      </c>
      <c r="M3042" s="7" t="s">
        <v>6221</v>
      </c>
      <c r="N3042" s="7" t="s">
        <v>170</v>
      </c>
      <c r="O3042" s="7" t="s">
        <v>162</v>
      </c>
      <c r="P3042" s="7" t="s">
        <v>7519</v>
      </c>
      <c r="Q3042" s="129">
        <v>46199</v>
      </c>
      <c r="R3042" s="130">
        <f t="shared" si="327"/>
        <v>46210</v>
      </c>
      <c r="S3042" s="131">
        <f t="shared" si="328"/>
        <v>11</v>
      </c>
      <c r="T3042" s="7" t="s">
        <v>178</v>
      </c>
      <c r="U3042" s="7" t="s">
        <v>179</v>
      </c>
      <c r="V3042" s="7"/>
      <c r="W3042" s="7">
        <v>214.27</v>
      </c>
      <c r="X3042" s="132">
        <f t="shared" si="329"/>
        <v>10</v>
      </c>
      <c r="Y3042" s="133"/>
      <c r="Z3042" s="133"/>
      <c r="AA3042" s="133"/>
    </row>
    <row r="3043" spans="1:27" hidden="1" x14ac:dyDescent="0.25">
      <c r="A3043" s="133"/>
      <c r="B3043" s="128" t="str">
        <f t="shared" si="324"/>
        <v>POPT</v>
      </c>
      <c r="C3043" s="128" t="str">
        <f>+VLOOKUP(U3043,Ходим!A:B,2,0)</f>
        <v>31103842180041</v>
      </c>
      <c r="D3043" s="128" t="str">
        <f>IFERROR(VLOOKUP($B:$B,[20]свод!$A:$AB,3,0)," ")</f>
        <v>Поп тумани</v>
      </c>
      <c r="E3043" s="7" t="s">
        <v>4175</v>
      </c>
      <c r="F3043" s="7" t="s">
        <v>10540</v>
      </c>
      <c r="G3043" s="134" t="str">
        <f t="shared" si="325"/>
        <v/>
      </c>
      <c r="H3043" s="134">
        <f t="shared" si="326"/>
        <v>1</v>
      </c>
      <c r="I3043" s="7" t="s">
        <v>155</v>
      </c>
      <c r="J3043" s="7" t="s">
        <v>25</v>
      </c>
      <c r="K3043" s="7"/>
      <c r="L3043" s="7" t="s">
        <v>166</v>
      </c>
      <c r="M3043" s="7" t="s">
        <v>6222</v>
      </c>
      <c r="N3043" s="7" t="s">
        <v>170</v>
      </c>
      <c r="O3043" s="7" t="s">
        <v>161</v>
      </c>
      <c r="P3043" s="7" t="s">
        <v>7520</v>
      </c>
      <c r="Q3043" s="129">
        <v>46199</v>
      </c>
      <c r="R3043" s="130">
        <f t="shared" si="327"/>
        <v>46212</v>
      </c>
      <c r="S3043" s="131">
        <f t="shared" si="328"/>
        <v>13</v>
      </c>
      <c r="T3043" s="7" t="s">
        <v>214</v>
      </c>
      <c r="U3043" s="7" t="s">
        <v>337</v>
      </c>
      <c r="V3043" s="7"/>
      <c r="W3043" s="7">
        <v>250.96</v>
      </c>
      <c r="X3043" s="132">
        <f t="shared" si="329"/>
        <v>12</v>
      </c>
      <c r="Y3043" s="133"/>
      <c r="Z3043" s="133"/>
      <c r="AA3043" s="133"/>
    </row>
    <row r="3044" spans="1:27" hidden="1" x14ac:dyDescent="0.25">
      <c r="A3044" s="133"/>
      <c r="B3044" s="128" t="str">
        <f t="shared" si="324"/>
        <v>NAMS</v>
      </c>
      <c r="C3044" s="128" t="str">
        <f>+VLOOKUP(U3044,Ходим!A:B,2,0)</f>
        <v>30302965960014</v>
      </c>
      <c r="D3044" s="128" t="str">
        <f>IFERROR(VLOOKUP($B:$B,[20]свод!$A:$AB,3,0)," ")</f>
        <v>Наманган шаҳар</v>
      </c>
      <c r="E3044" s="7" t="s">
        <v>4176</v>
      </c>
      <c r="F3044" s="7" t="s">
        <v>10541</v>
      </c>
      <c r="G3044" s="134">
        <f t="shared" si="325"/>
        <v>1</v>
      </c>
      <c r="H3044" s="134" t="str">
        <f t="shared" si="326"/>
        <v/>
      </c>
      <c r="I3044" s="7" t="s">
        <v>158</v>
      </c>
      <c r="J3044" s="7" t="s">
        <v>2</v>
      </c>
      <c r="K3044" s="7"/>
      <c r="L3044" s="7"/>
      <c r="M3044" s="7"/>
      <c r="N3044" s="7" t="s">
        <v>170</v>
      </c>
      <c r="O3044" s="7" t="s">
        <v>162</v>
      </c>
      <c r="P3044" s="7" t="s">
        <v>7520</v>
      </c>
      <c r="Q3044" s="129">
        <v>46199</v>
      </c>
      <c r="R3044" s="130">
        <f t="shared" si="327"/>
        <v>46210</v>
      </c>
      <c r="S3044" s="131">
        <f t="shared" si="328"/>
        <v>11</v>
      </c>
      <c r="T3044" s="7" t="s">
        <v>173</v>
      </c>
      <c r="U3044" s="7" t="s">
        <v>304</v>
      </c>
      <c r="V3044" s="7"/>
      <c r="W3044" s="7"/>
      <c r="X3044" s="132">
        <f t="shared" si="329"/>
        <v>10</v>
      </c>
      <c r="Y3044" s="133"/>
      <c r="Z3044" s="133"/>
      <c r="AA3044" s="133"/>
    </row>
    <row r="3045" spans="1:27" hidden="1" x14ac:dyDescent="0.25">
      <c r="A3045" s="133"/>
      <c r="B3045" s="128" t="str">
        <f t="shared" si="324"/>
        <v>NAMS</v>
      </c>
      <c r="C3045" s="128">
        <f>+VLOOKUP(U3045,Ходим!A:B,2,0)</f>
        <v>52004005950071</v>
      </c>
      <c r="D3045" s="128" t="str">
        <f>IFERROR(VLOOKUP($B:$B,[20]свод!$A:$AB,3,0)," ")</f>
        <v>Наманган шаҳар</v>
      </c>
      <c r="E3045" s="7" t="s">
        <v>4177</v>
      </c>
      <c r="F3045" s="7" t="s">
        <v>10542</v>
      </c>
      <c r="G3045" s="134">
        <f t="shared" si="325"/>
        <v>1</v>
      </c>
      <c r="H3045" s="134" t="str">
        <f t="shared" si="326"/>
        <v/>
      </c>
      <c r="I3045" s="7" t="s">
        <v>156</v>
      </c>
      <c r="J3045" s="7" t="s">
        <v>22</v>
      </c>
      <c r="K3045" s="7"/>
      <c r="L3045" s="7"/>
      <c r="M3045" s="7"/>
      <c r="N3045" s="7" t="s">
        <v>170</v>
      </c>
      <c r="O3045" s="7" t="s">
        <v>162</v>
      </c>
      <c r="P3045" s="7" t="s">
        <v>7520</v>
      </c>
      <c r="Q3045" s="129">
        <v>46199</v>
      </c>
      <c r="R3045" s="130">
        <f t="shared" si="327"/>
        <v>46210</v>
      </c>
      <c r="S3045" s="131">
        <f t="shared" si="328"/>
        <v>11</v>
      </c>
      <c r="T3045" s="7" t="s">
        <v>173</v>
      </c>
      <c r="U3045" s="7" t="s">
        <v>1015</v>
      </c>
      <c r="V3045" s="7"/>
      <c r="W3045" s="7"/>
      <c r="X3045" s="132">
        <f t="shared" si="329"/>
        <v>10</v>
      </c>
      <c r="Y3045" s="133"/>
      <c r="Z3045" s="133"/>
      <c r="AA3045" s="133"/>
    </row>
    <row r="3046" spans="1:27" hidden="1" x14ac:dyDescent="0.25">
      <c r="A3046" s="133"/>
      <c r="B3046" s="128" t="str">
        <f t="shared" si="324"/>
        <v>UCQT</v>
      </c>
      <c r="C3046" s="128" t="e">
        <f>+VLOOKUP(U3046,Ходим!A:B,2,0)</f>
        <v>#N/A</v>
      </c>
      <c r="D3046" s="128" t="str">
        <f>IFERROR(VLOOKUP($B:$B,[20]свод!$A:$AB,3,0)," ")</f>
        <v>Учқўрғон тумани</v>
      </c>
      <c r="E3046" s="7" t="s">
        <v>4178</v>
      </c>
      <c r="F3046" s="7" t="s">
        <v>10543</v>
      </c>
      <c r="G3046" s="134">
        <f t="shared" si="325"/>
        <v>1</v>
      </c>
      <c r="H3046" s="134" t="str">
        <f t="shared" si="326"/>
        <v/>
      </c>
      <c r="I3046" s="7" t="s">
        <v>156</v>
      </c>
      <c r="J3046" s="7" t="s">
        <v>11</v>
      </c>
      <c r="K3046" s="7"/>
      <c r="L3046" s="7"/>
      <c r="M3046" s="7"/>
      <c r="N3046" s="7" t="s">
        <v>170</v>
      </c>
      <c r="O3046" s="7" t="s">
        <v>162</v>
      </c>
      <c r="P3046" s="7" t="s">
        <v>7521</v>
      </c>
      <c r="Q3046" s="129">
        <v>46199</v>
      </c>
      <c r="R3046" s="130">
        <f t="shared" si="327"/>
        <v>46210</v>
      </c>
      <c r="S3046" s="131">
        <f t="shared" si="328"/>
        <v>11</v>
      </c>
      <c r="T3046" s="7" t="s">
        <v>175</v>
      </c>
      <c r="U3046" s="7"/>
      <c r="V3046" s="7"/>
      <c r="W3046" s="7"/>
      <c r="X3046" s="132">
        <f t="shared" si="329"/>
        <v>10</v>
      </c>
      <c r="Y3046" s="133"/>
      <c r="Z3046" s="133"/>
      <c r="AA3046" s="133"/>
    </row>
    <row r="3047" spans="1:27" hidden="1" x14ac:dyDescent="0.25">
      <c r="A3047" s="133"/>
      <c r="B3047" s="128" t="str">
        <f t="shared" si="324"/>
        <v>CHUT</v>
      </c>
      <c r="C3047" s="128" t="str">
        <f>+VLOOKUP(U3047,Ходим!A:B,2,0)</f>
        <v>30901882180031</v>
      </c>
      <c r="D3047" s="128" t="str">
        <f>IFERROR(VLOOKUP($B:$B,[20]свод!$A:$AB,3,0)," ")</f>
        <v>Чуст тумани</v>
      </c>
      <c r="E3047" s="7" t="s">
        <v>4179</v>
      </c>
      <c r="F3047" s="7" t="s">
        <v>10544</v>
      </c>
      <c r="G3047" s="134">
        <f t="shared" si="325"/>
        <v>1</v>
      </c>
      <c r="H3047" s="134" t="str">
        <f t="shared" si="326"/>
        <v/>
      </c>
      <c r="I3047" s="7" t="s">
        <v>158</v>
      </c>
      <c r="J3047" s="7" t="s">
        <v>172</v>
      </c>
      <c r="K3047" s="7"/>
      <c r="L3047" s="7" t="s">
        <v>167</v>
      </c>
      <c r="M3047" s="7" t="s">
        <v>6223</v>
      </c>
      <c r="N3047" s="7" t="s">
        <v>170</v>
      </c>
      <c r="O3047" s="7" t="s">
        <v>162</v>
      </c>
      <c r="P3047" s="7" t="s">
        <v>7522</v>
      </c>
      <c r="Q3047" s="129">
        <v>46199</v>
      </c>
      <c r="R3047" s="130">
        <f t="shared" si="327"/>
        <v>46210</v>
      </c>
      <c r="S3047" s="131">
        <f t="shared" si="328"/>
        <v>11</v>
      </c>
      <c r="T3047" s="7" t="s">
        <v>178</v>
      </c>
      <c r="U3047" s="7" t="s">
        <v>238</v>
      </c>
      <c r="V3047" s="7"/>
      <c r="W3047" s="7">
        <v>632.55999999999995</v>
      </c>
      <c r="X3047" s="132">
        <f t="shared" si="329"/>
        <v>10</v>
      </c>
      <c r="Y3047" s="133"/>
      <c r="Z3047" s="133"/>
      <c r="AA3047" s="133"/>
    </row>
    <row r="3048" spans="1:27" hidden="1" x14ac:dyDescent="0.25">
      <c r="A3048" s="133"/>
      <c r="B3048" s="128" t="str">
        <f t="shared" si="324"/>
        <v>NAMS</v>
      </c>
      <c r="C3048" s="128">
        <f>+VLOOKUP(U3048,Ходим!A:B,2,0)</f>
        <v>52004005950071</v>
      </c>
      <c r="D3048" s="128" t="str">
        <f>IFERROR(VLOOKUP($B:$B,[20]свод!$A:$AB,3,0)," ")</f>
        <v>Наманган шаҳар</v>
      </c>
      <c r="E3048" s="7" t="s">
        <v>4180</v>
      </c>
      <c r="F3048" s="7" t="s">
        <v>10545</v>
      </c>
      <c r="G3048" s="134">
        <f t="shared" si="325"/>
        <v>1</v>
      </c>
      <c r="H3048" s="134" t="str">
        <f t="shared" si="326"/>
        <v/>
      </c>
      <c r="I3048" s="7" t="s">
        <v>158</v>
      </c>
      <c r="J3048" s="7" t="s">
        <v>2</v>
      </c>
      <c r="K3048" s="7"/>
      <c r="L3048" s="7"/>
      <c r="M3048" s="7"/>
      <c r="N3048" s="7" t="s">
        <v>170</v>
      </c>
      <c r="O3048" s="7" t="s">
        <v>162</v>
      </c>
      <c r="P3048" s="7" t="s">
        <v>6415</v>
      </c>
      <c r="Q3048" s="129">
        <v>46199</v>
      </c>
      <c r="R3048" s="130">
        <f t="shared" si="327"/>
        <v>46204</v>
      </c>
      <c r="S3048" s="131">
        <f t="shared" si="328"/>
        <v>5</v>
      </c>
      <c r="T3048" s="7" t="s">
        <v>173</v>
      </c>
      <c r="U3048" s="7" t="s">
        <v>1015</v>
      </c>
      <c r="V3048" s="7"/>
      <c r="W3048" s="7"/>
      <c r="X3048" s="132">
        <f t="shared" si="329"/>
        <v>10</v>
      </c>
      <c r="Y3048" s="133"/>
      <c r="Z3048" s="133"/>
      <c r="AA3048" s="133"/>
    </row>
    <row r="3049" spans="1:27" hidden="1" x14ac:dyDescent="0.25">
      <c r="A3049" s="133"/>
      <c r="B3049" s="128" t="str">
        <f t="shared" si="324"/>
        <v>TORT</v>
      </c>
      <c r="C3049" s="128" t="str">
        <f>+VLOOKUP(U3049,Ходим!A:B,2,0)</f>
        <v>31110892130070</v>
      </c>
      <c r="D3049" s="128" t="str">
        <f>IFERROR(VLOOKUP($B:$B,[20]свод!$A:$AB,3,0)," ")</f>
        <v>Тўрақўрғон тумани</v>
      </c>
      <c r="E3049" s="7" t="s">
        <v>4181</v>
      </c>
      <c r="F3049" s="7" t="s">
        <v>10546</v>
      </c>
      <c r="G3049" s="134">
        <f t="shared" si="325"/>
        <v>1</v>
      </c>
      <c r="H3049" s="134" t="str">
        <f t="shared" si="326"/>
        <v/>
      </c>
      <c r="I3049" s="7" t="s">
        <v>156</v>
      </c>
      <c r="J3049" s="7" t="s">
        <v>25</v>
      </c>
      <c r="K3049" s="7"/>
      <c r="L3049" s="7"/>
      <c r="M3049" s="7"/>
      <c r="N3049" s="7" t="s">
        <v>170</v>
      </c>
      <c r="O3049" s="7" t="s">
        <v>162</v>
      </c>
      <c r="P3049" s="7" t="s">
        <v>7523</v>
      </c>
      <c r="Q3049" s="129">
        <v>46199</v>
      </c>
      <c r="R3049" s="130">
        <f t="shared" si="327"/>
        <v>46210</v>
      </c>
      <c r="S3049" s="131">
        <f t="shared" si="328"/>
        <v>11</v>
      </c>
      <c r="T3049" s="7" t="s">
        <v>203</v>
      </c>
      <c r="U3049" s="7" t="s">
        <v>297</v>
      </c>
      <c r="V3049" s="7"/>
      <c r="W3049" s="7"/>
      <c r="X3049" s="132">
        <f t="shared" si="329"/>
        <v>10</v>
      </c>
      <c r="Y3049" s="133"/>
      <c r="Z3049" s="133"/>
      <c r="AA3049" s="133"/>
    </row>
    <row r="3050" spans="1:27" hidden="1" x14ac:dyDescent="0.25">
      <c r="A3050" s="133"/>
      <c r="B3050" s="128" t="str">
        <f t="shared" si="324"/>
        <v>NAMT</v>
      </c>
      <c r="C3050" s="128" t="str">
        <f>+VLOOKUP(U3050,Ходим!A:B,2,0)</f>
        <v>52012025880014</v>
      </c>
      <c r="D3050" s="128" t="str">
        <f>IFERROR(VLOOKUP($B:$B,[20]свод!$A:$AB,3,0)," ")</f>
        <v>Наманган тумани</v>
      </c>
      <c r="E3050" s="7" t="s">
        <v>4182</v>
      </c>
      <c r="F3050" s="7" t="s">
        <v>10547</v>
      </c>
      <c r="G3050" s="134">
        <f t="shared" si="325"/>
        <v>1</v>
      </c>
      <c r="H3050" s="134" t="str">
        <f t="shared" si="326"/>
        <v/>
      </c>
      <c r="I3050" s="7" t="s">
        <v>158</v>
      </c>
      <c r="J3050" s="7" t="s">
        <v>2</v>
      </c>
      <c r="K3050" s="7"/>
      <c r="L3050" s="7" t="s">
        <v>167</v>
      </c>
      <c r="M3050" s="7" t="s">
        <v>6224</v>
      </c>
      <c r="N3050" s="7" t="s">
        <v>170</v>
      </c>
      <c r="O3050" s="7" t="s">
        <v>162</v>
      </c>
      <c r="P3050" s="7" t="s">
        <v>7523</v>
      </c>
      <c r="Q3050" s="129">
        <v>46199</v>
      </c>
      <c r="R3050" s="130">
        <f t="shared" si="327"/>
        <v>46210</v>
      </c>
      <c r="S3050" s="131">
        <f t="shared" si="328"/>
        <v>11</v>
      </c>
      <c r="T3050" s="7" t="s">
        <v>193</v>
      </c>
      <c r="U3050" s="7" t="s">
        <v>216</v>
      </c>
      <c r="V3050" s="7"/>
      <c r="W3050" s="7">
        <v>109.52</v>
      </c>
      <c r="X3050" s="132">
        <f t="shared" si="329"/>
        <v>10</v>
      </c>
      <c r="Y3050" s="133"/>
      <c r="Z3050" s="133"/>
      <c r="AA3050" s="133"/>
    </row>
    <row r="3051" spans="1:27" hidden="1" x14ac:dyDescent="0.25">
      <c r="A3051" s="133"/>
      <c r="B3051" s="128" t="str">
        <f t="shared" si="324"/>
        <v>YGQT</v>
      </c>
      <c r="C3051" s="128" t="str">
        <f>+VLOOKUP(U3051,Ходим!A:B,2,0)</f>
        <v>50110025950020</v>
      </c>
      <c r="D3051" s="128" t="str">
        <f>IFERROR(VLOOKUP($B:$B,[20]свод!$A:$AB,3,0)," ")</f>
        <v>Янгиқўрғон тумани</v>
      </c>
      <c r="E3051" s="7" t="s">
        <v>4183</v>
      </c>
      <c r="F3051" s="7" t="s">
        <v>10548</v>
      </c>
      <c r="G3051" s="134">
        <f t="shared" si="325"/>
        <v>1</v>
      </c>
      <c r="H3051" s="134" t="str">
        <f t="shared" si="326"/>
        <v/>
      </c>
      <c r="I3051" s="7" t="s">
        <v>158</v>
      </c>
      <c r="J3051" s="7" t="s">
        <v>1</v>
      </c>
      <c r="K3051" s="7"/>
      <c r="L3051" s="7" t="s">
        <v>167</v>
      </c>
      <c r="M3051" s="7" t="s">
        <v>6225</v>
      </c>
      <c r="N3051" s="7" t="s">
        <v>410</v>
      </c>
      <c r="O3051" s="7" t="s">
        <v>162</v>
      </c>
      <c r="P3051" s="7" t="s">
        <v>7524</v>
      </c>
      <c r="Q3051" s="129">
        <v>46199</v>
      </c>
      <c r="R3051" s="130">
        <f t="shared" si="327"/>
        <v>46205</v>
      </c>
      <c r="S3051" s="131">
        <f t="shared" si="328"/>
        <v>6</v>
      </c>
      <c r="T3051" s="7" t="s">
        <v>182</v>
      </c>
      <c r="U3051" s="7" t="s">
        <v>208</v>
      </c>
      <c r="V3051" s="7"/>
      <c r="W3051" s="7">
        <v>377.85</v>
      </c>
      <c r="X3051" s="132">
        <f t="shared" si="329"/>
        <v>10</v>
      </c>
      <c r="Y3051" s="133"/>
      <c r="Z3051" s="133"/>
      <c r="AA3051" s="133"/>
    </row>
    <row r="3052" spans="1:27" hidden="1" x14ac:dyDescent="0.25">
      <c r="A3052" s="133"/>
      <c r="B3052" s="128" t="str">
        <f t="shared" si="324"/>
        <v>NAMS</v>
      </c>
      <c r="C3052" s="128" t="str">
        <f>+VLOOKUP(U3052,Ходим!A:B,2,0)</f>
        <v>33012942170121</v>
      </c>
      <c r="D3052" s="128" t="str">
        <f>IFERROR(VLOOKUP($B:$B,[20]свод!$A:$AB,3,0)," ")</f>
        <v>Наманган шаҳар</v>
      </c>
      <c r="E3052" s="7" t="s">
        <v>4184</v>
      </c>
      <c r="F3052" s="7" t="s">
        <v>10549</v>
      </c>
      <c r="G3052" s="134">
        <f t="shared" si="325"/>
        <v>1</v>
      </c>
      <c r="H3052" s="134" t="str">
        <f t="shared" si="326"/>
        <v/>
      </c>
      <c r="I3052" s="7" t="s">
        <v>156</v>
      </c>
      <c r="J3052" s="7" t="s">
        <v>25</v>
      </c>
      <c r="K3052" s="7"/>
      <c r="L3052" s="7"/>
      <c r="M3052" s="7"/>
      <c r="N3052" s="7" t="s">
        <v>170</v>
      </c>
      <c r="O3052" s="7" t="s">
        <v>162</v>
      </c>
      <c r="P3052" s="7" t="s">
        <v>7525</v>
      </c>
      <c r="Q3052" s="129">
        <v>46199</v>
      </c>
      <c r="R3052" s="130">
        <f t="shared" si="327"/>
        <v>46210</v>
      </c>
      <c r="S3052" s="131">
        <f t="shared" si="328"/>
        <v>11</v>
      </c>
      <c r="T3052" s="7" t="s">
        <v>173</v>
      </c>
      <c r="U3052" s="7" t="s">
        <v>259</v>
      </c>
      <c r="V3052" s="7"/>
      <c r="W3052" s="7"/>
      <c r="X3052" s="132">
        <f t="shared" si="329"/>
        <v>10</v>
      </c>
      <c r="Y3052" s="133"/>
      <c r="Z3052" s="133"/>
      <c r="AA3052" s="133"/>
    </row>
    <row r="3053" spans="1:27" hidden="1" x14ac:dyDescent="0.25">
      <c r="A3053" s="133"/>
      <c r="B3053" s="128" t="str">
        <f t="shared" si="324"/>
        <v>CHOT</v>
      </c>
      <c r="C3053" s="128" t="str">
        <f>+VLOOKUP(U3053,Ходим!A:B,2,0)</f>
        <v>30608892100030</v>
      </c>
      <c r="D3053" s="128" t="str">
        <f>IFERROR(VLOOKUP($B:$B,[20]свод!$A:$AB,3,0)," ")</f>
        <v>Чортоқ тумани</v>
      </c>
      <c r="E3053" s="7" t="s">
        <v>4185</v>
      </c>
      <c r="F3053" s="7" t="s">
        <v>10550</v>
      </c>
      <c r="G3053" s="134">
        <f t="shared" si="325"/>
        <v>1</v>
      </c>
      <c r="H3053" s="134" t="str">
        <f t="shared" si="326"/>
        <v/>
      </c>
      <c r="I3053" s="7" t="s">
        <v>158</v>
      </c>
      <c r="J3053" s="7" t="s">
        <v>2</v>
      </c>
      <c r="K3053" s="7"/>
      <c r="L3053" s="7" t="s">
        <v>167</v>
      </c>
      <c r="M3053" s="7" t="s">
        <v>6226</v>
      </c>
      <c r="N3053" s="7" t="s">
        <v>170</v>
      </c>
      <c r="O3053" s="7" t="s">
        <v>162</v>
      </c>
      <c r="P3053" s="7" t="s">
        <v>7525</v>
      </c>
      <c r="Q3053" s="129">
        <v>46199</v>
      </c>
      <c r="R3053" s="130">
        <f t="shared" si="327"/>
        <v>46210</v>
      </c>
      <c r="S3053" s="131">
        <f t="shared" si="328"/>
        <v>11</v>
      </c>
      <c r="T3053" s="7" t="s">
        <v>184</v>
      </c>
      <c r="U3053" s="7" t="s">
        <v>266</v>
      </c>
      <c r="V3053" s="7"/>
      <c r="W3053" s="7">
        <v>198.2</v>
      </c>
      <c r="X3053" s="132">
        <f t="shared" si="329"/>
        <v>10</v>
      </c>
      <c r="Y3053" s="133"/>
      <c r="Z3053" s="133"/>
      <c r="AA3053" s="133"/>
    </row>
    <row r="3054" spans="1:27" hidden="1" x14ac:dyDescent="0.25">
      <c r="A3054" s="133"/>
      <c r="B3054" s="128" t="str">
        <f t="shared" si="324"/>
        <v>NAMT</v>
      </c>
      <c r="C3054" s="128" t="str">
        <f>+VLOOKUP(U3054,Ходим!A:B,2,0)</f>
        <v>40306812090034</v>
      </c>
      <c r="D3054" s="128" t="str">
        <f>IFERROR(VLOOKUP($B:$B,[20]свод!$A:$AB,3,0)," ")</f>
        <v>Наманган тумани</v>
      </c>
      <c r="E3054" s="7" t="s">
        <v>4186</v>
      </c>
      <c r="F3054" s="7" t="s">
        <v>10551</v>
      </c>
      <c r="G3054" s="134" t="str">
        <f t="shared" si="325"/>
        <v/>
      </c>
      <c r="H3054" s="134">
        <f t="shared" si="326"/>
        <v>1</v>
      </c>
      <c r="I3054" s="7" t="s">
        <v>157</v>
      </c>
      <c r="J3054" s="7" t="s">
        <v>2</v>
      </c>
      <c r="K3054" s="7"/>
      <c r="L3054" s="7" t="s">
        <v>166</v>
      </c>
      <c r="M3054" s="7" t="s">
        <v>6227</v>
      </c>
      <c r="N3054" s="7" t="s">
        <v>170</v>
      </c>
      <c r="O3054" s="7" t="s">
        <v>161</v>
      </c>
      <c r="P3054" s="7" t="s">
        <v>7501</v>
      </c>
      <c r="Q3054" s="129">
        <v>46199</v>
      </c>
      <c r="R3054" s="130">
        <f t="shared" si="327"/>
        <v>46219</v>
      </c>
      <c r="S3054" s="131">
        <f t="shared" si="328"/>
        <v>20</v>
      </c>
      <c r="T3054" s="7" t="s">
        <v>193</v>
      </c>
      <c r="U3054" s="7" t="s">
        <v>273</v>
      </c>
      <c r="V3054" s="7"/>
      <c r="W3054" s="7">
        <v>1384</v>
      </c>
      <c r="X3054" s="132">
        <f t="shared" si="329"/>
        <v>17</v>
      </c>
      <c r="Y3054" s="133"/>
      <c r="Z3054" s="133"/>
      <c r="AA3054" s="133"/>
    </row>
    <row r="3055" spans="1:27" x14ac:dyDescent="0.25">
      <c r="A3055" s="133"/>
      <c r="B3055" s="128" t="str">
        <f t="shared" si="324"/>
        <v>CHUT</v>
      </c>
      <c r="C3055" s="128" t="str">
        <f>+VLOOKUP(U3055,Ходим!A:B,2,0)</f>
        <v>52508015970048</v>
      </c>
      <c r="D3055" s="128" t="str">
        <f>IFERROR(VLOOKUP($B:$B,[20]свод!$A:$AB,3,0)," ")</f>
        <v>Чуст тумани</v>
      </c>
      <c r="E3055" s="7" t="s">
        <v>4187</v>
      </c>
      <c r="F3055" s="7" t="s">
        <v>10552</v>
      </c>
      <c r="G3055" s="134">
        <f t="shared" si="325"/>
        <v>1</v>
      </c>
      <c r="H3055" s="134" t="str">
        <f t="shared" si="326"/>
        <v/>
      </c>
      <c r="I3055" s="7" t="s">
        <v>158</v>
      </c>
      <c r="J3055" s="7" t="s">
        <v>12</v>
      </c>
      <c r="K3055" s="7"/>
      <c r="L3055" s="7" t="s">
        <v>167</v>
      </c>
      <c r="M3055" s="7" t="s">
        <v>6228</v>
      </c>
      <c r="N3055" s="7" t="s">
        <v>170</v>
      </c>
      <c r="O3055" s="7" t="s">
        <v>162</v>
      </c>
      <c r="P3055" s="7" t="s">
        <v>7287</v>
      </c>
      <c r="Q3055" s="129">
        <v>46199</v>
      </c>
      <c r="R3055" s="130">
        <f t="shared" si="327"/>
        <v>46198</v>
      </c>
      <c r="S3055" s="131">
        <f t="shared" si="328"/>
        <v>-1</v>
      </c>
      <c r="T3055" s="7" t="s">
        <v>178</v>
      </c>
      <c r="U3055" s="7" t="s">
        <v>350</v>
      </c>
      <c r="V3055" s="7"/>
      <c r="W3055" s="7">
        <v>87.86</v>
      </c>
      <c r="X3055" s="132">
        <f t="shared" si="329"/>
        <v>10</v>
      </c>
      <c r="Y3055" s="133"/>
      <c r="Z3055" s="133"/>
      <c r="AA3055" s="133"/>
    </row>
    <row r="3056" spans="1:27" hidden="1" x14ac:dyDescent="0.25">
      <c r="A3056" s="133"/>
      <c r="B3056" s="128" t="str">
        <f t="shared" si="324"/>
        <v>NAMT</v>
      </c>
      <c r="C3056" s="128">
        <f>+VLOOKUP(U3056,Ходим!A:B,2,0)</f>
        <v>52908045880018</v>
      </c>
      <c r="D3056" s="128" t="str">
        <f>IFERROR(VLOOKUP($B:$B,[20]свод!$A:$AB,3,0)," ")</f>
        <v>Наманган тумани</v>
      </c>
      <c r="E3056" s="7" t="s">
        <v>4188</v>
      </c>
      <c r="F3056" s="7" t="s">
        <v>10553</v>
      </c>
      <c r="G3056" s="134">
        <f t="shared" si="325"/>
        <v>1</v>
      </c>
      <c r="H3056" s="134" t="str">
        <f t="shared" si="326"/>
        <v/>
      </c>
      <c r="I3056" s="7" t="s">
        <v>158</v>
      </c>
      <c r="J3056" s="7" t="s">
        <v>13</v>
      </c>
      <c r="K3056" s="7"/>
      <c r="L3056" s="7" t="s">
        <v>167</v>
      </c>
      <c r="M3056" s="7" t="s">
        <v>6229</v>
      </c>
      <c r="N3056" s="7" t="s">
        <v>410</v>
      </c>
      <c r="O3056" s="7" t="s">
        <v>162</v>
      </c>
      <c r="P3056" s="7" t="s">
        <v>7526</v>
      </c>
      <c r="Q3056" s="129">
        <v>46199</v>
      </c>
      <c r="R3056" s="130">
        <f t="shared" si="327"/>
        <v>46210</v>
      </c>
      <c r="S3056" s="131">
        <f t="shared" si="328"/>
        <v>11</v>
      </c>
      <c r="T3056" s="7" t="s">
        <v>193</v>
      </c>
      <c r="U3056" s="7" t="s">
        <v>982</v>
      </c>
      <c r="V3056" s="7"/>
      <c r="W3056" s="7">
        <v>315.22000000000003</v>
      </c>
      <c r="X3056" s="132">
        <f t="shared" si="329"/>
        <v>10</v>
      </c>
      <c r="Y3056" s="133"/>
      <c r="Z3056" s="133"/>
      <c r="AA3056" s="133"/>
    </row>
    <row r="3057" spans="1:27" hidden="1" x14ac:dyDescent="0.25">
      <c r="A3057" s="133"/>
      <c r="B3057" s="128" t="str">
        <f t="shared" si="324"/>
        <v>CHUT</v>
      </c>
      <c r="C3057" s="128" t="str">
        <f>+VLOOKUP(U3057,Ходим!A:B,2,0)</f>
        <v>30901882180031</v>
      </c>
      <c r="D3057" s="128" t="str">
        <f>IFERROR(VLOOKUP($B:$B,[20]свод!$A:$AB,3,0)," ")</f>
        <v>Чуст тумани</v>
      </c>
      <c r="E3057" s="7" t="s">
        <v>4189</v>
      </c>
      <c r="F3057" s="7" t="s">
        <v>10554</v>
      </c>
      <c r="G3057" s="134">
        <f t="shared" si="325"/>
        <v>1</v>
      </c>
      <c r="H3057" s="134" t="str">
        <f t="shared" si="326"/>
        <v/>
      </c>
      <c r="I3057" s="7" t="s">
        <v>158</v>
      </c>
      <c r="J3057" s="7" t="s">
        <v>172</v>
      </c>
      <c r="K3057" s="7"/>
      <c r="L3057" s="7" t="s">
        <v>167</v>
      </c>
      <c r="M3057" s="7" t="s">
        <v>6230</v>
      </c>
      <c r="N3057" s="7" t="s">
        <v>170</v>
      </c>
      <c r="O3057" s="7" t="s">
        <v>162</v>
      </c>
      <c r="P3057" s="7" t="s">
        <v>7527</v>
      </c>
      <c r="Q3057" s="129">
        <v>46199</v>
      </c>
      <c r="R3057" s="130">
        <f t="shared" si="327"/>
        <v>46210</v>
      </c>
      <c r="S3057" s="131">
        <f t="shared" si="328"/>
        <v>11</v>
      </c>
      <c r="T3057" s="7" t="s">
        <v>178</v>
      </c>
      <c r="U3057" s="7" t="s">
        <v>238</v>
      </c>
      <c r="V3057" s="7"/>
      <c r="W3057" s="7">
        <v>293.72000000000003</v>
      </c>
      <c r="X3057" s="132">
        <f t="shared" si="329"/>
        <v>10</v>
      </c>
      <c r="Y3057" s="133"/>
      <c r="Z3057" s="133"/>
      <c r="AA3057" s="133"/>
    </row>
    <row r="3058" spans="1:27" hidden="1" x14ac:dyDescent="0.25">
      <c r="A3058" s="133"/>
      <c r="B3058" s="128" t="str">
        <f t="shared" si="324"/>
        <v>NAMS</v>
      </c>
      <c r="C3058" s="128">
        <f>+VLOOKUP(U3058,Ходим!A:B,2,0)</f>
        <v>52004005950071</v>
      </c>
      <c r="D3058" s="128" t="str">
        <f>IFERROR(VLOOKUP($B:$B,[20]свод!$A:$AB,3,0)," ")</f>
        <v>Наманган шаҳар</v>
      </c>
      <c r="E3058" s="7" t="s">
        <v>4190</v>
      </c>
      <c r="F3058" s="7" t="s">
        <v>10555</v>
      </c>
      <c r="G3058" s="134">
        <f t="shared" si="325"/>
        <v>1</v>
      </c>
      <c r="H3058" s="134" t="str">
        <f t="shared" si="326"/>
        <v/>
      </c>
      <c r="I3058" s="7" t="s">
        <v>158</v>
      </c>
      <c r="J3058" s="7" t="s">
        <v>2</v>
      </c>
      <c r="K3058" s="7"/>
      <c r="L3058" s="7" t="s">
        <v>167</v>
      </c>
      <c r="M3058" s="7" t="s">
        <v>6231</v>
      </c>
      <c r="N3058" s="7" t="s">
        <v>170</v>
      </c>
      <c r="O3058" s="7" t="s">
        <v>162</v>
      </c>
      <c r="P3058" s="7" t="s">
        <v>7527</v>
      </c>
      <c r="Q3058" s="129">
        <v>46199</v>
      </c>
      <c r="R3058" s="130">
        <f t="shared" si="327"/>
        <v>46210</v>
      </c>
      <c r="S3058" s="131">
        <f t="shared" si="328"/>
        <v>11</v>
      </c>
      <c r="T3058" s="7" t="s">
        <v>173</v>
      </c>
      <c r="U3058" s="7" t="s">
        <v>1015</v>
      </c>
      <c r="V3058" s="7"/>
      <c r="W3058" s="7">
        <v>186.4</v>
      </c>
      <c r="X3058" s="132">
        <f t="shared" si="329"/>
        <v>10</v>
      </c>
      <c r="Y3058" s="133"/>
      <c r="Z3058" s="133"/>
      <c r="AA3058" s="133"/>
    </row>
    <row r="3059" spans="1:27" hidden="1" x14ac:dyDescent="0.25">
      <c r="A3059" s="133"/>
      <c r="B3059" s="128" t="str">
        <f t="shared" si="324"/>
        <v>NORT</v>
      </c>
      <c r="C3059" s="128" t="str">
        <f>+VLOOKUP(U3059,Ходим!A:B,2,0)</f>
        <v>51810035900046</v>
      </c>
      <c r="D3059" s="128" t="str">
        <f>IFERROR(VLOOKUP($B:$B,[20]свод!$A:$AB,3,0)," ")</f>
        <v>Норин тумани</v>
      </c>
      <c r="E3059" s="7" t="s">
        <v>4191</v>
      </c>
      <c r="F3059" s="7" t="s">
        <v>10556</v>
      </c>
      <c r="G3059" s="134">
        <f t="shared" si="325"/>
        <v>1</v>
      </c>
      <c r="H3059" s="134" t="str">
        <f t="shared" si="326"/>
        <v/>
      </c>
      <c r="I3059" s="7" t="s">
        <v>158</v>
      </c>
      <c r="J3059" s="7" t="s">
        <v>1</v>
      </c>
      <c r="K3059" s="7"/>
      <c r="L3059" s="7" t="s">
        <v>167</v>
      </c>
      <c r="M3059" s="7" t="s">
        <v>6232</v>
      </c>
      <c r="N3059" s="7" t="s">
        <v>170</v>
      </c>
      <c r="O3059" s="7" t="s">
        <v>162</v>
      </c>
      <c r="P3059" s="7" t="s">
        <v>6293</v>
      </c>
      <c r="Q3059" s="129">
        <v>46199</v>
      </c>
      <c r="R3059" s="130">
        <f t="shared" si="327"/>
        <v>46204</v>
      </c>
      <c r="S3059" s="131">
        <f t="shared" si="328"/>
        <v>5</v>
      </c>
      <c r="T3059" s="7" t="s">
        <v>210</v>
      </c>
      <c r="U3059" s="7" t="s">
        <v>400</v>
      </c>
      <c r="V3059" s="7"/>
      <c r="W3059" s="7">
        <v>240.02</v>
      </c>
      <c r="X3059" s="132">
        <f t="shared" si="329"/>
        <v>10</v>
      </c>
      <c r="Y3059" s="133"/>
      <c r="Z3059" s="133"/>
      <c r="AA3059" s="133"/>
    </row>
    <row r="3060" spans="1:27" hidden="1" x14ac:dyDescent="0.25">
      <c r="A3060" s="133"/>
      <c r="B3060" s="128" t="str">
        <f t="shared" si="324"/>
        <v>YGQT</v>
      </c>
      <c r="C3060" s="128" t="str">
        <f>+VLOOKUP(U3060,Ходим!A:B,2,0)</f>
        <v>30903902160122</v>
      </c>
      <c r="D3060" s="128" t="str">
        <f>IFERROR(VLOOKUP($B:$B,[20]свод!$A:$AB,3,0)," ")</f>
        <v>Янгиқўрғон тумани</v>
      </c>
      <c r="E3060" s="7" t="s">
        <v>4192</v>
      </c>
      <c r="F3060" s="7" t="s">
        <v>10557</v>
      </c>
      <c r="G3060" s="134" t="str">
        <f t="shared" si="325"/>
        <v/>
      </c>
      <c r="H3060" s="134">
        <f t="shared" si="326"/>
        <v>1</v>
      </c>
      <c r="I3060" s="7" t="s">
        <v>157</v>
      </c>
      <c r="J3060" s="7" t="s">
        <v>2</v>
      </c>
      <c r="K3060" s="7"/>
      <c r="L3060" s="7" t="s">
        <v>168</v>
      </c>
      <c r="M3060" s="7" t="s">
        <v>382</v>
      </c>
      <c r="N3060" s="7" t="s">
        <v>170</v>
      </c>
      <c r="O3060" s="7" t="s">
        <v>161</v>
      </c>
      <c r="P3060" s="7" t="s">
        <v>7490</v>
      </c>
      <c r="Q3060" s="129">
        <v>46199</v>
      </c>
      <c r="R3060" s="130">
        <f t="shared" si="327"/>
        <v>46205</v>
      </c>
      <c r="S3060" s="131">
        <f t="shared" si="328"/>
        <v>6</v>
      </c>
      <c r="T3060" s="7" t="s">
        <v>182</v>
      </c>
      <c r="U3060" s="7" t="s">
        <v>230</v>
      </c>
      <c r="V3060" s="7"/>
      <c r="W3060" s="7">
        <v>0</v>
      </c>
      <c r="X3060" s="132">
        <f t="shared" si="329"/>
        <v>7</v>
      </c>
      <c r="Y3060" s="133"/>
      <c r="Z3060" s="133"/>
      <c r="AA3060" s="133"/>
    </row>
    <row r="3061" spans="1:27" hidden="1" x14ac:dyDescent="0.25">
      <c r="A3061" s="133"/>
      <c r="B3061" s="128" t="str">
        <f t="shared" si="324"/>
        <v>YGQT</v>
      </c>
      <c r="C3061" s="128" t="str">
        <f>+VLOOKUP(U3061,Ходим!A:B,2,0)</f>
        <v>31501762160017</v>
      </c>
      <c r="D3061" s="128" t="str">
        <f>IFERROR(VLOOKUP($B:$B,[20]свод!$A:$AB,3,0)," ")</f>
        <v>Янгиқўрғон тумани</v>
      </c>
      <c r="E3061" s="7" t="s">
        <v>4193</v>
      </c>
      <c r="F3061" s="7" t="s">
        <v>10558</v>
      </c>
      <c r="G3061" s="134">
        <f t="shared" si="325"/>
        <v>1</v>
      </c>
      <c r="H3061" s="134" t="str">
        <f t="shared" si="326"/>
        <v/>
      </c>
      <c r="I3061" s="7" t="s">
        <v>158</v>
      </c>
      <c r="J3061" s="7" t="s">
        <v>2</v>
      </c>
      <c r="K3061" s="7"/>
      <c r="L3061" s="7" t="s">
        <v>169</v>
      </c>
      <c r="M3061" s="7" t="s">
        <v>6233</v>
      </c>
      <c r="N3061" s="7" t="s">
        <v>170</v>
      </c>
      <c r="O3061" s="7" t="s">
        <v>163</v>
      </c>
      <c r="P3061" s="7" t="s">
        <v>7463</v>
      </c>
      <c r="Q3061" s="129">
        <v>46199</v>
      </c>
      <c r="R3061" s="130">
        <f t="shared" si="327"/>
        <v>46205</v>
      </c>
      <c r="S3061" s="131">
        <f t="shared" si="328"/>
        <v>6</v>
      </c>
      <c r="T3061" s="7" t="s">
        <v>255</v>
      </c>
      <c r="U3061" s="7" t="s">
        <v>275</v>
      </c>
      <c r="V3061" s="7"/>
      <c r="W3061" s="7">
        <v>0</v>
      </c>
      <c r="X3061" s="132">
        <f t="shared" si="329"/>
        <v>7</v>
      </c>
      <c r="Y3061" s="133"/>
      <c r="Z3061" s="133"/>
      <c r="AA3061" s="133"/>
    </row>
    <row r="3062" spans="1:27" hidden="1" x14ac:dyDescent="0.25">
      <c r="A3062" s="133"/>
      <c r="B3062" s="128" t="str">
        <f t="shared" si="324"/>
        <v>NAMS</v>
      </c>
      <c r="C3062" s="128" t="e">
        <f>+VLOOKUP(U3062,Ходим!A:B,2,0)</f>
        <v>#N/A</v>
      </c>
      <c r="D3062" s="128" t="str">
        <f>IFERROR(VLOOKUP($B:$B,[20]свод!$A:$AB,3,0)," ")</f>
        <v>Наманган шаҳар</v>
      </c>
      <c r="E3062" s="7" t="s">
        <v>4194</v>
      </c>
      <c r="F3062" s="7" t="s">
        <v>10559</v>
      </c>
      <c r="G3062" s="134">
        <f t="shared" si="325"/>
        <v>1</v>
      </c>
      <c r="H3062" s="134" t="str">
        <f t="shared" si="326"/>
        <v/>
      </c>
      <c r="I3062" s="7" t="s">
        <v>156</v>
      </c>
      <c r="J3062" s="7" t="s">
        <v>21</v>
      </c>
      <c r="K3062" s="7"/>
      <c r="L3062" s="7"/>
      <c r="M3062" s="7"/>
      <c r="N3062" s="7" t="s">
        <v>170</v>
      </c>
      <c r="O3062" s="7" t="s">
        <v>162</v>
      </c>
      <c r="P3062" s="7" t="s">
        <v>7528</v>
      </c>
      <c r="Q3062" s="129">
        <v>46199</v>
      </c>
      <c r="R3062" s="130">
        <f t="shared" si="327"/>
        <v>46210</v>
      </c>
      <c r="S3062" s="131">
        <f t="shared" si="328"/>
        <v>11</v>
      </c>
      <c r="T3062" s="7" t="s">
        <v>173</v>
      </c>
      <c r="U3062" s="7"/>
      <c r="V3062" s="7"/>
      <c r="W3062" s="7"/>
      <c r="X3062" s="132">
        <f t="shared" si="329"/>
        <v>10</v>
      </c>
      <c r="Y3062" s="133"/>
      <c r="Z3062" s="133"/>
      <c r="AA3062" s="133"/>
    </row>
    <row r="3063" spans="1:27" hidden="1" x14ac:dyDescent="0.25">
      <c r="A3063" s="133"/>
      <c r="B3063" s="128" t="str">
        <f t="shared" si="324"/>
        <v>NAMS</v>
      </c>
      <c r="C3063" s="128" t="e">
        <f>+VLOOKUP(U3063,Ходим!A:B,2,0)</f>
        <v>#N/A</v>
      </c>
      <c r="D3063" s="128" t="str">
        <f>IFERROR(VLOOKUP($B:$B,[20]свод!$A:$AB,3,0)," ")</f>
        <v>Наманган шаҳар</v>
      </c>
      <c r="E3063" s="7" t="s">
        <v>4195</v>
      </c>
      <c r="F3063" s="7" t="s">
        <v>10560</v>
      </c>
      <c r="G3063" s="134">
        <f t="shared" si="325"/>
        <v>1</v>
      </c>
      <c r="H3063" s="134" t="str">
        <f t="shared" si="326"/>
        <v/>
      </c>
      <c r="I3063" s="7" t="s">
        <v>156</v>
      </c>
      <c r="J3063" s="7" t="s">
        <v>21</v>
      </c>
      <c r="K3063" s="7"/>
      <c r="L3063" s="7"/>
      <c r="M3063" s="7"/>
      <c r="N3063" s="7" t="s">
        <v>170</v>
      </c>
      <c r="O3063" s="7" t="s">
        <v>162</v>
      </c>
      <c r="P3063" s="7" t="s">
        <v>7528</v>
      </c>
      <c r="Q3063" s="129">
        <v>46199</v>
      </c>
      <c r="R3063" s="130">
        <f t="shared" si="327"/>
        <v>46210</v>
      </c>
      <c r="S3063" s="131">
        <f t="shared" si="328"/>
        <v>11</v>
      </c>
      <c r="T3063" s="7" t="s">
        <v>173</v>
      </c>
      <c r="U3063" s="7"/>
      <c r="V3063" s="7"/>
      <c r="W3063" s="7"/>
      <c r="X3063" s="132">
        <f t="shared" si="329"/>
        <v>10</v>
      </c>
      <c r="Y3063" s="133"/>
      <c r="Z3063" s="133"/>
      <c r="AA3063" s="133"/>
    </row>
    <row r="3064" spans="1:27" hidden="1" x14ac:dyDescent="0.25">
      <c r="A3064" s="133"/>
      <c r="B3064" s="128" t="str">
        <f t="shared" si="324"/>
        <v>TORT</v>
      </c>
      <c r="C3064" s="128" t="str">
        <f>+VLOOKUP(U3064,Ходим!A:B,2,0)</f>
        <v>30708792130017</v>
      </c>
      <c r="D3064" s="128" t="str">
        <f>IFERROR(VLOOKUP($B:$B,[20]свод!$A:$AB,3,0)," ")</f>
        <v>Тўрақўрғон тумани</v>
      </c>
      <c r="E3064" s="7" t="s">
        <v>4196</v>
      </c>
      <c r="F3064" s="7" t="s">
        <v>10561</v>
      </c>
      <c r="G3064" s="134">
        <f t="shared" si="325"/>
        <v>1</v>
      </c>
      <c r="H3064" s="134" t="str">
        <f t="shared" si="326"/>
        <v/>
      </c>
      <c r="I3064" s="7" t="s">
        <v>158</v>
      </c>
      <c r="J3064" s="7" t="s">
        <v>2</v>
      </c>
      <c r="K3064" s="7"/>
      <c r="L3064" s="7"/>
      <c r="M3064" s="7"/>
      <c r="N3064" s="7" t="s">
        <v>170</v>
      </c>
      <c r="O3064" s="7" t="s">
        <v>162</v>
      </c>
      <c r="P3064" s="7" t="s">
        <v>7529</v>
      </c>
      <c r="Q3064" s="129">
        <v>46199</v>
      </c>
      <c r="R3064" s="130">
        <f t="shared" si="327"/>
        <v>46210</v>
      </c>
      <c r="S3064" s="131">
        <f t="shared" si="328"/>
        <v>11</v>
      </c>
      <c r="T3064" s="7" t="s">
        <v>203</v>
      </c>
      <c r="U3064" s="7" t="s">
        <v>204</v>
      </c>
      <c r="V3064" s="7"/>
      <c r="W3064" s="7"/>
      <c r="X3064" s="132">
        <f t="shared" si="329"/>
        <v>10</v>
      </c>
      <c r="Y3064" s="133"/>
      <c r="Z3064" s="133"/>
      <c r="AA3064" s="133"/>
    </row>
    <row r="3065" spans="1:27" hidden="1" x14ac:dyDescent="0.25">
      <c r="A3065" s="133"/>
      <c r="B3065" s="128" t="str">
        <f t="shared" si="324"/>
        <v>UCQT</v>
      </c>
      <c r="C3065" s="128" t="str">
        <f>+VLOOKUP(U3065,Ходим!A:B,2,0)</f>
        <v>31206892150069</v>
      </c>
      <c r="D3065" s="128" t="str">
        <f>IFERROR(VLOOKUP($B:$B,[20]свод!$A:$AB,3,0)," ")</f>
        <v>Учқўрғон тумани</v>
      </c>
      <c r="E3065" s="7" t="s">
        <v>4197</v>
      </c>
      <c r="F3065" s="7" t="s">
        <v>10562</v>
      </c>
      <c r="G3065" s="134" t="str">
        <f t="shared" si="325"/>
        <v/>
      </c>
      <c r="H3065" s="134">
        <f t="shared" si="326"/>
        <v>1</v>
      </c>
      <c r="I3065" s="7" t="s">
        <v>157</v>
      </c>
      <c r="J3065" s="7" t="s">
        <v>172</v>
      </c>
      <c r="K3065" s="7"/>
      <c r="L3065" s="7"/>
      <c r="M3065" s="7"/>
      <c r="N3065" s="7" t="s">
        <v>170</v>
      </c>
      <c r="O3065" s="7" t="s">
        <v>161</v>
      </c>
      <c r="P3065" s="7" t="s">
        <v>7530</v>
      </c>
      <c r="Q3065" s="129">
        <v>46199</v>
      </c>
      <c r="R3065" s="130">
        <f t="shared" si="327"/>
        <v>46210</v>
      </c>
      <c r="S3065" s="131">
        <f t="shared" si="328"/>
        <v>11</v>
      </c>
      <c r="T3065" s="7" t="s">
        <v>175</v>
      </c>
      <c r="U3065" s="7" t="s">
        <v>318</v>
      </c>
      <c r="V3065" s="7"/>
      <c r="W3065" s="7"/>
      <c r="X3065" s="132">
        <f t="shared" si="329"/>
        <v>10</v>
      </c>
      <c r="Y3065" s="133"/>
      <c r="Z3065" s="133"/>
      <c r="AA3065" s="133"/>
    </row>
    <row r="3066" spans="1:27" hidden="1" x14ac:dyDescent="0.25">
      <c r="A3066" s="133"/>
      <c r="B3066" s="128" t="str">
        <f t="shared" si="324"/>
        <v>POPT</v>
      </c>
      <c r="C3066" s="128" t="str">
        <f>+VLOOKUP(U3066,Ходим!A:B,2,0)</f>
        <v>30609882120085</v>
      </c>
      <c r="D3066" s="128" t="str">
        <f>IFERROR(VLOOKUP($B:$B,[20]свод!$A:$AB,3,0)," ")</f>
        <v>Поп тумани</v>
      </c>
      <c r="E3066" s="7" t="s">
        <v>4198</v>
      </c>
      <c r="F3066" s="7" t="s">
        <v>10563</v>
      </c>
      <c r="G3066" s="134">
        <f t="shared" si="325"/>
        <v>1</v>
      </c>
      <c r="H3066" s="134" t="str">
        <f t="shared" si="326"/>
        <v/>
      </c>
      <c r="I3066" s="7" t="s">
        <v>158</v>
      </c>
      <c r="J3066" s="7" t="s">
        <v>2</v>
      </c>
      <c r="K3066" s="7"/>
      <c r="L3066" s="7" t="s">
        <v>167</v>
      </c>
      <c r="M3066" s="7" t="s">
        <v>6234</v>
      </c>
      <c r="N3066" s="7" t="s">
        <v>170</v>
      </c>
      <c r="O3066" s="7" t="s">
        <v>162</v>
      </c>
      <c r="P3066" s="7" t="s">
        <v>7529</v>
      </c>
      <c r="Q3066" s="129">
        <v>46199</v>
      </c>
      <c r="R3066" s="130">
        <f t="shared" si="327"/>
        <v>46210</v>
      </c>
      <c r="S3066" s="131">
        <f t="shared" si="328"/>
        <v>11</v>
      </c>
      <c r="T3066" s="7" t="s">
        <v>240</v>
      </c>
      <c r="U3066" s="7" t="s">
        <v>248</v>
      </c>
      <c r="V3066" s="7"/>
      <c r="W3066" s="7">
        <v>162</v>
      </c>
      <c r="X3066" s="132">
        <f t="shared" si="329"/>
        <v>10</v>
      </c>
      <c r="Y3066" s="133"/>
      <c r="Z3066" s="133"/>
      <c r="AA3066" s="133"/>
    </row>
    <row r="3067" spans="1:27" hidden="1" x14ac:dyDescent="0.25">
      <c r="A3067" s="133"/>
      <c r="B3067" s="128" t="str">
        <f t="shared" si="324"/>
        <v>KSST</v>
      </c>
      <c r="C3067" s="128" t="str">
        <f>+VLOOKUP(U3067,Ходим!A:B,2,0)</f>
        <v>52812015980061</v>
      </c>
      <c r="D3067" s="128" t="str">
        <f>IFERROR(VLOOKUP($B:$B,[20]свод!$A:$AB,3,0)," ")</f>
        <v>Косонсой тумани</v>
      </c>
      <c r="E3067" s="7" t="s">
        <v>4199</v>
      </c>
      <c r="F3067" s="7" t="s">
        <v>10564</v>
      </c>
      <c r="G3067" s="134">
        <f t="shared" si="325"/>
        <v>1</v>
      </c>
      <c r="H3067" s="134" t="str">
        <f t="shared" si="326"/>
        <v/>
      </c>
      <c r="I3067" s="7" t="s">
        <v>158</v>
      </c>
      <c r="J3067" s="7" t="s">
        <v>2</v>
      </c>
      <c r="K3067" s="7"/>
      <c r="L3067" s="7" t="s">
        <v>167</v>
      </c>
      <c r="M3067" s="7" t="s">
        <v>6235</v>
      </c>
      <c r="N3067" s="7" t="s">
        <v>410</v>
      </c>
      <c r="O3067" s="7" t="s">
        <v>162</v>
      </c>
      <c r="P3067" s="7" t="s">
        <v>7531</v>
      </c>
      <c r="Q3067" s="129">
        <v>46199</v>
      </c>
      <c r="R3067" s="130">
        <f t="shared" si="327"/>
        <v>46210</v>
      </c>
      <c r="S3067" s="131">
        <f t="shared" si="328"/>
        <v>11</v>
      </c>
      <c r="T3067" s="7" t="s">
        <v>180</v>
      </c>
      <c r="U3067" s="7" t="s">
        <v>307</v>
      </c>
      <c r="V3067" s="7"/>
      <c r="W3067" s="7">
        <v>243.44</v>
      </c>
      <c r="X3067" s="132">
        <f t="shared" si="329"/>
        <v>10</v>
      </c>
      <c r="Y3067" s="133"/>
      <c r="Z3067" s="133"/>
      <c r="AA3067" s="133"/>
    </row>
    <row r="3068" spans="1:27" hidden="1" x14ac:dyDescent="0.25">
      <c r="A3068" s="133"/>
      <c r="B3068" s="128" t="str">
        <f t="shared" si="324"/>
        <v>NAMS</v>
      </c>
      <c r="C3068" s="128" t="str">
        <f>+VLOOKUP(U3068,Ходим!A:B,2,0)</f>
        <v>51406015960142</v>
      </c>
      <c r="D3068" s="128" t="str">
        <f>IFERROR(VLOOKUP($B:$B,[20]свод!$A:$AB,3,0)," ")</f>
        <v>Наманган шаҳар</v>
      </c>
      <c r="E3068" s="7" t="s">
        <v>4200</v>
      </c>
      <c r="F3068" s="7" t="s">
        <v>10565</v>
      </c>
      <c r="G3068" s="134">
        <f t="shared" si="325"/>
        <v>1</v>
      </c>
      <c r="H3068" s="134" t="str">
        <f t="shared" si="326"/>
        <v/>
      </c>
      <c r="I3068" s="7" t="s">
        <v>158</v>
      </c>
      <c r="J3068" s="7" t="s">
        <v>2</v>
      </c>
      <c r="K3068" s="7"/>
      <c r="L3068" s="7" t="s">
        <v>167</v>
      </c>
      <c r="M3068" s="7" t="s">
        <v>6236</v>
      </c>
      <c r="N3068" s="7" t="s">
        <v>170</v>
      </c>
      <c r="O3068" s="7" t="s">
        <v>162</v>
      </c>
      <c r="P3068" s="7" t="s">
        <v>7531</v>
      </c>
      <c r="Q3068" s="129">
        <v>46199</v>
      </c>
      <c r="R3068" s="130">
        <f t="shared" si="327"/>
        <v>46210</v>
      </c>
      <c r="S3068" s="131">
        <f t="shared" si="328"/>
        <v>11</v>
      </c>
      <c r="T3068" s="7" t="s">
        <v>173</v>
      </c>
      <c r="U3068" s="7" t="s">
        <v>349</v>
      </c>
      <c r="V3068" s="7"/>
      <c r="W3068" s="7">
        <v>342.81</v>
      </c>
      <c r="X3068" s="132">
        <f t="shared" si="329"/>
        <v>10</v>
      </c>
      <c r="Y3068" s="133"/>
      <c r="Z3068" s="133"/>
      <c r="AA3068" s="133"/>
    </row>
    <row r="3069" spans="1:27" hidden="1" x14ac:dyDescent="0.25">
      <c r="A3069" s="133"/>
      <c r="B3069" s="128" t="str">
        <f t="shared" si="324"/>
        <v>NAMS</v>
      </c>
      <c r="C3069" s="128" t="str">
        <f>+VLOOKUP(U3069,Ходим!A:B,2,0)</f>
        <v>52503015960039</v>
      </c>
      <c r="D3069" s="128" t="str">
        <f>IFERROR(VLOOKUP($B:$B,[20]свод!$A:$AB,3,0)," ")</f>
        <v>Наманган шаҳар</v>
      </c>
      <c r="E3069" s="7" t="s">
        <v>4201</v>
      </c>
      <c r="F3069" s="7" t="s">
        <v>10566</v>
      </c>
      <c r="G3069" s="134">
        <f t="shared" si="325"/>
        <v>1</v>
      </c>
      <c r="H3069" s="134" t="str">
        <f t="shared" si="326"/>
        <v/>
      </c>
      <c r="I3069" s="7" t="s">
        <v>158</v>
      </c>
      <c r="J3069" s="7" t="s">
        <v>2</v>
      </c>
      <c r="K3069" s="7"/>
      <c r="L3069" s="7"/>
      <c r="M3069" s="7"/>
      <c r="N3069" s="7" t="s">
        <v>170</v>
      </c>
      <c r="O3069" s="7" t="s">
        <v>162</v>
      </c>
      <c r="P3069" s="7" t="s">
        <v>7531</v>
      </c>
      <c r="Q3069" s="129">
        <v>46199</v>
      </c>
      <c r="R3069" s="130">
        <f t="shared" si="327"/>
        <v>46210</v>
      </c>
      <c r="S3069" s="131">
        <f t="shared" si="328"/>
        <v>11</v>
      </c>
      <c r="T3069" s="7" t="s">
        <v>173</v>
      </c>
      <c r="U3069" s="7" t="s">
        <v>246</v>
      </c>
      <c r="V3069" s="7"/>
      <c r="W3069" s="7"/>
      <c r="X3069" s="132">
        <f t="shared" si="329"/>
        <v>10</v>
      </c>
      <c r="Y3069" s="133"/>
      <c r="Z3069" s="133"/>
      <c r="AA3069" s="133"/>
    </row>
    <row r="3070" spans="1:27" hidden="1" x14ac:dyDescent="0.25">
      <c r="A3070" s="133"/>
      <c r="B3070" s="128" t="str">
        <f t="shared" si="324"/>
        <v>NAMT</v>
      </c>
      <c r="C3070" s="128" t="str">
        <f>+VLOOKUP(U3070,Ходим!A:B,2,0)</f>
        <v>31702942090041</v>
      </c>
      <c r="D3070" s="128" t="str">
        <f>IFERROR(VLOOKUP($B:$B,[20]свод!$A:$AB,3,0)," ")</f>
        <v>Наманган тумани</v>
      </c>
      <c r="E3070" s="7" t="s">
        <v>4202</v>
      </c>
      <c r="F3070" s="7" t="s">
        <v>10567</v>
      </c>
      <c r="G3070" s="134" t="str">
        <f t="shared" si="325"/>
        <v/>
      </c>
      <c r="H3070" s="134">
        <f t="shared" si="326"/>
        <v>1</v>
      </c>
      <c r="I3070" s="7" t="s">
        <v>157</v>
      </c>
      <c r="J3070" s="7" t="s">
        <v>13</v>
      </c>
      <c r="K3070" s="7"/>
      <c r="L3070" s="7" t="s">
        <v>166</v>
      </c>
      <c r="M3070" s="7" t="s">
        <v>6237</v>
      </c>
      <c r="N3070" s="7" t="s">
        <v>170</v>
      </c>
      <c r="O3070" s="7" t="s">
        <v>161</v>
      </c>
      <c r="P3070" s="7" t="s">
        <v>7532</v>
      </c>
      <c r="Q3070" s="129">
        <v>46199</v>
      </c>
      <c r="R3070" s="130">
        <f t="shared" si="327"/>
        <v>46212</v>
      </c>
      <c r="S3070" s="131">
        <f t="shared" si="328"/>
        <v>13</v>
      </c>
      <c r="T3070" s="7" t="s">
        <v>193</v>
      </c>
      <c r="U3070" s="7" t="s">
        <v>194</v>
      </c>
      <c r="V3070" s="7"/>
      <c r="W3070" s="7">
        <v>477.97</v>
      </c>
      <c r="X3070" s="132">
        <f t="shared" si="329"/>
        <v>12</v>
      </c>
      <c r="Y3070" s="133"/>
      <c r="Z3070" s="133"/>
      <c r="AA3070" s="133"/>
    </row>
    <row r="3071" spans="1:27" hidden="1" x14ac:dyDescent="0.25">
      <c r="A3071" s="133"/>
      <c r="B3071" s="128" t="str">
        <f t="shared" si="324"/>
        <v>KSST</v>
      </c>
      <c r="C3071" s="128" t="str">
        <f>+VLOOKUP(U3071,Ходим!A:B,2,0)</f>
        <v>30411985980017</v>
      </c>
      <c r="D3071" s="128" t="str">
        <f>IFERROR(VLOOKUP($B:$B,[20]свод!$A:$AB,3,0)," ")</f>
        <v>Косонсой тумани</v>
      </c>
      <c r="E3071" s="7" t="s">
        <v>4203</v>
      </c>
      <c r="F3071" s="7" t="s">
        <v>10568</v>
      </c>
      <c r="G3071" s="134">
        <f t="shared" si="325"/>
        <v>1</v>
      </c>
      <c r="H3071" s="134" t="str">
        <f t="shared" si="326"/>
        <v/>
      </c>
      <c r="I3071" s="7" t="s">
        <v>158</v>
      </c>
      <c r="J3071" s="7" t="s">
        <v>1</v>
      </c>
      <c r="K3071" s="7"/>
      <c r="L3071" s="7" t="s">
        <v>167</v>
      </c>
      <c r="M3071" s="7" t="s">
        <v>6238</v>
      </c>
      <c r="N3071" s="7" t="s">
        <v>170</v>
      </c>
      <c r="O3071" s="7" t="s">
        <v>162</v>
      </c>
      <c r="P3071" s="7" t="s">
        <v>7533</v>
      </c>
      <c r="Q3071" s="129">
        <v>46199</v>
      </c>
      <c r="R3071" s="130">
        <f t="shared" si="327"/>
        <v>46204</v>
      </c>
      <c r="S3071" s="131">
        <f t="shared" si="328"/>
        <v>5</v>
      </c>
      <c r="T3071" s="7" t="s">
        <v>180</v>
      </c>
      <c r="U3071" s="7" t="s">
        <v>360</v>
      </c>
      <c r="V3071" s="7"/>
      <c r="W3071" s="7">
        <v>602.04999999999995</v>
      </c>
      <c r="X3071" s="132">
        <f t="shared" si="329"/>
        <v>10</v>
      </c>
      <c r="Y3071" s="133"/>
      <c r="Z3071" s="133"/>
      <c r="AA3071" s="133"/>
    </row>
    <row r="3072" spans="1:27" hidden="1" x14ac:dyDescent="0.25">
      <c r="A3072" s="133"/>
      <c r="B3072" s="128" t="str">
        <f t="shared" si="324"/>
        <v>NAMS</v>
      </c>
      <c r="C3072" s="128" t="str">
        <f>+VLOOKUP(U3072,Ходим!A:B,2,0)</f>
        <v>52710005960025</v>
      </c>
      <c r="D3072" s="128" t="str">
        <f>IFERROR(VLOOKUP($B:$B,[20]свод!$A:$AB,3,0)," ")</f>
        <v>Наманган шаҳар</v>
      </c>
      <c r="E3072" s="7" t="s">
        <v>4204</v>
      </c>
      <c r="F3072" s="7" t="s">
        <v>10569</v>
      </c>
      <c r="G3072" s="134">
        <f t="shared" si="325"/>
        <v>1</v>
      </c>
      <c r="H3072" s="134" t="str">
        <f t="shared" si="326"/>
        <v/>
      </c>
      <c r="I3072" s="7" t="s">
        <v>158</v>
      </c>
      <c r="J3072" s="7" t="s">
        <v>2</v>
      </c>
      <c r="K3072" s="7"/>
      <c r="L3072" s="7" t="s">
        <v>167</v>
      </c>
      <c r="M3072" s="7" t="s">
        <v>6239</v>
      </c>
      <c r="N3072" s="7" t="s">
        <v>170</v>
      </c>
      <c r="O3072" s="7" t="s">
        <v>162</v>
      </c>
      <c r="P3072" s="7" t="s">
        <v>7532</v>
      </c>
      <c r="Q3072" s="129">
        <v>46199</v>
      </c>
      <c r="R3072" s="130">
        <f t="shared" si="327"/>
        <v>46210</v>
      </c>
      <c r="S3072" s="131">
        <f t="shared" si="328"/>
        <v>11</v>
      </c>
      <c r="T3072" s="7" t="s">
        <v>185</v>
      </c>
      <c r="U3072" s="7" t="s">
        <v>274</v>
      </c>
      <c r="V3072" s="7"/>
      <c r="W3072" s="7">
        <v>108.72</v>
      </c>
      <c r="X3072" s="132">
        <f t="shared" si="329"/>
        <v>10</v>
      </c>
      <c r="Y3072" s="133"/>
      <c r="Z3072" s="133"/>
      <c r="AA3072" s="133"/>
    </row>
    <row r="3073" spans="1:27" hidden="1" x14ac:dyDescent="0.25">
      <c r="A3073" s="133"/>
      <c r="B3073" s="128" t="str">
        <f t="shared" si="324"/>
        <v>NAMS</v>
      </c>
      <c r="C3073" s="128" t="str">
        <f>+VLOOKUP(U3073,Ходим!A:B,2,0)</f>
        <v>31608732170178</v>
      </c>
      <c r="D3073" s="128" t="str">
        <f>IFERROR(VLOOKUP($B:$B,[20]свод!$A:$AB,3,0)," ")</f>
        <v>Наманган шаҳар</v>
      </c>
      <c r="E3073" s="7" t="s">
        <v>4205</v>
      </c>
      <c r="F3073" s="7" t="s">
        <v>10570</v>
      </c>
      <c r="G3073" s="134">
        <f t="shared" si="325"/>
        <v>1</v>
      </c>
      <c r="H3073" s="134" t="str">
        <f t="shared" si="326"/>
        <v/>
      </c>
      <c r="I3073" s="7" t="s">
        <v>156</v>
      </c>
      <c r="J3073" s="7" t="s">
        <v>25</v>
      </c>
      <c r="K3073" s="7"/>
      <c r="L3073" s="7"/>
      <c r="M3073" s="7"/>
      <c r="N3073" s="7" t="s">
        <v>170</v>
      </c>
      <c r="O3073" s="7" t="s">
        <v>162</v>
      </c>
      <c r="P3073" s="7" t="s">
        <v>7532</v>
      </c>
      <c r="Q3073" s="129">
        <v>46199</v>
      </c>
      <c r="R3073" s="130">
        <f t="shared" si="327"/>
        <v>46210</v>
      </c>
      <c r="S3073" s="131">
        <f t="shared" si="328"/>
        <v>11</v>
      </c>
      <c r="T3073" s="7" t="s">
        <v>173</v>
      </c>
      <c r="U3073" s="7" t="s">
        <v>267</v>
      </c>
      <c r="V3073" s="7"/>
      <c r="W3073" s="7"/>
      <c r="X3073" s="132">
        <f t="shared" si="329"/>
        <v>10</v>
      </c>
      <c r="Y3073" s="133"/>
      <c r="Z3073" s="133"/>
      <c r="AA3073" s="133"/>
    </row>
    <row r="3074" spans="1:27" hidden="1" x14ac:dyDescent="0.25">
      <c r="A3074" s="133"/>
      <c r="B3074" s="128" t="str">
        <f t="shared" si="324"/>
        <v>YGQT</v>
      </c>
      <c r="C3074" s="128" t="str">
        <f>+VLOOKUP(U3074,Ходим!A:B,2,0)</f>
        <v>31108942160081</v>
      </c>
      <c r="D3074" s="128" t="str">
        <f>IFERROR(VLOOKUP($B:$B,[20]свод!$A:$AB,3,0)," ")</f>
        <v>Янгиқўрғон тумани</v>
      </c>
      <c r="E3074" s="7" t="s">
        <v>4206</v>
      </c>
      <c r="F3074" s="7" t="s">
        <v>10571</v>
      </c>
      <c r="G3074" s="134" t="str">
        <f t="shared" si="325"/>
        <v/>
      </c>
      <c r="H3074" s="134">
        <f t="shared" si="326"/>
        <v>1</v>
      </c>
      <c r="I3074" s="7" t="s">
        <v>157</v>
      </c>
      <c r="J3074" s="7" t="s">
        <v>172</v>
      </c>
      <c r="K3074" s="7"/>
      <c r="L3074" s="7"/>
      <c r="M3074" s="7"/>
      <c r="N3074" s="7" t="s">
        <v>170</v>
      </c>
      <c r="O3074" s="7" t="s">
        <v>161</v>
      </c>
      <c r="P3074" s="7" t="s">
        <v>7532</v>
      </c>
      <c r="Q3074" s="129">
        <v>46199</v>
      </c>
      <c r="R3074" s="130">
        <f t="shared" si="327"/>
        <v>46210</v>
      </c>
      <c r="S3074" s="131">
        <f t="shared" si="328"/>
        <v>11</v>
      </c>
      <c r="T3074" s="7" t="s">
        <v>255</v>
      </c>
      <c r="U3074" s="7" t="s">
        <v>228</v>
      </c>
      <c r="V3074" s="7"/>
      <c r="W3074" s="7"/>
      <c r="X3074" s="132">
        <f t="shared" si="329"/>
        <v>10</v>
      </c>
      <c r="Y3074" s="133"/>
      <c r="Z3074" s="133"/>
      <c r="AA3074" s="133"/>
    </row>
    <row r="3075" spans="1:27" hidden="1" x14ac:dyDescent="0.25">
      <c r="A3075" s="133"/>
      <c r="B3075" s="128" t="str">
        <f t="shared" si="324"/>
        <v>NAMS</v>
      </c>
      <c r="C3075" s="128" t="str">
        <f>+VLOOKUP(U3075,Ходим!A:B,2,0)</f>
        <v>31312985950011</v>
      </c>
      <c r="D3075" s="128" t="str">
        <f>IFERROR(VLOOKUP($B:$B,[20]свод!$A:$AB,3,0)," ")</f>
        <v>Наманган шаҳар</v>
      </c>
      <c r="E3075" s="7" t="s">
        <v>4207</v>
      </c>
      <c r="F3075" s="7" t="s">
        <v>10572</v>
      </c>
      <c r="G3075" s="134">
        <f t="shared" si="325"/>
        <v>1</v>
      </c>
      <c r="H3075" s="134" t="str">
        <f t="shared" si="326"/>
        <v/>
      </c>
      <c r="I3075" s="7" t="s">
        <v>158</v>
      </c>
      <c r="J3075" s="7" t="s">
        <v>2</v>
      </c>
      <c r="K3075" s="7"/>
      <c r="L3075" s="7" t="s">
        <v>167</v>
      </c>
      <c r="M3075" s="7" t="s">
        <v>6240</v>
      </c>
      <c r="N3075" s="7" t="s">
        <v>170</v>
      </c>
      <c r="O3075" s="7" t="s">
        <v>162</v>
      </c>
      <c r="P3075" s="7" t="s">
        <v>7534</v>
      </c>
      <c r="Q3075" s="129">
        <v>46199</v>
      </c>
      <c r="R3075" s="130">
        <f t="shared" si="327"/>
        <v>46210</v>
      </c>
      <c r="S3075" s="131">
        <f t="shared" si="328"/>
        <v>11</v>
      </c>
      <c r="T3075" s="7" t="s">
        <v>173</v>
      </c>
      <c r="U3075" s="7" t="s">
        <v>303</v>
      </c>
      <c r="V3075" s="7"/>
      <c r="W3075" s="7">
        <v>0</v>
      </c>
      <c r="X3075" s="132">
        <f t="shared" si="329"/>
        <v>10</v>
      </c>
      <c r="Y3075" s="133"/>
      <c r="Z3075" s="133"/>
      <c r="AA3075" s="133"/>
    </row>
    <row r="3076" spans="1:27" hidden="1" x14ac:dyDescent="0.25">
      <c r="A3076" s="133"/>
      <c r="B3076" s="128" t="str">
        <f t="shared" si="324"/>
        <v>TORT</v>
      </c>
      <c r="C3076" s="128" t="str">
        <f>+VLOOKUP(U3076,Ходим!A:B,2,0)</f>
        <v>50908015920034</v>
      </c>
      <c r="D3076" s="128" t="str">
        <f>IFERROR(VLOOKUP($B:$B,[20]свод!$A:$AB,3,0)," ")</f>
        <v>Тўрақўрғон тумани</v>
      </c>
      <c r="E3076" s="7" t="s">
        <v>4208</v>
      </c>
      <c r="F3076" s="7" t="s">
        <v>10573</v>
      </c>
      <c r="G3076" s="134">
        <f t="shared" si="325"/>
        <v>1</v>
      </c>
      <c r="H3076" s="134" t="str">
        <f t="shared" si="326"/>
        <v/>
      </c>
      <c r="I3076" s="7" t="s">
        <v>158</v>
      </c>
      <c r="J3076" s="7" t="s">
        <v>2</v>
      </c>
      <c r="K3076" s="7"/>
      <c r="L3076" s="7" t="s">
        <v>167</v>
      </c>
      <c r="M3076" s="7" t="s">
        <v>6241</v>
      </c>
      <c r="N3076" s="7" t="s">
        <v>170</v>
      </c>
      <c r="O3076" s="7" t="s">
        <v>162</v>
      </c>
      <c r="P3076" s="7" t="s">
        <v>7534</v>
      </c>
      <c r="Q3076" s="129">
        <v>46199</v>
      </c>
      <c r="R3076" s="130">
        <f t="shared" si="327"/>
        <v>46210</v>
      </c>
      <c r="S3076" s="131">
        <f t="shared" si="328"/>
        <v>11</v>
      </c>
      <c r="T3076" s="7" t="s">
        <v>203</v>
      </c>
      <c r="U3076" s="7" t="s">
        <v>205</v>
      </c>
      <c r="V3076" s="7"/>
      <c r="W3076" s="7">
        <v>451.02</v>
      </c>
      <c r="X3076" s="132">
        <f t="shared" si="329"/>
        <v>10</v>
      </c>
      <c r="Y3076" s="133"/>
      <c r="Z3076" s="133"/>
      <c r="AA3076" s="133"/>
    </row>
    <row r="3077" spans="1:27" hidden="1" x14ac:dyDescent="0.25">
      <c r="A3077" s="133"/>
      <c r="B3077" s="128" t="str">
        <f t="shared" si="324"/>
        <v>CHUT</v>
      </c>
      <c r="C3077" s="128" t="str">
        <f>+VLOOKUP(U3077,Ходим!A:B,2,0)</f>
        <v>32006862180015</v>
      </c>
      <c r="D3077" s="128" t="str">
        <f>IFERROR(VLOOKUP($B:$B,[20]свод!$A:$AB,3,0)," ")</f>
        <v>Чуст тумани</v>
      </c>
      <c r="E3077" s="7" t="s">
        <v>4209</v>
      </c>
      <c r="F3077" s="7" t="s">
        <v>10574</v>
      </c>
      <c r="G3077" s="134" t="str">
        <f t="shared" si="325"/>
        <v/>
      </c>
      <c r="H3077" s="134">
        <f t="shared" si="326"/>
        <v>1</v>
      </c>
      <c r="I3077" s="7" t="s">
        <v>155</v>
      </c>
      <c r="J3077" s="7" t="s">
        <v>25</v>
      </c>
      <c r="K3077" s="7"/>
      <c r="L3077" s="7" t="s">
        <v>166</v>
      </c>
      <c r="M3077" s="7" t="s">
        <v>1079</v>
      </c>
      <c r="N3077" s="7" t="s">
        <v>170</v>
      </c>
      <c r="O3077" s="7" t="s">
        <v>161</v>
      </c>
      <c r="P3077" s="7" t="s">
        <v>7535</v>
      </c>
      <c r="Q3077" s="129">
        <v>46199</v>
      </c>
      <c r="R3077" s="130">
        <f t="shared" si="327"/>
        <v>46210</v>
      </c>
      <c r="S3077" s="131">
        <f t="shared" si="328"/>
        <v>11</v>
      </c>
      <c r="T3077" s="7" t="s">
        <v>178</v>
      </c>
      <c r="U3077" s="7" t="s">
        <v>347</v>
      </c>
      <c r="V3077" s="7"/>
      <c r="W3077" s="7">
        <v>0</v>
      </c>
      <c r="X3077" s="132">
        <f t="shared" si="329"/>
        <v>10</v>
      </c>
      <c r="Y3077" s="133"/>
      <c r="Z3077" s="133"/>
      <c r="AA3077" s="133"/>
    </row>
    <row r="3078" spans="1:27" hidden="1" x14ac:dyDescent="0.25">
      <c r="A3078" s="133"/>
      <c r="B3078" s="128" t="str">
        <f t="shared" si="324"/>
        <v>UYCT</v>
      </c>
      <c r="C3078" s="128" t="str">
        <f>+VLOOKUP(U3078,Ходим!A:B,2,0)</f>
        <v>30309975930028</v>
      </c>
      <c r="D3078" s="128" t="str">
        <f>IFERROR(VLOOKUP($B:$B,[20]свод!$A:$AB,3,0)," ")</f>
        <v>Уйчи тумани</v>
      </c>
      <c r="E3078" s="7" t="s">
        <v>4210</v>
      </c>
      <c r="F3078" s="7" t="s">
        <v>10575</v>
      </c>
      <c r="G3078" s="134">
        <f t="shared" si="325"/>
        <v>1</v>
      </c>
      <c r="H3078" s="134" t="str">
        <f t="shared" si="326"/>
        <v/>
      </c>
      <c r="I3078" s="7" t="s">
        <v>158</v>
      </c>
      <c r="J3078" s="7" t="s">
        <v>2</v>
      </c>
      <c r="K3078" s="7"/>
      <c r="L3078" s="7"/>
      <c r="M3078" s="7"/>
      <c r="N3078" s="7" t="s">
        <v>170</v>
      </c>
      <c r="O3078" s="7" t="s">
        <v>162</v>
      </c>
      <c r="P3078" s="7" t="s">
        <v>6369</v>
      </c>
      <c r="Q3078" s="129">
        <v>46199</v>
      </c>
      <c r="R3078" s="130">
        <f t="shared" si="327"/>
        <v>46210</v>
      </c>
      <c r="S3078" s="131">
        <f t="shared" si="328"/>
        <v>11</v>
      </c>
      <c r="T3078" s="7" t="s">
        <v>947</v>
      </c>
      <c r="U3078" s="7" t="s">
        <v>261</v>
      </c>
      <c r="V3078" s="7"/>
      <c r="W3078" s="7"/>
      <c r="X3078" s="132">
        <f t="shared" si="329"/>
        <v>10</v>
      </c>
      <c r="Y3078" s="133"/>
      <c r="Z3078" s="133"/>
      <c r="AA3078" s="133"/>
    </row>
    <row r="3079" spans="1:27" hidden="1" x14ac:dyDescent="0.25">
      <c r="A3079" s="133"/>
      <c r="B3079" s="128" t="str">
        <f t="shared" si="324"/>
        <v>CHUT</v>
      </c>
      <c r="C3079" s="128" t="str">
        <f>+VLOOKUP(U3079,Ходим!A:B,2,0)</f>
        <v>31312912180061</v>
      </c>
      <c r="D3079" s="128" t="str">
        <f>IFERROR(VLOOKUP($B:$B,[20]свод!$A:$AB,3,0)," ")</f>
        <v>Чуст тумани</v>
      </c>
      <c r="E3079" s="7" t="s">
        <v>4211</v>
      </c>
      <c r="F3079" s="7" t="s">
        <v>10576</v>
      </c>
      <c r="G3079" s="134">
        <f t="shared" si="325"/>
        <v>1</v>
      </c>
      <c r="H3079" s="134" t="str">
        <f t="shared" si="326"/>
        <v/>
      </c>
      <c r="I3079" s="7" t="s">
        <v>156</v>
      </c>
      <c r="J3079" s="7" t="s">
        <v>25</v>
      </c>
      <c r="K3079" s="7"/>
      <c r="L3079" s="7"/>
      <c r="M3079" s="7"/>
      <c r="N3079" s="7" t="s">
        <v>170</v>
      </c>
      <c r="O3079" s="7" t="s">
        <v>162</v>
      </c>
      <c r="P3079" s="7" t="s">
        <v>6369</v>
      </c>
      <c r="Q3079" s="129">
        <v>46199</v>
      </c>
      <c r="R3079" s="130">
        <f t="shared" si="327"/>
        <v>46210</v>
      </c>
      <c r="S3079" s="131">
        <f t="shared" si="328"/>
        <v>11</v>
      </c>
      <c r="T3079" s="7" t="s">
        <v>178</v>
      </c>
      <c r="U3079" s="7" t="s">
        <v>202</v>
      </c>
      <c r="V3079" s="7"/>
      <c r="W3079" s="7"/>
      <c r="X3079" s="132">
        <f t="shared" si="329"/>
        <v>10</v>
      </c>
      <c r="Y3079" s="133"/>
      <c r="Z3079" s="133"/>
      <c r="AA3079" s="133"/>
    </row>
    <row r="3080" spans="1:27" hidden="1" x14ac:dyDescent="0.25">
      <c r="A3080" s="133"/>
      <c r="B3080" s="128" t="str">
        <f t="shared" si="324"/>
        <v>NAMS</v>
      </c>
      <c r="C3080" s="128" t="str">
        <f>+VLOOKUP(U3080,Ходим!A:B,2,0)</f>
        <v>32602902170105</v>
      </c>
      <c r="D3080" s="128" t="str">
        <f>IFERROR(VLOOKUP($B:$B,[20]свод!$A:$AB,3,0)," ")</f>
        <v>Наманган шаҳар</v>
      </c>
      <c r="E3080" s="7" t="s">
        <v>4212</v>
      </c>
      <c r="F3080" s="7" t="s">
        <v>10577</v>
      </c>
      <c r="G3080" s="134">
        <f t="shared" si="325"/>
        <v>1</v>
      </c>
      <c r="H3080" s="134" t="str">
        <f t="shared" si="326"/>
        <v/>
      </c>
      <c r="I3080" s="7" t="s">
        <v>158</v>
      </c>
      <c r="J3080" s="7" t="s">
        <v>1</v>
      </c>
      <c r="K3080" s="7"/>
      <c r="L3080" s="7" t="s">
        <v>167</v>
      </c>
      <c r="M3080" s="7" t="s">
        <v>6242</v>
      </c>
      <c r="N3080" s="7" t="s">
        <v>170</v>
      </c>
      <c r="O3080" s="7" t="s">
        <v>162</v>
      </c>
      <c r="P3080" s="7" t="s">
        <v>7536</v>
      </c>
      <c r="Q3080" s="129">
        <v>46199</v>
      </c>
      <c r="R3080" s="130">
        <f t="shared" si="327"/>
        <v>46204</v>
      </c>
      <c r="S3080" s="131">
        <f t="shared" si="328"/>
        <v>5</v>
      </c>
      <c r="T3080" s="7" t="s">
        <v>185</v>
      </c>
      <c r="U3080" s="7" t="s">
        <v>247</v>
      </c>
      <c r="V3080" s="7"/>
      <c r="W3080" s="7">
        <v>299.62</v>
      </c>
      <c r="X3080" s="132">
        <f t="shared" si="329"/>
        <v>10</v>
      </c>
      <c r="Y3080" s="133"/>
      <c r="Z3080" s="133"/>
      <c r="AA3080" s="133"/>
    </row>
    <row r="3081" spans="1:27" hidden="1" x14ac:dyDescent="0.25">
      <c r="A3081" s="133"/>
      <c r="B3081" s="128" t="str">
        <f t="shared" si="324"/>
        <v>NAMS</v>
      </c>
      <c r="C3081" s="128" t="str">
        <f>+VLOOKUP(U3081,Ходим!A:B,2,0)</f>
        <v>30507995950053</v>
      </c>
      <c r="D3081" s="128" t="str">
        <f>IFERROR(VLOOKUP($B:$B,[20]свод!$A:$AB,3,0)," ")</f>
        <v>Наманган шаҳар</v>
      </c>
      <c r="E3081" s="7" t="s">
        <v>4213</v>
      </c>
      <c r="F3081" s="7" t="s">
        <v>10578</v>
      </c>
      <c r="G3081" s="134">
        <f t="shared" si="325"/>
        <v>1</v>
      </c>
      <c r="H3081" s="134" t="str">
        <f t="shared" si="326"/>
        <v/>
      </c>
      <c r="I3081" s="7" t="s">
        <v>158</v>
      </c>
      <c r="J3081" s="7" t="s">
        <v>12</v>
      </c>
      <c r="K3081" s="7"/>
      <c r="L3081" s="7" t="s">
        <v>167</v>
      </c>
      <c r="M3081" s="7" t="s">
        <v>6243</v>
      </c>
      <c r="N3081" s="7" t="s">
        <v>170</v>
      </c>
      <c r="O3081" s="7" t="s">
        <v>162</v>
      </c>
      <c r="P3081" s="7" t="s">
        <v>6461</v>
      </c>
      <c r="Q3081" s="129">
        <v>46199</v>
      </c>
      <c r="R3081" s="130">
        <f t="shared" si="327"/>
        <v>46205</v>
      </c>
      <c r="S3081" s="131">
        <f t="shared" si="328"/>
        <v>6</v>
      </c>
      <c r="T3081" s="7" t="s">
        <v>185</v>
      </c>
      <c r="U3081" s="7" t="s">
        <v>195</v>
      </c>
      <c r="V3081" s="7"/>
      <c r="W3081" s="7">
        <v>367.39</v>
      </c>
      <c r="X3081" s="132">
        <f t="shared" si="329"/>
        <v>10</v>
      </c>
      <c r="Y3081" s="133"/>
      <c r="Z3081" s="133"/>
      <c r="AA3081" s="133"/>
    </row>
    <row r="3082" spans="1:27" hidden="1" x14ac:dyDescent="0.25">
      <c r="A3082" s="133"/>
      <c r="B3082" s="128" t="str">
        <f t="shared" si="324"/>
        <v>NORT</v>
      </c>
      <c r="C3082" s="128" t="e">
        <f>+VLOOKUP(U3082,Ходим!A:B,2,0)</f>
        <v>#N/A</v>
      </c>
      <c r="D3082" s="128" t="str">
        <f>IFERROR(VLOOKUP($B:$B,[20]свод!$A:$AB,3,0)," ")</f>
        <v>Норин тумани</v>
      </c>
      <c r="E3082" s="7" t="s">
        <v>4214</v>
      </c>
      <c r="F3082" s="7" t="s">
        <v>10579</v>
      </c>
      <c r="G3082" s="134">
        <f t="shared" si="325"/>
        <v>1</v>
      </c>
      <c r="H3082" s="134" t="str">
        <f t="shared" si="326"/>
        <v/>
      </c>
      <c r="I3082" s="7" t="s">
        <v>158</v>
      </c>
      <c r="J3082" s="7" t="s">
        <v>2</v>
      </c>
      <c r="K3082" s="7"/>
      <c r="L3082" s="7" t="s">
        <v>167</v>
      </c>
      <c r="M3082" s="7" t="s">
        <v>6244</v>
      </c>
      <c r="N3082" s="7" t="s">
        <v>170</v>
      </c>
      <c r="O3082" s="7" t="s">
        <v>162</v>
      </c>
      <c r="P3082" s="7" t="s">
        <v>7537</v>
      </c>
      <c r="Q3082" s="129">
        <v>46199</v>
      </c>
      <c r="R3082" s="130">
        <f t="shared" si="327"/>
        <v>46210</v>
      </c>
      <c r="S3082" s="131">
        <f t="shared" si="328"/>
        <v>11</v>
      </c>
      <c r="T3082" s="7" t="s">
        <v>210</v>
      </c>
      <c r="U3082" s="7" t="s">
        <v>10637</v>
      </c>
      <c r="V3082" s="7"/>
      <c r="W3082" s="7">
        <v>7.68</v>
      </c>
      <c r="X3082" s="132">
        <f t="shared" si="329"/>
        <v>10</v>
      </c>
      <c r="Y3082" s="133"/>
      <c r="Z3082" s="133"/>
      <c r="AA3082" s="133"/>
    </row>
    <row r="3083" spans="1:27" hidden="1" x14ac:dyDescent="0.25">
      <c r="A3083" s="133"/>
      <c r="B3083" s="128" t="str">
        <f t="shared" si="324"/>
        <v>TORT</v>
      </c>
      <c r="C3083" s="128" t="str">
        <f>+VLOOKUP(U3083,Ходим!A:B,2,0)</f>
        <v>31609912130025</v>
      </c>
      <c r="D3083" s="128" t="str">
        <f>IFERROR(VLOOKUP($B:$B,[20]свод!$A:$AB,3,0)," ")</f>
        <v>Тўрақўрғон тумани</v>
      </c>
      <c r="E3083" s="7" t="s">
        <v>4215</v>
      </c>
      <c r="F3083" s="7" t="s">
        <v>10580</v>
      </c>
      <c r="G3083" s="134">
        <f t="shared" si="325"/>
        <v>1</v>
      </c>
      <c r="H3083" s="134" t="str">
        <f t="shared" si="326"/>
        <v/>
      </c>
      <c r="I3083" s="7" t="s">
        <v>156</v>
      </c>
      <c r="J3083" s="7" t="s">
        <v>25</v>
      </c>
      <c r="K3083" s="7"/>
      <c r="L3083" s="7"/>
      <c r="M3083" s="7"/>
      <c r="N3083" s="7" t="s">
        <v>170</v>
      </c>
      <c r="O3083" s="7" t="s">
        <v>162</v>
      </c>
      <c r="P3083" s="7" t="s">
        <v>7537</v>
      </c>
      <c r="Q3083" s="129">
        <v>46199</v>
      </c>
      <c r="R3083" s="130">
        <f t="shared" si="327"/>
        <v>46210</v>
      </c>
      <c r="S3083" s="131">
        <f t="shared" si="328"/>
        <v>11</v>
      </c>
      <c r="T3083" s="7" t="s">
        <v>203</v>
      </c>
      <c r="U3083" s="7" t="s">
        <v>280</v>
      </c>
      <c r="V3083" s="7"/>
      <c r="W3083" s="7"/>
      <c r="X3083" s="132">
        <f t="shared" si="329"/>
        <v>10</v>
      </c>
      <c r="Y3083" s="133"/>
      <c r="Z3083" s="133"/>
      <c r="AA3083" s="133"/>
    </row>
    <row r="3084" spans="1:27" hidden="1" x14ac:dyDescent="0.25">
      <c r="A3084" s="133"/>
      <c r="B3084" s="128" t="str">
        <f t="shared" si="324"/>
        <v>NAMS</v>
      </c>
      <c r="C3084" s="128" t="str">
        <f>+VLOOKUP(U3084,Ходим!A:B,2,0)</f>
        <v>51705025890024</v>
      </c>
      <c r="D3084" s="128" t="str">
        <f>IFERROR(VLOOKUP($B:$B,[20]свод!$A:$AB,3,0)," ")</f>
        <v>Наманган шаҳар</v>
      </c>
      <c r="E3084" s="7" t="s">
        <v>4216</v>
      </c>
      <c r="F3084" s="7" t="s">
        <v>10581</v>
      </c>
      <c r="G3084" s="134">
        <f t="shared" si="325"/>
        <v>1</v>
      </c>
      <c r="H3084" s="134" t="str">
        <f t="shared" si="326"/>
        <v/>
      </c>
      <c r="I3084" s="7" t="s">
        <v>158</v>
      </c>
      <c r="J3084" s="7" t="s">
        <v>2</v>
      </c>
      <c r="K3084" s="7"/>
      <c r="L3084" s="7"/>
      <c r="M3084" s="7"/>
      <c r="N3084" s="7" t="s">
        <v>170</v>
      </c>
      <c r="O3084" s="7" t="s">
        <v>162</v>
      </c>
      <c r="P3084" s="7" t="s">
        <v>6358</v>
      </c>
      <c r="Q3084" s="129">
        <v>46199</v>
      </c>
      <c r="R3084" s="130">
        <f t="shared" si="327"/>
        <v>46204</v>
      </c>
      <c r="S3084" s="131">
        <f t="shared" si="328"/>
        <v>5</v>
      </c>
      <c r="T3084" s="7" t="s">
        <v>173</v>
      </c>
      <c r="U3084" s="7" t="s">
        <v>189</v>
      </c>
      <c r="V3084" s="7"/>
      <c r="W3084" s="7"/>
      <c r="X3084" s="132">
        <f t="shared" si="329"/>
        <v>10</v>
      </c>
      <c r="Y3084" s="133"/>
      <c r="Z3084" s="133"/>
      <c r="AA3084" s="133"/>
    </row>
    <row r="3085" spans="1:27" hidden="1" x14ac:dyDescent="0.25">
      <c r="A3085" s="133"/>
      <c r="B3085" s="128" t="str">
        <f t="shared" si="324"/>
        <v>UYCT</v>
      </c>
      <c r="C3085" s="128" t="str">
        <f>+VLOOKUP(U3085,Ходим!A:B,2,0)</f>
        <v>52811025930077</v>
      </c>
      <c r="D3085" s="128" t="str">
        <f>IFERROR(VLOOKUP($B:$B,[20]свод!$A:$AB,3,0)," ")</f>
        <v>Уйчи тумани</v>
      </c>
      <c r="E3085" s="7" t="s">
        <v>4217</v>
      </c>
      <c r="F3085" s="7" t="s">
        <v>10582</v>
      </c>
      <c r="G3085" s="134">
        <f t="shared" si="325"/>
        <v>1</v>
      </c>
      <c r="H3085" s="134" t="str">
        <f t="shared" si="326"/>
        <v/>
      </c>
      <c r="I3085" s="7" t="s">
        <v>156</v>
      </c>
      <c r="J3085" s="7" t="s">
        <v>25</v>
      </c>
      <c r="K3085" s="7"/>
      <c r="L3085" s="7"/>
      <c r="M3085" s="7"/>
      <c r="N3085" s="7" t="s">
        <v>170</v>
      </c>
      <c r="O3085" s="7" t="s">
        <v>162</v>
      </c>
      <c r="P3085" s="7" t="s">
        <v>7538</v>
      </c>
      <c r="Q3085" s="129">
        <v>46199</v>
      </c>
      <c r="R3085" s="130">
        <f t="shared" si="327"/>
        <v>46210</v>
      </c>
      <c r="S3085" s="131">
        <f t="shared" si="328"/>
        <v>11</v>
      </c>
      <c r="T3085" s="7" t="s">
        <v>947</v>
      </c>
      <c r="U3085" s="7" t="s">
        <v>356</v>
      </c>
      <c r="V3085" s="7"/>
      <c r="W3085" s="7"/>
      <c r="X3085" s="132">
        <f t="shared" si="329"/>
        <v>10</v>
      </c>
      <c r="Y3085" s="133"/>
      <c r="Z3085" s="133"/>
      <c r="AA3085" s="133"/>
    </row>
    <row r="3086" spans="1:27" hidden="1" x14ac:dyDescent="0.25">
      <c r="A3086" s="133"/>
      <c r="B3086" s="128" t="str">
        <f t="shared" si="324"/>
        <v>NAMS</v>
      </c>
      <c r="C3086" s="128" t="str">
        <f>+VLOOKUP(U3086,Ходим!A:B,2,0)</f>
        <v>31007955980023</v>
      </c>
      <c r="D3086" s="128" t="str">
        <f>IFERROR(VLOOKUP($B:$B,[20]свод!$A:$AB,3,0)," ")</f>
        <v>Наманган шаҳар</v>
      </c>
      <c r="E3086" s="7" t="s">
        <v>4218</v>
      </c>
      <c r="F3086" s="7" t="s">
        <v>10583</v>
      </c>
      <c r="G3086" s="134">
        <f t="shared" si="325"/>
        <v>1</v>
      </c>
      <c r="H3086" s="134" t="str">
        <f t="shared" si="326"/>
        <v/>
      </c>
      <c r="I3086" s="7" t="s">
        <v>156</v>
      </c>
      <c r="J3086" s="7" t="s">
        <v>25</v>
      </c>
      <c r="K3086" s="7"/>
      <c r="L3086" s="7"/>
      <c r="M3086" s="7"/>
      <c r="N3086" s="7" t="s">
        <v>170</v>
      </c>
      <c r="O3086" s="7" t="s">
        <v>162</v>
      </c>
      <c r="P3086" s="7" t="s">
        <v>7538</v>
      </c>
      <c r="Q3086" s="129">
        <v>46199</v>
      </c>
      <c r="R3086" s="130">
        <f t="shared" si="327"/>
        <v>46210</v>
      </c>
      <c r="S3086" s="131">
        <f t="shared" si="328"/>
        <v>11</v>
      </c>
      <c r="T3086" s="7" t="s">
        <v>173</v>
      </c>
      <c r="U3086" s="7" t="s">
        <v>207</v>
      </c>
      <c r="V3086" s="7"/>
      <c r="W3086" s="7"/>
      <c r="X3086" s="132">
        <f t="shared" si="329"/>
        <v>10</v>
      </c>
      <c r="Y3086" s="133"/>
      <c r="Z3086" s="133"/>
      <c r="AA3086" s="133"/>
    </row>
    <row r="3087" spans="1:27" hidden="1" x14ac:dyDescent="0.25">
      <c r="A3087" s="133"/>
      <c r="B3087" s="128" t="str">
        <f t="shared" si="324"/>
        <v>CHUT</v>
      </c>
      <c r="C3087" s="128" t="str">
        <f>+VLOOKUP(U3087,Ходим!A:B,2,0)</f>
        <v>30901882180031</v>
      </c>
      <c r="D3087" s="128" t="str">
        <f>IFERROR(VLOOKUP($B:$B,[20]свод!$A:$AB,3,0)," ")</f>
        <v>Чуст тумани</v>
      </c>
      <c r="E3087" s="7" t="s">
        <v>4219</v>
      </c>
      <c r="F3087" s="7" t="s">
        <v>10584</v>
      </c>
      <c r="G3087" s="134">
        <f t="shared" si="325"/>
        <v>1</v>
      </c>
      <c r="H3087" s="134" t="str">
        <f t="shared" si="326"/>
        <v/>
      </c>
      <c r="I3087" s="7" t="s">
        <v>158</v>
      </c>
      <c r="J3087" s="7" t="s">
        <v>2</v>
      </c>
      <c r="K3087" s="7"/>
      <c r="L3087" s="7" t="s">
        <v>167</v>
      </c>
      <c r="M3087" s="7" t="s">
        <v>6245</v>
      </c>
      <c r="N3087" s="7" t="s">
        <v>170</v>
      </c>
      <c r="O3087" s="7" t="s">
        <v>162</v>
      </c>
      <c r="P3087" s="7" t="s">
        <v>7539</v>
      </c>
      <c r="Q3087" s="129">
        <v>46199</v>
      </c>
      <c r="R3087" s="130">
        <f t="shared" si="327"/>
        <v>46210</v>
      </c>
      <c r="S3087" s="131">
        <f t="shared" si="328"/>
        <v>11</v>
      </c>
      <c r="T3087" s="7" t="s">
        <v>178</v>
      </c>
      <c r="U3087" s="7" t="s">
        <v>238</v>
      </c>
      <c r="V3087" s="7"/>
      <c r="W3087" s="7">
        <v>196</v>
      </c>
      <c r="X3087" s="132">
        <f t="shared" si="329"/>
        <v>10</v>
      </c>
      <c r="Y3087" s="133"/>
      <c r="Z3087" s="133"/>
      <c r="AA3087" s="133"/>
    </row>
    <row r="3088" spans="1:27" x14ac:dyDescent="0.25">
      <c r="A3088" s="133"/>
      <c r="B3088" s="128" t="str">
        <f t="shared" si="324"/>
        <v>UYCT</v>
      </c>
      <c r="C3088" s="128" t="str">
        <f>+VLOOKUP(U3088,Ходим!A:B,2,0)</f>
        <v>30309975930028</v>
      </c>
      <c r="D3088" s="128" t="str">
        <f>IFERROR(VLOOKUP($B:$B,[20]свод!$A:$AB,3,0)," ")</f>
        <v>Уйчи тумани</v>
      </c>
      <c r="E3088" s="7" t="s">
        <v>4220</v>
      </c>
      <c r="F3088" s="7" t="s">
        <v>10585</v>
      </c>
      <c r="G3088" s="134">
        <f t="shared" si="325"/>
        <v>1</v>
      </c>
      <c r="H3088" s="134" t="str">
        <f t="shared" si="326"/>
        <v/>
      </c>
      <c r="I3088" s="7" t="s">
        <v>158</v>
      </c>
      <c r="J3088" s="7" t="s">
        <v>36</v>
      </c>
      <c r="K3088" s="7"/>
      <c r="L3088" s="7" t="s">
        <v>167</v>
      </c>
      <c r="M3088" s="7" t="s">
        <v>6246</v>
      </c>
      <c r="N3088" s="7" t="s">
        <v>170</v>
      </c>
      <c r="O3088" s="7" t="s">
        <v>162</v>
      </c>
      <c r="P3088" s="7" t="s">
        <v>7540</v>
      </c>
      <c r="Q3088" s="129">
        <v>46199</v>
      </c>
      <c r="R3088" s="130">
        <f t="shared" si="327"/>
        <v>46198</v>
      </c>
      <c r="S3088" s="131">
        <f t="shared" si="328"/>
        <v>-1</v>
      </c>
      <c r="T3088" s="7" t="s">
        <v>947</v>
      </c>
      <c r="U3088" s="7" t="s">
        <v>261</v>
      </c>
      <c r="V3088" s="7"/>
      <c r="W3088" s="7">
        <v>0</v>
      </c>
      <c r="X3088" s="132">
        <f t="shared" si="329"/>
        <v>10</v>
      </c>
      <c r="Y3088" s="133"/>
      <c r="Z3088" s="133"/>
      <c r="AA3088" s="133"/>
    </row>
    <row r="3089" spans="1:27" x14ac:dyDescent="0.25">
      <c r="A3089" s="133"/>
      <c r="B3089" s="128" t="str">
        <f t="shared" si="324"/>
        <v>POPT</v>
      </c>
      <c r="C3089" s="128" t="str">
        <f>+VLOOKUP(U3089,Ходим!A:B,2,0)</f>
        <v>31710772120029</v>
      </c>
      <c r="D3089" s="128" t="str">
        <f>IFERROR(VLOOKUP($B:$B,[20]свод!$A:$AB,3,0)," ")</f>
        <v>Поп тумани</v>
      </c>
      <c r="E3089" s="7" t="s">
        <v>4221</v>
      </c>
      <c r="F3089" s="7"/>
      <c r="G3089" s="134">
        <f t="shared" si="325"/>
        <v>1</v>
      </c>
      <c r="H3089" s="134" t="str">
        <f t="shared" si="326"/>
        <v/>
      </c>
      <c r="I3089" s="7" t="s">
        <v>154</v>
      </c>
      <c r="J3089" s="7" t="s">
        <v>145</v>
      </c>
      <c r="K3089" s="7"/>
      <c r="L3089" s="7" t="s">
        <v>167</v>
      </c>
      <c r="M3089" s="7" t="s">
        <v>6247</v>
      </c>
      <c r="N3089" s="7" t="s">
        <v>368</v>
      </c>
      <c r="O3089" s="7"/>
      <c r="P3089" s="7" t="s">
        <v>7541</v>
      </c>
      <c r="Q3089" s="129">
        <v>46199</v>
      </c>
      <c r="R3089" s="130">
        <f t="shared" si="327"/>
        <v>46199</v>
      </c>
      <c r="S3089" s="131">
        <f t="shared" si="328"/>
        <v>0</v>
      </c>
      <c r="T3089" s="7" t="s">
        <v>214</v>
      </c>
      <c r="U3089" s="7" t="s">
        <v>357</v>
      </c>
      <c r="V3089" s="7" t="s">
        <v>965</v>
      </c>
      <c r="W3089" s="7">
        <v>273.10000000000002</v>
      </c>
      <c r="X3089" s="132">
        <f t="shared" si="329"/>
        <v>5</v>
      </c>
      <c r="Y3089" s="133"/>
      <c r="Z3089" s="133"/>
      <c r="AA3089" s="133"/>
    </row>
    <row r="3090" spans="1:27" hidden="1" x14ac:dyDescent="0.25">
      <c r="A3090" s="133"/>
      <c r="B3090" s="128" t="str">
        <f t="shared" si="324"/>
        <v>NAMS</v>
      </c>
      <c r="C3090" s="128" t="str">
        <f>+VLOOKUP(U3090,Ходим!A:B,2,0)</f>
        <v>31007955980023</v>
      </c>
      <c r="D3090" s="128" t="str">
        <f>IFERROR(VLOOKUP($B:$B,[20]свод!$A:$AB,3,0)," ")</f>
        <v>Наманган шаҳар</v>
      </c>
      <c r="E3090" s="7" t="s">
        <v>4222</v>
      </c>
      <c r="F3090" s="7" t="s">
        <v>10586</v>
      </c>
      <c r="G3090" s="134">
        <f t="shared" si="325"/>
        <v>1</v>
      </c>
      <c r="H3090" s="134" t="str">
        <f t="shared" si="326"/>
        <v/>
      </c>
      <c r="I3090" s="7" t="s">
        <v>156</v>
      </c>
      <c r="J3090" s="7" t="s">
        <v>25</v>
      </c>
      <c r="K3090" s="7"/>
      <c r="L3090" s="7" t="s">
        <v>167</v>
      </c>
      <c r="M3090" s="7" t="s">
        <v>6248</v>
      </c>
      <c r="N3090" s="7" t="s">
        <v>170</v>
      </c>
      <c r="O3090" s="7" t="s">
        <v>162</v>
      </c>
      <c r="P3090" s="7" t="s">
        <v>7542</v>
      </c>
      <c r="Q3090" s="129">
        <v>46199</v>
      </c>
      <c r="R3090" s="130">
        <f t="shared" si="327"/>
        <v>46210</v>
      </c>
      <c r="S3090" s="131">
        <f t="shared" si="328"/>
        <v>11</v>
      </c>
      <c r="T3090" s="7" t="s">
        <v>173</v>
      </c>
      <c r="U3090" s="7" t="s">
        <v>207</v>
      </c>
      <c r="V3090" s="7"/>
      <c r="W3090" s="7">
        <v>269.35000000000002</v>
      </c>
      <c r="X3090" s="132">
        <f t="shared" si="329"/>
        <v>10</v>
      </c>
      <c r="Y3090" s="133"/>
      <c r="Z3090" s="133"/>
      <c r="AA3090" s="133"/>
    </row>
    <row r="3091" spans="1:27" hidden="1" x14ac:dyDescent="0.25">
      <c r="A3091" s="133"/>
      <c r="B3091" s="128" t="str">
        <f t="shared" si="324"/>
        <v>NORT</v>
      </c>
      <c r="C3091" s="128" t="str">
        <f>+VLOOKUP(U3091,Ходим!A:B,2,0)</f>
        <v>40601902150077</v>
      </c>
      <c r="D3091" s="128" t="str">
        <f>IFERROR(VLOOKUP($B:$B,[20]свод!$A:$AB,3,0)," ")</f>
        <v>Норин тумани</v>
      </c>
      <c r="E3091" s="7" t="s">
        <v>4223</v>
      </c>
      <c r="F3091" s="7" t="s">
        <v>10587</v>
      </c>
      <c r="G3091" s="134" t="str">
        <f t="shared" si="325"/>
        <v/>
      </c>
      <c r="H3091" s="134">
        <f t="shared" si="326"/>
        <v>1</v>
      </c>
      <c r="I3091" s="7" t="s">
        <v>154</v>
      </c>
      <c r="J3091" s="7" t="s">
        <v>2</v>
      </c>
      <c r="K3091" s="7"/>
      <c r="L3091" s="7"/>
      <c r="M3091" s="7"/>
      <c r="N3091" s="7" t="s">
        <v>410</v>
      </c>
      <c r="O3091" s="7" t="s">
        <v>161</v>
      </c>
      <c r="P3091" s="7" t="s">
        <v>7542</v>
      </c>
      <c r="Q3091" s="129">
        <v>46199</v>
      </c>
      <c r="R3091" s="130">
        <f t="shared" si="327"/>
        <v>46210</v>
      </c>
      <c r="S3091" s="131">
        <f t="shared" si="328"/>
        <v>11</v>
      </c>
      <c r="T3091" s="7" t="s">
        <v>210</v>
      </c>
      <c r="U3091" s="7" t="s">
        <v>249</v>
      </c>
      <c r="V3091" s="7"/>
      <c r="W3091" s="7"/>
      <c r="X3091" s="132">
        <f t="shared" si="329"/>
        <v>10</v>
      </c>
      <c r="Y3091" s="133"/>
      <c r="Z3091" s="133"/>
      <c r="AA3091" s="133"/>
    </row>
    <row r="3092" spans="1:27" hidden="1" x14ac:dyDescent="0.25">
      <c r="A3092" s="133"/>
      <c r="B3092" s="128" t="str">
        <f t="shared" si="324"/>
        <v>POPT</v>
      </c>
      <c r="C3092" s="128" t="str">
        <f>+VLOOKUP(U3092,Ходим!A:B,2,0)</f>
        <v>50608025910024</v>
      </c>
      <c r="D3092" s="128" t="str">
        <f>IFERROR(VLOOKUP($B:$B,[20]свод!$A:$AB,3,0)," ")</f>
        <v>Поп тумани</v>
      </c>
      <c r="E3092" s="7" t="s">
        <v>4224</v>
      </c>
      <c r="F3092" s="7" t="s">
        <v>10588</v>
      </c>
      <c r="G3092" s="134">
        <f t="shared" si="325"/>
        <v>1</v>
      </c>
      <c r="H3092" s="134" t="str">
        <f t="shared" si="326"/>
        <v/>
      </c>
      <c r="I3092" s="7" t="s">
        <v>156</v>
      </c>
      <c r="J3092" s="7" t="s">
        <v>25</v>
      </c>
      <c r="K3092" s="7"/>
      <c r="L3092" s="7"/>
      <c r="M3092" s="7"/>
      <c r="N3092" s="7" t="s">
        <v>410</v>
      </c>
      <c r="O3092" s="7" t="s">
        <v>162</v>
      </c>
      <c r="P3092" s="7" t="s">
        <v>7542</v>
      </c>
      <c r="Q3092" s="129">
        <v>46199</v>
      </c>
      <c r="R3092" s="130">
        <f t="shared" si="327"/>
        <v>46210</v>
      </c>
      <c r="S3092" s="131">
        <f t="shared" si="328"/>
        <v>11</v>
      </c>
      <c r="T3092" s="7" t="s">
        <v>214</v>
      </c>
      <c r="U3092" s="7" t="s">
        <v>283</v>
      </c>
      <c r="V3092" s="7"/>
      <c r="W3092" s="7"/>
      <c r="X3092" s="132">
        <f t="shared" si="329"/>
        <v>10</v>
      </c>
      <c r="Y3092" s="133"/>
      <c r="Z3092" s="133"/>
      <c r="AA3092" s="133"/>
    </row>
    <row r="3093" spans="1:27" hidden="1" x14ac:dyDescent="0.25">
      <c r="A3093" s="133"/>
      <c r="B3093" s="128" t="str">
        <f t="shared" si="324"/>
        <v>NAMS</v>
      </c>
      <c r="C3093" s="128" t="str">
        <f>+VLOOKUP(U3093,Ходим!A:B,2,0)</f>
        <v>32207925880019</v>
      </c>
      <c r="D3093" s="128" t="str">
        <f>IFERROR(VLOOKUP($B:$B,[20]свод!$A:$AB,3,0)," ")</f>
        <v>Наманган шаҳар</v>
      </c>
      <c r="E3093" s="7" t="s">
        <v>4225</v>
      </c>
      <c r="F3093" s="7" t="s">
        <v>10589</v>
      </c>
      <c r="G3093" s="134" t="str">
        <f t="shared" si="325"/>
        <v/>
      </c>
      <c r="H3093" s="134">
        <f t="shared" si="326"/>
        <v>1</v>
      </c>
      <c r="I3093" s="7" t="s">
        <v>155</v>
      </c>
      <c r="J3093" s="7" t="s">
        <v>25</v>
      </c>
      <c r="K3093" s="7"/>
      <c r="L3093" s="7" t="s">
        <v>166</v>
      </c>
      <c r="M3093" s="7" t="s">
        <v>6249</v>
      </c>
      <c r="N3093" s="7" t="s">
        <v>170</v>
      </c>
      <c r="O3093" s="7" t="s">
        <v>161</v>
      </c>
      <c r="P3093" s="7" t="s">
        <v>7542</v>
      </c>
      <c r="Q3093" s="129">
        <v>46199</v>
      </c>
      <c r="R3093" s="130">
        <f t="shared" si="327"/>
        <v>46210</v>
      </c>
      <c r="S3093" s="131">
        <f t="shared" si="328"/>
        <v>11</v>
      </c>
      <c r="T3093" s="7" t="s">
        <v>185</v>
      </c>
      <c r="U3093" s="7" t="s">
        <v>174</v>
      </c>
      <c r="V3093" s="7"/>
      <c r="W3093" s="7">
        <v>0</v>
      </c>
      <c r="X3093" s="132">
        <f t="shared" si="329"/>
        <v>10</v>
      </c>
      <c r="Y3093" s="133"/>
      <c r="Z3093" s="133"/>
      <c r="AA3093" s="133"/>
    </row>
    <row r="3094" spans="1:27" hidden="1" x14ac:dyDescent="0.25">
      <c r="A3094" s="133"/>
      <c r="B3094" s="128" t="str">
        <f t="shared" si="324"/>
        <v>KSST</v>
      </c>
      <c r="C3094" s="128" t="e">
        <f>+VLOOKUP(U3094,Ходим!A:B,2,0)</f>
        <v>#N/A</v>
      </c>
      <c r="D3094" s="128" t="str">
        <f>IFERROR(VLOOKUP($B:$B,[20]свод!$A:$AB,3,0)," ")</f>
        <v>Косонсой тумани</v>
      </c>
      <c r="E3094" s="7" t="s">
        <v>4226</v>
      </c>
      <c r="F3094" s="7" t="s">
        <v>10590</v>
      </c>
      <c r="G3094" s="134">
        <f t="shared" si="325"/>
        <v>1</v>
      </c>
      <c r="H3094" s="134" t="str">
        <f t="shared" si="326"/>
        <v/>
      </c>
      <c r="I3094" s="7" t="s">
        <v>158</v>
      </c>
      <c r="J3094" s="7" t="s">
        <v>172</v>
      </c>
      <c r="K3094" s="7"/>
      <c r="L3094" s="7" t="s">
        <v>167</v>
      </c>
      <c r="M3094" s="7" t="s">
        <v>6250</v>
      </c>
      <c r="N3094" s="7" t="s">
        <v>170</v>
      </c>
      <c r="O3094" s="7" t="s">
        <v>162</v>
      </c>
      <c r="P3094" s="7" t="s">
        <v>7543</v>
      </c>
      <c r="Q3094" s="129">
        <v>46199</v>
      </c>
      <c r="R3094" s="130">
        <f t="shared" si="327"/>
        <v>46210</v>
      </c>
      <c r="S3094" s="131">
        <f t="shared" si="328"/>
        <v>11</v>
      </c>
      <c r="T3094" s="7" t="s">
        <v>180</v>
      </c>
      <c r="U3094" s="7" t="s">
        <v>10634</v>
      </c>
      <c r="V3094" s="7"/>
      <c r="W3094" s="7">
        <v>118.5</v>
      </c>
      <c r="X3094" s="132">
        <f t="shared" si="329"/>
        <v>10</v>
      </c>
      <c r="Y3094" s="133"/>
      <c r="Z3094" s="133"/>
      <c r="AA3094" s="133"/>
    </row>
    <row r="3095" spans="1:27" hidden="1" x14ac:dyDescent="0.25">
      <c r="A3095" s="133"/>
      <c r="B3095" s="128" t="str">
        <f t="shared" si="324"/>
        <v>KSST</v>
      </c>
      <c r="C3095" s="128" t="str">
        <f>+VLOOKUP(U3095,Ходим!A:B,2,0)</f>
        <v>50709025980034</v>
      </c>
      <c r="D3095" s="128" t="str">
        <f>IFERROR(VLOOKUP($B:$B,[20]свод!$A:$AB,3,0)," ")</f>
        <v>Косонсой тумани</v>
      </c>
      <c r="E3095" s="7" t="s">
        <v>4227</v>
      </c>
      <c r="F3095" s="7" t="s">
        <v>10591</v>
      </c>
      <c r="G3095" s="134">
        <f t="shared" si="325"/>
        <v>1</v>
      </c>
      <c r="H3095" s="134" t="str">
        <f t="shared" si="326"/>
        <v/>
      </c>
      <c r="I3095" s="7" t="s">
        <v>158</v>
      </c>
      <c r="J3095" s="7" t="s">
        <v>172</v>
      </c>
      <c r="K3095" s="7"/>
      <c r="L3095" s="7" t="s">
        <v>167</v>
      </c>
      <c r="M3095" s="7" t="s">
        <v>6251</v>
      </c>
      <c r="N3095" s="7" t="s">
        <v>170</v>
      </c>
      <c r="O3095" s="7" t="s">
        <v>162</v>
      </c>
      <c r="P3095" s="7" t="s">
        <v>7543</v>
      </c>
      <c r="Q3095" s="129">
        <v>46199</v>
      </c>
      <c r="R3095" s="130">
        <f t="shared" si="327"/>
        <v>46210</v>
      </c>
      <c r="S3095" s="131">
        <f t="shared" si="328"/>
        <v>11</v>
      </c>
      <c r="T3095" s="7" t="s">
        <v>180</v>
      </c>
      <c r="U3095" s="7" t="s">
        <v>286</v>
      </c>
      <c r="V3095" s="7"/>
      <c r="W3095" s="7">
        <v>393.17</v>
      </c>
      <c r="X3095" s="132">
        <f t="shared" si="329"/>
        <v>10</v>
      </c>
      <c r="Y3095" s="133"/>
      <c r="Z3095" s="133"/>
      <c r="AA3095" s="133"/>
    </row>
    <row r="3096" spans="1:27" hidden="1" x14ac:dyDescent="0.25">
      <c r="A3096" s="133"/>
      <c r="B3096" s="128" t="str">
        <f t="shared" si="324"/>
        <v>NAMS</v>
      </c>
      <c r="C3096" s="128" t="str">
        <f>+VLOOKUP(U3096,Ходим!A:B,2,0)</f>
        <v>33012942170121</v>
      </c>
      <c r="D3096" s="128" t="str">
        <f>IFERROR(VLOOKUP($B:$B,[20]свод!$A:$AB,3,0)," ")</f>
        <v>Наманган шаҳар</v>
      </c>
      <c r="E3096" s="7" t="s">
        <v>4228</v>
      </c>
      <c r="F3096" s="7" t="s">
        <v>10592</v>
      </c>
      <c r="G3096" s="134">
        <f t="shared" si="325"/>
        <v>1</v>
      </c>
      <c r="H3096" s="134" t="str">
        <f t="shared" si="326"/>
        <v/>
      </c>
      <c r="I3096" s="7" t="s">
        <v>156</v>
      </c>
      <c r="J3096" s="7" t="s">
        <v>25</v>
      </c>
      <c r="K3096" s="7"/>
      <c r="L3096" s="7"/>
      <c r="M3096" s="7"/>
      <c r="N3096" s="7" t="s">
        <v>170</v>
      </c>
      <c r="O3096" s="7" t="s">
        <v>162</v>
      </c>
      <c r="P3096" s="7" t="s">
        <v>7543</v>
      </c>
      <c r="Q3096" s="129">
        <v>46199</v>
      </c>
      <c r="R3096" s="130">
        <f t="shared" si="327"/>
        <v>46210</v>
      </c>
      <c r="S3096" s="131">
        <f t="shared" si="328"/>
        <v>11</v>
      </c>
      <c r="T3096" s="7" t="s">
        <v>173</v>
      </c>
      <c r="U3096" s="7" t="s">
        <v>259</v>
      </c>
      <c r="V3096" s="7"/>
      <c r="W3096" s="7"/>
      <c r="X3096" s="132">
        <f t="shared" si="329"/>
        <v>10</v>
      </c>
      <c r="Y3096" s="133"/>
      <c r="Z3096" s="133"/>
      <c r="AA3096" s="133"/>
    </row>
    <row r="3097" spans="1:27" hidden="1" x14ac:dyDescent="0.25">
      <c r="A3097" s="133"/>
      <c r="B3097" s="128" t="str">
        <f t="shared" si="324"/>
        <v>KSST</v>
      </c>
      <c r="C3097" s="128" t="e">
        <f>+VLOOKUP(U3097,Ходим!A:B,2,0)</f>
        <v>#N/A</v>
      </c>
      <c r="D3097" s="128" t="str">
        <f>IFERROR(VLOOKUP($B:$B,[20]свод!$A:$AB,3,0)," ")</f>
        <v>Косонсой тумани</v>
      </c>
      <c r="E3097" s="7" t="s">
        <v>4229</v>
      </c>
      <c r="F3097" s="7" t="s">
        <v>10593</v>
      </c>
      <c r="G3097" s="134">
        <f t="shared" si="325"/>
        <v>1</v>
      </c>
      <c r="H3097" s="134" t="str">
        <f t="shared" si="326"/>
        <v/>
      </c>
      <c r="I3097" s="7" t="s">
        <v>158</v>
      </c>
      <c r="J3097" s="7" t="s">
        <v>2</v>
      </c>
      <c r="K3097" s="7"/>
      <c r="L3097" s="7" t="s">
        <v>167</v>
      </c>
      <c r="M3097" s="7" t="s">
        <v>6252</v>
      </c>
      <c r="N3097" s="7" t="s">
        <v>170</v>
      </c>
      <c r="O3097" s="7" t="s">
        <v>162</v>
      </c>
      <c r="P3097" s="7" t="s">
        <v>7543</v>
      </c>
      <c r="Q3097" s="129">
        <v>46199</v>
      </c>
      <c r="R3097" s="130">
        <f t="shared" si="327"/>
        <v>46210</v>
      </c>
      <c r="S3097" s="131">
        <f t="shared" si="328"/>
        <v>11</v>
      </c>
      <c r="T3097" s="7" t="s">
        <v>180</v>
      </c>
      <c r="U3097" s="7" t="s">
        <v>10634</v>
      </c>
      <c r="V3097" s="7"/>
      <c r="W3097" s="7">
        <v>60</v>
      </c>
      <c r="X3097" s="132">
        <f t="shared" si="329"/>
        <v>10</v>
      </c>
      <c r="Y3097" s="133"/>
      <c r="Z3097" s="133"/>
      <c r="AA3097" s="133"/>
    </row>
    <row r="3098" spans="1:27" hidden="1" x14ac:dyDescent="0.25">
      <c r="A3098" s="133"/>
      <c r="B3098" s="128" t="str">
        <f t="shared" si="324"/>
        <v>NAMT</v>
      </c>
      <c r="C3098" s="128" t="str">
        <f>+VLOOKUP(U3098,Ходим!A:B,2,0)</f>
        <v>31702942090041</v>
      </c>
      <c r="D3098" s="128" t="str">
        <f>IFERROR(VLOOKUP($B:$B,[20]свод!$A:$AB,3,0)," ")</f>
        <v>Наманган тумани</v>
      </c>
      <c r="E3098" s="7" t="s">
        <v>4230</v>
      </c>
      <c r="F3098" s="7" t="s">
        <v>10594</v>
      </c>
      <c r="G3098" s="134">
        <f t="shared" si="325"/>
        <v>1</v>
      </c>
      <c r="H3098" s="134" t="str">
        <f t="shared" si="326"/>
        <v/>
      </c>
      <c r="I3098" s="7" t="s">
        <v>158</v>
      </c>
      <c r="J3098" s="7" t="s">
        <v>2</v>
      </c>
      <c r="K3098" s="7"/>
      <c r="L3098" s="7" t="s">
        <v>167</v>
      </c>
      <c r="M3098" s="7" t="s">
        <v>6253</v>
      </c>
      <c r="N3098" s="7" t="s">
        <v>170</v>
      </c>
      <c r="O3098" s="7" t="s">
        <v>162</v>
      </c>
      <c r="P3098" s="7" t="s">
        <v>7544</v>
      </c>
      <c r="Q3098" s="129">
        <v>46199</v>
      </c>
      <c r="R3098" s="130">
        <f t="shared" si="327"/>
        <v>46210</v>
      </c>
      <c r="S3098" s="131">
        <f t="shared" si="328"/>
        <v>11</v>
      </c>
      <c r="T3098" s="7" t="s">
        <v>193</v>
      </c>
      <c r="U3098" s="7" t="s">
        <v>194</v>
      </c>
      <c r="V3098" s="7"/>
      <c r="W3098" s="7">
        <v>995.41</v>
      </c>
      <c r="X3098" s="132">
        <f t="shared" si="329"/>
        <v>10</v>
      </c>
      <c r="Y3098" s="133"/>
      <c r="Z3098" s="133"/>
      <c r="AA3098" s="133"/>
    </row>
    <row r="3099" spans="1:27" hidden="1" x14ac:dyDescent="0.25">
      <c r="A3099" s="133"/>
      <c r="B3099" s="128" t="str">
        <f t="shared" ref="B3099:B3128" si="330">LEFT(E3099,4)</f>
        <v>KSST</v>
      </c>
      <c r="C3099" s="128" t="str">
        <f>+VLOOKUP(U3099,Ходим!A:B,2,0)</f>
        <v>31611995980026</v>
      </c>
      <c r="D3099" s="128" t="str">
        <f>IFERROR(VLOOKUP($B:$B,[20]свод!$A:$AB,3,0)," ")</f>
        <v>Косонсой тумани</v>
      </c>
      <c r="E3099" s="7" t="s">
        <v>4231</v>
      </c>
      <c r="F3099" s="7" t="s">
        <v>10595</v>
      </c>
      <c r="G3099" s="134">
        <f t="shared" ref="G3099:G3128" si="331">IF(OR(
I3099="Turar joy obyektning kadastr pasportini shakllantirish va davlat ro'yxatidan o'tkazish",
I3099="Turar kompozit"
),
1,
IF(OR(
I3099="Noturar kompozit",
I3099="Avtoyo'l va suv xo'jaligi obyektining kadastr pasportini shakllantirish va ro'yxatga olish",
I3099="Noturar obyektning kadastr pasportining kadastr pasportini shakllantirish va davlat ro'yxatidan o'tkazish"
),
"",
IF(OR(
I3099="Notarius uchun ma'lumotnoma (uz)",
I3099="Qurilishi tugallangan ko'chmas mulkni foydalanishga qabul qilish",
I3099="Umumiy foydalanishdagi ko'chmas mulk qismini yaratish",
I3099="Registratsiya (tashqi - UZKAD da bor)"
),
IF(OR(L3099="Turar yer maydoni",L3099="Yakka tartibdagi turar joy"),1,
IF(L3099="Noturar bino","",
IF(L3099="Noturar yer maydoni","",
IF(L3099="",IF(OR(O3099="Turar joy xizmati",O3099="Foydalanishga ruxsatnoma berish xizmati"),1,""),"")
))),
"")))</f>
        <v>1</v>
      </c>
      <c r="H3099" s="134" t="str">
        <f t="shared" ref="H3099:H3128" si="332">IF(OR(
I3099="Turar joy obyektning kadastr pasportini shakllantirish va davlat ro'yxatidan o'tkazish",
I3099="Turar kompozit"
),
"",
IF(OR(
I3099="Noturar kompozit",
I3099="Avtoyo'l va suv xo'jaligi obyektining kadastr pasportini shakllantirish va ro'yxatga olish",
I3099="Noturar obyektning kadastr pasportini shakllantirish va davlat ro'yxatidan o'tkazish"
),
1,
IF(OR(
I3099="Notarius uchun ma'lumotnoma (uz)",
I3099="Qurilishi tugallangan ko'chmas mulkni foydalanishga qabul qilish",
I3099="Umumiy foydalanishdagi ko'chmas mulk qismini yaratish",
I3099="Registratsiya (tashqi - UZKAD da bor)"
),
IF(OR(L3099="Turar yer maydoni",L3099="Yakka tartibdagi turar joy"),"",
IF(L3099="Noturar bino",1,
IF(L3099="Noturar yer maydoni",1,
IF(L3099="",IF(OR(O3099="Turar joy xizmati",O3099="Foydalanishga ruxsatnoma berish xizmati"),"",1),"")
))),
"")))</f>
        <v/>
      </c>
      <c r="I3099" s="7" t="s">
        <v>158</v>
      </c>
      <c r="J3099" s="7" t="s">
        <v>2</v>
      </c>
      <c r="K3099" s="7"/>
      <c r="L3099" s="7" t="s">
        <v>167</v>
      </c>
      <c r="M3099" s="7" t="s">
        <v>6254</v>
      </c>
      <c r="N3099" s="7" t="s">
        <v>170</v>
      </c>
      <c r="O3099" s="7" t="s">
        <v>162</v>
      </c>
      <c r="P3099" s="7" t="s">
        <v>7544</v>
      </c>
      <c r="Q3099" s="129">
        <v>46199</v>
      </c>
      <c r="R3099" s="130">
        <f t="shared" ref="R3099:R3128" si="333">WORKDAY(P3099,X3099,$Y$1:$AA$1)</f>
        <v>46210</v>
      </c>
      <c r="S3099" s="131">
        <f t="shared" ref="S3099:S3128" si="334">R3099-Q3099</f>
        <v>11</v>
      </c>
      <c r="T3099" s="7" t="s">
        <v>180</v>
      </c>
      <c r="U3099" s="7" t="s">
        <v>181</v>
      </c>
      <c r="V3099" s="7"/>
      <c r="W3099" s="7">
        <v>0</v>
      </c>
      <c r="X3099" s="132">
        <f t="shared" ref="X3099:X3128" si="335">IF(N3099="Kadastr muhandisi",3,
IF(N3099="UZKAD",5,
IF(V3099="FREE",5,
IF(I3099="Registratsiya (tashqi - UZKAD da bor)",1,
IF(I3099="Avtoyo'l va suv xo'jaligi obyektining kadastr pasportini shakllantirish va ro'yxatga olish",7,
IF(I3099="Notarius uchun ma'lumotnoma (uz)",1,
IF(I3099="Qurilishi tugallangan ko'chmas mulkni foydalanishga qabul qilish",10,
IF(OR(I3099="Turar joy obyektning kadastr pasportini shakllantirish va davlat ro'yxatidan o'tkazish",I3099="Turar kompozit"),
IF(L3099="Turar yer maydoni",7,10),
IF(OR(I3099="Noturar obyektning kadastr pasportini shakllantirish va davlat ro'yxatidan o'tkazish",I3099="Noturar kompozit"),
IF(O3099="Ko‘p yillik daraxtlar xizmati",15,
IF(OR(L3099="Noturar yer maydoni",L3099="Davlat tashkilotlaridan ijaraga olingan yer uchastkasi"),7,
IF(W3099&lt;100,10,IF(W3099&lt;=1000,12,IF(W3099&lt;=5000,17,IF(W3099&lt;=15000,22,IF(W3099&lt;=50000,28,37))))))),
IF(I3099="Umumiy foydalanishdagi ko'chmas mulk qismini yaratish",
IF(IF(TRIM(L3099)="",IF(OR(O3099="Turar joy xizmati",O3099="Yakka tartibdagi turar joy"),"Turar","Noturar"),IF(OR(L3099="Yakka tartibdagi turar joy",L3099="Turar joy xizmati"),"Turar","Noturar"))="Turar",
10,IF(W3099&lt;100,10,IF(W3099&lt;=1000,12,IF(W3099&lt;=5000,17,IF(W3099&lt;=15000,22,IF(W3099&lt;=50000,28,37)))))),
0))))))))))</f>
        <v>10</v>
      </c>
      <c r="Y3099" s="133"/>
      <c r="Z3099" s="133"/>
      <c r="AA3099" s="133"/>
    </row>
    <row r="3100" spans="1:27" hidden="1" x14ac:dyDescent="0.25">
      <c r="A3100" s="133"/>
      <c r="B3100" s="128" t="str">
        <f t="shared" si="330"/>
        <v>CHUT</v>
      </c>
      <c r="C3100" s="128" t="str">
        <f>+VLOOKUP(U3100,Ходим!A:B,2,0)</f>
        <v>32003822180063</v>
      </c>
      <c r="D3100" s="128" t="str">
        <f>IFERROR(VLOOKUP($B:$B,[20]свод!$A:$AB,3,0)," ")</f>
        <v>Чуст тумани</v>
      </c>
      <c r="E3100" s="7" t="s">
        <v>4232</v>
      </c>
      <c r="F3100" s="7" t="s">
        <v>10596</v>
      </c>
      <c r="G3100" s="134">
        <f t="shared" si="331"/>
        <v>1</v>
      </c>
      <c r="H3100" s="134" t="str">
        <f t="shared" si="332"/>
        <v/>
      </c>
      <c r="I3100" s="7" t="s">
        <v>158</v>
      </c>
      <c r="J3100" s="7" t="s">
        <v>2</v>
      </c>
      <c r="K3100" s="7"/>
      <c r="L3100" s="7" t="s">
        <v>167</v>
      </c>
      <c r="M3100" s="7" t="s">
        <v>6255</v>
      </c>
      <c r="N3100" s="7" t="s">
        <v>170</v>
      </c>
      <c r="O3100" s="7" t="s">
        <v>162</v>
      </c>
      <c r="P3100" s="7" t="s">
        <v>7544</v>
      </c>
      <c r="Q3100" s="129">
        <v>46199</v>
      </c>
      <c r="R3100" s="130">
        <f t="shared" si="333"/>
        <v>46210</v>
      </c>
      <c r="S3100" s="131">
        <f t="shared" si="334"/>
        <v>11</v>
      </c>
      <c r="T3100" s="7" t="s">
        <v>178</v>
      </c>
      <c r="U3100" s="7" t="s">
        <v>200</v>
      </c>
      <c r="V3100" s="7"/>
      <c r="W3100" s="7">
        <v>346.9</v>
      </c>
      <c r="X3100" s="132">
        <f t="shared" si="335"/>
        <v>10</v>
      </c>
      <c r="Y3100" s="133"/>
      <c r="Z3100" s="133"/>
      <c r="AA3100" s="133"/>
    </row>
    <row r="3101" spans="1:27" hidden="1" x14ac:dyDescent="0.25">
      <c r="A3101" s="133"/>
      <c r="B3101" s="128" t="str">
        <f t="shared" si="330"/>
        <v>NAMS</v>
      </c>
      <c r="C3101" s="128" t="str">
        <f>+VLOOKUP(U3101,Ходим!A:B,2,0)</f>
        <v>51406015960142</v>
      </c>
      <c r="D3101" s="128" t="str">
        <f>IFERROR(VLOOKUP($B:$B,[20]свод!$A:$AB,3,0)," ")</f>
        <v>Наманган шаҳар</v>
      </c>
      <c r="E3101" s="7" t="s">
        <v>4233</v>
      </c>
      <c r="F3101" s="7" t="s">
        <v>10597</v>
      </c>
      <c r="G3101" s="134">
        <f t="shared" si="331"/>
        <v>1</v>
      </c>
      <c r="H3101" s="134" t="str">
        <f t="shared" si="332"/>
        <v/>
      </c>
      <c r="I3101" s="7" t="s">
        <v>158</v>
      </c>
      <c r="J3101" s="7" t="s">
        <v>2</v>
      </c>
      <c r="K3101" s="7"/>
      <c r="L3101" s="7" t="s">
        <v>167</v>
      </c>
      <c r="M3101" s="7" t="s">
        <v>6256</v>
      </c>
      <c r="N3101" s="7" t="s">
        <v>170</v>
      </c>
      <c r="O3101" s="7" t="s">
        <v>162</v>
      </c>
      <c r="P3101" s="7" t="s">
        <v>7544</v>
      </c>
      <c r="Q3101" s="129">
        <v>46199</v>
      </c>
      <c r="R3101" s="130">
        <f t="shared" si="333"/>
        <v>46210</v>
      </c>
      <c r="S3101" s="131">
        <f t="shared" si="334"/>
        <v>11</v>
      </c>
      <c r="T3101" s="7" t="s">
        <v>173</v>
      </c>
      <c r="U3101" s="7" t="s">
        <v>349</v>
      </c>
      <c r="V3101" s="7"/>
      <c r="W3101" s="7">
        <v>554.98</v>
      </c>
      <c r="X3101" s="132">
        <f t="shared" si="335"/>
        <v>10</v>
      </c>
      <c r="Y3101" s="133"/>
      <c r="Z3101" s="133"/>
      <c r="AA3101" s="133"/>
    </row>
    <row r="3102" spans="1:27" hidden="1" x14ac:dyDescent="0.25">
      <c r="A3102" s="133"/>
      <c r="B3102" s="128" t="str">
        <f t="shared" si="330"/>
        <v>UYCT</v>
      </c>
      <c r="C3102" s="128" t="str">
        <f>+VLOOKUP(U3102,Ходим!A:B,2,0)</f>
        <v>51501005930032</v>
      </c>
      <c r="D3102" s="128" t="str">
        <f>IFERROR(VLOOKUP($B:$B,[20]свод!$A:$AB,3,0)," ")</f>
        <v>Уйчи тумани</v>
      </c>
      <c r="E3102" s="7" t="s">
        <v>4234</v>
      </c>
      <c r="F3102" s="7" t="s">
        <v>10598</v>
      </c>
      <c r="G3102" s="134">
        <f t="shared" si="331"/>
        <v>1</v>
      </c>
      <c r="H3102" s="134" t="str">
        <f t="shared" si="332"/>
        <v/>
      </c>
      <c r="I3102" s="7" t="s">
        <v>158</v>
      </c>
      <c r="J3102" s="7" t="s">
        <v>2</v>
      </c>
      <c r="K3102" s="7"/>
      <c r="L3102" s="7" t="s">
        <v>167</v>
      </c>
      <c r="M3102" s="7" t="s">
        <v>6257</v>
      </c>
      <c r="N3102" s="7" t="s">
        <v>170</v>
      </c>
      <c r="O3102" s="7" t="s">
        <v>162</v>
      </c>
      <c r="P3102" s="7" t="s">
        <v>7544</v>
      </c>
      <c r="Q3102" s="129">
        <v>46199</v>
      </c>
      <c r="R3102" s="130">
        <f t="shared" si="333"/>
        <v>46210</v>
      </c>
      <c r="S3102" s="131">
        <f t="shared" si="334"/>
        <v>11</v>
      </c>
      <c r="T3102" s="7" t="s">
        <v>947</v>
      </c>
      <c r="U3102" s="7" t="s">
        <v>326</v>
      </c>
      <c r="V3102" s="7"/>
      <c r="W3102" s="7">
        <v>290.8</v>
      </c>
      <c r="X3102" s="132">
        <f t="shared" si="335"/>
        <v>10</v>
      </c>
      <c r="Y3102" s="133"/>
      <c r="Z3102" s="133"/>
      <c r="AA3102" s="133"/>
    </row>
    <row r="3103" spans="1:27" x14ac:dyDescent="0.25">
      <c r="A3103" s="133"/>
      <c r="B3103" s="128" t="str">
        <f t="shared" si="330"/>
        <v>CHUT</v>
      </c>
      <c r="C3103" s="128" t="str">
        <f>+VLOOKUP(U3103,Ходим!A:B,2,0)</f>
        <v>30901882180031</v>
      </c>
      <c r="D3103" s="128" t="str">
        <f>IFERROR(VLOOKUP($B:$B,[20]свод!$A:$AB,3,0)," ")</f>
        <v>Чуст тумани</v>
      </c>
      <c r="E3103" s="7" t="s">
        <v>4235</v>
      </c>
      <c r="F3103" s="7" t="s">
        <v>10599</v>
      </c>
      <c r="G3103" s="134">
        <f t="shared" si="331"/>
        <v>1</v>
      </c>
      <c r="H3103" s="134" t="str">
        <f t="shared" si="332"/>
        <v/>
      </c>
      <c r="I3103" s="7" t="s">
        <v>158</v>
      </c>
      <c r="J3103" s="7" t="s">
        <v>12</v>
      </c>
      <c r="K3103" s="7"/>
      <c r="L3103" s="7" t="s">
        <v>167</v>
      </c>
      <c r="M3103" s="7" t="s">
        <v>6258</v>
      </c>
      <c r="N3103" s="7" t="s">
        <v>170</v>
      </c>
      <c r="O3103" s="7" t="s">
        <v>162</v>
      </c>
      <c r="P3103" s="7" t="s">
        <v>7545</v>
      </c>
      <c r="Q3103" s="129">
        <v>46199</v>
      </c>
      <c r="R3103" s="130">
        <f t="shared" si="333"/>
        <v>46198</v>
      </c>
      <c r="S3103" s="131">
        <f t="shared" si="334"/>
        <v>-1</v>
      </c>
      <c r="T3103" s="7" t="s">
        <v>178</v>
      </c>
      <c r="U3103" s="7" t="s">
        <v>238</v>
      </c>
      <c r="V3103" s="7"/>
      <c r="W3103" s="7">
        <v>419.31</v>
      </c>
      <c r="X3103" s="132">
        <f t="shared" si="335"/>
        <v>10</v>
      </c>
      <c r="Y3103" s="133"/>
      <c r="Z3103" s="133"/>
      <c r="AA3103" s="133"/>
    </row>
    <row r="3104" spans="1:27" hidden="1" x14ac:dyDescent="0.25">
      <c r="A3104" s="133"/>
      <c r="B3104" s="128" t="str">
        <f t="shared" si="330"/>
        <v>POPT</v>
      </c>
      <c r="C3104" s="128" t="str">
        <f>+VLOOKUP(U3104,Ходим!A:B,2,0)</f>
        <v>50902005910032</v>
      </c>
      <c r="D3104" s="128" t="str">
        <f>IFERROR(VLOOKUP($B:$B,[20]свод!$A:$AB,3,0)," ")</f>
        <v>Поп тумани</v>
      </c>
      <c r="E3104" s="7" t="s">
        <v>4236</v>
      </c>
      <c r="F3104" s="7" t="s">
        <v>10600</v>
      </c>
      <c r="G3104" s="134">
        <f t="shared" si="331"/>
        <v>1</v>
      </c>
      <c r="H3104" s="134" t="str">
        <f t="shared" si="332"/>
        <v/>
      </c>
      <c r="I3104" s="7" t="s">
        <v>158</v>
      </c>
      <c r="J3104" s="7" t="s">
        <v>172</v>
      </c>
      <c r="K3104" s="7"/>
      <c r="L3104" s="7" t="s">
        <v>167</v>
      </c>
      <c r="M3104" s="7" t="s">
        <v>6259</v>
      </c>
      <c r="N3104" s="7" t="s">
        <v>170</v>
      </c>
      <c r="O3104" s="7" t="s">
        <v>162</v>
      </c>
      <c r="P3104" s="7" t="s">
        <v>7546</v>
      </c>
      <c r="Q3104" s="129">
        <v>46199</v>
      </c>
      <c r="R3104" s="130">
        <f t="shared" si="333"/>
        <v>46210</v>
      </c>
      <c r="S3104" s="131">
        <f t="shared" si="334"/>
        <v>11</v>
      </c>
      <c r="T3104" s="7" t="s">
        <v>240</v>
      </c>
      <c r="U3104" s="7" t="s">
        <v>278</v>
      </c>
      <c r="V3104" s="7"/>
      <c r="W3104" s="7">
        <v>268.29000000000002</v>
      </c>
      <c r="X3104" s="132">
        <f t="shared" si="335"/>
        <v>10</v>
      </c>
      <c r="Y3104" s="133"/>
      <c r="Z3104" s="133"/>
      <c r="AA3104" s="133"/>
    </row>
    <row r="3105" spans="1:27" x14ac:dyDescent="0.25">
      <c r="A3105" s="133"/>
      <c r="B3105" s="128" t="str">
        <f t="shared" si="330"/>
        <v>NAMS</v>
      </c>
      <c r="C3105" s="128" t="str">
        <f>+VLOOKUP(U3105,Ходим!A:B,2,0)</f>
        <v>31601642170089</v>
      </c>
      <c r="D3105" s="128" t="str">
        <f>IFERROR(VLOOKUP($B:$B,[20]свод!$A:$AB,3,0)," ")</f>
        <v>Наманган шаҳар</v>
      </c>
      <c r="E3105" s="7" t="s">
        <v>4237</v>
      </c>
      <c r="F3105" s="7" t="s">
        <v>10601</v>
      </c>
      <c r="G3105" s="134">
        <f t="shared" si="331"/>
        <v>1</v>
      </c>
      <c r="H3105" s="134" t="str">
        <f t="shared" si="332"/>
        <v/>
      </c>
      <c r="I3105" s="7" t="s">
        <v>158</v>
      </c>
      <c r="J3105" s="7" t="s">
        <v>9</v>
      </c>
      <c r="K3105" s="7"/>
      <c r="L3105" s="7" t="s">
        <v>167</v>
      </c>
      <c r="M3105" s="7" t="s">
        <v>6260</v>
      </c>
      <c r="N3105" s="7" t="s">
        <v>170</v>
      </c>
      <c r="O3105" s="7" t="s">
        <v>162</v>
      </c>
      <c r="P3105" s="7" t="s">
        <v>6820</v>
      </c>
      <c r="Q3105" s="129">
        <v>46199</v>
      </c>
      <c r="R3105" s="130">
        <f t="shared" si="333"/>
        <v>46199</v>
      </c>
      <c r="S3105" s="131">
        <f t="shared" si="334"/>
        <v>0</v>
      </c>
      <c r="T3105" s="7" t="s">
        <v>983</v>
      </c>
      <c r="U3105" s="7" t="s">
        <v>201</v>
      </c>
      <c r="V3105" s="7" t="s">
        <v>965</v>
      </c>
      <c r="W3105" s="7">
        <v>747.24</v>
      </c>
      <c r="X3105" s="132">
        <f t="shared" si="335"/>
        <v>5</v>
      </c>
      <c r="Y3105" s="133"/>
      <c r="Z3105" s="133"/>
      <c r="AA3105" s="133"/>
    </row>
    <row r="3106" spans="1:27" hidden="1" x14ac:dyDescent="0.25">
      <c r="A3106" s="133"/>
      <c r="B3106" s="128" t="str">
        <f t="shared" si="330"/>
        <v>NAMT</v>
      </c>
      <c r="C3106" s="128" t="str">
        <f>+VLOOKUP(U3106,Ходим!A:B,2,0)</f>
        <v>32607902090019</v>
      </c>
      <c r="D3106" s="128" t="str">
        <f>IFERROR(VLOOKUP($B:$B,[20]свод!$A:$AB,3,0)," ")</f>
        <v>Наманган тумани</v>
      </c>
      <c r="E3106" s="7" t="s">
        <v>4238</v>
      </c>
      <c r="F3106" s="7" t="s">
        <v>10602</v>
      </c>
      <c r="G3106" s="134">
        <f t="shared" si="331"/>
        <v>1</v>
      </c>
      <c r="H3106" s="134" t="str">
        <f t="shared" si="332"/>
        <v/>
      </c>
      <c r="I3106" s="7" t="s">
        <v>158</v>
      </c>
      <c r="J3106" s="7" t="s">
        <v>13</v>
      </c>
      <c r="K3106" s="7"/>
      <c r="L3106" s="7" t="s">
        <v>167</v>
      </c>
      <c r="M3106" s="7" t="s">
        <v>1139</v>
      </c>
      <c r="N3106" s="7" t="s">
        <v>410</v>
      </c>
      <c r="O3106" s="7" t="s">
        <v>162</v>
      </c>
      <c r="P3106" s="7" t="s">
        <v>7546</v>
      </c>
      <c r="Q3106" s="129">
        <v>46199</v>
      </c>
      <c r="R3106" s="130">
        <f t="shared" si="333"/>
        <v>46210</v>
      </c>
      <c r="S3106" s="131">
        <f t="shared" si="334"/>
        <v>11</v>
      </c>
      <c r="T3106" s="7" t="s">
        <v>193</v>
      </c>
      <c r="U3106" s="7" t="s">
        <v>243</v>
      </c>
      <c r="V3106" s="7"/>
      <c r="W3106" s="7">
        <v>0</v>
      </c>
      <c r="X3106" s="132">
        <f t="shared" si="335"/>
        <v>10</v>
      </c>
      <c r="Y3106" s="133"/>
      <c r="Z3106" s="133"/>
      <c r="AA3106" s="133"/>
    </row>
    <row r="3107" spans="1:27" hidden="1" x14ac:dyDescent="0.25">
      <c r="A3107" s="133"/>
      <c r="B3107" s="128" t="str">
        <f t="shared" si="330"/>
        <v>NAMS</v>
      </c>
      <c r="C3107" s="128" t="str">
        <f>+VLOOKUP(U3107,Ходим!A:B,2,0)</f>
        <v>51406015960142</v>
      </c>
      <c r="D3107" s="128" t="str">
        <f>IFERROR(VLOOKUP($B:$B,[20]свод!$A:$AB,3,0)," ")</f>
        <v>Наманган шаҳар</v>
      </c>
      <c r="E3107" s="7" t="s">
        <v>4239</v>
      </c>
      <c r="F3107" s="7" t="s">
        <v>10603</v>
      </c>
      <c r="G3107" s="134">
        <f t="shared" si="331"/>
        <v>1</v>
      </c>
      <c r="H3107" s="134" t="str">
        <f t="shared" si="332"/>
        <v/>
      </c>
      <c r="I3107" s="7" t="s">
        <v>158</v>
      </c>
      <c r="J3107" s="7" t="s">
        <v>2</v>
      </c>
      <c r="K3107" s="7"/>
      <c r="L3107" s="7"/>
      <c r="M3107" s="7"/>
      <c r="N3107" s="7" t="s">
        <v>170</v>
      </c>
      <c r="O3107" s="7" t="s">
        <v>162</v>
      </c>
      <c r="P3107" s="7" t="s">
        <v>6627</v>
      </c>
      <c r="Q3107" s="129">
        <v>46199</v>
      </c>
      <c r="R3107" s="130">
        <f t="shared" si="333"/>
        <v>46210</v>
      </c>
      <c r="S3107" s="131">
        <f t="shared" si="334"/>
        <v>11</v>
      </c>
      <c r="T3107" s="7" t="s">
        <v>173</v>
      </c>
      <c r="U3107" s="7" t="s">
        <v>349</v>
      </c>
      <c r="V3107" s="7"/>
      <c r="W3107" s="7"/>
      <c r="X3107" s="132">
        <f t="shared" si="335"/>
        <v>10</v>
      </c>
      <c r="Y3107" s="133"/>
      <c r="Z3107" s="133"/>
      <c r="AA3107" s="133"/>
    </row>
    <row r="3108" spans="1:27" hidden="1" x14ac:dyDescent="0.25">
      <c r="A3108" s="133"/>
      <c r="B3108" s="128" t="str">
        <f t="shared" si="330"/>
        <v>NAMS</v>
      </c>
      <c r="C3108" s="128" t="str">
        <f>+VLOOKUP(U3108,Ходим!A:B,2,0)</f>
        <v>52107015960107</v>
      </c>
      <c r="D3108" s="128" t="str">
        <f>IFERROR(VLOOKUP($B:$B,[20]свод!$A:$AB,3,0)," ")</f>
        <v>Наманган шаҳар</v>
      </c>
      <c r="E3108" s="7" t="s">
        <v>4240</v>
      </c>
      <c r="F3108" s="7" t="s">
        <v>10604</v>
      </c>
      <c r="G3108" s="134">
        <f t="shared" si="331"/>
        <v>1</v>
      </c>
      <c r="H3108" s="134" t="str">
        <f t="shared" si="332"/>
        <v/>
      </c>
      <c r="I3108" s="7" t="s">
        <v>158</v>
      </c>
      <c r="J3108" s="7" t="s">
        <v>2</v>
      </c>
      <c r="K3108" s="7"/>
      <c r="L3108" s="7" t="s">
        <v>167</v>
      </c>
      <c r="M3108" s="7" t="s">
        <v>6261</v>
      </c>
      <c r="N3108" s="7" t="s">
        <v>170</v>
      </c>
      <c r="O3108" s="7" t="s">
        <v>162</v>
      </c>
      <c r="P3108" s="7" t="s">
        <v>7547</v>
      </c>
      <c r="Q3108" s="129">
        <v>46199</v>
      </c>
      <c r="R3108" s="130">
        <f t="shared" si="333"/>
        <v>46206</v>
      </c>
      <c r="S3108" s="131">
        <f t="shared" si="334"/>
        <v>7</v>
      </c>
      <c r="T3108" s="7" t="s">
        <v>173</v>
      </c>
      <c r="U3108" s="7" t="s">
        <v>348</v>
      </c>
      <c r="V3108" s="7"/>
      <c r="W3108" s="7">
        <v>331.13</v>
      </c>
      <c r="X3108" s="132">
        <f t="shared" si="335"/>
        <v>10</v>
      </c>
      <c r="Y3108" s="133"/>
      <c r="Z3108" s="133"/>
      <c r="AA3108" s="133"/>
    </row>
    <row r="3109" spans="1:27" hidden="1" x14ac:dyDescent="0.25">
      <c r="A3109" s="133"/>
      <c r="B3109" s="128" t="str">
        <f t="shared" si="330"/>
        <v>UCQT</v>
      </c>
      <c r="C3109" s="128" t="str">
        <f>+VLOOKUP(U3109,Ходим!A:B,2,0)</f>
        <v>32911835940021</v>
      </c>
      <c r="D3109" s="128" t="str">
        <f>IFERROR(VLOOKUP($B:$B,[20]свод!$A:$AB,3,0)," ")</f>
        <v>Учқўрғон тумани</v>
      </c>
      <c r="E3109" s="7" t="s">
        <v>4241</v>
      </c>
      <c r="F3109" s="7" t="s">
        <v>10605</v>
      </c>
      <c r="G3109" s="134">
        <f t="shared" si="331"/>
        <v>1</v>
      </c>
      <c r="H3109" s="134" t="str">
        <f t="shared" si="332"/>
        <v/>
      </c>
      <c r="I3109" s="7" t="s">
        <v>158</v>
      </c>
      <c r="J3109" s="7" t="s">
        <v>2</v>
      </c>
      <c r="K3109" s="7"/>
      <c r="L3109" s="7" t="s">
        <v>167</v>
      </c>
      <c r="M3109" s="7" t="s">
        <v>6262</v>
      </c>
      <c r="N3109" s="7" t="s">
        <v>170</v>
      </c>
      <c r="O3109" s="7" t="s">
        <v>162</v>
      </c>
      <c r="P3109" s="7" t="s">
        <v>6770</v>
      </c>
      <c r="Q3109" s="129">
        <v>46199</v>
      </c>
      <c r="R3109" s="130">
        <f t="shared" si="333"/>
        <v>46206</v>
      </c>
      <c r="S3109" s="131">
        <f t="shared" si="334"/>
        <v>7</v>
      </c>
      <c r="T3109" s="7" t="s">
        <v>175</v>
      </c>
      <c r="U3109" s="7" t="s">
        <v>321</v>
      </c>
      <c r="V3109" s="7"/>
      <c r="W3109" s="7">
        <v>142.91999999999999</v>
      </c>
      <c r="X3109" s="132">
        <f t="shared" si="335"/>
        <v>10</v>
      </c>
      <c r="Y3109" s="133"/>
      <c r="Z3109" s="133"/>
      <c r="AA3109" s="133"/>
    </row>
    <row r="3110" spans="1:27" hidden="1" x14ac:dyDescent="0.25">
      <c r="A3110" s="133"/>
      <c r="B3110" s="128" t="str">
        <f t="shared" si="330"/>
        <v>CHUT</v>
      </c>
      <c r="C3110" s="128" t="str">
        <f>+VLOOKUP(U3110,Ходим!A:B,2,0)</f>
        <v>50905015970078</v>
      </c>
      <c r="D3110" s="128" t="str">
        <f>IFERROR(VLOOKUP($B:$B,[20]свод!$A:$AB,3,0)," ")</f>
        <v>Чуст тумани</v>
      </c>
      <c r="E3110" s="7" t="s">
        <v>4242</v>
      </c>
      <c r="F3110" s="7" t="s">
        <v>10606</v>
      </c>
      <c r="G3110" s="134">
        <f t="shared" si="331"/>
        <v>1</v>
      </c>
      <c r="H3110" s="134" t="str">
        <f t="shared" si="332"/>
        <v/>
      </c>
      <c r="I3110" s="7" t="s">
        <v>158</v>
      </c>
      <c r="J3110" s="7" t="s">
        <v>172</v>
      </c>
      <c r="K3110" s="7"/>
      <c r="L3110" s="7" t="s">
        <v>167</v>
      </c>
      <c r="M3110" s="7" t="s">
        <v>6263</v>
      </c>
      <c r="N3110" s="7" t="s">
        <v>170</v>
      </c>
      <c r="O3110" s="7" t="s">
        <v>162</v>
      </c>
      <c r="P3110" s="7" t="s">
        <v>6381</v>
      </c>
      <c r="Q3110" s="129">
        <v>46199</v>
      </c>
      <c r="R3110" s="130">
        <f t="shared" si="333"/>
        <v>46206</v>
      </c>
      <c r="S3110" s="131">
        <f t="shared" si="334"/>
        <v>7</v>
      </c>
      <c r="T3110" s="7" t="s">
        <v>178</v>
      </c>
      <c r="U3110" s="7" t="s">
        <v>521</v>
      </c>
      <c r="V3110" s="7"/>
      <c r="W3110" s="7">
        <v>35.299999999999997</v>
      </c>
      <c r="X3110" s="132">
        <f t="shared" si="335"/>
        <v>10</v>
      </c>
      <c r="Y3110" s="133"/>
      <c r="Z3110" s="133"/>
      <c r="AA3110" s="133"/>
    </row>
    <row r="3111" spans="1:27" hidden="1" x14ac:dyDescent="0.25">
      <c r="A3111" s="133"/>
      <c r="B3111" s="128" t="str">
        <f t="shared" si="330"/>
        <v>NAMS</v>
      </c>
      <c r="C3111" s="128" t="str">
        <f>+VLOOKUP(U3111,Ходим!A:B,2,0)</f>
        <v>31608732170178</v>
      </c>
      <c r="D3111" s="128" t="str">
        <f>IFERROR(VLOOKUP($B:$B,[20]свод!$A:$AB,3,0)," ")</f>
        <v>Наманган шаҳар</v>
      </c>
      <c r="E3111" s="7" t="s">
        <v>4243</v>
      </c>
      <c r="F3111" s="7" t="s">
        <v>10607</v>
      </c>
      <c r="G3111" s="134">
        <f t="shared" si="331"/>
        <v>1</v>
      </c>
      <c r="H3111" s="134" t="str">
        <f t="shared" si="332"/>
        <v/>
      </c>
      <c r="I3111" s="7" t="s">
        <v>156</v>
      </c>
      <c r="J3111" s="7" t="s">
        <v>25</v>
      </c>
      <c r="K3111" s="7"/>
      <c r="L3111" s="7"/>
      <c r="M3111" s="7"/>
      <c r="N3111" s="7" t="s">
        <v>170</v>
      </c>
      <c r="O3111" s="7" t="s">
        <v>162</v>
      </c>
      <c r="P3111" s="7" t="s">
        <v>6585</v>
      </c>
      <c r="Q3111" s="129">
        <v>46199</v>
      </c>
      <c r="R3111" s="130">
        <f t="shared" si="333"/>
        <v>46210</v>
      </c>
      <c r="S3111" s="131">
        <f t="shared" si="334"/>
        <v>11</v>
      </c>
      <c r="T3111" s="7" t="s">
        <v>173</v>
      </c>
      <c r="U3111" s="7" t="s">
        <v>267</v>
      </c>
      <c r="V3111" s="7"/>
      <c r="W3111" s="7"/>
      <c r="X3111" s="132">
        <f t="shared" si="335"/>
        <v>10</v>
      </c>
      <c r="Y3111" s="133"/>
      <c r="Z3111" s="133"/>
      <c r="AA3111" s="133"/>
    </row>
    <row r="3112" spans="1:27" hidden="1" x14ac:dyDescent="0.25">
      <c r="A3112" s="133"/>
      <c r="B3112" s="128" t="str">
        <f t="shared" si="330"/>
        <v>MINT</v>
      </c>
      <c r="C3112" s="128" t="str">
        <f>+VLOOKUP(U3112,Ходим!A:B,2,0)</f>
        <v>30910905990010</v>
      </c>
      <c r="D3112" s="128" t="str">
        <f>IFERROR(VLOOKUP($B:$B,[20]свод!$A:$AB,3,0)," ")</f>
        <v>Мингбулоқ тумани</v>
      </c>
      <c r="E3112" s="7" t="s">
        <v>4244</v>
      </c>
      <c r="F3112" s="7" t="s">
        <v>10608</v>
      </c>
      <c r="G3112" s="134" t="str">
        <f t="shared" si="331"/>
        <v/>
      </c>
      <c r="H3112" s="134">
        <f t="shared" si="332"/>
        <v>1</v>
      </c>
      <c r="I3112" s="7" t="s">
        <v>157</v>
      </c>
      <c r="J3112" s="7" t="s">
        <v>172</v>
      </c>
      <c r="K3112" s="7"/>
      <c r="L3112" s="7" t="s">
        <v>166</v>
      </c>
      <c r="M3112" s="7" t="s">
        <v>6264</v>
      </c>
      <c r="N3112" s="7" t="s">
        <v>410</v>
      </c>
      <c r="O3112" s="7" t="s">
        <v>163</v>
      </c>
      <c r="P3112" s="7" t="s">
        <v>6585</v>
      </c>
      <c r="Q3112" s="129">
        <v>46199</v>
      </c>
      <c r="R3112" s="130">
        <f t="shared" si="333"/>
        <v>46219</v>
      </c>
      <c r="S3112" s="131">
        <f t="shared" si="334"/>
        <v>20</v>
      </c>
      <c r="T3112" s="7" t="s">
        <v>220</v>
      </c>
      <c r="U3112" s="7" t="s">
        <v>221</v>
      </c>
      <c r="V3112" s="7"/>
      <c r="W3112" s="7">
        <v>2414.88</v>
      </c>
      <c r="X3112" s="132">
        <f t="shared" si="335"/>
        <v>17</v>
      </c>
      <c r="Y3112" s="133"/>
      <c r="Z3112" s="133"/>
      <c r="AA3112" s="133"/>
    </row>
    <row r="3113" spans="1:27" hidden="1" x14ac:dyDescent="0.25">
      <c r="A3113" s="133"/>
      <c r="B3113" s="128" t="str">
        <f t="shared" si="330"/>
        <v>NORT</v>
      </c>
      <c r="C3113" s="128" t="str">
        <f>+VLOOKUP(U3113,Ходим!A:B,2,0)</f>
        <v>31609962110019</v>
      </c>
      <c r="D3113" s="128" t="str">
        <f>IFERROR(VLOOKUP($B:$B,[20]свод!$A:$AB,3,0)," ")</f>
        <v>Норин тумани</v>
      </c>
      <c r="E3113" s="7" t="s">
        <v>4245</v>
      </c>
      <c r="F3113" s="7"/>
      <c r="G3113" s="134">
        <f t="shared" si="331"/>
        <v>1</v>
      </c>
      <c r="H3113" s="134" t="str">
        <f t="shared" si="332"/>
        <v/>
      </c>
      <c r="I3113" s="7" t="s">
        <v>154</v>
      </c>
      <c r="J3113" s="7" t="s">
        <v>1</v>
      </c>
      <c r="K3113" s="7"/>
      <c r="L3113" s="7" t="s">
        <v>167</v>
      </c>
      <c r="M3113" s="7" t="s">
        <v>6265</v>
      </c>
      <c r="N3113" s="7" t="s">
        <v>368</v>
      </c>
      <c r="O3113" s="7"/>
      <c r="P3113" s="7" t="s">
        <v>6585</v>
      </c>
      <c r="Q3113" s="129">
        <v>46199</v>
      </c>
      <c r="R3113" s="130">
        <f t="shared" si="333"/>
        <v>46203</v>
      </c>
      <c r="S3113" s="131">
        <f t="shared" si="334"/>
        <v>4</v>
      </c>
      <c r="T3113" s="7" t="s">
        <v>210</v>
      </c>
      <c r="U3113" s="7" t="s">
        <v>355</v>
      </c>
      <c r="V3113" s="7"/>
      <c r="W3113" s="7">
        <v>210.2</v>
      </c>
      <c r="X3113" s="132">
        <f t="shared" si="335"/>
        <v>5</v>
      </c>
      <c r="Y3113" s="133"/>
      <c r="Z3113" s="133"/>
      <c r="AA3113" s="133"/>
    </row>
    <row r="3114" spans="1:27" hidden="1" x14ac:dyDescent="0.25">
      <c r="A3114" s="133"/>
      <c r="B3114" s="128" t="str">
        <f t="shared" si="330"/>
        <v>YGQT</v>
      </c>
      <c r="C3114" s="128" t="str">
        <f>+VLOOKUP(U3114,Ходим!A:B,2,0)</f>
        <v>52009035950022</v>
      </c>
      <c r="D3114" s="128" t="str">
        <f>IFERROR(VLOOKUP($B:$B,[20]свод!$A:$AB,3,0)," ")</f>
        <v>Янгиқўрғон тумани</v>
      </c>
      <c r="E3114" s="7" t="s">
        <v>4246</v>
      </c>
      <c r="F3114" s="7" t="s">
        <v>10609</v>
      </c>
      <c r="G3114" s="134" t="str">
        <f t="shared" si="331"/>
        <v/>
      </c>
      <c r="H3114" s="134">
        <f t="shared" si="332"/>
        <v>1</v>
      </c>
      <c r="I3114" s="7" t="s">
        <v>157</v>
      </c>
      <c r="J3114" s="7" t="s">
        <v>2</v>
      </c>
      <c r="K3114" s="7"/>
      <c r="L3114" s="7"/>
      <c r="M3114" s="7"/>
      <c r="N3114" s="7" t="s">
        <v>170</v>
      </c>
      <c r="O3114" s="7" t="s">
        <v>161</v>
      </c>
      <c r="P3114" s="7" t="s">
        <v>7047</v>
      </c>
      <c r="Q3114" s="129">
        <v>46199</v>
      </c>
      <c r="R3114" s="130">
        <f t="shared" si="333"/>
        <v>46204</v>
      </c>
      <c r="S3114" s="131">
        <f t="shared" si="334"/>
        <v>5</v>
      </c>
      <c r="T3114" s="7" t="s">
        <v>255</v>
      </c>
      <c r="U3114" s="7" t="s">
        <v>272</v>
      </c>
      <c r="V3114" s="7"/>
      <c r="W3114" s="7"/>
      <c r="X3114" s="132">
        <f t="shared" si="335"/>
        <v>10</v>
      </c>
      <c r="Y3114" s="133"/>
      <c r="Z3114" s="133"/>
      <c r="AA3114" s="133"/>
    </row>
    <row r="3115" spans="1:27" hidden="1" x14ac:dyDescent="0.25">
      <c r="A3115" s="133"/>
      <c r="B3115" s="128" t="str">
        <f t="shared" si="330"/>
        <v>UYCT</v>
      </c>
      <c r="C3115" s="128" t="str">
        <f>+VLOOKUP(U3115,Ходим!A:B,2,0)</f>
        <v>53007005930024</v>
      </c>
      <c r="D3115" s="128" t="str">
        <f>IFERROR(VLOOKUP($B:$B,[20]свод!$A:$AB,3,0)," ")</f>
        <v>Уйчи тумани</v>
      </c>
      <c r="E3115" s="7" t="s">
        <v>4247</v>
      </c>
      <c r="F3115" s="7" t="s">
        <v>10610</v>
      </c>
      <c r="G3115" s="134">
        <f t="shared" si="331"/>
        <v>1</v>
      </c>
      <c r="H3115" s="134" t="str">
        <f t="shared" si="332"/>
        <v/>
      </c>
      <c r="I3115" s="7" t="s">
        <v>156</v>
      </c>
      <c r="J3115" s="7" t="s">
        <v>25</v>
      </c>
      <c r="K3115" s="7"/>
      <c r="L3115" s="7"/>
      <c r="M3115" s="7"/>
      <c r="N3115" s="7" t="s">
        <v>170</v>
      </c>
      <c r="O3115" s="7" t="s">
        <v>162</v>
      </c>
      <c r="P3115" s="7" t="s">
        <v>7548</v>
      </c>
      <c r="Q3115" s="129">
        <v>46199</v>
      </c>
      <c r="R3115" s="130">
        <f t="shared" si="333"/>
        <v>46210</v>
      </c>
      <c r="S3115" s="131">
        <f t="shared" si="334"/>
        <v>11</v>
      </c>
      <c r="T3115" s="7" t="s">
        <v>947</v>
      </c>
      <c r="U3115" s="7" t="s">
        <v>378</v>
      </c>
      <c r="V3115" s="7"/>
      <c r="W3115" s="7"/>
      <c r="X3115" s="132">
        <f t="shared" si="335"/>
        <v>10</v>
      </c>
      <c r="Y3115" s="133"/>
      <c r="Z3115" s="133"/>
      <c r="AA3115" s="133"/>
    </row>
    <row r="3116" spans="1:27" hidden="1" x14ac:dyDescent="0.25">
      <c r="A3116" s="133"/>
      <c r="B3116" s="128" t="str">
        <f t="shared" si="330"/>
        <v>YGQT</v>
      </c>
      <c r="C3116" s="128" t="str">
        <f>+VLOOKUP(U3116,Ходим!A:B,2,0)</f>
        <v>52410005950025</v>
      </c>
      <c r="D3116" s="128" t="str">
        <f>IFERROR(VLOOKUP($B:$B,[20]свод!$A:$AB,3,0)," ")</f>
        <v>Янгиқўрғон тумани</v>
      </c>
      <c r="E3116" s="7" t="s">
        <v>4248</v>
      </c>
      <c r="F3116" s="7" t="s">
        <v>10611</v>
      </c>
      <c r="G3116" s="134">
        <f t="shared" si="331"/>
        <v>1</v>
      </c>
      <c r="H3116" s="134" t="str">
        <f t="shared" si="332"/>
        <v/>
      </c>
      <c r="I3116" s="7" t="s">
        <v>158</v>
      </c>
      <c r="J3116" s="7" t="s">
        <v>2</v>
      </c>
      <c r="K3116" s="7"/>
      <c r="L3116" s="7"/>
      <c r="M3116" s="7"/>
      <c r="N3116" s="7" t="s">
        <v>170</v>
      </c>
      <c r="O3116" s="7" t="s">
        <v>162</v>
      </c>
      <c r="P3116" s="7" t="s">
        <v>7548</v>
      </c>
      <c r="Q3116" s="129">
        <v>46199</v>
      </c>
      <c r="R3116" s="130">
        <f t="shared" si="333"/>
        <v>46210</v>
      </c>
      <c r="S3116" s="131">
        <f t="shared" si="334"/>
        <v>11</v>
      </c>
      <c r="T3116" s="7" t="s">
        <v>255</v>
      </c>
      <c r="U3116" s="7" t="s">
        <v>256</v>
      </c>
      <c r="V3116" s="7"/>
      <c r="W3116" s="7"/>
      <c r="X3116" s="132">
        <f t="shared" si="335"/>
        <v>10</v>
      </c>
      <c r="Y3116" s="133"/>
      <c r="Z3116" s="133"/>
      <c r="AA3116" s="133"/>
    </row>
    <row r="3117" spans="1:27" hidden="1" x14ac:dyDescent="0.25">
      <c r="A3117" s="133"/>
      <c r="B3117" s="128" t="str">
        <f t="shared" si="330"/>
        <v>NAMS</v>
      </c>
      <c r="C3117" s="128" t="str">
        <f>+VLOOKUP(U3117,Ходим!A:B,2,0)</f>
        <v>32503832170037</v>
      </c>
      <c r="D3117" s="128" t="str">
        <f>IFERROR(VLOOKUP($B:$B,[20]свод!$A:$AB,3,0)," ")</f>
        <v>Наманган шаҳар</v>
      </c>
      <c r="E3117" s="7" t="s">
        <v>4249</v>
      </c>
      <c r="F3117" s="7" t="s">
        <v>10612</v>
      </c>
      <c r="G3117" s="134">
        <f t="shared" si="331"/>
        <v>1</v>
      </c>
      <c r="H3117" s="134" t="str">
        <f t="shared" si="332"/>
        <v/>
      </c>
      <c r="I3117" s="7" t="s">
        <v>158</v>
      </c>
      <c r="J3117" s="7" t="s">
        <v>2</v>
      </c>
      <c r="K3117" s="7"/>
      <c r="L3117" s="7" t="s">
        <v>167</v>
      </c>
      <c r="M3117" s="7" t="s">
        <v>6266</v>
      </c>
      <c r="N3117" s="7" t="s">
        <v>170</v>
      </c>
      <c r="O3117" s="7" t="s">
        <v>162</v>
      </c>
      <c r="P3117" s="7" t="s">
        <v>7549</v>
      </c>
      <c r="Q3117" s="129">
        <v>46199</v>
      </c>
      <c r="R3117" s="130">
        <f t="shared" si="333"/>
        <v>46210</v>
      </c>
      <c r="S3117" s="131">
        <f t="shared" si="334"/>
        <v>11</v>
      </c>
      <c r="T3117" s="7" t="s">
        <v>173</v>
      </c>
      <c r="U3117" s="7" t="s">
        <v>401</v>
      </c>
      <c r="V3117" s="7"/>
      <c r="W3117" s="7">
        <v>210.59</v>
      </c>
      <c r="X3117" s="132">
        <f t="shared" si="335"/>
        <v>10</v>
      </c>
      <c r="Y3117" s="133"/>
      <c r="Z3117" s="133"/>
      <c r="AA3117" s="133"/>
    </row>
    <row r="3118" spans="1:27" hidden="1" x14ac:dyDescent="0.25">
      <c r="A3118" s="133"/>
      <c r="B3118" s="128" t="str">
        <f t="shared" si="330"/>
        <v>UYCT</v>
      </c>
      <c r="C3118" s="128" t="str">
        <f>+VLOOKUP(U3118,Ходим!A:B,2,0)</f>
        <v>51501005930032</v>
      </c>
      <c r="D3118" s="128" t="str">
        <f>IFERROR(VLOOKUP($B:$B,[20]свод!$A:$AB,3,0)," ")</f>
        <v>Уйчи тумани</v>
      </c>
      <c r="E3118" s="7" t="s">
        <v>4250</v>
      </c>
      <c r="F3118" s="7" t="s">
        <v>10613</v>
      </c>
      <c r="G3118" s="134" t="str">
        <f t="shared" si="331"/>
        <v/>
      </c>
      <c r="H3118" s="134">
        <f t="shared" si="332"/>
        <v>1</v>
      </c>
      <c r="I3118" s="7" t="s">
        <v>157</v>
      </c>
      <c r="J3118" s="7" t="s">
        <v>134</v>
      </c>
      <c r="K3118" s="7"/>
      <c r="L3118" s="7"/>
      <c r="M3118" s="7"/>
      <c r="N3118" s="7" t="s">
        <v>170</v>
      </c>
      <c r="O3118" s="7" t="s">
        <v>161</v>
      </c>
      <c r="P3118" s="7" t="s">
        <v>6510</v>
      </c>
      <c r="Q3118" s="129">
        <v>46199</v>
      </c>
      <c r="R3118" s="130">
        <f t="shared" si="333"/>
        <v>46205</v>
      </c>
      <c r="S3118" s="131">
        <f t="shared" si="334"/>
        <v>6</v>
      </c>
      <c r="T3118" s="7" t="s">
        <v>947</v>
      </c>
      <c r="U3118" s="7" t="s">
        <v>326</v>
      </c>
      <c r="V3118" s="7"/>
      <c r="W3118" s="7"/>
      <c r="X3118" s="132">
        <f t="shared" si="335"/>
        <v>10</v>
      </c>
      <c r="Y3118" s="133"/>
      <c r="Z3118" s="133"/>
      <c r="AA3118" s="133"/>
    </row>
    <row r="3119" spans="1:27" hidden="1" x14ac:dyDescent="0.25">
      <c r="A3119" s="133"/>
      <c r="B3119" s="128" t="str">
        <f t="shared" si="330"/>
        <v>NAMS</v>
      </c>
      <c r="C3119" s="128" t="str">
        <f>+VLOOKUP(U3119,Ходим!A:B,2,0)</f>
        <v>32211885960016</v>
      </c>
      <c r="D3119" s="128" t="str">
        <f>IFERROR(VLOOKUP($B:$B,[20]свод!$A:$AB,3,0)," ")</f>
        <v>Наманган шаҳар</v>
      </c>
      <c r="E3119" s="7" t="s">
        <v>4251</v>
      </c>
      <c r="F3119" s="7"/>
      <c r="G3119" s="134" t="str">
        <f t="shared" si="331"/>
        <v/>
      </c>
      <c r="H3119" s="134">
        <f t="shared" si="332"/>
        <v>1</v>
      </c>
      <c r="I3119" s="7" t="s">
        <v>154</v>
      </c>
      <c r="J3119" s="7" t="s">
        <v>145</v>
      </c>
      <c r="K3119" s="7"/>
      <c r="L3119" s="7" t="s">
        <v>166</v>
      </c>
      <c r="M3119" s="7" t="s">
        <v>1128</v>
      </c>
      <c r="N3119" s="7" t="s">
        <v>368</v>
      </c>
      <c r="O3119" s="7"/>
      <c r="P3119" s="7" t="s">
        <v>7550</v>
      </c>
      <c r="Q3119" s="129">
        <v>46199</v>
      </c>
      <c r="R3119" s="130">
        <f t="shared" si="333"/>
        <v>46202</v>
      </c>
      <c r="S3119" s="131">
        <f t="shared" si="334"/>
        <v>3</v>
      </c>
      <c r="T3119" s="7" t="s">
        <v>227</v>
      </c>
      <c r="U3119" s="7" t="s">
        <v>279</v>
      </c>
      <c r="V3119" s="7" t="s">
        <v>965</v>
      </c>
      <c r="W3119" s="7">
        <v>1194.42</v>
      </c>
      <c r="X3119" s="132">
        <f t="shared" si="335"/>
        <v>5</v>
      </c>
      <c r="Y3119" s="133"/>
      <c r="Z3119" s="133"/>
      <c r="AA3119" s="133"/>
    </row>
    <row r="3120" spans="1:27" hidden="1" x14ac:dyDescent="0.25">
      <c r="A3120" s="133"/>
      <c r="B3120" s="128" t="str">
        <f t="shared" si="330"/>
        <v>TORT</v>
      </c>
      <c r="C3120" s="128" t="str">
        <f>+VLOOKUP(U3120,Ходим!A:B,2,0)</f>
        <v>32211772130034</v>
      </c>
      <c r="D3120" s="128" t="str">
        <f>IFERROR(VLOOKUP($B:$B,[20]свод!$A:$AB,3,0)," ")</f>
        <v>Тўрақўрғон тумани</v>
      </c>
      <c r="E3120" s="7" t="s">
        <v>4252</v>
      </c>
      <c r="F3120" s="7" t="s">
        <v>10614</v>
      </c>
      <c r="G3120" s="134" t="str">
        <f t="shared" si="331"/>
        <v/>
      </c>
      <c r="H3120" s="134">
        <f t="shared" si="332"/>
        <v>1</v>
      </c>
      <c r="I3120" s="7" t="s">
        <v>157</v>
      </c>
      <c r="J3120" s="7" t="s">
        <v>1</v>
      </c>
      <c r="K3120" s="7"/>
      <c r="L3120" s="7" t="s">
        <v>166</v>
      </c>
      <c r="M3120" s="7" t="s">
        <v>6267</v>
      </c>
      <c r="N3120" s="7" t="s">
        <v>170</v>
      </c>
      <c r="O3120" s="7" t="s">
        <v>161</v>
      </c>
      <c r="P3120" s="7" t="s">
        <v>6465</v>
      </c>
      <c r="Q3120" s="129">
        <v>46199</v>
      </c>
      <c r="R3120" s="130">
        <f t="shared" si="333"/>
        <v>46209</v>
      </c>
      <c r="S3120" s="131">
        <f t="shared" si="334"/>
        <v>10</v>
      </c>
      <c r="T3120" s="7" t="s">
        <v>203</v>
      </c>
      <c r="U3120" s="7" t="s">
        <v>270</v>
      </c>
      <c r="V3120" s="7"/>
      <c r="W3120" s="7">
        <v>830.38</v>
      </c>
      <c r="X3120" s="132">
        <f t="shared" si="335"/>
        <v>12</v>
      </c>
      <c r="Y3120" s="133"/>
      <c r="Z3120" s="133"/>
      <c r="AA3120" s="133"/>
    </row>
    <row r="3121" spans="1:27" hidden="1" x14ac:dyDescent="0.25">
      <c r="A3121" s="133"/>
      <c r="B3121" s="128" t="str">
        <f t="shared" si="330"/>
        <v>CHUT</v>
      </c>
      <c r="C3121" s="128" t="str">
        <f>+VLOOKUP(U3121,Ходим!A:B,2,0)</f>
        <v>33112995970023</v>
      </c>
      <c r="D3121" s="128" t="str">
        <f>IFERROR(VLOOKUP($B:$B,[20]свод!$A:$AB,3,0)," ")</f>
        <v>Чуст тумани</v>
      </c>
      <c r="E3121" s="7" t="s">
        <v>4253</v>
      </c>
      <c r="F3121" s="7" t="s">
        <v>10615</v>
      </c>
      <c r="G3121" s="134">
        <f t="shared" si="331"/>
        <v>1</v>
      </c>
      <c r="H3121" s="134" t="str">
        <f t="shared" si="332"/>
        <v/>
      </c>
      <c r="I3121" s="7" t="s">
        <v>156</v>
      </c>
      <c r="J3121" s="7" t="s">
        <v>25</v>
      </c>
      <c r="K3121" s="7"/>
      <c r="L3121" s="7"/>
      <c r="M3121" s="7"/>
      <c r="N3121" s="7" t="s">
        <v>170</v>
      </c>
      <c r="O3121" s="7" t="s">
        <v>162</v>
      </c>
      <c r="P3121" s="7" t="s">
        <v>7551</v>
      </c>
      <c r="Q3121" s="129">
        <v>46199</v>
      </c>
      <c r="R3121" s="130">
        <f t="shared" si="333"/>
        <v>46210</v>
      </c>
      <c r="S3121" s="131">
        <f t="shared" si="334"/>
        <v>11</v>
      </c>
      <c r="T3121" s="7" t="s">
        <v>178</v>
      </c>
      <c r="U3121" s="7" t="s">
        <v>179</v>
      </c>
      <c r="V3121" s="7"/>
      <c r="W3121" s="7"/>
      <c r="X3121" s="132">
        <f t="shared" si="335"/>
        <v>10</v>
      </c>
      <c r="Y3121" s="133"/>
      <c r="Z3121" s="133"/>
      <c r="AA3121" s="133"/>
    </row>
    <row r="3122" spans="1:27" hidden="1" x14ac:dyDescent="0.25">
      <c r="A3122" s="133"/>
      <c r="B3122" s="128" t="str">
        <f t="shared" si="330"/>
        <v>POPT</v>
      </c>
      <c r="C3122" s="128" t="str">
        <f>+VLOOKUP(U3122,Ходим!A:B,2,0)</f>
        <v>33107902120019</v>
      </c>
      <c r="D3122" s="128" t="str">
        <f>IFERROR(VLOOKUP($B:$B,[20]свод!$A:$AB,3,0)," ")</f>
        <v>Поп тумани</v>
      </c>
      <c r="E3122" s="7" t="s">
        <v>4254</v>
      </c>
      <c r="F3122" s="7" t="s">
        <v>10616</v>
      </c>
      <c r="G3122" s="134">
        <f t="shared" si="331"/>
        <v>1</v>
      </c>
      <c r="H3122" s="134" t="str">
        <f t="shared" si="332"/>
        <v/>
      </c>
      <c r="I3122" s="7" t="s">
        <v>156</v>
      </c>
      <c r="J3122" s="7" t="s">
        <v>25</v>
      </c>
      <c r="K3122" s="7"/>
      <c r="L3122" s="7"/>
      <c r="M3122" s="7"/>
      <c r="N3122" s="7" t="s">
        <v>170</v>
      </c>
      <c r="O3122" s="7" t="s">
        <v>162</v>
      </c>
      <c r="P3122" s="7" t="s">
        <v>7551</v>
      </c>
      <c r="Q3122" s="129">
        <v>46199</v>
      </c>
      <c r="R3122" s="130">
        <f t="shared" si="333"/>
        <v>46210</v>
      </c>
      <c r="S3122" s="131">
        <f t="shared" si="334"/>
        <v>11</v>
      </c>
      <c r="T3122" s="7" t="s">
        <v>214</v>
      </c>
      <c r="U3122" s="7" t="s">
        <v>224</v>
      </c>
      <c r="V3122" s="7"/>
      <c r="W3122" s="7"/>
      <c r="X3122" s="132">
        <f t="shared" si="335"/>
        <v>10</v>
      </c>
      <c r="Y3122" s="133"/>
      <c r="Z3122" s="133"/>
      <c r="AA3122" s="133"/>
    </row>
    <row r="3123" spans="1:27" hidden="1" x14ac:dyDescent="0.25">
      <c r="A3123" s="133"/>
      <c r="B3123" s="128" t="str">
        <f t="shared" si="330"/>
        <v>POPT</v>
      </c>
      <c r="C3123" s="128" t="str">
        <f>+VLOOKUP(U3123,Ходим!A:B,2,0)</f>
        <v>32209966000029</v>
      </c>
      <c r="D3123" s="128" t="str">
        <f>IFERROR(VLOOKUP($B:$B,[20]свод!$A:$AB,3,0)," ")</f>
        <v>Поп тумани</v>
      </c>
      <c r="E3123" s="7" t="s">
        <v>4255</v>
      </c>
      <c r="F3123" s="7" t="s">
        <v>10617</v>
      </c>
      <c r="G3123" s="134">
        <f t="shared" si="331"/>
        <v>1</v>
      </c>
      <c r="H3123" s="134" t="str">
        <f t="shared" si="332"/>
        <v/>
      </c>
      <c r="I3123" s="7" t="s">
        <v>156</v>
      </c>
      <c r="J3123" s="7" t="s">
        <v>25</v>
      </c>
      <c r="K3123" s="7"/>
      <c r="L3123" s="7"/>
      <c r="M3123" s="7"/>
      <c r="N3123" s="7" t="s">
        <v>170</v>
      </c>
      <c r="O3123" s="7" t="s">
        <v>162</v>
      </c>
      <c r="P3123" s="7" t="s">
        <v>7551</v>
      </c>
      <c r="Q3123" s="129">
        <v>46199</v>
      </c>
      <c r="R3123" s="130">
        <f t="shared" si="333"/>
        <v>46210</v>
      </c>
      <c r="S3123" s="131">
        <f t="shared" si="334"/>
        <v>11</v>
      </c>
      <c r="T3123" s="7" t="s">
        <v>214</v>
      </c>
      <c r="U3123" s="7" t="s">
        <v>282</v>
      </c>
      <c r="V3123" s="7"/>
      <c r="W3123" s="7"/>
      <c r="X3123" s="132">
        <f t="shared" si="335"/>
        <v>10</v>
      </c>
      <c r="Y3123" s="133"/>
      <c r="Z3123" s="133"/>
      <c r="AA3123" s="133"/>
    </row>
    <row r="3124" spans="1:27" hidden="1" x14ac:dyDescent="0.25">
      <c r="A3124" s="133"/>
      <c r="B3124" s="128" t="str">
        <f t="shared" si="330"/>
        <v>KSST</v>
      </c>
      <c r="C3124" s="128" t="str">
        <f>+VLOOKUP(U3124,Ходим!A:B,2,0)</f>
        <v>52812015980061</v>
      </c>
      <c r="D3124" s="128" t="str">
        <f>IFERROR(VLOOKUP($B:$B,[20]свод!$A:$AB,3,0)," ")</f>
        <v>Косонсой тумани</v>
      </c>
      <c r="E3124" s="7" t="s">
        <v>4256</v>
      </c>
      <c r="F3124" s="7" t="s">
        <v>10618</v>
      </c>
      <c r="G3124" s="134" t="str">
        <f t="shared" si="331"/>
        <v/>
      </c>
      <c r="H3124" s="134">
        <f t="shared" si="332"/>
        <v>1</v>
      </c>
      <c r="I3124" s="7" t="s">
        <v>154</v>
      </c>
      <c r="J3124" s="7" t="s">
        <v>2</v>
      </c>
      <c r="K3124" s="7"/>
      <c r="L3124" s="7" t="s">
        <v>166</v>
      </c>
      <c r="M3124" s="7" t="s">
        <v>6268</v>
      </c>
      <c r="N3124" s="7" t="s">
        <v>170</v>
      </c>
      <c r="O3124" s="7" t="s">
        <v>161</v>
      </c>
      <c r="P3124" s="7" t="s">
        <v>7552</v>
      </c>
      <c r="Q3124" s="129">
        <v>46199</v>
      </c>
      <c r="R3124" s="130">
        <f t="shared" si="333"/>
        <v>46210</v>
      </c>
      <c r="S3124" s="131">
        <f t="shared" si="334"/>
        <v>11</v>
      </c>
      <c r="T3124" s="7" t="s">
        <v>180</v>
      </c>
      <c r="U3124" s="7" t="s">
        <v>307</v>
      </c>
      <c r="V3124" s="7"/>
      <c r="W3124" s="7">
        <v>0</v>
      </c>
      <c r="X3124" s="132">
        <f t="shared" si="335"/>
        <v>10</v>
      </c>
      <c r="Y3124" s="133"/>
      <c r="Z3124" s="133"/>
      <c r="AA3124" s="133"/>
    </row>
    <row r="3125" spans="1:27" hidden="1" x14ac:dyDescent="0.25">
      <c r="A3125" s="133"/>
      <c r="B3125" s="128" t="str">
        <f t="shared" si="330"/>
        <v>NAMT</v>
      </c>
      <c r="C3125" s="128">
        <f>+VLOOKUP(U3125,Ходим!A:B,2,0)</f>
        <v>52908045880018</v>
      </c>
      <c r="D3125" s="128" t="str">
        <f>IFERROR(VLOOKUP($B:$B,[20]свод!$A:$AB,3,0)," ")</f>
        <v>Наманган тумани</v>
      </c>
      <c r="E3125" s="7" t="s">
        <v>4257</v>
      </c>
      <c r="F3125" s="7"/>
      <c r="G3125" s="134" t="str">
        <f t="shared" si="331"/>
        <v/>
      </c>
      <c r="H3125" s="134">
        <f t="shared" si="332"/>
        <v>1</v>
      </c>
      <c r="I3125" s="7" t="s">
        <v>154</v>
      </c>
      <c r="J3125" s="7" t="s">
        <v>145</v>
      </c>
      <c r="K3125" s="7"/>
      <c r="L3125" s="7" t="s">
        <v>166</v>
      </c>
      <c r="M3125" s="7" t="s">
        <v>6269</v>
      </c>
      <c r="N3125" s="7" t="s">
        <v>368</v>
      </c>
      <c r="O3125" s="7"/>
      <c r="P3125" s="7" t="s">
        <v>7508</v>
      </c>
      <c r="Q3125" s="129">
        <v>46199</v>
      </c>
      <c r="R3125" s="130">
        <f t="shared" si="333"/>
        <v>46203</v>
      </c>
      <c r="S3125" s="131">
        <f t="shared" si="334"/>
        <v>4</v>
      </c>
      <c r="T3125" s="7" t="s">
        <v>193</v>
      </c>
      <c r="U3125" s="7" t="s">
        <v>982</v>
      </c>
      <c r="V3125" s="7" t="s">
        <v>965</v>
      </c>
      <c r="W3125" s="7">
        <v>445.97</v>
      </c>
      <c r="X3125" s="132">
        <f t="shared" si="335"/>
        <v>5</v>
      </c>
      <c r="Y3125" s="133"/>
      <c r="Z3125" s="133"/>
      <c r="AA3125" s="133"/>
    </row>
    <row r="3126" spans="1:27" hidden="1" x14ac:dyDescent="0.25">
      <c r="A3126" s="133"/>
      <c r="B3126" s="128" t="str">
        <f t="shared" si="330"/>
        <v>TORT</v>
      </c>
      <c r="C3126" s="128" t="str">
        <f>+VLOOKUP(U3126,Ходим!A:B,2,0)</f>
        <v>30612832130021</v>
      </c>
      <c r="D3126" s="128" t="str">
        <f>IFERROR(VLOOKUP($B:$B,[20]свод!$A:$AB,3,0)," ")</f>
        <v>Тўрақўрғон тумани</v>
      </c>
      <c r="E3126" s="7" t="s">
        <v>4258</v>
      </c>
      <c r="F3126" s="7" t="s">
        <v>10619</v>
      </c>
      <c r="G3126" s="134">
        <f t="shared" si="331"/>
        <v>1</v>
      </c>
      <c r="H3126" s="134" t="str">
        <f t="shared" si="332"/>
        <v/>
      </c>
      <c r="I3126" s="7" t="s">
        <v>158</v>
      </c>
      <c r="J3126" s="7" t="s">
        <v>2</v>
      </c>
      <c r="K3126" s="7"/>
      <c r="L3126" s="7" t="s">
        <v>167</v>
      </c>
      <c r="M3126" s="7" t="s">
        <v>6270</v>
      </c>
      <c r="N3126" s="7" t="s">
        <v>170</v>
      </c>
      <c r="O3126" s="7" t="s">
        <v>162</v>
      </c>
      <c r="P3126" s="7" t="s">
        <v>7552</v>
      </c>
      <c r="Q3126" s="129">
        <v>46199</v>
      </c>
      <c r="R3126" s="130">
        <f t="shared" si="333"/>
        <v>46210</v>
      </c>
      <c r="S3126" s="131">
        <f t="shared" si="334"/>
        <v>11</v>
      </c>
      <c r="T3126" s="7" t="s">
        <v>203</v>
      </c>
      <c r="U3126" s="7" t="s">
        <v>342</v>
      </c>
      <c r="V3126" s="7"/>
      <c r="W3126" s="7">
        <v>257.60000000000002</v>
      </c>
      <c r="X3126" s="132">
        <f t="shared" si="335"/>
        <v>10</v>
      </c>
      <c r="Y3126" s="133"/>
      <c r="Z3126" s="133"/>
      <c r="AA3126" s="133"/>
    </row>
    <row r="3127" spans="1:27" hidden="1" x14ac:dyDescent="0.25">
      <c r="A3127" s="133"/>
      <c r="B3127" s="128" t="str">
        <f t="shared" si="330"/>
        <v>NAMS</v>
      </c>
      <c r="C3127" s="128" t="str">
        <f>+VLOOKUP(U3127,Ходим!A:B,2,0)</f>
        <v>50308015960081</v>
      </c>
      <c r="D3127" s="128" t="str">
        <f>IFERROR(VLOOKUP($B:$B,[20]свод!$A:$AB,3,0)," ")</f>
        <v>Наманган шаҳар</v>
      </c>
      <c r="E3127" s="7" t="s">
        <v>4259</v>
      </c>
      <c r="F3127" s="7" t="s">
        <v>10620</v>
      </c>
      <c r="G3127" s="134">
        <f t="shared" si="331"/>
        <v>1</v>
      </c>
      <c r="H3127" s="134" t="str">
        <f t="shared" si="332"/>
        <v/>
      </c>
      <c r="I3127" s="7" t="s">
        <v>156</v>
      </c>
      <c r="J3127" s="7" t="s">
        <v>25</v>
      </c>
      <c r="K3127" s="7"/>
      <c r="L3127" s="7" t="s">
        <v>169</v>
      </c>
      <c r="M3127" s="7" t="s">
        <v>6271</v>
      </c>
      <c r="N3127" s="7" t="s">
        <v>170</v>
      </c>
      <c r="O3127" s="7" t="s">
        <v>162</v>
      </c>
      <c r="P3127" s="7" t="s">
        <v>7552</v>
      </c>
      <c r="Q3127" s="129">
        <v>46199</v>
      </c>
      <c r="R3127" s="130">
        <f t="shared" si="333"/>
        <v>46205</v>
      </c>
      <c r="S3127" s="131">
        <f t="shared" si="334"/>
        <v>6</v>
      </c>
      <c r="T3127" s="7" t="s">
        <v>185</v>
      </c>
      <c r="U3127" s="7" t="s">
        <v>375</v>
      </c>
      <c r="V3127" s="7"/>
      <c r="W3127" s="7">
        <v>0</v>
      </c>
      <c r="X3127" s="132">
        <f t="shared" si="335"/>
        <v>7</v>
      </c>
      <c r="Y3127" s="133"/>
      <c r="Z3127" s="133"/>
      <c r="AA3127" s="133"/>
    </row>
    <row r="3128" spans="1:27" hidden="1" x14ac:dyDescent="0.25">
      <c r="A3128" s="133"/>
      <c r="B3128" s="128" t="str">
        <f t="shared" si="330"/>
        <v>UYCT</v>
      </c>
      <c r="C3128" s="128" t="str">
        <f>+VLOOKUP(U3128,Ходим!A:B,2,0)</f>
        <v>52811025930077</v>
      </c>
      <c r="D3128" s="128" t="str">
        <f>IFERROR(VLOOKUP($B:$B,[20]свод!$A:$AB,3,0)," ")</f>
        <v>Уйчи тумани</v>
      </c>
      <c r="E3128" s="7" t="s">
        <v>4260</v>
      </c>
      <c r="F3128" s="7" t="s">
        <v>10621</v>
      </c>
      <c r="G3128" s="134">
        <f t="shared" si="331"/>
        <v>1</v>
      </c>
      <c r="H3128" s="134" t="str">
        <f t="shared" si="332"/>
        <v/>
      </c>
      <c r="I3128" s="7" t="s">
        <v>158</v>
      </c>
      <c r="J3128" s="7" t="s">
        <v>2</v>
      </c>
      <c r="K3128" s="7"/>
      <c r="L3128" s="7" t="s">
        <v>167</v>
      </c>
      <c r="M3128" s="7" t="s">
        <v>6272</v>
      </c>
      <c r="N3128" s="7" t="s">
        <v>170</v>
      </c>
      <c r="O3128" s="7" t="s">
        <v>162</v>
      </c>
      <c r="P3128" s="7" t="s">
        <v>7552</v>
      </c>
      <c r="Q3128" s="129">
        <v>46199</v>
      </c>
      <c r="R3128" s="130">
        <f t="shared" si="333"/>
        <v>46210</v>
      </c>
      <c r="S3128" s="131">
        <f t="shared" si="334"/>
        <v>11</v>
      </c>
      <c r="T3128" s="7" t="s">
        <v>947</v>
      </c>
      <c r="U3128" s="7" t="s">
        <v>356</v>
      </c>
      <c r="V3128" s="7"/>
      <c r="W3128" s="7">
        <v>207.1</v>
      </c>
      <c r="X3128" s="132">
        <f t="shared" si="335"/>
        <v>10</v>
      </c>
      <c r="Y3128" s="133"/>
      <c r="Z3128" s="133"/>
      <c r="AA3128" s="133"/>
    </row>
  </sheetData>
  <sheetProtection deleteColumns="0" deleteRows="0"/>
  <autoFilter ref="A1:AA3128">
    <filterColumn colId="18">
      <filters>
        <filter val="0"/>
        <filter val="-1"/>
        <filter val="-10"/>
        <filter val="-16"/>
        <filter val="-17"/>
        <filter val="-18"/>
        <filter val="-2"/>
        <filter val="-21"/>
        <filter val="-3"/>
        <filter val="-39"/>
        <filter val="-4"/>
        <filter val="-42"/>
        <filter val="-57"/>
        <filter val="-7"/>
        <filter val="-8"/>
        <filter val="-84"/>
        <filter val="-88"/>
        <filter val="-9"/>
      </filters>
    </filterColumn>
  </autoFilter>
  <conditionalFormatting sqref="E1">
    <cfRule type="duplicateValues" dxfId="95" priority="66"/>
  </conditionalFormatting>
  <conditionalFormatting sqref="E1:R1">
    <cfRule type="duplicateValues" dxfId="94" priority="822"/>
    <cfRule type="duplicateValues" dxfId="93" priority="823"/>
    <cfRule type="duplicateValues" dxfId="92" priority="824"/>
  </conditionalFormatting>
  <conditionalFormatting sqref="F1">
    <cfRule type="duplicateValues" dxfId="91" priority="50"/>
    <cfRule type="duplicateValues" dxfId="90" priority="58"/>
    <cfRule type="duplicateValues" dxfId="89" priority="59"/>
  </conditionalFormatting>
  <conditionalFormatting sqref="J1:P1">
    <cfRule type="duplicateValues" dxfId="88" priority="47"/>
    <cfRule type="duplicateValues" dxfId="87" priority="48"/>
    <cfRule type="duplicateValues" dxfId="86" priority="49"/>
  </conditionalFormatting>
  <conditionalFormatting sqref="K1:P1">
    <cfRule type="duplicateValues" dxfId="85" priority="56"/>
    <cfRule type="duplicateValues" dxfId="84" priority="57"/>
  </conditionalFormatting>
  <conditionalFormatting sqref="K1:Q1">
    <cfRule type="duplicateValues" dxfId="83" priority="38"/>
  </conditionalFormatting>
  <conditionalFormatting sqref="R1">
    <cfRule type="duplicateValues" dxfId="82" priority="203"/>
    <cfRule type="duplicateValues" dxfId="81" priority="204"/>
  </conditionalFormatting>
  <conditionalFormatting sqref="S1">
    <cfRule type="duplicateValues" dxfId="80" priority="76"/>
    <cfRule type="duplicateValues" dxfId="79" priority="77"/>
    <cfRule type="duplicateValues" dxfId="78" priority="78"/>
    <cfRule type="duplicateValues" dxfId="77" priority="79"/>
    <cfRule type="duplicateValues" dxfId="76" priority="80"/>
  </conditionalFormatting>
  <conditionalFormatting sqref="T1:W1">
    <cfRule type="duplicateValues" dxfId="75" priority="29"/>
    <cfRule type="duplicateValues" dxfId="74" priority="30"/>
    <cfRule type="duplicateValues" dxfId="73" priority="31"/>
    <cfRule type="duplicateValues" dxfId="72" priority="32"/>
    <cfRule type="duplicateValues" dxfId="71" priority="33"/>
    <cfRule type="duplicateValues" dxfId="70" priority="34"/>
    <cfRule type="duplicateValues" dxfId="69" priority="35"/>
    <cfRule type="duplicateValues" dxfId="68" priority="36"/>
    <cfRule type="duplicateValues" dxfId="67" priority="37"/>
  </conditionalFormatting>
  <conditionalFormatting sqref="X1">
    <cfRule type="duplicateValues" dxfId="66" priority="769"/>
    <cfRule type="duplicateValues" dxfId="65" priority="770"/>
    <cfRule type="duplicateValues" dxfId="64" priority="771"/>
  </conditionalFormatting>
  <conditionalFormatting sqref="A1:AA1048576">
    <cfRule type="expression" dxfId="63" priority="28">
      <formula>$A1</formula>
    </cfRule>
  </conditionalFormatting>
  <conditionalFormatting sqref="T1:W1">
    <cfRule type="duplicateValues" dxfId="62" priority="25"/>
    <cfRule type="duplicateValues" dxfId="61" priority="26"/>
    <cfRule type="duplicateValues" dxfId="60" priority="27"/>
  </conditionalFormatting>
  <conditionalFormatting sqref="T1:W1">
    <cfRule type="duplicateValues" dxfId="59" priority="20"/>
    <cfRule type="duplicateValues" dxfId="58" priority="21"/>
    <cfRule type="duplicateValues" dxfId="57" priority="22"/>
  </conditionalFormatting>
  <conditionalFormatting sqref="T1:W1">
    <cfRule type="duplicateValues" dxfId="56" priority="23"/>
    <cfRule type="duplicateValues" dxfId="55" priority="24"/>
  </conditionalFormatting>
  <conditionalFormatting sqref="T1:W1">
    <cfRule type="duplicateValues" dxfId="54" priority="19"/>
  </conditionalFormatting>
  <conditionalFormatting sqref="T1:W1">
    <cfRule type="duplicateValues" dxfId="53" priority="16"/>
    <cfRule type="duplicateValues" dxfId="52" priority="17"/>
    <cfRule type="duplicateValues" dxfId="51" priority="18"/>
  </conditionalFormatting>
  <conditionalFormatting sqref="T1:W1">
    <cfRule type="duplicateValues" dxfId="50" priority="11"/>
    <cfRule type="duplicateValues" dxfId="49" priority="12"/>
    <cfRule type="duplicateValues" dxfId="48" priority="13"/>
  </conditionalFormatting>
  <conditionalFormatting sqref="T1:W1">
    <cfRule type="duplicateValues" dxfId="47" priority="14"/>
    <cfRule type="duplicateValues" dxfId="46" priority="15"/>
  </conditionalFormatting>
  <conditionalFormatting sqref="T1:W1">
    <cfRule type="duplicateValues" dxfId="45" priority="10"/>
  </conditionalFormatting>
  <conditionalFormatting sqref="T1:W1">
    <cfRule type="duplicateValues" dxfId="44" priority="7"/>
    <cfRule type="duplicateValues" dxfId="43" priority="8"/>
    <cfRule type="duplicateValues" dxfId="42" priority="9"/>
  </conditionalFormatting>
  <conditionalFormatting sqref="T1:W1">
    <cfRule type="duplicateValues" dxfId="41" priority="2"/>
    <cfRule type="duplicateValues" dxfId="40" priority="3"/>
    <cfRule type="duplicateValues" dxfId="39" priority="4"/>
  </conditionalFormatting>
  <conditionalFormatting sqref="T1:W1">
    <cfRule type="duplicateValues" dxfId="38" priority="5"/>
    <cfRule type="duplicateValues" dxfId="37" priority="6"/>
  </conditionalFormatting>
  <conditionalFormatting sqref="T1:W1">
    <cfRule type="duplicateValues" dxfId="36" priority="1"/>
  </conditionalFormatting>
  <pageMargins left="0.7" right="0.7" top="0.75" bottom="0.75"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
  <sheetViews>
    <sheetView topLeftCell="A93" zoomScaleNormal="100" workbookViewId="0">
      <selection activeCell="B111" sqref="B111"/>
    </sheetView>
  </sheetViews>
  <sheetFormatPr defaultColWidth="9.140625" defaultRowHeight="15" x14ac:dyDescent="0.25"/>
  <cols>
    <col min="1" max="1" width="35.7109375" bestFit="1" customWidth="1"/>
    <col min="2" max="2" width="23.7109375" customWidth="1"/>
    <col min="3" max="4" width="23.7109375" style="28" customWidth="1"/>
    <col min="5" max="5" width="47.85546875" style="28" bestFit="1" customWidth="1"/>
    <col min="6" max="6" width="15.140625" style="28" bestFit="1" customWidth="1"/>
    <col min="7" max="7" width="35.7109375" style="28" customWidth="1"/>
    <col min="8" max="16384" width="9.140625" style="28"/>
  </cols>
  <sheetData>
    <row r="1" spans="1:7" x14ac:dyDescent="0.25">
      <c r="A1" t="s">
        <v>439</v>
      </c>
      <c r="E1" s="28" t="s">
        <v>440</v>
      </c>
    </row>
    <row r="3" spans="1:7" x14ac:dyDescent="0.25">
      <c r="A3" t="s">
        <v>441</v>
      </c>
      <c r="E3" s="28" t="s">
        <v>442</v>
      </c>
      <c r="F3" s="28" t="s">
        <v>443</v>
      </c>
      <c r="G3" s="28" t="s">
        <v>444</v>
      </c>
    </row>
    <row r="4" spans="1:7" x14ac:dyDescent="0.25">
      <c r="A4" t="s">
        <v>445</v>
      </c>
      <c r="E4" s="28" t="s">
        <v>446</v>
      </c>
      <c r="F4" s="28" t="s">
        <v>447</v>
      </c>
      <c r="G4" s="28" t="s">
        <v>448</v>
      </c>
    </row>
    <row r="5" spans="1:7" x14ac:dyDescent="0.25">
      <c r="A5" t="s">
        <v>322</v>
      </c>
      <c r="B5" t="s">
        <v>449</v>
      </c>
      <c r="E5" s="28" t="s">
        <v>450</v>
      </c>
      <c r="F5" s="28" t="s">
        <v>451</v>
      </c>
      <c r="G5" s="28" t="s">
        <v>452</v>
      </c>
    </row>
    <row r="6" spans="1:7" x14ac:dyDescent="0.25">
      <c r="A6" t="s">
        <v>185</v>
      </c>
      <c r="B6" t="s">
        <v>451</v>
      </c>
      <c r="E6" s="28" t="s">
        <v>453</v>
      </c>
      <c r="F6" s="28" t="s">
        <v>454</v>
      </c>
      <c r="G6" s="28" t="s">
        <v>455</v>
      </c>
    </row>
    <row r="7" spans="1:7" x14ac:dyDescent="0.25">
      <c r="A7" t="s">
        <v>456</v>
      </c>
      <c r="B7" t="s">
        <v>457</v>
      </c>
      <c r="E7" s="28" t="s">
        <v>458</v>
      </c>
      <c r="F7" s="28" t="s">
        <v>459</v>
      </c>
      <c r="G7" s="28" t="s">
        <v>444</v>
      </c>
    </row>
    <row r="8" spans="1:7" x14ac:dyDescent="0.25">
      <c r="A8" t="s">
        <v>226</v>
      </c>
      <c r="B8" t="s">
        <v>460</v>
      </c>
      <c r="E8" s="28" t="s">
        <v>461</v>
      </c>
      <c r="F8" s="28" t="s">
        <v>426</v>
      </c>
      <c r="G8" s="28" t="s">
        <v>462</v>
      </c>
    </row>
    <row r="9" spans="1:7" x14ac:dyDescent="0.25">
      <c r="A9" t="s">
        <v>266</v>
      </c>
      <c r="B9" t="s">
        <v>463</v>
      </c>
      <c r="E9" s="28" t="s">
        <v>464</v>
      </c>
      <c r="F9" s="28" t="s">
        <v>465</v>
      </c>
      <c r="G9" s="28" t="s">
        <v>466</v>
      </c>
    </row>
    <row r="10" spans="1:7" x14ac:dyDescent="0.25">
      <c r="A10" t="s">
        <v>190</v>
      </c>
      <c r="B10" t="s">
        <v>467</v>
      </c>
      <c r="E10" s="28" t="s">
        <v>468</v>
      </c>
      <c r="F10" s="28" t="s">
        <v>469</v>
      </c>
      <c r="G10" s="28" t="s">
        <v>448</v>
      </c>
    </row>
    <row r="11" spans="1:7" x14ac:dyDescent="0.25">
      <c r="A11" t="s">
        <v>335</v>
      </c>
      <c r="B11" t="s">
        <v>470</v>
      </c>
      <c r="E11" s="28" t="s">
        <v>471</v>
      </c>
      <c r="F11" s="28" t="s">
        <v>472</v>
      </c>
      <c r="G11" s="28" t="s">
        <v>444</v>
      </c>
    </row>
    <row r="12" spans="1:7" x14ac:dyDescent="0.25">
      <c r="A12" t="s">
        <v>310</v>
      </c>
      <c r="B12" t="s">
        <v>473</v>
      </c>
      <c r="E12" s="28" t="s">
        <v>474</v>
      </c>
      <c r="F12" s="28" t="s">
        <v>475</v>
      </c>
      <c r="G12" s="28" t="s">
        <v>476</v>
      </c>
    </row>
    <row r="13" spans="1:7" x14ac:dyDescent="0.25">
      <c r="A13" t="s">
        <v>251</v>
      </c>
      <c r="B13" t="s">
        <v>477</v>
      </c>
      <c r="E13" s="28" t="s">
        <v>478</v>
      </c>
      <c r="F13" s="28" t="s">
        <v>427</v>
      </c>
      <c r="G13" s="28" t="s">
        <v>462</v>
      </c>
    </row>
    <row r="14" spans="1:7" x14ac:dyDescent="0.25">
      <c r="A14" s="7" t="s">
        <v>409</v>
      </c>
      <c r="B14" s="30" t="s">
        <v>932</v>
      </c>
      <c r="C14" s="7"/>
      <c r="D14" s="30"/>
      <c r="E14" s="28" t="s">
        <v>480</v>
      </c>
      <c r="F14" s="28" t="s">
        <v>481</v>
      </c>
      <c r="G14" s="28" t="s">
        <v>444</v>
      </c>
    </row>
    <row r="15" spans="1:7" x14ac:dyDescent="0.25">
      <c r="A15" s="7" t="s">
        <v>404</v>
      </c>
      <c r="B15" s="30" t="s">
        <v>933</v>
      </c>
      <c r="C15" s="7"/>
      <c r="D15" s="30"/>
      <c r="E15" s="28" t="s">
        <v>483</v>
      </c>
      <c r="F15" s="28" t="s">
        <v>428</v>
      </c>
      <c r="G15" s="28" t="s">
        <v>462</v>
      </c>
    </row>
    <row r="16" spans="1:7" x14ac:dyDescent="0.25">
      <c r="A16" s="7" t="s">
        <v>406</v>
      </c>
      <c r="B16" s="30" t="s">
        <v>934</v>
      </c>
      <c r="C16" s="7"/>
      <c r="D16" s="30"/>
      <c r="E16" s="28" t="s">
        <v>485</v>
      </c>
      <c r="F16" s="28" t="s">
        <v>486</v>
      </c>
      <c r="G16" s="28" t="s">
        <v>448</v>
      </c>
    </row>
    <row r="17" spans="1:7" x14ac:dyDescent="0.25">
      <c r="A17" t="s">
        <v>479</v>
      </c>
      <c r="C17" s="7"/>
      <c r="D17" s="30"/>
      <c r="E17" s="28" t="s">
        <v>488</v>
      </c>
      <c r="F17" s="28" t="s">
        <v>489</v>
      </c>
      <c r="G17" s="28" t="s">
        <v>455</v>
      </c>
    </row>
    <row r="18" spans="1:7" x14ac:dyDescent="0.25">
      <c r="A18" t="s">
        <v>238</v>
      </c>
      <c r="B18" t="s">
        <v>482</v>
      </c>
      <c r="E18" s="28" t="s">
        <v>491</v>
      </c>
      <c r="F18" s="28" t="s">
        <v>492</v>
      </c>
      <c r="G18" s="28" t="s">
        <v>493</v>
      </c>
    </row>
    <row r="19" spans="1:7" x14ac:dyDescent="0.25">
      <c r="A19" t="s">
        <v>289</v>
      </c>
      <c r="B19" t="s">
        <v>484</v>
      </c>
      <c r="E19" s="28" t="s">
        <v>495</v>
      </c>
      <c r="F19" s="28" t="s">
        <v>496</v>
      </c>
      <c r="G19" s="28" t="s">
        <v>493</v>
      </c>
    </row>
    <row r="20" spans="1:7" x14ac:dyDescent="0.25">
      <c r="A20" t="s">
        <v>347</v>
      </c>
      <c r="B20" t="s">
        <v>487</v>
      </c>
      <c r="E20" s="28" t="s">
        <v>498</v>
      </c>
      <c r="F20" s="28" t="s">
        <v>499</v>
      </c>
      <c r="G20" s="28" t="s">
        <v>500</v>
      </c>
    </row>
    <row r="21" spans="1:7" x14ac:dyDescent="0.25">
      <c r="A21" t="s">
        <v>290</v>
      </c>
      <c r="B21" t="s">
        <v>490</v>
      </c>
      <c r="E21" s="28" t="s">
        <v>502</v>
      </c>
      <c r="F21" s="28" t="s">
        <v>503</v>
      </c>
      <c r="G21" s="28" t="s">
        <v>466</v>
      </c>
    </row>
    <row r="22" spans="1:7" x14ac:dyDescent="0.25">
      <c r="A22" t="s">
        <v>352</v>
      </c>
      <c r="B22" t="s">
        <v>494</v>
      </c>
      <c r="E22" s="28" t="s">
        <v>505</v>
      </c>
      <c r="F22" s="28" t="s">
        <v>506</v>
      </c>
      <c r="G22" s="28" t="s">
        <v>507</v>
      </c>
    </row>
    <row r="23" spans="1:7" x14ac:dyDescent="0.25">
      <c r="A23" t="s">
        <v>200</v>
      </c>
      <c r="B23" t="s">
        <v>497</v>
      </c>
      <c r="E23" s="28" t="s">
        <v>508</v>
      </c>
      <c r="F23" s="28" t="s">
        <v>509</v>
      </c>
      <c r="G23" s="28" t="s">
        <v>510</v>
      </c>
    </row>
    <row r="24" spans="1:7" x14ac:dyDescent="0.25">
      <c r="A24" t="s">
        <v>351</v>
      </c>
      <c r="B24" t="s">
        <v>501</v>
      </c>
      <c r="E24" s="28" t="s">
        <v>512</v>
      </c>
      <c r="F24" s="28" t="s">
        <v>513</v>
      </c>
      <c r="G24" s="28" t="s">
        <v>444</v>
      </c>
    </row>
    <row r="25" spans="1:7" x14ac:dyDescent="0.25">
      <c r="A25" t="s">
        <v>350</v>
      </c>
      <c r="B25" t="s">
        <v>504</v>
      </c>
      <c r="E25" s="28" t="s">
        <v>515</v>
      </c>
      <c r="F25" s="28" t="s">
        <v>482</v>
      </c>
      <c r="G25" s="28" t="s">
        <v>476</v>
      </c>
    </row>
    <row r="26" spans="1:7" x14ac:dyDescent="0.25">
      <c r="A26" t="s">
        <v>324</v>
      </c>
      <c r="B26" t="s">
        <v>475</v>
      </c>
      <c r="E26" s="28" t="s">
        <v>517</v>
      </c>
      <c r="F26" s="28" t="s">
        <v>518</v>
      </c>
      <c r="G26" s="28" t="s">
        <v>507</v>
      </c>
    </row>
    <row r="27" spans="1:7" x14ac:dyDescent="0.25">
      <c r="A27" t="s">
        <v>179</v>
      </c>
      <c r="B27" t="s">
        <v>511</v>
      </c>
      <c r="E27" s="28" t="s">
        <v>520</v>
      </c>
      <c r="F27" s="28" t="s">
        <v>490</v>
      </c>
      <c r="G27" s="28" t="s">
        <v>476</v>
      </c>
    </row>
    <row r="28" spans="1:7" x14ac:dyDescent="0.25">
      <c r="A28" t="s">
        <v>315</v>
      </c>
      <c r="B28" t="s">
        <v>514</v>
      </c>
      <c r="E28" s="28" t="s">
        <v>523</v>
      </c>
      <c r="F28" s="28" t="s">
        <v>516</v>
      </c>
      <c r="G28" s="28" t="s">
        <v>476</v>
      </c>
    </row>
    <row r="29" spans="1:7" x14ac:dyDescent="0.25">
      <c r="A29" t="s">
        <v>191</v>
      </c>
      <c r="B29" t="s">
        <v>516</v>
      </c>
      <c r="E29" s="28" t="s">
        <v>525</v>
      </c>
      <c r="F29" s="28" t="s">
        <v>429</v>
      </c>
      <c r="G29" s="28" t="s">
        <v>462</v>
      </c>
    </row>
    <row r="30" spans="1:7" x14ac:dyDescent="0.25">
      <c r="A30" t="s">
        <v>387</v>
      </c>
      <c r="B30" t="s">
        <v>519</v>
      </c>
      <c r="E30" s="28" t="s">
        <v>527</v>
      </c>
      <c r="F30" s="28" t="s">
        <v>528</v>
      </c>
      <c r="G30" s="28" t="s">
        <v>444</v>
      </c>
    </row>
    <row r="31" spans="1:7" x14ac:dyDescent="0.25">
      <c r="A31" t="s">
        <v>521</v>
      </c>
      <c r="B31" t="s">
        <v>522</v>
      </c>
      <c r="E31" s="28" t="s">
        <v>530</v>
      </c>
      <c r="F31" s="28" t="s">
        <v>430</v>
      </c>
      <c r="G31" s="28" t="s">
        <v>462</v>
      </c>
    </row>
    <row r="32" spans="1:7" x14ac:dyDescent="0.25">
      <c r="A32" t="s">
        <v>284</v>
      </c>
      <c r="B32" t="s">
        <v>524</v>
      </c>
      <c r="E32" s="28" t="s">
        <v>532</v>
      </c>
      <c r="F32" s="28" t="s">
        <v>533</v>
      </c>
      <c r="G32" s="28" t="s">
        <v>510</v>
      </c>
    </row>
    <row r="33" spans="1:7" x14ac:dyDescent="0.25">
      <c r="A33" t="s">
        <v>202</v>
      </c>
      <c r="B33" t="s">
        <v>526</v>
      </c>
      <c r="E33" s="28" t="s">
        <v>534</v>
      </c>
      <c r="F33" s="28" t="s">
        <v>535</v>
      </c>
      <c r="G33" s="28" t="s">
        <v>493</v>
      </c>
    </row>
    <row r="34" spans="1:7" x14ac:dyDescent="0.25">
      <c r="A34" s="7" t="s">
        <v>938</v>
      </c>
      <c r="B34" s="30" t="s">
        <v>939</v>
      </c>
      <c r="E34" s="28" t="s">
        <v>537</v>
      </c>
      <c r="F34" s="28" t="s">
        <v>538</v>
      </c>
      <c r="G34" s="28" t="s">
        <v>539</v>
      </c>
    </row>
    <row r="35" spans="1:7" x14ac:dyDescent="0.25">
      <c r="A35" t="s">
        <v>529</v>
      </c>
      <c r="E35" s="28" t="s">
        <v>541</v>
      </c>
      <c r="F35" s="28" t="s">
        <v>542</v>
      </c>
      <c r="G35" s="28" t="s">
        <v>455</v>
      </c>
    </row>
    <row r="36" spans="1:7" x14ac:dyDescent="0.25">
      <c r="A36" t="s">
        <v>231</v>
      </c>
      <c r="B36" t="s">
        <v>531</v>
      </c>
      <c r="E36" s="28" t="s">
        <v>544</v>
      </c>
      <c r="F36" s="28" t="s">
        <v>545</v>
      </c>
      <c r="G36" s="28" t="s">
        <v>510</v>
      </c>
    </row>
    <row r="37" spans="1:7" x14ac:dyDescent="0.25">
      <c r="A37" t="s">
        <v>181</v>
      </c>
      <c r="B37" t="s">
        <v>469</v>
      </c>
      <c r="E37" s="28" t="s">
        <v>546</v>
      </c>
      <c r="F37" s="28" t="s">
        <v>547</v>
      </c>
      <c r="G37" s="28" t="s">
        <v>548</v>
      </c>
    </row>
    <row r="38" spans="1:7" x14ac:dyDescent="0.25">
      <c r="A38" t="s">
        <v>370</v>
      </c>
      <c r="B38" t="s">
        <v>536</v>
      </c>
      <c r="E38" s="28" t="s">
        <v>550</v>
      </c>
      <c r="F38" s="28" t="s">
        <v>551</v>
      </c>
      <c r="G38" s="28" t="s">
        <v>510</v>
      </c>
    </row>
    <row r="39" spans="1:7" x14ac:dyDescent="0.25">
      <c r="A39" t="s">
        <v>236</v>
      </c>
      <c r="B39" t="s">
        <v>540</v>
      </c>
      <c r="E39" s="28" t="s">
        <v>552</v>
      </c>
      <c r="F39" s="28" t="s">
        <v>553</v>
      </c>
      <c r="G39" s="28" t="s">
        <v>448</v>
      </c>
    </row>
    <row r="40" spans="1:7" x14ac:dyDescent="0.25">
      <c r="A40" t="s">
        <v>232</v>
      </c>
      <c r="B40" t="s">
        <v>543</v>
      </c>
      <c r="E40" s="28" t="s">
        <v>555</v>
      </c>
      <c r="F40" s="28" t="s">
        <v>431</v>
      </c>
      <c r="G40" s="28" t="s">
        <v>462</v>
      </c>
    </row>
    <row r="41" spans="1:7" x14ac:dyDescent="0.25">
      <c r="A41" t="s">
        <v>286</v>
      </c>
      <c r="B41" t="s">
        <v>447</v>
      </c>
      <c r="E41" s="28" t="s">
        <v>557</v>
      </c>
      <c r="F41" s="28" t="s">
        <v>558</v>
      </c>
      <c r="G41" s="28" t="s">
        <v>507</v>
      </c>
    </row>
    <row r="42" spans="1:7" x14ac:dyDescent="0.25">
      <c r="A42" t="s">
        <v>254</v>
      </c>
      <c r="B42" t="s">
        <v>549</v>
      </c>
      <c r="E42" s="28" t="s">
        <v>560</v>
      </c>
      <c r="F42" s="28" t="s">
        <v>561</v>
      </c>
      <c r="G42" s="28" t="s">
        <v>444</v>
      </c>
    </row>
    <row r="43" spans="1:7" x14ac:dyDescent="0.25">
      <c r="A43" t="s">
        <v>187</v>
      </c>
      <c r="B43" t="s">
        <v>486</v>
      </c>
      <c r="E43" s="28" t="s">
        <v>562</v>
      </c>
      <c r="F43" s="28" t="s">
        <v>563</v>
      </c>
      <c r="G43" s="28" t="s">
        <v>448</v>
      </c>
    </row>
    <row r="44" spans="1:7" x14ac:dyDescent="0.25">
      <c r="A44" s="31" t="s">
        <v>554</v>
      </c>
      <c r="B44">
        <v>31207812190095</v>
      </c>
      <c r="E44" s="28" t="s">
        <v>564</v>
      </c>
      <c r="F44" s="28" t="s">
        <v>565</v>
      </c>
      <c r="G44" s="28" t="s">
        <v>444</v>
      </c>
    </row>
    <row r="45" spans="1:7" x14ac:dyDescent="0.25">
      <c r="A45" t="s">
        <v>307</v>
      </c>
      <c r="B45" t="s">
        <v>556</v>
      </c>
      <c r="E45" s="28" t="s">
        <v>567</v>
      </c>
      <c r="F45" s="28" t="s">
        <v>432</v>
      </c>
      <c r="G45" s="28" t="s">
        <v>462</v>
      </c>
    </row>
    <row r="46" spans="1:7" x14ac:dyDescent="0.25">
      <c r="A46" t="s">
        <v>196</v>
      </c>
      <c r="B46" t="s">
        <v>559</v>
      </c>
      <c r="E46" s="28" t="s">
        <v>569</v>
      </c>
      <c r="F46" s="28" t="s">
        <v>570</v>
      </c>
      <c r="G46" s="28" t="s">
        <v>493</v>
      </c>
    </row>
    <row r="47" spans="1:7" x14ac:dyDescent="0.25">
      <c r="A47" t="s">
        <v>188</v>
      </c>
      <c r="B47" t="s">
        <v>553</v>
      </c>
      <c r="E47" s="28" t="s">
        <v>571</v>
      </c>
      <c r="F47" s="28" t="s">
        <v>572</v>
      </c>
      <c r="G47" s="28" t="s">
        <v>539</v>
      </c>
    </row>
    <row r="48" spans="1:7" x14ac:dyDescent="0.25">
      <c r="A48" t="s">
        <v>360</v>
      </c>
      <c r="B48" t="s">
        <v>563</v>
      </c>
      <c r="E48" s="28" t="s">
        <v>574</v>
      </c>
      <c r="F48" s="28" t="s">
        <v>434</v>
      </c>
      <c r="G48" s="28" t="s">
        <v>462</v>
      </c>
    </row>
    <row r="49" spans="1:7" x14ac:dyDescent="0.25">
      <c r="A49" t="s">
        <v>566</v>
      </c>
      <c r="E49" s="28" t="s">
        <v>576</v>
      </c>
      <c r="F49" s="28" t="s">
        <v>435</v>
      </c>
      <c r="G49" s="28" t="s">
        <v>462</v>
      </c>
    </row>
    <row r="50" spans="1:7" x14ac:dyDescent="0.25">
      <c r="A50" t="s">
        <v>291</v>
      </c>
      <c r="B50" t="s">
        <v>568</v>
      </c>
      <c r="E50" s="28" t="s">
        <v>578</v>
      </c>
      <c r="F50" s="28" t="s">
        <v>579</v>
      </c>
      <c r="G50" s="28" t="s">
        <v>580</v>
      </c>
    </row>
    <row r="51" spans="1:7" x14ac:dyDescent="0.25">
      <c r="A51" t="s">
        <v>252</v>
      </c>
      <c r="B51" t="s">
        <v>509</v>
      </c>
      <c r="E51" s="28" t="s">
        <v>581</v>
      </c>
      <c r="F51" s="28" t="s">
        <v>582</v>
      </c>
      <c r="G51" s="28" t="s">
        <v>580</v>
      </c>
    </row>
    <row r="52" spans="1:7" x14ac:dyDescent="0.25">
      <c r="A52" t="s">
        <v>262</v>
      </c>
      <c r="B52" t="s">
        <v>573</v>
      </c>
      <c r="E52" s="28" t="s">
        <v>584</v>
      </c>
      <c r="F52" s="28" t="s">
        <v>585</v>
      </c>
      <c r="G52" s="28" t="s">
        <v>444</v>
      </c>
    </row>
    <row r="53" spans="1:7" x14ac:dyDescent="0.25">
      <c r="A53" t="s">
        <v>372</v>
      </c>
      <c r="B53" t="s">
        <v>575</v>
      </c>
      <c r="E53" s="28" t="s">
        <v>587</v>
      </c>
      <c r="F53" s="28" t="s">
        <v>588</v>
      </c>
      <c r="G53" s="28" t="s">
        <v>444</v>
      </c>
    </row>
    <row r="54" spans="1:7" x14ac:dyDescent="0.25">
      <c r="A54" t="s">
        <v>225</v>
      </c>
      <c r="B54" t="s">
        <v>577</v>
      </c>
      <c r="E54" s="28" t="s">
        <v>590</v>
      </c>
      <c r="F54" s="28" t="s">
        <v>591</v>
      </c>
      <c r="G54" s="28" t="s">
        <v>444</v>
      </c>
    </row>
    <row r="55" spans="1:7" x14ac:dyDescent="0.25">
      <c r="A55" t="s">
        <v>271</v>
      </c>
      <c r="B55" t="s">
        <v>551</v>
      </c>
      <c r="E55" s="28" t="s">
        <v>592</v>
      </c>
      <c r="F55" s="28" t="s">
        <v>526</v>
      </c>
      <c r="G55" s="28" t="s">
        <v>476</v>
      </c>
    </row>
    <row r="56" spans="1:7" x14ac:dyDescent="0.25">
      <c r="A56" t="s">
        <v>334</v>
      </c>
      <c r="B56" t="s">
        <v>583</v>
      </c>
      <c r="E56" s="28" t="s">
        <v>594</v>
      </c>
      <c r="F56" s="28" t="s">
        <v>595</v>
      </c>
      <c r="G56" s="28" t="s">
        <v>548</v>
      </c>
    </row>
    <row r="57" spans="1:7" x14ac:dyDescent="0.25">
      <c r="A57" t="s">
        <v>268</v>
      </c>
      <c r="B57" t="s">
        <v>586</v>
      </c>
      <c r="E57" s="28" t="s">
        <v>596</v>
      </c>
      <c r="F57" s="28" t="s">
        <v>597</v>
      </c>
      <c r="G57" s="28" t="s">
        <v>444</v>
      </c>
    </row>
    <row r="58" spans="1:7" x14ac:dyDescent="0.25">
      <c r="A58" t="s">
        <v>222</v>
      </c>
      <c r="B58" t="s">
        <v>589</v>
      </c>
      <c r="E58" s="28" t="s">
        <v>599</v>
      </c>
      <c r="F58" s="28" t="s">
        <v>484</v>
      </c>
      <c r="G58" s="28" t="s">
        <v>476</v>
      </c>
    </row>
    <row r="59" spans="1:7" x14ac:dyDescent="0.25">
      <c r="A59" t="s">
        <v>221</v>
      </c>
      <c r="B59" t="s">
        <v>545</v>
      </c>
      <c r="E59" s="28" t="s">
        <v>600</v>
      </c>
      <c r="F59" s="28" t="s">
        <v>601</v>
      </c>
      <c r="G59" s="28" t="s">
        <v>455</v>
      </c>
    </row>
    <row r="60" spans="1:7" x14ac:dyDescent="0.25">
      <c r="A60" t="s">
        <v>317</v>
      </c>
      <c r="B60" t="s">
        <v>593</v>
      </c>
      <c r="E60" s="28" t="s">
        <v>602</v>
      </c>
      <c r="F60" s="28" t="s">
        <v>514</v>
      </c>
      <c r="G60" s="28" t="s">
        <v>476</v>
      </c>
    </row>
    <row r="61" spans="1:7" x14ac:dyDescent="0.25">
      <c r="A61" t="s">
        <v>178</v>
      </c>
      <c r="B61" t="s">
        <v>533</v>
      </c>
      <c r="E61" s="28" t="s">
        <v>603</v>
      </c>
      <c r="F61" s="28" t="s">
        <v>604</v>
      </c>
      <c r="G61" s="28" t="s">
        <v>548</v>
      </c>
    </row>
    <row r="62" spans="1:7" x14ac:dyDescent="0.25">
      <c r="A62" t="s">
        <v>598</v>
      </c>
      <c r="E62" s="28" t="s">
        <v>605</v>
      </c>
      <c r="F62" s="28" t="s">
        <v>606</v>
      </c>
      <c r="G62" s="28" t="s">
        <v>466</v>
      </c>
    </row>
    <row r="63" spans="1:7" x14ac:dyDescent="0.25">
      <c r="A63" t="s">
        <v>259</v>
      </c>
      <c r="B63" t="s">
        <v>427</v>
      </c>
      <c r="E63" s="28" t="s">
        <v>608</v>
      </c>
      <c r="F63" s="28" t="s">
        <v>609</v>
      </c>
      <c r="G63" s="28" t="s">
        <v>444</v>
      </c>
    </row>
    <row r="64" spans="1:7" x14ac:dyDescent="0.25">
      <c r="A64" t="s">
        <v>405</v>
      </c>
      <c r="B64" t="s">
        <v>472</v>
      </c>
      <c r="E64" s="28" t="s">
        <v>611</v>
      </c>
      <c r="F64" s="28" t="s">
        <v>531</v>
      </c>
      <c r="G64" s="28" t="s">
        <v>448</v>
      </c>
    </row>
    <row r="65" spans="1:7" x14ac:dyDescent="0.25">
      <c r="A65" t="s">
        <v>377</v>
      </c>
      <c r="B65" t="s">
        <v>436</v>
      </c>
      <c r="E65" s="28" t="s">
        <v>612</v>
      </c>
      <c r="F65" s="28" t="s">
        <v>610</v>
      </c>
      <c r="G65" s="28" t="s">
        <v>444</v>
      </c>
    </row>
    <row r="66" spans="1:7" x14ac:dyDescent="0.25">
      <c r="A66" t="s">
        <v>294</v>
      </c>
      <c r="B66" t="s">
        <v>429</v>
      </c>
      <c r="E66" s="28" t="s">
        <v>613</v>
      </c>
      <c r="F66" s="28" t="s">
        <v>497</v>
      </c>
      <c r="G66" s="28" t="s">
        <v>476</v>
      </c>
    </row>
    <row r="67" spans="1:7" x14ac:dyDescent="0.25">
      <c r="A67" t="s">
        <v>349</v>
      </c>
      <c r="B67" t="s">
        <v>607</v>
      </c>
      <c r="E67" s="28" t="s">
        <v>615</v>
      </c>
      <c r="F67" s="28" t="s">
        <v>437</v>
      </c>
      <c r="G67" s="28" t="s">
        <v>462</v>
      </c>
    </row>
    <row r="68" spans="1:7" x14ac:dyDescent="0.25">
      <c r="A68" t="s">
        <v>274</v>
      </c>
      <c r="B68" t="s">
        <v>610</v>
      </c>
      <c r="E68" s="28" t="s">
        <v>617</v>
      </c>
      <c r="F68" s="28" t="s">
        <v>618</v>
      </c>
      <c r="G68" s="28" t="s">
        <v>500</v>
      </c>
    </row>
    <row r="69" spans="1:7" x14ac:dyDescent="0.25">
      <c r="A69" t="s">
        <v>177</v>
      </c>
      <c r="B69" t="s">
        <v>428</v>
      </c>
      <c r="E69" s="28" t="s">
        <v>620</v>
      </c>
      <c r="F69" s="28" t="s">
        <v>621</v>
      </c>
      <c r="G69" s="28" t="s">
        <v>493</v>
      </c>
    </row>
    <row r="70" spans="1:7" x14ac:dyDescent="0.25">
      <c r="A70" t="s">
        <v>388</v>
      </c>
      <c r="B70" t="s">
        <v>443</v>
      </c>
      <c r="E70" s="28" t="s">
        <v>622</v>
      </c>
      <c r="F70" s="28" t="s">
        <v>589</v>
      </c>
      <c r="G70" s="28" t="s">
        <v>510</v>
      </c>
    </row>
    <row r="71" spans="1:7" x14ac:dyDescent="0.25">
      <c r="A71" t="s">
        <v>403</v>
      </c>
      <c r="B71" t="s">
        <v>614</v>
      </c>
      <c r="E71" s="28" t="s">
        <v>623</v>
      </c>
      <c r="F71" s="28" t="s">
        <v>624</v>
      </c>
      <c r="G71" s="28" t="s">
        <v>548</v>
      </c>
    </row>
    <row r="72" spans="1:7" x14ac:dyDescent="0.25">
      <c r="A72" t="s">
        <v>348</v>
      </c>
      <c r="B72" t="s">
        <v>616</v>
      </c>
      <c r="E72" s="28" t="s">
        <v>626</v>
      </c>
      <c r="F72" s="28" t="s">
        <v>627</v>
      </c>
      <c r="G72" s="28" t="s">
        <v>444</v>
      </c>
    </row>
    <row r="73" spans="1:7" x14ac:dyDescent="0.25">
      <c r="A73" t="s">
        <v>218</v>
      </c>
      <c r="B73" t="s">
        <v>619</v>
      </c>
      <c r="E73" s="28" t="s">
        <v>629</v>
      </c>
      <c r="F73" s="28" t="s">
        <v>630</v>
      </c>
      <c r="G73" s="28" t="s">
        <v>455</v>
      </c>
    </row>
    <row r="74" spans="1:7" x14ac:dyDescent="0.25">
      <c r="A74" t="s">
        <v>237</v>
      </c>
      <c r="B74" t="s">
        <v>588</v>
      </c>
      <c r="E74" s="28" t="s">
        <v>631</v>
      </c>
      <c r="F74" s="28" t="s">
        <v>632</v>
      </c>
      <c r="G74" s="28" t="s">
        <v>493</v>
      </c>
    </row>
    <row r="75" spans="1:7" x14ac:dyDescent="0.25">
      <c r="A75" t="s">
        <v>301</v>
      </c>
      <c r="B75" t="s">
        <v>454</v>
      </c>
      <c r="E75" s="28" t="s">
        <v>634</v>
      </c>
      <c r="F75" s="28" t="s">
        <v>635</v>
      </c>
      <c r="G75" s="28" t="s">
        <v>493</v>
      </c>
    </row>
    <row r="76" spans="1:7" x14ac:dyDescent="0.25">
      <c r="A76" t="s">
        <v>314</v>
      </c>
      <c r="B76" t="s">
        <v>625</v>
      </c>
      <c r="E76" s="28" t="s">
        <v>636</v>
      </c>
      <c r="F76" s="28" t="s">
        <v>438</v>
      </c>
      <c r="G76" s="28" t="s">
        <v>462</v>
      </c>
    </row>
    <row r="77" spans="1:7" x14ac:dyDescent="0.25">
      <c r="A77" t="s">
        <v>375</v>
      </c>
      <c r="B77" t="s">
        <v>628</v>
      </c>
      <c r="E77" s="28" t="s">
        <v>637</v>
      </c>
      <c r="F77" s="28" t="s">
        <v>607</v>
      </c>
      <c r="G77" s="28" t="s">
        <v>444</v>
      </c>
    </row>
    <row r="78" spans="1:7" x14ac:dyDescent="0.25">
      <c r="A78" t="s">
        <v>333</v>
      </c>
      <c r="B78" t="s">
        <v>434</v>
      </c>
      <c r="E78" s="28" t="s">
        <v>638</v>
      </c>
      <c r="F78" s="28" t="s">
        <v>573</v>
      </c>
      <c r="G78" s="28" t="s">
        <v>510</v>
      </c>
    </row>
    <row r="79" spans="1:7" x14ac:dyDescent="0.25">
      <c r="A79" t="s">
        <v>192</v>
      </c>
      <c r="B79" t="s">
        <v>633</v>
      </c>
    </row>
    <row r="80" spans="1:7" x14ac:dyDescent="0.25">
      <c r="A80" t="s">
        <v>189</v>
      </c>
      <c r="B80" t="s">
        <v>481</v>
      </c>
    </row>
    <row r="81" spans="1:2" x14ac:dyDescent="0.25">
      <c r="A81" t="s">
        <v>229</v>
      </c>
      <c r="B81" t="s">
        <v>431</v>
      </c>
    </row>
    <row r="82" spans="1:2" x14ac:dyDescent="0.25">
      <c r="A82" t="s">
        <v>233</v>
      </c>
      <c r="B82" t="s">
        <v>528</v>
      </c>
    </row>
    <row r="83" spans="1:2" x14ac:dyDescent="0.25">
      <c r="A83" t="s">
        <v>213</v>
      </c>
      <c r="B83" t="s">
        <v>489</v>
      </c>
    </row>
    <row r="84" spans="1:2" x14ac:dyDescent="0.25">
      <c r="A84" t="s">
        <v>402</v>
      </c>
      <c r="B84" t="s">
        <v>433</v>
      </c>
    </row>
    <row r="85" spans="1:2" x14ac:dyDescent="0.25">
      <c r="A85" t="s">
        <v>264</v>
      </c>
      <c r="B85" t="s">
        <v>426</v>
      </c>
    </row>
    <row r="86" spans="1:2" x14ac:dyDescent="0.25">
      <c r="A86" t="s">
        <v>319</v>
      </c>
      <c r="B86" t="s">
        <v>435</v>
      </c>
    </row>
    <row r="87" spans="1:2" x14ac:dyDescent="0.25">
      <c r="A87" t="s">
        <v>329</v>
      </c>
      <c r="B87" t="s">
        <v>430</v>
      </c>
    </row>
    <row r="88" spans="1:2" x14ac:dyDescent="0.25">
      <c r="A88" t="s">
        <v>246</v>
      </c>
      <c r="B88" t="s">
        <v>565</v>
      </c>
    </row>
    <row r="89" spans="1:2" x14ac:dyDescent="0.25">
      <c r="A89" t="s">
        <v>267</v>
      </c>
      <c r="B89" t="s">
        <v>542</v>
      </c>
    </row>
    <row r="90" spans="1:2" x14ac:dyDescent="0.25">
      <c r="A90" t="s">
        <v>345</v>
      </c>
      <c r="B90" t="s">
        <v>459</v>
      </c>
    </row>
    <row r="91" spans="1:2" x14ac:dyDescent="0.25">
      <c r="A91" t="s">
        <v>174</v>
      </c>
      <c r="B91" t="s">
        <v>585</v>
      </c>
    </row>
    <row r="92" spans="1:2" x14ac:dyDescent="0.25">
      <c r="A92" t="s">
        <v>303</v>
      </c>
      <c r="B92" t="s">
        <v>639</v>
      </c>
    </row>
    <row r="93" spans="1:2" x14ac:dyDescent="0.25">
      <c r="A93" t="s">
        <v>272</v>
      </c>
      <c r="B93" t="s">
        <v>609</v>
      </c>
    </row>
    <row r="94" spans="1:2" x14ac:dyDescent="0.25">
      <c r="A94" t="s">
        <v>279</v>
      </c>
      <c r="B94" t="s">
        <v>640</v>
      </c>
    </row>
    <row r="95" spans="1:2" x14ac:dyDescent="0.25">
      <c r="A95" t="s">
        <v>287</v>
      </c>
      <c r="B95" t="s">
        <v>601</v>
      </c>
    </row>
    <row r="96" spans="1:2" x14ac:dyDescent="0.25">
      <c r="A96" t="s">
        <v>207</v>
      </c>
      <c r="B96" t="s">
        <v>438</v>
      </c>
    </row>
    <row r="97" spans="1:3" x14ac:dyDescent="0.25">
      <c r="A97" t="s">
        <v>195</v>
      </c>
      <c r="B97" t="s">
        <v>597</v>
      </c>
    </row>
    <row r="98" spans="1:3" x14ac:dyDescent="0.25">
      <c r="A98" t="s">
        <v>304</v>
      </c>
      <c r="B98" t="s">
        <v>437</v>
      </c>
    </row>
    <row r="99" spans="1:3" x14ac:dyDescent="0.25">
      <c r="A99" t="s">
        <v>325</v>
      </c>
      <c r="B99" t="s">
        <v>630</v>
      </c>
    </row>
    <row r="100" spans="1:3" x14ac:dyDescent="0.25">
      <c r="A100" t="s">
        <v>371</v>
      </c>
      <c r="B100" t="s">
        <v>627</v>
      </c>
    </row>
    <row r="101" spans="1:3" x14ac:dyDescent="0.25">
      <c r="A101" t="s">
        <v>247</v>
      </c>
      <c r="B101" t="s">
        <v>432</v>
      </c>
    </row>
    <row r="102" spans="1:3" x14ac:dyDescent="0.25">
      <c r="A102" t="s">
        <v>201</v>
      </c>
      <c r="B102" t="s">
        <v>591</v>
      </c>
    </row>
    <row r="103" spans="1:3" x14ac:dyDescent="0.25">
      <c r="A103" t="s">
        <v>401</v>
      </c>
      <c r="B103" t="s">
        <v>513</v>
      </c>
    </row>
    <row r="104" spans="1:3" x14ac:dyDescent="0.25">
      <c r="A104" t="s">
        <v>302</v>
      </c>
      <c r="B104" t="s">
        <v>561</v>
      </c>
    </row>
    <row r="105" spans="1:3" x14ac:dyDescent="0.25">
      <c r="A105" t="s">
        <v>338</v>
      </c>
      <c r="B105" t="s">
        <v>641</v>
      </c>
    </row>
    <row r="106" spans="1:3" x14ac:dyDescent="0.25">
      <c r="A106" s="7" t="s">
        <v>944</v>
      </c>
      <c r="B106">
        <v>51006025960068</v>
      </c>
      <c r="C106" s="28" t="s">
        <v>945</v>
      </c>
    </row>
    <row r="107" spans="1:3" x14ac:dyDescent="0.25">
      <c r="A107" s="7" t="s">
        <v>948</v>
      </c>
      <c r="B107" s="97">
        <v>50703045960050</v>
      </c>
      <c r="C107" s="28" t="s">
        <v>945</v>
      </c>
    </row>
    <row r="108" spans="1:3" x14ac:dyDescent="0.25">
      <c r="A108" s="7" t="s">
        <v>949</v>
      </c>
      <c r="B108" s="98">
        <v>51003005980014</v>
      </c>
      <c r="C108" s="28" t="s">
        <v>952</v>
      </c>
    </row>
    <row r="109" spans="1:3" x14ac:dyDescent="0.25">
      <c r="A109" s="7" t="s">
        <v>955</v>
      </c>
      <c r="B109" s="98">
        <v>50510025960139</v>
      </c>
      <c r="C109" s="28" t="s">
        <v>945</v>
      </c>
    </row>
    <row r="110" spans="1:3" x14ac:dyDescent="0.25">
      <c r="A110" s="7" t="s">
        <v>963</v>
      </c>
      <c r="B110" s="30" t="s">
        <v>969</v>
      </c>
      <c r="C110" s="28" t="s">
        <v>952</v>
      </c>
    </row>
    <row r="111" spans="1:3" x14ac:dyDescent="0.25">
      <c r="A111" s="7" t="s">
        <v>1015</v>
      </c>
      <c r="B111" s="112">
        <v>52004005950071</v>
      </c>
      <c r="C111" s="28" t="s">
        <v>945</v>
      </c>
    </row>
    <row r="112" spans="1:3" x14ac:dyDescent="0.25">
      <c r="A112" t="s">
        <v>642</v>
      </c>
    </row>
    <row r="113" spans="1:2" x14ac:dyDescent="0.25">
      <c r="A113" t="s">
        <v>243</v>
      </c>
      <c r="B113" t="s">
        <v>572</v>
      </c>
    </row>
    <row r="114" spans="1:2" x14ac:dyDescent="0.25">
      <c r="A114" t="s">
        <v>643</v>
      </c>
      <c r="B114" t="s">
        <v>644</v>
      </c>
    </row>
    <row r="115" spans="1:2" x14ac:dyDescent="0.25">
      <c r="A115" t="s">
        <v>397</v>
      </c>
      <c r="B115" t="s">
        <v>645</v>
      </c>
    </row>
    <row r="116" spans="1:2" x14ac:dyDescent="0.25">
      <c r="A116" t="s">
        <v>194</v>
      </c>
      <c r="B116" t="s">
        <v>646</v>
      </c>
    </row>
    <row r="117" spans="1:2" x14ac:dyDescent="0.25">
      <c r="A117" t="s">
        <v>217</v>
      </c>
      <c r="B117" t="s">
        <v>647</v>
      </c>
    </row>
    <row r="118" spans="1:2" x14ac:dyDescent="0.25">
      <c r="A118" t="s">
        <v>346</v>
      </c>
      <c r="B118" t="s">
        <v>648</v>
      </c>
    </row>
    <row r="119" spans="1:2" x14ac:dyDescent="0.25">
      <c r="A119" t="s">
        <v>398</v>
      </c>
      <c r="B119" t="s">
        <v>649</v>
      </c>
    </row>
    <row r="120" spans="1:2" x14ac:dyDescent="0.25">
      <c r="A120" t="s">
        <v>273</v>
      </c>
      <c r="B120" t="s">
        <v>538</v>
      </c>
    </row>
    <row r="121" spans="1:2" x14ac:dyDescent="0.25">
      <c r="A121" t="s">
        <v>198</v>
      </c>
      <c r="B121" t="s">
        <v>650</v>
      </c>
    </row>
    <row r="122" spans="1:2" x14ac:dyDescent="0.25">
      <c r="A122" t="s">
        <v>216</v>
      </c>
      <c r="B122" t="s">
        <v>651</v>
      </c>
    </row>
    <row r="123" spans="1:2" x14ac:dyDescent="0.25">
      <c r="A123" t="s">
        <v>343</v>
      </c>
      <c r="B123" t="s">
        <v>652</v>
      </c>
    </row>
    <row r="124" spans="1:2" x14ac:dyDescent="0.25">
      <c r="A124" t="s">
        <v>288</v>
      </c>
      <c r="B124" t="s">
        <v>653</v>
      </c>
    </row>
    <row r="125" spans="1:2" x14ac:dyDescent="0.25">
      <c r="A125" t="s">
        <v>982</v>
      </c>
      <c r="B125">
        <v>52908045880018</v>
      </c>
    </row>
    <row r="126" spans="1:2" x14ac:dyDescent="0.25">
      <c r="A126" s="7" t="s">
        <v>1016</v>
      </c>
      <c r="B126">
        <v>32712932090068</v>
      </c>
    </row>
    <row r="127" spans="1:2" x14ac:dyDescent="0.25">
      <c r="A127" t="s">
        <v>654</v>
      </c>
    </row>
    <row r="128" spans="1:2" x14ac:dyDescent="0.25">
      <c r="A128" t="s">
        <v>300</v>
      </c>
      <c r="B128" t="s">
        <v>582</v>
      </c>
    </row>
    <row r="129" spans="1:2" x14ac:dyDescent="0.25">
      <c r="A129" t="s">
        <v>336</v>
      </c>
      <c r="B129" t="s">
        <v>655</v>
      </c>
    </row>
    <row r="130" spans="1:2" x14ac:dyDescent="0.25">
      <c r="A130" t="s">
        <v>355</v>
      </c>
      <c r="B130" t="s">
        <v>656</v>
      </c>
    </row>
    <row r="131" spans="1:2" x14ac:dyDescent="0.25">
      <c r="A131" t="s">
        <v>245</v>
      </c>
      <c r="B131" t="s">
        <v>657</v>
      </c>
    </row>
    <row r="132" spans="1:2" x14ac:dyDescent="0.25">
      <c r="A132" t="s">
        <v>658</v>
      </c>
      <c r="B132" t="s">
        <v>659</v>
      </c>
    </row>
    <row r="133" spans="1:2" x14ac:dyDescent="0.25">
      <c r="A133" t="s">
        <v>376</v>
      </c>
      <c r="B133" t="s">
        <v>660</v>
      </c>
    </row>
    <row r="134" spans="1:2" x14ac:dyDescent="0.25">
      <c r="A134" t="s">
        <v>239</v>
      </c>
      <c r="B134" t="s">
        <v>661</v>
      </c>
    </row>
    <row r="135" spans="1:2" x14ac:dyDescent="0.25">
      <c r="A135" t="s">
        <v>249</v>
      </c>
      <c r="B135" t="s">
        <v>579</v>
      </c>
    </row>
    <row r="136" spans="1:2" x14ac:dyDescent="0.25">
      <c r="A136" t="s">
        <v>211</v>
      </c>
      <c r="B136" t="s">
        <v>662</v>
      </c>
    </row>
    <row r="137" spans="1:2" x14ac:dyDescent="0.25">
      <c r="A137" t="s">
        <v>293</v>
      </c>
      <c r="B137" t="s">
        <v>663</v>
      </c>
    </row>
    <row r="138" spans="1:2" x14ac:dyDescent="0.25">
      <c r="A138" t="s">
        <v>354</v>
      </c>
      <c r="B138" t="s">
        <v>664</v>
      </c>
    </row>
    <row r="139" spans="1:2" x14ac:dyDescent="0.25">
      <c r="A139" t="s">
        <v>400</v>
      </c>
      <c r="B139" t="s">
        <v>665</v>
      </c>
    </row>
    <row r="140" spans="1:2" x14ac:dyDescent="0.25">
      <c r="A140" t="s">
        <v>327</v>
      </c>
      <c r="B140" t="s">
        <v>666</v>
      </c>
    </row>
    <row r="141" spans="1:2" x14ac:dyDescent="0.25">
      <c r="A141" t="s">
        <v>667</v>
      </c>
      <c r="B141" t="s">
        <v>668</v>
      </c>
    </row>
    <row r="142" spans="1:2" x14ac:dyDescent="0.25">
      <c r="A142" s="7" t="s">
        <v>973</v>
      </c>
      <c r="B142" s="111" t="s">
        <v>974</v>
      </c>
    </row>
    <row r="143" spans="1:2" x14ac:dyDescent="0.25">
      <c r="A143" t="s">
        <v>669</v>
      </c>
    </row>
    <row r="144" spans="1:2" x14ac:dyDescent="0.25">
      <c r="A144" t="s">
        <v>339</v>
      </c>
      <c r="B144" t="s">
        <v>670</v>
      </c>
    </row>
    <row r="145" spans="1:2" x14ac:dyDescent="0.25">
      <c r="A145" t="s">
        <v>305</v>
      </c>
      <c r="B145" t="s">
        <v>496</v>
      </c>
    </row>
    <row r="146" spans="1:2" x14ac:dyDescent="0.25">
      <c r="A146" t="s">
        <v>241</v>
      </c>
      <c r="B146" t="s">
        <v>621</v>
      </c>
    </row>
    <row r="147" spans="1:2" x14ac:dyDescent="0.25">
      <c r="A147" t="s">
        <v>285</v>
      </c>
      <c r="B147" t="s">
        <v>632</v>
      </c>
    </row>
    <row r="148" spans="1:2" x14ac:dyDescent="0.25">
      <c r="A148" t="s">
        <v>235</v>
      </c>
      <c r="B148" t="s">
        <v>671</v>
      </c>
    </row>
    <row r="149" spans="1:2" x14ac:dyDescent="0.25">
      <c r="A149" t="s">
        <v>278</v>
      </c>
      <c r="B149" t="s">
        <v>672</v>
      </c>
    </row>
    <row r="150" spans="1:2" x14ac:dyDescent="0.25">
      <c r="A150" t="s">
        <v>357</v>
      </c>
      <c r="B150" t="s">
        <v>535</v>
      </c>
    </row>
    <row r="151" spans="1:2" x14ac:dyDescent="0.25">
      <c r="A151" t="s">
        <v>269</v>
      </c>
      <c r="B151" t="s">
        <v>673</v>
      </c>
    </row>
    <row r="152" spans="1:2" x14ac:dyDescent="0.25">
      <c r="A152" t="s">
        <v>215</v>
      </c>
      <c r="B152" t="s">
        <v>674</v>
      </c>
    </row>
    <row r="153" spans="1:2" x14ac:dyDescent="0.25">
      <c r="A153" t="s">
        <v>283</v>
      </c>
      <c r="B153" t="s">
        <v>570</v>
      </c>
    </row>
    <row r="154" spans="1:2" x14ac:dyDescent="0.25">
      <c r="A154" t="s">
        <v>353</v>
      </c>
      <c r="B154" t="s">
        <v>675</v>
      </c>
    </row>
    <row r="155" spans="1:2" x14ac:dyDescent="0.25">
      <c r="A155" t="s">
        <v>313</v>
      </c>
      <c r="B155" t="s">
        <v>676</v>
      </c>
    </row>
    <row r="156" spans="1:2" x14ac:dyDescent="0.25">
      <c r="A156" t="s">
        <v>337</v>
      </c>
      <c r="B156" t="s">
        <v>677</v>
      </c>
    </row>
    <row r="157" spans="1:2" x14ac:dyDescent="0.25">
      <c r="A157" t="s">
        <v>224</v>
      </c>
      <c r="B157" t="s">
        <v>492</v>
      </c>
    </row>
    <row r="158" spans="1:2" x14ac:dyDescent="0.25">
      <c r="A158" t="s">
        <v>282</v>
      </c>
      <c r="B158" t="s">
        <v>678</v>
      </c>
    </row>
    <row r="159" spans="1:2" x14ac:dyDescent="0.25">
      <c r="A159" t="s">
        <v>373</v>
      </c>
      <c r="B159" t="s">
        <v>679</v>
      </c>
    </row>
    <row r="160" spans="1:2" x14ac:dyDescent="0.25">
      <c r="A160" t="s">
        <v>248</v>
      </c>
      <c r="B160" t="s">
        <v>680</v>
      </c>
    </row>
    <row r="161" spans="1:2" x14ac:dyDescent="0.25">
      <c r="A161" t="s">
        <v>242</v>
      </c>
      <c r="B161" t="s">
        <v>681</v>
      </c>
    </row>
    <row r="162" spans="1:2" x14ac:dyDescent="0.25">
      <c r="A162" t="s">
        <v>253</v>
      </c>
      <c r="B162" t="s">
        <v>635</v>
      </c>
    </row>
    <row r="163" spans="1:2" x14ac:dyDescent="0.25">
      <c r="A163" t="s">
        <v>323</v>
      </c>
      <c r="B163" t="s">
        <v>682</v>
      </c>
    </row>
    <row r="164" spans="1:2" x14ac:dyDescent="0.25">
      <c r="A164" t="s">
        <v>295</v>
      </c>
      <c r="B164" t="s">
        <v>683</v>
      </c>
    </row>
    <row r="165" spans="1:2" x14ac:dyDescent="0.25">
      <c r="A165" s="7" t="s">
        <v>964</v>
      </c>
      <c r="B165" s="30" t="s">
        <v>971</v>
      </c>
    </row>
    <row r="166" spans="1:2" x14ac:dyDescent="0.25">
      <c r="A166" t="s">
        <v>684</v>
      </c>
    </row>
    <row r="167" spans="1:2" x14ac:dyDescent="0.25">
      <c r="A167" t="s">
        <v>204</v>
      </c>
      <c r="B167" t="s">
        <v>685</v>
      </c>
    </row>
    <row r="168" spans="1:2" x14ac:dyDescent="0.25">
      <c r="A168" t="s">
        <v>344</v>
      </c>
      <c r="B168" t="s">
        <v>686</v>
      </c>
    </row>
    <row r="169" spans="1:2" x14ac:dyDescent="0.25">
      <c r="A169" t="s">
        <v>206</v>
      </c>
      <c r="B169" t="s">
        <v>687</v>
      </c>
    </row>
    <row r="170" spans="1:2" x14ac:dyDescent="0.25">
      <c r="A170" t="s">
        <v>374</v>
      </c>
      <c r="B170" t="s">
        <v>688</v>
      </c>
    </row>
    <row r="171" spans="1:2" x14ac:dyDescent="0.25">
      <c r="A171" t="s">
        <v>280</v>
      </c>
      <c r="B171" t="s">
        <v>618</v>
      </c>
    </row>
    <row r="172" spans="1:2" x14ac:dyDescent="0.25">
      <c r="A172" t="s">
        <v>332</v>
      </c>
      <c r="B172" t="s">
        <v>689</v>
      </c>
    </row>
    <row r="173" spans="1:2" x14ac:dyDescent="0.25">
      <c r="A173" t="s">
        <v>297</v>
      </c>
      <c r="B173" t="s">
        <v>690</v>
      </c>
    </row>
    <row r="174" spans="1:2" x14ac:dyDescent="0.25">
      <c r="A174" t="s">
        <v>219</v>
      </c>
      <c r="B174" t="s">
        <v>691</v>
      </c>
    </row>
    <row r="175" spans="1:2" x14ac:dyDescent="0.25">
      <c r="A175" t="s">
        <v>692</v>
      </c>
      <c r="B175" t="s">
        <v>693</v>
      </c>
    </row>
    <row r="176" spans="1:2" x14ac:dyDescent="0.25">
      <c r="A176" t="s">
        <v>341</v>
      </c>
      <c r="B176" t="s">
        <v>694</v>
      </c>
    </row>
    <row r="177" spans="1:2" x14ac:dyDescent="0.25">
      <c r="A177" t="s">
        <v>316</v>
      </c>
      <c r="B177" t="s">
        <v>695</v>
      </c>
    </row>
    <row r="178" spans="1:2" x14ac:dyDescent="0.25">
      <c r="A178" t="s">
        <v>696</v>
      </c>
      <c r="B178" t="s">
        <v>697</v>
      </c>
    </row>
    <row r="179" spans="1:2" x14ac:dyDescent="0.25">
      <c r="A179" t="s">
        <v>205</v>
      </c>
      <c r="B179" t="s">
        <v>698</v>
      </c>
    </row>
    <row r="180" spans="1:2" x14ac:dyDescent="0.25">
      <c r="A180" t="s">
        <v>342</v>
      </c>
      <c r="B180" t="s">
        <v>699</v>
      </c>
    </row>
    <row r="181" spans="1:2" x14ac:dyDescent="0.25">
      <c r="A181" t="s">
        <v>270</v>
      </c>
      <c r="B181" t="s">
        <v>499</v>
      </c>
    </row>
    <row r="182" spans="1:2" x14ac:dyDescent="0.25">
      <c r="A182" t="s">
        <v>258</v>
      </c>
      <c r="B182" t="s">
        <v>700</v>
      </c>
    </row>
    <row r="183" spans="1:2" x14ac:dyDescent="0.25">
      <c r="A183" t="s">
        <v>701</v>
      </c>
      <c r="B183" t="s">
        <v>702</v>
      </c>
    </row>
    <row r="184" spans="1:2" x14ac:dyDescent="0.25">
      <c r="A184" s="7" t="s">
        <v>950</v>
      </c>
      <c r="B184">
        <v>30603862130011</v>
      </c>
    </row>
    <row r="185" spans="1:2" x14ac:dyDescent="0.25">
      <c r="A185" t="s">
        <v>703</v>
      </c>
    </row>
    <row r="186" spans="1:2" x14ac:dyDescent="0.25">
      <c r="A186" t="s">
        <v>318</v>
      </c>
      <c r="B186" t="s">
        <v>704</v>
      </c>
    </row>
    <row r="187" spans="1:2" x14ac:dyDescent="0.25">
      <c r="A187" t="s">
        <v>361</v>
      </c>
      <c r="B187">
        <v>52107015940019</v>
      </c>
    </row>
    <row r="188" spans="1:2" x14ac:dyDescent="0.25">
      <c r="A188" t="s">
        <v>321</v>
      </c>
      <c r="B188" t="s">
        <v>705</v>
      </c>
    </row>
    <row r="189" spans="1:2" x14ac:dyDescent="0.25">
      <c r="A189" t="s">
        <v>292</v>
      </c>
      <c r="B189" t="s">
        <v>706</v>
      </c>
    </row>
    <row r="190" spans="1:2" x14ac:dyDescent="0.25">
      <c r="A190" t="s">
        <v>277</v>
      </c>
      <c r="B190" t="s">
        <v>558</v>
      </c>
    </row>
    <row r="191" spans="1:2" x14ac:dyDescent="0.25">
      <c r="A191" t="s">
        <v>369</v>
      </c>
      <c r="B191" t="s">
        <v>707</v>
      </c>
    </row>
    <row r="192" spans="1:2" x14ac:dyDescent="0.25">
      <c r="A192" t="s">
        <v>330</v>
      </c>
      <c r="B192" t="s">
        <v>708</v>
      </c>
    </row>
    <row r="193" spans="1:2" x14ac:dyDescent="0.25">
      <c r="A193" t="s">
        <v>306</v>
      </c>
      <c r="B193" t="s">
        <v>709</v>
      </c>
    </row>
    <row r="194" spans="1:2" x14ac:dyDescent="0.25">
      <c r="A194" t="s">
        <v>209</v>
      </c>
      <c r="B194" t="s">
        <v>710</v>
      </c>
    </row>
    <row r="195" spans="1:2" x14ac:dyDescent="0.25">
      <c r="A195" t="s">
        <v>176</v>
      </c>
      <c r="B195" t="s">
        <v>506</v>
      </c>
    </row>
    <row r="196" spans="1:2" x14ac:dyDescent="0.25">
      <c r="A196" t="s">
        <v>298</v>
      </c>
      <c r="B196" t="s">
        <v>518</v>
      </c>
    </row>
    <row r="197" spans="1:2" x14ac:dyDescent="0.25">
      <c r="A197" t="s">
        <v>296</v>
      </c>
      <c r="B197" t="s">
        <v>711</v>
      </c>
    </row>
    <row r="198" spans="1:2" x14ac:dyDescent="0.25">
      <c r="A198" t="s">
        <v>712</v>
      </c>
    </row>
    <row r="199" spans="1:2" x14ac:dyDescent="0.25">
      <c r="A199" t="s">
        <v>331</v>
      </c>
      <c r="B199" t="s">
        <v>713</v>
      </c>
    </row>
    <row r="200" spans="1:2" x14ac:dyDescent="0.25">
      <c r="A200" t="s">
        <v>326</v>
      </c>
      <c r="B200" t="s">
        <v>714</v>
      </c>
    </row>
    <row r="201" spans="1:2" x14ac:dyDescent="0.25">
      <c r="A201" t="s">
        <v>199</v>
      </c>
      <c r="B201" t="s">
        <v>465</v>
      </c>
    </row>
    <row r="202" spans="1:2" x14ac:dyDescent="0.25">
      <c r="A202" t="s">
        <v>261</v>
      </c>
      <c r="B202" t="s">
        <v>503</v>
      </c>
    </row>
    <row r="203" spans="1:2" x14ac:dyDescent="0.25">
      <c r="A203" t="s">
        <v>260</v>
      </c>
      <c r="B203" t="s">
        <v>715</v>
      </c>
    </row>
    <row r="204" spans="1:2" x14ac:dyDescent="0.25">
      <c r="A204" t="s">
        <v>212</v>
      </c>
      <c r="B204" t="s">
        <v>716</v>
      </c>
    </row>
    <row r="205" spans="1:2" x14ac:dyDescent="0.25">
      <c r="A205" t="s">
        <v>399</v>
      </c>
      <c r="B205" t="s">
        <v>717</v>
      </c>
    </row>
    <row r="206" spans="1:2" x14ac:dyDescent="0.25">
      <c r="A206" t="s">
        <v>257</v>
      </c>
      <c r="B206" t="s">
        <v>718</v>
      </c>
    </row>
    <row r="207" spans="1:2" x14ac:dyDescent="0.25">
      <c r="A207" t="s">
        <v>407</v>
      </c>
      <c r="B207" t="s">
        <v>719</v>
      </c>
    </row>
    <row r="208" spans="1:2" x14ac:dyDescent="0.25">
      <c r="A208" t="s">
        <v>389</v>
      </c>
      <c r="B208" t="s">
        <v>720</v>
      </c>
    </row>
    <row r="209" spans="1:2" x14ac:dyDescent="0.25">
      <c r="A209" t="s">
        <v>356</v>
      </c>
      <c r="B209" t="s">
        <v>721</v>
      </c>
    </row>
    <row r="210" spans="1:2" x14ac:dyDescent="0.25">
      <c r="A210" t="s">
        <v>276</v>
      </c>
      <c r="B210" t="s">
        <v>722</v>
      </c>
    </row>
    <row r="211" spans="1:2" x14ac:dyDescent="0.25">
      <c r="A211" t="s">
        <v>263</v>
      </c>
      <c r="B211" t="s">
        <v>723</v>
      </c>
    </row>
    <row r="212" spans="1:2" x14ac:dyDescent="0.25">
      <c r="A212" t="s">
        <v>299</v>
      </c>
      <c r="B212" t="s">
        <v>606</v>
      </c>
    </row>
    <row r="213" spans="1:2" x14ac:dyDescent="0.25">
      <c r="A213" t="s">
        <v>378</v>
      </c>
      <c r="B213" t="s">
        <v>724</v>
      </c>
    </row>
    <row r="214" spans="1:2" x14ac:dyDescent="0.25">
      <c r="A214" t="s">
        <v>358</v>
      </c>
      <c r="B214" t="s">
        <v>725</v>
      </c>
    </row>
    <row r="215" spans="1:2" x14ac:dyDescent="0.25">
      <c r="A215" s="7" t="s">
        <v>956</v>
      </c>
      <c r="B215" s="30" t="s">
        <v>967</v>
      </c>
    </row>
    <row r="216" spans="1:2" x14ac:dyDescent="0.25">
      <c r="A216" t="s">
        <v>726</v>
      </c>
    </row>
    <row r="217" spans="1:2" x14ac:dyDescent="0.25">
      <c r="A217" t="s">
        <v>340</v>
      </c>
      <c r="B217" t="s">
        <v>727</v>
      </c>
    </row>
    <row r="218" spans="1:2" x14ac:dyDescent="0.25">
      <c r="A218" t="s">
        <v>391</v>
      </c>
      <c r="B218" t="s">
        <v>728</v>
      </c>
    </row>
    <row r="219" spans="1:2" x14ac:dyDescent="0.25">
      <c r="A219" t="s">
        <v>281</v>
      </c>
      <c r="B219" t="s">
        <v>729</v>
      </c>
    </row>
    <row r="220" spans="1:2" x14ac:dyDescent="0.25">
      <c r="A220" t="s">
        <v>730</v>
      </c>
      <c r="B220" t="s">
        <v>731</v>
      </c>
    </row>
    <row r="221" spans="1:2" x14ac:dyDescent="0.25">
      <c r="A221" t="s">
        <v>311</v>
      </c>
      <c r="B221" t="s">
        <v>732</v>
      </c>
    </row>
    <row r="222" spans="1:2" x14ac:dyDescent="0.25">
      <c r="A222" t="s">
        <v>320</v>
      </c>
      <c r="B222" t="s">
        <v>733</v>
      </c>
    </row>
    <row r="223" spans="1:2" x14ac:dyDescent="0.25">
      <c r="A223" t="s">
        <v>230</v>
      </c>
      <c r="B223" t="s">
        <v>734</v>
      </c>
    </row>
    <row r="224" spans="1:2" x14ac:dyDescent="0.25">
      <c r="A224" t="s">
        <v>244</v>
      </c>
      <c r="B224" t="s">
        <v>735</v>
      </c>
    </row>
    <row r="225" spans="1:2" x14ac:dyDescent="0.25">
      <c r="A225" t="s">
        <v>208</v>
      </c>
      <c r="B225" t="s">
        <v>736</v>
      </c>
    </row>
    <row r="226" spans="1:2" x14ac:dyDescent="0.25">
      <c r="A226" t="s">
        <v>186</v>
      </c>
      <c r="B226" t="s">
        <v>737</v>
      </c>
    </row>
    <row r="227" spans="1:2" x14ac:dyDescent="0.25">
      <c r="A227" t="s">
        <v>312</v>
      </c>
      <c r="B227" t="s">
        <v>738</v>
      </c>
    </row>
    <row r="228" spans="1:2" x14ac:dyDescent="0.25">
      <c r="A228" t="s">
        <v>275</v>
      </c>
      <c r="B228" t="s">
        <v>624</v>
      </c>
    </row>
    <row r="229" spans="1:2" x14ac:dyDescent="0.25">
      <c r="A229" t="s">
        <v>183</v>
      </c>
      <c r="B229" t="s">
        <v>547</v>
      </c>
    </row>
    <row r="230" spans="1:2" x14ac:dyDescent="0.25">
      <c r="A230" t="s">
        <v>265</v>
      </c>
      <c r="B230" t="s">
        <v>739</v>
      </c>
    </row>
    <row r="231" spans="1:2" x14ac:dyDescent="0.25">
      <c r="A231" t="s">
        <v>256</v>
      </c>
      <c r="B231" t="s">
        <v>595</v>
      </c>
    </row>
    <row r="232" spans="1:2" x14ac:dyDescent="0.25">
      <c r="A232" t="s">
        <v>308</v>
      </c>
      <c r="B232" t="s">
        <v>604</v>
      </c>
    </row>
    <row r="233" spans="1:2" x14ac:dyDescent="0.25">
      <c r="A233" t="s">
        <v>228</v>
      </c>
      <c r="B233" t="s">
        <v>740</v>
      </c>
    </row>
    <row r="234" spans="1:2" x14ac:dyDescent="0.25">
      <c r="A234" t="s">
        <v>223</v>
      </c>
      <c r="B234" t="s">
        <v>741</v>
      </c>
    </row>
  </sheetData>
  <autoFilter ref="A3:E234"/>
  <conditionalFormatting sqref="B14:B16">
    <cfRule type="duplicateValues" dxfId="35" priority="2"/>
  </conditionalFormatting>
  <conditionalFormatting sqref="B34">
    <cfRule type="duplicateValues" dxfId="34" priority="1"/>
  </conditionalFormatting>
  <conditionalFormatting sqref="D14:D16">
    <cfRule type="duplicateValues" dxfId="33" priority="4"/>
  </conditionalFormatting>
  <conditionalFormatting sqref="D17">
    <cfRule type="duplicateValues" dxfId="32" priority="3"/>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2</vt:i4>
      </vt:variant>
    </vt:vector>
  </HeadingPairs>
  <TitlesOfParts>
    <vt:vector size="6" baseType="lpstr">
      <vt:lpstr>свод</vt:lpstr>
      <vt:lpstr>muddati otgan</vt:lpstr>
      <vt:lpstr>jami 1-20 kunlik arizalar</vt:lpstr>
      <vt:lpstr>Ходим</vt:lpstr>
      <vt:lpstr>свод!Заголовки_для_печати</vt:lpstr>
      <vt:lpstr>свод!Область_печати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Saidus_work</cp:lastModifiedBy>
  <cp:lastPrinted>2026-05-01T06:17:31Z</cp:lastPrinted>
  <dcterms:created xsi:type="dcterms:W3CDTF">2024-04-03T04:49:14Z</dcterms:created>
  <dcterms:modified xsi:type="dcterms:W3CDTF">2026-06-26T11:45:17Z</dcterms:modified>
</cp:coreProperties>
</file>